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natalic\AppData\Local\Microsoft\Windows\INetCache\Content.Outlook\XZ61MT5Q\"/>
    </mc:Choice>
  </mc:AlternateContent>
  <xr:revisionPtr revIDLastSave="0" documentId="13_ncr:1_{33415663-E8EE-46D9-94B7-C991D6C12630}" xr6:coauthVersionLast="47" xr6:coauthVersionMax="47" xr10:uidLastSave="{00000000-0000-0000-0000-000000000000}"/>
  <bookViews>
    <workbookView xWindow="-120" yWindow="-120" windowWidth="29040" windowHeight="15840" xr2:uid="{00000000-000D-0000-FFFF-FFFF00000000}"/>
  </bookViews>
  <sheets>
    <sheet name="registar 1.1.2022.-23.12.2022." sheetId="2" r:id="rId1"/>
  </sheets>
  <definedNames>
    <definedName name="_xlnm._FilterDatabase" localSheetId="0" hidden="1">'registar 1.1.2022.-23.12.2022.'!$A$3:$T$4573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671" i="2" l="1"/>
  <c r="S5198" i="2"/>
  <c r="M7693" i="2"/>
  <c r="G7694" i="2"/>
  <c r="G7693" i="2"/>
  <c r="S7692" i="2"/>
  <c r="M7692" i="2"/>
  <c r="L7692" i="2"/>
  <c r="K7692" i="2"/>
  <c r="G7692" i="2"/>
  <c r="E7692" i="2"/>
  <c r="B7692" i="2"/>
  <c r="S436" i="2" l="1"/>
  <c r="S7691" i="2" l="1"/>
  <c r="M7691" i="2"/>
  <c r="L7691" i="2"/>
  <c r="K7691" i="2"/>
  <c r="G7691" i="2"/>
  <c r="E7691" i="2"/>
  <c r="B7691" i="2"/>
  <c r="S7690" i="2"/>
  <c r="M7690" i="2"/>
  <c r="L7690" i="2"/>
  <c r="K7690" i="2"/>
  <c r="G7690" i="2"/>
  <c r="E7690" i="2"/>
  <c r="B7690" i="2"/>
  <c r="S7689" i="2"/>
  <c r="M7689" i="2"/>
  <c r="L7689" i="2"/>
  <c r="K7689" i="2"/>
  <c r="G7689" i="2"/>
  <c r="E7689" i="2"/>
  <c r="B7689" i="2"/>
  <c r="S7688" i="2"/>
  <c r="M7688" i="2"/>
  <c r="L7688" i="2"/>
  <c r="K7688" i="2"/>
  <c r="G7688" i="2"/>
  <c r="E7688" i="2"/>
  <c r="B7688" i="2"/>
  <c r="S7687" i="2"/>
  <c r="M7687" i="2"/>
  <c r="L7687" i="2"/>
  <c r="K7687" i="2"/>
  <c r="G7687" i="2"/>
  <c r="E7687" i="2"/>
  <c r="B7687" i="2"/>
  <c r="S7686" i="2"/>
  <c r="M7686" i="2"/>
  <c r="L7686" i="2"/>
  <c r="K7686" i="2"/>
  <c r="G7686" i="2"/>
  <c r="E7686" i="2"/>
  <c r="B7686" i="2"/>
  <c r="S7685" i="2"/>
  <c r="M7685" i="2"/>
  <c r="L7685" i="2"/>
  <c r="K7685" i="2"/>
  <c r="G7685" i="2"/>
  <c r="E7685" i="2"/>
  <c r="B7685" i="2"/>
  <c r="S7684" i="2"/>
  <c r="M7684" i="2"/>
  <c r="L7684" i="2"/>
  <c r="K7684" i="2"/>
  <c r="G7684" i="2"/>
  <c r="E7684" i="2"/>
  <c r="B7684" i="2"/>
  <c r="S7683" i="2"/>
  <c r="M7683" i="2"/>
  <c r="L7683" i="2"/>
  <c r="K7683" i="2"/>
  <c r="G7683" i="2"/>
  <c r="E7683" i="2"/>
  <c r="B7683" i="2"/>
  <c r="S7682" i="2"/>
  <c r="M7682" i="2"/>
  <c r="L7682" i="2"/>
  <c r="K7682" i="2"/>
  <c r="G7682" i="2"/>
  <c r="E7682" i="2"/>
  <c r="B7682" i="2"/>
  <c r="S7681" i="2"/>
  <c r="M7681" i="2"/>
  <c r="L7681" i="2"/>
  <c r="K7681" i="2"/>
  <c r="G7681" i="2"/>
  <c r="E7681" i="2"/>
  <c r="B7681" i="2"/>
  <c r="S7680" i="2"/>
  <c r="M7680" i="2"/>
  <c r="L7680" i="2"/>
  <c r="K7680" i="2"/>
  <c r="G7680" i="2"/>
  <c r="E7680" i="2"/>
  <c r="B7680" i="2"/>
  <c r="S7679" i="2"/>
  <c r="M7679" i="2"/>
  <c r="L7679" i="2"/>
  <c r="K7679" i="2"/>
  <c r="G7679" i="2"/>
  <c r="E7679" i="2"/>
  <c r="B7679" i="2"/>
  <c r="S7678" i="2"/>
  <c r="M7678" i="2"/>
  <c r="L7678" i="2"/>
  <c r="K7678" i="2"/>
  <c r="G7678" i="2"/>
  <c r="E7678" i="2"/>
  <c r="B7678" i="2"/>
  <c r="S7677" i="2"/>
  <c r="M7677" i="2"/>
  <c r="L7677" i="2"/>
  <c r="K7677" i="2"/>
  <c r="G7677" i="2"/>
  <c r="E7677" i="2"/>
  <c r="B7677" i="2"/>
  <c r="S7676" i="2"/>
  <c r="M7676" i="2"/>
  <c r="L7676" i="2"/>
  <c r="K7676" i="2"/>
  <c r="G7676" i="2"/>
  <c r="E7676" i="2"/>
  <c r="B7676" i="2"/>
  <c r="S7675" i="2"/>
  <c r="M7675" i="2"/>
  <c r="L7675" i="2"/>
  <c r="K7675" i="2"/>
  <c r="G7675" i="2"/>
  <c r="E7675" i="2"/>
  <c r="B7675" i="2"/>
  <c r="S7674" i="2"/>
  <c r="M7674" i="2"/>
  <c r="L7674" i="2"/>
  <c r="K7674" i="2"/>
  <c r="G7674" i="2"/>
  <c r="E7674" i="2"/>
  <c r="B7674" i="2"/>
  <c r="S7673" i="2"/>
  <c r="M7673" i="2"/>
  <c r="L7673" i="2"/>
  <c r="K7673" i="2"/>
  <c r="G7673" i="2"/>
  <c r="E7673" i="2"/>
  <c r="B7673" i="2"/>
  <c r="S7672" i="2"/>
  <c r="M7672" i="2"/>
  <c r="L7672" i="2"/>
  <c r="K7672" i="2"/>
  <c r="G7672" i="2"/>
  <c r="E7672" i="2"/>
  <c r="B7672" i="2"/>
  <c r="S7671" i="2"/>
  <c r="M7671" i="2"/>
  <c r="L7671" i="2"/>
  <c r="K7671" i="2"/>
  <c r="G7671" i="2"/>
  <c r="E7671" i="2"/>
  <c r="B7671" i="2"/>
  <c r="S7670" i="2"/>
  <c r="M7670" i="2"/>
  <c r="L7670" i="2"/>
  <c r="K7670" i="2"/>
  <c r="G7670" i="2"/>
  <c r="E7670" i="2"/>
  <c r="B7670" i="2"/>
  <c r="S7669" i="2"/>
  <c r="M7669" i="2"/>
  <c r="L7669" i="2"/>
  <c r="K7669" i="2"/>
  <c r="G7669" i="2"/>
  <c r="E7669" i="2"/>
  <c r="B7669" i="2"/>
  <c r="S7668" i="2"/>
  <c r="M7668" i="2"/>
  <c r="L7668" i="2"/>
  <c r="K7668" i="2"/>
  <c r="G7668" i="2"/>
  <c r="E7668" i="2"/>
  <c r="B7668" i="2"/>
  <c r="S7667" i="2"/>
  <c r="M7667" i="2"/>
  <c r="L7667" i="2"/>
  <c r="K7667" i="2"/>
  <c r="G7667" i="2"/>
  <c r="E7667" i="2"/>
  <c r="B7667" i="2"/>
  <c r="S7666" i="2"/>
  <c r="M7666" i="2"/>
  <c r="L7666" i="2"/>
  <c r="K7666" i="2"/>
  <c r="G7666" i="2"/>
  <c r="E7666" i="2"/>
  <c r="B7666" i="2"/>
  <c r="S7665" i="2"/>
  <c r="M7665" i="2"/>
  <c r="L7665" i="2"/>
  <c r="K7665" i="2"/>
  <c r="G7665" i="2"/>
  <c r="E7665" i="2"/>
  <c r="B7665" i="2"/>
  <c r="S7664" i="2"/>
  <c r="M7664" i="2"/>
  <c r="L7664" i="2"/>
  <c r="K7664" i="2"/>
  <c r="G7664" i="2"/>
  <c r="E7664" i="2"/>
  <c r="B7664" i="2"/>
  <c r="S7663" i="2"/>
  <c r="M7663" i="2"/>
  <c r="L7663" i="2"/>
  <c r="K7663" i="2"/>
  <c r="G7663" i="2"/>
  <c r="E7663" i="2"/>
  <c r="B7663" i="2"/>
  <c r="S7662" i="2"/>
  <c r="M7662" i="2"/>
  <c r="L7662" i="2"/>
  <c r="K7662" i="2"/>
  <c r="G7662" i="2"/>
  <c r="E7662" i="2"/>
  <c r="B7662" i="2"/>
  <c r="S7661" i="2"/>
  <c r="M7661" i="2"/>
  <c r="L7661" i="2"/>
  <c r="K7661" i="2"/>
  <c r="G7661" i="2"/>
  <c r="E7661" i="2"/>
  <c r="B7661" i="2"/>
  <c r="S7660" i="2"/>
  <c r="M7660" i="2"/>
  <c r="L7660" i="2"/>
  <c r="K7660" i="2"/>
  <c r="G7660" i="2"/>
  <c r="E7660" i="2"/>
  <c r="B7660" i="2"/>
  <c r="S7659" i="2"/>
  <c r="M7659" i="2"/>
  <c r="L7659" i="2"/>
  <c r="K7659" i="2"/>
  <c r="G7659" i="2"/>
  <c r="E7659" i="2"/>
  <c r="B7659" i="2"/>
  <c r="S7658" i="2"/>
  <c r="M7658" i="2"/>
  <c r="L7658" i="2"/>
  <c r="K7658" i="2"/>
  <c r="G7658" i="2"/>
  <c r="E7658" i="2"/>
  <c r="B7658" i="2"/>
  <c r="S7657" i="2"/>
  <c r="M7657" i="2"/>
  <c r="L7657" i="2"/>
  <c r="K7657" i="2"/>
  <c r="G7657" i="2"/>
  <c r="E7657" i="2"/>
  <c r="B7657" i="2"/>
  <c r="S7656" i="2"/>
  <c r="M7656" i="2"/>
  <c r="L7656" i="2"/>
  <c r="K7656" i="2"/>
  <c r="G7656" i="2"/>
  <c r="E7656" i="2"/>
  <c r="B7656" i="2"/>
  <c r="S7655" i="2"/>
  <c r="M7655" i="2"/>
  <c r="L7655" i="2"/>
  <c r="K7655" i="2"/>
  <c r="G7655" i="2"/>
  <c r="E7655" i="2"/>
  <c r="B7655" i="2"/>
  <c r="S7654" i="2"/>
  <c r="M7654" i="2"/>
  <c r="L7654" i="2"/>
  <c r="K7654" i="2"/>
  <c r="G7654" i="2"/>
  <c r="E7654" i="2"/>
  <c r="B7654" i="2"/>
  <c r="S7653" i="2"/>
  <c r="M7653" i="2"/>
  <c r="L7653" i="2"/>
  <c r="K7653" i="2"/>
  <c r="G7653" i="2"/>
  <c r="E7653" i="2"/>
  <c r="B7653" i="2"/>
  <c r="S7652" i="2"/>
  <c r="M7652" i="2"/>
  <c r="L7652" i="2"/>
  <c r="K7652" i="2"/>
  <c r="G7652" i="2"/>
  <c r="E7652" i="2"/>
  <c r="B7652" i="2"/>
  <c r="S7651" i="2"/>
  <c r="M7651" i="2"/>
  <c r="L7651" i="2"/>
  <c r="K7651" i="2"/>
  <c r="G7651" i="2"/>
  <c r="E7651" i="2"/>
  <c r="B7651" i="2"/>
  <c r="S7650" i="2"/>
  <c r="M7650" i="2"/>
  <c r="L7650" i="2"/>
  <c r="K7650" i="2"/>
  <c r="G7650" i="2"/>
  <c r="E7650" i="2"/>
  <c r="B7650" i="2"/>
  <c r="S7649" i="2"/>
  <c r="M7649" i="2"/>
  <c r="L7649" i="2"/>
  <c r="K7649" i="2"/>
  <c r="G7649" i="2"/>
  <c r="E7649" i="2"/>
  <c r="B7649" i="2"/>
  <c r="S7648" i="2"/>
  <c r="M7648" i="2"/>
  <c r="L7648" i="2"/>
  <c r="K7648" i="2"/>
  <c r="G7648" i="2"/>
  <c r="E7648" i="2"/>
  <c r="B7648" i="2"/>
  <c r="S7647" i="2"/>
  <c r="M7647" i="2"/>
  <c r="L7647" i="2"/>
  <c r="K7647" i="2"/>
  <c r="G7647" i="2"/>
  <c r="E7647" i="2"/>
  <c r="B7647" i="2"/>
  <c r="S7646" i="2"/>
  <c r="M7646" i="2"/>
  <c r="L7646" i="2"/>
  <c r="K7646" i="2"/>
  <c r="G7646" i="2"/>
  <c r="E7646" i="2"/>
  <c r="B7646" i="2"/>
  <c r="S7645" i="2"/>
  <c r="M7645" i="2"/>
  <c r="L7645" i="2"/>
  <c r="K7645" i="2"/>
  <c r="G7645" i="2"/>
  <c r="E7645" i="2"/>
  <c r="B7645" i="2"/>
  <c r="S7644" i="2"/>
  <c r="M7644" i="2"/>
  <c r="L7644" i="2"/>
  <c r="K7644" i="2"/>
  <c r="G7644" i="2"/>
  <c r="E7644" i="2"/>
  <c r="B7644" i="2"/>
  <c r="S7643" i="2"/>
  <c r="M7643" i="2"/>
  <c r="L7643" i="2"/>
  <c r="K7643" i="2"/>
  <c r="G7643" i="2"/>
  <c r="E7643" i="2"/>
  <c r="B7643" i="2"/>
  <c r="S7642" i="2"/>
  <c r="M7642" i="2"/>
  <c r="L7642" i="2"/>
  <c r="K7642" i="2"/>
  <c r="G7642" i="2"/>
  <c r="E7642" i="2"/>
  <c r="B7642" i="2"/>
  <c r="S7641" i="2"/>
  <c r="M7641" i="2"/>
  <c r="L7641" i="2"/>
  <c r="K7641" i="2"/>
  <c r="G7641" i="2"/>
  <c r="E7641" i="2"/>
  <c r="B7641" i="2"/>
  <c r="S7640" i="2"/>
  <c r="M7640" i="2"/>
  <c r="L7640" i="2"/>
  <c r="K7640" i="2"/>
  <c r="G7640" i="2"/>
  <c r="E7640" i="2"/>
  <c r="B7640" i="2"/>
  <c r="S7639" i="2"/>
  <c r="M7639" i="2"/>
  <c r="L7639" i="2"/>
  <c r="K7639" i="2"/>
  <c r="G7639" i="2"/>
  <c r="E7639" i="2"/>
  <c r="B7639" i="2"/>
  <c r="S7638" i="2"/>
  <c r="M7638" i="2"/>
  <c r="L7638" i="2"/>
  <c r="K7638" i="2"/>
  <c r="G7638" i="2"/>
  <c r="E7638" i="2"/>
  <c r="B7638" i="2"/>
  <c r="S7637" i="2"/>
  <c r="M7637" i="2"/>
  <c r="L7637" i="2"/>
  <c r="K7637" i="2"/>
  <c r="G7637" i="2"/>
  <c r="E7637" i="2"/>
  <c r="B7637" i="2"/>
  <c r="S7636" i="2"/>
  <c r="M7636" i="2"/>
  <c r="L7636" i="2"/>
  <c r="K7636" i="2"/>
  <c r="G7636" i="2"/>
  <c r="E7636" i="2"/>
  <c r="B7636" i="2"/>
  <c r="S7635" i="2"/>
  <c r="M7635" i="2"/>
  <c r="L7635" i="2"/>
  <c r="K7635" i="2"/>
  <c r="G7635" i="2"/>
  <c r="E7635" i="2"/>
  <c r="B7635" i="2"/>
  <c r="S7634" i="2"/>
  <c r="M7634" i="2"/>
  <c r="L7634" i="2"/>
  <c r="K7634" i="2"/>
  <c r="G7634" i="2"/>
  <c r="E7634" i="2"/>
  <c r="B7634" i="2"/>
  <c r="S7633" i="2"/>
  <c r="M7633" i="2"/>
  <c r="L7633" i="2"/>
  <c r="K7633" i="2"/>
  <c r="G7633" i="2"/>
  <c r="E7633" i="2"/>
  <c r="B7633" i="2"/>
  <c r="S7632" i="2"/>
  <c r="M7632" i="2"/>
  <c r="L7632" i="2"/>
  <c r="K7632" i="2"/>
  <c r="G7632" i="2"/>
  <c r="E7632" i="2"/>
  <c r="B7632" i="2"/>
  <c r="S7631" i="2"/>
  <c r="M7631" i="2"/>
  <c r="L7631" i="2"/>
  <c r="K7631" i="2"/>
  <c r="G7631" i="2"/>
  <c r="E7631" i="2"/>
  <c r="B7631" i="2"/>
  <c r="S7630" i="2"/>
  <c r="M7630" i="2"/>
  <c r="L7630" i="2"/>
  <c r="K7630" i="2"/>
  <c r="G7630" i="2"/>
  <c r="E7630" i="2"/>
  <c r="B7630" i="2"/>
  <c r="S7629" i="2"/>
  <c r="M7629" i="2"/>
  <c r="L7629" i="2"/>
  <c r="K7629" i="2"/>
  <c r="G7629" i="2"/>
  <c r="E7629" i="2"/>
  <c r="B7629" i="2"/>
  <c r="S7628" i="2"/>
  <c r="M7628" i="2"/>
  <c r="L7628" i="2"/>
  <c r="K7628" i="2"/>
  <c r="G7628" i="2"/>
  <c r="E7628" i="2"/>
  <c r="B7628" i="2"/>
  <c r="S7627" i="2"/>
  <c r="M7627" i="2"/>
  <c r="L7627" i="2"/>
  <c r="K7627" i="2"/>
  <c r="G7627" i="2"/>
  <c r="E7627" i="2"/>
  <c r="B7627" i="2"/>
  <c r="S7626" i="2"/>
  <c r="M7626" i="2"/>
  <c r="L7626" i="2"/>
  <c r="K7626" i="2"/>
  <c r="G7626" i="2"/>
  <c r="E7626" i="2"/>
  <c r="B7626" i="2"/>
  <c r="S7625" i="2"/>
  <c r="M7625" i="2"/>
  <c r="L7625" i="2"/>
  <c r="K7625" i="2"/>
  <c r="G7625" i="2"/>
  <c r="E7625" i="2"/>
  <c r="B7625" i="2"/>
  <c r="S7624" i="2"/>
  <c r="M7624" i="2"/>
  <c r="L7624" i="2"/>
  <c r="K7624" i="2"/>
  <c r="G7624" i="2"/>
  <c r="E7624" i="2"/>
  <c r="B7624" i="2"/>
  <c r="S7623" i="2"/>
  <c r="M7623" i="2"/>
  <c r="L7623" i="2"/>
  <c r="K7623" i="2"/>
  <c r="G7623" i="2"/>
  <c r="E7623" i="2"/>
  <c r="B7623" i="2"/>
  <c r="S7622" i="2"/>
  <c r="M7622" i="2"/>
  <c r="L7622" i="2"/>
  <c r="K7622" i="2"/>
  <c r="G7622" i="2"/>
  <c r="E7622" i="2"/>
  <c r="B7622" i="2"/>
  <c r="S7621" i="2"/>
  <c r="M7621" i="2"/>
  <c r="L7621" i="2"/>
  <c r="K7621" i="2"/>
  <c r="G7621" i="2"/>
  <c r="E7621" i="2"/>
  <c r="B7621" i="2"/>
  <c r="S7620" i="2"/>
  <c r="M7620" i="2"/>
  <c r="L7620" i="2"/>
  <c r="K7620" i="2"/>
  <c r="G7620" i="2"/>
  <c r="E7620" i="2"/>
  <c r="B7620" i="2"/>
  <c r="S7619" i="2"/>
  <c r="M7619" i="2"/>
  <c r="L7619" i="2"/>
  <c r="K7619" i="2"/>
  <c r="G7619" i="2"/>
  <c r="E7619" i="2"/>
  <c r="B7619" i="2"/>
  <c r="S7618" i="2"/>
  <c r="M7618" i="2"/>
  <c r="L7618" i="2"/>
  <c r="K7618" i="2"/>
  <c r="G7618" i="2"/>
  <c r="E7618" i="2"/>
  <c r="B7618" i="2"/>
  <c r="S7617" i="2"/>
  <c r="M7617" i="2"/>
  <c r="L7617" i="2"/>
  <c r="K7617" i="2"/>
  <c r="G7617" i="2"/>
  <c r="E7617" i="2"/>
  <c r="B7617" i="2"/>
  <c r="S7616" i="2"/>
  <c r="M7616" i="2"/>
  <c r="L7616" i="2"/>
  <c r="K7616" i="2"/>
  <c r="G7616" i="2"/>
  <c r="E7616" i="2"/>
  <c r="B7616" i="2"/>
  <c r="S7615" i="2"/>
  <c r="M7615" i="2"/>
  <c r="L7615" i="2"/>
  <c r="K7615" i="2"/>
  <c r="G7615" i="2"/>
  <c r="E7615" i="2"/>
  <c r="B7615" i="2"/>
  <c r="S7614" i="2"/>
  <c r="M7614" i="2"/>
  <c r="L7614" i="2"/>
  <c r="K7614" i="2"/>
  <c r="G7614" i="2"/>
  <c r="E7614" i="2"/>
  <c r="B7614" i="2"/>
  <c r="S7613" i="2"/>
  <c r="M7613" i="2"/>
  <c r="L7613" i="2"/>
  <c r="K7613" i="2"/>
  <c r="G7613" i="2"/>
  <c r="E7613" i="2"/>
  <c r="B7613" i="2"/>
  <c r="S7612" i="2"/>
  <c r="M7612" i="2"/>
  <c r="L7612" i="2"/>
  <c r="K7612" i="2"/>
  <c r="G7612" i="2"/>
  <c r="E7612" i="2"/>
  <c r="B7612" i="2"/>
  <c r="S7611" i="2"/>
  <c r="M7611" i="2"/>
  <c r="L7611" i="2"/>
  <c r="K7611" i="2"/>
  <c r="G7611" i="2"/>
  <c r="E7611" i="2"/>
  <c r="B7611" i="2"/>
  <c r="S7610" i="2"/>
  <c r="M7610" i="2"/>
  <c r="L7610" i="2"/>
  <c r="K7610" i="2"/>
  <c r="G7610" i="2"/>
  <c r="E7610" i="2"/>
  <c r="B7610" i="2"/>
  <c r="S7609" i="2"/>
  <c r="M7609" i="2"/>
  <c r="L7609" i="2"/>
  <c r="K7609" i="2"/>
  <c r="G7609" i="2"/>
  <c r="E7609" i="2"/>
  <c r="B7609" i="2"/>
  <c r="S7608" i="2"/>
  <c r="M7608" i="2"/>
  <c r="L7608" i="2"/>
  <c r="K7608" i="2"/>
  <c r="G7608" i="2"/>
  <c r="E7608" i="2"/>
  <c r="B7608" i="2"/>
  <c r="S7607" i="2"/>
  <c r="M7607" i="2"/>
  <c r="L7607" i="2"/>
  <c r="K7607" i="2"/>
  <c r="G7607" i="2"/>
  <c r="E7607" i="2"/>
  <c r="B7607" i="2"/>
  <c r="S7606" i="2"/>
  <c r="M7606" i="2"/>
  <c r="L7606" i="2"/>
  <c r="K7606" i="2"/>
  <c r="G7606" i="2"/>
  <c r="E7606" i="2"/>
  <c r="B7606" i="2"/>
  <c r="S7605" i="2"/>
  <c r="M7605" i="2"/>
  <c r="L7605" i="2"/>
  <c r="K7605" i="2"/>
  <c r="G7605" i="2"/>
  <c r="E7605" i="2"/>
  <c r="B7605" i="2"/>
  <c r="S7604" i="2"/>
  <c r="M7604" i="2"/>
  <c r="L7604" i="2"/>
  <c r="K7604" i="2"/>
  <c r="G7604" i="2"/>
  <c r="E7604" i="2"/>
  <c r="B7604" i="2"/>
  <c r="S7603" i="2"/>
  <c r="M7603" i="2"/>
  <c r="L7603" i="2"/>
  <c r="K7603" i="2"/>
  <c r="G7603" i="2"/>
  <c r="E7603" i="2"/>
  <c r="B7603" i="2"/>
  <c r="S7602" i="2"/>
  <c r="M7602" i="2"/>
  <c r="L7602" i="2"/>
  <c r="K7602" i="2"/>
  <c r="G7602" i="2"/>
  <c r="E7602" i="2"/>
  <c r="B7602" i="2"/>
  <c r="S7601" i="2"/>
  <c r="M7601" i="2"/>
  <c r="L7601" i="2"/>
  <c r="K7601" i="2"/>
  <c r="G7601" i="2"/>
  <c r="E7601" i="2"/>
  <c r="B7601" i="2"/>
  <c r="S7600" i="2"/>
  <c r="M7600" i="2"/>
  <c r="L7600" i="2"/>
  <c r="K7600" i="2"/>
  <c r="G7600" i="2"/>
  <c r="E7600" i="2"/>
  <c r="B7600" i="2"/>
  <c r="S7599" i="2"/>
  <c r="M7599" i="2"/>
  <c r="L7599" i="2"/>
  <c r="K7599" i="2"/>
  <c r="G7599" i="2"/>
  <c r="E7599" i="2"/>
  <c r="B7599" i="2"/>
  <c r="S7598" i="2"/>
  <c r="M7598" i="2"/>
  <c r="L7598" i="2"/>
  <c r="K7598" i="2"/>
  <c r="G7598" i="2"/>
  <c r="E7598" i="2"/>
  <c r="B7598" i="2"/>
  <c r="S7597" i="2"/>
  <c r="M7597" i="2"/>
  <c r="L7597" i="2"/>
  <c r="K7597" i="2"/>
  <c r="G7597" i="2"/>
  <c r="E7597" i="2"/>
  <c r="B7597" i="2"/>
  <c r="S7596" i="2"/>
  <c r="M7596" i="2"/>
  <c r="L7596" i="2"/>
  <c r="K7596" i="2"/>
  <c r="G7596" i="2"/>
  <c r="E7596" i="2"/>
  <c r="B7596" i="2"/>
  <c r="S7595" i="2"/>
  <c r="M7595" i="2"/>
  <c r="L7595" i="2"/>
  <c r="K7595" i="2"/>
  <c r="G7595" i="2"/>
  <c r="E7595" i="2"/>
  <c r="B7595" i="2"/>
  <c r="S7594" i="2"/>
  <c r="M7594" i="2"/>
  <c r="L7594" i="2"/>
  <c r="K7594" i="2"/>
  <c r="G7594" i="2"/>
  <c r="E7594" i="2"/>
  <c r="B7594" i="2"/>
  <c r="S7593" i="2"/>
  <c r="M7593" i="2"/>
  <c r="L7593" i="2"/>
  <c r="K7593" i="2"/>
  <c r="G7593" i="2"/>
  <c r="E7593" i="2"/>
  <c r="B7593" i="2"/>
  <c r="S7592" i="2"/>
  <c r="M7592" i="2"/>
  <c r="L7592" i="2"/>
  <c r="K7592" i="2"/>
  <c r="G7592" i="2"/>
  <c r="E7592" i="2"/>
  <c r="B7592" i="2"/>
  <c r="S7591" i="2"/>
  <c r="M7591" i="2"/>
  <c r="L7591" i="2"/>
  <c r="K7591" i="2"/>
  <c r="G7591" i="2"/>
  <c r="E7591" i="2"/>
  <c r="B7591" i="2"/>
  <c r="S7590" i="2"/>
  <c r="M7590" i="2"/>
  <c r="L7590" i="2"/>
  <c r="K7590" i="2"/>
  <c r="G7590" i="2"/>
  <c r="E7590" i="2"/>
  <c r="B7590" i="2"/>
  <c r="S7589" i="2"/>
  <c r="M7589" i="2"/>
  <c r="L7589" i="2"/>
  <c r="K7589" i="2"/>
  <c r="G7589" i="2"/>
  <c r="E7589" i="2"/>
  <c r="B7589" i="2"/>
  <c r="S7588" i="2"/>
  <c r="M7588" i="2"/>
  <c r="L7588" i="2"/>
  <c r="K7588" i="2"/>
  <c r="G7588" i="2"/>
  <c r="E7588" i="2"/>
  <c r="B7588" i="2"/>
  <c r="S7587" i="2"/>
  <c r="M7587" i="2"/>
  <c r="L7587" i="2"/>
  <c r="K7587" i="2"/>
  <c r="G7587" i="2"/>
  <c r="E7587" i="2"/>
  <c r="B7587" i="2"/>
  <c r="S7586" i="2"/>
  <c r="M7586" i="2"/>
  <c r="L7586" i="2"/>
  <c r="K7586" i="2"/>
  <c r="G7586" i="2"/>
  <c r="E7586" i="2"/>
  <c r="B7586" i="2"/>
  <c r="S7585" i="2"/>
  <c r="M7585" i="2"/>
  <c r="L7585" i="2"/>
  <c r="K7585" i="2"/>
  <c r="G7585" i="2"/>
  <c r="E7585" i="2"/>
  <c r="B7585" i="2"/>
  <c r="S7584" i="2"/>
  <c r="M7584" i="2"/>
  <c r="L7584" i="2"/>
  <c r="K7584" i="2"/>
  <c r="G7584" i="2"/>
  <c r="E7584" i="2"/>
  <c r="B7584" i="2"/>
  <c r="S7583" i="2"/>
  <c r="M7583" i="2"/>
  <c r="L7583" i="2"/>
  <c r="K7583" i="2"/>
  <c r="G7583" i="2"/>
  <c r="E7583" i="2"/>
  <c r="B7583" i="2"/>
  <c r="S7582" i="2"/>
  <c r="M7582" i="2"/>
  <c r="L7582" i="2"/>
  <c r="K7582" i="2"/>
  <c r="G7582" i="2"/>
  <c r="E7582" i="2"/>
  <c r="B7582" i="2"/>
  <c r="S7581" i="2"/>
  <c r="M7581" i="2"/>
  <c r="L7581" i="2"/>
  <c r="K7581" i="2"/>
  <c r="G7581" i="2"/>
  <c r="E7581" i="2"/>
  <c r="B7581" i="2"/>
  <c r="S7580" i="2"/>
  <c r="M7580" i="2"/>
  <c r="L7580" i="2"/>
  <c r="K7580" i="2"/>
  <c r="G7580" i="2"/>
  <c r="E7580" i="2"/>
  <c r="B7580" i="2"/>
  <c r="S7579" i="2"/>
  <c r="M7579" i="2"/>
  <c r="L7579" i="2"/>
  <c r="K7579" i="2"/>
  <c r="G7579" i="2"/>
  <c r="E7579" i="2"/>
  <c r="B7579" i="2"/>
  <c r="S7578" i="2"/>
  <c r="M7578" i="2"/>
  <c r="L7578" i="2"/>
  <c r="K7578" i="2"/>
  <c r="G7578" i="2"/>
  <c r="E7578" i="2"/>
  <c r="B7578" i="2"/>
  <c r="S7577" i="2"/>
  <c r="M7577" i="2"/>
  <c r="L7577" i="2"/>
  <c r="K7577" i="2"/>
  <c r="G7577" i="2"/>
  <c r="E7577" i="2"/>
  <c r="B7577" i="2"/>
  <c r="S7576" i="2"/>
  <c r="M7576" i="2"/>
  <c r="L7576" i="2"/>
  <c r="K7576" i="2"/>
  <c r="G7576" i="2"/>
  <c r="E7576" i="2"/>
  <c r="B7576" i="2"/>
  <c r="S7575" i="2"/>
  <c r="M7575" i="2"/>
  <c r="L7575" i="2"/>
  <c r="K7575" i="2"/>
  <c r="G7575" i="2"/>
  <c r="E7575" i="2"/>
  <c r="B7575" i="2"/>
  <c r="S7574" i="2"/>
  <c r="M7574" i="2"/>
  <c r="L7574" i="2"/>
  <c r="K7574" i="2"/>
  <c r="G7574" i="2"/>
  <c r="E7574" i="2"/>
  <c r="B7574" i="2"/>
  <c r="S7573" i="2"/>
  <c r="M7573" i="2"/>
  <c r="L7573" i="2"/>
  <c r="K7573" i="2"/>
  <c r="G7573" i="2"/>
  <c r="E7573" i="2"/>
  <c r="B7573" i="2"/>
  <c r="S7572" i="2"/>
  <c r="M7572" i="2"/>
  <c r="L7572" i="2"/>
  <c r="K7572" i="2"/>
  <c r="G7572" i="2"/>
  <c r="E7572" i="2"/>
  <c r="B7572" i="2"/>
  <c r="S7571" i="2"/>
  <c r="M7571" i="2"/>
  <c r="L7571" i="2"/>
  <c r="K7571" i="2"/>
  <c r="G7571" i="2"/>
  <c r="E7571" i="2"/>
  <c r="B7571" i="2"/>
  <c r="S7570" i="2"/>
  <c r="M7570" i="2"/>
  <c r="L7570" i="2"/>
  <c r="K7570" i="2"/>
  <c r="G7570" i="2"/>
  <c r="E7570" i="2"/>
  <c r="B7570" i="2"/>
  <c r="S7569" i="2"/>
  <c r="M7569" i="2"/>
  <c r="L7569" i="2"/>
  <c r="K7569" i="2"/>
  <c r="G7569" i="2"/>
  <c r="E7569" i="2"/>
  <c r="B7569" i="2"/>
  <c r="S7568" i="2"/>
  <c r="M7568" i="2"/>
  <c r="L7568" i="2"/>
  <c r="K7568" i="2"/>
  <c r="G7568" i="2"/>
  <c r="E7568" i="2"/>
  <c r="B7568" i="2"/>
  <c r="S7567" i="2"/>
  <c r="M7567" i="2"/>
  <c r="L7567" i="2"/>
  <c r="K7567" i="2"/>
  <c r="G7567" i="2"/>
  <c r="E7567" i="2"/>
  <c r="B7567" i="2"/>
  <c r="S7565" i="2"/>
  <c r="M7565" i="2"/>
  <c r="L7565" i="2"/>
  <c r="K7565" i="2"/>
  <c r="G7565" i="2"/>
  <c r="E7565" i="2"/>
  <c r="B7565" i="2"/>
  <c r="S7564" i="2"/>
  <c r="M7564" i="2"/>
  <c r="L7564" i="2"/>
  <c r="K7564" i="2"/>
  <c r="G7564" i="2"/>
  <c r="E7564" i="2"/>
  <c r="B7564" i="2"/>
  <c r="S7563" i="2"/>
  <c r="M7563" i="2"/>
  <c r="L7563" i="2"/>
  <c r="K7563" i="2"/>
  <c r="G7563" i="2"/>
  <c r="E7563" i="2"/>
  <c r="B7563" i="2"/>
  <c r="S7562" i="2"/>
  <c r="M7562" i="2"/>
  <c r="L7562" i="2"/>
  <c r="K7562" i="2"/>
  <c r="G7562" i="2"/>
  <c r="E7562" i="2"/>
  <c r="B7562" i="2"/>
  <c r="S7561" i="2"/>
  <c r="M7561" i="2"/>
  <c r="L7561" i="2"/>
  <c r="K7561" i="2"/>
  <c r="G7561" i="2"/>
  <c r="E7561" i="2"/>
  <c r="B7561" i="2"/>
  <c r="S7560" i="2"/>
  <c r="M7560" i="2"/>
  <c r="L7560" i="2"/>
  <c r="K7560" i="2"/>
  <c r="G7560" i="2"/>
  <c r="E7560" i="2"/>
  <c r="B7560" i="2"/>
  <c r="S7559" i="2"/>
  <c r="M7559" i="2"/>
  <c r="L7559" i="2"/>
  <c r="K7559" i="2"/>
  <c r="G7559" i="2"/>
  <c r="E7559" i="2"/>
  <c r="B7559" i="2"/>
  <c r="S7558" i="2"/>
  <c r="M7558" i="2"/>
  <c r="L7558" i="2"/>
  <c r="K7558" i="2"/>
  <c r="G7558" i="2"/>
  <c r="E7558" i="2"/>
  <c r="B7558" i="2"/>
  <c r="S7557" i="2"/>
  <c r="M7557" i="2"/>
  <c r="L7557" i="2"/>
  <c r="K7557" i="2"/>
  <c r="G7557" i="2"/>
  <c r="E7557" i="2"/>
  <c r="B7557" i="2"/>
  <c r="S7556" i="2"/>
  <c r="M7556" i="2"/>
  <c r="L7556" i="2"/>
  <c r="K7556" i="2"/>
  <c r="G7556" i="2"/>
  <c r="E7556" i="2"/>
  <c r="B7556" i="2"/>
  <c r="S7555" i="2"/>
  <c r="M7555" i="2"/>
  <c r="L7555" i="2"/>
  <c r="K7555" i="2"/>
  <c r="G7555" i="2"/>
  <c r="E7555" i="2"/>
  <c r="B7555" i="2"/>
  <c r="S7554" i="2"/>
  <c r="M7554" i="2"/>
  <c r="L7554" i="2"/>
  <c r="K7554" i="2"/>
  <c r="G7554" i="2"/>
  <c r="E7554" i="2"/>
  <c r="B7554" i="2"/>
  <c r="S7553" i="2"/>
  <c r="M7553" i="2"/>
  <c r="L7553" i="2"/>
  <c r="K7553" i="2"/>
  <c r="G7553" i="2"/>
  <c r="E7553" i="2"/>
  <c r="B7553" i="2"/>
  <c r="S7552" i="2"/>
  <c r="M7552" i="2"/>
  <c r="L7552" i="2"/>
  <c r="K7552" i="2"/>
  <c r="G7552" i="2"/>
  <c r="E7552" i="2"/>
  <c r="B7552" i="2"/>
  <c r="S7551" i="2"/>
  <c r="M7551" i="2"/>
  <c r="L7551" i="2"/>
  <c r="K7551" i="2"/>
  <c r="G7551" i="2"/>
  <c r="E7551" i="2"/>
  <c r="B7551" i="2"/>
  <c r="S7550" i="2"/>
  <c r="M7550" i="2"/>
  <c r="L7550" i="2"/>
  <c r="K7550" i="2"/>
  <c r="G7550" i="2"/>
  <c r="E7550" i="2"/>
  <c r="B7550" i="2"/>
  <c r="S7549" i="2"/>
  <c r="M7549" i="2"/>
  <c r="L7549" i="2"/>
  <c r="K7549" i="2"/>
  <c r="G7549" i="2"/>
  <c r="E7549" i="2"/>
  <c r="B7549" i="2"/>
  <c r="S7548" i="2"/>
  <c r="M7548" i="2"/>
  <c r="L7548" i="2"/>
  <c r="K7548" i="2"/>
  <c r="G7548" i="2"/>
  <c r="E7548" i="2"/>
  <c r="B7548" i="2"/>
  <c r="S7547" i="2"/>
  <c r="M7547" i="2"/>
  <c r="L7547" i="2"/>
  <c r="K7547" i="2"/>
  <c r="G7547" i="2"/>
  <c r="E7547" i="2"/>
  <c r="B7547" i="2"/>
  <c r="S7546" i="2"/>
  <c r="M7546" i="2"/>
  <c r="L7546" i="2"/>
  <c r="K7546" i="2"/>
  <c r="G7546" i="2"/>
  <c r="E7546" i="2"/>
  <c r="B7546" i="2"/>
  <c r="S7545" i="2"/>
  <c r="M7545" i="2"/>
  <c r="L7545" i="2"/>
  <c r="K7545" i="2"/>
  <c r="G7545" i="2"/>
  <c r="E7545" i="2"/>
  <c r="B7545" i="2"/>
  <c r="S7544" i="2"/>
  <c r="M7544" i="2"/>
  <c r="L7544" i="2"/>
  <c r="K7544" i="2"/>
  <c r="G7544" i="2"/>
  <c r="E7544" i="2"/>
  <c r="B7544" i="2"/>
  <c r="S7543" i="2"/>
  <c r="M7543" i="2"/>
  <c r="L7543" i="2"/>
  <c r="K7543" i="2"/>
  <c r="G7543" i="2"/>
  <c r="E7543" i="2"/>
  <c r="B7543" i="2"/>
  <c r="S7542" i="2"/>
  <c r="M7542" i="2"/>
  <c r="L7542" i="2"/>
  <c r="K7542" i="2"/>
  <c r="G7542" i="2"/>
  <c r="E7542" i="2"/>
  <c r="B7542" i="2"/>
  <c r="S7541" i="2"/>
  <c r="M7541" i="2"/>
  <c r="L7541" i="2"/>
  <c r="K7541" i="2"/>
  <c r="G7541" i="2"/>
  <c r="E7541" i="2"/>
  <c r="B7541" i="2"/>
  <c r="S7540" i="2"/>
  <c r="M7540" i="2"/>
  <c r="L7540" i="2"/>
  <c r="K7540" i="2"/>
  <c r="G7540" i="2"/>
  <c r="E7540" i="2"/>
  <c r="B7540" i="2"/>
  <c r="S7539" i="2"/>
  <c r="M7539" i="2"/>
  <c r="L7539" i="2"/>
  <c r="K7539" i="2"/>
  <c r="G7539" i="2"/>
  <c r="E7539" i="2"/>
  <c r="B7539" i="2"/>
  <c r="S7538" i="2"/>
  <c r="M7538" i="2"/>
  <c r="L7538" i="2"/>
  <c r="K7538" i="2"/>
  <c r="G7538" i="2"/>
  <c r="E7538" i="2"/>
  <c r="B7538" i="2"/>
  <c r="S7537" i="2"/>
  <c r="M7537" i="2"/>
  <c r="L7537" i="2"/>
  <c r="K7537" i="2"/>
  <c r="G7537" i="2"/>
  <c r="E7537" i="2"/>
  <c r="B7537" i="2"/>
  <c r="S7536" i="2"/>
  <c r="M7536" i="2"/>
  <c r="L7536" i="2"/>
  <c r="K7536" i="2"/>
  <c r="G7536" i="2"/>
  <c r="E7536" i="2"/>
  <c r="B7536" i="2"/>
  <c r="S7535" i="2"/>
  <c r="M7535" i="2"/>
  <c r="L7535" i="2"/>
  <c r="K7535" i="2"/>
  <c r="G7535" i="2"/>
  <c r="E7535" i="2"/>
  <c r="B7535" i="2"/>
  <c r="S7534" i="2"/>
  <c r="M7534" i="2"/>
  <c r="L7534" i="2"/>
  <c r="K7534" i="2"/>
  <c r="G7534" i="2"/>
  <c r="E7534" i="2"/>
  <c r="B7534" i="2"/>
  <c r="S7533" i="2"/>
  <c r="M7533" i="2"/>
  <c r="L7533" i="2"/>
  <c r="K7533" i="2"/>
  <c r="G7533" i="2"/>
  <c r="E7533" i="2"/>
  <c r="B7533" i="2"/>
  <c r="S7532" i="2"/>
  <c r="M7532" i="2"/>
  <c r="L7532" i="2"/>
  <c r="K7532" i="2"/>
  <c r="G7532" i="2"/>
  <c r="E7532" i="2"/>
  <c r="B7532" i="2"/>
  <c r="S7531" i="2"/>
  <c r="M7531" i="2"/>
  <c r="L7531" i="2"/>
  <c r="K7531" i="2"/>
  <c r="G7531" i="2"/>
  <c r="E7531" i="2"/>
  <c r="B7531" i="2"/>
  <c r="S7530" i="2"/>
  <c r="M7530" i="2"/>
  <c r="L7530" i="2"/>
  <c r="K7530" i="2"/>
  <c r="G7530" i="2"/>
  <c r="E7530" i="2"/>
  <c r="B7530" i="2"/>
  <c r="S7529" i="2"/>
  <c r="M7529" i="2"/>
  <c r="L7529" i="2"/>
  <c r="K7529" i="2"/>
  <c r="G7529" i="2"/>
  <c r="E7529" i="2"/>
  <c r="B7529" i="2"/>
  <c r="S7528" i="2"/>
  <c r="M7528" i="2"/>
  <c r="L7528" i="2"/>
  <c r="K7528" i="2"/>
  <c r="G7528" i="2"/>
  <c r="E7528" i="2"/>
  <c r="B7528" i="2"/>
  <c r="S7527" i="2"/>
  <c r="M7527" i="2"/>
  <c r="L7527" i="2"/>
  <c r="K7527" i="2"/>
  <c r="G7527" i="2"/>
  <c r="E7527" i="2"/>
  <c r="B7527" i="2"/>
  <c r="S7526" i="2"/>
  <c r="M7526" i="2"/>
  <c r="L7526" i="2"/>
  <c r="K7526" i="2"/>
  <c r="G7526" i="2"/>
  <c r="E7526" i="2"/>
  <c r="B7526" i="2"/>
  <c r="S7525" i="2"/>
  <c r="M7525" i="2"/>
  <c r="L7525" i="2"/>
  <c r="K7525" i="2"/>
  <c r="G7525" i="2"/>
  <c r="E7525" i="2"/>
  <c r="B7525" i="2"/>
  <c r="S7524" i="2"/>
  <c r="M7524" i="2"/>
  <c r="L7524" i="2"/>
  <c r="K7524" i="2"/>
  <c r="G7524" i="2"/>
  <c r="E7524" i="2"/>
  <c r="B7524" i="2"/>
  <c r="S7523" i="2"/>
  <c r="M7523" i="2"/>
  <c r="L7523" i="2"/>
  <c r="K7523" i="2"/>
  <c r="G7523" i="2"/>
  <c r="E7523" i="2"/>
  <c r="B7523" i="2"/>
  <c r="S7522" i="2"/>
  <c r="M7522" i="2"/>
  <c r="L7522" i="2"/>
  <c r="K7522" i="2"/>
  <c r="G7522" i="2"/>
  <c r="E7522" i="2"/>
  <c r="B7522" i="2"/>
  <c r="S7521" i="2"/>
  <c r="M7521" i="2"/>
  <c r="L7521" i="2"/>
  <c r="K7521" i="2"/>
  <c r="G7521" i="2"/>
  <c r="E7521" i="2"/>
  <c r="B7521" i="2"/>
  <c r="S7520" i="2"/>
  <c r="M7520" i="2"/>
  <c r="L7520" i="2"/>
  <c r="K7520" i="2"/>
  <c r="G7520" i="2"/>
  <c r="E7520" i="2"/>
  <c r="B7520" i="2"/>
  <c r="S7519" i="2"/>
  <c r="M7519" i="2"/>
  <c r="L7519" i="2"/>
  <c r="K7519" i="2"/>
  <c r="G7519" i="2"/>
  <c r="E7519" i="2"/>
  <c r="B7519" i="2"/>
  <c r="S7518" i="2"/>
  <c r="M7518" i="2"/>
  <c r="L7518" i="2"/>
  <c r="K7518" i="2"/>
  <c r="G7518" i="2"/>
  <c r="E7518" i="2"/>
  <c r="B7518" i="2"/>
  <c r="S7517" i="2"/>
  <c r="M7517" i="2"/>
  <c r="L7517" i="2"/>
  <c r="K7517" i="2"/>
  <c r="G7517" i="2"/>
  <c r="E7517" i="2"/>
  <c r="B7517" i="2"/>
  <c r="S7516" i="2"/>
  <c r="M7516" i="2"/>
  <c r="L7516" i="2"/>
  <c r="K7516" i="2"/>
  <c r="G7516" i="2"/>
  <c r="E7516" i="2"/>
  <c r="B7516" i="2"/>
  <c r="S7515" i="2"/>
  <c r="M7515" i="2"/>
  <c r="L7515" i="2"/>
  <c r="K7515" i="2"/>
  <c r="G7515" i="2"/>
  <c r="E7515" i="2"/>
  <c r="B7515" i="2"/>
  <c r="S7514" i="2"/>
  <c r="M7514" i="2"/>
  <c r="L7514" i="2"/>
  <c r="K7514" i="2"/>
  <c r="G7514" i="2"/>
  <c r="E7514" i="2"/>
  <c r="B7514" i="2"/>
  <c r="S7513" i="2"/>
  <c r="M7513" i="2"/>
  <c r="L7513" i="2"/>
  <c r="K7513" i="2"/>
  <c r="G7513" i="2"/>
  <c r="E7513" i="2"/>
  <c r="B7513" i="2"/>
  <c r="S7512" i="2"/>
  <c r="M7512" i="2"/>
  <c r="L7512" i="2"/>
  <c r="K7512" i="2"/>
  <c r="G7512" i="2"/>
  <c r="E7512" i="2"/>
  <c r="B7512" i="2"/>
  <c r="S7511" i="2"/>
  <c r="M7511" i="2"/>
  <c r="L7511" i="2"/>
  <c r="K7511" i="2"/>
  <c r="G7511" i="2"/>
  <c r="E7511" i="2"/>
  <c r="B7511" i="2"/>
  <c r="S7510" i="2"/>
  <c r="M7510" i="2"/>
  <c r="L7510" i="2"/>
  <c r="K7510" i="2"/>
  <c r="G7510" i="2"/>
  <c r="E7510" i="2"/>
  <c r="B7510" i="2"/>
  <c r="S7509" i="2"/>
  <c r="M7509" i="2"/>
  <c r="L7509" i="2"/>
  <c r="K7509" i="2"/>
  <c r="G7509" i="2"/>
  <c r="E7509" i="2"/>
  <c r="B7509" i="2"/>
  <c r="S7508" i="2"/>
  <c r="M7508" i="2"/>
  <c r="L7508" i="2"/>
  <c r="K7508" i="2"/>
  <c r="G7508" i="2"/>
  <c r="E7508" i="2"/>
  <c r="B7508" i="2"/>
  <c r="S7507" i="2"/>
  <c r="M7507" i="2"/>
  <c r="L7507" i="2"/>
  <c r="K7507" i="2"/>
  <c r="G7507" i="2"/>
  <c r="E7507" i="2"/>
  <c r="B7507" i="2"/>
  <c r="S7506" i="2"/>
  <c r="M7506" i="2"/>
  <c r="L7506" i="2"/>
  <c r="K7506" i="2"/>
  <c r="G7506" i="2"/>
  <c r="E7506" i="2"/>
  <c r="B7506" i="2"/>
  <c r="S7505" i="2"/>
  <c r="M7505" i="2"/>
  <c r="L7505" i="2"/>
  <c r="K7505" i="2"/>
  <c r="G7505" i="2"/>
  <c r="E7505" i="2"/>
  <c r="B7505" i="2"/>
  <c r="S7504" i="2"/>
  <c r="M7504" i="2"/>
  <c r="L7504" i="2"/>
  <c r="K7504" i="2"/>
  <c r="G7504" i="2"/>
  <c r="E7504" i="2"/>
  <c r="B7504" i="2"/>
  <c r="S7503" i="2"/>
  <c r="M7503" i="2"/>
  <c r="L7503" i="2"/>
  <c r="K7503" i="2"/>
  <c r="G7503" i="2"/>
  <c r="E7503" i="2"/>
  <c r="B7503" i="2"/>
  <c r="S7502" i="2"/>
  <c r="M7502" i="2"/>
  <c r="L7502" i="2"/>
  <c r="K7502" i="2"/>
  <c r="G7502" i="2"/>
  <c r="E7502" i="2"/>
  <c r="B7502" i="2"/>
  <c r="S7501" i="2"/>
  <c r="M7501" i="2"/>
  <c r="L7501" i="2"/>
  <c r="K7501" i="2"/>
  <c r="G7501" i="2"/>
  <c r="E7501" i="2"/>
  <c r="B7501" i="2"/>
  <c r="S7500" i="2"/>
  <c r="M7500" i="2"/>
  <c r="L7500" i="2"/>
  <c r="K7500" i="2"/>
  <c r="G7500" i="2"/>
  <c r="E7500" i="2"/>
  <c r="B7500" i="2"/>
  <c r="S7499" i="2"/>
  <c r="M7499" i="2"/>
  <c r="L7499" i="2"/>
  <c r="K7499" i="2"/>
  <c r="G7499" i="2"/>
  <c r="E7499" i="2"/>
  <c r="B7499" i="2"/>
  <c r="S7498" i="2"/>
  <c r="M7498" i="2"/>
  <c r="L7498" i="2"/>
  <c r="K7498" i="2"/>
  <c r="G7498" i="2"/>
  <c r="E7498" i="2"/>
  <c r="B7498" i="2"/>
  <c r="S7497" i="2"/>
  <c r="M7497" i="2"/>
  <c r="L7497" i="2"/>
  <c r="K7497" i="2"/>
  <c r="G7497" i="2"/>
  <c r="E7497" i="2"/>
  <c r="B7497" i="2"/>
  <c r="S7496" i="2"/>
  <c r="M7496" i="2"/>
  <c r="L7496" i="2"/>
  <c r="K7496" i="2"/>
  <c r="G7496" i="2"/>
  <c r="E7496" i="2"/>
  <c r="B7496" i="2"/>
  <c r="S7495" i="2"/>
  <c r="M7495" i="2"/>
  <c r="L7495" i="2"/>
  <c r="K7495" i="2"/>
  <c r="G7495" i="2"/>
  <c r="E7495" i="2"/>
  <c r="B7495" i="2"/>
  <c r="S7494" i="2"/>
  <c r="M7494" i="2"/>
  <c r="L7494" i="2"/>
  <c r="K7494" i="2"/>
  <c r="G7494" i="2"/>
  <c r="E7494" i="2"/>
  <c r="B7494" i="2"/>
  <c r="S7493" i="2"/>
  <c r="M7493" i="2"/>
  <c r="L7493" i="2"/>
  <c r="K7493" i="2"/>
  <c r="G7493" i="2"/>
  <c r="E7493" i="2"/>
  <c r="B7493" i="2"/>
  <c r="S7492" i="2"/>
  <c r="M7492" i="2"/>
  <c r="L7492" i="2"/>
  <c r="K7492" i="2"/>
  <c r="G7492" i="2"/>
  <c r="E7492" i="2"/>
  <c r="B7492" i="2"/>
  <c r="S7491" i="2"/>
  <c r="M7491" i="2"/>
  <c r="L7491" i="2"/>
  <c r="K7491" i="2"/>
  <c r="G7491" i="2"/>
  <c r="E7491" i="2"/>
  <c r="B7491" i="2"/>
  <c r="S7490" i="2"/>
  <c r="M7490" i="2"/>
  <c r="L7490" i="2"/>
  <c r="K7490" i="2"/>
  <c r="G7490" i="2"/>
  <c r="E7490" i="2"/>
  <c r="B7490" i="2"/>
  <c r="S7489" i="2"/>
  <c r="M7489" i="2"/>
  <c r="L7489" i="2"/>
  <c r="K7489" i="2"/>
  <c r="G7489" i="2"/>
  <c r="E7489" i="2"/>
  <c r="B7489" i="2"/>
  <c r="S7488" i="2"/>
  <c r="M7488" i="2"/>
  <c r="L7488" i="2"/>
  <c r="K7488" i="2"/>
  <c r="G7488" i="2"/>
  <c r="E7488" i="2"/>
  <c r="B7488" i="2"/>
  <c r="S7487" i="2"/>
  <c r="M7487" i="2"/>
  <c r="L7487" i="2"/>
  <c r="K7487" i="2"/>
  <c r="G7487" i="2"/>
  <c r="E7487" i="2"/>
  <c r="B7487" i="2"/>
  <c r="S7486" i="2"/>
  <c r="M7486" i="2"/>
  <c r="L7486" i="2"/>
  <c r="K7486" i="2"/>
  <c r="G7486" i="2"/>
  <c r="E7486" i="2"/>
  <c r="B7486" i="2"/>
  <c r="S7485" i="2"/>
  <c r="M7485" i="2"/>
  <c r="L7485" i="2"/>
  <c r="K7485" i="2"/>
  <c r="G7485" i="2"/>
  <c r="E7485" i="2"/>
  <c r="B7485" i="2"/>
  <c r="S7484" i="2"/>
  <c r="M7484" i="2"/>
  <c r="L7484" i="2"/>
  <c r="K7484" i="2"/>
  <c r="G7484" i="2"/>
  <c r="E7484" i="2"/>
  <c r="B7484" i="2"/>
  <c r="S7483" i="2"/>
  <c r="M7483" i="2"/>
  <c r="L7483" i="2"/>
  <c r="K7483" i="2"/>
  <c r="G7483" i="2"/>
  <c r="E7483" i="2"/>
  <c r="B7483" i="2"/>
  <c r="S7482" i="2"/>
  <c r="M7482" i="2"/>
  <c r="L7482" i="2"/>
  <c r="K7482" i="2"/>
  <c r="G7482" i="2"/>
  <c r="E7482" i="2"/>
  <c r="B7482" i="2"/>
  <c r="S7481" i="2"/>
  <c r="M7481" i="2"/>
  <c r="L7481" i="2"/>
  <c r="K7481" i="2"/>
  <c r="G7481" i="2"/>
  <c r="E7481" i="2"/>
  <c r="B7481" i="2"/>
  <c r="S7480" i="2"/>
  <c r="M7480" i="2"/>
  <c r="L7480" i="2"/>
  <c r="K7480" i="2"/>
  <c r="G7480" i="2"/>
  <c r="E7480" i="2"/>
  <c r="B7480" i="2"/>
  <c r="S7479" i="2"/>
  <c r="M7479" i="2"/>
  <c r="L7479" i="2"/>
  <c r="K7479" i="2"/>
  <c r="G7479" i="2"/>
  <c r="E7479" i="2"/>
  <c r="B7479" i="2"/>
  <c r="S7478" i="2"/>
  <c r="M7478" i="2"/>
  <c r="L7478" i="2"/>
  <c r="K7478" i="2"/>
  <c r="G7478" i="2"/>
  <c r="E7478" i="2"/>
  <c r="B7478" i="2"/>
  <c r="S7477" i="2"/>
  <c r="M7477" i="2"/>
  <c r="L7477" i="2"/>
  <c r="K7477" i="2"/>
  <c r="G7477" i="2"/>
  <c r="E7477" i="2"/>
  <c r="B7477" i="2"/>
  <c r="S7476" i="2"/>
  <c r="M7476" i="2"/>
  <c r="L7476" i="2"/>
  <c r="K7476" i="2"/>
  <c r="G7476" i="2"/>
  <c r="E7476" i="2"/>
  <c r="B7476" i="2"/>
  <c r="S7475" i="2"/>
  <c r="M7475" i="2"/>
  <c r="L7475" i="2"/>
  <c r="K7475" i="2"/>
  <c r="G7475" i="2"/>
  <c r="E7475" i="2"/>
  <c r="B7475" i="2"/>
  <c r="S7474" i="2"/>
  <c r="M7474" i="2"/>
  <c r="L7474" i="2"/>
  <c r="K7474" i="2"/>
  <c r="G7474" i="2"/>
  <c r="E7474" i="2"/>
  <c r="B7474" i="2"/>
  <c r="S7473" i="2"/>
  <c r="M7473" i="2"/>
  <c r="L7473" i="2"/>
  <c r="K7473" i="2"/>
  <c r="G7473" i="2"/>
  <c r="E7473" i="2"/>
  <c r="B7473" i="2"/>
  <c r="S7472" i="2"/>
  <c r="M7472" i="2"/>
  <c r="L7472" i="2"/>
  <c r="K7472" i="2"/>
  <c r="G7472" i="2"/>
  <c r="E7472" i="2"/>
  <c r="B7472" i="2"/>
  <c r="S7471" i="2"/>
  <c r="M7471" i="2"/>
  <c r="L7471" i="2"/>
  <c r="K7471" i="2"/>
  <c r="G7471" i="2"/>
  <c r="E7471" i="2"/>
  <c r="B7471" i="2"/>
  <c r="S7470" i="2"/>
  <c r="M7470" i="2"/>
  <c r="L7470" i="2"/>
  <c r="K7470" i="2"/>
  <c r="G7470" i="2"/>
  <c r="E7470" i="2"/>
  <c r="B7470" i="2"/>
  <c r="S7469" i="2"/>
  <c r="M7469" i="2"/>
  <c r="L7469" i="2"/>
  <c r="K7469" i="2"/>
  <c r="G7469" i="2"/>
  <c r="E7469" i="2"/>
  <c r="B7469" i="2"/>
  <c r="S7468" i="2"/>
  <c r="M7468" i="2"/>
  <c r="L7468" i="2"/>
  <c r="K7468" i="2"/>
  <c r="G7468" i="2"/>
  <c r="E7468" i="2"/>
  <c r="B7468" i="2"/>
  <c r="S7467" i="2"/>
  <c r="M7467" i="2"/>
  <c r="L7467" i="2"/>
  <c r="K7467" i="2"/>
  <c r="G7467" i="2"/>
  <c r="E7467" i="2"/>
  <c r="B7467" i="2"/>
  <c r="S7466" i="2"/>
  <c r="M7466" i="2"/>
  <c r="L7466" i="2"/>
  <c r="K7466" i="2"/>
  <c r="G7466" i="2"/>
  <c r="E7466" i="2"/>
  <c r="B7466" i="2"/>
  <c r="S7465" i="2"/>
  <c r="M7465" i="2"/>
  <c r="L7465" i="2"/>
  <c r="K7465" i="2"/>
  <c r="G7465" i="2"/>
  <c r="E7465" i="2"/>
  <c r="B7465" i="2"/>
  <c r="S7464" i="2"/>
  <c r="M7464" i="2"/>
  <c r="L7464" i="2"/>
  <c r="K7464" i="2"/>
  <c r="G7464" i="2"/>
  <c r="E7464" i="2"/>
  <c r="B7464" i="2"/>
  <c r="S7463" i="2"/>
  <c r="M7463" i="2"/>
  <c r="L7463" i="2"/>
  <c r="K7463" i="2"/>
  <c r="G7463" i="2"/>
  <c r="E7463" i="2"/>
  <c r="B7463" i="2"/>
  <c r="S7462" i="2"/>
  <c r="M7462" i="2"/>
  <c r="L7462" i="2"/>
  <c r="K7462" i="2"/>
  <c r="G7462" i="2"/>
  <c r="E7462" i="2"/>
  <c r="B7462" i="2"/>
  <c r="S7461" i="2"/>
  <c r="M7461" i="2"/>
  <c r="L7461" i="2"/>
  <c r="K7461" i="2"/>
  <c r="G7461" i="2"/>
  <c r="E7461" i="2"/>
  <c r="B7461" i="2"/>
  <c r="S7460" i="2"/>
  <c r="M7460" i="2"/>
  <c r="L7460" i="2"/>
  <c r="K7460" i="2"/>
  <c r="G7460" i="2"/>
  <c r="E7460" i="2"/>
  <c r="B7460" i="2"/>
  <c r="S7459" i="2"/>
  <c r="M7459" i="2"/>
  <c r="L7459" i="2"/>
  <c r="K7459" i="2"/>
  <c r="G7459" i="2"/>
  <c r="E7459" i="2"/>
  <c r="B7459" i="2"/>
  <c r="S7458" i="2"/>
  <c r="M7458" i="2"/>
  <c r="L7458" i="2"/>
  <c r="K7458" i="2"/>
  <c r="G7458" i="2"/>
  <c r="E7458" i="2"/>
  <c r="B7458" i="2"/>
  <c r="S7457" i="2"/>
  <c r="M7457" i="2"/>
  <c r="L7457" i="2"/>
  <c r="K7457" i="2"/>
  <c r="G7457" i="2"/>
  <c r="E7457" i="2"/>
  <c r="B7457" i="2"/>
  <c r="S7456" i="2"/>
  <c r="M7456" i="2"/>
  <c r="L7456" i="2"/>
  <c r="K7456" i="2"/>
  <c r="G7456" i="2"/>
  <c r="E7456" i="2"/>
  <c r="B7456" i="2"/>
  <c r="S7455" i="2"/>
  <c r="M7455" i="2"/>
  <c r="L7455" i="2"/>
  <c r="K7455" i="2"/>
  <c r="G7455" i="2"/>
  <c r="E7455" i="2"/>
  <c r="B7455" i="2"/>
  <c r="S7454" i="2"/>
  <c r="M7454" i="2"/>
  <c r="L7454" i="2"/>
  <c r="K7454" i="2"/>
  <c r="G7454" i="2"/>
  <c r="E7454" i="2"/>
  <c r="B7454" i="2"/>
  <c r="S7453" i="2"/>
  <c r="M7453" i="2"/>
  <c r="L7453" i="2"/>
  <c r="K7453" i="2"/>
  <c r="G7453" i="2"/>
  <c r="E7453" i="2"/>
  <c r="B7453" i="2"/>
  <c r="S7452" i="2"/>
  <c r="M7452" i="2"/>
  <c r="L7452" i="2"/>
  <c r="K7452" i="2"/>
  <c r="G7452" i="2"/>
  <c r="E7452" i="2"/>
  <c r="B7452" i="2"/>
  <c r="S7451" i="2"/>
  <c r="M7451" i="2"/>
  <c r="L7451" i="2"/>
  <c r="K7451" i="2"/>
  <c r="G7451" i="2"/>
  <c r="E7451" i="2"/>
  <c r="B7451" i="2"/>
  <c r="S7450" i="2"/>
  <c r="M7450" i="2"/>
  <c r="L7450" i="2"/>
  <c r="K7450" i="2"/>
  <c r="G7450" i="2"/>
  <c r="E7450" i="2"/>
  <c r="B7450" i="2"/>
  <c r="S7449" i="2"/>
  <c r="M7449" i="2"/>
  <c r="L7449" i="2"/>
  <c r="K7449" i="2"/>
  <c r="G7449" i="2"/>
  <c r="E7449" i="2"/>
  <c r="B7449" i="2"/>
  <c r="S7448" i="2"/>
  <c r="M7448" i="2"/>
  <c r="L7448" i="2"/>
  <c r="K7448" i="2"/>
  <c r="G7448" i="2"/>
  <c r="E7448" i="2"/>
  <c r="B7448" i="2"/>
  <c r="S7447" i="2"/>
  <c r="M7447" i="2"/>
  <c r="L7447" i="2"/>
  <c r="K7447" i="2"/>
  <c r="G7447" i="2"/>
  <c r="E7447" i="2"/>
  <c r="B7447" i="2"/>
  <c r="S7446" i="2"/>
  <c r="M7446" i="2"/>
  <c r="L7446" i="2"/>
  <c r="K7446" i="2"/>
  <c r="G7446" i="2"/>
  <c r="E7446" i="2"/>
  <c r="B7446" i="2"/>
  <c r="S7445" i="2"/>
  <c r="M7445" i="2"/>
  <c r="L7445" i="2"/>
  <c r="K7445" i="2"/>
  <c r="G7445" i="2"/>
  <c r="E7445" i="2"/>
  <c r="B7445" i="2"/>
  <c r="S7444" i="2"/>
  <c r="M7444" i="2"/>
  <c r="L7444" i="2"/>
  <c r="K7444" i="2"/>
  <c r="G7444" i="2"/>
  <c r="E7444" i="2"/>
  <c r="B7444" i="2"/>
  <c r="S7443" i="2"/>
  <c r="M7443" i="2"/>
  <c r="L7443" i="2"/>
  <c r="K7443" i="2"/>
  <c r="G7443" i="2"/>
  <c r="E7443" i="2"/>
  <c r="B7443" i="2"/>
  <c r="S7442" i="2"/>
  <c r="M7442" i="2"/>
  <c r="L7442" i="2"/>
  <c r="K7442" i="2"/>
  <c r="G7442" i="2"/>
  <c r="E7442" i="2"/>
  <c r="B7442" i="2"/>
  <c r="S7441" i="2"/>
  <c r="M7441" i="2"/>
  <c r="L7441" i="2"/>
  <c r="K7441" i="2"/>
  <c r="G7441" i="2"/>
  <c r="E7441" i="2"/>
  <c r="B7441" i="2"/>
  <c r="S7440" i="2"/>
  <c r="M7440" i="2"/>
  <c r="L7440" i="2"/>
  <c r="K7440" i="2"/>
  <c r="G7440" i="2"/>
  <c r="E7440" i="2"/>
  <c r="B7440" i="2"/>
  <c r="S7439" i="2"/>
  <c r="M7439" i="2"/>
  <c r="L7439" i="2"/>
  <c r="K7439" i="2"/>
  <c r="G7439" i="2"/>
  <c r="E7439" i="2"/>
  <c r="B7439" i="2"/>
  <c r="S7438" i="2"/>
  <c r="M7438" i="2"/>
  <c r="L7438" i="2"/>
  <c r="K7438" i="2"/>
  <c r="G7438" i="2"/>
  <c r="E7438" i="2"/>
  <c r="B7438" i="2"/>
  <c r="S7437" i="2"/>
  <c r="M7437" i="2"/>
  <c r="L7437" i="2"/>
  <c r="K7437" i="2"/>
  <c r="G7437" i="2"/>
  <c r="E7437" i="2"/>
  <c r="B7437" i="2"/>
  <c r="S7436" i="2"/>
  <c r="M7436" i="2"/>
  <c r="L7436" i="2"/>
  <c r="K7436" i="2"/>
  <c r="G7436" i="2"/>
  <c r="E7436" i="2"/>
  <c r="B7436" i="2"/>
  <c r="S7435" i="2"/>
  <c r="M7435" i="2"/>
  <c r="L7435" i="2"/>
  <c r="K7435" i="2"/>
  <c r="G7435" i="2"/>
  <c r="E7435" i="2"/>
  <c r="B7435" i="2"/>
  <c r="S7434" i="2"/>
  <c r="M7434" i="2"/>
  <c r="L7434" i="2"/>
  <c r="K7434" i="2"/>
  <c r="G7434" i="2"/>
  <c r="E7434" i="2"/>
  <c r="B7434" i="2"/>
  <c r="S7433" i="2"/>
  <c r="M7433" i="2"/>
  <c r="L7433" i="2"/>
  <c r="K7433" i="2"/>
  <c r="G7433" i="2"/>
  <c r="E7433" i="2"/>
  <c r="B7433" i="2"/>
  <c r="S7432" i="2"/>
  <c r="M7432" i="2"/>
  <c r="L7432" i="2"/>
  <c r="K7432" i="2"/>
  <c r="G7432" i="2"/>
  <c r="E7432" i="2"/>
  <c r="B7432" i="2"/>
  <c r="S7431" i="2"/>
  <c r="M7431" i="2"/>
  <c r="L7431" i="2"/>
  <c r="K7431" i="2"/>
  <c r="G7431" i="2"/>
  <c r="E7431" i="2"/>
  <c r="B7431" i="2"/>
  <c r="S7430" i="2"/>
  <c r="M7430" i="2"/>
  <c r="L7430" i="2"/>
  <c r="K7430" i="2"/>
  <c r="G7430" i="2"/>
  <c r="E7430" i="2"/>
  <c r="B7430" i="2"/>
  <c r="S7429" i="2"/>
  <c r="M7429" i="2"/>
  <c r="L7429" i="2"/>
  <c r="K7429" i="2"/>
  <c r="G7429" i="2"/>
  <c r="E7429" i="2"/>
  <c r="B7429" i="2"/>
  <c r="S7428" i="2"/>
  <c r="M7428" i="2"/>
  <c r="L7428" i="2"/>
  <c r="K7428" i="2"/>
  <c r="G7428" i="2"/>
  <c r="E7428" i="2"/>
  <c r="B7428" i="2"/>
  <c r="S7427" i="2"/>
  <c r="M7427" i="2"/>
  <c r="L7427" i="2"/>
  <c r="K7427" i="2"/>
  <c r="G7427" i="2"/>
  <c r="E7427" i="2"/>
  <c r="B7427" i="2"/>
  <c r="S7426" i="2"/>
  <c r="M7426" i="2"/>
  <c r="L7426" i="2"/>
  <c r="K7426" i="2"/>
  <c r="G7426" i="2"/>
  <c r="E7426" i="2"/>
  <c r="B7426" i="2"/>
  <c r="S7425" i="2"/>
  <c r="M7425" i="2"/>
  <c r="L7425" i="2"/>
  <c r="K7425" i="2"/>
  <c r="G7425" i="2"/>
  <c r="E7425" i="2"/>
  <c r="B7425" i="2"/>
  <c r="S7424" i="2"/>
  <c r="M7424" i="2"/>
  <c r="L7424" i="2"/>
  <c r="K7424" i="2"/>
  <c r="G7424" i="2"/>
  <c r="E7424" i="2"/>
  <c r="B7424" i="2"/>
  <c r="S7423" i="2"/>
  <c r="M7423" i="2"/>
  <c r="L7423" i="2"/>
  <c r="K7423" i="2"/>
  <c r="G7423" i="2"/>
  <c r="E7423" i="2"/>
  <c r="B7423" i="2"/>
  <c r="S7422" i="2"/>
  <c r="M7422" i="2"/>
  <c r="L7422" i="2"/>
  <c r="K7422" i="2"/>
  <c r="G7422" i="2"/>
  <c r="E7422" i="2"/>
  <c r="B7422" i="2"/>
  <c r="S7421" i="2"/>
  <c r="M7421" i="2"/>
  <c r="L7421" i="2"/>
  <c r="K7421" i="2"/>
  <c r="G7421" i="2"/>
  <c r="E7421" i="2"/>
  <c r="B7421" i="2"/>
  <c r="S7420" i="2"/>
  <c r="M7420" i="2"/>
  <c r="L7420" i="2"/>
  <c r="K7420" i="2"/>
  <c r="G7420" i="2"/>
  <c r="E7420" i="2"/>
  <c r="B7420" i="2"/>
  <c r="S7419" i="2"/>
  <c r="M7419" i="2"/>
  <c r="L7419" i="2"/>
  <c r="K7419" i="2"/>
  <c r="G7419" i="2"/>
  <c r="E7419" i="2"/>
  <c r="B7419" i="2"/>
  <c r="S7418" i="2"/>
  <c r="M7418" i="2"/>
  <c r="L7418" i="2"/>
  <c r="K7418" i="2"/>
  <c r="G7418" i="2"/>
  <c r="E7418" i="2"/>
  <c r="B7418" i="2"/>
  <c r="S7417" i="2"/>
  <c r="M7417" i="2"/>
  <c r="L7417" i="2"/>
  <c r="K7417" i="2"/>
  <c r="G7417" i="2"/>
  <c r="E7417" i="2"/>
  <c r="B7417" i="2"/>
  <c r="S7416" i="2"/>
  <c r="M7416" i="2"/>
  <c r="L7416" i="2"/>
  <c r="K7416" i="2"/>
  <c r="G7416" i="2"/>
  <c r="E7416" i="2"/>
  <c r="B7416" i="2"/>
  <c r="S7415" i="2"/>
  <c r="M7415" i="2"/>
  <c r="L7415" i="2"/>
  <c r="K7415" i="2"/>
  <c r="G7415" i="2"/>
  <c r="E7415" i="2"/>
  <c r="B7415" i="2"/>
  <c r="S7414" i="2"/>
  <c r="M7414" i="2"/>
  <c r="L7414" i="2"/>
  <c r="K7414" i="2"/>
  <c r="G7414" i="2"/>
  <c r="E7414" i="2"/>
  <c r="B7414" i="2"/>
  <c r="S7413" i="2"/>
  <c r="M7413" i="2"/>
  <c r="L7413" i="2"/>
  <c r="K7413" i="2"/>
  <c r="G7413" i="2"/>
  <c r="E7413" i="2"/>
  <c r="B7413" i="2"/>
  <c r="S7412" i="2"/>
  <c r="M7412" i="2"/>
  <c r="L7412" i="2"/>
  <c r="K7412" i="2"/>
  <c r="G7412" i="2"/>
  <c r="E7412" i="2"/>
  <c r="B7412" i="2"/>
  <c r="S7411" i="2"/>
  <c r="M7411" i="2"/>
  <c r="L7411" i="2"/>
  <c r="K7411" i="2"/>
  <c r="G7411" i="2"/>
  <c r="E7411" i="2"/>
  <c r="B7411" i="2"/>
  <c r="S7410" i="2"/>
  <c r="M7410" i="2"/>
  <c r="L7410" i="2"/>
  <c r="K7410" i="2"/>
  <c r="G7410" i="2"/>
  <c r="E7410" i="2"/>
  <c r="B7410" i="2"/>
  <c r="S7409" i="2"/>
  <c r="M7409" i="2"/>
  <c r="L7409" i="2"/>
  <c r="K7409" i="2"/>
  <c r="G7409" i="2"/>
  <c r="E7409" i="2"/>
  <c r="B7409" i="2"/>
  <c r="S7408" i="2"/>
  <c r="M7408" i="2"/>
  <c r="L7408" i="2"/>
  <c r="K7408" i="2"/>
  <c r="G7408" i="2"/>
  <c r="E7408" i="2"/>
  <c r="B7408" i="2"/>
  <c r="S7407" i="2"/>
  <c r="M7407" i="2"/>
  <c r="L7407" i="2"/>
  <c r="K7407" i="2"/>
  <c r="G7407" i="2"/>
  <c r="E7407" i="2"/>
  <c r="B7407" i="2"/>
  <c r="S7406" i="2"/>
  <c r="M7406" i="2"/>
  <c r="L7406" i="2"/>
  <c r="K7406" i="2"/>
  <c r="G7406" i="2"/>
  <c r="E7406" i="2"/>
  <c r="B7406" i="2"/>
  <c r="S7405" i="2"/>
  <c r="M7405" i="2"/>
  <c r="L7405" i="2"/>
  <c r="K7405" i="2"/>
  <c r="G7405" i="2"/>
  <c r="E7405" i="2"/>
  <c r="B7405" i="2"/>
  <c r="S7404" i="2"/>
  <c r="M7404" i="2"/>
  <c r="L7404" i="2"/>
  <c r="K7404" i="2"/>
  <c r="G7404" i="2"/>
  <c r="E7404" i="2"/>
  <c r="B7404" i="2"/>
  <c r="S7403" i="2"/>
  <c r="M7403" i="2"/>
  <c r="L7403" i="2"/>
  <c r="K7403" i="2"/>
  <c r="G7403" i="2"/>
  <c r="E7403" i="2"/>
  <c r="B7403" i="2"/>
  <c r="S7402" i="2"/>
  <c r="M7402" i="2"/>
  <c r="L7402" i="2"/>
  <c r="K7402" i="2"/>
  <c r="G7402" i="2"/>
  <c r="E7402" i="2"/>
  <c r="B7402" i="2"/>
  <c r="S7401" i="2"/>
  <c r="M7401" i="2"/>
  <c r="L7401" i="2"/>
  <c r="K7401" i="2"/>
  <c r="G7401" i="2"/>
  <c r="E7401" i="2"/>
  <c r="B7401" i="2"/>
  <c r="S7400" i="2"/>
  <c r="M7400" i="2"/>
  <c r="L7400" i="2"/>
  <c r="K7400" i="2"/>
  <c r="G7400" i="2"/>
  <c r="E7400" i="2"/>
  <c r="B7400" i="2"/>
  <c r="S7399" i="2"/>
  <c r="M7399" i="2"/>
  <c r="L7399" i="2"/>
  <c r="K7399" i="2"/>
  <c r="G7399" i="2"/>
  <c r="E7399" i="2"/>
  <c r="B7399" i="2"/>
  <c r="S7398" i="2"/>
  <c r="M7398" i="2"/>
  <c r="L7398" i="2"/>
  <c r="K7398" i="2"/>
  <c r="G7398" i="2"/>
  <c r="E7398" i="2"/>
  <c r="B7398" i="2"/>
  <c r="S7397" i="2"/>
  <c r="M7397" i="2"/>
  <c r="L7397" i="2"/>
  <c r="K7397" i="2"/>
  <c r="G7397" i="2"/>
  <c r="E7397" i="2"/>
  <c r="B7397" i="2"/>
  <c r="S7396" i="2"/>
  <c r="M7396" i="2"/>
  <c r="L7396" i="2"/>
  <c r="K7396" i="2"/>
  <c r="G7396" i="2"/>
  <c r="E7396" i="2"/>
  <c r="B7396" i="2"/>
  <c r="S7395" i="2"/>
  <c r="M7395" i="2"/>
  <c r="L7395" i="2"/>
  <c r="K7395" i="2"/>
  <c r="G7395" i="2"/>
  <c r="E7395" i="2"/>
  <c r="B7395" i="2"/>
  <c r="S7394" i="2"/>
  <c r="M7394" i="2"/>
  <c r="L7394" i="2"/>
  <c r="K7394" i="2"/>
  <c r="G7394" i="2"/>
  <c r="E7394" i="2"/>
  <c r="B7394" i="2"/>
  <c r="S7393" i="2"/>
  <c r="M7393" i="2"/>
  <c r="L7393" i="2"/>
  <c r="K7393" i="2"/>
  <c r="G7393" i="2"/>
  <c r="E7393" i="2"/>
  <c r="B7393" i="2"/>
  <c r="S7392" i="2"/>
  <c r="M7392" i="2"/>
  <c r="L7392" i="2"/>
  <c r="K7392" i="2"/>
  <c r="G7392" i="2"/>
  <c r="E7392" i="2"/>
  <c r="B7392" i="2"/>
  <c r="S7391" i="2"/>
  <c r="M7391" i="2"/>
  <c r="L7391" i="2"/>
  <c r="K7391" i="2"/>
  <c r="G7391" i="2"/>
  <c r="E7391" i="2"/>
  <c r="B7391" i="2"/>
  <c r="S7390" i="2"/>
  <c r="M7390" i="2"/>
  <c r="L7390" i="2"/>
  <c r="K7390" i="2"/>
  <c r="G7390" i="2"/>
  <c r="E7390" i="2"/>
  <c r="B7390" i="2"/>
  <c r="S7389" i="2"/>
  <c r="M7389" i="2"/>
  <c r="L7389" i="2"/>
  <c r="K7389" i="2"/>
  <c r="G7389" i="2"/>
  <c r="E7389" i="2"/>
  <c r="B7389" i="2"/>
  <c r="S7388" i="2"/>
  <c r="M7388" i="2"/>
  <c r="L7388" i="2"/>
  <c r="K7388" i="2"/>
  <c r="G7388" i="2"/>
  <c r="E7388" i="2"/>
  <c r="B7388" i="2"/>
  <c r="S7387" i="2"/>
  <c r="M7387" i="2"/>
  <c r="L7387" i="2"/>
  <c r="K7387" i="2"/>
  <c r="G7387" i="2"/>
  <c r="E7387" i="2"/>
  <c r="B7387" i="2"/>
  <c r="S7386" i="2"/>
  <c r="M7386" i="2"/>
  <c r="L7386" i="2"/>
  <c r="K7386" i="2"/>
  <c r="G7386" i="2"/>
  <c r="E7386" i="2"/>
  <c r="B7386" i="2"/>
  <c r="S7385" i="2"/>
  <c r="M7385" i="2"/>
  <c r="L7385" i="2"/>
  <c r="K7385" i="2"/>
  <c r="G7385" i="2"/>
  <c r="E7385" i="2"/>
  <c r="B7385" i="2"/>
  <c r="S7384" i="2"/>
  <c r="M7384" i="2"/>
  <c r="L7384" i="2"/>
  <c r="K7384" i="2"/>
  <c r="G7384" i="2"/>
  <c r="E7384" i="2"/>
  <c r="B7384" i="2"/>
  <c r="S7383" i="2"/>
  <c r="M7383" i="2"/>
  <c r="L7383" i="2"/>
  <c r="K7383" i="2"/>
  <c r="G7383" i="2"/>
  <c r="E7383" i="2"/>
  <c r="B7383" i="2"/>
  <c r="S7382" i="2"/>
  <c r="M7382" i="2"/>
  <c r="L7382" i="2"/>
  <c r="K7382" i="2"/>
  <c r="G7382" i="2"/>
  <c r="E7382" i="2"/>
  <c r="B7382" i="2"/>
  <c r="S7381" i="2"/>
  <c r="M7381" i="2"/>
  <c r="L7381" i="2"/>
  <c r="K7381" i="2"/>
  <c r="G7381" i="2"/>
  <c r="E7381" i="2"/>
  <c r="B7381" i="2"/>
  <c r="S7380" i="2"/>
  <c r="M7380" i="2"/>
  <c r="L7380" i="2"/>
  <c r="K7380" i="2"/>
  <c r="G7380" i="2"/>
  <c r="E7380" i="2"/>
  <c r="B7380" i="2"/>
  <c r="S7379" i="2"/>
  <c r="M7379" i="2"/>
  <c r="L7379" i="2"/>
  <c r="K7379" i="2"/>
  <c r="G7379" i="2"/>
  <c r="E7379" i="2"/>
  <c r="B7379" i="2"/>
  <c r="S7378" i="2"/>
  <c r="M7378" i="2"/>
  <c r="L7378" i="2"/>
  <c r="K7378" i="2"/>
  <c r="G7378" i="2"/>
  <c r="E7378" i="2"/>
  <c r="B7378" i="2"/>
  <c r="S7377" i="2"/>
  <c r="M7377" i="2"/>
  <c r="L7377" i="2"/>
  <c r="K7377" i="2"/>
  <c r="G7377" i="2"/>
  <c r="E7377" i="2"/>
  <c r="B7377" i="2"/>
  <c r="S7376" i="2"/>
  <c r="M7376" i="2"/>
  <c r="L7376" i="2"/>
  <c r="K7376" i="2"/>
  <c r="G7376" i="2"/>
  <c r="E7376" i="2"/>
  <c r="B7376" i="2"/>
  <c r="S7375" i="2"/>
  <c r="M7375" i="2"/>
  <c r="L7375" i="2"/>
  <c r="K7375" i="2"/>
  <c r="G7375" i="2"/>
  <c r="E7375" i="2"/>
  <c r="B7375" i="2"/>
  <c r="S7374" i="2"/>
  <c r="M7374" i="2"/>
  <c r="L7374" i="2"/>
  <c r="K7374" i="2"/>
  <c r="G7374" i="2"/>
  <c r="E7374" i="2"/>
  <c r="B7374" i="2"/>
  <c r="S7373" i="2"/>
  <c r="M7373" i="2"/>
  <c r="L7373" i="2"/>
  <c r="K7373" i="2"/>
  <c r="G7373" i="2"/>
  <c r="E7373" i="2"/>
  <c r="B7373" i="2"/>
  <c r="S7372" i="2"/>
  <c r="M7372" i="2"/>
  <c r="L7372" i="2"/>
  <c r="K7372" i="2"/>
  <c r="G7372" i="2"/>
  <c r="E7372" i="2"/>
  <c r="B7372" i="2"/>
  <c r="S7371" i="2"/>
  <c r="M7371" i="2"/>
  <c r="L7371" i="2"/>
  <c r="K7371" i="2"/>
  <c r="G7371" i="2"/>
  <c r="E7371" i="2"/>
  <c r="B7371" i="2"/>
  <c r="S7370" i="2"/>
  <c r="M7370" i="2"/>
  <c r="L7370" i="2"/>
  <c r="K7370" i="2"/>
  <c r="G7370" i="2"/>
  <c r="E7370" i="2"/>
  <c r="B7370" i="2"/>
  <c r="S7369" i="2"/>
  <c r="M7369" i="2"/>
  <c r="L7369" i="2"/>
  <c r="K7369" i="2"/>
  <c r="G7369" i="2"/>
  <c r="E7369" i="2"/>
  <c r="B7369" i="2"/>
  <c r="S7368" i="2"/>
  <c r="M7368" i="2"/>
  <c r="L7368" i="2"/>
  <c r="K7368" i="2"/>
  <c r="G7368" i="2"/>
  <c r="E7368" i="2"/>
  <c r="B7368" i="2"/>
  <c r="S7367" i="2"/>
  <c r="M7367" i="2"/>
  <c r="L7367" i="2"/>
  <c r="K7367" i="2"/>
  <c r="G7367" i="2"/>
  <c r="E7367" i="2"/>
  <c r="B7367" i="2"/>
  <c r="S7366" i="2"/>
  <c r="M7366" i="2"/>
  <c r="L7366" i="2"/>
  <c r="K7366" i="2"/>
  <c r="G7366" i="2"/>
  <c r="E7366" i="2"/>
  <c r="B7366" i="2"/>
  <c r="S7365" i="2"/>
  <c r="M7365" i="2"/>
  <c r="L7365" i="2"/>
  <c r="K7365" i="2"/>
  <c r="G7365" i="2"/>
  <c r="E7365" i="2"/>
  <c r="B7365" i="2"/>
  <c r="S7364" i="2"/>
  <c r="M7364" i="2"/>
  <c r="L7364" i="2"/>
  <c r="K7364" i="2"/>
  <c r="G7364" i="2"/>
  <c r="E7364" i="2"/>
  <c r="B7364" i="2"/>
  <c r="S7363" i="2"/>
  <c r="M7363" i="2"/>
  <c r="L7363" i="2"/>
  <c r="K7363" i="2"/>
  <c r="G7363" i="2"/>
  <c r="E7363" i="2"/>
  <c r="B7363" i="2"/>
  <c r="S7362" i="2"/>
  <c r="M7362" i="2"/>
  <c r="L7362" i="2"/>
  <c r="K7362" i="2"/>
  <c r="G7362" i="2"/>
  <c r="E7362" i="2"/>
  <c r="B7362" i="2"/>
  <c r="S7361" i="2"/>
  <c r="M7361" i="2"/>
  <c r="L7361" i="2"/>
  <c r="K7361" i="2"/>
  <c r="G7361" i="2"/>
  <c r="E7361" i="2"/>
  <c r="B7361" i="2"/>
  <c r="S7360" i="2"/>
  <c r="M7360" i="2"/>
  <c r="L7360" i="2"/>
  <c r="K7360" i="2"/>
  <c r="G7360" i="2"/>
  <c r="E7360" i="2"/>
  <c r="B7360" i="2"/>
  <c r="S7359" i="2"/>
  <c r="M7359" i="2"/>
  <c r="L7359" i="2"/>
  <c r="K7359" i="2"/>
  <c r="G7359" i="2"/>
  <c r="E7359" i="2"/>
  <c r="B7359" i="2"/>
  <c r="S7358" i="2"/>
  <c r="M7358" i="2"/>
  <c r="L7358" i="2"/>
  <c r="K7358" i="2"/>
  <c r="G7358" i="2"/>
  <c r="E7358" i="2"/>
  <c r="B7358" i="2"/>
  <c r="S7357" i="2"/>
  <c r="M7357" i="2"/>
  <c r="L7357" i="2"/>
  <c r="K7357" i="2"/>
  <c r="G7357" i="2"/>
  <c r="E7357" i="2"/>
  <c r="B7357" i="2"/>
  <c r="S7356" i="2"/>
  <c r="M7356" i="2"/>
  <c r="L7356" i="2"/>
  <c r="K7356" i="2"/>
  <c r="G7356" i="2"/>
  <c r="E7356" i="2"/>
  <c r="B7356" i="2"/>
  <c r="S7355" i="2"/>
  <c r="M7355" i="2"/>
  <c r="L7355" i="2"/>
  <c r="K7355" i="2"/>
  <c r="G7355" i="2"/>
  <c r="E7355" i="2"/>
  <c r="B7355" i="2"/>
  <c r="S7354" i="2"/>
  <c r="M7354" i="2"/>
  <c r="L7354" i="2"/>
  <c r="K7354" i="2"/>
  <c r="G7354" i="2"/>
  <c r="E7354" i="2"/>
  <c r="B7354" i="2"/>
  <c r="S7353" i="2"/>
  <c r="M7353" i="2"/>
  <c r="L7353" i="2"/>
  <c r="K7353" i="2"/>
  <c r="G7353" i="2"/>
  <c r="E7353" i="2"/>
  <c r="B7353" i="2"/>
  <c r="S7352" i="2"/>
  <c r="M7352" i="2"/>
  <c r="L7352" i="2"/>
  <c r="K7352" i="2"/>
  <c r="G7352" i="2"/>
  <c r="E7352" i="2"/>
  <c r="B7352" i="2"/>
  <c r="S7351" i="2"/>
  <c r="M7351" i="2"/>
  <c r="L7351" i="2"/>
  <c r="K7351" i="2"/>
  <c r="G7351" i="2"/>
  <c r="E7351" i="2"/>
  <c r="B7351" i="2"/>
  <c r="S7350" i="2"/>
  <c r="M7350" i="2"/>
  <c r="L7350" i="2"/>
  <c r="K7350" i="2"/>
  <c r="G7350" i="2"/>
  <c r="E7350" i="2"/>
  <c r="B7350" i="2"/>
  <c r="S7349" i="2"/>
  <c r="M7349" i="2"/>
  <c r="L7349" i="2"/>
  <c r="K7349" i="2"/>
  <c r="G7349" i="2"/>
  <c r="E7349" i="2"/>
  <c r="B7349" i="2"/>
  <c r="S7348" i="2"/>
  <c r="M7348" i="2"/>
  <c r="L7348" i="2"/>
  <c r="K7348" i="2"/>
  <c r="G7348" i="2"/>
  <c r="E7348" i="2"/>
  <c r="B7348" i="2"/>
  <c r="S7347" i="2"/>
  <c r="M7347" i="2"/>
  <c r="L7347" i="2"/>
  <c r="K7347" i="2"/>
  <c r="G7347" i="2"/>
  <c r="E7347" i="2"/>
  <c r="B7347" i="2"/>
  <c r="S7346" i="2"/>
  <c r="M7346" i="2"/>
  <c r="L7346" i="2"/>
  <c r="K7346" i="2"/>
  <c r="G7346" i="2"/>
  <c r="E7346" i="2"/>
  <c r="B7346" i="2"/>
  <c r="S7345" i="2"/>
  <c r="M7345" i="2"/>
  <c r="L7345" i="2"/>
  <c r="K7345" i="2"/>
  <c r="G7345" i="2"/>
  <c r="E7345" i="2"/>
  <c r="B7345" i="2"/>
  <c r="S7344" i="2"/>
  <c r="M7344" i="2"/>
  <c r="L7344" i="2"/>
  <c r="K7344" i="2"/>
  <c r="G7344" i="2"/>
  <c r="E7344" i="2"/>
  <c r="B7344" i="2"/>
  <c r="S7343" i="2"/>
  <c r="M7343" i="2"/>
  <c r="L7343" i="2"/>
  <c r="K7343" i="2"/>
  <c r="G7343" i="2"/>
  <c r="E7343" i="2"/>
  <c r="B7343" i="2"/>
  <c r="S7342" i="2"/>
  <c r="M7342" i="2"/>
  <c r="L7342" i="2"/>
  <c r="K7342" i="2"/>
  <c r="G7342" i="2"/>
  <c r="E7342" i="2"/>
  <c r="B7342" i="2"/>
  <c r="S7341" i="2"/>
  <c r="M7341" i="2"/>
  <c r="L7341" i="2"/>
  <c r="K7341" i="2"/>
  <c r="G7341" i="2"/>
  <c r="E7341" i="2"/>
  <c r="B7341" i="2"/>
  <c r="S7340" i="2"/>
  <c r="M7340" i="2"/>
  <c r="L7340" i="2"/>
  <c r="K7340" i="2"/>
  <c r="G7340" i="2"/>
  <c r="E7340" i="2"/>
  <c r="B7340" i="2"/>
  <c r="S7339" i="2"/>
  <c r="M7339" i="2"/>
  <c r="L7339" i="2"/>
  <c r="K7339" i="2"/>
  <c r="G7339" i="2"/>
  <c r="E7339" i="2"/>
  <c r="B7339" i="2"/>
  <c r="S7338" i="2"/>
  <c r="M7338" i="2"/>
  <c r="L7338" i="2"/>
  <c r="K7338" i="2"/>
  <c r="G7338" i="2"/>
  <c r="E7338" i="2"/>
  <c r="B7338" i="2"/>
  <c r="S7337" i="2"/>
  <c r="M7337" i="2"/>
  <c r="L7337" i="2"/>
  <c r="K7337" i="2"/>
  <c r="G7337" i="2"/>
  <c r="E7337" i="2"/>
  <c r="B7337" i="2"/>
  <c r="S7336" i="2"/>
  <c r="M7336" i="2"/>
  <c r="L7336" i="2"/>
  <c r="K7336" i="2"/>
  <c r="G7336" i="2"/>
  <c r="E7336" i="2"/>
  <c r="B7336" i="2"/>
  <c r="S7335" i="2"/>
  <c r="M7335" i="2"/>
  <c r="L7335" i="2"/>
  <c r="K7335" i="2"/>
  <c r="G7335" i="2"/>
  <c r="E7335" i="2"/>
  <c r="B7335" i="2"/>
  <c r="S7334" i="2"/>
  <c r="M7334" i="2"/>
  <c r="L7334" i="2"/>
  <c r="K7334" i="2"/>
  <c r="G7334" i="2"/>
  <c r="E7334" i="2"/>
  <c r="B7334" i="2"/>
  <c r="S7333" i="2"/>
  <c r="M7333" i="2"/>
  <c r="L7333" i="2"/>
  <c r="K7333" i="2"/>
  <c r="G7333" i="2"/>
  <c r="E7333" i="2"/>
  <c r="B7333" i="2"/>
  <c r="S7332" i="2"/>
  <c r="M7332" i="2"/>
  <c r="L7332" i="2"/>
  <c r="K7332" i="2"/>
  <c r="G7332" i="2"/>
  <c r="E7332" i="2"/>
  <c r="B7332" i="2"/>
  <c r="S7331" i="2"/>
  <c r="M7331" i="2"/>
  <c r="L7331" i="2"/>
  <c r="K7331" i="2"/>
  <c r="G7331" i="2"/>
  <c r="E7331" i="2"/>
  <c r="B7331" i="2"/>
  <c r="S7330" i="2"/>
  <c r="M7330" i="2"/>
  <c r="L7330" i="2"/>
  <c r="K7330" i="2"/>
  <c r="G7330" i="2"/>
  <c r="E7330" i="2"/>
  <c r="B7330" i="2"/>
  <c r="S7329" i="2"/>
  <c r="M7329" i="2"/>
  <c r="L7329" i="2"/>
  <c r="K7329" i="2"/>
  <c r="G7329" i="2"/>
  <c r="E7329" i="2"/>
  <c r="B7329" i="2"/>
  <c r="S7328" i="2"/>
  <c r="M7328" i="2"/>
  <c r="L7328" i="2"/>
  <c r="K7328" i="2"/>
  <c r="G7328" i="2"/>
  <c r="E7328" i="2"/>
  <c r="B7328" i="2"/>
  <c r="S7327" i="2"/>
  <c r="M7327" i="2"/>
  <c r="L7327" i="2"/>
  <c r="K7327" i="2"/>
  <c r="G7327" i="2"/>
  <c r="E7327" i="2"/>
  <c r="B7327" i="2"/>
  <c r="S7326" i="2"/>
  <c r="M7326" i="2"/>
  <c r="L7326" i="2"/>
  <c r="K7326" i="2"/>
  <c r="G7326" i="2"/>
  <c r="E7326" i="2"/>
  <c r="B7326" i="2"/>
  <c r="S7325" i="2"/>
  <c r="M7325" i="2"/>
  <c r="L7325" i="2"/>
  <c r="K7325" i="2"/>
  <c r="G7325" i="2"/>
  <c r="E7325" i="2"/>
  <c r="B7325" i="2"/>
  <c r="S7324" i="2"/>
  <c r="M7324" i="2"/>
  <c r="L7324" i="2"/>
  <c r="K7324" i="2"/>
  <c r="G7324" i="2"/>
  <c r="E7324" i="2"/>
  <c r="B7324" i="2"/>
  <c r="S7323" i="2"/>
  <c r="M7323" i="2"/>
  <c r="L7323" i="2"/>
  <c r="K7323" i="2"/>
  <c r="G7323" i="2"/>
  <c r="E7323" i="2"/>
  <c r="B7323" i="2"/>
  <c r="S7322" i="2"/>
  <c r="M7322" i="2"/>
  <c r="L7322" i="2"/>
  <c r="K7322" i="2"/>
  <c r="G7322" i="2"/>
  <c r="E7322" i="2"/>
  <c r="B7322" i="2"/>
  <c r="S7321" i="2"/>
  <c r="M7321" i="2"/>
  <c r="L7321" i="2"/>
  <c r="K7321" i="2"/>
  <c r="G7321" i="2"/>
  <c r="E7321" i="2"/>
  <c r="B7321" i="2"/>
  <c r="S7320" i="2"/>
  <c r="M7320" i="2"/>
  <c r="L7320" i="2"/>
  <c r="K7320" i="2"/>
  <c r="G7320" i="2"/>
  <c r="E7320" i="2"/>
  <c r="B7320" i="2"/>
  <c r="S7319" i="2"/>
  <c r="M7319" i="2"/>
  <c r="L7319" i="2"/>
  <c r="K7319" i="2"/>
  <c r="G7319" i="2"/>
  <c r="E7319" i="2"/>
  <c r="B7319" i="2"/>
  <c r="S7318" i="2"/>
  <c r="M7318" i="2"/>
  <c r="L7318" i="2"/>
  <c r="K7318" i="2"/>
  <c r="G7318" i="2"/>
  <c r="E7318" i="2"/>
  <c r="B7318" i="2"/>
  <c r="S7317" i="2"/>
  <c r="M7317" i="2"/>
  <c r="L7317" i="2"/>
  <c r="K7317" i="2"/>
  <c r="G7317" i="2"/>
  <c r="E7317" i="2"/>
  <c r="B7317" i="2"/>
  <c r="S7316" i="2"/>
  <c r="M7316" i="2"/>
  <c r="L7316" i="2"/>
  <c r="K7316" i="2"/>
  <c r="G7316" i="2"/>
  <c r="E7316" i="2"/>
  <c r="B7316" i="2"/>
  <c r="S7315" i="2"/>
  <c r="M7315" i="2"/>
  <c r="L7315" i="2"/>
  <c r="K7315" i="2"/>
  <c r="G7315" i="2"/>
  <c r="E7315" i="2"/>
  <c r="B7315" i="2"/>
  <c r="S7314" i="2"/>
  <c r="M7314" i="2"/>
  <c r="L7314" i="2"/>
  <c r="K7314" i="2"/>
  <c r="G7314" i="2"/>
  <c r="E7314" i="2"/>
  <c r="B7314" i="2"/>
  <c r="S7313" i="2"/>
  <c r="M7313" i="2"/>
  <c r="L7313" i="2"/>
  <c r="K7313" i="2"/>
  <c r="G7313" i="2"/>
  <c r="E7313" i="2"/>
  <c r="B7313" i="2"/>
  <c r="S7312" i="2"/>
  <c r="M7312" i="2"/>
  <c r="L7312" i="2"/>
  <c r="K7312" i="2"/>
  <c r="G7312" i="2"/>
  <c r="E7312" i="2"/>
  <c r="B7312" i="2"/>
  <c r="S7311" i="2"/>
  <c r="M7311" i="2"/>
  <c r="L7311" i="2"/>
  <c r="K7311" i="2"/>
  <c r="G7311" i="2"/>
  <c r="E7311" i="2"/>
  <c r="B7311" i="2"/>
  <c r="S7310" i="2"/>
  <c r="M7310" i="2"/>
  <c r="L7310" i="2"/>
  <c r="K7310" i="2"/>
  <c r="G7310" i="2"/>
  <c r="E7310" i="2"/>
  <c r="B7310" i="2"/>
  <c r="S7309" i="2"/>
  <c r="M7309" i="2"/>
  <c r="L7309" i="2"/>
  <c r="K7309" i="2"/>
  <c r="G7309" i="2"/>
  <c r="E7309" i="2"/>
  <c r="B7309" i="2"/>
  <c r="S7308" i="2"/>
  <c r="M7308" i="2"/>
  <c r="L7308" i="2"/>
  <c r="K7308" i="2"/>
  <c r="G7308" i="2"/>
  <c r="E7308" i="2"/>
  <c r="B7308" i="2"/>
  <c r="S7307" i="2"/>
  <c r="M7307" i="2"/>
  <c r="L7307" i="2"/>
  <c r="K7307" i="2"/>
  <c r="G7307" i="2"/>
  <c r="E7307" i="2"/>
  <c r="B7307" i="2"/>
  <c r="S7306" i="2"/>
  <c r="M7306" i="2"/>
  <c r="L7306" i="2"/>
  <c r="K7306" i="2"/>
  <c r="G7306" i="2"/>
  <c r="E7306" i="2"/>
  <c r="B7306" i="2"/>
  <c r="S7305" i="2"/>
  <c r="M7305" i="2"/>
  <c r="L7305" i="2"/>
  <c r="K7305" i="2"/>
  <c r="G7305" i="2"/>
  <c r="E7305" i="2"/>
  <c r="B7305" i="2"/>
  <c r="S7304" i="2"/>
  <c r="M7304" i="2"/>
  <c r="L7304" i="2"/>
  <c r="K7304" i="2"/>
  <c r="G7304" i="2"/>
  <c r="E7304" i="2"/>
  <c r="B7304" i="2"/>
  <c r="S7303" i="2"/>
  <c r="M7303" i="2"/>
  <c r="L7303" i="2"/>
  <c r="K7303" i="2"/>
  <c r="G7303" i="2"/>
  <c r="E7303" i="2"/>
  <c r="B7303" i="2"/>
  <c r="S7302" i="2"/>
  <c r="M7302" i="2"/>
  <c r="L7302" i="2"/>
  <c r="K7302" i="2"/>
  <c r="G7302" i="2"/>
  <c r="E7302" i="2"/>
  <c r="B7302" i="2"/>
  <c r="S7301" i="2"/>
  <c r="M7301" i="2"/>
  <c r="L7301" i="2"/>
  <c r="K7301" i="2"/>
  <c r="G7301" i="2"/>
  <c r="E7301" i="2"/>
  <c r="B7301" i="2"/>
  <c r="S7300" i="2"/>
  <c r="M7300" i="2"/>
  <c r="L7300" i="2"/>
  <c r="K7300" i="2"/>
  <c r="G7300" i="2"/>
  <c r="E7300" i="2"/>
  <c r="B7300" i="2"/>
  <c r="S7299" i="2"/>
  <c r="M7299" i="2"/>
  <c r="L7299" i="2"/>
  <c r="K7299" i="2"/>
  <c r="G7299" i="2"/>
  <c r="E7299" i="2"/>
  <c r="B7299" i="2"/>
  <c r="S7298" i="2"/>
  <c r="M7298" i="2"/>
  <c r="L7298" i="2"/>
  <c r="K7298" i="2"/>
  <c r="G7298" i="2"/>
  <c r="E7298" i="2"/>
  <c r="B7298" i="2"/>
  <c r="S7297" i="2"/>
  <c r="M7297" i="2"/>
  <c r="L7297" i="2"/>
  <c r="K7297" i="2"/>
  <c r="G7297" i="2"/>
  <c r="E7297" i="2"/>
  <c r="B7297" i="2"/>
  <c r="S7296" i="2"/>
  <c r="M7296" i="2"/>
  <c r="L7296" i="2"/>
  <c r="K7296" i="2"/>
  <c r="G7296" i="2"/>
  <c r="E7296" i="2"/>
  <c r="B7296" i="2"/>
  <c r="S7295" i="2"/>
  <c r="M7295" i="2"/>
  <c r="L7295" i="2"/>
  <c r="K7295" i="2"/>
  <c r="G7295" i="2"/>
  <c r="E7295" i="2"/>
  <c r="B7295" i="2"/>
  <c r="S7294" i="2"/>
  <c r="M7294" i="2"/>
  <c r="L7294" i="2"/>
  <c r="K7294" i="2"/>
  <c r="G7294" i="2"/>
  <c r="E7294" i="2"/>
  <c r="B7294" i="2"/>
  <c r="S7293" i="2"/>
  <c r="M7293" i="2"/>
  <c r="L7293" i="2"/>
  <c r="K7293" i="2"/>
  <c r="G7293" i="2"/>
  <c r="E7293" i="2"/>
  <c r="B7293" i="2"/>
  <c r="S7292" i="2"/>
  <c r="M7292" i="2"/>
  <c r="L7292" i="2"/>
  <c r="K7292" i="2"/>
  <c r="G7292" i="2"/>
  <c r="E7292" i="2"/>
  <c r="B7292" i="2"/>
  <c r="S7291" i="2"/>
  <c r="M7291" i="2"/>
  <c r="L7291" i="2"/>
  <c r="K7291" i="2"/>
  <c r="G7291" i="2"/>
  <c r="E7291" i="2"/>
  <c r="B7291" i="2"/>
  <c r="S7290" i="2"/>
  <c r="M7290" i="2"/>
  <c r="L7290" i="2"/>
  <c r="K7290" i="2"/>
  <c r="G7290" i="2"/>
  <c r="E7290" i="2"/>
  <c r="B7290" i="2"/>
  <c r="S7289" i="2"/>
  <c r="M7289" i="2"/>
  <c r="L7289" i="2"/>
  <c r="K7289" i="2"/>
  <c r="G7289" i="2"/>
  <c r="E7289" i="2"/>
  <c r="B7289" i="2"/>
  <c r="S7288" i="2"/>
  <c r="M7288" i="2"/>
  <c r="L7288" i="2"/>
  <c r="K7288" i="2"/>
  <c r="G7288" i="2"/>
  <c r="E7288" i="2"/>
  <c r="B7288" i="2"/>
  <c r="S7287" i="2"/>
  <c r="M7287" i="2"/>
  <c r="L7287" i="2"/>
  <c r="K7287" i="2"/>
  <c r="G7287" i="2"/>
  <c r="E7287" i="2"/>
  <c r="B7287" i="2"/>
  <c r="S7286" i="2"/>
  <c r="M7286" i="2"/>
  <c r="L7286" i="2"/>
  <c r="K7286" i="2"/>
  <c r="G7286" i="2"/>
  <c r="E7286" i="2"/>
  <c r="B7286" i="2"/>
  <c r="S7285" i="2"/>
  <c r="M7285" i="2"/>
  <c r="L7285" i="2"/>
  <c r="K7285" i="2"/>
  <c r="G7285" i="2"/>
  <c r="E7285" i="2"/>
  <c r="B7285" i="2"/>
  <c r="S7284" i="2"/>
  <c r="M7284" i="2"/>
  <c r="L7284" i="2"/>
  <c r="K7284" i="2"/>
  <c r="G7284" i="2"/>
  <c r="E7284" i="2"/>
  <c r="B7284" i="2"/>
  <c r="S7283" i="2"/>
  <c r="M7283" i="2"/>
  <c r="L7283" i="2"/>
  <c r="K7283" i="2"/>
  <c r="G7283" i="2"/>
  <c r="E7283" i="2"/>
  <c r="B7283" i="2"/>
  <c r="S7282" i="2"/>
  <c r="M7282" i="2"/>
  <c r="L7282" i="2"/>
  <c r="K7282" i="2"/>
  <c r="G7282" i="2"/>
  <c r="E7282" i="2"/>
  <c r="B7282" i="2"/>
  <c r="S7281" i="2"/>
  <c r="M7281" i="2"/>
  <c r="L7281" i="2"/>
  <c r="K7281" i="2"/>
  <c r="G7281" i="2"/>
  <c r="E7281" i="2"/>
  <c r="B7281" i="2"/>
  <c r="S7280" i="2"/>
  <c r="M7280" i="2"/>
  <c r="L7280" i="2"/>
  <c r="K7280" i="2"/>
  <c r="G7280" i="2"/>
  <c r="E7280" i="2"/>
  <c r="B7280" i="2"/>
  <c r="S7279" i="2"/>
  <c r="M7279" i="2"/>
  <c r="L7279" i="2"/>
  <c r="K7279" i="2"/>
  <c r="G7279" i="2"/>
  <c r="E7279" i="2"/>
  <c r="B7279" i="2"/>
  <c r="S7278" i="2"/>
  <c r="M7278" i="2"/>
  <c r="L7278" i="2"/>
  <c r="K7278" i="2"/>
  <c r="G7278" i="2"/>
  <c r="E7278" i="2"/>
  <c r="B7278" i="2"/>
  <c r="S7277" i="2"/>
  <c r="M7277" i="2"/>
  <c r="L7277" i="2"/>
  <c r="K7277" i="2"/>
  <c r="G7277" i="2"/>
  <c r="E7277" i="2"/>
  <c r="B7277" i="2"/>
  <c r="S7276" i="2"/>
  <c r="M7276" i="2"/>
  <c r="L7276" i="2"/>
  <c r="K7276" i="2"/>
  <c r="G7276" i="2"/>
  <c r="E7276" i="2"/>
  <c r="B7276" i="2"/>
  <c r="S7275" i="2"/>
  <c r="M7275" i="2"/>
  <c r="L7275" i="2"/>
  <c r="K7275" i="2"/>
  <c r="G7275" i="2"/>
  <c r="E7275" i="2"/>
  <c r="B7275" i="2"/>
  <c r="S7274" i="2"/>
  <c r="M7274" i="2"/>
  <c r="L7274" i="2"/>
  <c r="K7274" i="2"/>
  <c r="G7274" i="2"/>
  <c r="E7274" i="2"/>
  <c r="B7274" i="2"/>
  <c r="S7273" i="2"/>
  <c r="M7273" i="2"/>
  <c r="L7273" i="2"/>
  <c r="K7273" i="2"/>
  <c r="G7273" i="2"/>
  <c r="E7273" i="2"/>
  <c r="B7273" i="2"/>
  <c r="S7272" i="2"/>
  <c r="M7272" i="2"/>
  <c r="L7272" i="2"/>
  <c r="K7272" i="2"/>
  <c r="G7272" i="2"/>
  <c r="E7272" i="2"/>
  <c r="B7272" i="2"/>
  <c r="S7271" i="2"/>
  <c r="M7271" i="2"/>
  <c r="L7271" i="2"/>
  <c r="K7271" i="2"/>
  <c r="G7271" i="2"/>
  <c r="E7271" i="2"/>
  <c r="B7271" i="2"/>
  <c r="S7270" i="2"/>
  <c r="M7270" i="2"/>
  <c r="L7270" i="2"/>
  <c r="K7270" i="2"/>
  <c r="G7270" i="2"/>
  <c r="E7270" i="2"/>
  <c r="B7270" i="2"/>
  <c r="S7269" i="2"/>
  <c r="M7269" i="2"/>
  <c r="L7269" i="2"/>
  <c r="K7269" i="2"/>
  <c r="G7269" i="2"/>
  <c r="E7269" i="2"/>
  <c r="B7269" i="2"/>
  <c r="S7268" i="2"/>
  <c r="M7268" i="2"/>
  <c r="L7268" i="2"/>
  <c r="K7268" i="2"/>
  <c r="G7268" i="2"/>
  <c r="E7268" i="2"/>
  <c r="B7268" i="2"/>
  <c r="S7267" i="2"/>
  <c r="M7267" i="2"/>
  <c r="L7267" i="2"/>
  <c r="K7267" i="2"/>
  <c r="G7267" i="2"/>
  <c r="E7267" i="2"/>
  <c r="B7267" i="2"/>
  <c r="S7266" i="2"/>
  <c r="M7266" i="2"/>
  <c r="L7266" i="2"/>
  <c r="K7266" i="2"/>
  <c r="G7266" i="2"/>
  <c r="E7266" i="2"/>
  <c r="B7266" i="2"/>
  <c r="S7265" i="2"/>
  <c r="M7265" i="2"/>
  <c r="L7265" i="2"/>
  <c r="K7265" i="2"/>
  <c r="G7265" i="2"/>
  <c r="E7265" i="2"/>
  <c r="B7265" i="2"/>
  <c r="S7264" i="2"/>
  <c r="M7264" i="2"/>
  <c r="L7264" i="2"/>
  <c r="K7264" i="2"/>
  <c r="G7264" i="2"/>
  <c r="E7264" i="2"/>
  <c r="B7264" i="2"/>
  <c r="S7263" i="2"/>
  <c r="M7263" i="2"/>
  <c r="L7263" i="2"/>
  <c r="K7263" i="2"/>
  <c r="G7263" i="2"/>
  <c r="E7263" i="2"/>
  <c r="B7263" i="2"/>
  <c r="S7262" i="2"/>
  <c r="M7262" i="2"/>
  <c r="L7262" i="2"/>
  <c r="K7262" i="2"/>
  <c r="G7262" i="2"/>
  <c r="E7262" i="2"/>
  <c r="B7262" i="2"/>
  <c r="S7261" i="2"/>
  <c r="M7261" i="2"/>
  <c r="L7261" i="2"/>
  <c r="K7261" i="2"/>
  <c r="G7261" i="2"/>
  <c r="E7261" i="2"/>
  <c r="B7261" i="2"/>
  <c r="S7260" i="2"/>
  <c r="M7260" i="2"/>
  <c r="L7260" i="2"/>
  <c r="K7260" i="2"/>
  <c r="G7260" i="2"/>
  <c r="E7260" i="2"/>
  <c r="B7260" i="2"/>
  <c r="S7259" i="2"/>
  <c r="M7259" i="2"/>
  <c r="L7259" i="2"/>
  <c r="K7259" i="2"/>
  <c r="G7259" i="2"/>
  <c r="E7259" i="2"/>
  <c r="B7259" i="2"/>
  <c r="S7258" i="2"/>
  <c r="M7258" i="2"/>
  <c r="L7258" i="2"/>
  <c r="K7258" i="2"/>
  <c r="G7258" i="2"/>
  <c r="E7258" i="2"/>
  <c r="B7258" i="2"/>
  <c r="S7257" i="2"/>
  <c r="M7257" i="2"/>
  <c r="L7257" i="2"/>
  <c r="K7257" i="2"/>
  <c r="G7257" i="2"/>
  <c r="E7257" i="2"/>
  <c r="B7257" i="2"/>
  <c r="S7256" i="2"/>
  <c r="M7256" i="2"/>
  <c r="L7256" i="2"/>
  <c r="K7256" i="2"/>
  <c r="G7256" i="2"/>
  <c r="E7256" i="2"/>
  <c r="B7256" i="2"/>
  <c r="S7255" i="2"/>
  <c r="M7255" i="2"/>
  <c r="L7255" i="2"/>
  <c r="K7255" i="2"/>
  <c r="G7255" i="2"/>
  <c r="E7255" i="2"/>
  <c r="B7255" i="2"/>
  <c r="S7254" i="2"/>
  <c r="M7254" i="2"/>
  <c r="L7254" i="2"/>
  <c r="K7254" i="2"/>
  <c r="G7254" i="2"/>
  <c r="E7254" i="2"/>
  <c r="B7254" i="2"/>
  <c r="S7253" i="2"/>
  <c r="M7253" i="2"/>
  <c r="L7253" i="2"/>
  <c r="K7253" i="2"/>
  <c r="G7253" i="2"/>
  <c r="E7253" i="2"/>
  <c r="B7253" i="2"/>
  <c r="S7252" i="2"/>
  <c r="M7252" i="2"/>
  <c r="L7252" i="2"/>
  <c r="K7252" i="2"/>
  <c r="G7252" i="2"/>
  <c r="E7252" i="2"/>
  <c r="B7252" i="2"/>
  <c r="S7251" i="2"/>
  <c r="M7251" i="2"/>
  <c r="L7251" i="2"/>
  <c r="K7251" i="2"/>
  <c r="G7251" i="2"/>
  <c r="E7251" i="2"/>
  <c r="B7251" i="2"/>
  <c r="S7250" i="2"/>
  <c r="M7250" i="2"/>
  <c r="L7250" i="2"/>
  <c r="K7250" i="2"/>
  <c r="G7250" i="2"/>
  <c r="E7250" i="2"/>
  <c r="B7250" i="2"/>
  <c r="S7249" i="2"/>
  <c r="M7249" i="2"/>
  <c r="L7249" i="2"/>
  <c r="K7249" i="2"/>
  <c r="G7249" i="2"/>
  <c r="E7249" i="2"/>
  <c r="B7249" i="2"/>
  <c r="S7248" i="2"/>
  <c r="M7248" i="2"/>
  <c r="L7248" i="2"/>
  <c r="K7248" i="2"/>
  <c r="G7248" i="2"/>
  <c r="E7248" i="2"/>
  <c r="B7248" i="2"/>
  <c r="S7247" i="2"/>
  <c r="M7247" i="2"/>
  <c r="L7247" i="2"/>
  <c r="K7247" i="2"/>
  <c r="G7247" i="2"/>
  <c r="E7247" i="2"/>
  <c r="B7247" i="2"/>
  <c r="S7246" i="2"/>
  <c r="M7246" i="2"/>
  <c r="L7246" i="2"/>
  <c r="K7246" i="2"/>
  <c r="G7246" i="2"/>
  <c r="E7246" i="2"/>
  <c r="B7246" i="2"/>
  <c r="S7245" i="2"/>
  <c r="M7245" i="2"/>
  <c r="L7245" i="2"/>
  <c r="K7245" i="2"/>
  <c r="G7245" i="2"/>
  <c r="E7245" i="2"/>
  <c r="B7245" i="2"/>
  <c r="S7244" i="2"/>
  <c r="M7244" i="2"/>
  <c r="L7244" i="2"/>
  <c r="K7244" i="2"/>
  <c r="G7244" i="2"/>
  <c r="E7244" i="2"/>
  <c r="B7244" i="2"/>
  <c r="S7243" i="2"/>
  <c r="M7243" i="2"/>
  <c r="L7243" i="2"/>
  <c r="K7243" i="2"/>
  <c r="G7243" i="2"/>
  <c r="E7243" i="2"/>
  <c r="B7243" i="2"/>
  <c r="S7242" i="2"/>
  <c r="M7242" i="2"/>
  <c r="L7242" i="2"/>
  <c r="K7242" i="2"/>
  <c r="G7242" i="2"/>
  <c r="E7242" i="2"/>
  <c r="B7242" i="2"/>
  <c r="S7241" i="2"/>
  <c r="M7241" i="2"/>
  <c r="L7241" i="2"/>
  <c r="K7241" i="2"/>
  <c r="G7241" i="2"/>
  <c r="E7241" i="2"/>
  <c r="B7241" i="2"/>
  <c r="S7240" i="2"/>
  <c r="M7240" i="2"/>
  <c r="L7240" i="2"/>
  <c r="K7240" i="2"/>
  <c r="G7240" i="2"/>
  <c r="E7240" i="2"/>
  <c r="B7240" i="2"/>
  <c r="S7239" i="2"/>
  <c r="M7239" i="2"/>
  <c r="L7239" i="2"/>
  <c r="K7239" i="2"/>
  <c r="G7239" i="2"/>
  <c r="E7239" i="2"/>
  <c r="B7239" i="2"/>
  <c r="S7238" i="2"/>
  <c r="M7238" i="2"/>
  <c r="L7238" i="2"/>
  <c r="K7238" i="2"/>
  <c r="G7238" i="2"/>
  <c r="E7238" i="2"/>
  <c r="B7238" i="2"/>
  <c r="S7237" i="2"/>
  <c r="M7237" i="2"/>
  <c r="L7237" i="2"/>
  <c r="K7237" i="2"/>
  <c r="G7237" i="2"/>
  <c r="E7237" i="2"/>
  <c r="B7237" i="2"/>
  <c r="S7236" i="2"/>
  <c r="M7236" i="2"/>
  <c r="L7236" i="2"/>
  <c r="K7236" i="2"/>
  <c r="G7236" i="2"/>
  <c r="E7236" i="2"/>
  <c r="B7236" i="2"/>
  <c r="S7235" i="2"/>
  <c r="M7235" i="2"/>
  <c r="L7235" i="2"/>
  <c r="K7235" i="2"/>
  <c r="G7235" i="2"/>
  <c r="E7235" i="2"/>
  <c r="B7235" i="2"/>
  <c r="S7234" i="2"/>
  <c r="M7234" i="2"/>
  <c r="L7234" i="2"/>
  <c r="K7234" i="2"/>
  <c r="G7234" i="2"/>
  <c r="E7234" i="2"/>
  <c r="B7234" i="2"/>
  <c r="S7233" i="2"/>
  <c r="M7233" i="2"/>
  <c r="L7233" i="2"/>
  <c r="K7233" i="2"/>
  <c r="G7233" i="2"/>
  <c r="E7233" i="2"/>
  <c r="B7233" i="2"/>
  <c r="S7232" i="2"/>
  <c r="M7232" i="2"/>
  <c r="L7232" i="2"/>
  <c r="K7232" i="2"/>
  <c r="G7232" i="2"/>
  <c r="E7232" i="2"/>
  <c r="B7232" i="2"/>
  <c r="S7231" i="2"/>
  <c r="M7231" i="2"/>
  <c r="L7231" i="2"/>
  <c r="K7231" i="2"/>
  <c r="G7231" i="2"/>
  <c r="E7231" i="2"/>
  <c r="B7231" i="2"/>
  <c r="S7230" i="2"/>
  <c r="M7230" i="2"/>
  <c r="L7230" i="2"/>
  <c r="K7230" i="2"/>
  <c r="G7230" i="2"/>
  <c r="E7230" i="2"/>
  <c r="B7230" i="2"/>
  <c r="S7229" i="2"/>
  <c r="M7229" i="2"/>
  <c r="L7229" i="2"/>
  <c r="K7229" i="2"/>
  <c r="G7229" i="2"/>
  <c r="E7229" i="2"/>
  <c r="B7229" i="2"/>
  <c r="S7228" i="2"/>
  <c r="M7228" i="2"/>
  <c r="L7228" i="2"/>
  <c r="K7228" i="2"/>
  <c r="G7228" i="2"/>
  <c r="E7228" i="2"/>
  <c r="B7228" i="2"/>
  <c r="S7227" i="2"/>
  <c r="M7227" i="2"/>
  <c r="L7227" i="2"/>
  <c r="K7227" i="2"/>
  <c r="G7227" i="2"/>
  <c r="E7227" i="2"/>
  <c r="B7227" i="2"/>
  <c r="S7226" i="2"/>
  <c r="M7226" i="2"/>
  <c r="L7226" i="2"/>
  <c r="K7226" i="2"/>
  <c r="G7226" i="2"/>
  <c r="E7226" i="2"/>
  <c r="B7226" i="2"/>
  <c r="S7225" i="2"/>
  <c r="M7225" i="2"/>
  <c r="L7225" i="2"/>
  <c r="K7225" i="2"/>
  <c r="G7225" i="2"/>
  <c r="E7225" i="2"/>
  <c r="B7225" i="2"/>
  <c r="S7224" i="2"/>
  <c r="M7224" i="2"/>
  <c r="L7224" i="2"/>
  <c r="K7224" i="2"/>
  <c r="G7224" i="2"/>
  <c r="E7224" i="2"/>
  <c r="B7224" i="2"/>
  <c r="S7223" i="2"/>
  <c r="M7223" i="2"/>
  <c r="L7223" i="2"/>
  <c r="K7223" i="2"/>
  <c r="G7223" i="2"/>
  <c r="E7223" i="2"/>
  <c r="B7223" i="2"/>
  <c r="S7222" i="2"/>
  <c r="M7222" i="2"/>
  <c r="L7222" i="2"/>
  <c r="K7222" i="2"/>
  <c r="G7222" i="2"/>
  <c r="E7222" i="2"/>
  <c r="B7222" i="2"/>
  <c r="S7221" i="2"/>
  <c r="M7221" i="2"/>
  <c r="L7221" i="2"/>
  <c r="K7221" i="2"/>
  <c r="G7221" i="2"/>
  <c r="E7221" i="2"/>
  <c r="B7221" i="2"/>
  <c r="S7220" i="2"/>
  <c r="M7220" i="2"/>
  <c r="L7220" i="2"/>
  <c r="K7220" i="2"/>
  <c r="G7220" i="2"/>
  <c r="E7220" i="2"/>
  <c r="B7220" i="2"/>
  <c r="S7219" i="2"/>
  <c r="M7219" i="2"/>
  <c r="L7219" i="2"/>
  <c r="K7219" i="2"/>
  <c r="G7219" i="2"/>
  <c r="E7219" i="2"/>
  <c r="B7219" i="2"/>
  <c r="S7218" i="2"/>
  <c r="M7218" i="2"/>
  <c r="L7218" i="2"/>
  <c r="K7218" i="2"/>
  <c r="G7218" i="2"/>
  <c r="E7218" i="2"/>
  <c r="B7218" i="2"/>
  <c r="S7217" i="2"/>
  <c r="M7217" i="2"/>
  <c r="L7217" i="2"/>
  <c r="K7217" i="2"/>
  <c r="G7217" i="2"/>
  <c r="E7217" i="2"/>
  <c r="B7217" i="2"/>
  <c r="S7216" i="2"/>
  <c r="M7216" i="2"/>
  <c r="L7216" i="2"/>
  <c r="K7216" i="2"/>
  <c r="G7216" i="2"/>
  <c r="E7216" i="2"/>
  <c r="B7216" i="2"/>
  <c r="S7215" i="2"/>
  <c r="M7215" i="2"/>
  <c r="L7215" i="2"/>
  <c r="K7215" i="2"/>
  <c r="G7215" i="2"/>
  <c r="E7215" i="2"/>
  <c r="B7215" i="2"/>
  <c r="S7214" i="2"/>
  <c r="M7214" i="2"/>
  <c r="L7214" i="2"/>
  <c r="K7214" i="2"/>
  <c r="G7214" i="2"/>
  <c r="E7214" i="2"/>
  <c r="B7214" i="2"/>
  <c r="S7213" i="2"/>
  <c r="M7213" i="2"/>
  <c r="L7213" i="2"/>
  <c r="K7213" i="2"/>
  <c r="G7213" i="2"/>
  <c r="E7213" i="2"/>
  <c r="B7213" i="2"/>
  <c r="S7212" i="2"/>
  <c r="M7212" i="2"/>
  <c r="L7212" i="2"/>
  <c r="K7212" i="2"/>
  <c r="G7212" i="2"/>
  <c r="E7212" i="2"/>
  <c r="B7212" i="2"/>
  <c r="S7211" i="2"/>
  <c r="M7211" i="2"/>
  <c r="L7211" i="2"/>
  <c r="K7211" i="2"/>
  <c r="G7211" i="2"/>
  <c r="E7211" i="2"/>
  <c r="B7211" i="2"/>
  <c r="S7210" i="2"/>
  <c r="M7210" i="2"/>
  <c r="L7210" i="2"/>
  <c r="K7210" i="2"/>
  <c r="G7210" i="2"/>
  <c r="E7210" i="2"/>
  <c r="B7210" i="2"/>
  <c r="S7209" i="2"/>
  <c r="M7209" i="2"/>
  <c r="L7209" i="2"/>
  <c r="K7209" i="2"/>
  <c r="G7209" i="2"/>
  <c r="E7209" i="2"/>
  <c r="B7209" i="2"/>
  <c r="S7208" i="2"/>
  <c r="M7208" i="2"/>
  <c r="L7208" i="2"/>
  <c r="K7208" i="2"/>
  <c r="G7208" i="2"/>
  <c r="E7208" i="2"/>
  <c r="B7208" i="2"/>
  <c r="S7207" i="2"/>
  <c r="M7207" i="2"/>
  <c r="L7207" i="2"/>
  <c r="K7207" i="2"/>
  <c r="G7207" i="2"/>
  <c r="E7207" i="2"/>
  <c r="B7207" i="2"/>
  <c r="S7206" i="2"/>
  <c r="M7206" i="2"/>
  <c r="L7206" i="2"/>
  <c r="K7206" i="2"/>
  <c r="G7206" i="2"/>
  <c r="E7206" i="2"/>
  <c r="B7206" i="2"/>
  <c r="S7205" i="2"/>
  <c r="M7205" i="2"/>
  <c r="L7205" i="2"/>
  <c r="K7205" i="2"/>
  <c r="G7205" i="2"/>
  <c r="E7205" i="2"/>
  <c r="B7205" i="2"/>
  <c r="S7204" i="2"/>
  <c r="M7204" i="2"/>
  <c r="L7204" i="2"/>
  <c r="K7204" i="2"/>
  <c r="G7204" i="2"/>
  <c r="E7204" i="2"/>
  <c r="B7204" i="2"/>
  <c r="S7203" i="2"/>
  <c r="M7203" i="2"/>
  <c r="L7203" i="2"/>
  <c r="K7203" i="2"/>
  <c r="G7203" i="2"/>
  <c r="E7203" i="2"/>
  <c r="B7203" i="2"/>
  <c r="S7202" i="2"/>
  <c r="M7202" i="2"/>
  <c r="L7202" i="2"/>
  <c r="K7202" i="2"/>
  <c r="G7202" i="2"/>
  <c r="E7202" i="2"/>
  <c r="B7202" i="2"/>
  <c r="S7201" i="2"/>
  <c r="M7201" i="2"/>
  <c r="L7201" i="2"/>
  <c r="K7201" i="2"/>
  <c r="G7201" i="2"/>
  <c r="E7201" i="2"/>
  <c r="B7201" i="2"/>
  <c r="S7200" i="2"/>
  <c r="M7200" i="2"/>
  <c r="L7200" i="2"/>
  <c r="K7200" i="2"/>
  <c r="G7200" i="2"/>
  <c r="E7200" i="2"/>
  <c r="B7200" i="2"/>
  <c r="S7199" i="2"/>
  <c r="M7199" i="2"/>
  <c r="L7199" i="2"/>
  <c r="K7199" i="2"/>
  <c r="G7199" i="2"/>
  <c r="E7199" i="2"/>
  <c r="B7199" i="2"/>
  <c r="S7198" i="2"/>
  <c r="M7198" i="2"/>
  <c r="L7198" i="2"/>
  <c r="K7198" i="2"/>
  <c r="G7198" i="2"/>
  <c r="E7198" i="2"/>
  <c r="B7198" i="2"/>
  <c r="S7197" i="2"/>
  <c r="M7197" i="2"/>
  <c r="L7197" i="2"/>
  <c r="K7197" i="2"/>
  <c r="G7197" i="2"/>
  <c r="E7197" i="2"/>
  <c r="B7197" i="2"/>
  <c r="S7196" i="2"/>
  <c r="M7196" i="2"/>
  <c r="L7196" i="2"/>
  <c r="K7196" i="2"/>
  <c r="G7196" i="2"/>
  <c r="E7196" i="2"/>
  <c r="B7196" i="2"/>
  <c r="S7195" i="2"/>
  <c r="M7195" i="2"/>
  <c r="L7195" i="2"/>
  <c r="K7195" i="2"/>
  <c r="G7195" i="2"/>
  <c r="E7195" i="2"/>
  <c r="B7195" i="2"/>
  <c r="S7194" i="2"/>
  <c r="M7194" i="2"/>
  <c r="L7194" i="2"/>
  <c r="K7194" i="2"/>
  <c r="G7194" i="2"/>
  <c r="E7194" i="2"/>
  <c r="B7194" i="2"/>
  <c r="S7193" i="2"/>
  <c r="M7193" i="2"/>
  <c r="L7193" i="2"/>
  <c r="K7193" i="2"/>
  <c r="G7193" i="2"/>
  <c r="E7193" i="2"/>
  <c r="B7193" i="2"/>
  <c r="S7192" i="2"/>
  <c r="M7192" i="2"/>
  <c r="L7192" i="2"/>
  <c r="K7192" i="2"/>
  <c r="G7192" i="2"/>
  <c r="E7192" i="2"/>
  <c r="B7192" i="2"/>
  <c r="S7191" i="2"/>
  <c r="M7191" i="2"/>
  <c r="L7191" i="2"/>
  <c r="K7191" i="2"/>
  <c r="G7191" i="2"/>
  <c r="E7191" i="2"/>
  <c r="B7191" i="2"/>
  <c r="S7190" i="2"/>
  <c r="M7190" i="2"/>
  <c r="L7190" i="2"/>
  <c r="K7190" i="2"/>
  <c r="G7190" i="2"/>
  <c r="E7190" i="2"/>
  <c r="B7190" i="2"/>
  <c r="S7189" i="2"/>
  <c r="M7189" i="2"/>
  <c r="L7189" i="2"/>
  <c r="K7189" i="2"/>
  <c r="G7189" i="2"/>
  <c r="E7189" i="2"/>
  <c r="B7189" i="2"/>
  <c r="S7188" i="2"/>
  <c r="M7188" i="2"/>
  <c r="L7188" i="2"/>
  <c r="K7188" i="2"/>
  <c r="G7188" i="2"/>
  <c r="E7188" i="2"/>
  <c r="B7188" i="2"/>
  <c r="S7187" i="2"/>
  <c r="M7187" i="2"/>
  <c r="L7187" i="2"/>
  <c r="K7187" i="2"/>
  <c r="G7187" i="2"/>
  <c r="E7187" i="2"/>
  <c r="B7187" i="2"/>
  <c r="S7186" i="2"/>
  <c r="M7186" i="2"/>
  <c r="L7186" i="2"/>
  <c r="K7186" i="2"/>
  <c r="G7186" i="2"/>
  <c r="E7186" i="2"/>
  <c r="B7186" i="2"/>
  <c r="S7185" i="2"/>
  <c r="M7185" i="2"/>
  <c r="L7185" i="2"/>
  <c r="K7185" i="2"/>
  <c r="G7185" i="2"/>
  <c r="E7185" i="2"/>
  <c r="B7185" i="2"/>
  <c r="S7184" i="2"/>
  <c r="M7184" i="2"/>
  <c r="L7184" i="2"/>
  <c r="K7184" i="2"/>
  <c r="G7184" i="2"/>
  <c r="E7184" i="2"/>
  <c r="B7184" i="2"/>
  <c r="S7183" i="2"/>
  <c r="M7183" i="2"/>
  <c r="L7183" i="2"/>
  <c r="K7183" i="2"/>
  <c r="G7183" i="2"/>
  <c r="E7183" i="2"/>
  <c r="B7183" i="2"/>
  <c r="S7182" i="2"/>
  <c r="M7182" i="2"/>
  <c r="L7182" i="2"/>
  <c r="K7182" i="2"/>
  <c r="G7182" i="2"/>
  <c r="E7182" i="2"/>
  <c r="B7182" i="2"/>
  <c r="S7181" i="2"/>
  <c r="M7181" i="2"/>
  <c r="L7181" i="2"/>
  <c r="K7181" i="2"/>
  <c r="G7181" i="2"/>
  <c r="E7181" i="2"/>
  <c r="B7181" i="2"/>
  <c r="S7180" i="2"/>
  <c r="M7180" i="2"/>
  <c r="L7180" i="2"/>
  <c r="K7180" i="2"/>
  <c r="G7180" i="2"/>
  <c r="E7180" i="2"/>
  <c r="B7180" i="2"/>
  <c r="S7179" i="2"/>
  <c r="M7179" i="2"/>
  <c r="L7179" i="2"/>
  <c r="K7179" i="2"/>
  <c r="G7179" i="2"/>
  <c r="E7179" i="2"/>
  <c r="B7179" i="2"/>
  <c r="S7178" i="2"/>
  <c r="M7178" i="2"/>
  <c r="L7178" i="2"/>
  <c r="K7178" i="2"/>
  <c r="G7178" i="2"/>
  <c r="E7178" i="2"/>
  <c r="B7178" i="2"/>
  <c r="S7177" i="2"/>
  <c r="M7177" i="2"/>
  <c r="L7177" i="2"/>
  <c r="K7177" i="2"/>
  <c r="G7177" i="2"/>
  <c r="E7177" i="2"/>
  <c r="B7177" i="2"/>
  <c r="S7176" i="2"/>
  <c r="M7176" i="2"/>
  <c r="L7176" i="2"/>
  <c r="K7176" i="2"/>
  <c r="G7176" i="2"/>
  <c r="E7176" i="2"/>
  <c r="B7176" i="2"/>
  <c r="S7175" i="2"/>
  <c r="M7175" i="2"/>
  <c r="L7175" i="2"/>
  <c r="K7175" i="2"/>
  <c r="G7175" i="2"/>
  <c r="E7175" i="2"/>
  <c r="B7175" i="2"/>
  <c r="S7174" i="2"/>
  <c r="M7174" i="2"/>
  <c r="L7174" i="2"/>
  <c r="K7174" i="2"/>
  <c r="G7174" i="2"/>
  <c r="E7174" i="2"/>
  <c r="B7174" i="2"/>
  <c r="S7173" i="2"/>
  <c r="M7173" i="2"/>
  <c r="L7173" i="2"/>
  <c r="K7173" i="2"/>
  <c r="G7173" i="2"/>
  <c r="E7173" i="2"/>
  <c r="B7173" i="2"/>
  <c r="S7172" i="2"/>
  <c r="M7172" i="2"/>
  <c r="L7172" i="2"/>
  <c r="K7172" i="2"/>
  <c r="G7172" i="2"/>
  <c r="E7172" i="2"/>
  <c r="B7172" i="2"/>
  <c r="S7171" i="2"/>
  <c r="M7171" i="2"/>
  <c r="L7171" i="2"/>
  <c r="K7171" i="2"/>
  <c r="G7171" i="2"/>
  <c r="E7171" i="2"/>
  <c r="B7171" i="2"/>
  <c r="S7170" i="2"/>
  <c r="M7170" i="2"/>
  <c r="L7170" i="2"/>
  <c r="K7170" i="2"/>
  <c r="G7170" i="2"/>
  <c r="E7170" i="2"/>
  <c r="B7170" i="2"/>
  <c r="S7169" i="2"/>
  <c r="M7169" i="2"/>
  <c r="L7169" i="2"/>
  <c r="K7169" i="2"/>
  <c r="G7169" i="2"/>
  <c r="E7169" i="2"/>
  <c r="B7169" i="2"/>
  <c r="S7168" i="2"/>
  <c r="M7168" i="2"/>
  <c r="L7168" i="2"/>
  <c r="K7168" i="2"/>
  <c r="G7168" i="2"/>
  <c r="E7168" i="2"/>
  <c r="B7168" i="2"/>
  <c r="S7167" i="2"/>
  <c r="M7167" i="2"/>
  <c r="L7167" i="2"/>
  <c r="K7167" i="2"/>
  <c r="G7167" i="2"/>
  <c r="E7167" i="2"/>
  <c r="B7167" i="2"/>
  <c r="S7166" i="2"/>
  <c r="M7166" i="2"/>
  <c r="L7166" i="2"/>
  <c r="K7166" i="2"/>
  <c r="G7166" i="2"/>
  <c r="E7166" i="2"/>
  <c r="B7166" i="2"/>
  <c r="S7165" i="2"/>
  <c r="M7165" i="2"/>
  <c r="L7165" i="2"/>
  <c r="K7165" i="2"/>
  <c r="G7165" i="2"/>
  <c r="E7165" i="2"/>
  <c r="B7165" i="2"/>
  <c r="S7164" i="2"/>
  <c r="M7164" i="2"/>
  <c r="L7164" i="2"/>
  <c r="K7164" i="2"/>
  <c r="G7164" i="2"/>
  <c r="E7164" i="2"/>
  <c r="B7164" i="2"/>
  <c r="S7163" i="2"/>
  <c r="M7163" i="2"/>
  <c r="L7163" i="2"/>
  <c r="K7163" i="2"/>
  <c r="G7163" i="2"/>
  <c r="E7163" i="2"/>
  <c r="B7163" i="2"/>
  <c r="S7162" i="2"/>
  <c r="M7162" i="2"/>
  <c r="L7162" i="2"/>
  <c r="K7162" i="2"/>
  <c r="G7162" i="2"/>
  <c r="E7162" i="2"/>
  <c r="B7162" i="2"/>
  <c r="S7161" i="2"/>
  <c r="M7161" i="2"/>
  <c r="L7161" i="2"/>
  <c r="K7161" i="2"/>
  <c r="G7161" i="2"/>
  <c r="E7161" i="2"/>
  <c r="B7161" i="2"/>
  <c r="S7160" i="2"/>
  <c r="M7160" i="2"/>
  <c r="L7160" i="2"/>
  <c r="K7160" i="2"/>
  <c r="G7160" i="2"/>
  <c r="E7160" i="2"/>
  <c r="B7160" i="2"/>
  <c r="S7159" i="2"/>
  <c r="M7159" i="2"/>
  <c r="L7159" i="2"/>
  <c r="K7159" i="2"/>
  <c r="G7159" i="2"/>
  <c r="E7159" i="2"/>
  <c r="B7159" i="2"/>
  <c r="S7158" i="2"/>
  <c r="M7158" i="2"/>
  <c r="L7158" i="2"/>
  <c r="K7158" i="2"/>
  <c r="G7158" i="2"/>
  <c r="E7158" i="2"/>
  <c r="B7158" i="2"/>
  <c r="S7157" i="2"/>
  <c r="M7157" i="2"/>
  <c r="L7157" i="2"/>
  <c r="K7157" i="2"/>
  <c r="G7157" i="2"/>
  <c r="E7157" i="2"/>
  <c r="B7157" i="2"/>
  <c r="S7156" i="2"/>
  <c r="M7156" i="2"/>
  <c r="L7156" i="2"/>
  <c r="K7156" i="2"/>
  <c r="G7156" i="2"/>
  <c r="E7156" i="2"/>
  <c r="B7156" i="2"/>
  <c r="S7155" i="2"/>
  <c r="M7155" i="2"/>
  <c r="L7155" i="2"/>
  <c r="K7155" i="2"/>
  <c r="G7155" i="2"/>
  <c r="E7155" i="2"/>
  <c r="B7155" i="2"/>
  <c r="S7154" i="2"/>
  <c r="M7154" i="2"/>
  <c r="L7154" i="2"/>
  <c r="K7154" i="2"/>
  <c r="G7154" i="2"/>
  <c r="E7154" i="2"/>
  <c r="B7154" i="2"/>
  <c r="S7153" i="2"/>
  <c r="M7153" i="2"/>
  <c r="L7153" i="2"/>
  <c r="K7153" i="2"/>
  <c r="G7153" i="2"/>
  <c r="E7153" i="2"/>
  <c r="B7153" i="2"/>
  <c r="S7152" i="2"/>
  <c r="M7152" i="2"/>
  <c r="L7152" i="2"/>
  <c r="K7152" i="2"/>
  <c r="G7152" i="2"/>
  <c r="E7152" i="2"/>
  <c r="B7152" i="2"/>
  <c r="S7151" i="2"/>
  <c r="M7151" i="2"/>
  <c r="L7151" i="2"/>
  <c r="K7151" i="2"/>
  <c r="G7151" i="2"/>
  <c r="E7151" i="2"/>
  <c r="B7151" i="2"/>
  <c r="S7150" i="2"/>
  <c r="M7150" i="2"/>
  <c r="L7150" i="2"/>
  <c r="K7150" i="2"/>
  <c r="G7150" i="2"/>
  <c r="E7150" i="2"/>
  <c r="B7150" i="2"/>
  <c r="S7149" i="2"/>
  <c r="M7149" i="2"/>
  <c r="L7149" i="2"/>
  <c r="K7149" i="2"/>
  <c r="G7149" i="2"/>
  <c r="E7149" i="2"/>
  <c r="B7149" i="2"/>
  <c r="S7148" i="2"/>
  <c r="M7148" i="2"/>
  <c r="L7148" i="2"/>
  <c r="K7148" i="2"/>
  <c r="G7148" i="2"/>
  <c r="E7148" i="2"/>
  <c r="B7148" i="2"/>
  <c r="S7147" i="2"/>
  <c r="M7147" i="2"/>
  <c r="L7147" i="2"/>
  <c r="K7147" i="2"/>
  <c r="G7147" i="2"/>
  <c r="E7147" i="2"/>
  <c r="B7147" i="2"/>
  <c r="S7146" i="2"/>
  <c r="M7146" i="2"/>
  <c r="L7146" i="2"/>
  <c r="K7146" i="2"/>
  <c r="G7146" i="2"/>
  <c r="E7146" i="2"/>
  <c r="B7146" i="2"/>
  <c r="S7145" i="2"/>
  <c r="M7145" i="2"/>
  <c r="L7145" i="2"/>
  <c r="K7145" i="2"/>
  <c r="G7145" i="2"/>
  <c r="E7145" i="2"/>
  <c r="B7145" i="2"/>
  <c r="S7144" i="2"/>
  <c r="M7144" i="2"/>
  <c r="L7144" i="2"/>
  <c r="K7144" i="2"/>
  <c r="G7144" i="2"/>
  <c r="E7144" i="2"/>
  <c r="B7144" i="2"/>
  <c r="S7143" i="2"/>
  <c r="M7143" i="2"/>
  <c r="L7143" i="2"/>
  <c r="K7143" i="2"/>
  <c r="G7143" i="2"/>
  <c r="E7143" i="2"/>
  <c r="B7143" i="2"/>
  <c r="S7142" i="2"/>
  <c r="M7142" i="2"/>
  <c r="L7142" i="2"/>
  <c r="K7142" i="2"/>
  <c r="G7142" i="2"/>
  <c r="E7142" i="2"/>
  <c r="B7142" i="2"/>
  <c r="S7141" i="2"/>
  <c r="M7141" i="2"/>
  <c r="L7141" i="2"/>
  <c r="K7141" i="2"/>
  <c r="G7141" i="2"/>
  <c r="E7141" i="2"/>
  <c r="B7141" i="2"/>
  <c r="S7140" i="2"/>
  <c r="M7140" i="2"/>
  <c r="L7140" i="2"/>
  <c r="K7140" i="2"/>
  <c r="G7140" i="2"/>
  <c r="E7140" i="2"/>
  <c r="B7140" i="2"/>
  <c r="S7139" i="2"/>
  <c r="M7139" i="2"/>
  <c r="L7139" i="2"/>
  <c r="K7139" i="2"/>
  <c r="G7139" i="2"/>
  <c r="E7139" i="2"/>
  <c r="B7139" i="2"/>
  <c r="S7138" i="2"/>
  <c r="M7138" i="2"/>
  <c r="L7138" i="2"/>
  <c r="K7138" i="2"/>
  <c r="G7138" i="2"/>
  <c r="E7138" i="2"/>
  <c r="B7138" i="2"/>
  <c r="S7137" i="2"/>
  <c r="M7137" i="2"/>
  <c r="L7137" i="2"/>
  <c r="K7137" i="2"/>
  <c r="G7137" i="2"/>
  <c r="E7137" i="2"/>
  <c r="B7137" i="2"/>
  <c r="S7136" i="2"/>
  <c r="M7136" i="2"/>
  <c r="L7136" i="2"/>
  <c r="K7136" i="2"/>
  <c r="G7136" i="2"/>
  <c r="E7136" i="2"/>
  <c r="B7136" i="2"/>
  <c r="S7135" i="2"/>
  <c r="M7135" i="2"/>
  <c r="L7135" i="2"/>
  <c r="K7135" i="2"/>
  <c r="G7135" i="2"/>
  <c r="E7135" i="2"/>
  <c r="B7135" i="2"/>
  <c r="S7134" i="2"/>
  <c r="M7134" i="2"/>
  <c r="L7134" i="2"/>
  <c r="K7134" i="2"/>
  <c r="G7134" i="2"/>
  <c r="E7134" i="2"/>
  <c r="B7134" i="2"/>
  <c r="S7133" i="2"/>
  <c r="M7133" i="2"/>
  <c r="L7133" i="2"/>
  <c r="K7133" i="2"/>
  <c r="G7133" i="2"/>
  <c r="E7133" i="2"/>
  <c r="B7133" i="2"/>
  <c r="S7132" i="2"/>
  <c r="M7132" i="2"/>
  <c r="L7132" i="2"/>
  <c r="K7132" i="2"/>
  <c r="G7132" i="2"/>
  <c r="E7132" i="2"/>
  <c r="B7132" i="2"/>
  <c r="S7131" i="2"/>
  <c r="M7131" i="2"/>
  <c r="L7131" i="2"/>
  <c r="K7131" i="2"/>
  <c r="G7131" i="2"/>
  <c r="E7131" i="2"/>
  <c r="B7131" i="2"/>
  <c r="S7130" i="2"/>
  <c r="M7130" i="2"/>
  <c r="L7130" i="2"/>
  <c r="K7130" i="2"/>
  <c r="G7130" i="2"/>
  <c r="E7130" i="2"/>
  <c r="B7130" i="2"/>
  <c r="S7129" i="2"/>
  <c r="M7129" i="2"/>
  <c r="L7129" i="2"/>
  <c r="K7129" i="2"/>
  <c r="G7129" i="2"/>
  <c r="E7129" i="2"/>
  <c r="B7129" i="2"/>
  <c r="S7128" i="2"/>
  <c r="M7128" i="2"/>
  <c r="L7128" i="2"/>
  <c r="K7128" i="2"/>
  <c r="G7128" i="2"/>
  <c r="E7128" i="2"/>
  <c r="B7128" i="2"/>
  <c r="S7127" i="2"/>
  <c r="M7127" i="2"/>
  <c r="L7127" i="2"/>
  <c r="K7127" i="2"/>
  <c r="G7127" i="2"/>
  <c r="E7127" i="2"/>
  <c r="B7127" i="2"/>
  <c r="S7126" i="2"/>
  <c r="M7126" i="2"/>
  <c r="L7126" i="2"/>
  <c r="K7126" i="2"/>
  <c r="G7126" i="2"/>
  <c r="E7126" i="2"/>
  <c r="B7126" i="2"/>
  <c r="S7125" i="2"/>
  <c r="M7125" i="2"/>
  <c r="L7125" i="2"/>
  <c r="K7125" i="2"/>
  <c r="G7125" i="2"/>
  <c r="E7125" i="2"/>
  <c r="B7125" i="2"/>
  <c r="S7124" i="2"/>
  <c r="M7124" i="2"/>
  <c r="L7124" i="2"/>
  <c r="K7124" i="2"/>
  <c r="G7124" i="2"/>
  <c r="E7124" i="2"/>
  <c r="B7124" i="2"/>
  <c r="S7123" i="2"/>
  <c r="M7123" i="2"/>
  <c r="L7123" i="2"/>
  <c r="K7123" i="2"/>
  <c r="G7123" i="2"/>
  <c r="E7123" i="2"/>
  <c r="B7123" i="2"/>
  <c r="S7122" i="2"/>
  <c r="M7122" i="2"/>
  <c r="L7122" i="2"/>
  <c r="K7122" i="2"/>
  <c r="G7122" i="2"/>
  <c r="E7122" i="2"/>
  <c r="B7122" i="2"/>
  <c r="S7121" i="2"/>
  <c r="M7121" i="2"/>
  <c r="L7121" i="2"/>
  <c r="K7121" i="2"/>
  <c r="G7121" i="2"/>
  <c r="E7121" i="2"/>
  <c r="B7121" i="2"/>
  <c r="S7120" i="2"/>
  <c r="M7120" i="2"/>
  <c r="L7120" i="2"/>
  <c r="K7120" i="2"/>
  <c r="G7120" i="2"/>
  <c r="E7120" i="2"/>
  <c r="B7120" i="2"/>
  <c r="S7119" i="2"/>
  <c r="M7119" i="2"/>
  <c r="L7119" i="2"/>
  <c r="K7119" i="2"/>
  <c r="G7119" i="2"/>
  <c r="E7119" i="2"/>
  <c r="B7119" i="2"/>
  <c r="S7118" i="2"/>
  <c r="M7118" i="2"/>
  <c r="L7118" i="2"/>
  <c r="K7118" i="2"/>
  <c r="G7118" i="2"/>
  <c r="E7118" i="2"/>
  <c r="B7118" i="2"/>
  <c r="S7117" i="2"/>
  <c r="M7117" i="2"/>
  <c r="L7117" i="2"/>
  <c r="K7117" i="2"/>
  <c r="G7117" i="2"/>
  <c r="E7117" i="2"/>
  <c r="B7117" i="2"/>
  <c r="S7116" i="2"/>
  <c r="M7116" i="2"/>
  <c r="L7116" i="2"/>
  <c r="K7116" i="2"/>
  <c r="G7116" i="2"/>
  <c r="E7116" i="2"/>
  <c r="B7116" i="2"/>
  <c r="S7115" i="2"/>
  <c r="M7115" i="2"/>
  <c r="L7115" i="2"/>
  <c r="K7115" i="2"/>
  <c r="G7115" i="2"/>
  <c r="E7115" i="2"/>
  <c r="B7115" i="2"/>
  <c r="S7114" i="2"/>
  <c r="M7114" i="2"/>
  <c r="L7114" i="2"/>
  <c r="K7114" i="2"/>
  <c r="G7114" i="2"/>
  <c r="E7114" i="2"/>
  <c r="B7114" i="2"/>
  <c r="S7113" i="2"/>
  <c r="M7113" i="2"/>
  <c r="L7113" i="2"/>
  <c r="K7113" i="2"/>
  <c r="G7113" i="2"/>
  <c r="E7113" i="2"/>
  <c r="B7113" i="2"/>
  <c r="S7112" i="2"/>
  <c r="M7112" i="2"/>
  <c r="L7112" i="2"/>
  <c r="K7112" i="2"/>
  <c r="G7112" i="2"/>
  <c r="E7112" i="2"/>
  <c r="B7112" i="2"/>
  <c r="S7111" i="2"/>
  <c r="M7111" i="2"/>
  <c r="L7111" i="2"/>
  <c r="K7111" i="2"/>
  <c r="G7111" i="2"/>
  <c r="E7111" i="2"/>
  <c r="B7111" i="2"/>
  <c r="S7110" i="2"/>
  <c r="M7110" i="2"/>
  <c r="L7110" i="2"/>
  <c r="K7110" i="2"/>
  <c r="G7110" i="2"/>
  <c r="E7110" i="2"/>
  <c r="B7110" i="2"/>
  <c r="S7109" i="2"/>
  <c r="M7109" i="2"/>
  <c r="L7109" i="2"/>
  <c r="K7109" i="2"/>
  <c r="G7109" i="2"/>
  <c r="E7109" i="2"/>
  <c r="B7109" i="2"/>
  <c r="S7108" i="2"/>
  <c r="M7108" i="2"/>
  <c r="L7108" i="2"/>
  <c r="K7108" i="2"/>
  <c r="G7108" i="2"/>
  <c r="E7108" i="2"/>
  <c r="B7108" i="2"/>
  <c r="S7107" i="2"/>
  <c r="M7107" i="2"/>
  <c r="L7107" i="2"/>
  <c r="K7107" i="2"/>
  <c r="G7107" i="2"/>
  <c r="E7107" i="2"/>
  <c r="B7107" i="2"/>
  <c r="S7106" i="2"/>
  <c r="M7106" i="2"/>
  <c r="L7106" i="2"/>
  <c r="K7106" i="2"/>
  <c r="G7106" i="2"/>
  <c r="E7106" i="2"/>
  <c r="B7106" i="2"/>
  <c r="S7105" i="2"/>
  <c r="M7105" i="2"/>
  <c r="L7105" i="2"/>
  <c r="K7105" i="2"/>
  <c r="G7105" i="2"/>
  <c r="E7105" i="2"/>
  <c r="B7105" i="2"/>
  <c r="S7104" i="2"/>
  <c r="M7104" i="2"/>
  <c r="L7104" i="2"/>
  <c r="K7104" i="2"/>
  <c r="G7104" i="2"/>
  <c r="E7104" i="2"/>
  <c r="B7104" i="2"/>
  <c r="S7103" i="2"/>
  <c r="M7103" i="2"/>
  <c r="L7103" i="2"/>
  <c r="K7103" i="2"/>
  <c r="G7103" i="2"/>
  <c r="E7103" i="2"/>
  <c r="B7103" i="2"/>
  <c r="S7102" i="2"/>
  <c r="M7102" i="2"/>
  <c r="L7102" i="2"/>
  <c r="K7102" i="2"/>
  <c r="G7102" i="2"/>
  <c r="E7102" i="2"/>
  <c r="B7102" i="2"/>
  <c r="S7101" i="2"/>
  <c r="M7101" i="2"/>
  <c r="L7101" i="2"/>
  <c r="K7101" i="2"/>
  <c r="G7101" i="2"/>
  <c r="E7101" i="2"/>
  <c r="B7101" i="2"/>
  <c r="S7100" i="2"/>
  <c r="M7100" i="2"/>
  <c r="L7100" i="2"/>
  <c r="K7100" i="2"/>
  <c r="G7100" i="2"/>
  <c r="E7100" i="2"/>
  <c r="B7100" i="2"/>
  <c r="S7099" i="2"/>
  <c r="M7099" i="2"/>
  <c r="L7099" i="2"/>
  <c r="K7099" i="2"/>
  <c r="G7099" i="2"/>
  <c r="E7099" i="2"/>
  <c r="B7099" i="2"/>
  <c r="S7098" i="2"/>
  <c r="M7098" i="2"/>
  <c r="L7098" i="2"/>
  <c r="K7098" i="2"/>
  <c r="G7098" i="2"/>
  <c r="E7098" i="2"/>
  <c r="B7098" i="2"/>
  <c r="S7097" i="2"/>
  <c r="M7097" i="2"/>
  <c r="L7097" i="2"/>
  <c r="K7097" i="2"/>
  <c r="G7097" i="2"/>
  <c r="E7097" i="2"/>
  <c r="B7097" i="2"/>
  <c r="S7096" i="2"/>
  <c r="M7096" i="2"/>
  <c r="L7096" i="2"/>
  <c r="K7096" i="2"/>
  <c r="G7096" i="2"/>
  <c r="E7096" i="2"/>
  <c r="B7096" i="2"/>
  <c r="S7095" i="2"/>
  <c r="M7095" i="2"/>
  <c r="L7095" i="2"/>
  <c r="K7095" i="2"/>
  <c r="G7095" i="2"/>
  <c r="E7095" i="2"/>
  <c r="B7095" i="2"/>
  <c r="S7094" i="2"/>
  <c r="M7094" i="2"/>
  <c r="L7094" i="2"/>
  <c r="K7094" i="2"/>
  <c r="G7094" i="2"/>
  <c r="E7094" i="2"/>
  <c r="B7094" i="2"/>
  <c r="S7093" i="2"/>
  <c r="M7093" i="2"/>
  <c r="L7093" i="2"/>
  <c r="K7093" i="2"/>
  <c r="G7093" i="2"/>
  <c r="E7093" i="2"/>
  <c r="B7093" i="2"/>
  <c r="S7092" i="2"/>
  <c r="M7092" i="2"/>
  <c r="L7092" i="2"/>
  <c r="K7092" i="2"/>
  <c r="G7092" i="2"/>
  <c r="E7092" i="2"/>
  <c r="B7092" i="2"/>
  <c r="S7091" i="2"/>
  <c r="M7091" i="2"/>
  <c r="L7091" i="2"/>
  <c r="K7091" i="2"/>
  <c r="G7091" i="2"/>
  <c r="E7091" i="2"/>
  <c r="B7091" i="2"/>
  <c r="S7090" i="2"/>
  <c r="M7090" i="2"/>
  <c r="L7090" i="2"/>
  <c r="K7090" i="2"/>
  <c r="G7090" i="2"/>
  <c r="E7090" i="2"/>
  <c r="B7090" i="2"/>
  <c r="S7089" i="2"/>
  <c r="M7089" i="2"/>
  <c r="L7089" i="2"/>
  <c r="K7089" i="2"/>
  <c r="G7089" i="2"/>
  <c r="E7089" i="2"/>
  <c r="B7089" i="2"/>
  <c r="S7088" i="2"/>
  <c r="M7088" i="2"/>
  <c r="L7088" i="2"/>
  <c r="K7088" i="2"/>
  <c r="G7088" i="2"/>
  <c r="E7088" i="2"/>
  <c r="B7088" i="2"/>
  <c r="S7087" i="2"/>
  <c r="M7087" i="2"/>
  <c r="L7087" i="2"/>
  <c r="K7087" i="2"/>
  <c r="G7087" i="2"/>
  <c r="E7087" i="2"/>
  <c r="B7087" i="2"/>
  <c r="S7086" i="2"/>
  <c r="M7086" i="2"/>
  <c r="L7086" i="2"/>
  <c r="K7086" i="2"/>
  <c r="G7086" i="2"/>
  <c r="E7086" i="2"/>
  <c r="B7086" i="2"/>
  <c r="S7085" i="2"/>
  <c r="M7085" i="2"/>
  <c r="L7085" i="2"/>
  <c r="K7085" i="2"/>
  <c r="G7085" i="2"/>
  <c r="E7085" i="2"/>
  <c r="B7085" i="2"/>
  <c r="S7084" i="2"/>
  <c r="M7084" i="2"/>
  <c r="L7084" i="2"/>
  <c r="K7084" i="2"/>
  <c r="G7084" i="2"/>
  <c r="E7084" i="2"/>
  <c r="B7084" i="2"/>
  <c r="S7083" i="2"/>
  <c r="M7083" i="2"/>
  <c r="L7083" i="2"/>
  <c r="K7083" i="2"/>
  <c r="G7083" i="2"/>
  <c r="E7083" i="2"/>
  <c r="B7083" i="2"/>
  <c r="S7082" i="2"/>
  <c r="M7082" i="2"/>
  <c r="L7082" i="2"/>
  <c r="K7082" i="2"/>
  <c r="G7082" i="2"/>
  <c r="E7082" i="2"/>
  <c r="B7082" i="2"/>
  <c r="S7081" i="2"/>
  <c r="M7081" i="2"/>
  <c r="L7081" i="2"/>
  <c r="K7081" i="2"/>
  <c r="G7081" i="2"/>
  <c r="E7081" i="2"/>
  <c r="B7081" i="2"/>
  <c r="S7080" i="2"/>
  <c r="M7080" i="2"/>
  <c r="L7080" i="2"/>
  <c r="K7080" i="2"/>
  <c r="G7080" i="2"/>
  <c r="E7080" i="2"/>
  <c r="B7080" i="2"/>
  <c r="S7079" i="2"/>
  <c r="M7079" i="2"/>
  <c r="L7079" i="2"/>
  <c r="K7079" i="2"/>
  <c r="G7079" i="2"/>
  <c r="E7079" i="2"/>
  <c r="B7079" i="2"/>
  <c r="S7078" i="2"/>
  <c r="M7078" i="2"/>
  <c r="L7078" i="2"/>
  <c r="K7078" i="2"/>
  <c r="G7078" i="2"/>
  <c r="E7078" i="2"/>
  <c r="B7078" i="2"/>
  <c r="S7077" i="2"/>
  <c r="M7077" i="2"/>
  <c r="L7077" i="2"/>
  <c r="K7077" i="2"/>
  <c r="G7077" i="2"/>
  <c r="E7077" i="2"/>
  <c r="B7077" i="2"/>
  <c r="S7076" i="2"/>
  <c r="M7076" i="2"/>
  <c r="L7076" i="2"/>
  <c r="K7076" i="2"/>
  <c r="G7076" i="2"/>
  <c r="E7076" i="2"/>
  <c r="B7076" i="2"/>
  <c r="S7075" i="2"/>
  <c r="M7075" i="2"/>
  <c r="L7075" i="2"/>
  <c r="K7075" i="2"/>
  <c r="G7075" i="2"/>
  <c r="E7075" i="2"/>
  <c r="B7075" i="2"/>
  <c r="S7074" i="2"/>
  <c r="M7074" i="2"/>
  <c r="L7074" i="2"/>
  <c r="K7074" i="2"/>
  <c r="G7074" i="2"/>
  <c r="E7074" i="2"/>
  <c r="B7074" i="2"/>
  <c r="S7073" i="2"/>
  <c r="M7073" i="2"/>
  <c r="L7073" i="2"/>
  <c r="K7073" i="2"/>
  <c r="G7073" i="2"/>
  <c r="E7073" i="2"/>
  <c r="B7073" i="2"/>
  <c r="S7072" i="2"/>
  <c r="M7072" i="2"/>
  <c r="L7072" i="2"/>
  <c r="K7072" i="2"/>
  <c r="G7072" i="2"/>
  <c r="E7072" i="2"/>
  <c r="B7072" i="2"/>
  <c r="S7071" i="2"/>
  <c r="M7071" i="2"/>
  <c r="L7071" i="2"/>
  <c r="K7071" i="2"/>
  <c r="G7071" i="2"/>
  <c r="E7071" i="2"/>
  <c r="B7071" i="2"/>
  <c r="S7070" i="2"/>
  <c r="M7070" i="2"/>
  <c r="L7070" i="2"/>
  <c r="K7070" i="2"/>
  <c r="G7070" i="2"/>
  <c r="E7070" i="2"/>
  <c r="B7070" i="2"/>
  <c r="S7069" i="2"/>
  <c r="M7069" i="2"/>
  <c r="L7069" i="2"/>
  <c r="K7069" i="2"/>
  <c r="G7069" i="2"/>
  <c r="E7069" i="2"/>
  <c r="B7069" i="2"/>
  <c r="S7068" i="2"/>
  <c r="M7068" i="2"/>
  <c r="L7068" i="2"/>
  <c r="K7068" i="2"/>
  <c r="G7068" i="2"/>
  <c r="E7068" i="2"/>
  <c r="B7068" i="2"/>
  <c r="S7067" i="2"/>
  <c r="M7067" i="2"/>
  <c r="L7067" i="2"/>
  <c r="K7067" i="2"/>
  <c r="G7067" i="2"/>
  <c r="E7067" i="2"/>
  <c r="B7067" i="2"/>
  <c r="S7066" i="2"/>
  <c r="M7066" i="2"/>
  <c r="L7066" i="2"/>
  <c r="K7066" i="2"/>
  <c r="G7066" i="2"/>
  <c r="E7066" i="2"/>
  <c r="B7066" i="2"/>
  <c r="S7065" i="2"/>
  <c r="M7065" i="2"/>
  <c r="L7065" i="2"/>
  <c r="K7065" i="2"/>
  <c r="G7065" i="2"/>
  <c r="E7065" i="2"/>
  <c r="B7065" i="2"/>
  <c r="S7064" i="2"/>
  <c r="M7064" i="2"/>
  <c r="L7064" i="2"/>
  <c r="K7064" i="2"/>
  <c r="G7064" i="2"/>
  <c r="E7064" i="2"/>
  <c r="B7064" i="2"/>
  <c r="S7063" i="2"/>
  <c r="M7063" i="2"/>
  <c r="L7063" i="2"/>
  <c r="K7063" i="2"/>
  <c r="G7063" i="2"/>
  <c r="E7063" i="2"/>
  <c r="B7063" i="2"/>
  <c r="S7062" i="2"/>
  <c r="M7062" i="2"/>
  <c r="L7062" i="2"/>
  <c r="K7062" i="2"/>
  <c r="G7062" i="2"/>
  <c r="E7062" i="2"/>
  <c r="B7062" i="2"/>
  <c r="S7061" i="2"/>
  <c r="M7061" i="2"/>
  <c r="L7061" i="2"/>
  <c r="K7061" i="2"/>
  <c r="G7061" i="2"/>
  <c r="E7061" i="2"/>
  <c r="B7061" i="2"/>
  <c r="S7060" i="2"/>
  <c r="M7060" i="2"/>
  <c r="L7060" i="2"/>
  <c r="K7060" i="2"/>
  <c r="G7060" i="2"/>
  <c r="E7060" i="2"/>
  <c r="B7060" i="2"/>
  <c r="S7059" i="2"/>
  <c r="M7059" i="2"/>
  <c r="L7059" i="2"/>
  <c r="K7059" i="2"/>
  <c r="G7059" i="2"/>
  <c r="E7059" i="2"/>
  <c r="B7059" i="2"/>
  <c r="S7058" i="2"/>
  <c r="M7058" i="2"/>
  <c r="L7058" i="2"/>
  <c r="K7058" i="2"/>
  <c r="G7058" i="2"/>
  <c r="E7058" i="2"/>
  <c r="B7058" i="2"/>
  <c r="S7057" i="2"/>
  <c r="M7057" i="2"/>
  <c r="L7057" i="2"/>
  <c r="K7057" i="2"/>
  <c r="G7057" i="2"/>
  <c r="E7057" i="2"/>
  <c r="B7057" i="2"/>
  <c r="S7056" i="2"/>
  <c r="M7056" i="2"/>
  <c r="L7056" i="2"/>
  <c r="K7056" i="2"/>
  <c r="G7056" i="2"/>
  <c r="E7056" i="2"/>
  <c r="B7056" i="2"/>
  <c r="S7055" i="2"/>
  <c r="M7055" i="2"/>
  <c r="L7055" i="2"/>
  <c r="K7055" i="2"/>
  <c r="G7055" i="2"/>
  <c r="E7055" i="2"/>
  <c r="B7055" i="2"/>
  <c r="S7054" i="2"/>
  <c r="M7054" i="2"/>
  <c r="L7054" i="2"/>
  <c r="K7054" i="2"/>
  <c r="G7054" i="2"/>
  <c r="E7054" i="2"/>
  <c r="B7054" i="2"/>
  <c r="S7053" i="2"/>
  <c r="M7053" i="2"/>
  <c r="L7053" i="2"/>
  <c r="K7053" i="2"/>
  <c r="G7053" i="2"/>
  <c r="E7053" i="2"/>
  <c r="B7053" i="2"/>
  <c r="S7052" i="2"/>
  <c r="M7052" i="2"/>
  <c r="L7052" i="2"/>
  <c r="K7052" i="2"/>
  <c r="G7052" i="2"/>
  <c r="E7052" i="2"/>
  <c r="B7052" i="2"/>
  <c r="S7051" i="2"/>
  <c r="M7051" i="2"/>
  <c r="L7051" i="2"/>
  <c r="K7051" i="2"/>
  <c r="G7051" i="2"/>
  <c r="E7051" i="2"/>
  <c r="B7051" i="2"/>
  <c r="S7050" i="2"/>
  <c r="M7050" i="2"/>
  <c r="L7050" i="2"/>
  <c r="K7050" i="2"/>
  <c r="G7050" i="2"/>
  <c r="E7050" i="2"/>
  <c r="B7050" i="2"/>
  <c r="S7049" i="2"/>
  <c r="M7049" i="2"/>
  <c r="L7049" i="2"/>
  <c r="K7049" i="2"/>
  <c r="G7049" i="2"/>
  <c r="E7049" i="2"/>
  <c r="B7049" i="2"/>
  <c r="S7048" i="2"/>
  <c r="M7048" i="2"/>
  <c r="L7048" i="2"/>
  <c r="K7048" i="2"/>
  <c r="G7048" i="2"/>
  <c r="E7048" i="2"/>
  <c r="B7048" i="2"/>
  <c r="S7047" i="2"/>
  <c r="M7047" i="2"/>
  <c r="L7047" i="2"/>
  <c r="K7047" i="2"/>
  <c r="G7047" i="2"/>
  <c r="E7047" i="2"/>
  <c r="B7047" i="2"/>
  <c r="S7046" i="2"/>
  <c r="M7046" i="2"/>
  <c r="L7046" i="2"/>
  <c r="K7046" i="2"/>
  <c r="G7046" i="2"/>
  <c r="E7046" i="2"/>
  <c r="B7046" i="2"/>
  <c r="S7045" i="2"/>
  <c r="M7045" i="2"/>
  <c r="L7045" i="2"/>
  <c r="K7045" i="2"/>
  <c r="G7045" i="2"/>
  <c r="E7045" i="2"/>
  <c r="B7045" i="2"/>
  <c r="S7044" i="2"/>
  <c r="M7044" i="2"/>
  <c r="L7044" i="2"/>
  <c r="K7044" i="2"/>
  <c r="G7044" i="2"/>
  <c r="E7044" i="2"/>
  <c r="B7044" i="2"/>
  <c r="S7043" i="2"/>
  <c r="M7043" i="2"/>
  <c r="L7043" i="2"/>
  <c r="K7043" i="2"/>
  <c r="G7043" i="2"/>
  <c r="E7043" i="2"/>
  <c r="B7043" i="2"/>
  <c r="S7042" i="2"/>
  <c r="M7042" i="2"/>
  <c r="L7042" i="2"/>
  <c r="K7042" i="2"/>
  <c r="G7042" i="2"/>
  <c r="E7042" i="2"/>
  <c r="B7042" i="2"/>
  <c r="S7041" i="2"/>
  <c r="M7041" i="2"/>
  <c r="L7041" i="2"/>
  <c r="K7041" i="2"/>
  <c r="G7041" i="2"/>
  <c r="E7041" i="2"/>
  <c r="B7041" i="2"/>
  <c r="S7040" i="2"/>
  <c r="M7040" i="2"/>
  <c r="L7040" i="2"/>
  <c r="K7040" i="2"/>
  <c r="G7040" i="2"/>
  <c r="E7040" i="2"/>
  <c r="B7040" i="2"/>
  <c r="S7039" i="2"/>
  <c r="M7039" i="2"/>
  <c r="L7039" i="2"/>
  <c r="K7039" i="2"/>
  <c r="G7039" i="2"/>
  <c r="E7039" i="2"/>
  <c r="B7039" i="2"/>
  <c r="S7038" i="2"/>
  <c r="M7038" i="2"/>
  <c r="L7038" i="2"/>
  <c r="K7038" i="2"/>
  <c r="G7038" i="2"/>
  <c r="E7038" i="2"/>
  <c r="B7038" i="2"/>
  <c r="S7037" i="2"/>
  <c r="M7037" i="2"/>
  <c r="L7037" i="2"/>
  <c r="K7037" i="2"/>
  <c r="G7037" i="2"/>
  <c r="E7037" i="2"/>
  <c r="B7037" i="2"/>
  <c r="S7036" i="2"/>
  <c r="M7036" i="2"/>
  <c r="L7036" i="2"/>
  <c r="K7036" i="2"/>
  <c r="G7036" i="2"/>
  <c r="E7036" i="2"/>
  <c r="B7036" i="2"/>
  <c r="S7035" i="2"/>
  <c r="M7035" i="2"/>
  <c r="L7035" i="2"/>
  <c r="K7035" i="2"/>
  <c r="G7035" i="2"/>
  <c r="E7035" i="2"/>
  <c r="B7035" i="2"/>
  <c r="S7034" i="2"/>
  <c r="M7034" i="2"/>
  <c r="L7034" i="2"/>
  <c r="K7034" i="2"/>
  <c r="G7034" i="2"/>
  <c r="E7034" i="2"/>
  <c r="B7034" i="2"/>
  <c r="S7033" i="2"/>
  <c r="M7033" i="2"/>
  <c r="L7033" i="2"/>
  <c r="K7033" i="2"/>
  <c r="G7033" i="2"/>
  <c r="E7033" i="2"/>
  <c r="B7033" i="2"/>
  <c r="S7032" i="2"/>
  <c r="M7032" i="2"/>
  <c r="L7032" i="2"/>
  <c r="K7032" i="2"/>
  <c r="G7032" i="2"/>
  <c r="E7032" i="2"/>
  <c r="B7032" i="2"/>
  <c r="S7031" i="2"/>
  <c r="M7031" i="2"/>
  <c r="L7031" i="2"/>
  <c r="K7031" i="2"/>
  <c r="G7031" i="2"/>
  <c r="E7031" i="2"/>
  <c r="B7031" i="2"/>
  <c r="S7030" i="2"/>
  <c r="M7030" i="2"/>
  <c r="L7030" i="2"/>
  <c r="K7030" i="2"/>
  <c r="G7030" i="2"/>
  <c r="E7030" i="2"/>
  <c r="B7030" i="2"/>
  <c r="S7029" i="2"/>
  <c r="M7029" i="2"/>
  <c r="L7029" i="2"/>
  <c r="K7029" i="2"/>
  <c r="G7029" i="2"/>
  <c r="E7029" i="2"/>
  <c r="B7029" i="2"/>
  <c r="S7028" i="2"/>
  <c r="M7028" i="2"/>
  <c r="L7028" i="2"/>
  <c r="K7028" i="2"/>
  <c r="G7028" i="2"/>
  <c r="E7028" i="2"/>
  <c r="B7028" i="2"/>
  <c r="S7027" i="2"/>
  <c r="M7027" i="2"/>
  <c r="L7027" i="2"/>
  <c r="K7027" i="2"/>
  <c r="G7027" i="2"/>
  <c r="E7027" i="2"/>
  <c r="B7027" i="2"/>
  <c r="S7026" i="2"/>
  <c r="M7026" i="2"/>
  <c r="L7026" i="2"/>
  <c r="K7026" i="2"/>
  <c r="G7026" i="2"/>
  <c r="E7026" i="2"/>
  <c r="B7026" i="2"/>
  <c r="S7025" i="2"/>
  <c r="M7025" i="2"/>
  <c r="L7025" i="2"/>
  <c r="K7025" i="2"/>
  <c r="G7025" i="2"/>
  <c r="E7025" i="2"/>
  <c r="B7025" i="2"/>
  <c r="S7024" i="2"/>
  <c r="M7024" i="2"/>
  <c r="L7024" i="2"/>
  <c r="K7024" i="2"/>
  <c r="G7024" i="2"/>
  <c r="E7024" i="2"/>
  <c r="B7024" i="2"/>
  <c r="S7023" i="2"/>
  <c r="M7023" i="2"/>
  <c r="L7023" i="2"/>
  <c r="K7023" i="2"/>
  <c r="G7023" i="2"/>
  <c r="E7023" i="2"/>
  <c r="B7023" i="2"/>
  <c r="S7022" i="2"/>
  <c r="M7022" i="2"/>
  <c r="L7022" i="2"/>
  <c r="K7022" i="2"/>
  <c r="G7022" i="2"/>
  <c r="E7022" i="2"/>
  <c r="B7022" i="2"/>
  <c r="S7021" i="2"/>
  <c r="M7021" i="2"/>
  <c r="L7021" i="2"/>
  <c r="K7021" i="2"/>
  <c r="G7021" i="2"/>
  <c r="E7021" i="2"/>
  <c r="B7021" i="2"/>
  <c r="S7020" i="2"/>
  <c r="M7020" i="2"/>
  <c r="L7020" i="2"/>
  <c r="K7020" i="2"/>
  <c r="G7020" i="2"/>
  <c r="E7020" i="2"/>
  <c r="B7020" i="2"/>
  <c r="S7019" i="2"/>
  <c r="M7019" i="2"/>
  <c r="L7019" i="2"/>
  <c r="K7019" i="2"/>
  <c r="G7019" i="2"/>
  <c r="E7019" i="2"/>
  <c r="B7019" i="2"/>
  <c r="S7018" i="2"/>
  <c r="M7018" i="2"/>
  <c r="L7018" i="2"/>
  <c r="K7018" i="2"/>
  <c r="G7018" i="2"/>
  <c r="E7018" i="2"/>
  <c r="B7018" i="2"/>
  <c r="S7017" i="2"/>
  <c r="M7017" i="2"/>
  <c r="L7017" i="2"/>
  <c r="K7017" i="2"/>
  <c r="G7017" i="2"/>
  <c r="E7017" i="2"/>
  <c r="B7017" i="2"/>
  <c r="S7016" i="2"/>
  <c r="M7016" i="2"/>
  <c r="L7016" i="2"/>
  <c r="K7016" i="2"/>
  <c r="G7016" i="2"/>
  <c r="E7016" i="2"/>
  <c r="B7016" i="2"/>
  <c r="S7015" i="2"/>
  <c r="M7015" i="2"/>
  <c r="L7015" i="2"/>
  <c r="K7015" i="2"/>
  <c r="G7015" i="2"/>
  <c r="E7015" i="2"/>
  <c r="B7015" i="2"/>
  <c r="S7014" i="2"/>
  <c r="M7014" i="2"/>
  <c r="L7014" i="2"/>
  <c r="K7014" i="2"/>
  <c r="G7014" i="2"/>
  <c r="E7014" i="2"/>
  <c r="B7014" i="2"/>
  <c r="S7013" i="2"/>
  <c r="M7013" i="2"/>
  <c r="L7013" i="2"/>
  <c r="K7013" i="2"/>
  <c r="G7013" i="2"/>
  <c r="E7013" i="2"/>
  <c r="B7013" i="2"/>
  <c r="S7012" i="2"/>
  <c r="M7012" i="2"/>
  <c r="L7012" i="2"/>
  <c r="K7012" i="2"/>
  <c r="G7012" i="2"/>
  <c r="E7012" i="2"/>
  <c r="B7012" i="2"/>
  <c r="S7011" i="2"/>
  <c r="M7011" i="2"/>
  <c r="L7011" i="2"/>
  <c r="K7011" i="2"/>
  <c r="G7011" i="2"/>
  <c r="E7011" i="2"/>
  <c r="B7011" i="2"/>
  <c r="S7010" i="2"/>
  <c r="M7010" i="2"/>
  <c r="L7010" i="2"/>
  <c r="K7010" i="2"/>
  <c r="G7010" i="2"/>
  <c r="E7010" i="2"/>
  <c r="B7010" i="2"/>
  <c r="S7009" i="2"/>
  <c r="M7009" i="2"/>
  <c r="L7009" i="2"/>
  <c r="K7009" i="2"/>
  <c r="G7009" i="2"/>
  <c r="E7009" i="2"/>
  <c r="B7009" i="2"/>
  <c r="S7008" i="2"/>
  <c r="M7008" i="2"/>
  <c r="L7008" i="2"/>
  <c r="K7008" i="2"/>
  <c r="G7008" i="2"/>
  <c r="E7008" i="2"/>
  <c r="B7008" i="2"/>
  <c r="S7007" i="2"/>
  <c r="M7007" i="2"/>
  <c r="L7007" i="2"/>
  <c r="K7007" i="2"/>
  <c r="G7007" i="2"/>
  <c r="E7007" i="2"/>
  <c r="B7007" i="2"/>
  <c r="S7006" i="2"/>
  <c r="M7006" i="2"/>
  <c r="L7006" i="2"/>
  <c r="K7006" i="2"/>
  <c r="G7006" i="2"/>
  <c r="E7006" i="2"/>
  <c r="B7006" i="2"/>
  <c r="S7005" i="2"/>
  <c r="M7005" i="2"/>
  <c r="L7005" i="2"/>
  <c r="K7005" i="2"/>
  <c r="G7005" i="2"/>
  <c r="E7005" i="2"/>
  <c r="B7005" i="2"/>
  <c r="S7004" i="2"/>
  <c r="M7004" i="2"/>
  <c r="L7004" i="2"/>
  <c r="K7004" i="2"/>
  <c r="G7004" i="2"/>
  <c r="E7004" i="2"/>
  <c r="B7004" i="2"/>
  <c r="S7003" i="2"/>
  <c r="M7003" i="2"/>
  <c r="L7003" i="2"/>
  <c r="K7003" i="2"/>
  <c r="G7003" i="2"/>
  <c r="E7003" i="2"/>
  <c r="B7003" i="2"/>
  <c r="S7002" i="2"/>
  <c r="M7002" i="2"/>
  <c r="L7002" i="2"/>
  <c r="K7002" i="2"/>
  <c r="G7002" i="2"/>
  <c r="E7002" i="2"/>
  <c r="B7002" i="2"/>
  <c r="S7001" i="2"/>
  <c r="M7001" i="2"/>
  <c r="L7001" i="2"/>
  <c r="K7001" i="2"/>
  <c r="G7001" i="2"/>
  <c r="E7001" i="2"/>
  <c r="B7001" i="2"/>
  <c r="S7000" i="2"/>
  <c r="M7000" i="2"/>
  <c r="L7000" i="2"/>
  <c r="K7000" i="2"/>
  <c r="G7000" i="2"/>
  <c r="E7000" i="2"/>
  <c r="B7000" i="2"/>
  <c r="S6999" i="2"/>
  <c r="M6999" i="2"/>
  <c r="L6999" i="2"/>
  <c r="K6999" i="2"/>
  <c r="G6999" i="2"/>
  <c r="E6999" i="2"/>
  <c r="B6999" i="2"/>
  <c r="S6998" i="2"/>
  <c r="M6998" i="2"/>
  <c r="L6998" i="2"/>
  <c r="K6998" i="2"/>
  <c r="G6998" i="2"/>
  <c r="E6998" i="2"/>
  <c r="B6998" i="2"/>
  <c r="S6997" i="2"/>
  <c r="M6997" i="2"/>
  <c r="L6997" i="2"/>
  <c r="K6997" i="2"/>
  <c r="G6997" i="2"/>
  <c r="E6997" i="2"/>
  <c r="B6997" i="2"/>
  <c r="S6996" i="2"/>
  <c r="M6996" i="2"/>
  <c r="L6996" i="2"/>
  <c r="K6996" i="2"/>
  <c r="G6996" i="2"/>
  <c r="E6996" i="2"/>
  <c r="B6996" i="2"/>
  <c r="S6995" i="2"/>
  <c r="M6995" i="2"/>
  <c r="L6995" i="2"/>
  <c r="K6995" i="2"/>
  <c r="G6995" i="2"/>
  <c r="E6995" i="2"/>
  <c r="B6995" i="2"/>
  <c r="S6994" i="2"/>
  <c r="M6994" i="2"/>
  <c r="L6994" i="2"/>
  <c r="K6994" i="2"/>
  <c r="G6994" i="2"/>
  <c r="E6994" i="2"/>
  <c r="B6994" i="2"/>
  <c r="S6993" i="2"/>
  <c r="M6993" i="2"/>
  <c r="L6993" i="2"/>
  <c r="K6993" i="2"/>
  <c r="G6993" i="2"/>
  <c r="E6993" i="2"/>
  <c r="B6993" i="2"/>
  <c r="S6992" i="2"/>
  <c r="M6992" i="2"/>
  <c r="L6992" i="2"/>
  <c r="K6992" i="2"/>
  <c r="G6992" i="2"/>
  <c r="E6992" i="2"/>
  <c r="B6992" i="2"/>
  <c r="S6991" i="2"/>
  <c r="M6991" i="2"/>
  <c r="L6991" i="2"/>
  <c r="K6991" i="2"/>
  <c r="G6991" i="2"/>
  <c r="E6991" i="2"/>
  <c r="B6991" i="2"/>
  <c r="S6990" i="2"/>
  <c r="M6990" i="2"/>
  <c r="L6990" i="2"/>
  <c r="K6990" i="2"/>
  <c r="G6990" i="2"/>
  <c r="E6990" i="2"/>
  <c r="B6990" i="2"/>
  <c r="S6989" i="2"/>
  <c r="M6989" i="2"/>
  <c r="L6989" i="2"/>
  <c r="K6989" i="2"/>
  <c r="G6989" i="2"/>
  <c r="E6989" i="2"/>
  <c r="B6989" i="2"/>
  <c r="S6988" i="2"/>
  <c r="M6988" i="2"/>
  <c r="L6988" i="2"/>
  <c r="K6988" i="2"/>
  <c r="G6988" i="2"/>
  <c r="E6988" i="2"/>
  <c r="B6988" i="2"/>
  <c r="S6987" i="2"/>
  <c r="M6987" i="2"/>
  <c r="L6987" i="2"/>
  <c r="K6987" i="2"/>
  <c r="G6987" i="2"/>
  <c r="E6987" i="2"/>
  <c r="B6987" i="2"/>
  <c r="S6986" i="2"/>
  <c r="M6986" i="2"/>
  <c r="L6986" i="2"/>
  <c r="K6986" i="2"/>
  <c r="G6986" i="2"/>
  <c r="E6986" i="2"/>
  <c r="B6986" i="2"/>
  <c r="S6985" i="2"/>
  <c r="M6985" i="2"/>
  <c r="L6985" i="2"/>
  <c r="K6985" i="2"/>
  <c r="G6985" i="2"/>
  <c r="E6985" i="2"/>
  <c r="B6985" i="2"/>
  <c r="S6984" i="2"/>
  <c r="M6984" i="2"/>
  <c r="L6984" i="2"/>
  <c r="K6984" i="2"/>
  <c r="G6984" i="2"/>
  <c r="E6984" i="2"/>
  <c r="B6984" i="2"/>
  <c r="S6983" i="2"/>
  <c r="M6983" i="2"/>
  <c r="L6983" i="2"/>
  <c r="K6983" i="2"/>
  <c r="G6983" i="2"/>
  <c r="E6983" i="2"/>
  <c r="B6983" i="2"/>
  <c r="S6982" i="2"/>
  <c r="M6982" i="2"/>
  <c r="L6982" i="2"/>
  <c r="K6982" i="2"/>
  <c r="G6982" i="2"/>
  <c r="E6982" i="2"/>
  <c r="B6982" i="2"/>
  <c r="S6981" i="2"/>
  <c r="M6981" i="2"/>
  <c r="L6981" i="2"/>
  <c r="K6981" i="2"/>
  <c r="G6981" i="2"/>
  <c r="E6981" i="2"/>
  <c r="B6981" i="2"/>
  <c r="S6980" i="2"/>
  <c r="M6980" i="2"/>
  <c r="L6980" i="2"/>
  <c r="K6980" i="2"/>
  <c r="G6980" i="2"/>
  <c r="E6980" i="2"/>
  <c r="B6980" i="2"/>
  <c r="S6979" i="2"/>
  <c r="M6979" i="2"/>
  <c r="L6979" i="2"/>
  <c r="K6979" i="2"/>
  <c r="G6979" i="2"/>
  <c r="E6979" i="2"/>
  <c r="B6979" i="2"/>
  <c r="S6978" i="2"/>
  <c r="M6978" i="2"/>
  <c r="L6978" i="2"/>
  <c r="K6978" i="2"/>
  <c r="G6978" i="2"/>
  <c r="E6978" i="2"/>
  <c r="B6978" i="2"/>
  <c r="S6977" i="2"/>
  <c r="M6977" i="2"/>
  <c r="L6977" i="2"/>
  <c r="K6977" i="2"/>
  <c r="G6977" i="2"/>
  <c r="E6977" i="2"/>
  <c r="B6977" i="2"/>
  <c r="S6976" i="2"/>
  <c r="M6976" i="2"/>
  <c r="L6976" i="2"/>
  <c r="K6976" i="2"/>
  <c r="G6976" i="2"/>
  <c r="E6976" i="2"/>
  <c r="B6976" i="2"/>
  <c r="S6975" i="2"/>
  <c r="M6975" i="2"/>
  <c r="L6975" i="2"/>
  <c r="K6975" i="2"/>
  <c r="G6975" i="2"/>
  <c r="E6975" i="2"/>
  <c r="B6975" i="2"/>
  <c r="S6974" i="2"/>
  <c r="M6974" i="2"/>
  <c r="L6974" i="2"/>
  <c r="K6974" i="2"/>
  <c r="G6974" i="2"/>
  <c r="E6974" i="2"/>
  <c r="B6974" i="2"/>
  <c r="S6973" i="2"/>
  <c r="M6973" i="2"/>
  <c r="L6973" i="2"/>
  <c r="K6973" i="2"/>
  <c r="G6973" i="2"/>
  <c r="E6973" i="2"/>
  <c r="B6973" i="2"/>
  <c r="S6972" i="2"/>
  <c r="M6972" i="2"/>
  <c r="L6972" i="2"/>
  <c r="K6972" i="2"/>
  <c r="G6972" i="2"/>
  <c r="E6972" i="2"/>
  <c r="B6972" i="2"/>
  <c r="S6971" i="2"/>
  <c r="M6971" i="2"/>
  <c r="L6971" i="2"/>
  <c r="K6971" i="2"/>
  <c r="G6971" i="2"/>
  <c r="E6971" i="2"/>
  <c r="B6971" i="2"/>
  <c r="S6970" i="2"/>
  <c r="M6970" i="2"/>
  <c r="L6970" i="2"/>
  <c r="K6970" i="2"/>
  <c r="G6970" i="2"/>
  <c r="E6970" i="2"/>
  <c r="B6970" i="2"/>
  <c r="S6969" i="2"/>
  <c r="M6969" i="2"/>
  <c r="L6969" i="2"/>
  <c r="K6969" i="2"/>
  <c r="G6969" i="2"/>
  <c r="E6969" i="2"/>
  <c r="B6969" i="2"/>
  <c r="S6968" i="2"/>
  <c r="M6968" i="2"/>
  <c r="L6968" i="2"/>
  <c r="K6968" i="2"/>
  <c r="G6968" i="2"/>
  <c r="E6968" i="2"/>
  <c r="B6968" i="2"/>
  <c r="S6967" i="2"/>
  <c r="M6967" i="2"/>
  <c r="L6967" i="2"/>
  <c r="K6967" i="2"/>
  <c r="G6967" i="2"/>
  <c r="E6967" i="2"/>
  <c r="B6967" i="2"/>
  <c r="S6966" i="2"/>
  <c r="M6966" i="2"/>
  <c r="L6966" i="2"/>
  <c r="K6966" i="2"/>
  <c r="G6966" i="2"/>
  <c r="E6966" i="2"/>
  <c r="B6966" i="2"/>
  <c r="S6965" i="2"/>
  <c r="M6965" i="2"/>
  <c r="L6965" i="2"/>
  <c r="K6965" i="2"/>
  <c r="G6965" i="2"/>
  <c r="E6965" i="2"/>
  <c r="B6965" i="2"/>
  <c r="S6964" i="2"/>
  <c r="M6964" i="2"/>
  <c r="L6964" i="2"/>
  <c r="K6964" i="2"/>
  <c r="G6964" i="2"/>
  <c r="E6964" i="2"/>
  <c r="B6964" i="2"/>
  <c r="S6963" i="2"/>
  <c r="M6963" i="2"/>
  <c r="L6963" i="2"/>
  <c r="K6963" i="2"/>
  <c r="G6963" i="2"/>
  <c r="E6963" i="2"/>
  <c r="B6963" i="2"/>
  <c r="S6962" i="2"/>
  <c r="M6962" i="2"/>
  <c r="L6962" i="2"/>
  <c r="K6962" i="2"/>
  <c r="G6962" i="2"/>
  <c r="E6962" i="2"/>
  <c r="B6962" i="2"/>
  <c r="S6961" i="2"/>
  <c r="M6961" i="2"/>
  <c r="L6961" i="2"/>
  <c r="K6961" i="2"/>
  <c r="G6961" i="2"/>
  <c r="E6961" i="2"/>
  <c r="B6961" i="2"/>
  <c r="S6960" i="2"/>
  <c r="M6960" i="2"/>
  <c r="L6960" i="2"/>
  <c r="K6960" i="2"/>
  <c r="G6960" i="2"/>
  <c r="E6960" i="2"/>
  <c r="B6960" i="2"/>
  <c r="S6959" i="2"/>
  <c r="M6959" i="2"/>
  <c r="L6959" i="2"/>
  <c r="K6959" i="2"/>
  <c r="G6959" i="2"/>
  <c r="E6959" i="2"/>
  <c r="B6959" i="2"/>
  <c r="S6958" i="2"/>
  <c r="M6958" i="2"/>
  <c r="L6958" i="2"/>
  <c r="K6958" i="2"/>
  <c r="G6958" i="2"/>
  <c r="E6958" i="2"/>
  <c r="B6958" i="2"/>
  <c r="S6957" i="2"/>
  <c r="M6957" i="2"/>
  <c r="L6957" i="2"/>
  <c r="K6957" i="2"/>
  <c r="G6957" i="2"/>
  <c r="E6957" i="2"/>
  <c r="B6957" i="2"/>
  <c r="S6956" i="2"/>
  <c r="M6956" i="2"/>
  <c r="L6956" i="2"/>
  <c r="K6956" i="2"/>
  <c r="G6956" i="2"/>
  <c r="E6956" i="2"/>
  <c r="B6956" i="2"/>
  <c r="S6955" i="2"/>
  <c r="M6955" i="2"/>
  <c r="L6955" i="2"/>
  <c r="K6955" i="2"/>
  <c r="G6955" i="2"/>
  <c r="E6955" i="2"/>
  <c r="B6955" i="2"/>
  <c r="S6954" i="2"/>
  <c r="M6954" i="2"/>
  <c r="L6954" i="2"/>
  <c r="K6954" i="2"/>
  <c r="G6954" i="2"/>
  <c r="E6954" i="2"/>
  <c r="B6954" i="2"/>
  <c r="S6953" i="2"/>
  <c r="M6953" i="2"/>
  <c r="L6953" i="2"/>
  <c r="K6953" i="2"/>
  <c r="G6953" i="2"/>
  <c r="E6953" i="2"/>
  <c r="B6953" i="2"/>
  <c r="S6952" i="2"/>
  <c r="M6952" i="2"/>
  <c r="L6952" i="2"/>
  <c r="K6952" i="2"/>
  <c r="G6952" i="2"/>
  <c r="E6952" i="2"/>
  <c r="B6952" i="2"/>
  <c r="S6951" i="2"/>
  <c r="M6951" i="2"/>
  <c r="L6951" i="2"/>
  <c r="K6951" i="2"/>
  <c r="G6951" i="2"/>
  <c r="E6951" i="2"/>
  <c r="B6951" i="2"/>
  <c r="S6950" i="2"/>
  <c r="M6950" i="2"/>
  <c r="L6950" i="2"/>
  <c r="K6950" i="2"/>
  <c r="G6950" i="2"/>
  <c r="E6950" i="2"/>
  <c r="B6950" i="2"/>
  <c r="S6949" i="2"/>
  <c r="M6949" i="2"/>
  <c r="L6949" i="2"/>
  <c r="K6949" i="2"/>
  <c r="G6949" i="2"/>
  <c r="E6949" i="2"/>
  <c r="B6949" i="2"/>
  <c r="S6948" i="2"/>
  <c r="M6948" i="2"/>
  <c r="L6948" i="2"/>
  <c r="K6948" i="2"/>
  <c r="G6948" i="2"/>
  <c r="E6948" i="2"/>
  <c r="B6948" i="2"/>
  <c r="S6947" i="2"/>
  <c r="M6947" i="2"/>
  <c r="L6947" i="2"/>
  <c r="K6947" i="2"/>
  <c r="G6947" i="2"/>
  <c r="E6947" i="2"/>
  <c r="B6947" i="2"/>
  <c r="S6946" i="2"/>
  <c r="M6946" i="2"/>
  <c r="L6946" i="2"/>
  <c r="K6946" i="2"/>
  <c r="G6946" i="2"/>
  <c r="E6946" i="2"/>
  <c r="B6946" i="2"/>
  <c r="S6945" i="2"/>
  <c r="M6945" i="2"/>
  <c r="L6945" i="2"/>
  <c r="K6945" i="2"/>
  <c r="G6945" i="2"/>
  <c r="E6945" i="2"/>
  <c r="B6945" i="2"/>
  <c r="S6944" i="2"/>
  <c r="M6944" i="2"/>
  <c r="L6944" i="2"/>
  <c r="K6944" i="2"/>
  <c r="G6944" i="2"/>
  <c r="E6944" i="2"/>
  <c r="B6944" i="2"/>
  <c r="S6943" i="2"/>
  <c r="M6943" i="2"/>
  <c r="L6943" i="2"/>
  <c r="K6943" i="2"/>
  <c r="G6943" i="2"/>
  <c r="E6943" i="2"/>
  <c r="B6943" i="2"/>
  <c r="S6942" i="2"/>
  <c r="M6942" i="2"/>
  <c r="L6942" i="2"/>
  <c r="K6942" i="2"/>
  <c r="G6942" i="2"/>
  <c r="E6942" i="2"/>
  <c r="B6942" i="2"/>
  <c r="S6941" i="2"/>
  <c r="M6941" i="2"/>
  <c r="L6941" i="2"/>
  <c r="K6941" i="2"/>
  <c r="G6941" i="2"/>
  <c r="E6941" i="2"/>
  <c r="B6941" i="2"/>
  <c r="S6940" i="2"/>
  <c r="M6940" i="2"/>
  <c r="L6940" i="2"/>
  <c r="K6940" i="2"/>
  <c r="G6940" i="2"/>
  <c r="E6940" i="2"/>
  <c r="B6940" i="2"/>
  <c r="S6939" i="2"/>
  <c r="M6939" i="2"/>
  <c r="L6939" i="2"/>
  <c r="K6939" i="2"/>
  <c r="G6939" i="2"/>
  <c r="E6939" i="2"/>
  <c r="B6939" i="2"/>
  <c r="S6938" i="2"/>
  <c r="M6938" i="2"/>
  <c r="L6938" i="2"/>
  <c r="K6938" i="2"/>
  <c r="G6938" i="2"/>
  <c r="E6938" i="2"/>
  <c r="B6938" i="2"/>
  <c r="S6937" i="2"/>
  <c r="M6937" i="2"/>
  <c r="L6937" i="2"/>
  <c r="K6937" i="2"/>
  <c r="G6937" i="2"/>
  <c r="E6937" i="2"/>
  <c r="B6937" i="2"/>
  <c r="S6936" i="2"/>
  <c r="M6936" i="2"/>
  <c r="L6936" i="2"/>
  <c r="K6936" i="2"/>
  <c r="G6936" i="2"/>
  <c r="E6936" i="2"/>
  <c r="B6936" i="2"/>
  <c r="S6935" i="2"/>
  <c r="M6935" i="2"/>
  <c r="L6935" i="2"/>
  <c r="K6935" i="2"/>
  <c r="G6935" i="2"/>
  <c r="E6935" i="2"/>
  <c r="B6935" i="2"/>
  <c r="S6934" i="2"/>
  <c r="M6934" i="2"/>
  <c r="L6934" i="2"/>
  <c r="K6934" i="2"/>
  <c r="G6934" i="2"/>
  <c r="E6934" i="2"/>
  <c r="B6934" i="2"/>
  <c r="S6933" i="2"/>
  <c r="M6933" i="2"/>
  <c r="L6933" i="2"/>
  <c r="K6933" i="2"/>
  <c r="G6933" i="2"/>
  <c r="E6933" i="2"/>
  <c r="B6933" i="2"/>
  <c r="S6932" i="2"/>
  <c r="M6932" i="2"/>
  <c r="L6932" i="2"/>
  <c r="K6932" i="2"/>
  <c r="G6932" i="2"/>
  <c r="E6932" i="2"/>
  <c r="B6932" i="2"/>
  <c r="S6931" i="2"/>
  <c r="M6931" i="2"/>
  <c r="L6931" i="2"/>
  <c r="K6931" i="2"/>
  <c r="G6931" i="2"/>
  <c r="E6931" i="2"/>
  <c r="B6931" i="2"/>
  <c r="S6930" i="2"/>
  <c r="M6930" i="2"/>
  <c r="L6930" i="2"/>
  <c r="K6930" i="2"/>
  <c r="G6930" i="2"/>
  <c r="E6930" i="2"/>
  <c r="B6930" i="2"/>
  <c r="S6929" i="2"/>
  <c r="M6929" i="2"/>
  <c r="L6929" i="2"/>
  <c r="K6929" i="2"/>
  <c r="G6929" i="2"/>
  <c r="E6929" i="2"/>
  <c r="B6929" i="2"/>
  <c r="S6928" i="2"/>
  <c r="M6928" i="2"/>
  <c r="L6928" i="2"/>
  <c r="K6928" i="2"/>
  <c r="G6928" i="2"/>
  <c r="E6928" i="2"/>
  <c r="B6928" i="2"/>
  <c r="S6927" i="2"/>
  <c r="M6927" i="2"/>
  <c r="L6927" i="2"/>
  <c r="K6927" i="2"/>
  <c r="G6927" i="2"/>
  <c r="E6927" i="2"/>
  <c r="B6927" i="2"/>
  <c r="S6926" i="2"/>
  <c r="M6926" i="2"/>
  <c r="L6926" i="2"/>
  <c r="K6926" i="2"/>
  <c r="G6926" i="2"/>
  <c r="E6926" i="2"/>
  <c r="B6926" i="2"/>
  <c r="S6925" i="2"/>
  <c r="M6925" i="2"/>
  <c r="L6925" i="2"/>
  <c r="K6925" i="2"/>
  <c r="G6925" i="2"/>
  <c r="E6925" i="2"/>
  <c r="B6925" i="2"/>
  <c r="S6924" i="2"/>
  <c r="M6924" i="2"/>
  <c r="L6924" i="2"/>
  <c r="K6924" i="2"/>
  <c r="G6924" i="2"/>
  <c r="E6924" i="2"/>
  <c r="B6924" i="2"/>
  <c r="S6923" i="2"/>
  <c r="M6923" i="2"/>
  <c r="L6923" i="2"/>
  <c r="K6923" i="2"/>
  <c r="G6923" i="2"/>
  <c r="E6923" i="2"/>
  <c r="B6923" i="2"/>
  <c r="S6922" i="2"/>
  <c r="M6922" i="2"/>
  <c r="L6922" i="2"/>
  <c r="K6922" i="2"/>
  <c r="G6922" i="2"/>
  <c r="E6922" i="2"/>
  <c r="B6922" i="2"/>
  <c r="S6921" i="2"/>
  <c r="M6921" i="2"/>
  <c r="L6921" i="2"/>
  <c r="K6921" i="2"/>
  <c r="G6921" i="2"/>
  <c r="E6921" i="2"/>
  <c r="B6921" i="2"/>
  <c r="S6920" i="2"/>
  <c r="M6920" i="2"/>
  <c r="L6920" i="2"/>
  <c r="K6920" i="2"/>
  <c r="G6920" i="2"/>
  <c r="E6920" i="2"/>
  <c r="B6920" i="2"/>
  <c r="S6919" i="2"/>
  <c r="M6919" i="2"/>
  <c r="L6919" i="2"/>
  <c r="K6919" i="2"/>
  <c r="G6919" i="2"/>
  <c r="E6919" i="2"/>
  <c r="B6919" i="2"/>
  <c r="S6918" i="2"/>
  <c r="M6918" i="2"/>
  <c r="L6918" i="2"/>
  <c r="K6918" i="2"/>
  <c r="G6918" i="2"/>
  <c r="E6918" i="2"/>
  <c r="B6918" i="2"/>
  <c r="S6917" i="2"/>
  <c r="M6917" i="2"/>
  <c r="L6917" i="2"/>
  <c r="K6917" i="2"/>
  <c r="G6917" i="2"/>
  <c r="E6917" i="2"/>
  <c r="B6917" i="2"/>
  <c r="S6916" i="2"/>
  <c r="M6916" i="2"/>
  <c r="L6916" i="2"/>
  <c r="K6916" i="2"/>
  <c r="G6916" i="2"/>
  <c r="E6916" i="2"/>
  <c r="B6916" i="2"/>
  <c r="S6915" i="2"/>
  <c r="M6915" i="2"/>
  <c r="L6915" i="2"/>
  <c r="K6915" i="2"/>
  <c r="G6915" i="2"/>
  <c r="E6915" i="2"/>
  <c r="B6915" i="2"/>
  <c r="S6914" i="2"/>
  <c r="M6914" i="2"/>
  <c r="L6914" i="2"/>
  <c r="K6914" i="2"/>
  <c r="G6914" i="2"/>
  <c r="E6914" i="2"/>
  <c r="B6914" i="2"/>
  <c r="S6913" i="2"/>
  <c r="M6913" i="2"/>
  <c r="L6913" i="2"/>
  <c r="K6913" i="2"/>
  <c r="G6913" i="2"/>
  <c r="E6913" i="2"/>
  <c r="B6913" i="2"/>
  <c r="S6912" i="2"/>
  <c r="M6912" i="2"/>
  <c r="L6912" i="2"/>
  <c r="K6912" i="2"/>
  <c r="G6912" i="2"/>
  <c r="E6912" i="2"/>
  <c r="B6912" i="2"/>
  <c r="S6911" i="2"/>
  <c r="M6911" i="2"/>
  <c r="L6911" i="2"/>
  <c r="K6911" i="2"/>
  <c r="G6911" i="2"/>
  <c r="E6911" i="2"/>
  <c r="B6911" i="2"/>
  <c r="S6910" i="2"/>
  <c r="M6910" i="2"/>
  <c r="L6910" i="2"/>
  <c r="K6910" i="2"/>
  <c r="G6910" i="2"/>
  <c r="E6910" i="2"/>
  <c r="B6910" i="2"/>
  <c r="S6909" i="2"/>
  <c r="M6909" i="2"/>
  <c r="L6909" i="2"/>
  <c r="K6909" i="2"/>
  <c r="G6909" i="2"/>
  <c r="E6909" i="2"/>
  <c r="B6909" i="2"/>
  <c r="S6908" i="2"/>
  <c r="M6908" i="2"/>
  <c r="L6908" i="2"/>
  <c r="K6908" i="2"/>
  <c r="G6908" i="2"/>
  <c r="E6908" i="2"/>
  <c r="B6908" i="2"/>
  <c r="S6907" i="2"/>
  <c r="M6907" i="2"/>
  <c r="L6907" i="2"/>
  <c r="K6907" i="2"/>
  <c r="G6907" i="2"/>
  <c r="E6907" i="2"/>
  <c r="B6907" i="2"/>
  <c r="S6906" i="2"/>
  <c r="M6906" i="2"/>
  <c r="L6906" i="2"/>
  <c r="K6906" i="2"/>
  <c r="G6906" i="2"/>
  <c r="E6906" i="2"/>
  <c r="B6906" i="2"/>
  <c r="S6905" i="2"/>
  <c r="M6905" i="2"/>
  <c r="L6905" i="2"/>
  <c r="K6905" i="2"/>
  <c r="G6905" i="2"/>
  <c r="E6905" i="2"/>
  <c r="B6905" i="2"/>
  <c r="S6904" i="2"/>
  <c r="M6904" i="2"/>
  <c r="L6904" i="2"/>
  <c r="K6904" i="2"/>
  <c r="G6904" i="2"/>
  <c r="E6904" i="2"/>
  <c r="B6904" i="2"/>
  <c r="S6903" i="2"/>
  <c r="M6903" i="2"/>
  <c r="L6903" i="2"/>
  <c r="K6903" i="2"/>
  <c r="G6903" i="2"/>
  <c r="E6903" i="2"/>
  <c r="B6903" i="2"/>
  <c r="S6902" i="2"/>
  <c r="M6902" i="2"/>
  <c r="L6902" i="2"/>
  <c r="K6902" i="2"/>
  <c r="G6902" i="2"/>
  <c r="E6902" i="2"/>
  <c r="B6902" i="2"/>
  <c r="S6901" i="2"/>
  <c r="M6901" i="2"/>
  <c r="L6901" i="2"/>
  <c r="K6901" i="2"/>
  <c r="G6901" i="2"/>
  <c r="E6901" i="2"/>
  <c r="B6901" i="2"/>
  <c r="S6900" i="2"/>
  <c r="M6900" i="2"/>
  <c r="L6900" i="2"/>
  <c r="K6900" i="2"/>
  <c r="G6900" i="2"/>
  <c r="E6900" i="2"/>
  <c r="B6900" i="2"/>
  <c r="S6899" i="2"/>
  <c r="M6899" i="2"/>
  <c r="L6899" i="2"/>
  <c r="K6899" i="2"/>
  <c r="G6899" i="2"/>
  <c r="E6899" i="2"/>
  <c r="B6899" i="2"/>
  <c r="S6898" i="2"/>
  <c r="M6898" i="2"/>
  <c r="L6898" i="2"/>
  <c r="K6898" i="2"/>
  <c r="G6898" i="2"/>
  <c r="E6898" i="2"/>
  <c r="B6898" i="2"/>
  <c r="S6897" i="2"/>
  <c r="M6897" i="2"/>
  <c r="L6897" i="2"/>
  <c r="K6897" i="2"/>
  <c r="G6897" i="2"/>
  <c r="E6897" i="2"/>
  <c r="B6897" i="2"/>
  <c r="S6896" i="2"/>
  <c r="M6896" i="2"/>
  <c r="L6896" i="2"/>
  <c r="K6896" i="2"/>
  <c r="G6896" i="2"/>
  <c r="E6896" i="2"/>
  <c r="B6896" i="2"/>
  <c r="S6895" i="2"/>
  <c r="M6895" i="2"/>
  <c r="L6895" i="2"/>
  <c r="K6895" i="2"/>
  <c r="G6895" i="2"/>
  <c r="E6895" i="2"/>
  <c r="B6895" i="2"/>
  <c r="S6894" i="2"/>
  <c r="M6894" i="2"/>
  <c r="L6894" i="2"/>
  <c r="K6894" i="2"/>
  <c r="G6894" i="2"/>
  <c r="E6894" i="2"/>
  <c r="B6894" i="2"/>
  <c r="S6893" i="2"/>
  <c r="M6893" i="2"/>
  <c r="L6893" i="2"/>
  <c r="K6893" i="2"/>
  <c r="G6893" i="2"/>
  <c r="E6893" i="2"/>
  <c r="B6893" i="2"/>
  <c r="S6892" i="2"/>
  <c r="M6892" i="2"/>
  <c r="L6892" i="2"/>
  <c r="K6892" i="2"/>
  <c r="G6892" i="2"/>
  <c r="E6892" i="2"/>
  <c r="B6892" i="2"/>
  <c r="S6891" i="2"/>
  <c r="M6891" i="2"/>
  <c r="L6891" i="2"/>
  <c r="K6891" i="2"/>
  <c r="G6891" i="2"/>
  <c r="E6891" i="2"/>
  <c r="B6891" i="2"/>
  <c r="S6890" i="2"/>
  <c r="M6890" i="2"/>
  <c r="L6890" i="2"/>
  <c r="K6890" i="2"/>
  <c r="G6890" i="2"/>
  <c r="E6890" i="2"/>
  <c r="B6890" i="2"/>
  <c r="S6889" i="2"/>
  <c r="M6889" i="2"/>
  <c r="L6889" i="2"/>
  <c r="K6889" i="2"/>
  <c r="G6889" i="2"/>
  <c r="E6889" i="2"/>
  <c r="B6889" i="2"/>
  <c r="S6888" i="2"/>
  <c r="M6888" i="2"/>
  <c r="L6888" i="2"/>
  <c r="K6888" i="2"/>
  <c r="G6888" i="2"/>
  <c r="E6888" i="2"/>
  <c r="B6888" i="2"/>
  <c r="S6887" i="2"/>
  <c r="M6887" i="2"/>
  <c r="L6887" i="2"/>
  <c r="K6887" i="2"/>
  <c r="G6887" i="2"/>
  <c r="E6887" i="2"/>
  <c r="B6887" i="2"/>
  <c r="S6886" i="2"/>
  <c r="M6886" i="2"/>
  <c r="L6886" i="2"/>
  <c r="K6886" i="2"/>
  <c r="G6886" i="2"/>
  <c r="E6886" i="2"/>
  <c r="B6886" i="2"/>
  <c r="S6885" i="2"/>
  <c r="M6885" i="2"/>
  <c r="L6885" i="2"/>
  <c r="K6885" i="2"/>
  <c r="G6885" i="2"/>
  <c r="E6885" i="2"/>
  <c r="B6885" i="2"/>
  <c r="S6884" i="2"/>
  <c r="M6884" i="2"/>
  <c r="L6884" i="2"/>
  <c r="K6884" i="2"/>
  <c r="G6884" i="2"/>
  <c r="E6884" i="2"/>
  <c r="B6884" i="2"/>
  <c r="S6883" i="2"/>
  <c r="M6883" i="2"/>
  <c r="L6883" i="2"/>
  <c r="K6883" i="2"/>
  <c r="G6883" i="2"/>
  <c r="E6883" i="2"/>
  <c r="B6883" i="2"/>
  <c r="S6882" i="2"/>
  <c r="M6882" i="2"/>
  <c r="L6882" i="2"/>
  <c r="K6882" i="2"/>
  <c r="G6882" i="2"/>
  <c r="E6882" i="2"/>
  <c r="B6882" i="2"/>
  <c r="S6881" i="2"/>
  <c r="M6881" i="2"/>
  <c r="L6881" i="2"/>
  <c r="K6881" i="2"/>
  <c r="G6881" i="2"/>
  <c r="E6881" i="2"/>
  <c r="B6881" i="2"/>
  <c r="S6880" i="2"/>
  <c r="M6880" i="2"/>
  <c r="L6880" i="2"/>
  <c r="K6880" i="2"/>
  <c r="G6880" i="2"/>
  <c r="E6880" i="2"/>
  <c r="B6880" i="2"/>
  <c r="S6879" i="2"/>
  <c r="M6879" i="2"/>
  <c r="L6879" i="2"/>
  <c r="K6879" i="2"/>
  <c r="G6879" i="2"/>
  <c r="E6879" i="2"/>
  <c r="B6879" i="2"/>
  <c r="S6878" i="2"/>
  <c r="M6878" i="2"/>
  <c r="L6878" i="2"/>
  <c r="K6878" i="2"/>
  <c r="G6878" i="2"/>
  <c r="E6878" i="2"/>
  <c r="B6878" i="2"/>
  <c r="S6877" i="2"/>
  <c r="M6877" i="2"/>
  <c r="L6877" i="2"/>
  <c r="K6877" i="2"/>
  <c r="G6877" i="2"/>
  <c r="E6877" i="2"/>
  <c r="B6877" i="2"/>
  <c r="S6876" i="2"/>
  <c r="M6876" i="2"/>
  <c r="L6876" i="2"/>
  <c r="K6876" i="2"/>
  <c r="G6876" i="2"/>
  <c r="E6876" i="2"/>
  <c r="B6876" i="2"/>
  <c r="S6875" i="2"/>
  <c r="M6875" i="2"/>
  <c r="L6875" i="2"/>
  <c r="K6875" i="2"/>
  <c r="G6875" i="2"/>
  <c r="E6875" i="2"/>
  <c r="B6875" i="2"/>
  <c r="S6866" i="2"/>
  <c r="M6866" i="2"/>
  <c r="L6866" i="2"/>
  <c r="K6866" i="2"/>
  <c r="G6866" i="2"/>
  <c r="E6866" i="2"/>
  <c r="B6866" i="2"/>
  <c r="S6865" i="2"/>
  <c r="M6865" i="2"/>
  <c r="L6865" i="2"/>
  <c r="K6865" i="2"/>
  <c r="G6865" i="2"/>
  <c r="E6865" i="2"/>
  <c r="B6865" i="2"/>
  <c r="S6864" i="2"/>
  <c r="M6864" i="2"/>
  <c r="L6864" i="2"/>
  <c r="K6864" i="2"/>
  <c r="G6864" i="2"/>
  <c r="E6864" i="2"/>
  <c r="B6864" i="2"/>
  <c r="S6863" i="2"/>
  <c r="M6863" i="2"/>
  <c r="L6863" i="2"/>
  <c r="K6863" i="2"/>
  <c r="G6863" i="2"/>
  <c r="E6863" i="2"/>
  <c r="B6863" i="2"/>
  <c r="S6862" i="2"/>
  <c r="M6862" i="2"/>
  <c r="L6862" i="2"/>
  <c r="K6862" i="2"/>
  <c r="G6862" i="2"/>
  <c r="E6862" i="2"/>
  <c r="B6862" i="2"/>
  <c r="S6861" i="2"/>
  <c r="M6861" i="2"/>
  <c r="L6861" i="2"/>
  <c r="K6861" i="2"/>
  <c r="G6861" i="2"/>
  <c r="E6861" i="2"/>
  <c r="B6861" i="2"/>
  <c r="S6860" i="2"/>
  <c r="M6860" i="2"/>
  <c r="L6860" i="2"/>
  <c r="K6860" i="2"/>
  <c r="G6860" i="2"/>
  <c r="E6860" i="2"/>
  <c r="B6860" i="2"/>
  <c r="S6859" i="2"/>
  <c r="M6859" i="2"/>
  <c r="L6859" i="2"/>
  <c r="K6859" i="2"/>
  <c r="G6859" i="2"/>
  <c r="E6859" i="2"/>
  <c r="B6859" i="2"/>
  <c r="S6858" i="2"/>
  <c r="M6858" i="2"/>
  <c r="L6858" i="2"/>
  <c r="K6858" i="2"/>
  <c r="G6858" i="2"/>
  <c r="E6858" i="2"/>
  <c r="B6858" i="2"/>
  <c r="S6857" i="2"/>
  <c r="M6857" i="2"/>
  <c r="L6857" i="2"/>
  <c r="K6857" i="2"/>
  <c r="G6857" i="2"/>
  <c r="E6857" i="2"/>
  <c r="B6857" i="2"/>
  <c r="S6856" i="2"/>
  <c r="M6856" i="2"/>
  <c r="L6856" i="2"/>
  <c r="K6856" i="2"/>
  <c r="G6856" i="2"/>
  <c r="E6856" i="2"/>
  <c r="B6856" i="2"/>
  <c r="S6855" i="2"/>
  <c r="M6855" i="2"/>
  <c r="L6855" i="2"/>
  <c r="K6855" i="2"/>
  <c r="G6855" i="2"/>
  <c r="E6855" i="2"/>
  <c r="B6855" i="2"/>
  <c r="S6854" i="2"/>
  <c r="M6854" i="2"/>
  <c r="L6854" i="2"/>
  <c r="K6854" i="2"/>
  <c r="G6854" i="2"/>
  <c r="E6854" i="2"/>
  <c r="B6854" i="2"/>
  <c r="S6853" i="2"/>
  <c r="M6853" i="2"/>
  <c r="L6853" i="2"/>
  <c r="K6853" i="2"/>
  <c r="G6853" i="2"/>
  <c r="E6853" i="2"/>
  <c r="B6853" i="2"/>
  <c r="S6852" i="2"/>
  <c r="M6852" i="2"/>
  <c r="L6852" i="2"/>
  <c r="K6852" i="2"/>
  <c r="G6852" i="2"/>
  <c r="E6852" i="2"/>
  <c r="B6852" i="2"/>
  <c r="S6851" i="2"/>
  <c r="M6851" i="2"/>
  <c r="L6851" i="2"/>
  <c r="K6851" i="2"/>
  <c r="G6851" i="2"/>
  <c r="E6851" i="2"/>
  <c r="B6851" i="2"/>
  <c r="S6850" i="2"/>
  <c r="M6850" i="2"/>
  <c r="L6850" i="2"/>
  <c r="K6850" i="2"/>
  <c r="G6850" i="2"/>
  <c r="E6850" i="2"/>
  <c r="B6850" i="2"/>
  <c r="S6849" i="2"/>
  <c r="M6849" i="2"/>
  <c r="L6849" i="2"/>
  <c r="K6849" i="2"/>
  <c r="G6849" i="2"/>
  <c r="E6849" i="2"/>
  <c r="B6849" i="2"/>
  <c r="S6848" i="2"/>
  <c r="M6848" i="2"/>
  <c r="L6848" i="2"/>
  <c r="K6848" i="2"/>
  <c r="G6848" i="2"/>
  <c r="E6848" i="2"/>
  <c r="B6848" i="2"/>
  <c r="S6847" i="2"/>
  <c r="M6847" i="2"/>
  <c r="L6847" i="2"/>
  <c r="K6847" i="2"/>
  <c r="G6847" i="2"/>
  <c r="E6847" i="2"/>
  <c r="B6847" i="2"/>
  <c r="S6846" i="2"/>
  <c r="M6846" i="2"/>
  <c r="L6846" i="2"/>
  <c r="K6846" i="2"/>
  <c r="G6846" i="2"/>
  <c r="E6846" i="2"/>
  <c r="B6846" i="2"/>
  <c r="S6845" i="2"/>
  <c r="M6845" i="2"/>
  <c r="L6845" i="2"/>
  <c r="K6845" i="2"/>
  <c r="G6845" i="2"/>
  <c r="E6845" i="2"/>
  <c r="B6845" i="2"/>
  <c r="S6844" i="2"/>
  <c r="M6844" i="2"/>
  <c r="L6844" i="2"/>
  <c r="K6844" i="2"/>
  <c r="G6844" i="2"/>
  <c r="E6844" i="2"/>
  <c r="B6844" i="2"/>
  <c r="S6843" i="2"/>
  <c r="M6843" i="2"/>
  <c r="L6843" i="2"/>
  <c r="K6843" i="2"/>
  <c r="G6843" i="2"/>
  <c r="E6843" i="2"/>
  <c r="B6843" i="2"/>
  <c r="S6842" i="2"/>
  <c r="M6842" i="2"/>
  <c r="L6842" i="2"/>
  <c r="K6842" i="2"/>
  <c r="G6842" i="2"/>
  <c r="E6842" i="2"/>
  <c r="B6842" i="2"/>
  <c r="S6841" i="2"/>
  <c r="M6841" i="2"/>
  <c r="L6841" i="2"/>
  <c r="K6841" i="2"/>
  <c r="G6841" i="2"/>
  <c r="E6841" i="2"/>
  <c r="B6841" i="2"/>
  <c r="S6840" i="2"/>
  <c r="M6840" i="2"/>
  <c r="L6840" i="2"/>
  <c r="K6840" i="2"/>
  <c r="G6840" i="2"/>
  <c r="E6840" i="2"/>
  <c r="B6840" i="2"/>
  <c r="S6839" i="2"/>
  <c r="M6839" i="2"/>
  <c r="L6839" i="2"/>
  <c r="K6839" i="2"/>
  <c r="G6839" i="2"/>
  <c r="E6839" i="2"/>
  <c r="B6839" i="2"/>
  <c r="S6838" i="2"/>
  <c r="M6838" i="2"/>
  <c r="L6838" i="2"/>
  <c r="K6838" i="2"/>
  <c r="G6838" i="2"/>
  <c r="E6838" i="2"/>
  <c r="B6838" i="2"/>
  <c r="S6837" i="2"/>
  <c r="M6837" i="2"/>
  <c r="L6837" i="2"/>
  <c r="K6837" i="2"/>
  <c r="G6837" i="2"/>
  <c r="E6837" i="2"/>
  <c r="B6837" i="2"/>
  <c r="S6836" i="2"/>
  <c r="M6836" i="2"/>
  <c r="L6836" i="2"/>
  <c r="K6836" i="2"/>
  <c r="G6836" i="2"/>
  <c r="E6836" i="2"/>
  <c r="B6836" i="2"/>
  <c r="S6835" i="2"/>
  <c r="M6835" i="2"/>
  <c r="L6835" i="2"/>
  <c r="K6835" i="2"/>
  <c r="G6835" i="2"/>
  <c r="E6835" i="2"/>
  <c r="B6835" i="2"/>
  <c r="S6834" i="2"/>
  <c r="M6834" i="2"/>
  <c r="L6834" i="2"/>
  <c r="K6834" i="2"/>
  <c r="G6834" i="2"/>
  <c r="E6834" i="2"/>
  <c r="B6834" i="2"/>
  <c r="S6833" i="2"/>
  <c r="M6833" i="2"/>
  <c r="L6833" i="2"/>
  <c r="K6833" i="2"/>
  <c r="G6833" i="2"/>
  <c r="E6833" i="2"/>
  <c r="B6833" i="2"/>
  <c r="S6832" i="2"/>
  <c r="M6832" i="2"/>
  <c r="L6832" i="2"/>
  <c r="K6832" i="2"/>
  <c r="G6832" i="2"/>
  <c r="E6832" i="2"/>
  <c r="B6832" i="2"/>
  <c r="S6831" i="2"/>
  <c r="M6831" i="2"/>
  <c r="L6831" i="2"/>
  <c r="K6831" i="2"/>
  <c r="G6831" i="2"/>
  <c r="E6831" i="2"/>
  <c r="B6831" i="2"/>
  <c r="S6830" i="2"/>
  <c r="M6830" i="2"/>
  <c r="L6830" i="2"/>
  <c r="K6830" i="2"/>
  <c r="G6830" i="2"/>
  <c r="E6830" i="2"/>
  <c r="B6830" i="2"/>
  <c r="S6829" i="2"/>
  <c r="M6829" i="2"/>
  <c r="L6829" i="2"/>
  <c r="K6829" i="2"/>
  <c r="G6829" i="2"/>
  <c r="E6829" i="2"/>
  <c r="B6829" i="2"/>
  <c r="S6828" i="2"/>
  <c r="M6828" i="2"/>
  <c r="L6828" i="2"/>
  <c r="K6828" i="2"/>
  <c r="G6828" i="2"/>
  <c r="E6828" i="2"/>
  <c r="B6828" i="2"/>
  <c r="S6827" i="2"/>
  <c r="M6827" i="2"/>
  <c r="L6827" i="2"/>
  <c r="K6827" i="2"/>
  <c r="G6827" i="2"/>
  <c r="E6827" i="2"/>
  <c r="B6827" i="2"/>
  <c r="S6826" i="2"/>
  <c r="M6826" i="2"/>
  <c r="L6826" i="2"/>
  <c r="K6826" i="2"/>
  <c r="G6826" i="2"/>
  <c r="E6826" i="2"/>
  <c r="B6826" i="2"/>
  <c r="S6825" i="2"/>
  <c r="M6825" i="2"/>
  <c r="L6825" i="2"/>
  <c r="K6825" i="2"/>
  <c r="G6825" i="2"/>
  <c r="E6825" i="2"/>
  <c r="B6825" i="2"/>
  <c r="S6824" i="2"/>
  <c r="M6824" i="2"/>
  <c r="L6824" i="2"/>
  <c r="K6824" i="2"/>
  <c r="G6824" i="2"/>
  <c r="E6824" i="2"/>
  <c r="B6824" i="2"/>
  <c r="S6823" i="2"/>
  <c r="M6823" i="2"/>
  <c r="L6823" i="2"/>
  <c r="K6823" i="2"/>
  <c r="G6823" i="2"/>
  <c r="E6823" i="2"/>
  <c r="B6823" i="2"/>
  <c r="S6822" i="2"/>
  <c r="M6822" i="2"/>
  <c r="L6822" i="2"/>
  <c r="K6822" i="2"/>
  <c r="G6822" i="2"/>
  <c r="E6822" i="2"/>
  <c r="B6822" i="2"/>
  <c r="S6821" i="2"/>
  <c r="M6821" i="2"/>
  <c r="L6821" i="2"/>
  <c r="K6821" i="2"/>
  <c r="G6821" i="2"/>
  <c r="E6821" i="2"/>
  <c r="B6821" i="2"/>
  <c r="S6820" i="2"/>
  <c r="M6820" i="2"/>
  <c r="L6820" i="2"/>
  <c r="K6820" i="2"/>
  <c r="G6820" i="2"/>
  <c r="E6820" i="2"/>
  <c r="B6820" i="2"/>
  <c r="S6819" i="2"/>
  <c r="M6819" i="2"/>
  <c r="L6819" i="2"/>
  <c r="K6819" i="2"/>
  <c r="G6819" i="2"/>
  <c r="E6819" i="2"/>
  <c r="B6819" i="2"/>
  <c r="S6818" i="2"/>
  <c r="M6818" i="2"/>
  <c r="L6818" i="2"/>
  <c r="K6818" i="2"/>
  <c r="G6818" i="2"/>
  <c r="E6818" i="2"/>
  <c r="B6818" i="2"/>
  <c r="S6817" i="2"/>
  <c r="M6817" i="2"/>
  <c r="L6817" i="2"/>
  <c r="K6817" i="2"/>
  <c r="G6817" i="2"/>
  <c r="E6817" i="2"/>
  <c r="B6817" i="2"/>
  <c r="S6816" i="2"/>
  <c r="M6816" i="2"/>
  <c r="L6816" i="2"/>
  <c r="K6816" i="2"/>
  <c r="G6816" i="2"/>
  <c r="E6816" i="2"/>
  <c r="B6816" i="2"/>
  <c r="S6815" i="2"/>
  <c r="M6815" i="2"/>
  <c r="L6815" i="2"/>
  <c r="K6815" i="2"/>
  <c r="G6815" i="2"/>
  <c r="E6815" i="2"/>
  <c r="B6815" i="2"/>
  <c r="S6814" i="2"/>
  <c r="M6814" i="2"/>
  <c r="L6814" i="2"/>
  <c r="K6814" i="2"/>
  <c r="G6814" i="2"/>
  <c r="E6814" i="2"/>
  <c r="B6814" i="2"/>
  <c r="S6813" i="2"/>
  <c r="M6813" i="2"/>
  <c r="L6813" i="2"/>
  <c r="K6813" i="2"/>
  <c r="G6813" i="2"/>
  <c r="E6813" i="2"/>
  <c r="B6813" i="2"/>
  <c r="S6812" i="2"/>
  <c r="M6812" i="2"/>
  <c r="L6812" i="2"/>
  <c r="K6812" i="2"/>
  <c r="G6812" i="2"/>
  <c r="E6812" i="2"/>
  <c r="B6812" i="2"/>
  <c r="S6811" i="2"/>
  <c r="M6811" i="2"/>
  <c r="L6811" i="2"/>
  <c r="K6811" i="2"/>
  <c r="G6811" i="2"/>
  <c r="E6811" i="2"/>
  <c r="B6811" i="2"/>
  <c r="S6810" i="2"/>
  <c r="M6810" i="2"/>
  <c r="L6810" i="2"/>
  <c r="K6810" i="2"/>
  <c r="G6810" i="2"/>
  <c r="E6810" i="2"/>
  <c r="B6810" i="2"/>
  <c r="S6809" i="2"/>
  <c r="M6809" i="2"/>
  <c r="L6809" i="2"/>
  <c r="K6809" i="2"/>
  <c r="G6809" i="2"/>
  <c r="E6809" i="2"/>
  <c r="B6809" i="2"/>
  <c r="S6808" i="2"/>
  <c r="M6808" i="2"/>
  <c r="L6808" i="2"/>
  <c r="K6808" i="2"/>
  <c r="G6808" i="2"/>
  <c r="E6808" i="2"/>
  <c r="B6808" i="2"/>
  <c r="S6807" i="2"/>
  <c r="M6807" i="2"/>
  <c r="L6807" i="2"/>
  <c r="K6807" i="2"/>
  <c r="G6807" i="2"/>
  <c r="E6807" i="2"/>
  <c r="B6807" i="2"/>
  <c r="S6806" i="2"/>
  <c r="M6806" i="2"/>
  <c r="L6806" i="2"/>
  <c r="K6806" i="2"/>
  <c r="G6806" i="2"/>
  <c r="E6806" i="2"/>
  <c r="B6806" i="2"/>
  <c r="S6805" i="2"/>
  <c r="M6805" i="2"/>
  <c r="L6805" i="2"/>
  <c r="K6805" i="2"/>
  <c r="G6805" i="2"/>
  <c r="E6805" i="2"/>
  <c r="B6805" i="2"/>
  <c r="S6804" i="2"/>
  <c r="M6804" i="2"/>
  <c r="L6804" i="2"/>
  <c r="K6804" i="2"/>
  <c r="G6804" i="2"/>
  <c r="E6804" i="2"/>
  <c r="B6804" i="2"/>
  <c r="S6803" i="2"/>
  <c r="M6803" i="2"/>
  <c r="L6803" i="2"/>
  <c r="K6803" i="2"/>
  <c r="G6803" i="2"/>
  <c r="E6803" i="2"/>
  <c r="B6803" i="2"/>
  <c r="S6802" i="2"/>
  <c r="M6802" i="2"/>
  <c r="L6802" i="2"/>
  <c r="K6802" i="2"/>
  <c r="G6802" i="2"/>
  <c r="E6802" i="2"/>
  <c r="B6802" i="2"/>
  <c r="S6801" i="2"/>
  <c r="M6801" i="2"/>
  <c r="L6801" i="2"/>
  <c r="K6801" i="2"/>
  <c r="G6801" i="2"/>
  <c r="E6801" i="2"/>
  <c r="B6801" i="2"/>
  <c r="S6800" i="2"/>
  <c r="M6800" i="2"/>
  <c r="L6800" i="2"/>
  <c r="K6800" i="2"/>
  <c r="G6800" i="2"/>
  <c r="E6800" i="2"/>
  <c r="B6800" i="2"/>
  <c r="S6799" i="2"/>
  <c r="M6799" i="2"/>
  <c r="L6799" i="2"/>
  <c r="K6799" i="2"/>
  <c r="G6799" i="2"/>
  <c r="E6799" i="2"/>
  <c r="B6799" i="2"/>
  <c r="S6798" i="2"/>
  <c r="M6798" i="2"/>
  <c r="L6798" i="2"/>
  <c r="K6798" i="2"/>
  <c r="G6798" i="2"/>
  <c r="E6798" i="2"/>
  <c r="B6798" i="2"/>
  <c r="S6797" i="2"/>
  <c r="M6797" i="2"/>
  <c r="L6797" i="2"/>
  <c r="K6797" i="2"/>
  <c r="G6797" i="2"/>
  <c r="E6797" i="2"/>
  <c r="B6797" i="2"/>
  <c r="S6796" i="2"/>
  <c r="M6796" i="2"/>
  <c r="L6796" i="2"/>
  <c r="K6796" i="2"/>
  <c r="G6796" i="2"/>
  <c r="E6796" i="2"/>
  <c r="B6796" i="2"/>
  <c r="S6795" i="2"/>
  <c r="M6795" i="2"/>
  <c r="L6795" i="2"/>
  <c r="K6795" i="2"/>
  <c r="G6795" i="2"/>
  <c r="E6795" i="2"/>
  <c r="B6795" i="2"/>
  <c r="S6794" i="2"/>
  <c r="M6794" i="2"/>
  <c r="L6794" i="2"/>
  <c r="K6794" i="2"/>
  <c r="G6794" i="2"/>
  <c r="E6794" i="2"/>
  <c r="B6794" i="2"/>
  <c r="S6793" i="2"/>
  <c r="M6793" i="2"/>
  <c r="L6793" i="2"/>
  <c r="K6793" i="2"/>
  <c r="G6793" i="2"/>
  <c r="E6793" i="2"/>
  <c r="B6793" i="2"/>
  <c r="S6792" i="2"/>
  <c r="M6792" i="2"/>
  <c r="L6792" i="2"/>
  <c r="K6792" i="2"/>
  <c r="G6792" i="2"/>
  <c r="E6792" i="2"/>
  <c r="B6792" i="2"/>
  <c r="S6791" i="2"/>
  <c r="M6791" i="2"/>
  <c r="L6791" i="2"/>
  <c r="K6791" i="2"/>
  <c r="G6791" i="2"/>
  <c r="E6791" i="2"/>
  <c r="B6791" i="2"/>
  <c r="S6790" i="2"/>
  <c r="M6790" i="2"/>
  <c r="L6790" i="2"/>
  <c r="K6790" i="2"/>
  <c r="G6790" i="2"/>
  <c r="E6790" i="2"/>
  <c r="B6790" i="2"/>
  <c r="S6789" i="2"/>
  <c r="M6789" i="2"/>
  <c r="L6789" i="2"/>
  <c r="K6789" i="2"/>
  <c r="G6789" i="2"/>
  <c r="E6789" i="2"/>
  <c r="B6789" i="2"/>
  <c r="S6788" i="2"/>
  <c r="M6788" i="2"/>
  <c r="L6788" i="2"/>
  <c r="K6788" i="2"/>
  <c r="G6788" i="2"/>
  <c r="E6788" i="2"/>
  <c r="B6788" i="2"/>
  <c r="S6787" i="2"/>
  <c r="M6787" i="2"/>
  <c r="L6787" i="2"/>
  <c r="K6787" i="2"/>
  <c r="G6787" i="2"/>
  <c r="E6787" i="2"/>
  <c r="B6787" i="2"/>
  <c r="S6786" i="2"/>
  <c r="M6786" i="2"/>
  <c r="L6786" i="2"/>
  <c r="K6786" i="2"/>
  <c r="G6786" i="2"/>
  <c r="E6786" i="2"/>
  <c r="B6786" i="2"/>
  <c r="S6785" i="2"/>
  <c r="M6785" i="2"/>
  <c r="L6785" i="2"/>
  <c r="K6785" i="2"/>
  <c r="G6785" i="2"/>
  <c r="E6785" i="2"/>
  <c r="B6785" i="2"/>
  <c r="S6784" i="2"/>
  <c r="M6784" i="2"/>
  <c r="L6784" i="2"/>
  <c r="K6784" i="2"/>
  <c r="G6784" i="2"/>
  <c r="E6784" i="2"/>
  <c r="B6784" i="2"/>
  <c r="S6783" i="2"/>
  <c r="M6783" i="2"/>
  <c r="L6783" i="2"/>
  <c r="K6783" i="2"/>
  <c r="G6783" i="2"/>
  <c r="E6783" i="2"/>
  <c r="B6783" i="2"/>
  <c r="S6782" i="2"/>
  <c r="M6782" i="2"/>
  <c r="L6782" i="2"/>
  <c r="K6782" i="2"/>
  <c r="G6782" i="2"/>
  <c r="E6782" i="2"/>
  <c r="B6782" i="2"/>
  <c r="S6781" i="2"/>
  <c r="M6781" i="2"/>
  <c r="L6781" i="2"/>
  <c r="K6781" i="2"/>
  <c r="G6781" i="2"/>
  <c r="E6781" i="2"/>
  <c r="B6781" i="2"/>
  <c r="S6780" i="2"/>
  <c r="M6780" i="2"/>
  <c r="L6780" i="2"/>
  <c r="K6780" i="2"/>
  <c r="G6780" i="2"/>
  <c r="E6780" i="2"/>
  <c r="B6780" i="2"/>
  <c r="S6779" i="2"/>
  <c r="M6779" i="2"/>
  <c r="L6779" i="2"/>
  <c r="K6779" i="2"/>
  <c r="G6779" i="2"/>
  <c r="E6779" i="2"/>
  <c r="B6779" i="2"/>
  <c r="S6778" i="2"/>
  <c r="M6778" i="2"/>
  <c r="L6778" i="2"/>
  <c r="K6778" i="2"/>
  <c r="G6778" i="2"/>
  <c r="E6778" i="2"/>
  <c r="B6778" i="2"/>
  <c r="S6777" i="2"/>
  <c r="M6777" i="2"/>
  <c r="L6777" i="2"/>
  <c r="K6777" i="2"/>
  <c r="G6777" i="2"/>
  <c r="E6777" i="2"/>
  <c r="B6777" i="2"/>
  <c r="S6776" i="2"/>
  <c r="M6776" i="2"/>
  <c r="L6776" i="2"/>
  <c r="K6776" i="2"/>
  <c r="G6776" i="2"/>
  <c r="E6776" i="2"/>
  <c r="B6776" i="2"/>
  <c r="S6775" i="2"/>
  <c r="M6775" i="2"/>
  <c r="L6775" i="2"/>
  <c r="K6775" i="2"/>
  <c r="G6775" i="2"/>
  <c r="E6775" i="2"/>
  <c r="B6775" i="2"/>
  <c r="S6774" i="2"/>
  <c r="M6774" i="2"/>
  <c r="L6774" i="2"/>
  <c r="K6774" i="2"/>
  <c r="G6774" i="2"/>
  <c r="E6774" i="2"/>
  <c r="B6774" i="2"/>
  <c r="S6773" i="2"/>
  <c r="M6773" i="2"/>
  <c r="L6773" i="2"/>
  <c r="K6773" i="2"/>
  <c r="G6773" i="2"/>
  <c r="E6773" i="2"/>
  <c r="B6773" i="2"/>
  <c r="S6772" i="2"/>
  <c r="M6772" i="2"/>
  <c r="L6772" i="2"/>
  <c r="K6772" i="2"/>
  <c r="G6772" i="2"/>
  <c r="E6772" i="2"/>
  <c r="B6772" i="2"/>
  <c r="S6771" i="2"/>
  <c r="M6771" i="2"/>
  <c r="L6771" i="2"/>
  <c r="K6771" i="2"/>
  <c r="G6771" i="2"/>
  <c r="E6771" i="2"/>
  <c r="B6771" i="2"/>
  <c r="S6770" i="2"/>
  <c r="M6770" i="2"/>
  <c r="L6770" i="2"/>
  <c r="K6770" i="2"/>
  <c r="G6770" i="2"/>
  <c r="E6770" i="2"/>
  <c r="B6770" i="2"/>
  <c r="S6769" i="2"/>
  <c r="M6769" i="2"/>
  <c r="L6769" i="2"/>
  <c r="K6769" i="2"/>
  <c r="G6769" i="2"/>
  <c r="E6769" i="2"/>
  <c r="B6769" i="2"/>
  <c r="S6768" i="2"/>
  <c r="M6768" i="2"/>
  <c r="L6768" i="2"/>
  <c r="K6768" i="2"/>
  <c r="G6768" i="2"/>
  <c r="E6768" i="2"/>
  <c r="B6768" i="2"/>
  <c r="S6767" i="2"/>
  <c r="M6767" i="2"/>
  <c r="L6767" i="2"/>
  <c r="K6767" i="2"/>
  <c r="G6767" i="2"/>
  <c r="E6767" i="2"/>
  <c r="B6767" i="2"/>
  <c r="S6766" i="2"/>
  <c r="M6766" i="2"/>
  <c r="L6766" i="2"/>
  <c r="K6766" i="2"/>
  <c r="G6766" i="2"/>
  <c r="E6766" i="2"/>
  <c r="B6766" i="2"/>
  <c r="S6765" i="2"/>
  <c r="M6765" i="2"/>
  <c r="L6765" i="2"/>
  <c r="K6765" i="2"/>
  <c r="G6765" i="2"/>
  <c r="E6765" i="2"/>
  <c r="B6765" i="2"/>
  <c r="S6764" i="2"/>
  <c r="M6764" i="2"/>
  <c r="L6764" i="2"/>
  <c r="K6764" i="2"/>
  <c r="G6764" i="2"/>
  <c r="E6764" i="2"/>
  <c r="B6764" i="2"/>
  <c r="S6763" i="2"/>
  <c r="M6763" i="2"/>
  <c r="L6763" i="2"/>
  <c r="K6763" i="2"/>
  <c r="G6763" i="2"/>
  <c r="E6763" i="2"/>
  <c r="B6763" i="2"/>
  <c r="S6762" i="2"/>
  <c r="M6762" i="2"/>
  <c r="L6762" i="2"/>
  <c r="K6762" i="2"/>
  <c r="G6762" i="2"/>
  <c r="E6762" i="2"/>
  <c r="B6762" i="2"/>
  <c r="S6761" i="2"/>
  <c r="M6761" i="2"/>
  <c r="L6761" i="2"/>
  <c r="K6761" i="2"/>
  <c r="G6761" i="2"/>
  <c r="E6761" i="2"/>
  <c r="B6761" i="2"/>
  <c r="S6760" i="2"/>
  <c r="M6760" i="2"/>
  <c r="L6760" i="2"/>
  <c r="K6760" i="2"/>
  <c r="G6760" i="2"/>
  <c r="E6760" i="2"/>
  <c r="B6760" i="2"/>
  <c r="S6759" i="2"/>
  <c r="M6759" i="2"/>
  <c r="L6759" i="2"/>
  <c r="K6759" i="2"/>
  <c r="G6759" i="2"/>
  <c r="E6759" i="2"/>
  <c r="B6759" i="2"/>
  <c r="S6758" i="2"/>
  <c r="M6758" i="2"/>
  <c r="L6758" i="2"/>
  <c r="K6758" i="2"/>
  <c r="G6758" i="2"/>
  <c r="E6758" i="2"/>
  <c r="B6758" i="2"/>
  <c r="S6757" i="2"/>
  <c r="M6757" i="2"/>
  <c r="L6757" i="2"/>
  <c r="K6757" i="2"/>
  <c r="G6757" i="2"/>
  <c r="E6757" i="2"/>
  <c r="B6757" i="2"/>
  <c r="S6756" i="2"/>
  <c r="M6756" i="2"/>
  <c r="L6756" i="2"/>
  <c r="K6756" i="2"/>
  <c r="G6756" i="2"/>
  <c r="E6756" i="2"/>
  <c r="B6756" i="2"/>
  <c r="S6755" i="2"/>
  <c r="M6755" i="2"/>
  <c r="L6755" i="2"/>
  <c r="K6755" i="2"/>
  <c r="G6755" i="2"/>
  <c r="E6755" i="2"/>
  <c r="B6755" i="2"/>
  <c r="S6754" i="2"/>
  <c r="M6754" i="2"/>
  <c r="L6754" i="2"/>
  <c r="K6754" i="2"/>
  <c r="G6754" i="2"/>
  <c r="E6754" i="2"/>
  <c r="B6754" i="2"/>
  <c r="S6753" i="2"/>
  <c r="M6753" i="2"/>
  <c r="L6753" i="2"/>
  <c r="K6753" i="2"/>
  <c r="G6753" i="2"/>
  <c r="E6753" i="2"/>
  <c r="B6753" i="2"/>
  <c r="S6752" i="2"/>
  <c r="M6752" i="2"/>
  <c r="L6752" i="2"/>
  <c r="K6752" i="2"/>
  <c r="G6752" i="2"/>
  <c r="E6752" i="2"/>
  <c r="B6752" i="2"/>
  <c r="S6751" i="2"/>
  <c r="M6751" i="2"/>
  <c r="L6751" i="2"/>
  <c r="K6751" i="2"/>
  <c r="G6751" i="2"/>
  <c r="E6751" i="2"/>
  <c r="B6751" i="2"/>
  <c r="S6750" i="2"/>
  <c r="M6750" i="2"/>
  <c r="L6750" i="2"/>
  <c r="K6750" i="2"/>
  <c r="G6750" i="2"/>
  <c r="E6750" i="2"/>
  <c r="B6750" i="2"/>
  <c r="S6749" i="2"/>
  <c r="M6749" i="2"/>
  <c r="L6749" i="2"/>
  <c r="K6749" i="2"/>
  <c r="G6749" i="2"/>
  <c r="E6749" i="2"/>
  <c r="B6749" i="2"/>
  <c r="S6748" i="2"/>
  <c r="M6748" i="2"/>
  <c r="L6748" i="2"/>
  <c r="K6748" i="2"/>
  <c r="G6748" i="2"/>
  <c r="E6748" i="2"/>
  <c r="B6748" i="2"/>
  <c r="S6747" i="2"/>
  <c r="M6747" i="2"/>
  <c r="L6747" i="2"/>
  <c r="K6747" i="2"/>
  <c r="G6747" i="2"/>
  <c r="E6747" i="2"/>
  <c r="B6747" i="2"/>
  <c r="S6746" i="2"/>
  <c r="M6746" i="2"/>
  <c r="L6746" i="2"/>
  <c r="K6746" i="2"/>
  <c r="G6746" i="2"/>
  <c r="E6746" i="2"/>
  <c r="B6746" i="2"/>
  <c r="S6745" i="2"/>
  <c r="M6745" i="2"/>
  <c r="L6745" i="2"/>
  <c r="K6745" i="2"/>
  <c r="G6745" i="2"/>
  <c r="E6745" i="2"/>
  <c r="B6745" i="2"/>
  <c r="S6744" i="2"/>
  <c r="M6744" i="2"/>
  <c r="L6744" i="2"/>
  <c r="K6744" i="2"/>
  <c r="G6744" i="2"/>
  <c r="E6744" i="2"/>
  <c r="B6744" i="2"/>
  <c r="S6743" i="2"/>
  <c r="M6743" i="2"/>
  <c r="L6743" i="2"/>
  <c r="K6743" i="2"/>
  <c r="G6743" i="2"/>
  <c r="E6743" i="2"/>
  <c r="B6743" i="2"/>
  <c r="S6742" i="2"/>
  <c r="M6742" i="2"/>
  <c r="L6742" i="2"/>
  <c r="K6742" i="2"/>
  <c r="G6742" i="2"/>
  <c r="E6742" i="2"/>
  <c r="B6742" i="2"/>
  <c r="S6741" i="2"/>
  <c r="M6741" i="2"/>
  <c r="L6741" i="2"/>
  <c r="K6741" i="2"/>
  <c r="G6741" i="2"/>
  <c r="E6741" i="2"/>
  <c r="B6741" i="2"/>
  <c r="S6740" i="2"/>
  <c r="M6740" i="2"/>
  <c r="L6740" i="2"/>
  <c r="K6740" i="2"/>
  <c r="G6740" i="2"/>
  <c r="E6740" i="2"/>
  <c r="B6740" i="2"/>
  <c r="S6739" i="2"/>
  <c r="M6739" i="2"/>
  <c r="L6739" i="2"/>
  <c r="K6739" i="2"/>
  <c r="G6739" i="2"/>
  <c r="E6739" i="2"/>
  <c r="B6739" i="2"/>
  <c r="S6738" i="2"/>
  <c r="M6738" i="2"/>
  <c r="L6738" i="2"/>
  <c r="K6738" i="2"/>
  <c r="G6738" i="2"/>
  <c r="E6738" i="2"/>
  <c r="B6738" i="2"/>
  <c r="S6737" i="2"/>
  <c r="M6737" i="2"/>
  <c r="L6737" i="2"/>
  <c r="K6737" i="2"/>
  <c r="G6737" i="2"/>
  <c r="E6737" i="2"/>
  <c r="B6737" i="2"/>
  <c r="S6736" i="2"/>
  <c r="M6736" i="2"/>
  <c r="L6736" i="2"/>
  <c r="K6736" i="2"/>
  <c r="G6736" i="2"/>
  <c r="E6736" i="2"/>
  <c r="B6736" i="2"/>
  <c r="S6735" i="2"/>
  <c r="M6735" i="2"/>
  <c r="L6735" i="2"/>
  <c r="K6735" i="2"/>
  <c r="G6735" i="2"/>
  <c r="E6735" i="2"/>
  <c r="B6735" i="2"/>
  <c r="S6734" i="2"/>
  <c r="M6734" i="2"/>
  <c r="L6734" i="2"/>
  <c r="K6734" i="2"/>
  <c r="G6734" i="2"/>
  <c r="E6734" i="2"/>
  <c r="B6734" i="2"/>
  <c r="S6733" i="2"/>
  <c r="M6733" i="2"/>
  <c r="L6733" i="2"/>
  <c r="K6733" i="2"/>
  <c r="G6733" i="2"/>
  <c r="E6733" i="2"/>
  <c r="B6733" i="2"/>
  <c r="S6732" i="2"/>
  <c r="M6732" i="2"/>
  <c r="L6732" i="2"/>
  <c r="K6732" i="2"/>
  <c r="G6732" i="2"/>
  <c r="E6732" i="2"/>
  <c r="B6732" i="2"/>
  <c r="S6731" i="2"/>
  <c r="M6731" i="2"/>
  <c r="L6731" i="2"/>
  <c r="K6731" i="2"/>
  <c r="G6731" i="2"/>
  <c r="E6731" i="2"/>
  <c r="B6731" i="2"/>
  <c r="S6730" i="2"/>
  <c r="M6730" i="2"/>
  <c r="L6730" i="2"/>
  <c r="K6730" i="2"/>
  <c r="G6730" i="2"/>
  <c r="E6730" i="2"/>
  <c r="B6730" i="2"/>
  <c r="S6729" i="2"/>
  <c r="M6729" i="2"/>
  <c r="L6729" i="2"/>
  <c r="K6729" i="2"/>
  <c r="G6729" i="2"/>
  <c r="E6729" i="2"/>
  <c r="B6729" i="2"/>
  <c r="S6728" i="2"/>
  <c r="M6728" i="2"/>
  <c r="L6728" i="2"/>
  <c r="K6728" i="2"/>
  <c r="G6728" i="2"/>
  <c r="E6728" i="2"/>
  <c r="B6728" i="2"/>
  <c r="S6727" i="2"/>
  <c r="M6727" i="2"/>
  <c r="L6727" i="2"/>
  <c r="K6727" i="2"/>
  <c r="G6727" i="2"/>
  <c r="E6727" i="2"/>
  <c r="B6727" i="2"/>
  <c r="S6726" i="2"/>
  <c r="M6726" i="2"/>
  <c r="L6726" i="2"/>
  <c r="K6726" i="2"/>
  <c r="G6726" i="2"/>
  <c r="E6726" i="2"/>
  <c r="B6726" i="2"/>
  <c r="S6725" i="2"/>
  <c r="M6725" i="2"/>
  <c r="L6725" i="2"/>
  <c r="K6725" i="2"/>
  <c r="G6725" i="2"/>
  <c r="E6725" i="2"/>
  <c r="B6725" i="2"/>
  <c r="S6724" i="2"/>
  <c r="M6724" i="2"/>
  <c r="L6724" i="2"/>
  <c r="K6724" i="2"/>
  <c r="G6724" i="2"/>
  <c r="E6724" i="2"/>
  <c r="B6724" i="2"/>
  <c r="S6723" i="2"/>
  <c r="M6723" i="2"/>
  <c r="L6723" i="2"/>
  <c r="K6723" i="2"/>
  <c r="G6723" i="2"/>
  <c r="E6723" i="2"/>
  <c r="B6723" i="2"/>
  <c r="S6722" i="2"/>
  <c r="M6722" i="2"/>
  <c r="L6722" i="2"/>
  <c r="K6722" i="2"/>
  <c r="G6722" i="2"/>
  <c r="E6722" i="2"/>
  <c r="B6722" i="2"/>
  <c r="S6721" i="2"/>
  <c r="M6721" i="2"/>
  <c r="L6721" i="2"/>
  <c r="K6721" i="2"/>
  <c r="G6721" i="2"/>
  <c r="E6721" i="2"/>
  <c r="B6721" i="2"/>
  <c r="S6720" i="2"/>
  <c r="M6720" i="2"/>
  <c r="L6720" i="2"/>
  <c r="K6720" i="2"/>
  <c r="G6720" i="2"/>
  <c r="E6720" i="2"/>
  <c r="B6720" i="2"/>
  <c r="S6719" i="2"/>
  <c r="M6719" i="2"/>
  <c r="L6719" i="2"/>
  <c r="K6719" i="2"/>
  <c r="G6719" i="2"/>
  <c r="E6719" i="2"/>
  <c r="B6719" i="2"/>
  <c r="S6718" i="2"/>
  <c r="M6718" i="2"/>
  <c r="L6718" i="2"/>
  <c r="K6718" i="2"/>
  <c r="G6718" i="2"/>
  <c r="E6718" i="2"/>
  <c r="B6718" i="2"/>
  <c r="S6717" i="2"/>
  <c r="M6717" i="2"/>
  <c r="L6717" i="2"/>
  <c r="K6717" i="2"/>
  <c r="G6717" i="2"/>
  <c r="E6717" i="2"/>
  <c r="B6717" i="2"/>
  <c r="S6716" i="2"/>
  <c r="M6716" i="2"/>
  <c r="L6716" i="2"/>
  <c r="K6716" i="2"/>
  <c r="G6716" i="2"/>
  <c r="E6716" i="2"/>
  <c r="B6716" i="2"/>
  <c r="S6715" i="2"/>
  <c r="M6715" i="2"/>
  <c r="L6715" i="2"/>
  <c r="K6715" i="2"/>
  <c r="G6715" i="2"/>
  <c r="E6715" i="2"/>
  <c r="B6715" i="2"/>
  <c r="S6714" i="2"/>
  <c r="M6714" i="2"/>
  <c r="L6714" i="2"/>
  <c r="K6714" i="2"/>
  <c r="G6714" i="2"/>
  <c r="E6714" i="2"/>
  <c r="B6714" i="2"/>
  <c r="S6713" i="2"/>
  <c r="M6713" i="2"/>
  <c r="L6713" i="2"/>
  <c r="K6713" i="2"/>
  <c r="G6713" i="2"/>
  <c r="E6713" i="2"/>
  <c r="B6713" i="2"/>
  <c r="S6712" i="2"/>
  <c r="M6712" i="2"/>
  <c r="L6712" i="2"/>
  <c r="K6712" i="2"/>
  <c r="G6712" i="2"/>
  <c r="E6712" i="2"/>
  <c r="B6712" i="2"/>
  <c r="S6711" i="2"/>
  <c r="M6711" i="2"/>
  <c r="L6711" i="2"/>
  <c r="K6711" i="2"/>
  <c r="G6711" i="2"/>
  <c r="E6711" i="2"/>
  <c r="B6711" i="2"/>
  <c r="S6710" i="2"/>
  <c r="M6710" i="2"/>
  <c r="L6710" i="2"/>
  <c r="K6710" i="2"/>
  <c r="G6710" i="2"/>
  <c r="E6710" i="2"/>
  <c r="B6710" i="2"/>
  <c r="S6709" i="2"/>
  <c r="M6709" i="2"/>
  <c r="L6709" i="2"/>
  <c r="K6709" i="2"/>
  <c r="G6709" i="2"/>
  <c r="E6709" i="2"/>
  <c r="B6709" i="2"/>
  <c r="S6708" i="2"/>
  <c r="M6708" i="2"/>
  <c r="L6708" i="2"/>
  <c r="K6708" i="2"/>
  <c r="G6708" i="2"/>
  <c r="E6708" i="2"/>
  <c r="B6708" i="2"/>
  <c r="S6707" i="2"/>
  <c r="M6707" i="2"/>
  <c r="L6707" i="2"/>
  <c r="K6707" i="2"/>
  <c r="G6707" i="2"/>
  <c r="E6707" i="2"/>
  <c r="B6707" i="2"/>
  <c r="S6706" i="2"/>
  <c r="M6706" i="2"/>
  <c r="L6706" i="2"/>
  <c r="K6706" i="2"/>
  <c r="G6706" i="2"/>
  <c r="E6706" i="2"/>
  <c r="B6706" i="2"/>
  <c r="S6705" i="2"/>
  <c r="M6705" i="2"/>
  <c r="L6705" i="2"/>
  <c r="K6705" i="2"/>
  <c r="G6705" i="2"/>
  <c r="E6705" i="2"/>
  <c r="B6705" i="2"/>
  <c r="S6704" i="2"/>
  <c r="M6704" i="2"/>
  <c r="L6704" i="2"/>
  <c r="K6704" i="2"/>
  <c r="G6704" i="2"/>
  <c r="E6704" i="2"/>
  <c r="B6704" i="2"/>
  <c r="S6703" i="2"/>
  <c r="M6703" i="2"/>
  <c r="L6703" i="2"/>
  <c r="K6703" i="2"/>
  <c r="G6703" i="2"/>
  <c r="E6703" i="2"/>
  <c r="B6703" i="2"/>
  <c r="S6702" i="2"/>
  <c r="M6702" i="2"/>
  <c r="L6702" i="2"/>
  <c r="K6702" i="2"/>
  <c r="G6702" i="2"/>
  <c r="E6702" i="2"/>
  <c r="B6702" i="2"/>
  <c r="S6701" i="2"/>
  <c r="M6701" i="2"/>
  <c r="L6701" i="2"/>
  <c r="K6701" i="2"/>
  <c r="G6701" i="2"/>
  <c r="E6701" i="2"/>
  <c r="B6701" i="2"/>
  <c r="S6700" i="2"/>
  <c r="M6700" i="2"/>
  <c r="L6700" i="2"/>
  <c r="K6700" i="2"/>
  <c r="G6700" i="2"/>
  <c r="E6700" i="2"/>
  <c r="B6700" i="2"/>
  <c r="S6699" i="2"/>
  <c r="M6699" i="2"/>
  <c r="L6699" i="2"/>
  <c r="K6699" i="2"/>
  <c r="G6699" i="2"/>
  <c r="E6699" i="2"/>
  <c r="B6699" i="2"/>
  <c r="S6698" i="2"/>
  <c r="M6698" i="2"/>
  <c r="L6698" i="2"/>
  <c r="K6698" i="2"/>
  <c r="G6698" i="2"/>
  <c r="E6698" i="2"/>
  <c r="B6698" i="2"/>
  <c r="S6697" i="2"/>
  <c r="M6697" i="2"/>
  <c r="L6697" i="2"/>
  <c r="K6697" i="2"/>
  <c r="G6697" i="2"/>
  <c r="E6697" i="2"/>
  <c r="B6697" i="2"/>
  <c r="S6696" i="2"/>
  <c r="M6696" i="2"/>
  <c r="L6696" i="2"/>
  <c r="K6696" i="2"/>
  <c r="G6696" i="2"/>
  <c r="E6696" i="2"/>
  <c r="B6696" i="2"/>
  <c r="S6695" i="2"/>
  <c r="M6695" i="2"/>
  <c r="L6695" i="2"/>
  <c r="K6695" i="2"/>
  <c r="G6695" i="2"/>
  <c r="E6695" i="2"/>
  <c r="B6695" i="2"/>
  <c r="S6694" i="2"/>
  <c r="M6694" i="2"/>
  <c r="L6694" i="2"/>
  <c r="K6694" i="2"/>
  <c r="G6694" i="2"/>
  <c r="E6694" i="2"/>
  <c r="B6694" i="2"/>
  <c r="S6693" i="2"/>
  <c r="M6693" i="2"/>
  <c r="L6693" i="2"/>
  <c r="K6693" i="2"/>
  <c r="G6693" i="2"/>
  <c r="E6693" i="2"/>
  <c r="B6693" i="2"/>
  <c r="S6692" i="2"/>
  <c r="M6692" i="2"/>
  <c r="L6692" i="2"/>
  <c r="K6692" i="2"/>
  <c r="G6692" i="2"/>
  <c r="E6692" i="2"/>
  <c r="B6692" i="2"/>
  <c r="S6691" i="2"/>
  <c r="M6691" i="2"/>
  <c r="L6691" i="2"/>
  <c r="K6691" i="2"/>
  <c r="G6691" i="2"/>
  <c r="E6691" i="2"/>
  <c r="B6691" i="2"/>
  <c r="S6690" i="2"/>
  <c r="M6690" i="2"/>
  <c r="L6690" i="2"/>
  <c r="K6690" i="2"/>
  <c r="G6690" i="2"/>
  <c r="E6690" i="2"/>
  <c r="B6690" i="2"/>
  <c r="S6689" i="2"/>
  <c r="M6689" i="2"/>
  <c r="L6689" i="2"/>
  <c r="K6689" i="2"/>
  <c r="G6689" i="2"/>
  <c r="E6689" i="2"/>
  <c r="B6689" i="2"/>
  <c r="S6688" i="2"/>
  <c r="M6688" i="2"/>
  <c r="L6688" i="2"/>
  <c r="K6688" i="2"/>
  <c r="G6688" i="2"/>
  <c r="E6688" i="2"/>
  <c r="B6688" i="2"/>
  <c r="S6687" i="2"/>
  <c r="M6687" i="2"/>
  <c r="L6687" i="2"/>
  <c r="K6687" i="2"/>
  <c r="G6687" i="2"/>
  <c r="E6687" i="2"/>
  <c r="B6687" i="2"/>
  <c r="S6686" i="2"/>
  <c r="M6686" i="2"/>
  <c r="L6686" i="2"/>
  <c r="K6686" i="2"/>
  <c r="G6686" i="2"/>
  <c r="E6686" i="2"/>
  <c r="B6686" i="2"/>
  <c r="S6685" i="2"/>
  <c r="M6685" i="2"/>
  <c r="L6685" i="2"/>
  <c r="K6685" i="2"/>
  <c r="G6685" i="2"/>
  <c r="E6685" i="2"/>
  <c r="B6685" i="2"/>
  <c r="S6684" i="2"/>
  <c r="M6684" i="2"/>
  <c r="L6684" i="2"/>
  <c r="K6684" i="2"/>
  <c r="G6684" i="2"/>
  <c r="E6684" i="2"/>
  <c r="B6684" i="2"/>
  <c r="S6683" i="2"/>
  <c r="M6683" i="2"/>
  <c r="L6683" i="2"/>
  <c r="K6683" i="2"/>
  <c r="G6683" i="2"/>
  <c r="E6683" i="2"/>
  <c r="B6683" i="2"/>
  <c r="S6682" i="2"/>
  <c r="M6682" i="2"/>
  <c r="L6682" i="2"/>
  <c r="K6682" i="2"/>
  <c r="G6682" i="2"/>
  <c r="E6682" i="2"/>
  <c r="B6682" i="2"/>
  <c r="S6681" i="2"/>
  <c r="M6681" i="2"/>
  <c r="L6681" i="2"/>
  <c r="K6681" i="2"/>
  <c r="G6681" i="2"/>
  <c r="E6681" i="2"/>
  <c r="B6681" i="2"/>
  <c r="S6680" i="2"/>
  <c r="M6680" i="2"/>
  <c r="L6680" i="2"/>
  <c r="K6680" i="2"/>
  <c r="G6680" i="2"/>
  <c r="E6680" i="2"/>
  <c r="B6680" i="2"/>
  <c r="S6679" i="2"/>
  <c r="M6679" i="2"/>
  <c r="L6679" i="2"/>
  <c r="K6679" i="2"/>
  <c r="G6679" i="2"/>
  <c r="E6679" i="2"/>
  <c r="B6679" i="2"/>
  <c r="S6678" i="2"/>
  <c r="M6678" i="2"/>
  <c r="L6678" i="2"/>
  <c r="K6678" i="2"/>
  <c r="G6678" i="2"/>
  <c r="E6678" i="2"/>
  <c r="B6678" i="2"/>
  <c r="S6677" i="2"/>
  <c r="M6677" i="2"/>
  <c r="L6677" i="2"/>
  <c r="K6677" i="2"/>
  <c r="G6677" i="2"/>
  <c r="E6677" i="2"/>
  <c r="B6677" i="2"/>
  <c r="S6676" i="2"/>
  <c r="M6676" i="2"/>
  <c r="L6676" i="2"/>
  <c r="K6676" i="2"/>
  <c r="G6676" i="2"/>
  <c r="E6676" i="2"/>
  <c r="B6676" i="2"/>
  <c r="S6675" i="2"/>
  <c r="M6675" i="2"/>
  <c r="L6675" i="2"/>
  <c r="K6675" i="2"/>
  <c r="G6675" i="2"/>
  <c r="E6675" i="2"/>
  <c r="B6675" i="2"/>
  <c r="S6674" i="2"/>
  <c r="M6674" i="2"/>
  <c r="L6674" i="2"/>
  <c r="K6674" i="2"/>
  <c r="G6674" i="2"/>
  <c r="E6674" i="2"/>
  <c r="B6674" i="2"/>
  <c r="S6673" i="2"/>
  <c r="M6673" i="2"/>
  <c r="L6673" i="2"/>
  <c r="K6673" i="2"/>
  <c r="G6673" i="2"/>
  <c r="E6673" i="2"/>
  <c r="B6673" i="2"/>
  <c r="S6672" i="2"/>
  <c r="M6672" i="2"/>
  <c r="L6672" i="2"/>
  <c r="K6672" i="2"/>
  <c r="G6672" i="2"/>
  <c r="E6672" i="2"/>
  <c r="B6672" i="2"/>
  <c r="S6671" i="2"/>
  <c r="M6671" i="2"/>
  <c r="L6671" i="2"/>
  <c r="K6671" i="2"/>
  <c r="G6671" i="2"/>
  <c r="E6671" i="2"/>
  <c r="B6671" i="2"/>
  <c r="S6670" i="2"/>
  <c r="M6670" i="2"/>
  <c r="L6670" i="2"/>
  <c r="K6670" i="2"/>
  <c r="G6670" i="2"/>
  <c r="E6670" i="2"/>
  <c r="B6670" i="2"/>
  <c r="S6669" i="2"/>
  <c r="M6669" i="2"/>
  <c r="L6669" i="2"/>
  <c r="K6669" i="2"/>
  <c r="G6669" i="2"/>
  <c r="E6669" i="2"/>
  <c r="B6669" i="2"/>
  <c r="S6668" i="2"/>
  <c r="M6668" i="2"/>
  <c r="L6668" i="2"/>
  <c r="K6668" i="2"/>
  <c r="G6668" i="2"/>
  <c r="E6668" i="2"/>
  <c r="B6668" i="2"/>
  <c r="S6667" i="2"/>
  <c r="M6667" i="2"/>
  <c r="L6667" i="2"/>
  <c r="K6667" i="2"/>
  <c r="G6667" i="2"/>
  <c r="E6667" i="2"/>
  <c r="B6667" i="2"/>
  <c r="S6666" i="2"/>
  <c r="M6666" i="2"/>
  <c r="L6666" i="2"/>
  <c r="K6666" i="2"/>
  <c r="G6666" i="2"/>
  <c r="E6666" i="2"/>
  <c r="B6666" i="2"/>
  <c r="S6665" i="2"/>
  <c r="M6665" i="2"/>
  <c r="L6665" i="2"/>
  <c r="K6665" i="2"/>
  <c r="G6665" i="2"/>
  <c r="E6665" i="2"/>
  <c r="B6665" i="2"/>
  <c r="S6664" i="2"/>
  <c r="M6664" i="2"/>
  <c r="L6664" i="2"/>
  <c r="K6664" i="2"/>
  <c r="G6664" i="2"/>
  <c r="E6664" i="2"/>
  <c r="B6664" i="2"/>
  <c r="S6663" i="2"/>
  <c r="M6663" i="2"/>
  <c r="L6663" i="2"/>
  <c r="K6663" i="2"/>
  <c r="G6663" i="2"/>
  <c r="E6663" i="2"/>
  <c r="B6663" i="2"/>
  <c r="S6662" i="2"/>
  <c r="M6662" i="2"/>
  <c r="L6662" i="2"/>
  <c r="K6662" i="2"/>
  <c r="G6662" i="2"/>
  <c r="E6662" i="2"/>
  <c r="B6662" i="2"/>
  <c r="S6661" i="2"/>
  <c r="M6661" i="2"/>
  <c r="L6661" i="2"/>
  <c r="K6661" i="2"/>
  <c r="G6661" i="2"/>
  <c r="E6661" i="2"/>
  <c r="B6661" i="2"/>
  <c r="S6660" i="2"/>
  <c r="M6660" i="2"/>
  <c r="L6660" i="2"/>
  <c r="K6660" i="2"/>
  <c r="G6660" i="2"/>
  <c r="E6660" i="2"/>
  <c r="B6660" i="2"/>
  <c r="S6659" i="2"/>
  <c r="M6659" i="2"/>
  <c r="L6659" i="2"/>
  <c r="K6659" i="2"/>
  <c r="G6659" i="2"/>
  <c r="E6659" i="2"/>
  <c r="B6659" i="2"/>
  <c r="S6658" i="2"/>
  <c r="M6658" i="2"/>
  <c r="L6658" i="2"/>
  <c r="K6658" i="2"/>
  <c r="G6658" i="2"/>
  <c r="E6658" i="2"/>
  <c r="B6658" i="2"/>
  <c r="S6657" i="2"/>
  <c r="M6657" i="2"/>
  <c r="L6657" i="2"/>
  <c r="K6657" i="2"/>
  <c r="G6657" i="2"/>
  <c r="E6657" i="2"/>
  <c r="B6657" i="2"/>
  <c r="S6656" i="2"/>
  <c r="M6656" i="2"/>
  <c r="L6656" i="2"/>
  <c r="K6656" i="2"/>
  <c r="G6656" i="2"/>
  <c r="E6656" i="2"/>
  <c r="B6656" i="2"/>
  <c r="S6655" i="2"/>
  <c r="M6655" i="2"/>
  <c r="L6655" i="2"/>
  <c r="K6655" i="2"/>
  <c r="G6655" i="2"/>
  <c r="E6655" i="2"/>
  <c r="B6655" i="2"/>
  <c r="S6654" i="2"/>
  <c r="M6654" i="2"/>
  <c r="L6654" i="2"/>
  <c r="K6654" i="2"/>
  <c r="G6654" i="2"/>
  <c r="E6654" i="2"/>
  <c r="B6654" i="2"/>
  <c r="S6653" i="2"/>
  <c r="M6653" i="2"/>
  <c r="L6653" i="2"/>
  <c r="K6653" i="2"/>
  <c r="G6653" i="2"/>
  <c r="E6653" i="2"/>
  <c r="B6653" i="2"/>
  <c r="S6652" i="2"/>
  <c r="M6652" i="2"/>
  <c r="L6652" i="2"/>
  <c r="K6652" i="2"/>
  <c r="G6652" i="2"/>
  <c r="E6652" i="2"/>
  <c r="B6652" i="2"/>
  <c r="S6651" i="2"/>
  <c r="M6651" i="2"/>
  <c r="L6651" i="2"/>
  <c r="K6651" i="2"/>
  <c r="G6651" i="2"/>
  <c r="E6651" i="2"/>
  <c r="B6651" i="2"/>
  <c r="S6650" i="2"/>
  <c r="M6650" i="2"/>
  <c r="L6650" i="2"/>
  <c r="K6650" i="2"/>
  <c r="G6650" i="2"/>
  <c r="E6650" i="2"/>
  <c r="B6650" i="2"/>
  <c r="S6649" i="2"/>
  <c r="M6649" i="2"/>
  <c r="L6649" i="2"/>
  <c r="K6649" i="2"/>
  <c r="G6649" i="2"/>
  <c r="E6649" i="2"/>
  <c r="B6649" i="2"/>
  <c r="S6648" i="2"/>
  <c r="M6648" i="2"/>
  <c r="L6648" i="2"/>
  <c r="K6648" i="2"/>
  <c r="G6648" i="2"/>
  <c r="E6648" i="2"/>
  <c r="B6648" i="2"/>
  <c r="S6647" i="2"/>
  <c r="M6647" i="2"/>
  <c r="L6647" i="2"/>
  <c r="K6647" i="2"/>
  <c r="G6647" i="2"/>
  <c r="E6647" i="2"/>
  <c r="B6647" i="2"/>
  <c r="S6646" i="2"/>
  <c r="M6646" i="2"/>
  <c r="L6646" i="2"/>
  <c r="K6646" i="2"/>
  <c r="G6646" i="2"/>
  <c r="E6646" i="2"/>
  <c r="B6646" i="2"/>
  <c r="S6645" i="2"/>
  <c r="M6645" i="2"/>
  <c r="L6645" i="2"/>
  <c r="K6645" i="2"/>
  <c r="G6645" i="2"/>
  <c r="E6645" i="2"/>
  <c r="B6645" i="2"/>
  <c r="S6644" i="2"/>
  <c r="M6644" i="2"/>
  <c r="L6644" i="2"/>
  <c r="K6644" i="2"/>
  <c r="G6644" i="2"/>
  <c r="E6644" i="2"/>
  <c r="B6644" i="2"/>
  <c r="S6643" i="2"/>
  <c r="M6643" i="2"/>
  <c r="L6643" i="2"/>
  <c r="K6643" i="2"/>
  <c r="G6643" i="2"/>
  <c r="E6643" i="2"/>
  <c r="B6643" i="2"/>
  <c r="S6642" i="2"/>
  <c r="M6642" i="2"/>
  <c r="L6642" i="2"/>
  <c r="K6642" i="2"/>
  <c r="G6642" i="2"/>
  <c r="E6642" i="2"/>
  <c r="B6642" i="2"/>
  <c r="S6641" i="2"/>
  <c r="M6641" i="2"/>
  <c r="L6641" i="2"/>
  <c r="K6641" i="2"/>
  <c r="G6641" i="2"/>
  <c r="E6641" i="2"/>
  <c r="B6641" i="2"/>
  <c r="S6640" i="2"/>
  <c r="M6640" i="2"/>
  <c r="L6640" i="2"/>
  <c r="K6640" i="2"/>
  <c r="G6640" i="2"/>
  <c r="E6640" i="2"/>
  <c r="B6640" i="2"/>
  <c r="S6639" i="2"/>
  <c r="M6639" i="2"/>
  <c r="L6639" i="2"/>
  <c r="K6639" i="2"/>
  <c r="G6639" i="2"/>
  <c r="E6639" i="2"/>
  <c r="B6639" i="2"/>
  <c r="S6638" i="2"/>
  <c r="M6638" i="2"/>
  <c r="L6638" i="2"/>
  <c r="K6638" i="2"/>
  <c r="G6638" i="2"/>
  <c r="E6638" i="2"/>
  <c r="B6638" i="2"/>
  <c r="S6637" i="2"/>
  <c r="M6637" i="2"/>
  <c r="L6637" i="2"/>
  <c r="K6637" i="2"/>
  <c r="G6637" i="2"/>
  <c r="E6637" i="2"/>
  <c r="B6637" i="2"/>
  <c r="S6636" i="2"/>
  <c r="M6636" i="2"/>
  <c r="L6636" i="2"/>
  <c r="K6636" i="2"/>
  <c r="G6636" i="2"/>
  <c r="E6636" i="2"/>
  <c r="B6636" i="2"/>
  <c r="S6635" i="2"/>
  <c r="M6635" i="2"/>
  <c r="L6635" i="2"/>
  <c r="K6635" i="2"/>
  <c r="G6635" i="2"/>
  <c r="E6635" i="2"/>
  <c r="B6635" i="2"/>
  <c r="S6634" i="2"/>
  <c r="M6634" i="2"/>
  <c r="L6634" i="2"/>
  <c r="K6634" i="2"/>
  <c r="G6634" i="2"/>
  <c r="E6634" i="2"/>
  <c r="B6634" i="2"/>
  <c r="S6633" i="2"/>
  <c r="M6633" i="2"/>
  <c r="L6633" i="2"/>
  <c r="K6633" i="2"/>
  <c r="G6633" i="2"/>
  <c r="E6633" i="2"/>
  <c r="B6633" i="2"/>
  <c r="S6632" i="2"/>
  <c r="M6632" i="2"/>
  <c r="L6632" i="2"/>
  <c r="K6632" i="2"/>
  <c r="G6632" i="2"/>
  <c r="E6632" i="2"/>
  <c r="B6632" i="2"/>
  <c r="S6631" i="2"/>
  <c r="M6631" i="2"/>
  <c r="L6631" i="2"/>
  <c r="K6631" i="2"/>
  <c r="G6631" i="2"/>
  <c r="E6631" i="2"/>
  <c r="B6631" i="2"/>
  <c r="S6630" i="2"/>
  <c r="M6630" i="2"/>
  <c r="L6630" i="2"/>
  <c r="K6630" i="2"/>
  <c r="G6630" i="2"/>
  <c r="E6630" i="2"/>
  <c r="B6630" i="2"/>
  <c r="S6629" i="2"/>
  <c r="M6629" i="2"/>
  <c r="L6629" i="2"/>
  <c r="K6629" i="2"/>
  <c r="G6629" i="2"/>
  <c r="E6629" i="2"/>
  <c r="B6629" i="2"/>
  <c r="S6628" i="2"/>
  <c r="M6628" i="2"/>
  <c r="L6628" i="2"/>
  <c r="K6628" i="2"/>
  <c r="G6628" i="2"/>
  <c r="E6628" i="2"/>
  <c r="B6628" i="2"/>
  <c r="S6627" i="2"/>
  <c r="M6627" i="2"/>
  <c r="L6627" i="2"/>
  <c r="K6627" i="2"/>
  <c r="G6627" i="2"/>
  <c r="E6627" i="2"/>
  <c r="B6627" i="2"/>
  <c r="S6626" i="2"/>
  <c r="M6626" i="2"/>
  <c r="L6626" i="2"/>
  <c r="K6626" i="2"/>
  <c r="G6626" i="2"/>
  <c r="E6626" i="2"/>
  <c r="B6626" i="2"/>
  <c r="S6625" i="2"/>
  <c r="M6625" i="2"/>
  <c r="L6625" i="2"/>
  <c r="K6625" i="2"/>
  <c r="G6625" i="2"/>
  <c r="E6625" i="2"/>
  <c r="B6625" i="2"/>
  <c r="S6624" i="2"/>
  <c r="M6624" i="2"/>
  <c r="L6624" i="2"/>
  <c r="K6624" i="2"/>
  <c r="G6624" i="2"/>
  <c r="E6624" i="2"/>
  <c r="B6624" i="2"/>
  <c r="S6623" i="2"/>
  <c r="M6623" i="2"/>
  <c r="L6623" i="2"/>
  <c r="K6623" i="2"/>
  <c r="G6623" i="2"/>
  <c r="E6623" i="2"/>
  <c r="B6623" i="2"/>
  <c r="S6622" i="2"/>
  <c r="M6622" i="2"/>
  <c r="L6622" i="2"/>
  <c r="K6622" i="2"/>
  <c r="G6622" i="2"/>
  <c r="E6622" i="2"/>
  <c r="B6622" i="2"/>
  <c r="S6621" i="2"/>
  <c r="M6621" i="2"/>
  <c r="L6621" i="2"/>
  <c r="K6621" i="2"/>
  <c r="G6621" i="2"/>
  <c r="E6621" i="2"/>
  <c r="B6621" i="2"/>
  <c r="S6620" i="2"/>
  <c r="M6620" i="2"/>
  <c r="L6620" i="2"/>
  <c r="K6620" i="2"/>
  <c r="G6620" i="2"/>
  <c r="E6620" i="2"/>
  <c r="B6620" i="2"/>
  <c r="S6619" i="2"/>
  <c r="M6619" i="2"/>
  <c r="L6619" i="2"/>
  <c r="K6619" i="2"/>
  <c r="G6619" i="2"/>
  <c r="E6619" i="2"/>
  <c r="B6619" i="2"/>
  <c r="S6618" i="2"/>
  <c r="M6618" i="2"/>
  <c r="L6618" i="2"/>
  <c r="K6618" i="2"/>
  <c r="G6618" i="2"/>
  <c r="E6618" i="2"/>
  <c r="B6618" i="2"/>
  <c r="S6617" i="2"/>
  <c r="M6617" i="2"/>
  <c r="L6617" i="2"/>
  <c r="K6617" i="2"/>
  <c r="G6617" i="2"/>
  <c r="E6617" i="2"/>
  <c r="B6617" i="2"/>
  <c r="S6616" i="2"/>
  <c r="M6616" i="2"/>
  <c r="L6616" i="2"/>
  <c r="K6616" i="2"/>
  <c r="G6616" i="2"/>
  <c r="E6616" i="2"/>
  <c r="B6616" i="2"/>
  <c r="S6615" i="2"/>
  <c r="M6615" i="2"/>
  <c r="L6615" i="2"/>
  <c r="K6615" i="2"/>
  <c r="G6615" i="2"/>
  <c r="E6615" i="2"/>
  <c r="B6615" i="2"/>
  <c r="S6614" i="2"/>
  <c r="M6614" i="2"/>
  <c r="L6614" i="2"/>
  <c r="K6614" i="2"/>
  <c r="G6614" i="2"/>
  <c r="E6614" i="2"/>
  <c r="B6614" i="2"/>
  <c r="S6613" i="2"/>
  <c r="M6613" i="2"/>
  <c r="L6613" i="2"/>
  <c r="K6613" i="2"/>
  <c r="G6613" i="2"/>
  <c r="E6613" i="2"/>
  <c r="B6613" i="2"/>
  <c r="S6612" i="2"/>
  <c r="M6612" i="2"/>
  <c r="L6612" i="2"/>
  <c r="K6612" i="2"/>
  <c r="G6612" i="2"/>
  <c r="E6612" i="2"/>
  <c r="B6612" i="2"/>
  <c r="S6611" i="2"/>
  <c r="M6611" i="2"/>
  <c r="L6611" i="2"/>
  <c r="K6611" i="2"/>
  <c r="G6611" i="2"/>
  <c r="E6611" i="2"/>
  <c r="B6611" i="2"/>
  <c r="S6610" i="2"/>
  <c r="M6610" i="2"/>
  <c r="L6610" i="2"/>
  <c r="K6610" i="2"/>
  <c r="G6610" i="2"/>
  <c r="E6610" i="2"/>
  <c r="B6610" i="2"/>
  <c r="S6609" i="2"/>
  <c r="M6609" i="2"/>
  <c r="L6609" i="2"/>
  <c r="K6609" i="2"/>
  <c r="G6609" i="2"/>
  <c r="E6609" i="2"/>
  <c r="B6609" i="2"/>
  <c r="S6608" i="2"/>
  <c r="M6608" i="2"/>
  <c r="L6608" i="2"/>
  <c r="K6608" i="2"/>
  <c r="G6608" i="2"/>
  <c r="E6608" i="2"/>
  <c r="B6608" i="2"/>
  <c r="S6607" i="2"/>
  <c r="M6607" i="2"/>
  <c r="L6607" i="2"/>
  <c r="K6607" i="2"/>
  <c r="G6607" i="2"/>
  <c r="E6607" i="2"/>
  <c r="B6607" i="2"/>
  <c r="S6606" i="2"/>
  <c r="M6606" i="2"/>
  <c r="L6606" i="2"/>
  <c r="K6606" i="2"/>
  <c r="G6606" i="2"/>
  <c r="E6606" i="2"/>
  <c r="B6606" i="2"/>
  <c r="S6605" i="2"/>
  <c r="M6605" i="2"/>
  <c r="L6605" i="2"/>
  <c r="K6605" i="2"/>
  <c r="G6605" i="2"/>
  <c r="E6605" i="2"/>
  <c r="B6605" i="2"/>
  <c r="S6604" i="2"/>
  <c r="M6604" i="2"/>
  <c r="L6604" i="2"/>
  <c r="K6604" i="2"/>
  <c r="G6604" i="2"/>
  <c r="E6604" i="2"/>
  <c r="B6604" i="2"/>
  <c r="S6603" i="2"/>
  <c r="M6603" i="2"/>
  <c r="L6603" i="2"/>
  <c r="K6603" i="2"/>
  <c r="G6603" i="2"/>
  <c r="E6603" i="2"/>
  <c r="B6603" i="2"/>
  <c r="S6602" i="2"/>
  <c r="M6602" i="2"/>
  <c r="L6602" i="2"/>
  <c r="K6602" i="2"/>
  <c r="G6602" i="2"/>
  <c r="E6602" i="2"/>
  <c r="B6602" i="2"/>
  <c r="S6601" i="2"/>
  <c r="M6601" i="2"/>
  <c r="L6601" i="2"/>
  <c r="K6601" i="2"/>
  <c r="G6601" i="2"/>
  <c r="E6601" i="2"/>
  <c r="B6601" i="2"/>
  <c r="S6600" i="2"/>
  <c r="M6600" i="2"/>
  <c r="L6600" i="2"/>
  <c r="K6600" i="2"/>
  <c r="G6600" i="2"/>
  <c r="E6600" i="2"/>
  <c r="B6600" i="2"/>
  <c r="S6599" i="2"/>
  <c r="M6599" i="2"/>
  <c r="L6599" i="2"/>
  <c r="K6599" i="2"/>
  <c r="G6599" i="2"/>
  <c r="E6599" i="2"/>
  <c r="B6599" i="2"/>
  <c r="S6598" i="2"/>
  <c r="M6598" i="2"/>
  <c r="L6598" i="2"/>
  <c r="K6598" i="2"/>
  <c r="G6598" i="2"/>
  <c r="E6598" i="2"/>
  <c r="B6598" i="2"/>
  <c r="S6597" i="2"/>
  <c r="M6597" i="2"/>
  <c r="L6597" i="2"/>
  <c r="K6597" i="2"/>
  <c r="G6597" i="2"/>
  <c r="E6597" i="2"/>
  <c r="B6597" i="2"/>
  <c r="S6596" i="2"/>
  <c r="M6596" i="2"/>
  <c r="L6596" i="2"/>
  <c r="K6596" i="2"/>
  <c r="G6596" i="2"/>
  <c r="E6596" i="2"/>
  <c r="B6596" i="2"/>
  <c r="S6595" i="2"/>
  <c r="M6595" i="2"/>
  <c r="L6595" i="2"/>
  <c r="K6595" i="2"/>
  <c r="G6595" i="2"/>
  <c r="E6595" i="2"/>
  <c r="B6595" i="2"/>
  <c r="S6594" i="2"/>
  <c r="M6594" i="2"/>
  <c r="L6594" i="2"/>
  <c r="K6594" i="2"/>
  <c r="G6594" i="2"/>
  <c r="E6594" i="2"/>
  <c r="B6594" i="2"/>
  <c r="S6593" i="2"/>
  <c r="M6593" i="2"/>
  <c r="L6593" i="2"/>
  <c r="K6593" i="2"/>
  <c r="G6593" i="2"/>
  <c r="E6593" i="2"/>
  <c r="B6593" i="2"/>
  <c r="S6592" i="2"/>
  <c r="M6592" i="2"/>
  <c r="L6592" i="2"/>
  <c r="K6592" i="2"/>
  <c r="G6592" i="2"/>
  <c r="E6592" i="2"/>
  <c r="B6592" i="2"/>
  <c r="S6591" i="2"/>
  <c r="M6591" i="2"/>
  <c r="L6591" i="2"/>
  <c r="K6591" i="2"/>
  <c r="G6591" i="2"/>
  <c r="E6591" i="2"/>
  <c r="B6591" i="2"/>
  <c r="S6590" i="2"/>
  <c r="M6590" i="2"/>
  <c r="L6590" i="2"/>
  <c r="K6590" i="2"/>
  <c r="G6590" i="2"/>
  <c r="E6590" i="2"/>
  <c r="B6590" i="2"/>
  <c r="S6589" i="2"/>
  <c r="M6589" i="2"/>
  <c r="L6589" i="2"/>
  <c r="K6589" i="2"/>
  <c r="G6589" i="2"/>
  <c r="E6589" i="2"/>
  <c r="B6589" i="2"/>
  <c r="S6588" i="2"/>
  <c r="M6588" i="2"/>
  <c r="L6588" i="2"/>
  <c r="K6588" i="2"/>
  <c r="G6588" i="2"/>
  <c r="E6588" i="2"/>
  <c r="B6588" i="2"/>
  <c r="S6587" i="2"/>
  <c r="M6587" i="2"/>
  <c r="L6587" i="2"/>
  <c r="K6587" i="2"/>
  <c r="G6587" i="2"/>
  <c r="E6587" i="2"/>
  <c r="B6587" i="2"/>
  <c r="S6586" i="2"/>
  <c r="M6586" i="2"/>
  <c r="L6586" i="2"/>
  <c r="K6586" i="2"/>
  <c r="G6586" i="2"/>
  <c r="E6586" i="2"/>
  <c r="B6586" i="2"/>
  <c r="S6585" i="2"/>
  <c r="M6585" i="2"/>
  <c r="L6585" i="2"/>
  <c r="K6585" i="2"/>
  <c r="G6585" i="2"/>
  <c r="E6585" i="2"/>
  <c r="B6585" i="2"/>
  <c r="S6584" i="2"/>
  <c r="M6584" i="2"/>
  <c r="L6584" i="2"/>
  <c r="K6584" i="2"/>
  <c r="G6584" i="2"/>
  <c r="E6584" i="2"/>
  <c r="B6584" i="2"/>
  <c r="S6583" i="2"/>
  <c r="M6583" i="2"/>
  <c r="L6583" i="2"/>
  <c r="K6583" i="2"/>
  <c r="G6583" i="2"/>
  <c r="E6583" i="2"/>
  <c r="B6583" i="2"/>
  <c r="S6582" i="2"/>
  <c r="M6582" i="2"/>
  <c r="L6582" i="2"/>
  <c r="K6582" i="2"/>
  <c r="G6582" i="2"/>
  <c r="E6582" i="2"/>
  <c r="B6582" i="2"/>
  <c r="S6581" i="2"/>
  <c r="M6581" i="2"/>
  <c r="L6581" i="2"/>
  <c r="K6581" i="2"/>
  <c r="G6581" i="2"/>
  <c r="E6581" i="2"/>
  <c r="B6581" i="2"/>
  <c r="S6580" i="2"/>
  <c r="M6580" i="2"/>
  <c r="L6580" i="2"/>
  <c r="K6580" i="2"/>
  <c r="G6580" i="2"/>
  <c r="E6580" i="2"/>
  <c r="B6580" i="2"/>
  <c r="S6579" i="2"/>
  <c r="M6579" i="2"/>
  <c r="L6579" i="2"/>
  <c r="K6579" i="2"/>
  <c r="G6579" i="2"/>
  <c r="E6579" i="2"/>
  <c r="B6579" i="2"/>
  <c r="S6578" i="2"/>
  <c r="M6578" i="2"/>
  <c r="L6578" i="2"/>
  <c r="K6578" i="2"/>
  <c r="G6578" i="2"/>
  <c r="E6578" i="2"/>
  <c r="B6578" i="2"/>
  <c r="S6577" i="2"/>
  <c r="M6577" i="2"/>
  <c r="L6577" i="2"/>
  <c r="K6577" i="2"/>
  <c r="G6577" i="2"/>
  <c r="E6577" i="2"/>
  <c r="B6577" i="2"/>
  <c r="S6576" i="2"/>
  <c r="M6576" i="2"/>
  <c r="L6576" i="2"/>
  <c r="K6576" i="2"/>
  <c r="G6576" i="2"/>
  <c r="E6576" i="2"/>
  <c r="B6576" i="2"/>
  <c r="S6575" i="2"/>
  <c r="M6575" i="2"/>
  <c r="L6575" i="2"/>
  <c r="K6575" i="2"/>
  <c r="G6575" i="2"/>
  <c r="E6575" i="2"/>
  <c r="B6575" i="2"/>
  <c r="S6574" i="2"/>
  <c r="M6574" i="2"/>
  <c r="L6574" i="2"/>
  <c r="K6574" i="2"/>
  <c r="G6574" i="2"/>
  <c r="E6574" i="2"/>
  <c r="B6574" i="2"/>
  <c r="S6573" i="2"/>
  <c r="M6573" i="2"/>
  <c r="L6573" i="2"/>
  <c r="K6573" i="2"/>
  <c r="G6573" i="2"/>
  <c r="E6573" i="2"/>
  <c r="B6573" i="2"/>
  <c r="S6572" i="2"/>
  <c r="M6572" i="2"/>
  <c r="L6572" i="2"/>
  <c r="K6572" i="2"/>
  <c r="G6572" i="2"/>
  <c r="E6572" i="2"/>
  <c r="B6572" i="2"/>
  <c r="S6571" i="2"/>
  <c r="M6571" i="2"/>
  <c r="L6571" i="2"/>
  <c r="K6571" i="2"/>
  <c r="G6571" i="2"/>
  <c r="E6571" i="2"/>
  <c r="B6571" i="2"/>
  <c r="S6570" i="2"/>
  <c r="M6570" i="2"/>
  <c r="L6570" i="2"/>
  <c r="K6570" i="2"/>
  <c r="G6570" i="2"/>
  <c r="E6570" i="2"/>
  <c r="B6570" i="2"/>
  <c r="S6569" i="2"/>
  <c r="M6569" i="2"/>
  <c r="L6569" i="2"/>
  <c r="K6569" i="2"/>
  <c r="G6569" i="2"/>
  <c r="E6569" i="2"/>
  <c r="B6569" i="2"/>
  <c r="S6568" i="2"/>
  <c r="M6568" i="2"/>
  <c r="L6568" i="2"/>
  <c r="K6568" i="2"/>
  <c r="G6568" i="2"/>
  <c r="E6568" i="2"/>
  <c r="B6568" i="2"/>
  <c r="S6567" i="2"/>
  <c r="M6567" i="2"/>
  <c r="L6567" i="2"/>
  <c r="K6567" i="2"/>
  <c r="G6567" i="2"/>
  <c r="E6567" i="2"/>
  <c r="B6567" i="2"/>
  <c r="S6566" i="2"/>
  <c r="M6566" i="2"/>
  <c r="L6566" i="2"/>
  <c r="K6566" i="2"/>
  <c r="G6566" i="2"/>
  <c r="E6566" i="2"/>
  <c r="B6566" i="2"/>
  <c r="S6565" i="2"/>
  <c r="M6565" i="2"/>
  <c r="L6565" i="2"/>
  <c r="K6565" i="2"/>
  <c r="G6565" i="2"/>
  <c r="E6565" i="2"/>
  <c r="B6565" i="2"/>
  <c r="S6564" i="2"/>
  <c r="M6564" i="2"/>
  <c r="L6564" i="2"/>
  <c r="K6564" i="2"/>
  <c r="G6564" i="2"/>
  <c r="E6564" i="2"/>
  <c r="B6564" i="2"/>
  <c r="S6563" i="2"/>
  <c r="M6563" i="2"/>
  <c r="L6563" i="2"/>
  <c r="K6563" i="2"/>
  <c r="G6563" i="2"/>
  <c r="E6563" i="2"/>
  <c r="B6563" i="2"/>
  <c r="S6562" i="2"/>
  <c r="M6562" i="2"/>
  <c r="L6562" i="2"/>
  <c r="K6562" i="2"/>
  <c r="G6562" i="2"/>
  <c r="E6562" i="2"/>
  <c r="B6562" i="2"/>
  <c r="S6561" i="2"/>
  <c r="M6561" i="2"/>
  <c r="L6561" i="2"/>
  <c r="K6561" i="2"/>
  <c r="G6561" i="2"/>
  <c r="E6561" i="2"/>
  <c r="B6561" i="2"/>
  <c r="S6560" i="2"/>
  <c r="M6560" i="2"/>
  <c r="L6560" i="2"/>
  <c r="K6560" i="2"/>
  <c r="G6560" i="2"/>
  <c r="E6560" i="2"/>
  <c r="B6560" i="2"/>
  <c r="S6559" i="2"/>
  <c r="M6559" i="2"/>
  <c r="L6559" i="2"/>
  <c r="K6559" i="2"/>
  <c r="G6559" i="2"/>
  <c r="E6559" i="2"/>
  <c r="B6559" i="2"/>
  <c r="S6558" i="2"/>
  <c r="M6558" i="2"/>
  <c r="L6558" i="2"/>
  <c r="K6558" i="2"/>
  <c r="G6558" i="2"/>
  <c r="E6558" i="2"/>
  <c r="B6558" i="2"/>
  <c r="S6557" i="2"/>
  <c r="M6557" i="2"/>
  <c r="L6557" i="2"/>
  <c r="K6557" i="2"/>
  <c r="G6557" i="2"/>
  <c r="E6557" i="2"/>
  <c r="B6557" i="2"/>
  <c r="S6556" i="2"/>
  <c r="M6556" i="2"/>
  <c r="L6556" i="2"/>
  <c r="K6556" i="2"/>
  <c r="G6556" i="2"/>
  <c r="E6556" i="2"/>
  <c r="B6556" i="2"/>
  <c r="S6555" i="2"/>
  <c r="M6555" i="2"/>
  <c r="L6555" i="2"/>
  <c r="K6555" i="2"/>
  <c r="G6555" i="2"/>
  <c r="E6555" i="2"/>
  <c r="B6555" i="2"/>
  <c r="S6554" i="2"/>
  <c r="M6554" i="2"/>
  <c r="L6554" i="2"/>
  <c r="K6554" i="2"/>
  <c r="G6554" i="2"/>
  <c r="E6554" i="2"/>
  <c r="B6554" i="2"/>
  <c r="S6553" i="2"/>
  <c r="M6553" i="2"/>
  <c r="L6553" i="2"/>
  <c r="K6553" i="2"/>
  <c r="G6553" i="2"/>
  <c r="E6553" i="2"/>
  <c r="B6553" i="2"/>
  <c r="S6552" i="2"/>
  <c r="M6552" i="2"/>
  <c r="L6552" i="2"/>
  <c r="K6552" i="2"/>
  <c r="G6552" i="2"/>
  <c r="E6552" i="2"/>
  <c r="B6552" i="2"/>
  <c r="S6551" i="2"/>
  <c r="M6551" i="2"/>
  <c r="L6551" i="2"/>
  <c r="K6551" i="2"/>
  <c r="G6551" i="2"/>
  <c r="E6551" i="2"/>
  <c r="B6551" i="2"/>
  <c r="S6550" i="2"/>
  <c r="M6550" i="2"/>
  <c r="L6550" i="2"/>
  <c r="K6550" i="2"/>
  <c r="G6550" i="2"/>
  <c r="E6550" i="2"/>
  <c r="B6550" i="2"/>
  <c r="S6549" i="2"/>
  <c r="M6549" i="2"/>
  <c r="L6549" i="2"/>
  <c r="K6549" i="2"/>
  <c r="G6549" i="2"/>
  <c r="E6549" i="2"/>
  <c r="B6549" i="2"/>
  <c r="S6548" i="2"/>
  <c r="M6548" i="2"/>
  <c r="L6548" i="2"/>
  <c r="K6548" i="2"/>
  <c r="G6548" i="2"/>
  <c r="E6548" i="2"/>
  <c r="B6548" i="2"/>
  <c r="S6547" i="2"/>
  <c r="M6547" i="2"/>
  <c r="L6547" i="2"/>
  <c r="K6547" i="2"/>
  <c r="G6547" i="2"/>
  <c r="E6547" i="2"/>
  <c r="B6547" i="2"/>
  <c r="S6546" i="2"/>
  <c r="M6546" i="2"/>
  <c r="L6546" i="2"/>
  <c r="K6546" i="2"/>
  <c r="G6546" i="2"/>
  <c r="E6546" i="2"/>
  <c r="B6546" i="2"/>
  <c r="S6545" i="2"/>
  <c r="M6545" i="2"/>
  <c r="L6545" i="2"/>
  <c r="K6545" i="2"/>
  <c r="G6545" i="2"/>
  <c r="E6545" i="2"/>
  <c r="B6545" i="2"/>
  <c r="S6544" i="2"/>
  <c r="M6544" i="2"/>
  <c r="L6544" i="2"/>
  <c r="K6544" i="2"/>
  <c r="G6544" i="2"/>
  <c r="E6544" i="2"/>
  <c r="B6544" i="2"/>
  <c r="S6543" i="2"/>
  <c r="M6543" i="2"/>
  <c r="L6543" i="2"/>
  <c r="K6543" i="2"/>
  <c r="G6543" i="2"/>
  <c r="E6543" i="2"/>
  <c r="B6543" i="2"/>
  <c r="S6542" i="2"/>
  <c r="M6542" i="2"/>
  <c r="L6542" i="2"/>
  <c r="K6542" i="2"/>
  <c r="G6542" i="2"/>
  <c r="E6542" i="2"/>
  <c r="B6542" i="2"/>
  <c r="S6541" i="2"/>
  <c r="M6541" i="2"/>
  <c r="L6541" i="2"/>
  <c r="K6541" i="2"/>
  <c r="G6541" i="2"/>
  <c r="E6541" i="2"/>
  <c r="B6541" i="2"/>
  <c r="S6540" i="2"/>
  <c r="M6540" i="2"/>
  <c r="L6540" i="2"/>
  <c r="K6540" i="2"/>
  <c r="G6540" i="2"/>
  <c r="E6540" i="2"/>
  <c r="B6540" i="2"/>
  <c r="S6539" i="2"/>
  <c r="M6539" i="2"/>
  <c r="L6539" i="2"/>
  <c r="K6539" i="2"/>
  <c r="G6539" i="2"/>
  <c r="E6539" i="2"/>
  <c r="B6539" i="2"/>
  <c r="S6538" i="2"/>
  <c r="M6538" i="2"/>
  <c r="L6538" i="2"/>
  <c r="K6538" i="2"/>
  <c r="G6538" i="2"/>
  <c r="E6538" i="2"/>
  <c r="B6538" i="2"/>
  <c r="S6537" i="2"/>
  <c r="M6537" i="2"/>
  <c r="L6537" i="2"/>
  <c r="K6537" i="2"/>
  <c r="G6537" i="2"/>
  <c r="E6537" i="2"/>
  <c r="B6537" i="2"/>
  <c r="S6536" i="2"/>
  <c r="M6536" i="2"/>
  <c r="L6536" i="2"/>
  <c r="K6536" i="2"/>
  <c r="G6536" i="2"/>
  <c r="E6536" i="2"/>
  <c r="B6536" i="2"/>
  <c r="S6535" i="2"/>
  <c r="M6535" i="2"/>
  <c r="L6535" i="2"/>
  <c r="K6535" i="2"/>
  <c r="G6535" i="2"/>
  <c r="E6535" i="2"/>
  <c r="B6535" i="2"/>
  <c r="S6534" i="2"/>
  <c r="M6534" i="2"/>
  <c r="L6534" i="2"/>
  <c r="K6534" i="2"/>
  <c r="G6534" i="2"/>
  <c r="E6534" i="2"/>
  <c r="B6534" i="2"/>
  <c r="S6533" i="2"/>
  <c r="M6533" i="2"/>
  <c r="L6533" i="2"/>
  <c r="K6533" i="2"/>
  <c r="G6533" i="2"/>
  <c r="E6533" i="2"/>
  <c r="B6533" i="2"/>
  <c r="S6532" i="2"/>
  <c r="M6532" i="2"/>
  <c r="L6532" i="2"/>
  <c r="K6532" i="2"/>
  <c r="G6532" i="2"/>
  <c r="E6532" i="2"/>
  <c r="B6532" i="2"/>
  <c r="S6531" i="2"/>
  <c r="M6531" i="2"/>
  <c r="L6531" i="2"/>
  <c r="K6531" i="2"/>
  <c r="G6531" i="2"/>
  <c r="E6531" i="2"/>
  <c r="B6531" i="2"/>
  <c r="S6530" i="2"/>
  <c r="M6530" i="2"/>
  <c r="L6530" i="2"/>
  <c r="K6530" i="2"/>
  <c r="G6530" i="2"/>
  <c r="E6530" i="2"/>
  <c r="B6530" i="2"/>
  <c r="S6529" i="2"/>
  <c r="M6529" i="2"/>
  <c r="L6529" i="2"/>
  <c r="K6529" i="2"/>
  <c r="G6529" i="2"/>
  <c r="E6529" i="2"/>
  <c r="B6529" i="2"/>
  <c r="S6528" i="2"/>
  <c r="M6528" i="2"/>
  <c r="L6528" i="2"/>
  <c r="K6528" i="2"/>
  <c r="G6528" i="2"/>
  <c r="E6528" i="2"/>
  <c r="B6528" i="2"/>
  <c r="S6527" i="2"/>
  <c r="M6527" i="2"/>
  <c r="L6527" i="2"/>
  <c r="K6527" i="2"/>
  <c r="G6527" i="2"/>
  <c r="E6527" i="2"/>
  <c r="B6527" i="2"/>
  <c r="S6526" i="2"/>
  <c r="M6526" i="2"/>
  <c r="L6526" i="2"/>
  <c r="K6526" i="2"/>
  <c r="G6526" i="2"/>
  <c r="E6526" i="2"/>
  <c r="B6526" i="2"/>
  <c r="S6525" i="2"/>
  <c r="M6525" i="2"/>
  <c r="L6525" i="2"/>
  <c r="K6525" i="2"/>
  <c r="G6525" i="2"/>
  <c r="E6525" i="2"/>
  <c r="B6525" i="2"/>
  <c r="S6524" i="2"/>
  <c r="M6524" i="2"/>
  <c r="L6524" i="2"/>
  <c r="K6524" i="2"/>
  <c r="G6524" i="2"/>
  <c r="E6524" i="2"/>
  <c r="B6524" i="2"/>
  <c r="S6523" i="2"/>
  <c r="M6523" i="2"/>
  <c r="L6523" i="2"/>
  <c r="K6523" i="2"/>
  <c r="G6523" i="2"/>
  <c r="E6523" i="2"/>
  <c r="B6523" i="2"/>
  <c r="S6522" i="2"/>
  <c r="M6522" i="2"/>
  <c r="L6522" i="2"/>
  <c r="K6522" i="2"/>
  <c r="G6522" i="2"/>
  <c r="E6522" i="2"/>
  <c r="B6522" i="2"/>
  <c r="S6521" i="2"/>
  <c r="M6521" i="2"/>
  <c r="L6521" i="2"/>
  <c r="K6521" i="2"/>
  <c r="G6521" i="2"/>
  <c r="E6521" i="2"/>
  <c r="B6521" i="2"/>
  <c r="S6520" i="2"/>
  <c r="M6520" i="2"/>
  <c r="L6520" i="2"/>
  <c r="K6520" i="2"/>
  <c r="G6520" i="2"/>
  <c r="E6520" i="2"/>
  <c r="B6520" i="2"/>
  <c r="S6519" i="2"/>
  <c r="M6519" i="2"/>
  <c r="L6519" i="2"/>
  <c r="K6519" i="2"/>
  <c r="G6519" i="2"/>
  <c r="E6519" i="2"/>
  <c r="B6519" i="2"/>
  <c r="S6518" i="2"/>
  <c r="M6518" i="2"/>
  <c r="L6518" i="2"/>
  <c r="K6518" i="2"/>
  <c r="G6518" i="2"/>
  <c r="E6518" i="2"/>
  <c r="B6518" i="2"/>
  <c r="S6517" i="2"/>
  <c r="M6517" i="2"/>
  <c r="L6517" i="2"/>
  <c r="K6517" i="2"/>
  <c r="G6517" i="2"/>
  <c r="E6517" i="2"/>
  <c r="B6517" i="2"/>
  <c r="S6516" i="2"/>
  <c r="M6516" i="2"/>
  <c r="L6516" i="2"/>
  <c r="K6516" i="2"/>
  <c r="G6516" i="2"/>
  <c r="E6516" i="2"/>
  <c r="B6516" i="2"/>
  <c r="S6515" i="2"/>
  <c r="M6515" i="2"/>
  <c r="L6515" i="2"/>
  <c r="K6515" i="2"/>
  <c r="G6515" i="2"/>
  <c r="E6515" i="2"/>
  <c r="B6515" i="2"/>
  <c r="S6514" i="2"/>
  <c r="M6514" i="2"/>
  <c r="L6514" i="2"/>
  <c r="K6514" i="2"/>
  <c r="G6514" i="2"/>
  <c r="E6514" i="2"/>
  <c r="B6514" i="2"/>
  <c r="S6513" i="2"/>
  <c r="M6513" i="2"/>
  <c r="L6513" i="2"/>
  <c r="K6513" i="2"/>
  <c r="G6513" i="2"/>
  <c r="E6513" i="2"/>
  <c r="B6513" i="2"/>
  <c r="S6512" i="2"/>
  <c r="M6512" i="2"/>
  <c r="L6512" i="2"/>
  <c r="K6512" i="2"/>
  <c r="G6512" i="2"/>
  <c r="E6512" i="2"/>
  <c r="B6512" i="2"/>
  <c r="S6511" i="2"/>
  <c r="M6511" i="2"/>
  <c r="L6511" i="2"/>
  <c r="K6511" i="2"/>
  <c r="G6511" i="2"/>
  <c r="E6511" i="2"/>
  <c r="B6511" i="2"/>
  <c r="S6510" i="2"/>
  <c r="M6510" i="2"/>
  <c r="L6510" i="2"/>
  <c r="K6510" i="2"/>
  <c r="G6510" i="2"/>
  <c r="E6510" i="2"/>
  <c r="B6510" i="2"/>
  <c r="S6509" i="2"/>
  <c r="M6509" i="2"/>
  <c r="L6509" i="2"/>
  <c r="K6509" i="2"/>
  <c r="G6509" i="2"/>
  <c r="E6509" i="2"/>
  <c r="B6509" i="2"/>
  <c r="S6508" i="2"/>
  <c r="M6508" i="2"/>
  <c r="L6508" i="2"/>
  <c r="K6508" i="2"/>
  <c r="G6508" i="2"/>
  <c r="E6508" i="2"/>
  <c r="B6508" i="2"/>
  <c r="S6507" i="2"/>
  <c r="M6507" i="2"/>
  <c r="L6507" i="2"/>
  <c r="K6507" i="2"/>
  <c r="G6507" i="2"/>
  <c r="E6507" i="2"/>
  <c r="B6507" i="2"/>
  <c r="S6506" i="2"/>
  <c r="M6506" i="2"/>
  <c r="L6506" i="2"/>
  <c r="K6506" i="2"/>
  <c r="G6506" i="2"/>
  <c r="E6506" i="2"/>
  <c r="B6506" i="2"/>
  <c r="S6505" i="2"/>
  <c r="M6505" i="2"/>
  <c r="L6505" i="2"/>
  <c r="K6505" i="2"/>
  <c r="G6505" i="2"/>
  <c r="E6505" i="2"/>
  <c r="B6505" i="2"/>
  <c r="S6504" i="2"/>
  <c r="M6504" i="2"/>
  <c r="L6504" i="2"/>
  <c r="K6504" i="2"/>
  <c r="G6504" i="2"/>
  <c r="E6504" i="2"/>
  <c r="B6504" i="2"/>
  <c r="S6503" i="2"/>
  <c r="M6503" i="2"/>
  <c r="L6503" i="2"/>
  <c r="K6503" i="2"/>
  <c r="G6503" i="2"/>
  <c r="E6503" i="2"/>
  <c r="B6503" i="2"/>
  <c r="S6502" i="2"/>
  <c r="M6502" i="2"/>
  <c r="L6502" i="2"/>
  <c r="K6502" i="2"/>
  <c r="G6502" i="2"/>
  <c r="E6502" i="2"/>
  <c r="B6502" i="2"/>
  <c r="S6501" i="2"/>
  <c r="M6501" i="2"/>
  <c r="L6501" i="2"/>
  <c r="K6501" i="2"/>
  <c r="G6501" i="2"/>
  <c r="E6501" i="2"/>
  <c r="B6501" i="2"/>
  <c r="S6500" i="2"/>
  <c r="M6500" i="2"/>
  <c r="L6500" i="2"/>
  <c r="K6500" i="2"/>
  <c r="G6500" i="2"/>
  <c r="E6500" i="2"/>
  <c r="B6500" i="2"/>
  <c r="S6499" i="2"/>
  <c r="M6499" i="2"/>
  <c r="L6499" i="2"/>
  <c r="K6499" i="2"/>
  <c r="G6499" i="2"/>
  <c r="E6499" i="2"/>
  <c r="B6499" i="2"/>
  <c r="S6498" i="2"/>
  <c r="M6498" i="2"/>
  <c r="L6498" i="2"/>
  <c r="K6498" i="2"/>
  <c r="G6498" i="2"/>
  <c r="E6498" i="2"/>
  <c r="B6498" i="2"/>
  <c r="S6497" i="2"/>
  <c r="M6497" i="2"/>
  <c r="L6497" i="2"/>
  <c r="K6497" i="2"/>
  <c r="G6497" i="2"/>
  <c r="E6497" i="2"/>
  <c r="B6497" i="2"/>
  <c r="S6496" i="2"/>
  <c r="M6496" i="2"/>
  <c r="L6496" i="2"/>
  <c r="K6496" i="2"/>
  <c r="G6496" i="2"/>
  <c r="E6496" i="2"/>
  <c r="B6496" i="2"/>
  <c r="S6495" i="2"/>
  <c r="M6495" i="2"/>
  <c r="L6495" i="2"/>
  <c r="K6495" i="2"/>
  <c r="G6495" i="2"/>
  <c r="E6495" i="2"/>
  <c r="B6495" i="2"/>
  <c r="S6494" i="2"/>
  <c r="M6494" i="2"/>
  <c r="L6494" i="2"/>
  <c r="K6494" i="2"/>
  <c r="G6494" i="2"/>
  <c r="E6494" i="2"/>
  <c r="B6494" i="2"/>
  <c r="S6493" i="2"/>
  <c r="M6493" i="2"/>
  <c r="L6493" i="2"/>
  <c r="K6493" i="2"/>
  <c r="G6493" i="2"/>
  <c r="E6493" i="2"/>
  <c r="B6493" i="2"/>
  <c r="S6492" i="2"/>
  <c r="M6492" i="2"/>
  <c r="L6492" i="2"/>
  <c r="K6492" i="2"/>
  <c r="G6492" i="2"/>
  <c r="E6492" i="2"/>
  <c r="B6492" i="2"/>
  <c r="S6491" i="2"/>
  <c r="M6491" i="2"/>
  <c r="L6491" i="2"/>
  <c r="K6491" i="2"/>
  <c r="G6491" i="2"/>
  <c r="E6491" i="2"/>
  <c r="B6491" i="2"/>
  <c r="S6490" i="2"/>
  <c r="M6490" i="2"/>
  <c r="L6490" i="2"/>
  <c r="K6490" i="2"/>
  <c r="G6490" i="2"/>
  <c r="E6490" i="2"/>
  <c r="B6490" i="2"/>
  <c r="S6489" i="2"/>
  <c r="M6489" i="2"/>
  <c r="L6489" i="2"/>
  <c r="K6489" i="2"/>
  <c r="G6489" i="2"/>
  <c r="E6489" i="2"/>
  <c r="B6489" i="2"/>
  <c r="S6488" i="2"/>
  <c r="M6488" i="2"/>
  <c r="L6488" i="2"/>
  <c r="K6488" i="2"/>
  <c r="G6488" i="2"/>
  <c r="E6488" i="2"/>
  <c r="B6488" i="2"/>
  <c r="S6487" i="2"/>
  <c r="M6487" i="2"/>
  <c r="L6487" i="2"/>
  <c r="K6487" i="2"/>
  <c r="G6487" i="2"/>
  <c r="E6487" i="2"/>
  <c r="B6487" i="2"/>
  <c r="S6486" i="2"/>
  <c r="M6486" i="2"/>
  <c r="L6486" i="2"/>
  <c r="K6486" i="2"/>
  <c r="G6486" i="2"/>
  <c r="E6486" i="2"/>
  <c r="B6486" i="2"/>
  <c r="S6485" i="2"/>
  <c r="M6485" i="2"/>
  <c r="L6485" i="2"/>
  <c r="K6485" i="2"/>
  <c r="G6485" i="2"/>
  <c r="E6485" i="2"/>
  <c r="B6485" i="2"/>
  <c r="S6484" i="2"/>
  <c r="M6484" i="2"/>
  <c r="L6484" i="2"/>
  <c r="K6484" i="2"/>
  <c r="G6484" i="2"/>
  <c r="E6484" i="2"/>
  <c r="B6484" i="2"/>
  <c r="S6483" i="2"/>
  <c r="M6483" i="2"/>
  <c r="L6483" i="2"/>
  <c r="K6483" i="2"/>
  <c r="G6483" i="2"/>
  <c r="E6483" i="2"/>
  <c r="B6483" i="2"/>
  <c r="S6482" i="2"/>
  <c r="M6482" i="2"/>
  <c r="L6482" i="2"/>
  <c r="K6482" i="2"/>
  <c r="G6482" i="2"/>
  <c r="E6482" i="2"/>
  <c r="B6482" i="2"/>
  <c r="S6481" i="2"/>
  <c r="M6481" i="2"/>
  <c r="L6481" i="2"/>
  <c r="K6481" i="2"/>
  <c r="G6481" i="2"/>
  <c r="E6481" i="2"/>
  <c r="B6481" i="2"/>
  <c r="S6480" i="2"/>
  <c r="M6480" i="2"/>
  <c r="L6480" i="2"/>
  <c r="K6480" i="2"/>
  <c r="G6480" i="2"/>
  <c r="E6480" i="2"/>
  <c r="B6480" i="2"/>
  <c r="S6479" i="2"/>
  <c r="M6479" i="2"/>
  <c r="L6479" i="2"/>
  <c r="K6479" i="2"/>
  <c r="G6479" i="2"/>
  <c r="E6479" i="2"/>
  <c r="B6479" i="2"/>
  <c r="S6478" i="2"/>
  <c r="M6478" i="2"/>
  <c r="L6478" i="2"/>
  <c r="K6478" i="2"/>
  <c r="G6478" i="2"/>
  <c r="E6478" i="2"/>
  <c r="B6478" i="2"/>
  <c r="S6477" i="2"/>
  <c r="M6477" i="2"/>
  <c r="L6477" i="2"/>
  <c r="K6477" i="2"/>
  <c r="G6477" i="2"/>
  <c r="E6477" i="2"/>
  <c r="B6477" i="2"/>
  <c r="S6476" i="2"/>
  <c r="M6476" i="2"/>
  <c r="L6476" i="2"/>
  <c r="K6476" i="2"/>
  <c r="G6476" i="2"/>
  <c r="E6476" i="2"/>
  <c r="B6476" i="2"/>
  <c r="S6475" i="2"/>
  <c r="M6475" i="2"/>
  <c r="L6475" i="2"/>
  <c r="K6475" i="2"/>
  <c r="G6475" i="2"/>
  <c r="E6475" i="2"/>
  <c r="B6475" i="2"/>
  <c r="S6474" i="2"/>
  <c r="M6474" i="2"/>
  <c r="L6474" i="2"/>
  <c r="K6474" i="2"/>
  <c r="G6474" i="2"/>
  <c r="E6474" i="2"/>
  <c r="B6474" i="2"/>
  <c r="S6473" i="2"/>
  <c r="M6473" i="2"/>
  <c r="L6473" i="2"/>
  <c r="K6473" i="2"/>
  <c r="G6473" i="2"/>
  <c r="E6473" i="2"/>
  <c r="B6473" i="2"/>
  <c r="S6472" i="2"/>
  <c r="M6472" i="2"/>
  <c r="L6472" i="2"/>
  <c r="K6472" i="2"/>
  <c r="G6472" i="2"/>
  <c r="E6472" i="2"/>
  <c r="B6472" i="2"/>
  <c r="S6471" i="2"/>
  <c r="M6471" i="2"/>
  <c r="L6471" i="2"/>
  <c r="K6471" i="2"/>
  <c r="G6471" i="2"/>
  <c r="E6471" i="2"/>
  <c r="B6471" i="2"/>
  <c r="S6470" i="2"/>
  <c r="M6470" i="2"/>
  <c r="L6470" i="2"/>
  <c r="K6470" i="2"/>
  <c r="G6470" i="2"/>
  <c r="E6470" i="2"/>
  <c r="B6470" i="2"/>
  <c r="S6469" i="2"/>
  <c r="M6469" i="2"/>
  <c r="L6469" i="2"/>
  <c r="K6469" i="2"/>
  <c r="G6469" i="2"/>
  <c r="E6469" i="2"/>
  <c r="B6469" i="2"/>
  <c r="S6468" i="2"/>
  <c r="M6468" i="2"/>
  <c r="L6468" i="2"/>
  <c r="K6468" i="2"/>
  <c r="G6468" i="2"/>
  <c r="E6468" i="2"/>
  <c r="B6468" i="2"/>
  <c r="S6467" i="2"/>
  <c r="M6467" i="2"/>
  <c r="L6467" i="2"/>
  <c r="K6467" i="2"/>
  <c r="G6467" i="2"/>
  <c r="E6467" i="2"/>
  <c r="B6467" i="2"/>
  <c r="S6466" i="2"/>
  <c r="M6466" i="2"/>
  <c r="L6466" i="2"/>
  <c r="K6466" i="2"/>
  <c r="G6466" i="2"/>
  <c r="E6466" i="2"/>
  <c r="B6466" i="2"/>
  <c r="S6465" i="2"/>
  <c r="M6465" i="2"/>
  <c r="L6465" i="2"/>
  <c r="K6465" i="2"/>
  <c r="G6465" i="2"/>
  <c r="E6465" i="2"/>
  <c r="B6465" i="2"/>
  <c r="S6464" i="2"/>
  <c r="M6464" i="2"/>
  <c r="L6464" i="2"/>
  <c r="K6464" i="2"/>
  <c r="G6464" i="2"/>
  <c r="E6464" i="2"/>
  <c r="B6464" i="2"/>
  <c r="S6463" i="2"/>
  <c r="M6463" i="2"/>
  <c r="L6463" i="2"/>
  <c r="K6463" i="2"/>
  <c r="G6463" i="2"/>
  <c r="E6463" i="2"/>
  <c r="B6463" i="2"/>
  <c r="S6462" i="2"/>
  <c r="M6462" i="2"/>
  <c r="L6462" i="2"/>
  <c r="K6462" i="2"/>
  <c r="G6462" i="2"/>
  <c r="E6462" i="2"/>
  <c r="B6462" i="2"/>
  <c r="S6461" i="2"/>
  <c r="M6461" i="2"/>
  <c r="L6461" i="2"/>
  <c r="K6461" i="2"/>
  <c r="G6461" i="2"/>
  <c r="E6461" i="2"/>
  <c r="B6461" i="2"/>
  <c r="S6460" i="2"/>
  <c r="M6460" i="2"/>
  <c r="L6460" i="2"/>
  <c r="K6460" i="2"/>
  <c r="G6460" i="2"/>
  <c r="E6460" i="2"/>
  <c r="B6460" i="2"/>
  <c r="S6459" i="2"/>
  <c r="M6459" i="2"/>
  <c r="L6459" i="2"/>
  <c r="K6459" i="2"/>
  <c r="G6459" i="2"/>
  <c r="E6459" i="2"/>
  <c r="B6459" i="2"/>
  <c r="S6458" i="2"/>
  <c r="M6458" i="2"/>
  <c r="L6458" i="2"/>
  <c r="K6458" i="2"/>
  <c r="G6458" i="2"/>
  <c r="E6458" i="2"/>
  <c r="B6458" i="2"/>
  <c r="S6457" i="2"/>
  <c r="M6457" i="2"/>
  <c r="L6457" i="2"/>
  <c r="K6457" i="2"/>
  <c r="G6457" i="2"/>
  <c r="E6457" i="2"/>
  <c r="B6457" i="2"/>
  <c r="S6456" i="2"/>
  <c r="M6456" i="2"/>
  <c r="L6456" i="2"/>
  <c r="K6456" i="2"/>
  <c r="G6456" i="2"/>
  <c r="E6456" i="2"/>
  <c r="B6456" i="2"/>
  <c r="S6455" i="2"/>
  <c r="M6455" i="2"/>
  <c r="L6455" i="2"/>
  <c r="K6455" i="2"/>
  <c r="G6455" i="2"/>
  <c r="E6455" i="2"/>
  <c r="B6455" i="2"/>
  <c r="S6454" i="2"/>
  <c r="M6454" i="2"/>
  <c r="L6454" i="2"/>
  <c r="K6454" i="2"/>
  <c r="G6454" i="2"/>
  <c r="E6454" i="2"/>
  <c r="B6454" i="2"/>
  <c r="S6453" i="2"/>
  <c r="M6453" i="2"/>
  <c r="L6453" i="2"/>
  <c r="K6453" i="2"/>
  <c r="G6453" i="2"/>
  <c r="E6453" i="2"/>
  <c r="B6453" i="2"/>
  <c r="S6452" i="2"/>
  <c r="M6452" i="2"/>
  <c r="L6452" i="2"/>
  <c r="K6452" i="2"/>
  <c r="G6452" i="2"/>
  <c r="E6452" i="2"/>
  <c r="B6452" i="2"/>
  <c r="S6451" i="2"/>
  <c r="M6451" i="2"/>
  <c r="L6451" i="2"/>
  <c r="K6451" i="2"/>
  <c r="G6451" i="2"/>
  <c r="E6451" i="2"/>
  <c r="B6451" i="2"/>
  <c r="S6450" i="2"/>
  <c r="M6450" i="2"/>
  <c r="L6450" i="2"/>
  <c r="K6450" i="2"/>
  <c r="G6450" i="2"/>
  <c r="E6450" i="2"/>
  <c r="B6450" i="2"/>
  <c r="S6449" i="2"/>
  <c r="M6449" i="2"/>
  <c r="L6449" i="2"/>
  <c r="K6449" i="2"/>
  <c r="G6449" i="2"/>
  <c r="E6449" i="2"/>
  <c r="B6449" i="2"/>
  <c r="S6448" i="2"/>
  <c r="M6448" i="2"/>
  <c r="L6448" i="2"/>
  <c r="K6448" i="2"/>
  <c r="G6448" i="2"/>
  <c r="E6448" i="2"/>
  <c r="B6448" i="2"/>
  <c r="S6447" i="2"/>
  <c r="M6447" i="2"/>
  <c r="L6447" i="2"/>
  <c r="K6447" i="2"/>
  <c r="G6447" i="2"/>
  <c r="E6447" i="2"/>
  <c r="B6447" i="2"/>
  <c r="S6446" i="2"/>
  <c r="M6446" i="2"/>
  <c r="L6446" i="2"/>
  <c r="K6446" i="2"/>
  <c r="G6446" i="2"/>
  <c r="E6446" i="2"/>
  <c r="B6446" i="2"/>
  <c r="S6445" i="2"/>
  <c r="M6445" i="2"/>
  <c r="L6445" i="2"/>
  <c r="K6445" i="2"/>
  <c r="G6445" i="2"/>
  <c r="E6445" i="2"/>
  <c r="B6445" i="2"/>
  <c r="S6444" i="2"/>
  <c r="M6444" i="2"/>
  <c r="L6444" i="2"/>
  <c r="K6444" i="2"/>
  <c r="G6444" i="2"/>
  <c r="E6444" i="2"/>
  <c r="B6444" i="2"/>
  <c r="S6443" i="2"/>
  <c r="M6443" i="2"/>
  <c r="L6443" i="2"/>
  <c r="K6443" i="2"/>
  <c r="G6443" i="2"/>
  <c r="E6443" i="2"/>
  <c r="B6443" i="2"/>
  <c r="S6442" i="2"/>
  <c r="M6442" i="2"/>
  <c r="L6442" i="2"/>
  <c r="K6442" i="2"/>
  <c r="G6442" i="2"/>
  <c r="E6442" i="2"/>
  <c r="B6442" i="2"/>
  <c r="S6441" i="2"/>
  <c r="M6441" i="2"/>
  <c r="L6441" i="2"/>
  <c r="K6441" i="2"/>
  <c r="H6441" i="2"/>
  <c r="G6441" i="2"/>
  <c r="E6441" i="2"/>
  <c r="B6441" i="2"/>
  <c r="S6440" i="2"/>
  <c r="M6440" i="2"/>
  <c r="L6440" i="2"/>
  <c r="K6440" i="2"/>
  <c r="G6440" i="2"/>
  <c r="E6440" i="2"/>
  <c r="B6440" i="2"/>
  <c r="S6439" i="2"/>
  <c r="M6439" i="2"/>
  <c r="L6439" i="2"/>
  <c r="K6439" i="2"/>
  <c r="G6439" i="2"/>
  <c r="E6439" i="2"/>
  <c r="B6439" i="2"/>
  <c r="S6438" i="2"/>
  <c r="M6438" i="2"/>
  <c r="L6438" i="2"/>
  <c r="K6438" i="2"/>
  <c r="G6438" i="2"/>
  <c r="E6438" i="2"/>
  <c r="B6438" i="2"/>
  <c r="S6437" i="2"/>
  <c r="M6437" i="2"/>
  <c r="L6437" i="2"/>
  <c r="K6437" i="2"/>
  <c r="G6437" i="2"/>
  <c r="E6437" i="2"/>
  <c r="B6437" i="2"/>
  <c r="S6436" i="2"/>
  <c r="M6436" i="2"/>
  <c r="L6436" i="2"/>
  <c r="K6436" i="2"/>
  <c r="G6436" i="2"/>
  <c r="E6436" i="2"/>
  <c r="B6436" i="2"/>
  <c r="S6435" i="2"/>
  <c r="M6435" i="2"/>
  <c r="L6435" i="2"/>
  <c r="K6435" i="2"/>
  <c r="G6435" i="2"/>
  <c r="E6435" i="2"/>
  <c r="B6435" i="2"/>
  <c r="S6434" i="2"/>
  <c r="M6434" i="2"/>
  <c r="L6434" i="2"/>
  <c r="K6434" i="2"/>
  <c r="G6434" i="2"/>
  <c r="E6434" i="2"/>
  <c r="B6434" i="2"/>
  <c r="S6433" i="2"/>
  <c r="M6433" i="2"/>
  <c r="L6433" i="2"/>
  <c r="K6433" i="2"/>
  <c r="H6433" i="2"/>
  <c r="G6433" i="2"/>
  <c r="E6433" i="2"/>
  <c r="B6433" i="2"/>
  <c r="S6432" i="2"/>
  <c r="M6432" i="2"/>
  <c r="L6432" i="2"/>
  <c r="K6432" i="2"/>
  <c r="G6432" i="2"/>
  <c r="E6432" i="2"/>
  <c r="B6432" i="2"/>
  <c r="S6431" i="2"/>
  <c r="M6431" i="2"/>
  <c r="L6431" i="2"/>
  <c r="K6431" i="2"/>
  <c r="G6431" i="2"/>
  <c r="E6431" i="2"/>
  <c r="B6431" i="2"/>
  <c r="S6430" i="2"/>
  <c r="M6430" i="2"/>
  <c r="L6430" i="2"/>
  <c r="K6430" i="2"/>
  <c r="G6430" i="2"/>
  <c r="E6430" i="2"/>
  <c r="B6430" i="2"/>
  <c r="S6429" i="2"/>
  <c r="M6429" i="2"/>
  <c r="L6429" i="2"/>
  <c r="K6429" i="2"/>
  <c r="G6429" i="2"/>
  <c r="E6429" i="2"/>
  <c r="B6429" i="2"/>
  <c r="S6428" i="2"/>
  <c r="M6428" i="2"/>
  <c r="L6428" i="2"/>
  <c r="K6428" i="2"/>
  <c r="G6428" i="2"/>
  <c r="E6428" i="2"/>
  <c r="B6428" i="2"/>
  <c r="S6427" i="2"/>
  <c r="M6427" i="2"/>
  <c r="L6427" i="2"/>
  <c r="K6427" i="2"/>
  <c r="G6427" i="2"/>
  <c r="E6427" i="2"/>
  <c r="B6427" i="2"/>
  <c r="S6426" i="2"/>
  <c r="M6426" i="2"/>
  <c r="L6426" i="2"/>
  <c r="K6426" i="2"/>
  <c r="G6426" i="2"/>
  <c r="E6426" i="2"/>
  <c r="B6426" i="2"/>
  <c r="S6425" i="2"/>
  <c r="M6425" i="2"/>
  <c r="L6425" i="2"/>
  <c r="K6425" i="2"/>
  <c r="G6425" i="2"/>
  <c r="E6425" i="2"/>
  <c r="B6425" i="2"/>
  <c r="S6424" i="2"/>
  <c r="M6424" i="2"/>
  <c r="L6424" i="2"/>
  <c r="K6424" i="2"/>
  <c r="G6424" i="2"/>
  <c r="E6424" i="2"/>
  <c r="B6424" i="2"/>
  <c r="S6423" i="2"/>
  <c r="M6423" i="2"/>
  <c r="L6423" i="2"/>
  <c r="K6423" i="2"/>
  <c r="G6423" i="2"/>
  <c r="E6423" i="2"/>
  <c r="B6423" i="2"/>
  <c r="S6422" i="2"/>
  <c r="M6422" i="2"/>
  <c r="L6422" i="2"/>
  <c r="K6422" i="2"/>
  <c r="G6422" i="2"/>
  <c r="E6422" i="2"/>
  <c r="B6422" i="2"/>
  <c r="S6421" i="2"/>
  <c r="M6421" i="2"/>
  <c r="L6421" i="2"/>
  <c r="K6421" i="2"/>
  <c r="G6421" i="2"/>
  <c r="E6421" i="2"/>
  <c r="B6421" i="2"/>
  <c r="S6420" i="2"/>
  <c r="M6420" i="2"/>
  <c r="L6420" i="2"/>
  <c r="K6420" i="2"/>
  <c r="G6420" i="2"/>
  <c r="E6420" i="2"/>
  <c r="B6420" i="2"/>
  <c r="S6419" i="2"/>
  <c r="M6419" i="2"/>
  <c r="L6419" i="2"/>
  <c r="K6419" i="2"/>
  <c r="G6419" i="2"/>
  <c r="E6419" i="2"/>
  <c r="B6419" i="2"/>
  <c r="S6418" i="2"/>
  <c r="M6418" i="2"/>
  <c r="L6418" i="2"/>
  <c r="K6418" i="2"/>
  <c r="G6418" i="2"/>
  <c r="E6418" i="2"/>
  <c r="B6418" i="2"/>
  <c r="S6417" i="2"/>
  <c r="M6417" i="2"/>
  <c r="L6417" i="2"/>
  <c r="K6417" i="2"/>
  <c r="G6417" i="2"/>
  <c r="E6417" i="2"/>
  <c r="B6417" i="2"/>
  <c r="S6416" i="2"/>
  <c r="M6416" i="2"/>
  <c r="L6416" i="2"/>
  <c r="K6416" i="2"/>
  <c r="H6416" i="2"/>
  <c r="G6416" i="2"/>
  <c r="E6416" i="2"/>
  <c r="B6416" i="2"/>
  <c r="S6415" i="2"/>
  <c r="M6415" i="2"/>
  <c r="L6415" i="2"/>
  <c r="K6415" i="2"/>
  <c r="G6415" i="2"/>
  <c r="E6415" i="2"/>
  <c r="B6415" i="2"/>
  <c r="S6414" i="2"/>
  <c r="M6414" i="2"/>
  <c r="L6414" i="2"/>
  <c r="K6414" i="2"/>
  <c r="G6414" i="2"/>
  <c r="E6414" i="2"/>
  <c r="B6414" i="2"/>
  <c r="S6413" i="2"/>
  <c r="M6413" i="2"/>
  <c r="L6413" i="2"/>
  <c r="K6413" i="2"/>
  <c r="G6413" i="2"/>
  <c r="E6413" i="2"/>
  <c r="B6413" i="2"/>
  <c r="S6412" i="2"/>
  <c r="M6412" i="2"/>
  <c r="L6412" i="2"/>
  <c r="K6412" i="2"/>
  <c r="G6412" i="2"/>
  <c r="E6412" i="2"/>
  <c r="B6412" i="2"/>
  <c r="S6411" i="2"/>
  <c r="M6411" i="2"/>
  <c r="L6411" i="2"/>
  <c r="K6411" i="2"/>
  <c r="G6411" i="2"/>
  <c r="E6411" i="2"/>
  <c r="B6411" i="2"/>
  <c r="S6410" i="2"/>
  <c r="M6410" i="2"/>
  <c r="L6410" i="2"/>
  <c r="K6410" i="2"/>
  <c r="G6410" i="2"/>
  <c r="E6410" i="2"/>
  <c r="B6410" i="2"/>
  <c r="S6409" i="2"/>
  <c r="M6409" i="2"/>
  <c r="L6409" i="2"/>
  <c r="K6409" i="2"/>
  <c r="G6409" i="2"/>
  <c r="E6409" i="2"/>
  <c r="B6409" i="2"/>
  <c r="S6408" i="2"/>
  <c r="M6408" i="2"/>
  <c r="L6408" i="2"/>
  <c r="K6408" i="2"/>
  <c r="G6408" i="2"/>
  <c r="E6408" i="2"/>
  <c r="B6408" i="2"/>
  <c r="S6407" i="2"/>
  <c r="M6407" i="2"/>
  <c r="L6407" i="2"/>
  <c r="K6407" i="2"/>
  <c r="G6407" i="2"/>
  <c r="E6407" i="2"/>
  <c r="B6407" i="2"/>
  <c r="S6406" i="2"/>
  <c r="M6406" i="2"/>
  <c r="L6406" i="2"/>
  <c r="K6406" i="2"/>
  <c r="G6406" i="2"/>
  <c r="E6406" i="2"/>
  <c r="B6406" i="2"/>
  <c r="S6405" i="2"/>
  <c r="M6405" i="2"/>
  <c r="L6405" i="2"/>
  <c r="K6405" i="2"/>
  <c r="G6405" i="2"/>
  <c r="E6405" i="2"/>
  <c r="B6405" i="2"/>
  <c r="S6404" i="2"/>
  <c r="M6404" i="2"/>
  <c r="L6404" i="2"/>
  <c r="K6404" i="2"/>
  <c r="G6404" i="2"/>
  <c r="E6404" i="2"/>
  <c r="B6404" i="2"/>
  <c r="S6403" i="2"/>
  <c r="M6403" i="2"/>
  <c r="L6403" i="2"/>
  <c r="K6403" i="2"/>
  <c r="H6403" i="2"/>
  <c r="G6403" i="2"/>
  <c r="E6403" i="2"/>
  <c r="B6403" i="2"/>
  <c r="S6402" i="2"/>
  <c r="M6402" i="2"/>
  <c r="L6402" i="2"/>
  <c r="K6402" i="2"/>
  <c r="G6402" i="2"/>
  <c r="E6402" i="2"/>
  <c r="B6402" i="2"/>
  <c r="S6401" i="2"/>
  <c r="M6401" i="2"/>
  <c r="L6401" i="2"/>
  <c r="K6401" i="2"/>
  <c r="H6401" i="2"/>
  <c r="G6401" i="2"/>
  <c r="E6401" i="2"/>
  <c r="B6401" i="2"/>
  <c r="S6400" i="2"/>
  <c r="M6400" i="2"/>
  <c r="L6400" i="2"/>
  <c r="K6400" i="2"/>
  <c r="H6400" i="2"/>
  <c r="G6400" i="2"/>
  <c r="E6400" i="2"/>
  <c r="B6400" i="2"/>
  <c r="S6399" i="2"/>
  <c r="M6399" i="2"/>
  <c r="L6399" i="2"/>
  <c r="K6399" i="2"/>
  <c r="G6399" i="2"/>
  <c r="E6399" i="2"/>
  <c r="B6399" i="2"/>
  <c r="S6398" i="2"/>
  <c r="M6398" i="2"/>
  <c r="L6398" i="2"/>
  <c r="K6398" i="2"/>
  <c r="G6398" i="2"/>
  <c r="E6398" i="2"/>
  <c r="B6398" i="2"/>
  <c r="S6397" i="2"/>
  <c r="M6397" i="2"/>
  <c r="L6397" i="2"/>
  <c r="K6397" i="2"/>
  <c r="H6397" i="2"/>
  <c r="G6397" i="2"/>
  <c r="E6397" i="2"/>
  <c r="B6397" i="2"/>
  <c r="S6396" i="2"/>
  <c r="M6396" i="2"/>
  <c r="L6396" i="2"/>
  <c r="K6396" i="2"/>
  <c r="G6396" i="2"/>
  <c r="E6396" i="2"/>
  <c r="B6396" i="2"/>
  <c r="S6395" i="2"/>
  <c r="M6395" i="2"/>
  <c r="L6395" i="2"/>
  <c r="K6395" i="2"/>
  <c r="H6395" i="2"/>
  <c r="G6395" i="2"/>
  <c r="E6395" i="2"/>
  <c r="B6395" i="2"/>
  <c r="S6394" i="2"/>
  <c r="M6394" i="2"/>
  <c r="L6394" i="2"/>
  <c r="K6394" i="2"/>
  <c r="H6394" i="2"/>
  <c r="G6394" i="2"/>
  <c r="E6394" i="2"/>
  <c r="B6394" i="2"/>
  <c r="S6393" i="2"/>
  <c r="M6393" i="2"/>
  <c r="L6393" i="2"/>
  <c r="K6393" i="2"/>
  <c r="H6393" i="2"/>
  <c r="G6393" i="2"/>
  <c r="E6393" i="2"/>
  <c r="B6393" i="2"/>
  <c r="S6392" i="2"/>
  <c r="M6392" i="2"/>
  <c r="L6392" i="2"/>
  <c r="K6392" i="2"/>
  <c r="G6392" i="2"/>
  <c r="E6392" i="2"/>
  <c r="B6392" i="2"/>
  <c r="S6391" i="2"/>
  <c r="M6391" i="2"/>
  <c r="L6391" i="2"/>
  <c r="K6391" i="2"/>
  <c r="H6391" i="2"/>
  <c r="G6391" i="2"/>
  <c r="E6391" i="2"/>
  <c r="B6391" i="2"/>
  <c r="S6390" i="2"/>
  <c r="M6390" i="2"/>
  <c r="L6390" i="2"/>
  <c r="K6390" i="2"/>
  <c r="H6390" i="2"/>
  <c r="G6390" i="2"/>
  <c r="E6390" i="2"/>
  <c r="B6390" i="2"/>
  <c r="S6389" i="2"/>
  <c r="M6389" i="2"/>
  <c r="L6389" i="2"/>
  <c r="K6389" i="2"/>
  <c r="G6389" i="2"/>
  <c r="E6389" i="2"/>
  <c r="B6389" i="2"/>
  <c r="S6388" i="2"/>
  <c r="M6388" i="2"/>
  <c r="L6388" i="2"/>
  <c r="K6388" i="2"/>
  <c r="G6388" i="2"/>
  <c r="E6388" i="2"/>
  <c r="B6388" i="2"/>
  <c r="S6387" i="2"/>
  <c r="M6387" i="2"/>
  <c r="L6387" i="2"/>
  <c r="K6387" i="2"/>
  <c r="H6387" i="2"/>
  <c r="G6387" i="2"/>
  <c r="E6387" i="2"/>
  <c r="B6387" i="2"/>
  <c r="S6386" i="2"/>
  <c r="M6386" i="2"/>
  <c r="L6386" i="2"/>
  <c r="K6386" i="2"/>
  <c r="G6386" i="2"/>
  <c r="E6386" i="2"/>
  <c r="B6386" i="2"/>
  <c r="S6385" i="2"/>
  <c r="M6385" i="2"/>
  <c r="L6385" i="2"/>
  <c r="K6385" i="2"/>
  <c r="H6385" i="2"/>
  <c r="G6385" i="2"/>
  <c r="E6385" i="2"/>
  <c r="B6385" i="2"/>
  <c r="S6384" i="2"/>
  <c r="M6384" i="2"/>
  <c r="L6384" i="2"/>
  <c r="K6384" i="2"/>
  <c r="G6384" i="2"/>
  <c r="E6384" i="2"/>
  <c r="B6384" i="2"/>
  <c r="S6383" i="2"/>
  <c r="M6383" i="2"/>
  <c r="L6383" i="2"/>
  <c r="K6383" i="2"/>
  <c r="G6383" i="2"/>
  <c r="E6383" i="2"/>
  <c r="B6383" i="2"/>
  <c r="S6382" i="2"/>
  <c r="M6382" i="2"/>
  <c r="L6382" i="2"/>
  <c r="K6382" i="2"/>
  <c r="H6382" i="2"/>
  <c r="G6382" i="2"/>
  <c r="E6382" i="2"/>
  <c r="B6382" i="2"/>
  <c r="S6381" i="2"/>
  <c r="M6381" i="2"/>
  <c r="L6381" i="2"/>
  <c r="K6381" i="2"/>
  <c r="G6381" i="2"/>
  <c r="E6381" i="2"/>
  <c r="B6381" i="2"/>
  <c r="S6380" i="2"/>
  <c r="M6380" i="2"/>
  <c r="L6380" i="2"/>
  <c r="K6380" i="2"/>
  <c r="H6380" i="2"/>
  <c r="G6380" i="2"/>
  <c r="E6380" i="2"/>
  <c r="B6380" i="2"/>
  <c r="S6379" i="2"/>
  <c r="M6379" i="2"/>
  <c r="L6379" i="2"/>
  <c r="K6379" i="2"/>
  <c r="H6379" i="2"/>
  <c r="G6379" i="2"/>
  <c r="E6379" i="2"/>
  <c r="B6379" i="2"/>
  <c r="S6378" i="2"/>
  <c r="M6378" i="2"/>
  <c r="L6378" i="2"/>
  <c r="K6378" i="2"/>
  <c r="H6378" i="2"/>
  <c r="G6378" i="2"/>
  <c r="E6378" i="2"/>
  <c r="B6378" i="2"/>
  <c r="S6377" i="2"/>
  <c r="M6377" i="2"/>
  <c r="L6377" i="2"/>
  <c r="K6377" i="2"/>
  <c r="G6377" i="2"/>
  <c r="E6377" i="2"/>
  <c r="B6377" i="2"/>
  <c r="S6376" i="2"/>
  <c r="M6376" i="2"/>
  <c r="L6376" i="2"/>
  <c r="K6376" i="2"/>
  <c r="G6376" i="2"/>
  <c r="E6376" i="2"/>
  <c r="B6376" i="2"/>
  <c r="S6375" i="2"/>
  <c r="M6375" i="2"/>
  <c r="L6375" i="2"/>
  <c r="K6375" i="2"/>
  <c r="G6375" i="2"/>
  <c r="E6375" i="2"/>
  <c r="B6375" i="2"/>
  <c r="S6374" i="2"/>
  <c r="M6374" i="2"/>
  <c r="L6374" i="2"/>
  <c r="K6374" i="2"/>
  <c r="G6374" i="2"/>
  <c r="E6374" i="2"/>
  <c r="B6374" i="2"/>
  <c r="S6373" i="2"/>
  <c r="M6373" i="2"/>
  <c r="L6373" i="2"/>
  <c r="K6373" i="2"/>
  <c r="H6373" i="2"/>
  <c r="G6373" i="2"/>
  <c r="E6373" i="2"/>
  <c r="B6373" i="2"/>
  <c r="S6372" i="2"/>
  <c r="M6372" i="2"/>
  <c r="L6372" i="2"/>
  <c r="K6372" i="2"/>
  <c r="G6372" i="2"/>
  <c r="E6372" i="2"/>
  <c r="B6372" i="2"/>
  <c r="S6371" i="2"/>
  <c r="M6371" i="2"/>
  <c r="L6371" i="2"/>
  <c r="K6371" i="2"/>
  <c r="G6371" i="2"/>
  <c r="E6371" i="2"/>
  <c r="B6371" i="2"/>
  <c r="S6370" i="2"/>
  <c r="M6370" i="2"/>
  <c r="L6370" i="2"/>
  <c r="K6370" i="2"/>
  <c r="H6370" i="2"/>
  <c r="G6370" i="2"/>
  <c r="E6370" i="2"/>
  <c r="B6370" i="2"/>
  <c r="S6369" i="2"/>
  <c r="M6369" i="2"/>
  <c r="L6369" i="2"/>
  <c r="K6369" i="2"/>
  <c r="H6369" i="2"/>
  <c r="G6369" i="2"/>
  <c r="E6369" i="2"/>
  <c r="B6369" i="2"/>
  <c r="S6368" i="2"/>
  <c r="M6368" i="2"/>
  <c r="L6368" i="2"/>
  <c r="K6368" i="2"/>
  <c r="H6368" i="2"/>
  <c r="G6368" i="2"/>
  <c r="E6368" i="2"/>
  <c r="B6368" i="2"/>
  <c r="S6367" i="2"/>
  <c r="M6367" i="2"/>
  <c r="L6367" i="2"/>
  <c r="K6367" i="2"/>
  <c r="G6367" i="2"/>
  <c r="E6367" i="2"/>
  <c r="B6367" i="2"/>
  <c r="S6366" i="2"/>
  <c r="M6366" i="2"/>
  <c r="L6366" i="2"/>
  <c r="K6366" i="2"/>
  <c r="H6366" i="2"/>
  <c r="G6366" i="2"/>
  <c r="E6366" i="2"/>
  <c r="B6366" i="2"/>
  <c r="S6365" i="2"/>
  <c r="M6365" i="2"/>
  <c r="L6365" i="2"/>
  <c r="K6365" i="2"/>
  <c r="H6365" i="2"/>
  <c r="G6365" i="2"/>
  <c r="E6365" i="2"/>
  <c r="B6365" i="2"/>
  <c r="S6364" i="2"/>
  <c r="M6364" i="2"/>
  <c r="L6364" i="2"/>
  <c r="K6364" i="2"/>
  <c r="G6364" i="2"/>
  <c r="E6364" i="2"/>
  <c r="B6364" i="2"/>
  <c r="S6363" i="2"/>
  <c r="M6363" i="2"/>
  <c r="L6363" i="2"/>
  <c r="K6363" i="2"/>
  <c r="H6363" i="2"/>
  <c r="G6363" i="2"/>
  <c r="E6363" i="2"/>
  <c r="B6363" i="2"/>
  <c r="S6362" i="2"/>
  <c r="M6362" i="2"/>
  <c r="L6362" i="2"/>
  <c r="K6362" i="2"/>
  <c r="H6362" i="2"/>
  <c r="G6362" i="2"/>
  <c r="E6362" i="2"/>
  <c r="B6362" i="2"/>
  <c r="S6361" i="2"/>
  <c r="M6361" i="2"/>
  <c r="L6361" i="2"/>
  <c r="K6361" i="2"/>
  <c r="G6361" i="2"/>
  <c r="E6361" i="2"/>
  <c r="B6361" i="2"/>
  <c r="S6360" i="2"/>
  <c r="M6360" i="2"/>
  <c r="L6360" i="2"/>
  <c r="K6360" i="2"/>
  <c r="G6360" i="2"/>
  <c r="E6360" i="2"/>
  <c r="B6360" i="2"/>
  <c r="S6359" i="2"/>
  <c r="M6359" i="2"/>
  <c r="L6359" i="2"/>
  <c r="K6359" i="2"/>
  <c r="G6359" i="2"/>
  <c r="E6359" i="2"/>
  <c r="B6359" i="2"/>
  <c r="S6358" i="2"/>
  <c r="M6358" i="2"/>
  <c r="L6358" i="2"/>
  <c r="K6358" i="2"/>
  <c r="H6358" i="2"/>
  <c r="G6358" i="2"/>
  <c r="E6358" i="2"/>
  <c r="B6358" i="2"/>
  <c r="S6357" i="2"/>
  <c r="M6357" i="2"/>
  <c r="L6357" i="2"/>
  <c r="K6357" i="2"/>
  <c r="G6357" i="2"/>
  <c r="E6357" i="2"/>
  <c r="B6357" i="2"/>
  <c r="S6356" i="2"/>
  <c r="M6356" i="2"/>
  <c r="L6356" i="2"/>
  <c r="K6356" i="2"/>
  <c r="G6356" i="2"/>
  <c r="E6356" i="2"/>
  <c r="B6356" i="2"/>
  <c r="S6355" i="2"/>
  <c r="M6355" i="2"/>
  <c r="L6355" i="2"/>
  <c r="K6355" i="2"/>
  <c r="G6355" i="2"/>
  <c r="E6355" i="2"/>
  <c r="B6355" i="2"/>
  <c r="S6354" i="2"/>
  <c r="M6354" i="2"/>
  <c r="L6354" i="2"/>
  <c r="K6354" i="2"/>
  <c r="G6354" i="2"/>
  <c r="E6354" i="2"/>
  <c r="B6354" i="2"/>
  <c r="S6353" i="2"/>
  <c r="M6353" i="2"/>
  <c r="L6353" i="2"/>
  <c r="K6353" i="2"/>
  <c r="G6353" i="2"/>
  <c r="E6353" i="2"/>
  <c r="B6353" i="2"/>
  <c r="S6352" i="2"/>
  <c r="M6352" i="2"/>
  <c r="L6352" i="2"/>
  <c r="K6352" i="2"/>
  <c r="H6352" i="2"/>
  <c r="G6352" i="2"/>
  <c r="E6352" i="2"/>
  <c r="B6352" i="2"/>
  <c r="S6351" i="2"/>
  <c r="M6351" i="2"/>
  <c r="L6351" i="2"/>
  <c r="K6351" i="2"/>
  <c r="G6351" i="2"/>
  <c r="E6351" i="2"/>
  <c r="B6351" i="2"/>
  <c r="S6350" i="2"/>
  <c r="M6350" i="2"/>
  <c r="L6350" i="2"/>
  <c r="K6350" i="2"/>
  <c r="G6350" i="2"/>
  <c r="E6350" i="2"/>
  <c r="B6350" i="2"/>
  <c r="S6349" i="2"/>
  <c r="M6349" i="2"/>
  <c r="L6349" i="2"/>
  <c r="K6349" i="2"/>
  <c r="H6349" i="2"/>
  <c r="G6349" i="2"/>
  <c r="E6349" i="2"/>
  <c r="B6349" i="2"/>
  <c r="S6348" i="2"/>
  <c r="M6348" i="2"/>
  <c r="L6348" i="2"/>
  <c r="K6348" i="2"/>
  <c r="G6348" i="2"/>
  <c r="E6348" i="2"/>
  <c r="B6348" i="2"/>
  <c r="S6347" i="2"/>
  <c r="M6347" i="2"/>
  <c r="L6347" i="2"/>
  <c r="K6347" i="2"/>
  <c r="G6347" i="2"/>
  <c r="E6347" i="2"/>
  <c r="B6347" i="2"/>
  <c r="S6346" i="2"/>
  <c r="M6346" i="2"/>
  <c r="L6346" i="2"/>
  <c r="K6346" i="2"/>
  <c r="G6346" i="2"/>
  <c r="E6346" i="2"/>
  <c r="B6346" i="2"/>
  <c r="S6345" i="2"/>
  <c r="M6345" i="2"/>
  <c r="L6345" i="2"/>
  <c r="K6345" i="2"/>
  <c r="G6345" i="2"/>
  <c r="E6345" i="2"/>
  <c r="B6345" i="2"/>
  <c r="S6344" i="2"/>
  <c r="M6344" i="2"/>
  <c r="L6344" i="2"/>
  <c r="K6344" i="2"/>
  <c r="G6344" i="2"/>
  <c r="E6344" i="2"/>
  <c r="B6344" i="2"/>
  <c r="S6343" i="2"/>
  <c r="M6343" i="2"/>
  <c r="L6343" i="2"/>
  <c r="K6343" i="2"/>
  <c r="G6343" i="2"/>
  <c r="E6343" i="2"/>
  <c r="B6343" i="2"/>
  <c r="S6342" i="2"/>
  <c r="M6342" i="2"/>
  <c r="L6342" i="2"/>
  <c r="K6342" i="2"/>
  <c r="G6342" i="2"/>
  <c r="E6342" i="2"/>
  <c r="B6342" i="2"/>
  <c r="S6341" i="2"/>
  <c r="M6341" i="2"/>
  <c r="L6341" i="2"/>
  <c r="K6341" i="2"/>
  <c r="H6341" i="2"/>
  <c r="G6341" i="2"/>
  <c r="E6341" i="2"/>
  <c r="B6341" i="2"/>
  <c r="S6340" i="2"/>
  <c r="M6340" i="2"/>
  <c r="L6340" i="2"/>
  <c r="K6340" i="2"/>
  <c r="G6340" i="2"/>
  <c r="E6340" i="2"/>
  <c r="B6340" i="2"/>
  <c r="S6339" i="2"/>
  <c r="M6339" i="2"/>
  <c r="L6339" i="2"/>
  <c r="K6339" i="2"/>
  <c r="G6339" i="2"/>
  <c r="E6339" i="2"/>
  <c r="B6339" i="2"/>
  <c r="S6338" i="2"/>
  <c r="M6338" i="2"/>
  <c r="L6338" i="2"/>
  <c r="K6338" i="2"/>
  <c r="G6338" i="2"/>
  <c r="E6338" i="2"/>
  <c r="B6338" i="2"/>
  <c r="S6337" i="2"/>
  <c r="M6337" i="2"/>
  <c r="L6337" i="2"/>
  <c r="K6337" i="2"/>
  <c r="G6337" i="2"/>
  <c r="E6337" i="2"/>
  <c r="B6337" i="2"/>
  <c r="S6336" i="2"/>
  <c r="M6336" i="2"/>
  <c r="L6336" i="2"/>
  <c r="K6336" i="2"/>
  <c r="G6336" i="2"/>
  <c r="E6336" i="2"/>
  <c r="B6336" i="2"/>
  <c r="S6335" i="2"/>
  <c r="M6335" i="2"/>
  <c r="L6335" i="2"/>
  <c r="K6335" i="2"/>
  <c r="G6335" i="2"/>
  <c r="E6335" i="2"/>
  <c r="B6335" i="2"/>
  <c r="S6334" i="2"/>
  <c r="M6334" i="2"/>
  <c r="L6334" i="2"/>
  <c r="K6334" i="2"/>
  <c r="G6334" i="2"/>
  <c r="E6334" i="2"/>
  <c r="B6334" i="2"/>
  <c r="S6333" i="2"/>
  <c r="M6333" i="2"/>
  <c r="L6333" i="2"/>
  <c r="K6333" i="2"/>
  <c r="G6333" i="2"/>
  <c r="E6333" i="2"/>
  <c r="B6333" i="2"/>
  <c r="S6332" i="2"/>
  <c r="M6332" i="2"/>
  <c r="L6332" i="2"/>
  <c r="K6332" i="2"/>
  <c r="G6332" i="2"/>
  <c r="E6332" i="2"/>
  <c r="B6332" i="2"/>
  <c r="S6331" i="2"/>
  <c r="M6331" i="2"/>
  <c r="L6331" i="2"/>
  <c r="K6331" i="2"/>
  <c r="G6331" i="2"/>
  <c r="E6331" i="2"/>
  <c r="B6331" i="2"/>
  <c r="S6330" i="2"/>
  <c r="M6330" i="2"/>
  <c r="L6330" i="2"/>
  <c r="K6330" i="2"/>
  <c r="G6330" i="2"/>
  <c r="E6330" i="2"/>
  <c r="B6330" i="2"/>
  <c r="S6329" i="2"/>
  <c r="M6329" i="2"/>
  <c r="L6329" i="2"/>
  <c r="K6329" i="2"/>
  <c r="G6329" i="2"/>
  <c r="E6329" i="2"/>
  <c r="B6329" i="2"/>
  <c r="S6328" i="2"/>
  <c r="M6328" i="2"/>
  <c r="L6328" i="2"/>
  <c r="K6328" i="2"/>
  <c r="G6328" i="2"/>
  <c r="E6328" i="2"/>
  <c r="B6328" i="2"/>
  <c r="S6327" i="2"/>
  <c r="M6327" i="2"/>
  <c r="L6327" i="2"/>
  <c r="K6327" i="2"/>
  <c r="G6327" i="2"/>
  <c r="E6327" i="2"/>
  <c r="B6327" i="2"/>
  <c r="S6326" i="2"/>
  <c r="M6326" i="2"/>
  <c r="L6326" i="2"/>
  <c r="K6326" i="2"/>
  <c r="G6326" i="2"/>
  <c r="E6326" i="2"/>
  <c r="B6326" i="2"/>
  <c r="S6325" i="2"/>
  <c r="M6325" i="2"/>
  <c r="L6325" i="2"/>
  <c r="K6325" i="2"/>
  <c r="G6325" i="2"/>
  <c r="E6325" i="2"/>
  <c r="B6325" i="2"/>
  <c r="S6324" i="2"/>
  <c r="M6324" i="2"/>
  <c r="L6324" i="2"/>
  <c r="K6324" i="2"/>
  <c r="G6324" i="2"/>
  <c r="E6324" i="2"/>
  <c r="B6324" i="2"/>
  <c r="S6323" i="2"/>
  <c r="M6323" i="2"/>
  <c r="L6323" i="2"/>
  <c r="K6323" i="2"/>
  <c r="G6323" i="2"/>
  <c r="E6323" i="2"/>
  <c r="B6323" i="2"/>
  <c r="S6322" i="2"/>
  <c r="M6322" i="2"/>
  <c r="L6322" i="2"/>
  <c r="K6322" i="2"/>
  <c r="G6322" i="2"/>
  <c r="E6322" i="2"/>
  <c r="B6322" i="2"/>
  <c r="S6321" i="2"/>
  <c r="M6321" i="2"/>
  <c r="L6321" i="2"/>
  <c r="K6321" i="2"/>
  <c r="G6321" i="2"/>
  <c r="E6321" i="2"/>
  <c r="B6321" i="2"/>
  <c r="S6320" i="2"/>
  <c r="M6320" i="2"/>
  <c r="L6320" i="2"/>
  <c r="K6320" i="2"/>
  <c r="G6320" i="2"/>
  <c r="E6320" i="2"/>
  <c r="B6320" i="2"/>
  <c r="S6319" i="2"/>
  <c r="M6319" i="2"/>
  <c r="L6319" i="2"/>
  <c r="K6319" i="2"/>
  <c r="G6319" i="2"/>
  <c r="E6319" i="2"/>
  <c r="B6319" i="2"/>
  <c r="S6318" i="2"/>
  <c r="M6318" i="2"/>
  <c r="L6318" i="2"/>
  <c r="K6318" i="2"/>
  <c r="G6318" i="2"/>
  <c r="E6318" i="2"/>
  <c r="B6318" i="2"/>
  <c r="S6317" i="2"/>
  <c r="M6317" i="2"/>
  <c r="L6317" i="2"/>
  <c r="K6317" i="2"/>
  <c r="G6317" i="2"/>
  <c r="E6317" i="2"/>
  <c r="B6317" i="2"/>
  <c r="S6316" i="2"/>
  <c r="M6316" i="2"/>
  <c r="L6316" i="2"/>
  <c r="K6316" i="2"/>
  <c r="G6316" i="2"/>
  <c r="E6316" i="2"/>
  <c r="B6316" i="2"/>
  <c r="S6315" i="2"/>
  <c r="M6315" i="2"/>
  <c r="L6315" i="2"/>
  <c r="K6315" i="2"/>
  <c r="G6315" i="2"/>
  <c r="E6315" i="2"/>
  <c r="B6315" i="2"/>
  <c r="S6314" i="2"/>
  <c r="M6314" i="2"/>
  <c r="L6314" i="2"/>
  <c r="K6314" i="2"/>
  <c r="G6314" i="2"/>
  <c r="E6314" i="2"/>
  <c r="B6314" i="2"/>
  <c r="S6313" i="2"/>
  <c r="M6313" i="2"/>
  <c r="L6313" i="2"/>
  <c r="K6313" i="2"/>
  <c r="G6313" i="2"/>
  <c r="E6313" i="2"/>
  <c r="B6313" i="2"/>
  <c r="S6312" i="2"/>
  <c r="M6312" i="2"/>
  <c r="L6312" i="2"/>
  <c r="K6312" i="2"/>
  <c r="G6312" i="2"/>
  <c r="E6312" i="2"/>
  <c r="B6312" i="2"/>
  <c r="S6311" i="2"/>
  <c r="M6311" i="2"/>
  <c r="L6311" i="2"/>
  <c r="K6311" i="2"/>
  <c r="G6311" i="2"/>
  <c r="E6311" i="2"/>
  <c r="B6311" i="2"/>
  <c r="S6310" i="2"/>
  <c r="M6310" i="2"/>
  <c r="L6310" i="2"/>
  <c r="K6310" i="2"/>
  <c r="G6310" i="2"/>
  <c r="E6310" i="2"/>
  <c r="B6310" i="2"/>
  <c r="S6309" i="2"/>
  <c r="M6309" i="2"/>
  <c r="L6309" i="2"/>
  <c r="K6309" i="2"/>
  <c r="G6309" i="2"/>
  <c r="E6309" i="2"/>
  <c r="B6309" i="2"/>
  <c r="S6308" i="2"/>
  <c r="M6308" i="2"/>
  <c r="L6308" i="2"/>
  <c r="K6308" i="2"/>
  <c r="G6308" i="2"/>
  <c r="E6308" i="2"/>
  <c r="B6308" i="2"/>
  <c r="S6307" i="2"/>
  <c r="M6307" i="2"/>
  <c r="L6307" i="2"/>
  <c r="K6307" i="2"/>
  <c r="G6307" i="2"/>
  <c r="E6307" i="2"/>
  <c r="B6307" i="2"/>
  <c r="S6306" i="2"/>
  <c r="M6306" i="2"/>
  <c r="L6306" i="2"/>
  <c r="K6306" i="2"/>
  <c r="G6306" i="2"/>
  <c r="E6306" i="2"/>
  <c r="B6306" i="2"/>
  <c r="S6305" i="2"/>
  <c r="M6305" i="2"/>
  <c r="L6305" i="2"/>
  <c r="K6305" i="2"/>
  <c r="G6305" i="2"/>
  <c r="E6305" i="2"/>
  <c r="B6305" i="2"/>
  <c r="S6304" i="2"/>
  <c r="M6304" i="2"/>
  <c r="L6304" i="2"/>
  <c r="K6304" i="2"/>
  <c r="G6304" i="2"/>
  <c r="E6304" i="2"/>
  <c r="B6304" i="2"/>
  <c r="S6303" i="2"/>
  <c r="M6303" i="2"/>
  <c r="L6303" i="2"/>
  <c r="K6303" i="2"/>
  <c r="G6303" i="2"/>
  <c r="E6303" i="2"/>
  <c r="B6303" i="2"/>
  <c r="S6302" i="2"/>
  <c r="M6302" i="2"/>
  <c r="L6302" i="2"/>
  <c r="K6302" i="2"/>
  <c r="G6302" i="2"/>
  <c r="E6302" i="2"/>
  <c r="B6302" i="2"/>
  <c r="S6301" i="2"/>
  <c r="M6301" i="2"/>
  <c r="L6301" i="2"/>
  <c r="K6301" i="2"/>
  <c r="G6301" i="2"/>
  <c r="E6301" i="2"/>
  <c r="B6301" i="2"/>
  <c r="S6300" i="2"/>
  <c r="M6300" i="2"/>
  <c r="L6300" i="2"/>
  <c r="K6300" i="2"/>
  <c r="G6300" i="2"/>
  <c r="E6300" i="2"/>
  <c r="B6300" i="2"/>
  <c r="S6299" i="2"/>
  <c r="M6299" i="2"/>
  <c r="L6299" i="2"/>
  <c r="K6299" i="2"/>
  <c r="G6299" i="2"/>
  <c r="E6299" i="2"/>
  <c r="B6299" i="2"/>
  <c r="S6298" i="2"/>
  <c r="M6298" i="2"/>
  <c r="L6298" i="2"/>
  <c r="K6298" i="2"/>
  <c r="G6298" i="2"/>
  <c r="E6298" i="2"/>
  <c r="B6298" i="2"/>
  <c r="S6297" i="2"/>
  <c r="M6297" i="2"/>
  <c r="L6297" i="2"/>
  <c r="K6297" i="2"/>
  <c r="G6297" i="2"/>
  <c r="E6297" i="2"/>
  <c r="B6297" i="2"/>
  <c r="S6296" i="2"/>
  <c r="M6296" i="2"/>
  <c r="L6296" i="2"/>
  <c r="K6296" i="2"/>
  <c r="G6296" i="2"/>
  <c r="E6296" i="2"/>
  <c r="B6296" i="2"/>
  <c r="S6295" i="2"/>
  <c r="M6295" i="2"/>
  <c r="L6295" i="2"/>
  <c r="K6295" i="2"/>
  <c r="G6295" i="2"/>
  <c r="E6295" i="2"/>
  <c r="B6295" i="2"/>
  <c r="S6294" i="2"/>
  <c r="M6294" i="2"/>
  <c r="L6294" i="2"/>
  <c r="K6294" i="2"/>
  <c r="G6294" i="2"/>
  <c r="E6294" i="2"/>
  <c r="B6294" i="2"/>
  <c r="S6293" i="2"/>
  <c r="M6293" i="2"/>
  <c r="L6293" i="2"/>
  <c r="K6293" i="2"/>
  <c r="G6293" i="2"/>
  <c r="E6293" i="2"/>
  <c r="B6293" i="2"/>
  <c r="S6292" i="2"/>
  <c r="M6292" i="2"/>
  <c r="L6292" i="2"/>
  <c r="K6292" i="2"/>
  <c r="G6292" i="2"/>
  <c r="E6292" i="2"/>
  <c r="B6292" i="2"/>
  <c r="S6291" i="2"/>
  <c r="M6291" i="2"/>
  <c r="L6291" i="2"/>
  <c r="K6291" i="2"/>
  <c r="G6291" i="2"/>
  <c r="E6291" i="2"/>
  <c r="B6291" i="2"/>
  <c r="S6290" i="2"/>
  <c r="M6290" i="2"/>
  <c r="L6290" i="2"/>
  <c r="K6290" i="2"/>
  <c r="G6290" i="2"/>
  <c r="E6290" i="2"/>
  <c r="B6290" i="2"/>
  <c r="S6289" i="2"/>
  <c r="M6289" i="2"/>
  <c r="L6289" i="2"/>
  <c r="K6289" i="2"/>
  <c r="G6289" i="2"/>
  <c r="E6289" i="2"/>
  <c r="B6289" i="2"/>
  <c r="S6288" i="2"/>
  <c r="M6288" i="2"/>
  <c r="L6288" i="2"/>
  <c r="K6288" i="2"/>
  <c r="G6288" i="2"/>
  <c r="E6288" i="2"/>
  <c r="B6288" i="2"/>
  <c r="S6287" i="2"/>
  <c r="M6287" i="2"/>
  <c r="L6287" i="2"/>
  <c r="K6287" i="2"/>
  <c r="G6287" i="2"/>
  <c r="E6287" i="2"/>
  <c r="B6287" i="2"/>
  <c r="S6286" i="2"/>
  <c r="M6286" i="2"/>
  <c r="L6286" i="2"/>
  <c r="K6286" i="2"/>
  <c r="G6286" i="2"/>
  <c r="E6286" i="2"/>
  <c r="B6286" i="2"/>
  <c r="S6285" i="2"/>
  <c r="M6285" i="2"/>
  <c r="L6285" i="2"/>
  <c r="K6285" i="2"/>
  <c r="G6285" i="2"/>
  <c r="E6285" i="2"/>
  <c r="B6285" i="2"/>
  <c r="S6284" i="2"/>
  <c r="M6284" i="2"/>
  <c r="L6284" i="2"/>
  <c r="K6284" i="2"/>
  <c r="G6284" i="2"/>
  <c r="E6284" i="2"/>
  <c r="B6284" i="2"/>
  <c r="S6283" i="2"/>
  <c r="M6283" i="2"/>
  <c r="L6283" i="2"/>
  <c r="K6283" i="2"/>
  <c r="G6283" i="2"/>
  <c r="E6283" i="2"/>
  <c r="B6283" i="2"/>
  <c r="S6282" i="2"/>
  <c r="M6282" i="2"/>
  <c r="L6282" i="2"/>
  <c r="K6282" i="2"/>
  <c r="G6282" i="2"/>
  <c r="E6282" i="2"/>
  <c r="B6282" i="2"/>
  <c r="S6281" i="2"/>
  <c r="M6281" i="2"/>
  <c r="L6281" i="2"/>
  <c r="K6281" i="2"/>
  <c r="G6281" i="2"/>
  <c r="E6281" i="2"/>
  <c r="B6281" i="2"/>
  <c r="S6280" i="2"/>
  <c r="M6280" i="2"/>
  <c r="L6280" i="2"/>
  <c r="K6280" i="2"/>
  <c r="G6280" i="2"/>
  <c r="E6280" i="2"/>
  <c r="B6280" i="2"/>
  <c r="S6279" i="2"/>
  <c r="M6279" i="2"/>
  <c r="L6279" i="2"/>
  <c r="K6279" i="2"/>
  <c r="G6279" i="2"/>
  <c r="E6279" i="2"/>
  <c r="B6279" i="2"/>
  <c r="S6278" i="2"/>
  <c r="M6278" i="2"/>
  <c r="L6278" i="2"/>
  <c r="K6278" i="2"/>
  <c r="G6278" i="2"/>
  <c r="E6278" i="2"/>
  <c r="B6278" i="2"/>
  <c r="S6277" i="2"/>
  <c r="M6277" i="2"/>
  <c r="L6277" i="2"/>
  <c r="K6277" i="2"/>
  <c r="G6277" i="2"/>
  <c r="E6277" i="2"/>
  <c r="B6277" i="2"/>
  <c r="S6276" i="2"/>
  <c r="M6276" i="2"/>
  <c r="L6276" i="2"/>
  <c r="K6276" i="2"/>
  <c r="G6276" i="2"/>
  <c r="E6276" i="2"/>
  <c r="B6276" i="2"/>
  <c r="S6275" i="2"/>
  <c r="M6275" i="2"/>
  <c r="L6275" i="2"/>
  <c r="K6275" i="2"/>
  <c r="G6275" i="2"/>
  <c r="E6275" i="2"/>
  <c r="B6275" i="2"/>
  <c r="S6274" i="2"/>
  <c r="M6274" i="2"/>
  <c r="L6274" i="2"/>
  <c r="K6274" i="2"/>
  <c r="G6274" i="2"/>
  <c r="E6274" i="2"/>
  <c r="B6274" i="2"/>
  <c r="S6273" i="2"/>
  <c r="M6273" i="2"/>
  <c r="L6273" i="2"/>
  <c r="K6273" i="2"/>
  <c r="G6273" i="2"/>
  <c r="E6273" i="2"/>
  <c r="B6273" i="2"/>
  <c r="S6272" i="2"/>
  <c r="M6272" i="2"/>
  <c r="L6272" i="2"/>
  <c r="K6272" i="2"/>
  <c r="G6272" i="2"/>
  <c r="E6272" i="2"/>
  <c r="B6272" i="2"/>
  <c r="S6271" i="2"/>
  <c r="M6271" i="2"/>
  <c r="L6271" i="2"/>
  <c r="K6271" i="2"/>
  <c r="G6271" i="2"/>
  <c r="E6271" i="2"/>
  <c r="B6271" i="2"/>
  <c r="S6270" i="2"/>
  <c r="M6270" i="2"/>
  <c r="L6270" i="2"/>
  <c r="K6270" i="2"/>
  <c r="G6270" i="2"/>
  <c r="E6270" i="2"/>
  <c r="B6270" i="2"/>
  <c r="S6269" i="2"/>
  <c r="M6269" i="2"/>
  <c r="L6269" i="2"/>
  <c r="K6269" i="2"/>
  <c r="G6269" i="2"/>
  <c r="E6269" i="2"/>
  <c r="B6269" i="2"/>
  <c r="S6268" i="2"/>
  <c r="M6268" i="2"/>
  <c r="L6268" i="2"/>
  <c r="K6268" i="2"/>
  <c r="G6268" i="2"/>
  <c r="E6268" i="2"/>
  <c r="B6268" i="2"/>
  <c r="S6267" i="2"/>
  <c r="M6267" i="2"/>
  <c r="L6267" i="2"/>
  <c r="K6267" i="2"/>
  <c r="G6267" i="2"/>
  <c r="E6267" i="2"/>
  <c r="B6267" i="2"/>
  <c r="S6266" i="2"/>
  <c r="M6266" i="2"/>
  <c r="L6266" i="2"/>
  <c r="K6266" i="2"/>
  <c r="G6266" i="2"/>
  <c r="E6266" i="2"/>
  <c r="B6266" i="2"/>
  <c r="S6265" i="2"/>
  <c r="M6265" i="2"/>
  <c r="L6265" i="2"/>
  <c r="K6265" i="2"/>
  <c r="G6265" i="2"/>
  <c r="E6265" i="2"/>
  <c r="B6265" i="2"/>
  <c r="S6264" i="2"/>
  <c r="M6264" i="2"/>
  <c r="L6264" i="2"/>
  <c r="K6264" i="2"/>
  <c r="G6264" i="2"/>
  <c r="E6264" i="2"/>
  <c r="B6264" i="2"/>
  <c r="S6263" i="2"/>
  <c r="M6263" i="2"/>
  <c r="L6263" i="2"/>
  <c r="K6263" i="2"/>
  <c r="G6263" i="2"/>
  <c r="E6263" i="2"/>
  <c r="B6263" i="2"/>
  <c r="S6262" i="2"/>
  <c r="M6262" i="2"/>
  <c r="L6262" i="2"/>
  <c r="K6262" i="2"/>
  <c r="G6262" i="2"/>
  <c r="E6262" i="2"/>
  <c r="B6262" i="2"/>
  <c r="S6261" i="2"/>
  <c r="M6261" i="2"/>
  <c r="L6261" i="2"/>
  <c r="K6261" i="2"/>
  <c r="G6261" i="2"/>
  <c r="E6261" i="2"/>
  <c r="B6261" i="2"/>
  <c r="S6260" i="2"/>
  <c r="M6260" i="2"/>
  <c r="L6260" i="2"/>
  <c r="K6260" i="2"/>
  <c r="G6260" i="2"/>
  <c r="E6260" i="2"/>
  <c r="B6260" i="2"/>
  <c r="S6259" i="2"/>
  <c r="M6259" i="2"/>
  <c r="L6259" i="2"/>
  <c r="K6259" i="2"/>
  <c r="G6259" i="2"/>
  <c r="E6259" i="2"/>
  <c r="B6259" i="2"/>
  <c r="S6258" i="2"/>
  <c r="M6258" i="2"/>
  <c r="L6258" i="2"/>
  <c r="K6258" i="2"/>
  <c r="G6258" i="2"/>
  <c r="E6258" i="2"/>
  <c r="B6258" i="2"/>
  <c r="S6257" i="2"/>
  <c r="M6257" i="2"/>
  <c r="L6257" i="2"/>
  <c r="K6257" i="2"/>
  <c r="G6257" i="2"/>
  <c r="E6257" i="2"/>
  <c r="B6257" i="2"/>
  <c r="S6256" i="2"/>
  <c r="M6256" i="2"/>
  <c r="L6256" i="2"/>
  <c r="K6256" i="2"/>
  <c r="G6256" i="2"/>
  <c r="E6256" i="2"/>
  <c r="B6256" i="2"/>
  <c r="S6255" i="2"/>
  <c r="M6255" i="2"/>
  <c r="L6255" i="2"/>
  <c r="K6255" i="2"/>
  <c r="G6255" i="2"/>
  <c r="E6255" i="2"/>
  <c r="B6255" i="2"/>
  <c r="S6254" i="2"/>
  <c r="M6254" i="2"/>
  <c r="L6254" i="2"/>
  <c r="K6254" i="2"/>
  <c r="G6254" i="2"/>
  <c r="E6254" i="2"/>
  <c r="B6254" i="2"/>
  <c r="S6253" i="2"/>
  <c r="M6253" i="2"/>
  <c r="L6253" i="2"/>
  <c r="K6253" i="2"/>
  <c r="G6253" i="2"/>
  <c r="E6253" i="2"/>
  <c r="B6253" i="2"/>
  <c r="S6252" i="2"/>
  <c r="M6252" i="2"/>
  <c r="L6252" i="2"/>
  <c r="K6252" i="2"/>
  <c r="G6252" i="2"/>
  <c r="E6252" i="2"/>
  <c r="B6252" i="2"/>
  <c r="S6251" i="2"/>
  <c r="M6251" i="2"/>
  <c r="L6251" i="2"/>
  <c r="K6251" i="2"/>
  <c r="G6251" i="2"/>
  <c r="E6251" i="2"/>
  <c r="B6251" i="2"/>
  <c r="S6250" i="2"/>
  <c r="M6250" i="2"/>
  <c r="L6250" i="2"/>
  <c r="K6250" i="2"/>
  <c r="G6250" i="2"/>
  <c r="E6250" i="2"/>
  <c r="B6250" i="2"/>
  <c r="S6249" i="2"/>
  <c r="M6249" i="2"/>
  <c r="L6249" i="2"/>
  <c r="K6249" i="2"/>
  <c r="G6249" i="2"/>
  <c r="E6249" i="2"/>
  <c r="B6249" i="2"/>
  <c r="S6248" i="2"/>
  <c r="M6248" i="2"/>
  <c r="L6248" i="2"/>
  <c r="K6248" i="2"/>
  <c r="G6248" i="2"/>
  <c r="E6248" i="2"/>
  <c r="B6248" i="2"/>
  <c r="S6247" i="2"/>
  <c r="M6247" i="2"/>
  <c r="L6247" i="2"/>
  <c r="K6247" i="2"/>
  <c r="G6247" i="2"/>
  <c r="E6247" i="2"/>
  <c r="B6247" i="2"/>
  <c r="S6246" i="2"/>
  <c r="M6246" i="2"/>
  <c r="L6246" i="2"/>
  <c r="K6246" i="2"/>
  <c r="G6246" i="2"/>
  <c r="E6246" i="2"/>
  <c r="B6246" i="2"/>
  <c r="S6245" i="2"/>
  <c r="M6245" i="2"/>
  <c r="L6245" i="2"/>
  <c r="K6245" i="2"/>
  <c r="G6245" i="2"/>
  <c r="E6245" i="2"/>
  <c r="B6245" i="2"/>
  <c r="S6244" i="2"/>
  <c r="M6244" i="2"/>
  <c r="L6244" i="2"/>
  <c r="K6244" i="2"/>
  <c r="H6244" i="2"/>
  <c r="G6244" i="2"/>
  <c r="E6244" i="2"/>
  <c r="B6244" i="2"/>
  <c r="S6243" i="2"/>
  <c r="M6243" i="2"/>
  <c r="L6243" i="2"/>
  <c r="K6243" i="2"/>
  <c r="G6243" i="2"/>
  <c r="E6243" i="2"/>
  <c r="B6243" i="2"/>
  <c r="S6242" i="2"/>
  <c r="M6242" i="2"/>
  <c r="L6242" i="2"/>
  <c r="K6242" i="2"/>
  <c r="G6242" i="2"/>
  <c r="E6242" i="2"/>
  <c r="B6242" i="2"/>
  <c r="S6241" i="2"/>
  <c r="M6241" i="2"/>
  <c r="L6241" i="2"/>
  <c r="K6241" i="2"/>
  <c r="G6241" i="2"/>
  <c r="E6241" i="2"/>
  <c r="B6241" i="2"/>
  <c r="S6240" i="2"/>
  <c r="M6240" i="2"/>
  <c r="L6240" i="2"/>
  <c r="K6240" i="2"/>
  <c r="G6240" i="2"/>
  <c r="E6240" i="2"/>
  <c r="B6240" i="2"/>
  <c r="S6239" i="2"/>
  <c r="M6239" i="2"/>
  <c r="L6239" i="2"/>
  <c r="K6239" i="2"/>
  <c r="G6239" i="2"/>
  <c r="E6239" i="2"/>
  <c r="B6239" i="2"/>
  <c r="S6238" i="2"/>
  <c r="M6238" i="2"/>
  <c r="L6238" i="2"/>
  <c r="K6238" i="2"/>
  <c r="G6238" i="2"/>
  <c r="E6238" i="2"/>
  <c r="B6238" i="2"/>
  <c r="S6237" i="2"/>
  <c r="M6237" i="2"/>
  <c r="L6237" i="2"/>
  <c r="K6237" i="2"/>
  <c r="G6237" i="2"/>
  <c r="E6237" i="2"/>
  <c r="B6237" i="2"/>
  <c r="S6236" i="2"/>
  <c r="M6236" i="2"/>
  <c r="L6236" i="2"/>
  <c r="K6236" i="2"/>
  <c r="H6236" i="2"/>
  <c r="G6236" i="2"/>
  <c r="E6236" i="2"/>
  <c r="B6236" i="2"/>
  <c r="S6235" i="2"/>
  <c r="M6235" i="2"/>
  <c r="L6235" i="2"/>
  <c r="K6235" i="2"/>
  <c r="G6235" i="2"/>
  <c r="E6235" i="2"/>
  <c r="B6235" i="2"/>
  <c r="S6234" i="2"/>
  <c r="M6234" i="2"/>
  <c r="L6234" i="2"/>
  <c r="K6234" i="2"/>
  <c r="G6234" i="2"/>
  <c r="E6234" i="2"/>
  <c r="B6234" i="2"/>
  <c r="S6233" i="2"/>
  <c r="M6233" i="2"/>
  <c r="L6233" i="2"/>
  <c r="K6233" i="2"/>
  <c r="H6233" i="2"/>
  <c r="G6233" i="2"/>
  <c r="E6233" i="2"/>
  <c r="B6233" i="2"/>
  <c r="S6232" i="2"/>
  <c r="M6232" i="2"/>
  <c r="L6232" i="2"/>
  <c r="K6232" i="2"/>
  <c r="G6232" i="2"/>
  <c r="E6232" i="2"/>
  <c r="B6232" i="2"/>
  <c r="S6231" i="2"/>
  <c r="M6231" i="2"/>
  <c r="L6231" i="2"/>
  <c r="K6231" i="2"/>
  <c r="G6231" i="2"/>
  <c r="E6231" i="2"/>
  <c r="B6231" i="2"/>
  <c r="S6230" i="2"/>
  <c r="M6230" i="2"/>
  <c r="L6230" i="2"/>
  <c r="K6230" i="2"/>
  <c r="G6230" i="2"/>
  <c r="E6230" i="2"/>
  <c r="B6230" i="2"/>
  <c r="S6229" i="2"/>
  <c r="M6229" i="2"/>
  <c r="L6229" i="2"/>
  <c r="K6229" i="2"/>
  <c r="H6229" i="2"/>
  <c r="G6229" i="2"/>
  <c r="E6229" i="2"/>
  <c r="B6229" i="2"/>
  <c r="S6228" i="2"/>
  <c r="M6228" i="2"/>
  <c r="L6228" i="2"/>
  <c r="K6228" i="2"/>
  <c r="G6228" i="2"/>
  <c r="E6228" i="2"/>
  <c r="B6228" i="2"/>
  <c r="S6227" i="2"/>
  <c r="M6227" i="2"/>
  <c r="L6227" i="2"/>
  <c r="K6227" i="2"/>
  <c r="G6227" i="2"/>
  <c r="E6227" i="2"/>
  <c r="B6227" i="2"/>
  <c r="S6226" i="2"/>
  <c r="M6226" i="2"/>
  <c r="L6226" i="2"/>
  <c r="K6226" i="2"/>
  <c r="H6226" i="2"/>
  <c r="G6226" i="2"/>
  <c r="E6226" i="2"/>
  <c r="B6226" i="2"/>
  <c r="S6225" i="2"/>
  <c r="M6225" i="2"/>
  <c r="L6225" i="2"/>
  <c r="K6225" i="2"/>
  <c r="G6225" i="2"/>
  <c r="E6225" i="2"/>
  <c r="B6225" i="2"/>
  <c r="S6224" i="2"/>
  <c r="M6224" i="2"/>
  <c r="L6224" i="2"/>
  <c r="K6224" i="2"/>
  <c r="H6224" i="2"/>
  <c r="G6224" i="2"/>
  <c r="E6224" i="2"/>
  <c r="B6224" i="2"/>
  <c r="S6223" i="2"/>
  <c r="M6223" i="2"/>
  <c r="L6223" i="2"/>
  <c r="K6223" i="2"/>
  <c r="G6223" i="2"/>
  <c r="E6223" i="2"/>
  <c r="B6223" i="2"/>
  <c r="S6222" i="2"/>
  <c r="M6222" i="2"/>
  <c r="L6222" i="2"/>
  <c r="K6222" i="2"/>
  <c r="G6222" i="2"/>
  <c r="E6222" i="2"/>
  <c r="B6222" i="2"/>
  <c r="S6221" i="2"/>
  <c r="M6221" i="2"/>
  <c r="L6221" i="2"/>
  <c r="K6221" i="2"/>
  <c r="G6221" i="2"/>
  <c r="E6221" i="2"/>
  <c r="B6221" i="2"/>
  <c r="S6220" i="2"/>
  <c r="M6220" i="2"/>
  <c r="L6220" i="2"/>
  <c r="K6220" i="2"/>
  <c r="H6220" i="2"/>
  <c r="G6220" i="2"/>
  <c r="E6220" i="2"/>
  <c r="B6220" i="2"/>
  <c r="S6219" i="2"/>
  <c r="M6219" i="2"/>
  <c r="L6219" i="2"/>
  <c r="K6219" i="2"/>
  <c r="H6219" i="2"/>
  <c r="G6219" i="2"/>
  <c r="E6219" i="2"/>
  <c r="B6219" i="2"/>
  <c r="S6218" i="2"/>
  <c r="M6218" i="2"/>
  <c r="L6218" i="2"/>
  <c r="K6218" i="2"/>
  <c r="H6218" i="2"/>
  <c r="G6218" i="2"/>
  <c r="E6218" i="2"/>
  <c r="B6218" i="2"/>
  <c r="S6217" i="2"/>
  <c r="M6217" i="2"/>
  <c r="L6217" i="2"/>
  <c r="K6217" i="2"/>
  <c r="G6217" i="2"/>
  <c r="E6217" i="2"/>
  <c r="B6217" i="2"/>
  <c r="S6216" i="2"/>
  <c r="M6216" i="2"/>
  <c r="L6216" i="2"/>
  <c r="K6216" i="2"/>
  <c r="G6216" i="2"/>
  <c r="E6216" i="2"/>
  <c r="B6216" i="2"/>
  <c r="S6215" i="2"/>
  <c r="M6215" i="2"/>
  <c r="L6215" i="2"/>
  <c r="K6215" i="2"/>
  <c r="H6215" i="2"/>
  <c r="G6215" i="2"/>
  <c r="E6215" i="2"/>
  <c r="B6215" i="2"/>
  <c r="S6214" i="2"/>
  <c r="M6214" i="2"/>
  <c r="L6214" i="2"/>
  <c r="K6214" i="2"/>
  <c r="G6214" i="2"/>
  <c r="E6214" i="2"/>
  <c r="B6214" i="2"/>
  <c r="S6213" i="2"/>
  <c r="M6213" i="2"/>
  <c r="L6213" i="2"/>
  <c r="K6213" i="2"/>
  <c r="H6213" i="2"/>
  <c r="G6213" i="2"/>
  <c r="E6213" i="2"/>
  <c r="B6213" i="2"/>
  <c r="S6212" i="2"/>
  <c r="M6212" i="2"/>
  <c r="L6212" i="2"/>
  <c r="K6212" i="2"/>
  <c r="H6212" i="2"/>
  <c r="G6212" i="2"/>
  <c r="E6212" i="2"/>
  <c r="B6212" i="2"/>
  <c r="S6211" i="2"/>
  <c r="M6211" i="2"/>
  <c r="L6211" i="2"/>
  <c r="K6211" i="2"/>
  <c r="G6211" i="2"/>
  <c r="E6211" i="2"/>
  <c r="B6211" i="2"/>
  <c r="S6210" i="2"/>
  <c r="M6210" i="2"/>
  <c r="L6210" i="2"/>
  <c r="K6210" i="2"/>
  <c r="H6210" i="2"/>
  <c r="G6210" i="2"/>
  <c r="E6210" i="2"/>
  <c r="B6210" i="2"/>
  <c r="S6209" i="2"/>
  <c r="M6209" i="2"/>
  <c r="L6209" i="2"/>
  <c r="K6209" i="2"/>
  <c r="G6209" i="2"/>
  <c r="E6209" i="2"/>
  <c r="B6209" i="2"/>
  <c r="S6208" i="2"/>
  <c r="M6208" i="2"/>
  <c r="L6208" i="2"/>
  <c r="K6208" i="2"/>
  <c r="G6208" i="2"/>
  <c r="E6208" i="2"/>
  <c r="B6208" i="2"/>
  <c r="S6207" i="2"/>
  <c r="M6207" i="2"/>
  <c r="L6207" i="2"/>
  <c r="K6207" i="2"/>
  <c r="G6207" i="2"/>
  <c r="E6207" i="2"/>
  <c r="B6207" i="2"/>
  <c r="S6206" i="2"/>
  <c r="M6206" i="2"/>
  <c r="L6206" i="2"/>
  <c r="K6206" i="2"/>
  <c r="G6206" i="2"/>
  <c r="E6206" i="2"/>
  <c r="B6206" i="2"/>
  <c r="S6205" i="2"/>
  <c r="M6205" i="2"/>
  <c r="L6205" i="2"/>
  <c r="K6205" i="2"/>
  <c r="G6205" i="2"/>
  <c r="E6205" i="2"/>
  <c r="B6205" i="2"/>
  <c r="S6204" i="2"/>
  <c r="M6204" i="2"/>
  <c r="L6204" i="2"/>
  <c r="K6204" i="2"/>
  <c r="H6204" i="2"/>
  <c r="G6204" i="2"/>
  <c r="E6204" i="2"/>
  <c r="B6204" i="2"/>
  <c r="S6203" i="2"/>
  <c r="M6203" i="2"/>
  <c r="L6203" i="2"/>
  <c r="K6203" i="2"/>
  <c r="G6203" i="2"/>
  <c r="E6203" i="2"/>
  <c r="B6203" i="2"/>
  <c r="S6202" i="2"/>
  <c r="M6202" i="2"/>
  <c r="L6202" i="2"/>
  <c r="K6202" i="2"/>
  <c r="G6202" i="2"/>
  <c r="E6202" i="2"/>
  <c r="B6202" i="2"/>
  <c r="S6201" i="2"/>
  <c r="M6201" i="2"/>
  <c r="L6201" i="2"/>
  <c r="K6201" i="2"/>
  <c r="G6201" i="2"/>
  <c r="E6201" i="2"/>
  <c r="B6201" i="2"/>
  <c r="S6200" i="2"/>
  <c r="M6200" i="2"/>
  <c r="L6200" i="2"/>
  <c r="K6200" i="2"/>
  <c r="H6200" i="2"/>
  <c r="G6200" i="2"/>
  <c r="E6200" i="2"/>
  <c r="B6200" i="2"/>
  <c r="S6199" i="2"/>
  <c r="M6199" i="2"/>
  <c r="L6199" i="2"/>
  <c r="K6199" i="2"/>
  <c r="H6199" i="2"/>
  <c r="G6199" i="2"/>
  <c r="E6199" i="2"/>
  <c r="B6199" i="2"/>
  <c r="S6198" i="2"/>
  <c r="M6198" i="2"/>
  <c r="L6198" i="2"/>
  <c r="K6198" i="2"/>
  <c r="H6198" i="2"/>
  <c r="G6198" i="2"/>
  <c r="E6198" i="2"/>
  <c r="B6198" i="2"/>
  <c r="S6197" i="2"/>
  <c r="M6197" i="2"/>
  <c r="L6197" i="2"/>
  <c r="K6197" i="2"/>
  <c r="H6197" i="2"/>
  <c r="G6197" i="2"/>
  <c r="E6197" i="2"/>
  <c r="B6197" i="2"/>
  <c r="S6196" i="2"/>
  <c r="M6196" i="2"/>
  <c r="L6196" i="2"/>
  <c r="K6196" i="2"/>
  <c r="G6196" i="2"/>
  <c r="E6196" i="2"/>
  <c r="B6196" i="2"/>
  <c r="S6195" i="2"/>
  <c r="M6195" i="2"/>
  <c r="L6195" i="2"/>
  <c r="K6195" i="2"/>
  <c r="G6195" i="2"/>
  <c r="E6195" i="2"/>
  <c r="B6195" i="2"/>
  <c r="S6194" i="2"/>
  <c r="M6194" i="2"/>
  <c r="L6194" i="2"/>
  <c r="K6194" i="2"/>
  <c r="G6194" i="2"/>
  <c r="E6194" i="2"/>
  <c r="B6194" i="2"/>
  <c r="S6193" i="2"/>
  <c r="M6193" i="2"/>
  <c r="L6193" i="2"/>
  <c r="K6193" i="2"/>
  <c r="G6193" i="2"/>
  <c r="E6193" i="2"/>
  <c r="B6193" i="2"/>
  <c r="S6192" i="2"/>
  <c r="M6192" i="2"/>
  <c r="L6192" i="2"/>
  <c r="K6192" i="2"/>
  <c r="H6192" i="2"/>
  <c r="G6192" i="2"/>
  <c r="E6192" i="2"/>
  <c r="B6192" i="2"/>
  <c r="S6191" i="2"/>
  <c r="M6191" i="2"/>
  <c r="L6191" i="2"/>
  <c r="K6191" i="2"/>
  <c r="G6191" i="2"/>
  <c r="E6191" i="2"/>
  <c r="B6191" i="2"/>
  <c r="S6190" i="2"/>
  <c r="M6190" i="2"/>
  <c r="L6190" i="2"/>
  <c r="K6190" i="2"/>
  <c r="G6190" i="2"/>
  <c r="E6190" i="2"/>
  <c r="B6190" i="2"/>
  <c r="S6189" i="2"/>
  <c r="M6189" i="2"/>
  <c r="L6189" i="2"/>
  <c r="K6189" i="2"/>
  <c r="G6189" i="2"/>
  <c r="E6189" i="2"/>
  <c r="B6189" i="2"/>
  <c r="S6188" i="2"/>
  <c r="M6188" i="2"/>
  <c r="L6188" i="2"/>
  <c r="K6188" i="2"/>
  <c r="G6188" i="2"/>
  <c r="E6188" i="2"/>
  <c r="B6188" i="2"/>
  <c r="S6187" i="2"/>
  <c r="M6187" i="2"/>
  <c r="L6187" i="2"/>
  <c r="K6187" i="2"/>
  <c r="H6187" i="2"/>
  <c r="G6187" i="2"/>
  <c r="E6187" i="2"/>
  <c r="B6187" i="2"/>
  <c r="S6186" i="2"/>
  <c r="M6186" i="2"/>
  <c r="L6186" i="2"/>
  <c r="K6186" i="2"/>
  <c r="G6186" i="2"/>
  <c r="E6186" i="2"/>
  <c r="B6186" i="2"/>
  <c r="S6185" i="2"/>
  <c r="M6185" i="2"/>
  <c r="L6185" i="2"/>
  <c r="K6185" i="2"/>
  <c r="G6185" i="2"/>
  <c r="E6185" i="2"/>
  <c r="B6185" i="2"/>
  <c r="S6184" i="2"/>
  <c r="M6184" i="2"/>
  <c r="L6184" i="2"/>
  <c r="K6184" i="2"/>
  <c r="G6184" i="2"/>
  <c r="E6184" i="2"/>
  <c r="B6184" i="2"/>
  <c r="S6183" i="2"/>
  <c r="M6183" i="2"/>
  <c r="L6183" i="2"/>
  <c r="K6183" i="2"/>
  <c r="G6183" i="2"/>
  <c r="E6183" i="2"/>
  <c r="B6183" i="2"/>
  <c r="S6182" i="2"/>
  <c r="M6182" i="2"/>
  <c r="L6182" i="2"/>
  <c r="K6182" i="2"/>
  <c r="G6182" i="2"/>
  <c r="E6182" i="2"/>
  <c r="B6182" i="2"/>
  <c r="S6181" i="2"/>
  <c r="M6181" i="2"/>
  <c r="L6181" i="2"/>
  <c r="K6181" i="2"/>
  <c r="G6181" i="2"/>
  <c r="E6181" i="2"/>
  <c r="B6181" i="2"/>
  <c r="S6180" i="2"/>
  <c r="M6180" i="2"/>
  <c r="L6180" i="2"/>
  <c r="K6180" i="2"/>
  <c r="G6180" i="2"/>
  <c r="E6180" i="2"/>
  <c r="B6180" i="2"/>
  <c r="S6179" i="2"/>
  <c r="M6179" i="2"/>
  <c r="L6179" i="2"/>
  <c r="K6179" i="2"/>
  <c r="G6179" i="2"/>
  <c r="E6179" i="2"/>
  <c r="B6179" i="2"/>
  <c r="S6178" i="2"/>
  <c r="M6178" i="2"/>
  <c r="L6178" i="2"/>
  <c r="K6178" i="2"/>
  <c r="H6178" i="2"/>
  <c r="G6178" i="2"/>
  <c r="E6178" i="2"/>
  <c r="B6178" i="2"/>
  <c r="S6177" i="2"/>
  <c r="M6177" i="2"/>
  <c r="L6177" i="2"/>
  <c r="K6177" i="2"/>
  <c r="G6177" i="2"/>
  <c r="E6177" i="2"/>
  <c r="B6177" i="2"/>
  <c r="S6176" i="2"/>
  <c r="M6176" i="2"/>
  <c r="L6176" i="2"/>
  <c r="K6176" i="2"/>
  <c r="G6176" i="2"/>
  <c r="E6176" i="2"/>
  <c r="B6176" i="2"/>
  <c r="S6175" i="2"/>
  <c r="M6175" i="2"/>
  <c r="L6175" i="2"/>
  <c r="K6175" i="2"/>
  <c r="H6175" i="2"/>
  <c r="G6175" i="2"/>
  <c r="E6175" i="2"/>
  <c r="B6175" i="2"/>
  <c r="S6174" i="2"/>
  <c r="M6174" i="2"/>
  <c r="L6174" i="2"/>
  <c r="K6174" i="2"/>
  <c r="G6174" i="2"/>
  <c r="E6174" i="2"/>
  <c r="B6174" i="2"/>
  <c r="S6173" i="2"/>
  <c r="M6173" i="2"/>
  <c r="L6173" i="2"/>
  <c r="K6173" i="2"/>
  <c r="G6173" i="2"/>
  <c r="E6173" i="2"/>
  <c r="B6173" i="2"/>
  <c r="S6172" i="2"/>
  <c r="M6172" i="2"/>
  <c r="L6172" i="2"/>
  <c r="K6172" i="2"/>
  <c r="G6172" i="2"/>
  <c r="E6172" i="2"/>
  <c r="B6172" i="2"/>
  <c r="S6171" i="2"/>
  <c r="M6171" i="2"/>
  <c r="L6171" i="2"/>
  <c r="K6171" i="2"/>
  <c r="G6171" i="2"/>
  <c r="E6171" i="2"/>
  <c r="B6171" i="2"/>
  <c r="S6170" i="2"/>
  <c r="M6170" i="2"/>
  <c r="L6170" i="2"/>
  <c r="K6170" i="2"/>
  <c r="G6170" i="2"/>
  <c r="E6170" i="2"/>
  <c r="B6170" i="2"/>
  <c r="S6169" i="2"/>
  <c r="M6169" i="2"/>
  <c r="L6169" i="2"/>
  <c r="K6169" i="2"/>
  <c r="G6169" i="2"/>
  <c r="E6169" i="2"/>
  <c r="B6169" i="2"/>
  <c r="S6168" i="2"/>
  <c r="M6168" i="2"/>
  <c r="L6168" i="2"/>
  <c r="K6168" i="2"/>
  <c r="G6168" i="2"/>
  <c r="E6168" i="2"/>
  <c r="B6168" i="2"/>
  <c r="S6167" i="2"/>
  <c r="M6167" i="2"/>
  <c r="L6167" i="2"/>
  <c r="K6167" i="2"/>
  <c r="G6167" i="2"/>
  <c r="E6167" i="2"/>
  <c r="B6167" i="2"/>
  <c r="S6166" i="2"/>
  <c r="M6166" i="2"/>
  <c r="L6166" i="2"/>
  <c r="K6166" i="2"/>
  <c r="G6166" i="2"/>
  <c r="E6166" i="2"/>
  <c r="B6166" i="2"/>
  <c r="S6165" i="2"/>
  <c r="M6165" i="2"/>
  <c r="L6165" i="2"/>
  <c r="K6165" i="2"/>
  <c r="G6165" i="2"/>
  <c r="E6165" i="2"/>
  <c r="B6165" i="2"/>
  <c r="S6164" i="2"/>
  <c r="M6164" i="2"/>
  <c r="L6164" i="2"/>
  <c r="K6164" i="2"/>
  <c r="G6164" i="2"/>
  <c r="E6164" i="2"/>
  <c r="B6164" i="2"/>
  <c r="S6163" i="2"/>
  <c r="M6163" i="2"/>
  <c r="L6163" i="2"/>
  <c r="K6163" i="2"/>
  <c r="G6163" i="2"/>
  <c r="E6163" i="2"/>
  <c r="B6163" i="2"/>
  <c r="S6162" i="2"/>
  <c r="M6162" i="2"/>
  <c r="L6162" i="2"/>
  <c r="K6162" i="2"/>
  <c r="G6162" i="2"/>
  <c r="E6162" i="2"/>
  <c r="B6162" i="2"/>
  <c r="S6161" i="2"/>
  <c r="M6161" i="2"/>
  <c r="L6161" i="2"/>
  <c r="K6161" i="2"/>
  <c r="G6161" i="2"/>
  <c r="E6161" i="2"/>
  <c r="B6161" i="2"/>
  <c r="S6160" i="2"/>
  <c r="M6160" i="2"/>
  <c r="L6160" i="2"/>
  <c r="K6160" i="2"/>
  <c r="G6160" i="2"/>
  <c r="E6160" i="2"/>
  <c r="B6160" i="2"/>
  <c r="S6159" i="2"/>
  <c r="M6159" i="2"/>
  <c r="L6159" i="2"/>
  <c r="K6159" i="2"/>
  <c r="G6159" i="2"/>
  <c r="E6159" i="2"/>
  <c r="B6159" i="2"/>
  <c r="S6158" i="2"/>
  <c r="M6158" i="2"/>
  <c r="L6158" i="2"/>
  <c r="K6158" i="2"/>
  <c r="G6158" i="2"/>
  <c r="E6158" i="2"/>
  <c r="B6158" i="2"/>
  <c r="S6157" i="2"/>
  <c r="M6157" i="2"/>
  <c r="L6157" i="2"/>
  <c r="K6157" i="2"/>
  <c r="G6157" i="2"/>
  <c r="E6157" i="2"/>
  <c r="B6157" i="2"/>
  <c r="S6156" i="2"/>
  <c r="M6156" i="2"/>
  <c r="L6156" i="2"/>
  <c r="K6156" i="2"/>
  <c r="G6156" i="2"/>
  <c r="E6156" i="2"/>
  <c r="B6156" i="2"/>
  <c r="S6155" i="2"/>
  <c r="M6155" i="2"/>
  <c r="L6155" i="2"/>
  <c r="K6155" i="2"/>
  <c r="G6155" i="2"/>
  <c r="E6155" i="2"/>
  <c r="B6155" i="2"/>
  <c r="S6154" i="2"/>
  <c r="M6154" i="2"/>
  <c r="L6154" i="2"/>
  <c r="K6154" i="2"/>
  <c r="G6154" i="2"/>
  <c r="E6154" i="2"/>
  <c r="B6154" i="2"/>
  <c r="S6153" i="2"/>
  <c r="M6153" i="2"/>
  <c r="L6153" i="2"/>
  <c r="K6153" i="2"/>
  <c r="G6153" i="2"/>
  <c r="E6153" i="2"/>
  <c r="B6153" i="2"/>
  <c r="S6152" i="2"/>
  <c r="M6152" i="2"/>
  <c r="L6152" i="2"/>
  <c r="K6152" i="2"/>
  <c r="G6152" i="2"/>
  <c r="E6152" i="2"/>
  <c r="B6152" i="2"/>
  <c r="S6151" i="2"/>
  <c r="M6151" i="2"/>
  <c r="L6151" i="2"/>
  <c r="K6151" i="2"/>
  <c r="G6151" i="2"/>
  <c r="E6151" i="2"/>
  <c r="B6151" i="2"/>
  <c r="S6150" i="2"/>
  <c r="M6150" i="2"/>
  <c r="L6150" i="2"/>
  <c r="K6150" i="2"/>
  <c r="G6150" i="2"/>
  <c r="E6150" i="2"/>
  <c r="B6150" i="2"/>
  <c r="S6149" i="2"/>
  <c r="M6149" i="2"/>
  <c r="L6149" i="2"/>
  <c r="K6149" i="2"/>
  <c r="G6149" i="2"/>
  <c r="E6149" i="2"/>
  <c r="B6149" i="2"/>
  <c r="S6148" i="2"/>
  <c r="M6148" i="2"/>
  <c r="L6148" i="2"/>
  <c r="K6148" i="2"/>
  <c r="G6148" i="2"/>
  <c r="E6148" i="2"/>
  <c r="B6148" i="2"/>
  <c r="S6147" i="2"/>
  <c r="M6147" i="2"/>
  <c r="L6147" i="2"/>
  <c r="K6147" i="2"/>
  <c r="G6147" i="2"/>
  <c r="E6147" i="2"/>
  <c r="B6147" i="2"/>
  <c r="S6146" i="2"/>
  <c r="M6146" i="2"/>
  <c r="L6146" i="2"/>
  <c r="K6146" i="2"/>
  <c r="G6146" i="2"/>
  <c r="E6146" i="2"/>
  <c r="B6146" i="2"/>
  <c r="S6145" i="2"/>
  <c r="M6145" i="2"/>
  <c r="L6145" i="2"/>
  <c r="K6145" i="2"/>
  <c r="G6145" i="2"/>
  <c r="E6145" i="2"/>
  <c r="B6145" i="2"/>
  <c r="S6144" i="2"/>
  <c r="M6144" i="2"/>
  <c r="L6144" i="2"/>
  <c r="K6144" i="2"/>
  <c r="G6144" i="2"/>
  <c r="E6144" i="2"/>
  <c r="B6144" i="2"/>
  <c r="S6143" i="2"/>
  <c r="M6143" i="2"/>
  <c r="L6143" i="2"/>
  <c r="K6143" i="2"/>
  <c r="G6143" i="2"/>
  <c r="E6143" i="2"/>
  <c r="B6143" i="2"/>
  <c r="S6142" i="2"/>
  <c r="M6142" i="2"/>
  <c r="L6142" i="2"/>
  <c r="K6142" i="2"/>
  <c r="G6142" i="2"/>
  <c r="E6142" i="2"/>
  <c r="B6142" i="2"/>
  <c r="S6141" i="2"/>
  <c r="M6141" i="2"/>
  <c r="L6141" i="2"/>
  <c r="K6141" i="2"/>
  <c r="G6141" i="2"/>
  <c r="E6141" i="2"/>
  <c r="B6141" i="2"/>
  <c r="S6140" i="2"/>
  <c r="M6140" i="2"/>
  <c r="L6140" i="2"/>
  <c r="K6140" i="2"/>
  <c r="G6140" i="2"/>
  <c r="E6140" i="2"/>
  <c r="B6140" i="2"/>
  <c r="S6139" i="2"/>
  <c r="M6139" i="2"/>
  <c r="L6139" i="2"/>
  <c r="K6139" i="2"/>
  <c r="G6139" i="2"/>
  <c r="E6139" i="2"/>
  <c r="B6139" i="2"/>
  <c r="S6138" i="2"/>
  <c r="M6138" i="2"/>
  <c r="L6138" i="2"/>
  <c r="K6138" i="2"/>
  <c r="G6138" i="2"/>
  <c r="E6138" i="2"/>
  <c r="B6138" i="2"/>
  <c r="S6137" i="2"/>
  <c r="M6137" i="2"/>
  <c r="L6137" i="2"/>
  <c r="K6137" i="2"/>
  <c r="G6137" i="2"/>
  <c r="E6137" i="2"/>
  <c r="B6137" i="2"/>
  <c r="S6136" i="2"/>
  <c r="M6136" i="2"/>
  <c r="L6136" i="2"/>
  <c r="K6136" i="2"/>
  <c r="G6136" i="2"/>
  <c r="E6136" i="2"/>
  <c r="B6136" i="2"/>
  <c r="S6135" i="2"/>
  <c r="M6135" i="2"/>
  <c r="L6135" i="2"/>
  <c r="K6135" i="2"/>
  <c r="G6135" i="2"/>
  <c r="E6135" i="2"/>
  <c r="B6135" i="2"/>
  <c r="S6134" i="2"/>
  <c r="M6134" i="2"/>
  <c r="L6134" i="2"/>
  <c r="K6134" i="2"/>
  <c r="G6134" i="2"/>
  <c r="E6134" i="2"/>
  <c r="B6134" i="2"/>
  <c r="S6133" i="2"/>
  <c r="M6133" i="2"/>
  <c r="L6133" i="2"/>
  <c r="K6133" i="2"/>
  <c r="G6133" i="2"/>
  <c r="E6133" i="2"/>
  <c r="B6133" i="2"/>
  <c r="S6132" i="2"/>
  <c r="M6132" i="2"/>
  <c r="L6132" i="2"/>
  <c r="K6132" i="2"/>
  <c r="G6132" i="2"/>
  <c r="E6132" i="2"/>
  <c r="B6132" i="2"/>
  <c r="S6131" i="2"/>
  <c r="M6131" i="2"/>
  <c r="L6131" i="2"/>
  <c r="K6131" i="2"/>
  <c r="G6131" i="2"/>
  <c r="E6131" i="2"/>
  <c r="B6131" i="2"/>
  <c r="S6130" i="2"/>
  <c r="M6130" i="2"/>
  <c r="L6130" i="2"/>
  <c r="K6130" i="2"/>
  <c r="G6130" i="2"/>
  <c r="E6130" i="2"/>
  <c r="B6130" i="2"/>
  <c r="S6129" i="2"/>
  <c r="M6129" i="2"/>
  <c r="L6129" i="2"/>
  <c r="K6129" i="2"/>
  <c r="G6129" i="2"/>
  <c r="E6129" i="2"/>
  <c r="B6129" i="2"/>
  <c r="S6128" i="2"/>
  <c r="M6128" i="2"/>
  <c r="L6128" i="2"/>
  <c r="K6128" i="2"/>
  <c r="G6128" i="2"/>
  <c r="E6128" i="2"/>
  <c r="B6128" i="2"/>
  <c r="S6127" i="2"/>
  <c r="M6127" i="2"/>
  <c r="L6127" i="2"/>
  <c r="K6127" i="2"/>
  <c r="G6127" i="2"/>
  <c r="E6127" i="2"/>
  <c r="B6127" i="2"/>
  <c r="S6126" i="2"/>
  <c r="M6126" i="2"/>
  <c r="L6126" i="2"/>
  <c r="K6126" i="2"/>
  <c r="H6126" i="2"/>
  <c r="G6126" i="2"/>
  <c r="E6126" i="2"/>
  <c r="B6126" i="2"/>
  <c r="S6125" i="2"/>
  <c r="M6125" i="2"/>
  <c r="L6125" i="2"/>
  <c r="K6125" i="2"/>
  <c r="G6125" i="2"/>
  <c r="E6125" i="2"/>
  <c r="B6125" i="2"/>
  <c r="S6124" i="2"/>
  <c r="M6124" i="2"/>
  <c r="L6124" i="2"/>
  <c r="K6124" i="2"/>
  <c r="G6124" i="2"/>
  <c r="E6124" i="2"/>
  <c r="B6124" i="2"/>
  <c r="S6123" i="2"/>
  <c r="M6123" i="2"/>
  <c r="L6123" i="2"/>
  <c r="K6123" i="2"/>
  <c r="G6123" i="2"/>
  <c r="E6123" i="2"/>
  <c r="B6123" i="2"/>
  <c r="S6122" i="2"/>
  <c r="M6122" i="2"/>
  <c r="L6122" i="2"/>
  <c r="K6122" i="2"/>
  <c r="G6122" i="2"/>
  <c r="E6122" i="2"/>
  <c r="B6122" i="2"/>
  <c r="S6121" i="2"/>
  <c r="M6121" i="2"/>
  <c r="L6121" i="2"/>
  <c r="K6121" i="2"/>
  <c r="G6121" i="2"/>
  <c r="E6121" i="2"/>
  <c r="B6121" i="2"/>
  <c r="S6120" i="2"/>
  <c r="M6120" i="2"/>
  <c r="L6120" i="2"/>
  <c r="K6120" i="2"/>
  <c r="G6120" i="2"/>
  <c r="E6120" i="2"/>
  <c r="B6120" i="2"/>
  <c r="S6119" i="2"/>
  <c r="M6119" i="2"/>
  <c r="L6119" i="2"/>
  <c r="K6119" i="2"/>
  <c r="G6119" i="2"/>
  <c r="E6119" i="2"/>
  <c r="B6119" i="2"/>
  <c r="S6118" i="2"/>
  <c r="M6118" i="2"/>
  <c r="L6118" i="2"/>
  <c r="K6118" i="2"/>
  <c r="G6118" i="2"/>
  <c r="E6118" i="2"/>
  <c r="B6118" i="2"/>
  <c r="S6117" i="2"/>
  <c r="M6117" i="2"/>
  <c r="L6117" i="2"/>
  <c r="K6117" i="2"/>
  <c r="G6117" i="2"/>
  <c r="E6117" i="2"/>
  <c r="B6117" i="2"/>
  <c r="S6116" i="2"/>
  <c r="M6116" i="2"/>
  <c r="L6116" i="2"/>
  <c r="K6116" i="2"/>
  <c r="G6116" i="2"/>
  <c r="E6116" i="2"/>
  <c r="B6116" i="2"/>
  <c r="S6115" i="2"/>
  <c r="M6115" i="2"/>
  <c r="L6115" i="2"/>
  <c r="K6115" i="2"/>
  <c r="G6115" i="2"/>
  <c r="E6115" i="2"/>
  <c r="B6115" i="2"/>
  <c r="S6114" i="2"/>
  <c r="M6114" i="2"/>
  <c r="L6114" i="2"/>
  <c r="K6114" i="2"/>
  <c r="G6114" i="2"/>
  <c r="E6114" i="2"/>
  <c r="B6114" i="2"/>
  <c r="S6113" i="2"/>
  <c r="M6113" i="2"/>
  <c r="L6113" i="2"/>
  <c r="K6113" i="2"/>
  <c r="G6113" i="2"/>
  <c r="E6113" i="2"/>
  <c r="B6113" i="2"/>
  <c r="S6112" i="2"/>
  <c r="M6112" i="2"/>
  <c r="L6112" i="2"/>
  <c r="K6112" i="2"/>
  <c r="H6112" i="2"/>
  <c r="G6112" i="2"/>
  <c r="E6112" i="2"/>
  <c r="B6112" i="2"/>
  <c r="S6111" i="2"/>
  <c r="M6111" i="2"/>
  <c r="L6111" i="2"/>
  <c r="K6111" i="2"/>
  <c r="G6111" i="2"/>
  <c r="E6111" i="2"/>
  <c r="B6111" i="2"/>
  <c r="S6110" i="2"/>
  <c r="M6110" i="2"/>
  <c r="L6110" i="2"/>
  <c r="K6110" i="2"/>
  <c r="G6110" i="2"/>
  <c r="E6110" i="2"/>
  <c r="B6110" i="2"/>
  <c r="S6109" i="2"/>
  <c r="M6109" i="2"/>
  <c r="L6109" i="2"/>
  <c r="K6109" i="2"/>
  <c r="G6109" i="2"/>
  <c r="E6109" i="2"/>
  <c r="B6109" i="2"/>
  <c r="S6108" i="2"/>
  <c r="M6108" i="2"/>
  <c r="L6108" i="2"/>
  <c r="K6108" i="2"/>
  <c r="G6108" i="2"/>
  <c r="E6108" i="2"/>
  <c r="B6108" i="2"/>
  <c r="S6107" i="2"/>
  <c r="M6107" i="2"/>
  <c r="L6107" i="2"/>
  <c r="K6107" i="2"/>
  <c r="H6107" i="2"/>
  <c r="G6107" i="2"/>
  <c r="E6107" i="2"/>
  <c r="B6107" i="2"/>
  <c r="S6106" i="2"/>
  <c r="M6106" i="2"/>
  <c r="L6106" i="2"/>
  <c r="K6106" i="2"/>
  <c r="H6106" i="2"/>
  <c r="G6106" i="2"/>
  <c r="E6106" i="2"/>
  <c r="B6106" i="2"/>
  <c r="S6105" i="2"/>
  <c r="M6105" i="2"/>
  <c r="L6105" i="2"/>
  <c r="K6105" i="2"/>
  <c r="H6105" i="2"/>
  <c r="G6105" i="2"/>
  <c r="E6105" i="2"/>
  <c r="B6105" i="2"/>
  <c r="S6104" i="2"/>
  <c r="M6104" i="2"/>
  <c r="L6104" i="2"/>
  <c r="K6104" i="2"/>
  <c r="H6104" i="2"/>
  <c r="G6104" i="2"/>
  <c r="E6104" i="2"/>
  <c r="B6104" i="2"/>
  <c r="S6103" i="2"/>
  <c r="M6103" i="2"/>
  <c r="L6103" i="2"/>
  <c r="K6103" i="2"/>
  <c r="G6103" i="2"/>
  <c r="E6103" i="2"/>
  <c r="B6103" i="2"/>
  <c r="S6102" i="2"/>
  <c r="M6102" i="2"/>
  <c r="L6102" i="2"/>
  <c r="K6102" i="2"/>
  <c r="G6102" i="2"/>
  <c r="E6102" i="2"/>
  <c r="B6102" i="2"/>
  <c r="S6101" i="2"/>
  <c r="M6101" i="2"/>
  <c r="L6101" i="2"/>
  <c r="K6101" i="2"/>
  <c r="G6101" i="2"/>
  <c r="E6101" i="2"/>
  <c r="B6101" i="2"/>
  <c r="S6100" i="2"/>
  <c r="M6100" i="2"/>
  <c r="L6100" i="2"/>
  <c r="K6100" i="2"/>
  <c r="G6100" i="2"/>
  <c r="E6100" i="2"/>
  <c r="B6100" i="2"/>
  <c r="S6099" i="2"/>
  <c r="M6099" i="2"/>
  <c r="L6099" i="2"/>
  <c r="K6099" i="2"/>
  <c r="G6099" i="2"/>
  <c r="E6099" i="2"/>
  <c r="B6099" i="2"/>
  <c r="S6098" i="2"/>
  <c r="M6098" i="2"/>
  <c r="L6098" i="2"/>
  <c r="K6098" i="2"/>
  <c r="H6098" i="2"/>
  <c r="G6098" i="2"/>
  <c r="E6098" i="2"/>
  <c r="B6098" i="2"/>
  <c r="S6097" i="2"/>
  <c r="M6097" i="2"/>
  <c r="L6097" i="2"/>
  <c r="K6097" i="2"/>
  <c r="H6097" i="2"/>
  <c r="G6097" i="2"/>
  <c r="E6097" i="2"/>
  <c r="B6097" i="2"/>
  <c r="S6096" i="2"/>
  <c r="M6096" i="2"/>
  <c r="L6096" i="2"/>
  <c r="K6096" i="2"/>
  <c r="H6096" i="2"/>
  <c r="G6096" i="2"/>
  <c r="E6096" i="2"/>
  <c r="B6096" i="2"/>
  <c r="S6095" i="2"/>
  <c r="M6095" i="2"/>
  <c r="L6095" i="2"/>
  <c r="K6095" i="2"/>
  <c r="H6095" i="2"/>
  <c r="G6095" i="2"/>
  <c r="E6095" i="2"/>
  <c r="B6095" i="2"/>
  <c r="S6094" i="2"/>
  <c r="M6094" i="2"/>
  <c r="L6094" i="2"/>
  <c r="K6094" i="2"/>
  <c r="G6094" i="2"/>
  <c r="E6094" i="2"/>
  <c r="B6094" i="2"/>
  <c r="S6093" i="2"/>
  <c r="M6093" i="2"/>
  <c r="L6093" i="2"/>
  <c r="K6093" i="2"/>
  <c r="H6093" i="2"/>
  <c r="G6093" i="2"/>
  <c r="E6093" i="2"/>
  <c r="B6093" i="2"/>
  <c r="S6092" i="2"/>
  <c r="M6092" i="2"/>
  <c r="L6092" i="2"/>
  <c r="K6092" i="2"/>
  <c r="G6092" i="2"/>
  <c r="E6092" i="2"/>
  <c r="B6092" i="2"/>
  <c r="S6091" i="2"/>
  <c r="M6091" i="2"/>
  <c r="L6091" i="2"/>
  <c r="K6091" i="2"/>
  <c r="G6091" i="2"/>
  <c r="E6091" i="2"/>
  <c r="B6091" i="2"/>
  <c r="S6090" i="2"/>
  <c r="M6090" i="2"/>
  <c r="L6090" i="2"/>
  <c r="K6090" i="2"/>
  <c r="G6090" i="2"/>
  <c r="E6090" i="2"/>
  <c r="B6090" i="2"/>
  <c r="S6089" i="2"/>
  <c r="M6089" i="2"/>
  <c r="L6089" i="2"/>
  <c r="K6089" i="2"/>
  <c r="G6089" i="2"/>
  <c r="E6089" i="2"/>
  <c r="B6089" i="2"/>
  <c r="S6088" i="2"/>
  <c r="M6088" i="2"/>
  <c r="L6088" i="2"/>
  <c r="K6088" i="2"/>
  <c r="G6088" i="2"/>
  <c r="E6088" i="2"/>
  <c r="B6088" i="2"/>
  <c r="S6087" i="2"/>
  <c r="M6087" i="2"/>
  <c r="L6087" i="2"/>
  <c r="K6087" i="2"/>
  <c r="G6087" i="2"/>
  <c r="E6087" i="2"/>
  <c r="B6087" i="2"/>
  <c r="S6086" i="2"/>
  <c r="M6086" i="2"/>
  <c r="L6086" i="2"/>
  <c r="K6086" i="2"/>
  <c r="H6086" i="2"/>
  <c r="G6086" i="2"/>
  <c r="E6086" i="2"/>
  <c r="B6086" i="2"/>
  <c r="S6085" i="2"/>
  <c r="M6085" i="2"/>
  <c r="L6085" i="2"/>
  <c r="K6085" i="2"/>
  <c r="H6085" i="2"/>
  <c r="G6085" i="2"/>
  <c r="E6085" i="2"/>
  <c r="B6085" i="2"/>
  <c r="S6084" i="2"/>
  <c r="M6084" i="2"/>
  <c r="L6084" i="2"/>
  <c r="K6084" i="2"/>
  <c r="H6084" i="2"/>
  <c r="G6084" i="2"/>
  <c r="E6084" i="2"/>
  <c r="B6084" i="2"/>
  <c r="S6083" i="2"/>
  <c r="M6083" i="2"/>
  <c r="L6083" i="2"/>
  <c r="K6083" i="2"/>
  <c r="H6083" i="2"/>
  <c r="G6083" i="2"/>
  <c r="E6083" i="2"/>
  <c r="B6083" i="2"/>
  <c r="S6082" i="2"/>
  <c r="M6082" i="2"/>
  <c r="L6082" i="2"/>
  <c r="K6082" i="2"/>
  <c r="H6082" i="2"/>
  <c r="G6082" i="2"/>
  <c r="E6082" i="2"/>
  <c r="B6082" i="2"/>
  <c r="S6081" i="2"/>
  <c r="M6081" i="2"/>
  <c r="L6081" i="2"/>
  <c r="K6081" i="2"/>
  <c r="H6081" i="2"/>
  <c r="G6081" i="2"/>
  <c r="E6081" i="2"/>
  <c r="B6081" i="2"/>
  <c r="S6080" i="2"/>
  <c r="M6080" i="2"/>
  <c r="L6080" i="2"/>
  <c r="K6080" i="2"/>
  <c r="G6080" i="2"/>
  <c r="E6080" i="2"/>
  <c r="B6080" i="2"/>
  <c r="S6079" i="2"/>
  <c r="M6079" i="2"/>
  <c r="L6079" i="2"/>
  <c r="K6079" i="2"/>
  <c r="G6079" i="2"/>
  <c r="E6079" i="2"/>
  <c r="B6079" i="2"/>
  <c r="S6078" i="2"/>
  <c r="M6078" i="2"/>
  <c r="L6078" i="2"/>
  <c r="K6078" i="2"/>
  <c r="G6078" i="2"/>
  <c r="E6078" i="2"/>
  <c r="B6078" i="2"/>
  <c r="S6077" i="2"/>
  <c r="M6077" i="2"/>
  <c r="L6077" i="2"/>
  <c r="K6077" i="2"/>
  <c r="G6077" i="2"/>
  <c r="E6077" i="2"/>
  <c r="B6077" i="2"/>
  <c r="S6076" i="2"/>
  <c r="M6076" i="2"/>
  <c r="L6076" i="2"/>
  <c r="K6076" i="2"/>
  <c r="G6076" i="2"/>
  <c r="E6076" i="2"/>
  <c r="B6076" i="2"/>
  <c r="S6075" i="2"/>
  <c r="M6075" i="2"/>
  <c r="L6075" i="2"/>
  <c r="K6075" i="2"/>
  <c r="G6075" i="2"/>
  <c r="E6075" i="2"/>
  <c r="B6075" i="2"/>
  <c r="S6074" i="2"/>
  <c r="M6074" i="2"/>
  <c r="L6074" i="2"/>
  <c r="K6074" i="2"/>
  <c r="G6074" i="2"/>
  <c r="E6074" i="2"/>
  <c r="B6074" i="2"/>
  <c r="S6073" i="2"/>
  <c r="M6073" i="2"/>
  <c r="L6073" i="2"/>
  <c r="K6073" i="2"/>
  <c r="G6073" i="2"/>
  <c r="E6073" i="2"/>
  <c r="B6073" i="2"/>
  <c r="S6072" i="2"/>
  <c r="M6072" i="2"/>
  <c r="L6072" i="2"/>
  <c r="K6072" i="2"/>
  <c r="H6072" i="2"/>
  <c r="G6072" i="2"/>
  <c r="E6072" i="2"/>
  <c r="B6072" i="2"/>
  <c r="S6071" i="2"/>
  <c r="M6071" i="2"/>
  <c r="L6071" i="2"/>
  <c r="K6071" i="2"/>
  <c r="G6071" i="2"/>
  <c r="E6071" i="2"/>
  <c r="B6071" i="2"/>
  <c r="S6070" i="2"/>
  <c r="M6070" i="2"/>
  <c r="L6070" i="2"/>
  <c r="K6070" i="2"/>
  <c r="G6070" i="2"/>
  <c r="E6070" i="2"/>
  <c r="B6070" i="2"/>
  <c r="S6069" i="2"/>
  <c r="M6069" i="2"/>
  <c r="L6069" i="2"/>
  <c r="K6069" i="2"/>
  <c r="G6069" i="2"/>
  <c r="E6069" i="2"/>
  <c r="B6069" i="2"/>
  <c r="S6068" i="2"/>
  <c r="M6068" i="2"/>
  <c r="L6068" i="2"/>
  <c r="K6068" i="2"/>
  <c r="H6068" i="2"/>
  <c r="G6068" i="2"/>
  <c r="E6068" i="2"/>
  <c r="B6068" i="2"/>
  <c r="S6067" i="2"/>
  <c r="M6067" i="2"/>
  <c r="L6067" i="2"/>
  <c r="K6067" i="2"/>
  <c r="G6067" i="2"/>
  <c r="E6067" i="2"/>
  <c r="B6067" i="2"/>
  <c r="S6066" i="2"/>
  <c r="M6066" i="2"/>
  <c r="L6066" i="2"/>
  <c r="K6066" i="2"/>
  <c r="G6066" i="2"/>
  <c r="E6066" i="2"/>
  <c r="B6066" i="2"/>
  <c r="S6065" i="2"/>
  <c r="M6065" i="2"/>
  <c r="L6065" i="2"/>
  <c r="K6065" i="2"/>
  <c r="G6065" i="2"/>
  <c r="E6065" i="2"/>
  <c r="B6065" i="2"/>
  <c r="S6064" i="2"/>
  <c r="M6064" i="2"/>
  <c r="L6064" i="2"/>
  <c r="K6064" i="2"/>
  <c r="H6064" i="2"/>
  <c r="G6064" i="2"/>
  <c r="E6064" i="2"/>
  <c r="B6064" i="2"/>
  <c r="S6063" i="2"/>
  <c r="M6063" i="2"/>
  <c r="L6063" i="2"/>
  <c r="K6063" i="2"/>
  <c r="G6063" i="2"/>
  <c r="E6063" i="2"/>
  <c r="B6063" i="2"/>
  <c r="S6062" i="2"/>
  <c r="M6062" i="2"/>
  <c r="L6062" i="2"/>
  <c r="K6062" i="2"/>
  <c r="G6062" i="2"/>
  <c r="E6062" i="2"/>
  <c r="B6062" i="2"/>
  <c r="S6061" i="2"/>
  <c r="M6061" i="2"/>
  <c r="L6061" i="2"/>
  <c r="K6061" i="2"/>
  <c r="G6061" i="2"/>
  <c r="E6061" i="2"/>
  <c r="B6061" i="2"/>
  <c r="S6060" i="2"/>
  <c r="M6060" i="2"/>
  <c r="L6060" i="2"/>
  <c r="K6060" i="2"/>
  <c r="G6060" i="2"/>
  <c r="E6060" i="2"/>
  <c r="B6060" i="2"/>
  <c r="S6059" i="2"/>
  <c r="M6059" i="2"/>
  <c r="L6059" i="2"/>
  <c r="K6059" i="2"/>
  <c r="H6059" i="2"/>
  <c r="G6059" i="2"/>
  <c r="E6059" i="2"/>
  <c r="B6059" i="2"/>
  <c r="S6058" i="2"/>
  <c r="M6058" i="2"/>
  <c r="L6058" i="2"/>
  <c r="K6058" i="2"/>
  <c r="G6058" i="2"/>
  <c r="E6058" i="2"/>
  <c r="B6058" i="2"/>
  <c r="S6057" i="2"/>
  <c r="M6057" i="2"/>
  <c r="L6057" i="2"/>
  <c r="K6057" i="2"/>
  <c r="H6057" i="2"/>
  <c r="G6057" i="2"/>
  <c r="E6057" i="2"/>
  <c r="B6057" i="2"/>
  <c r="S6056" i="2"/>
  <c r="M6056" i="2"/>
  <c r="L6056" i="2"/>
  <c r="K6056" i="2"/>
  <c r="H6056" i="2"/>
  <c r="G6056" i="2"/>
  <c r="E6056" i="2"/>
  <c r="B6056" i="2"/>
  <c r="S6055" i="2"/>
  <c r="M6055" i="2"/>
  <c r="L6055" i="2"/>
  <c r="K6055" i="2"/>
  <c r="G6055" i="2"/>
  <c r="E6055" i="2"/>
  <c r="B6055" i="2"/>
  <c r="S6054" i="2"/>
  <c r="M6054" i="2"/>
  <c r="L6054" i="2"/>
  <c r="K6054" i="2"/>
  <c r="H6054" i="2"/>
  <c r="G6054" i="2"/>
  <c r="E6054" i="2"/>
  <c r="B6054" i="2"/>
  <c r="S6053" i="2"/>
  <c r="M6053" i="2"/>
  <c r="L6053" i="2"/>
  <c r="K6053" i="2"/>
  <c r="G6053" i="2"/>
  <c r="E6053" i="2"/>
  <c r="B6053" i="2"/>
  <c r="S6052" i="2"/>
  <c r="M6052" i="2"/>
  <c r="L6052" i="2"/>
  <c r="K6052" i="2"/>
  <c r="H6052" i="2"/>
  <c r="G6052" i="2"/>
  <c r="E6052" i="2"/>
  <c r="B6052" i="2"/>
  <c r="S6051" i="2"/>
  <c r="M6051" i="2"/>
  <c r="L6051" i="2"/>
  <c r="K6051" i="2"/>
  <c r="G6051" i="2"/>
  <c r="E6051" i="2"/>
  <c r="B6051" i="2"/>
  <c r="S6050" i="2"/>
  <c r="M6050" i="2"/>
  <c r="L6050" i="2"/>
  <c r="K6050" i="2"/>
  <c r="H6050" i="2"/>
  <c r="G6050" i="2"/>
  <c r="E6050" i="2"/>
  <c r="B6050" i="2"/>
  <c r="S6049" i="2"/>
  <c r="M6049" i="2"/>
  <c r="L6049" i="2"/>
  <c r="K6049" i="2"/>
  <c r="H6049" i="2"/>
  <c r="G6049" i="2"/>
  <c r="E6049" i="2"/>
  <c r="B6049" i="2"/>
  <c r="S6048" i="2"/>
  <c r="M6048" i="2"/>
  <c r="L6048" i="2"/>
  <c r="K6048" i="2"/>
  <c r="H6048" i="2"/>
  <c r="G6048" i="2"/>
  <c r="E6048" i="2"/>
  <c r="B6048" i="2"/>
  <c r="S6047" i="2"/>
  <c r="M6047" i="2"/>
  <c r="L6047" i="2"/>
  <c r="K6047" i="2"/>
  <c r="G6047" i="2"/>
  <c r="E6047" i="2"/>
  <c r="B6047" i="2"/>
  <c r="S6046" i="2"/>
  <c r="M6046" i="2"/>
  <c r="L6046" i="2"/>
  <c r="K6046" i="2"/>
  <c r="H6046" i="2"/>
  <c r="G6046" i="2"/>
  <c r="E6046" i="2"/>
  <c r="B6046" i="2"/>
  <c r="S6045" i="2"/>
  <c r="M6045" i="2"/>
  <c r="L6045" i="2"/>
  <c r="K6045" i="2"/>
  <c r="H6045" i="2"/>
  <c r="G6045" i="2"/>
  <c r="E6045" i="2"/>
  <c r="B6045" i="2"/>
  <c r="S6044" i="2"/>
  <c r="M6044" i="2"/>
  <c r="L6044" i="2"/>
  <c r="K6044" i="2"/>
  <c r="H6044" i="2"/>
  <c r="G6044" i="2"/>
  <c r="E6044" i="2"/>
  <c r="B6044" i="2"/>
  <c r="S6043" i="2"/>
  <c r="M6043" i="2"/>
  <c r="L6043" i="2"/>
  <c r="K6043" i="2"/>
  <c r="G6043" i="2"/>
  <c r="E6043" i="2"/>
  <c r="B6043" i="2"/>
  <c r="S6042" i="2"/>
  <c r="M6042" i="2"/>
  <c r="L6042" i="2"/>
  <c r="K6042" i="2"/>
  <c r="G6042" i="2"/>
  <c r="E6042" i="2"/>
  <c r="B6042" i="2"/>
  <c r="S6041" i="2"/>
  <c r="M6041" i="2"/>
  <c r="L6041" i="2"/>
  <c r="K6041" i="2"/>
  <c r="G6041" i="2"/>
  <c r="E6041" i="2"/>
  <c r="B6041" i="2"/>
  <c r="S6040" i="2"/>
  <c r="M6040" i="2"/>
  <c r="L6040" i="2"/>
  <c r="K6040" i="2"/>
  <c r="G6040" i="2"/>
  <c r="E6040" i="2"/>
  <c r="B6040" i="2"/>
  <c r="S6039" i="2"/>
  <c r="M6039" i="2"/>
  <c r="L6039" i="2"/>
  <c r="K6039" i="2"/>
  <c r="G6039" i="2"/>
  <c r="E6039" i="2"/>
  <c r="B6039" i="2"/>
  <c r="S6038" i="2"/>
  <c r="M6038" i="2"/>
  <c r="L6038" i="2"/>
  <c r="K6038" i="2"/>
  <c r="G6038" i="2"/>
  <c r="E6038" i="2"/>
  <c r="B6038" i="2"/>
  <c r="S6037" i="2"/>
  <c r="M6037" i="2"/>
  <c r="L6037" i="2"/>
  <c r="K6037" i="2"/>
  <c r="G6037" i="2"/>
  <c r="E6037" i="2"/>
  <c r="B6037" i="2"/>
  <c r="S6036" i="2"/>
  <c r="M6036" i="2"/>
  <c r="L6036" i="2"/>
  <c r="K6036" i="2"/>
  <c r="H6036" i="2"/>
  <c r="G6036" i="2"/>
  <c r="E6036" i="2"/>
  <c r="B6036" i="2"/>
  <c r="S6035" i="2"/>
  <c r="M6035" i="2"/>
  <c r="L6035" i="2"/>
  <c r="K6035" i="2"/>
  <c r="G6035" i="2"/>
  <c r="E6035" i="2"/>
  <c r="B6035" i="2"/>
  <c r="S6034" i="2"/>
  <c r="M6034" i="2"/>
  <c r="L6034" i="2"/>
  <c r="K6034" i="2"/>
  <c r="H6034" i="2"/>
  <c r="G6034" i="2"/>
  <c r="E6034" i="2"/>
  <c r="B6034" i="2"/>
  <c r="S6033" i="2"/>
  <c r="M6033" i="2"/>
  <c r="L6033" i="2"/>
  <c r="K6033" i="2"/>
  <c r="G6033" i="2"/>
  <c r="E6033" i="2"/>
  <c r="B6033" i="2"/>
  <c r="S6032" i="2"/>
  <c r="M6032" i="2"/>
  <c r="L6032" i="2"/>
  <c r="K6032" i="2"/>
  <c r="G6032" i="2"/>
  <c r="E6032" i="2"/>
  <c r="B6032" i="2"/>
  <c r="S6031" i="2"/>
  <c r="M6031" i="2"/>
  <c r="L6031" i="2"/>
  <c r="K6031" i="2"/>
  <c r="G6031" i="2"/>
  <c r="E6031" i="2"/>
  <c r="B6031" i="2"/>
  <c r="S6030" i="2"/>
  <c r="M6030" i="2"/>
  <c r="L6030" i="2"/>
  <c r="K6030" i="2"/>
  <c r="G6030" i="2"/>
  <c r="E6030" i="2"/>
  <c r="B6030" i="2"/>
  <c r="S6029" i="2"/>
  <c r="M6029" i="2"/>
  <c r="L6029" i="2"/>
  <c r="K6029" i="2"/>
  <c r="G6029" i="2"/>
  <c r="E6029" i="2"/>
  <c r="B6029" i="2"/>
  <c r="S6028" i="2"/>
  <c r="M6028" i="2"/>
  <c r="L6028" i="2"/>
  <c r="K6028" i="2"/>
  <c r="G6028" i="2"/>
  <c r="E6028" i="2"/>
  <c r="B6028" i="2"/>
  <c r="S6027" i="2"/>
  <c r="M6027" i="2"/>
  <c r="L6027" i="2"/>
  <c r="K6027" i="2"/>
  <c r="G6027" i="2"/>
  <c r="E6027" i="2"/>
  <c r="B6027" i="2"/>
  <c r="S6026" i="2"/>
  <c r="M6026" i="2"/>
  <c r="L6026" i="2"/>
  <c r="K6026" i="2"/>
  <c r="H6026" i="2"/>
  <c r="G6026" i="2"/>
  <c r="E6026" i="2"/>
  <c r="B6026" i="2"/>
  <c r="S6025" i="2"/>
  <c r="M6025" i="2"/>
  <c r="L6025" i="2"/>
  <c r="K6025" i="2"/>
  <c r="G6025" i="2"/>
  <c r="E6025" i="2"/>
  <c r="B6025" i="2"/>
  <c r="S6024" i="2"/>
  <c r="M6024" i="2"/>
  <c r="L6024" i="2"/>
  <c r="K6024" i="2"/>
  <c r="G6024" i="2"/>
  <c r="E6024" i="2"/>
  <c r="B6024" i="2"/>
  <c r="S6023" i="2"/>
  <c r="M6023" i="2"/>
  <c r="L6023" i="2"/>
  <c r="K6023" i="2"/>
  <c r="H6023" i="2"/>
  <c r="G6023" i="2"/>
  <c r="E6023" i="2"/>
  <c r="B6023" i="2"/>
  <c r="S6022" i="2"/>
  <c r="M6022" i="2"/>
  <c r="L6022" i="2"/>
  <c r="K6022" i="2"/>
  <c r="G6022" i="2"/>
  <c r="E6022" i="2"/>
  <c r="B6022" i="2"/>
  <c r="S6021" i="2"/>
  <c r="M6021" i="2"/>
  <c r="L6021" i="2"/>
  <c r="K6021" i="2"/>
  <c r="H6021" i="2"/>
  <c r="G6021" i="2"/>
  <c r="E6021" i="2"/>
  <c r="B6021" i="2"/>
  <c r="S6020" i="2"/>
  <c r="M6020" i="2"/>
  <c r="L6020" i="2"/>
  <c r="K6020" i="2"/>
  <c r="H6020" i="2"/>
  <c r="G6020" i="2"/>
  <c r="E6020" i="2"/>
  <c r="B6020" i="2"/>
  <c r="S6019" i="2"/>
  <c r="M6019" i="2"/>
  <c r="L6019" i="2"/>
  <c r="K6019" i="2"/>
  <c r="G6019" i="2"/>
  <c r="E6019" i="2"/>
  <c r="B6019" i="2"/>
  <c r="S6018" i="2"/>
  <c r="M6018" i="2"/>
  <c r="L6018" i="2"/>
  <c r="K6018" i="2"/>
  <c r="H6018" i="2"/>
  <c r="G6018" i="2"/>
  <c r="E6018" i="2"/>
  <c r="B6018" i="2"/>
  <c r="S6017" i="2"/>
  <c r="M6017" i="2"/>
  <c r="L6017" i="2"/>
  <c r="K6017" i="2"/>
  <c r="H6017" i="2"/>
  <c r="G6017" i="2"/>
  <c r="E6017" i="2"/>
  <c r="B6017" i="2"/>
  <c r="S6016" i="2"/>
  <c r="M6016" i="2"/>
  <c r="L6016" i="2"/>
  <c r="K6016" i="2"/>
  <c r="G6016" i="2"/>
  <c r="E6016" i="2"/>
  <c r="B6016" i="2"/>
  <c r="S6015" i="2"/>
  <c r="M6015" i="2"/>
  <c r="L6015" i="2"/>
  <c r="K6015" i="2"/>
  <c r="G6015" i="2"/>
  <c r="E6015" i="2"/>
  <c r="B6015" i="2"/>
  <c r="S6014" i="2"/>
  <c r="M6014" i="2"/>
  <c r="L6014" i="2"/>
  <c r="K6014" i="2"/>
  <c r="H6014" i="2"/>
  <c r="G6014" i="2"/>
  <c r="E6014" i="2"/>
  <c r="B6014" i="2"/>
  <c r="S6013" i="2"/>
  <c r="M6013" i="2"/>
  <c r="L6013" i="2"/>
  <c r="K6013" i="2"/>
  <c r="G6013" i="2"/>
  <c r="E6013" i="2"/>
  <c r="B6013" i="2"/>
  <c r="S6012" i="2"/>
  <c r="M6012" i="2"/>
  <c r="L6012" i="2"/>
  <c r="K6012" i="2"/>
  <c r="G6012" i="2"/>
  <c r="E6012" i="2"/>
  <c r="B6012" i="2"/>
  <c r="S6011" i="2"/>
  <c r="M6011" i="2"/>
  <c r="L6011" i="2"/>
  <c r="K6011" i="2"/>
  <c r="G6011" i="2"/>
  <c r="E6011" i="2"/>
  <c r="B6011" i="2"/>
  <c r="S6010" i="2"/>
  <c r="M6010" i="2"/>
  <c r="L6010" i="2"/>
  <c r="K6010" i="2"/>
  <c r="H6010" i="2"/>
  <c r="G6010" i="2"/>
  <c r="E6010" i="2"/>
  <c r="B6010" i="2"/>
  <c r="S6009" i="2"/>
  <c r="M6009" i="2"/>
  <c r="L6009" i="2"/>
  <c r="K6009" i="2"/>
  <c r="G6009" i="2"/>
  <c r="E6009" i="2"/>
  <c r="B6009" i="2"/>
  <c r="S6008" i="2"/>
  <c r="M6008" i="2"/>
  <c r="L6008" i="2"/>
  <c r="K6008" i="2"/>
  <c r="G6008" i="2"/>
  <c r="E6008" i="2"/>
  <c r="B6008" i="2"/>
  <c r="S6007" i="2"/>
  <c r="M6007" i="2"/>
  <c r="L6007" i="2"/>
  <c r="K6007" i="2"/>
  <c r="G6007" i="2"/>
  <c r="E6007" i="2"/>
  <c r="B6007" i="2"/>
  <c r="S6006" i="2"/>
  <c r="M6006" i="2"/>
  <c r="L6006" i="2"/>
  <c r="K6006" i="2"/>
  <c r="G6006" i="2"/>
  <c r="E6006" i="2"/>
  <c r="B6006" i="2"/>
  <c r="S6005" i="2"/>
  <c r="M6005" i="2"/>
  <c r="L6005" i="2"/>
  <c r="K6005" i="2"/>
  <c r="H6005" i="2"/>
  <c r="G6005" i="2"/>
  <c r="E6005" i="2"/>
  <c r="B6005" i="2"/>
  <c r="S6004" i="2"/>
  <c r="M6004" i="2"/>
  <c r="L6004" i="2"/>
  <c r="K6004" i="2"/>
  <c r="H6004" i="2"/>
  <c r="G6004" i="2"/>
  <c r="E6004" i="2"/>
  <c r="B6004" i="2"/>
  <c r="S6003" i="2"/>
  <c r="M6003" i="2"/>
  <c r="L6003" i="2"/>
  <c r="K6003" i="2"/>
  <c r="G6003" i="2"/>
  <c r="E6003" i="2"/>
  <c r="B6003" i="2"/>
  <c r="S6002" i="2"/>
  <c r="M6002" i="2"/>
  <c r="L6002" i="2"/>
  <c r="K6002" i="2"/>
  <c r="H6002" i="2"/>
  <c r="G6002" i="2"/>
  <c r="E6002" i="2"/>
  <c r="B6002" i="2"/>
  <c r="S6001" i="2"/>
  <c r="M6001" i="2"/>
  <c r="L6001" i="2"/>
  <c r="K6001" i="2"/>
  <c r="G6001" i="2"/>
  <c r="E6001" i="2"/>
  <c r="B6001" i="2"/>
  <c r="S6000" i="2"/>
  <c r="M6000" i="2"/>
  <c r="L6000" i="2"/>
  <c r="K6000" i="2"/>
  <c r="G6000" i="2"/>
  <c r="E6000" i="2"/>
  <c r="B6000" i="2"/>
  <c r="S5999" i="2"/>
  <c r="M5999" i="2"/>
  <c r="L5999" i="2"/>
  <c r="K5999" i="2"/>
  <c r="H5999" i="2"/>
  <c r="G5999" i="2"/>
  <c r="E5999" i="2"/>
  <c r="B5999" i="2"/>
  <c r="S5998" i="2"/>
  <c r="M5998" i="2"/>
  <c r="L5998" i="2"/>
  <c r="K5998" i="2"/>
  <c r="G5998" i="2"/>
  <c r="E5998" i="2"/>
  <c r="B5998" i="2"/>
  <c r="S5997" i="2"/>
  <c r="M5997" i="2"/>
  <c r="L5997" i="2"/>
  <c r="K5997" i="2"/>
  <c r="H5997" i="2"/>
  <c r="G5997" i="2"/>
  <c r="E5997" i="2"/>
  <c r="B5997" i="2"/>
  <c r="S5996" i="2"/>
  <c r="M5996" i="2"/>
  <c r="L5996" i="2"/>
  <c r="K5996" i="2"/>
  <c r="G5996" i="2"/>
  <c r="E5996" i="2"/>
  <c r="B5996" i="2"/>
  <c r="S5995" i="2"/>
  <c r="M5995" i="2"/>
  <c r="L5995" i="2"/>
  <c r="K5995" i="2"/>
  <c r="G5995" i="2"/>
  <c r="E5995" i="2"/>
  <c r="B5995" i="2"/>
  <c r="S5994" i="2"/>
  <c r="M5994" i="2"/>
  <c r="L5994" i="2"/>
  <c r="K5994" i="2"/>
  <c r="H5994" i="2"/>
  <c r="G5994" i="2"/>
  <c r="E5994" i="2"/>
  <c r="B5994" i="2"/>
  <c r="S5993" i="2"/>
  <c r="M5993" i="2"/>
  <c r="L5993" i="2"/>
  <c r="K5993" i="2"/>
  <c r="G5993" i="2"/>
  <c r="E5993" i="2"/>
  <c r="B5993" i="2"/>
  <c r="S5992" i="2"/>
  <c r="M5992" i="2"/>
  <c r="L5992" i="2"/>
  <c r="K5992" i="2"/>
  <c r="H5992" i="2"/>
  <c r="G5992" i="2"/>
  <c r="E5992" i="2"/>
  <c r="B5992" i="2"/>
  <c r="S5991" i="2"/>
  <c r="M5991" i="2"/>
  <c r="L5991" i="2"/>
  <c r="K5991" i="2"/>
  <c r="G5991" i="2"/>
  <c r="E5991" i="2"/>
  <c r="B5991" i="2"/>
  <c r="S5990" i="2"/>
  <c r="M5990" i="2"/>
  <c r="L5990" i="2"/>
  <c r="K5990" i="2"/>
  <c r="H5990" i="2"/>
  <c r="G5990" i="2"/>
  <c r="E5990" i="2"/>
  <c r="B5990" i="2"/>
  <c r="S5989" i="2"/>
  <c r="M5989" i="2"/>
  <c r="L5989" i="2"/>
  <c r="K5989" i="2"/>
  <c r="H5989" i="2"/>
  <c r="G5989" i="2"/>
  <c r="E5989" i="2"/>
  <c r="B5989" i="2"/>
  <c r="S5988" i="2"/>
  <c r="M5988" i="2"/>
  <c r="L5988" i="2"/>
  <c r="K5988" i="2"/>
  <c r="G5988" i="2"/>
  <c r="E5988" i="2"/>
  <c r="B5988" i="2"/>
  <c r="S5987" i="2"/>
  <c r="M5987" i="2"/>
  <c r="L5987" i="2"/>
  <c r="K5987" i="2"/>
  <c r="H5987" i="2"/>
  <c r="G5987" i="2"/>
  <c r="E5987" i="2"/>
  <c r="B5987" i="2"/>
  <c r="S5986" i="2"/>
  <c r="M5986" i="2"/>
  <c r="L5986" i="2"/>
  <c r="K5986" i="2"/>
  <c r="H5986" i="2"/>
  <c r="G5986" i="2"/>
  <c r="E5986" i="2"/>
  <c r="B5986" i="2"/>
  <c r="S5985" i="2"/>
  <c r="M5985" i="2"/>
  <c r="L5985" i="2"/>
  <c r="K5985" i="2"/>
  <c r="H5985" i="2"/>
  <c r="G5985" i="2"/>
  <c r="E5985" i="2"/>
  <c r="B5985" i="2"/>
  <c r="S5984" i="2"/>
  <c r="M5984" i="2"/>
  <c r="L5984" i="2"/>
  <c r="K5984" i="2"/>
  <c r="G5984" i="2"/>
  <c r="E5984" i="2"/>
  <c r="B5984" i="2"/>
  <c r="S5983" i="2"/>
  <c r="M5983" i="2"/>
  <c r="L5983" i="2"/>
  <c r="K5983" i="2"/>
  <c r="G5983" i="2"/>
  <c r="E5983" i="2"/>
  <c r="B5983" i="2"/>
  <c r="S5982" i="2"/>
  <c r="M5982" i="2"/>
  <c r="L5982" i="2"/>
  <c r="K5982" i="2"/>
  <c r="G5982" i="2"/>
  <c r="E5982" i="2"/>
  <c r="B5982" i="2"/>
  <c r="S5981" i="2"/>
  <c r="M5981" i="2"/>
  <c r="L5981" i="2"/>
  <c r="K5981" i="2"/>
  <c r="G5981" i="2"/>
  <c r="E5981" i="2"/>
  <c r="B5981" i="2"/>
  <c r="S5980" i="2"/>
  <c r="M5980" i="2"/>
  <c r="L5980" i="2"/>
  <c r="K5980" i="2"/>
  <c r="H5980" i="2"/>
  <c r="G5980" i="2"/>
  <c r="E5980" i="2"/>
  <c r="B5980" i="2"/>
  <c r="S5979" i="2"/>
  <c r="M5979" i="2"/>
  <c r="L5979" i="2"/>
  <c r="K5979" i="2"/>
  <c r="G5979" i="2"/>
  <c r="E5979" i="2"/>
  <c r="B5979" i="2"/>
  <c r="S5978" i="2"/>
  <c r="M5978" i="2"/>
  <c r="L5978" i="2"/>
  <c r="K5978" i="2"/>
  <c r="G5978" i="2"/>
  <c r="E5978" i="2"/>
  <c r="B5978" i="2"/>
  <c r="S5977" i="2"/>
  <c r="M5977" i="2"/>
  <c r="L5977" i="2"/>
  <c r="K5977" i="2"/>
  <c r="G5977" i="2"/>
  <c r="E5977" i="2"/>
  <c r="B5977" i="2"/>
  <c r="S5976" i="2"/>
  <c r="M5976" i="2"/>
  <c r="L5976" i="2"/>
  <c r="K5976" i="2"/>
  <c r="G5976" i="2"/>
  <c r="E5976" i="2"/>
  <c r="B5976" i="2"/>
  <c r="S5975" i="2"/>
  <c r="M5975" i="2"/>
  <c r="L5975" i="2"/>
  <c r="K5975" i="2"/>
  <c r="G5975" i="2"/>
  <c r="E5975" i="2"/>
  <c r="B5975" i="2"/>
  <c r="S5974" i="2"/>
  <c r="M5974" i="2"/>
  <c r="L5974" i="2"/>
  <c r="K5974" i="2"/>
  <c r="G5974" i="2"/>
  <c r="E5974" i="2"/>
  <c r="B5974" i="2"/>
  <c r="S5973" i="2"/>
  <c r="M5973" i="2"/>
  <c r="L5973" i="2"/>
  <c r="K5973" i="2"/>
  <c r="G5973" i="2"/>
  <c r="E5973" i="2"/>
  <c r="B5973" i="2"/>
  <c r="S5972" i="2"/>
  <c r="M5972" i="2"/>
  <c r="L5972" i="2"/>
  <c r="K5972" i="2"/>
  <c r="H5972" i="2"/>
  <c r="G5972" i="2"/>
  <c r="E5972" i="2"/>
  <c r="B5972" i="2"/>
  <c r="S5971" i="2"/>
  <c r="M5971" i="2"/>
  <c r="L5971" i="2"/>
  <c r="K5971" i="2"/>
  <c r="G5971" i="2"/>
  <c r="E5971" i="2"/>
  <c r="B5971" i="2"/>
  <c r="S5970" i="2"/>
  <c r="M5970" i="2"/>
  <c r="L5970" i="2"/>
  <c r="K5970" i="2"/>
  <c r="G5970" i="2"/>
  <c r="E5970" i="2"/>
  <c r="B5970" i="2"/>
  <c r="S5969" i="2"/>
  <c r="M5969" i="2"/>
  <c r="L5969" i="2"/>
  <c r="K5969" i="2"/>
  <c r="G5969" i="2"/>
  <c r="E5969" i="2"/>
  <c r="B5969" i="2"/>
  <c r="S5968" i="2"/>
  <c r="M5968" i="2"/>
  <c r="L5968" i="2"/>
  <c r="K5968" i="2"/>
  <c r="H5968" i="2"/>
  <c r="G5968" i="2"/>
  <c r="E5968" i="2"/>
  <c r="B5968" i="2"/>
  <c r="S5967" i="2"/>
  <c r="M5967" i="2"/>
  <c r="L5967" i="2"/>
  <c r="K5967" i="2"/>
  <c r="G5967" i="2"/>
  <c r="E5967" i="2"/>
  <c r="B5967" i="2"/>
  <c r="S5966" i="2"/>
  <c r="M5966" i="2"/>
  <c r="L5966" i="2"/>
  <c r="K5966" i="2"/>
  <c r="H5966" i="2"/>
  <c r="G5966" i="2"/>
  <c r="E5966" i="2"/>
  <c r="B5966" i="2"/>
  <c r="S5965" i="2"/>
  <c r="M5965" i="2"/>
  <c r="L5965" i="2"/>
  <c r="K5965" i="2"/>
  <c r="H5965" i="2"/>
  <c r="G5965" i="2"/>
  <c r="E5965" i="2"/>
  <c r="B5965" i="2"/>
  <c r="S5964" i="2"/>
  <c r="M5964" i="2"/>
  <c r="L5964" i="2"/>
  <c r="K5964" i="2"/>
  <c r="H5964" i="2"/>
  <c r="G5964" i="2"/>
  <c r="E5964" i="2"/>
  <c r="B5964" i="2"/>
  <c r="S5963" i="2"/>
  <c r="M5963" i="2"/>
  <c r="L5963" i="2"/>
  <c r="K5963" i="2"/>
  <c r="G5963" i="2"/>
  <c r="E5963" i="2"/>
  <c r="B5963" i="2"/>
  <c r="S5962" i="2"/>
  <c r="M5962" i="2"/>
  <c r="L5962" i="2"/>
  <c r="K5962" i="2"/>
  <c r="G5962" i="2"/>
  <c r="E5962" i="2"/>
  <c r="B5962" i="2"/>
  <c r="S5961" i="2"/>
  <c r="M5961" i="2"/>
  <c r="L5961" i="2"/>
  <c r="K5961" i="2"/>
  <c r="G5961" i="2"/>
  <c r="E5961" i="2"/>
  <c r="B5961" i="2"/>
  <c r="S5960" i="2"/>
  <c r="M5960" i="2"/>
  <c r="L5960" i="2"/>
  <c r="K5960" i="2"/>
  <c r="G5960" i="2"/>
  <c r="E5960" i="2"/>
  <c r="B5960" i="2"/>
  <c r="S5959" i="2"/>
  <c r="M5959" i="2"/>
  <c r="L5959" i="2"/>
  <c r="K5959" i="2"/>
  <c r="G5959" i="2"/>
  <c r="E5959" i="2"/>
  <c r="B5959" i="2"/>
  <c r="S5958" i="2"/>
  <c r="M5958" i="2"/>
  <c r="L5958" i="2"/>
  <c r="K5958" i="2"/>
  <c r="G5958" i="2"/>
  <c r="E5958" i="2"/>
  <c r="B5958" i="2"/>
  <c r="S5957" i="2"/>
  <c r="M5957" i="2"/>
  <c r="L5957" i="2"/>
  <c r="K5957" i="2"/>
  <c r="H5957" i="2"/>
  <c r="G5957" i="2"/>
  <c r="E5957" i="2"/>
  <c r="B5957" i="2"/>
  <c r="S5956" i="2"/>
  <c r="M5956" i="2"/>
  <c r="L5956" i="2"/>
  <c r="K5956" i="2"/>
  <c r="H5956" i="2"/>
  <c r="G5956" i="2"/>
  <c r="E5956" i="2"/>
  <c r="B5956" i="2"/>
  <c r="S5955" i="2"/>
  <c r="M5955" i="2"/>
  <c r="L5955" i="2"/>
  <c r="K5955" i="2"/>
  <c r="H5955" i="2"/>
  <c r="G5955" i="2"/>
  <c r="E5955" i="2"/>
  <c r="B5955" i="2"/>
  <c r="S5954" i="2"/>
  <c r="M5954" i="2"/>
  <c r="L5954" i="2"/>
  <c r="K5954" i="2"/>
  <c r="G5954" i="2"/>
  <c r="E5954" i="2"/>
  <c r="B5954" i="2"/>
  <c r="S5953" i="2"/>
  <c r="M5953" i="2"/>
  <c r="L5953" i="2"/>
  <c r="K5953" i="2"/>
  <c r="G5953" i="2"/>
  <c r="E5953" i="2"/>
  <c r="B5953" i="2"/>
  <c r="S5952" i="2"/>
  <c r="M5952" i="2"/>
  <c r="L5952" i="2"/>
  <c r="K5952" i="2"/>
  <c r="H5952" i="2"/>
  <c r="G5952" i="2"/>
  <c r="E5952" i="2"/>
  <c r="B5952" i="2"/>
  <c r="S5951" i="2"/>
  <c r="M5951" i="2"/>
  <c r="L5951" i="2"/>
  <c r="K5951" i="2"/>
  <c r="G5951" i="2"/>
  <c r="E5951" i="2"/>
  <c r="B5951" i="2"/>
  <c r="S5950" i="2"/>
  <c r="M5950" i="2"/>
  <c r="L5950" i="2"/>
  <c r="K5950" i="2"/>
  <c r="G5950" i="2"/>
  <c r="E5950" i="2"/>
  <c r="B5950" i="2"/>
  <c r="S5949" i="2"/>
  <c r="M5949" i="2"/>
  <c r="L5949" i="2"/>
  <c r="K5949" i="2"/>
  <c r="H5949" i="2"/>
  <c r="G5949" i="2"/>
  <c r="E5949" i="2"/>
  <c r="B5949" i="2"/>
  <c r="S5948" i="2"/>
  <c r="M5948" i="2"/>
  <c r="L5948" i="2"/>
  <c r="K5948" i="2"/>
  <c r="G5948" i="2"/>
  <c r="E5948" i="2"/>
  <c r="B5948" i="2"/>
  <c r="S5947" i="2"/>
  <c r="M5947" i="2"/>
  <c r="L5947" i="2"/>
  <c r="K5947" i="2"/>
  <c r="G5947" i="2"/>
  <c r="E5947" i="2"/>
  <c r="B5947" i="2"/>
  <c r="S5946" i="2"/>
  <c r="M5946" i="2"/>
  <c r="L5946" i="2"/>
  <c r="K5946" i="2"/>
  <c r="G5946" i="2"/>
  <c r="E5946" i="2"/>
  <c r="B5946" i="2"/>
  <c r="S5945" i="2"/>
  <c r="M5945" i="2"/>
  <c r="L5945" i="2"/>
  <c r="K5945" i="2"/>
  <c r="G5945" i="2"/>
  <c r="E5945" i="2"/>
  <c r="B5945" i="2"/>
  <c r="S5944" i="2"/>
  <c r="M5944" i="2"/>
  <c r="L5944" i="2"/>
  <c r="K5944" i="2"/>
  <c r="G5944" i="2"/>
  <c r="E5944" i="2"/>
  <c r="B5944" i="2"/>
  <c r="S5943" i="2"/>
  <c r="M5943" i="2"/>
  <c r="L5943" i="2"/>
  <c r="K5943" i="2"/>
  <c r="H5943" i="2"/>
  <c r="G5943" i="2"/>
  <c r="E5943" i="2"/>
  <c r="B5943" i="2"/>
  <c r="S5942" i="2"/>
  <c r="M5942" i="2"/>
  <c r="L5942" i="2"/>
  <c r="K5942" i="2"/>
  <c r="H5942" i="2"/>
  <c r="G5942" i="2"/>
  <c r="E5942" i="2"/>
  <c r="B5942" i="2"/>
  <c r="S5941" i="2"/>
  <c r="M5941" i="2"/>
  <c r="L5941" i="2"/>
  <c r="K5941" i="2"/>
  <c r="H5941" i="2"/>
  <c r="G5941" i="2"/>
  <c r="E5941" i="2"/>
  <c r="B5941" i="2"/>
  <c r="S5940" i="2"/>
  <c r="M5940" i="2"/>
  <c r="L5940" i="2"/>
  <c r="K5940" i="2"/>
  <c r="H5940" i="2"/>
  <c r="G5940" i="2"/>
  <c r="E5940" i="2"/>
  <c r="B5940" i="2"/>
  <c r="S5939" i="2"/>
  <c r="M5939" i="2"/>
  <c r="L5939" i="2"/>
  <c r="K5939" i="2"/>
  <c r="G5939" i="2"/>
  <c r="E5939" i="2"/>
  <c r="B5939" i="2"/>
  <c r="S5938" i="2"/>
  <c r="M5938" i="2"/>
  <c r="L5938" i="2"/>
  <c r="K5938" i="2"/>
  <c r="G5938" i="2"/>
  <c r="E5938" i="2"/>
  <c r="B5938" i="2"/>
  <c r="S5937" i="2"/>
  <c r="M5937" i="2"/>
  <c r="L5937" i="2"/>
  <c r="K5937" i="2"/>
  <c r="H5937" i="2"/>
  <c r="G5937" i="2"/>
  <c r="E5937" i="2"/>
  <c r="B5937" i="2"/>
  <c r="S5936" i="2"/>
  <c r="M5936" i="2"/>
  <c r="L5936" i="2"/>
  <c r="K5936" i="2"/>
  <c r="G5936" i="2"/>
  <c r="E5936" i="2"/>
  <c r="B5936" i="2"/>
  <c r="S5935" i="2"/>
  <c r="M5935" i="2"/>
  <c r="L5935" i="2"/>
  <c r="K5935" i="2"/>
  <c r="G5935" i="2"/>
  <c r="E5935" i="2"/>
  <c r="B5935" i="2"/>
  <c r="S5934" i="2"/>
  <c r="M5934" i="2"/>
  <c r="L5934" i="2"/>
  <c r="K5934" i="2"/>
  <c r="G5934" i="2"/>
  <c r="E5934" i="2"/>
  <c r="B5934" i="2"/>
  <c r="S5933" i="2"/>
  <c r="M5933" i="2"/>
  <c r="L5933" i="2"/>
  <c r="K5933" i="2"/>
  <c r="G5933" i="2"/>
  <c r="E5933" i="2"/>
  <c r="B5933" i="2"/>
  <c r="S5932" i="2"/>
  <c r="M5932" i="2"/>
  <c r="L5932" i="2"/>
  <c r="K5932" i="2"/>
  <c r="G5932" i="2"/>
  <c r="E5932" i="2"/>
  <c r="B5932" i="2"/>
  <c r="S5931" i="2"/>
  <c r="M5931" i="2"/>
  <c r="L5931" i="2"/>
  <c r="K5931" i="2"/>
  <c r="G5931" i="2"/>
  <c r="E5931" i="2"/>
  <c r="B5931" i="2"/>
  <c r="S5930" i="2"/>
  <c r="M5930" i="2"/>
  <c r="L5930" i="2"/>
  <c r="K5930" i="2"/>
  <c r="G5930" i="2"/>
  <c r="E5930" i="2"/>
  <c r="B5930" i="2"/>
  <c r="S5929" i="2"/>
  <c r="M5929" i="2"/>
  <c r="L5929" i="2"/>
  <c r="K5929" i="2"/>
  <c r="G5929" i="2"/>
  <c r="E5929" i="2"/>
  <c r="B5929" i="2"/>
  <c r="S5928" i="2"/>
  <c r="M5928" i="2"/>
  <c r="L5928" i="2"/>
  <c r="K5928" i="2"/>
  <c r="G5928" i="2"/>
  <c r="E5928" i="2"/>
  <c r="B5928" i="2"/>
  <c r="S5927" i="2"/>
  <c r="M5927" i="2"/>
  <c r="L5927" i="2"/>
  <c r="K5927" i="2"/>
  <c r="H5927" i="2"/>
  <c r="G5927" i="2"/>
  <c r="E5927" i="2"/>
  <c r="B5927" i="2"/>
  <c r="S5926" i="2"/>
  <c r="M5926" i="2"/>
  <c r="L5926" i="2"/>
  <c r="K5926" i="2"/>
  <c r="G5926" i="2"/>
  <c r="E5926" i="2"/>
  <c r="B5926" i="2"/>
  <c r="S5925" i="2"/>
  <c r="M5925" i="2"/>
  <c r="L5925" i="2"/>
  <c r="K5925" i="2"/>
  <c r="G5925" i="2"/>
  <c r="E5925" i="2"/>
  <c r="B5925" i="2"/>
  <c r="S5924" i="2"/>
  <c r="M5924" i="2"/>
  <c r="L5924" i="2"/>
  <c r="K5924" i="2"/>
  <c r="G5924" i="2"/>
  <c r="E5924" i="2"/>
  <c r="B5924" i="2"/>
  <c r="S5923" i="2"/>
  <c r="M5923" i="2"/>
  <c r="L5923" i="2"/>
  <c r="K5923" i="2"/>
  <c r="H5923" i="2"/>
  <c r="G5923" i="2"/>
  <c r="E5923" i="2"/>
  <c r="B5923" i="2"/>
  <c r="S5922" i="2"/>
  <c r="M5922" i="2"/>
  <c r="L5922" i="2"/>
  <c r="K5922" i="2"/>
  <c r="G5922" i="2"/>
  <c r="E5922" i="2"/>
  <c r="B5922" i="2"/>
  <c r="S5921" i="2"/>
  <c r="M5921" i="2"/>
  <c r="L5921" i="2"/>
  <c r="K5921" i="2"/>
  <c r="G5921" i="2"/>
  <c r="E5921" i="2"/>
  <c r="B5921" i="2"/>
  <c r="S5920" i="2"/>
  <c r="M5920" i="2"/>
  <c r="L5920" i="2"/>
  <c r="K5920" i="2"/>
  <c r="H5920" i="2"/>
  <c r="G5920" i="2"/>
  <c r="E5920" i="2"/>
  <c r="B5920" i="2"/>
  <c r="S5919" i="2"/>
  <c r="M5919" i="2"/>
  <c r="L5919" i="2"/>
  <c r="K5919" i="2"/>
  <c r="G5919" i="2"/>
  <c r="E5919" i="2"/>
  <c r="B5919" i="2"/>
  <c r="S5918" i="2"/>
  <c r="M5918" i="2"/>
  <c r="L5918" i="2"/>
  <c r="K5918" i="2"/>
  <c r="H5918" i="2"/>
  <c r="G5918" i="2"/>
  <c r="E5918" i="2"/>
  <c r="B5918" i="2"/>
  <c r="S5917" i="2"/>
  <c r="M5917" i="2"/>
  <c r="L5917" i="2"/>
  <c r="K5917" i="2"/>
  <c r="G5917" i="2"/>
  <c r="E5917" i="2"/>
  <c r="B5917" i="2"/>
  <c r="S5916" i="2"/>
  <c r="M5916" i="2"/>
  <c r="L5916" i="2"/>
  <c r="K5916" i="2"/>
  <c r="G5916" i="2"/>
  <c r="E5916" i="2"/>
  <c r="B5916" i="2"/>
  <c r="S5915" i="2"/>
  <c r="M5915" i="2"/>
  <c r="L5915" i="2"/>
  <c r="K5915" i="2"/>
  <c r="G5915" i="2"/>
  <c r="E5915" i="2"/>
  <c r="B5915" i="2"/>
  <c r="S5914" i="2"/>
  <c r="M5914" i="2"/>
  <c r="L5914" i="2"/>
  <c r="K5914" i="2"/>
  <c r="G5914" i="2"/>
  <c r="E5914" i="2"/>
  <c r="B5914" i="2"/>
  <c r="S5913" i="2"/>
  <c r="M5913" i="2"/>
  <c r="L5913" i="2"/>
  <c r="K5913" i="2"/>
  <c r="G5913" i="2"/>
  <c r="E5913" i="2"/>
  <c r="B5913" i="2"/>
  <c r="S5912" i="2"/>
  <c r="M5912" i="2"/>
  <c r="L5912" i="2"/>
  <c r="K5912" i="2"/>
  <c r="G5912" i="2"/>
  <c r="E5912" i="2"/>
  <c r="B5912" i="2"/>
  <c r="S5911" i="2"/>
  <c r="M5911" i="2"/>
  <c r="L5911" i="2"/>
  <c r="K5911" i="2"/>
  <c r="G5911" i="2"/>
  <c r="E5911" i="2"/>
  <c r="B5911" i="2"/>
  <c r="S5910" i="2"/>
  <c r="M5910" i="2"/>
  <c r="L5910" i="2"/>
  <c r="K5910" i="2"/>
  <c r="G5910" i="2"/>
  <c r="E5910" i="2"/>
  <c r="B5910" i="2"/>
  <c r="S5909" i="2"/>
  <c r="M5909" i="2"/>
  <c r="L5909" i="2"/>
  <c r="K5909" i="2"/>
  <c r="G5909" i="2"/>
  <c r="E5909" i="2"/>
  <c r="B5909" i="2"/>
  <c r="S5908" i="2"/>
  <c r="M5908" i="2"/>
  <c r="L5908" i="2"/>
  <c r="K5908" i="2"/>
  <c r="G5908" i="2"/>
  <c r="E5908" i="2"/>
  <c r="B5908" i="2"/>
  <c r="S5907" i="2"/>
  <c r="M5907" i="2"/>
  <c r="L5907" i="2"/>
  <c r="K5907" i="2"/>
  <c r="G5907" i="2"/>
  <c r="E5907" i="2"/>
  <c r="B5907" i="2"/>
  <c r="S5906" i="2"/>
  <c r="M5906" i="2"/>
  <c r="L5906" i="2"/>
  <c r="K5906" i="2"/>
  <c r="H5906" i="2"/>
  <c r="G5906" i="2"/>
  <c r="E5906" i="2"/>
  <c r="B5906" i="2"/>
  <c r="S5905" i="2"/>
  <c r="M5905" i="2"/>
  <c r="L5905" i="2"/>
  <c r="K5905" i="2"/>
  <c r="H5905" i="2"/>
  <c r="G5905" i="2"/>
  <c r="E5905" i="2"/>
  <c r="B5905" i="2"/>
  <c r="S5904" i="2"/>
  <c r="M5904" i="2"/>
  <c r="L5904" i="2"/>
  <c r="K5904" i="2"/>
  <c r="H5904" i="2"/>
  <c r="G5904" i="2"/>
  <c r="E5904" i="2"/>
  <c r="B5904" i="2"/>
  <c r="S5903" i="2"/>
  <c r="M5903" i="2"/>
  <c r="L5903" i="2"/>
  <c r="K5903" i="2"/>
  <c r="G5903" i="2"/>
  <c r="E5903" i="2"/>
  <c r="B5903" i="2"/>
  <c r="S5902" i="2"/>
  <c r="M5902" i="2"/>
  <c r="L5902" i="2"/>
  <c r="K5902" i="2"/>
  <c r="G5902" i="2"/>
  <c r="E5902" i="2"/>
  <c r="B5902" i="2"/>
  <c r="S5901" i="2"/>
  <c r="M5901" i="2"/>
  <c r="L5901" i="2"/>
  <c r="K5901" i="2"/>
  <c r="G5901" i="2"/>
  <c r="E5901" i="2"/>
  <c r="B5901" i="2"/>
  <c r="S5900" i="2"/>
  <c r="M5900" i="2"/>
  <c r="L5900" i="2"/>
  <c r="K5900" i="2"/>
  <c r="G5900" i="2"/>
  <c r="E5900" i="2"/>
  <c r="B5900" i="2"/>
  <c r="S5899" i="2"/>
  <c r="M5899" i="2"/>
  <c r="L5899" i="2"/>
  <c r="K5899" i="2"/>
  <c r="G5899" i="2"/>
  <c r="E5899" i="2"/>
  <c r="B5899" i="2"/>
  <c r="S5898" i="2"/>
  <c r="M5898" i="2"/>
  <c r="L5898" i="2"/>
  <c r="K5898" i="2"/>
  <c r="G5898" i="2"/>
  <c r="E5898" i="2"/>
  <c r="B5898" i="2"/>
  <c r="S5897" i="2"/>
  <c r="M5897" i="2"/>
  <c r="L5897" i="2"/>
  <c r="K5897" i="2"/>
  <c r="G5897" i="2"/>
  <c r="E5897" i="2"/>
  <c r="B5897" i="2"/>
  <c r="S5896" i="2"/>
  <c r="M5896" i="2"/>
  <c r="L5896" i="2"/>
  <c r="K5896" i="2"/>
  <c r="G5896" i="2"/>
  <c r="E5896" i="2"/>
  <c r="B5896" i="2"/>
  <c r="S5895" i="2"/>
  <c r="M5895" i="2"/>
  <c r="L5895" i="2"/>
  <c r="K5895" i="2"/>
  <c r="G5895" i="2"/>
  <c r="E5895" i="2"/>
  <c r="B5895" i="2"/>
  <c r="S5894" i="2"/>
  <c r="M5894" i="2"/>
  <c r="L5894" i="2"/>
  <c r="K5894" i="2"/>
  <c r="G5894" i="2"/>
  <c r="E5894" i="2"/>
  <c r="B5894" i="2"/>
  <c r="S5893" i="2"/>
  <c r="M5893" i="2"/>
  <c r="L5893" i="2"/>
  <c r="K5893" i="2"/>
  <c r="G5893" i="2"/>
  <c r="E5893" i="2"/>
  <c r="B5893" i="2"/>
  <c r="S5892" i="2"/>
  <c r="M5892" i="2"/>
  <c r="L5892" i="2"/>
  <c r="K5892" i="2"/>
  <c r="G5892" i="2"/>
  <c r="E5892" i="2"/>
  <c r="B5892" i="2"/>
  <c r="S5891" i="2"/>
  <c r="M5891" i="2"/>
  <c r="L5891" i="2"/>
  <c r="K5891" i="2"/>
  <c r="G5891" i="2"/>
  <c r="E5891" i="2"/>
  <c r="B5891" i="2"/>
  <c r="S5890" i="2"/>
  <c r="M5890" i="2"/>
  <c r="L5890" i="2"/>
  <c r="K5890" i="2"/>
  <c r="G5890" i="2"/>
  <c r="E5890" i="2"/>
  <c r="B5890" i="2"/>
  <c r="S5889" i="2"/>
  <c r="M5889" i="2"/>
  <c r="L5889" i="2"/>
  <c r="K5889" i="2"/>
  <c r="G5889" i="2"/>
  <c r="E5889" i="2"/>
  <c r="B5889" i="2"/>
  <c r="S5888" i="2"/>
  <c r="M5888" i="2"/>
  <c r="L5888" i="2"/>
  <c r="K5888" i="2"/>
  <c r="H5888" i="2"/>
  <c r="G5888" i="2"/>
  <c r="E5888" i="2"/>
  <c r="B5888" i="2"/>
  <c r="S5887" i="2"/>
  <c r="M5887" i="2"/>
  <c r="L5887" i="2"/>
  <c r="K5887" i="2"/>
  <c r="G5887" i="2"/>
  <c r="E5887" i="2"/>
  <c r="B5887" i="2"/>
  <c r="S5886" i="2"/>
  <c r="M5886" i="2"/>
  <c r="L5886" i="2"/>
  <c r="K5886" i="2"/>
  <c r="G5886" i="2"/>
  <c r="E5886" i="2"/>
  <c r="B5886" i="2"/>
  <c r="S5885" i="2"/>
  <c r="M5885" i="2"/>
  <c r="L5885" i="2"/>
  <c r="K5885" i="2"/>
  <c r="H5885" i="2"/>
  <c r="G5885" i="2"/>
  <c r="E5885" i="2"/>
  <c r="B5885" i="2"/>
  <c r="S5884" i="2"/>
  <c r="M5884" i="2"/>
  <c r="L5884" i="2"/>
  <c r="K5884" i="2"/>
  <c r="H5884" i="2"/>
  <c r="G5884" i="2"/>
  <c r="E5884" i="2"/>
  <c r="B5884" i="2"/>
  <c r="S5883" i="2"/>
  <c r="M5883" i="2"/>
  <c r="L5883" i="2"/>
  <c r="K5883" i="2"/>
  <c r="G5883" i="2"/>
  <c r="E5883" i="2"/>
  <c r="B5883" i="2"/>
  <c r="S5882" i="2"/>
  <c r="M5882" i="2"/>
  <c r="L5882" i="2"/>
  <c r="K5882" i="2"/>
  <c r="G5882" i="2"/>
  <c r="E5882" i="2"/>
  <c r="B5882" i="2"/>
  <c r="S5881" i="2"/>
  <c r="M5881" i="2"/>
  <c r="L5881" i="2"/>
  <c r="K5881" i="2"/>
  <c r="H5881" i="2"/>
  <c r="G5881" i="2"/>
  <c r="E5881" i="2"/>
  <c r="B5881" i="2"/>
  <c r="S5880" i="2"/>
  <c r="M5880" i="2"/>
  <c r="L5880" i="2"/>
  <c r="K5880" i="2"/>
  <c r="G5880" i="2"/>
  <c r="E5880" i="2"/>
  <c r="B5880" i="2"/>
  <c r="S5879" i="2"/>
  <c r="M5879" i="2"/>
  <c r="L5879" i="2"/>
  <c r="K5879" i="2"/>
  <c r="G5879" i="2"/>
  <c r="E5879" i="2"/>
  <c r="B5879" i="2"/>
  <c r="S5878" i="2"/>
  <c r="M5878" i="2"/>
  <c r="L5878" i="2"/>
  <c r="K5878" i="2"/>
  <c r="G5878" i="2"/>
  <c r="E5878" i="2"/>
  <c r="B5878" i="2"/>
  <c r="S5877" i="2"/>
  <c r="M5877" i="2"/>
  <c r="L5877" i="2"/>
  <c r="K5877" i="2"/>
  <c r="H5877" i="2"/>
  <c r="G5877" i="2"/>
  <c r="E5877" i="2"/>
  <c r="B5877" i="2"/>
  <c r="S5876" i="2"/>
  <c r="M5876" i="2"/>
  <c r="L5876" i="2"/>
  <c r="K5876" i="2"/>
  <c r="H5876" i="2"/>
  <c r="G5876" i="2"/>
  <c r="E5876" i="2"/>
  <c r="B5876" i="2"/>
  <c r="S5875" i="2"/>
  <c r="M5875" i="2"/>
  <c r="L5875" i="2"/>
  <c r="K5875" i="2"/>
  <c r="H5875" i="2"/>
  <c r="G5875" i="2"/>
  <c r="E5875" i="2"/>
  <c r="B5875" i="2"/>
  <c r="S5874" i="2"/>
  <c r="M5874" i="2"/>
  <c r="L5874" i="2"/>
  <c r="K5874" i="2"/>
  <c r="G5874" i="2"/>
  <c r="E5874" i="2"/>
  <c r="B5874" i="2"/>
  <c r="S5873" i="2"/>
  <c r="M5873" i="2"/>
  <c r="L5873" i="2"/>
  <c r="K5873" i="2"/>
  <c r="G5873" i="2"/>
  <c r="E5873" i="2"/>
  <c r="B5873" i="2"/>
  <c r="S5872" i="2"/>
  <c r="M5872" i="2"/>
  <c r="L5872" i="2"/>
  <c r="K5872" i="2"/>
  <c r="G5872" i="2"/>
  <c r="E5872" i="2"/>
  <c r="B5872" i="2"/>
  <c r="S5871" i="2"/>
  <c r="M5871" i="2"/>
  <c r="L5871" i="2"/>
  <c r="K5871" i="2"/>
  <c r="G5871" i="2"/>
  <c r="E5871" i="2"/>
  <c r="B5871" i="2"/>
  <c r="S5870" i="2"/>
  <c r="M5870" i="2"/>
  <c r="L5870" i="2"/>
  <c r="K5870" i="2"/>
  <c r="G5870" i="2"/>
  <c r="E5870" i="2"/>
  <c r="B5870" i="2"/>
  <c r="S5869" i="2"/>
  <c r="M5869" i="2"/>
  <c r="L5869" i="2"/>
  <c r="K5869" i="2"/>
  <c r="G5869" i="2"/>
  <c r="E5869" i="2"/>
  <c r="B5869" i="2"/>
  <c r="S5868" i="2"/>
  <c r="M5868" i="2"/>
  <c r="L5868" i="2"/>
  <c r="K5868" i="2"/>
  <c r="G5868" i="2"/>
  <c r="E5868" i="2"/>
  <c r="B5868" i="2"/>
  <c r="S5867" i="2"/>
  <c r="M5867" i="2"/>
  <c r="L5867" i="2"/>
  <c r="K5867" i="2"/>
  <c r="G5867" i="2"/>
  <c r="E5867" i="2"/>
  <c r="B5867" i="2"/>
  <c r="S5866" i="2"/>
  <c r="M5866" i="2"/>
  <c r="L5866" i="2"/>
  <c r="K5866" i="2"/>
  <c r="H5866" i="2"/>
  <c r="G5866" i="2"/>
  <c r="E5866" i="2"/>
  <c r="B5866" i="2"/>
  <c r="S5865" i="2"/>
  <c r="M5865" i="2"/>
  <c r="L5865" i="2"/>
  <c r="K5865" i="2"/>
  <c r="G5865" i="2"/>
  <c r="E5865" i="2"/>
  <c r="B5865" i="2"/>
  <c r="S5864" i="2"/>
  <c r="M5864" i="2"/>
  <c r="L5864" i="2"/>
  <c r="K5864" i="2"/>
  <c r="G5864" i="2"/>
  <c r="E5864" i="2"/>
  <c r="B5864" i="2"/>
  <c r="S5863" i="2"/>
  <c r="M5863" i="2"/>
  <c r="L5863" i="2"/>
  <c r="K5863" i="2"/>
  <c r="G5863" i="2"/>
  <c r="E5863" i="2"/>
  <c r="B5863" i="2"/>
  <c r="S5862" i="2"/>
  <c r="M5862" i="2"/>
  <c r="L5862" i="2"/>
  <c r="K5862" i="2"/>
  <c r="G5862" i="2"/>
  <c r="E5862" i="2"/>
  <c r="B5862" i="2"/>
  <c r="S5861" i="2"/>
  <c r="M5861" i="2"/>
  <c r="L5861" i="2"/>
  <c r="K5861" i="2"/>
  <c r="G5861" i="2"/>
  <c r="E5861" i="2"/>
  <c r="B5861" i="2"/>
  <c r="S5860" i="2"/>
  <c r="M5860" i="2"/>
  <c r="L5860" i="2"/>
  <c r="K5860" i="2"/>
  <c r="G5860" i="2"/>
  <c r="E5860" i="2"/>
  <c r="B5860" i="2"/>
  <c r="S5859" i="2"/>
  <c r="M5859" i="2"/>
  <c r="L5859" i="2"/>
  <c r="K5859" i="2"/>
  <c r="H5859" i="2"/>
  <c r="G5859" i="2"/>
  <c r="E5859" i="2"/>
  <c r="B5859" i="2"/>
  <c r="S5858" i="2"/>
  <c r="M5858" i="2"/>
  <c r="L5858" i="2"/>
  <c r="K5858" i="2"/>
  <c r="G5858" i="2"/>
  <c r="E5858" i="2"/>
  <c r="B5858" i="2"/>
  <c r="S5857" i="2"/>
  <c r="M5857" i="2"/>
  <c r="L5857" i="2"/>
  <c r="K5857" i="2"/>
  <c r="G5857" i="2"/>
  <c r="E5857" i="2"/>
  <c r="B5857" i="2"/>
  <c r="S5856" i="2"/>
  <c r="M5856" i="2"/>
  <c r="L5856" i="2"/>
  <c r="K5856" i="2"/>
  <c r="H5856" i="2"/>
  <c r="G5856" i="2"/>
  <c r="E5856" i="2"/>
  <c r="B5856" i="2"/>
  <c r="S5855" i="2"/>
  <c r="M5855" i="2"/>
  <c r="L5855" i="2"/>
  <c r="K5855" i="2"/>
  <c r="H5855" i="2"/>
  <c r="G5855" i="2"/>
  <c r="E5855" i="2"/>
  <c r="B5855" i="2"/>
  <c r="S5854" i="2"/>
  <c r="M5854" i="2"/>
  <c r="L5854" i="2"/>
  <c r="K5854" i="2"/>
  <c r="G5854" i="2"/>
  <c r="E5854" i="2"/>
  <c r="B5854" i="2"/>
  <c r="S5853" i="2"/>
  <c r="M5853" i="2"/>
  <c r="L5853" i="2"/>
  <c r="K5853" i="2"/>
  <c r="H5853" i="2"/>
  <c r="G5853" i="2"/>
  <c r="E5853" i="2"/>
  <c r="B5853" i="2"/>
  <c r="S5852" i="2"/>
  <c r="M5852" i="2"/>
  <c r="L5852" i="2"/>
  <c r="K5852" i="2"/>
  <c r="G5852" i="2"/>
  <c r="E5852" i="2"/>
  <c r="B5852" i="2"/>
  <c r="S5851" i="2"/>
  <c r="M5851" i="2"/>
  <c r="L5851" i="2"/>
  <c r="K5851" i="2"/>
  <c r="G5851" i="2"/>
  <c r="E5851" i="2"/>
  <c r="B5851" i="2"/>
  <c r="S5850" i="2"/>
  <c r="M5850" i="2"/>
  <c r="L5850" i="2"/>
  <c r="K5850" i="2"/>
  <c r="G5850" i="2"/>
  <c r="E5850" i="2"/>
  <c r="B5850" i="2"/>
  <c r="S5849" i="2"/>
  <c r="M5849" i="2"/>
  <c r="L5849" i="2"/>
  <c r="K5849" i="2"/>
  <c r="G5849" i="2"/>
  <c r="E5849" i="2"/>
  <c r="B5849" i="2"/>
  <c r="S5848" i="2"/>
  <c r="M5848" i="2"/>
  <c r="L5848" i="2"/>
  <c r="K5848" i="2"/>
  <c r="H5848" i="2"/>
  <c r="G5848" i="2"/>
  <c r="E5848" i="2"/>
  <c r="B5848" i="2"/>
  <c r="S5847" i="2"/>
  <c r="M5847" i="2"/>
  <c r="L5847" i="2"/>
  <c r="K5847" i="2"/>
  <c r="H5847" i="2"/>
  <c r="G5847" i="2"/>
  <c r="E5847" i="2"/>
  <c r="B5847" i="2"/>
  <c r="S5846" i="2"/>
  <c r="M5846" i="2"/>
  <c r="L5846" i="2"/>
  <c r="K5846" i="2"/>
  <c r="G5846" i="2"/>
  <c r="E5846" i="2"/>
  <c r="B5846" i="2"/>
  <c r="S5845" i="2"/>
  <c r="M5845" i="2"/>
  <c r="L5845" i="2"/>
  <c r="K5845" i="2"/>
  <c r="H5845" i="2"/>
  <c r="G5845" i="2"/>
  <c r="E5845" i="2"/>
  <c r="B5845" i="2"/>
  <c r="S5844" i="2"/>
  <c r="M5844" i="2"/>
  <c r="L5844" i="2"/>
  <c r="K5844" i="2"/>
  <c r="G5844" i="2"/>
  <c r="E5844" i="2"/>
  <c r="B5844" i="2"/>
  <c r="S5843" i="2"/>
  <c r="M5843" i="2"/>
  <c r="L5843" i="2"/>
  <c r="K5843" i="2"/>
  <c r="H5843" i="2"/>
  <c r="G5843" i="2"/>
  <c r="E5843" i="2"/>
  <c r="B5843" i="2"/>
  <c r="S5842" i="2"/>
  <c r="M5842" i="2"/>
  <c r="L5842" i="2"/>
  <c r="K5842" i="2"/>
  <c r="H5842" i="2"/>
  <c r="G5842" i="2"/>
  <c r="E5842" i="2"/>
  <c r="B5842" i="2"/>
  <c r="S5841" i="2"/>
  <c r="M5841" i="2"/>
  <c r="L5841" i="2"/>
  <c r="K5841" i="2"/>
  <c r="G5841" i="2"/>
  <c r="E5841" i="2"/>
  <c r="B5841" i="2"/>
  <c r="S5840" i="2"/>
  <c r="M5840" i="2"/>
  <c r="L5840" i="2"/>
  <c r="K5840" i="2"/>
  <c r="G5840" i="2"/>
  <c r="E5840" i="2"/>
  <c r="B5840" i="2"/>
  <c r="S5839" i="2"/>
  <c r="M5839" i="2"/>
  <c r="L5839" i="2"/>
  <c r="K5839" i="2"/>
  <c r="G5839" i="2"/>
  <c r="E5839" i="2"/>
  <c r="B5839" i="2"/>
  <c r="S5838" i="2"/>
  <c r="M5838" i="2"/>
  <c r="L5838" i="2"/>
  <c r="K5838" i="2"/>
  <c r="G5838" i="2"/>
  <c r="E5838" i="2"/>
  <c r="B5838" i="2"/>
  <c r="S5837" i="2"/>
  <c r="M5837" i="2"/>
  <c r="L5837" i="2"/>
  <c r="K5837" i="2"/>
  <c r="G5837" i="2"/>
  <c r="E5837" i="2"/>
  <c r="B5837" i="2"/>
  <c r="S5836" i="2"/>
  <c r="M5836" i="2"/>
  <c r="L5836" i="2"/>
  <c r="K5836" i="2"/>
  <c r="H5836" i="2"/>
  <c r="G5836" i="2"/>
  <c r="E5836" i="2"/>
  <c r="B5836" i="2"/>
  <c r="S5835" i="2"/>
  <c r="M5835" i="2"/>
  <c r="L5835" i="2"/>
  <c r="K5835" i="2"/>
  <c r="G5835" i="2"/>
  <c r="E5835" i="2"/>
  <c r="B5835" i="2"/>
  <c r="S5834" i="2"/>
  <c r="M5834" i="2"/>
  <c r="L5834" i="2"/>
  <c r="K5834" i="2"/>
  <c r="G5834" i="2"/>
  <c r="E5834" i="2"/>
  <c r="B5834" i="2"/>
  <c r="S5833" i="2"/>
  <c r="M5833" i="2"/>
  <c r="L5833" i="2"/>
  <c r="K5833" i="2"/>
  <c r="H5833" i="2"/>
  <c r="G5833" i="2"/>
  <c r="E5833" i="2"/>
  <c r="B5833" i="2"/>
  <c r="S5832" i="2"/>
  <c r="M5832" i="2"/>
  <c r="L5832" i="2"/>
  <c r="K5832" i="2"/>
  <c r="H5832" i="2"/>
  <c r="G5832" i="2"/>
  <c r="E5832" i="2"/>
  <c r="B5832" i="2"/>
  <c r="S5831" i="2"/>
  <c r="M5831" i="2"/>
  <c r="L5831" i="2"/>
  <c r="K5831" i="2"/>
  <c r="G5831" i="2"/>
  <c r="E5831" i="2"/>
  <c r="B5831" i="2"/>
  <c r="S5830" i="2"/>
  <c r="M5830" i="2"/>
  <c r="L5830" i="2"/>
  <c r="K5830" i="2"/>
  <c r="G5830" i="2"/>
  <c r="E5830" i="2"/>
  <c r="B5830" i="2"/>
  <c r="S5829" i="2"/>
  <c r="M5829" i="2"/>
  <c r="L5829" i="2"/>
  <c r="K5829" i="2"/>
  <c r="G5829" i="2"/>
  <c r="E5829" i="2"/>
  <c r="B5829" i="2"/>
  <c r="S5828" i="2"/>
  <c r="M5828" i="2"/>
  <c r="L5828" i="2"/>
  <c r="K5828" i="2"/>
  <c r="G5828" i="2"/>
  <c r="E5828" i="2"/>
  <c r="B5828" i="2"/>
  <c r="S5827" i="2"/>
  <c r="M5827" i="2"/>
  <c r="L5827" i="2"/>
  <c r="K5827" i="2"/>
  <c r="H5827" i="2"/>
  <c r="G5827" i="2"/>
  <c r="E5827" i="2"/>
  <c r="B5827" i="2"/>
  <c r="S5826" i="2"/>
  <c r="M5826" i="2"/>
  <c r="L5826" i="2"/>
  <c r="K5826" i="2"/>
  <c r="H5826" i="2"/>
  <c r="G5826" i="2"/>
  <c r="E5826" i="2"/>
  <c r="B5826" i="2"/>
  <c r="S5825" i="2"/>
  <c r="M5825" i="2"/>
  <c r="L5825" i="2"/>
  <c r="K5825" i="2"/>
  <c r="H5825" i="2"/>
  <c r="G5825" i="2"/>
  <c r="E5825" i="2"/>
  <c r="B5825" i="2"/>
  <c r="S5824" i="2"/>
  <c r="M5824" i="2"/>
  <c r="L5824" i="2"/>
  <c r="K5824" i="2"/>
  <c r="H5824" i="2"/>
  <c r="G5824" i="2"/>
  <c r="E5824" i="2"/>
  <c r="B5824" i="2"/>
  <c r="S5823" i="2"/>
  <c r="M5823" i="2"/>
  <c r="L5823" i="2"/>
  <c r="K5823" i="2"/>
  <c r="H5823" i="2"/>
  <c r="G5823" i="2"/>
  <c r="E5823" i="2"/>
  <c r="B5823" i="2"/>
  <c r="S5822" i="2"/>
  <c r="M5822" i="2"/>
  <c r="L5822" i="2"/>
  <c r="K5822" i="2"/>
  <c r="H5822" i="2"/>
  <c r="G5822" i="2"/>
  <c r="E5822" i="2"/>
  <c r="B5822" i="2"/>
  <c r="S5821" i="2"/>
  <c r="M5821" i="2"/>
  <c r="L5821" i="2"/>
  <c r="K5821" i="2"/>
  <c r="H5821" i="2"/>
  <c r="G5821" i="2"/>
  <c r="E5821" i="2"/>
  <c r="B5821" i="2"/>
  <c r="S5820" i="2"/>
  <c r="M5820" i="2"/>
  <c r="L5820" i="2"/>
  <c r="K5820" i="2"/>
  <c r="G5820" i="2"/>
  <c r="E5820" i="2"/>
  <c r="B5820" i="2"/>
  <c r="S5819" i="2"/>
  <c r="M5819" i="2"/>
  <c r="L5819" i="2"/>
  <c r="K5819" i="2"/>
  <c r="G5819" i="2"/>
  <c r="E5819" i="2"/>
  <c r="B5819" i="2"/>
  <c r="S5818" i="2"/>
  <c r="M5818" i="2"/>
  <c r="L5818" i="2"/>
  <c r="K5818" i="2"/>
  <c r="G5818" i="2"/>
  <c r="E5818" i="2"/>
  <c r="B5818" i="2"/>
  <c r="S5817" i="2"/>
  <c r="M5817" i="2"/>
  <c r="L5817" i="2"/>
  <c r="K5817" i="2"/>
  <c r="G5817" i="2"/>
  <c r="E5817" i="2"/>
  <c r="B5817" i="2"/>
  <c r="S5816" i="2"/>
  <c r="M5816" i="2"/>
  <c r="L5816" i="2"/>
  <c r="K5816" i="2"/>
  <c r="H5816" i="2"/>
  <c r="G5816" i="2"/>
  <c r="E5816" i="2"/>
  <c r="B5816" i="2"/>
  <c r="S5815" i="2"/>
  <c r="M5815" i="2"/>
  <c r="L5815" i="2"/>
  <c r="K5815" i="2"/>
  <c r="G5815" i="2"/>
  <c r="E5815" i="2"/>
  <c r="B5815" i="2"/>
  <c r="S5814" i="2"/>
  <c r="M5814" i="2"/>
  <c r="L5814" i="2"/>
  <c r="K5814" i="2"/>
  <c r="H5814" i="2"/>
  <c r="G5814" i="2"/>
  <c r="E5814" i="2"/>
  <c r="B5814" i="2"/>
  <c r="S5813" i="2"/>
  <c r="M5813" i="2"/>
  <c r="L5813" i="2"/>
  <c r="K5813" i="2"/>
  <c r="H5813" i="2"/>
  <c r="G5813" i="2"/>
  <c r="E5813" i="2"/>
  <c r="B5813" i="2"/>
  <c r="S5812" i="2"/>
  <c r="M5812" i="2"/>
  <c r="L5812" i="2"/>
  <c r="K5812" i="2"/>
  <c r="H5812" i="2"/>
  <c r="G5812" i="2"/>
  <c r="E5812" i="2"/>
  <c r="B5812" i="2"/>
  <c r="S5811" i="2"/>
  <c r="M5811" i="2"/>
  <c r="L5811" i="2"/>
  <c r="K5811" i="2"/>
  <c r="G5811" i="2"/>
  <c r="E5811" i="2"/>
  <c r="B5811" i="2"/>
  <c r="S5810" i="2"/>
  <c r="M5810" i="2"/>
  <c r="L5810" i="2"/>
  <c r="K5810" i="2"/>
  <c r="H5810" i="2"/>
  <c r="G5810" i="2"/>
  <c r="E5810" i="2"/>
  <c r="B5810" i="2"/>
  <c r="S5809" i="2"/>
  <c r="M5809" i="2"/>
  <c r="L5809" i="2"/>
  <c r="K5809" i="2"/>
  <c r="H5809" i="2"/>
  <c r="G5809" i="2"/>
  <c r="E5809" i="2"/>
  <c r="B5809" i="2"/>
  <c r="S5808" i="2"/>
  <c r="M5808" i="2"/>
  <c r="L5808" i="2"/>
  <c r="K5808" i="2"/>
  <c r="G5808" i="2"/>
  <c r="E5808" i="2"/>
  <c r="B5808" i="2"/>
  <c r="S5807" i="2"/>
  <c r="M5807" i="2"/>
  <c r="L5807" i="2"/>
  <c r="K5807" i="2"/>
  <c r="G5807" i="2"/>
  <c r="E5807" i="2"/>
  <c r="B5807" i="2"/>
  <c r="S5806" i="2"/>
  <c r="M5806" i="2"/>
  <c r="L5806" i="2"/>
  <c r="K5806" i="2"/>
  <c r="H5806" i="2"/>
  <c r="G5806" i="2"/>
  <c r="E5806" i="2"/>
  <c r="B5806" i="2"/>
  <c r="S5805" i="2"/>
  <c r="M5805" i="2"/>
  <c r="L5805" i="2"/>
  <c r="K5805" i="2"/>
  <c r="H5805" i="2"/>
  <c r="G5805" i="2"/>
  <c r="E5805" i="2"/>
  <c r="B5805" i="2"/>
  <c r="S5804" i="2"/>
  <c r="M5804" i="2"/>
  <c r="L5804" i="2"/>
  <c r="K5804" i="2"/>
  <c r="G5804" i="2"/>
  <c r="E5804" i="2"/>
  <c r="B5804" i="2"/>
  <c r="S5803" i="2"/>
  <c r="M5803" i="2"/>
  <c r="L5803" i="2"/>
  <c r="K5803" i="2"/>
  <c r="G5803" i="2"/>
  <c r="E5803" i="2"/>
  <c r="B5803" i="2"/>
  <c r="S5802" i="2"/>
  <c r="M5802" i="2"/>
  <c r="L5802" i="2"/>
  <c r="K5802" i="2"/>
  <c r="H5802" i="2"/>
  <c r="G5802" i="2"/>
  <c r="E5802" i="2"/>
  <c r="B5802" i="2"/>
  <c r="S5801" i="2"/>
  <c r="M5801" i="2"/>
  <c r="L5801" i="2"/>
  <c r="K5801" i="2"/>
  <c r="G5801" i="2"/>
  <c r="E5801" i="2"/>
  <c r="B5801" i="2"/>
  <c r="S5800" i="2"/>
  <c r="M5800" i="2"/>
  <c r="L5800" i="2"/>
  <c r="K5800" i="2"/>
  <c r="H5800" i="2"/>
  <c r="G5800" i="2"/>
  <c r="E5800" i="2"/>
  <c r="B5800" i="2"/>
  <c r="S5799" i="2"/>
  <c r="M5799" i="2"/>
  <c r="L5799" i="2"/>
  <c r="K5799" i="2"/>
  <c r="G5799" i="2"/>
  <c r="E5799" i="2"/>
  <c r="B5799" i="2"/>
  <c r="S5798" i="2"/>
  <c r="M5798" i="2"/>
  <c r="L5798" i="2"/>
  <c r="K5798" i="2"/>
  <c r="H5798" i="2"/>
  <c r="G5798" i="2"/>
  <c r="E5798" i="2"/>
  <c r="B5798" i="2"/>
  <c r="S5797" i="2"/>
  <c r="M5797" i="2"/>
  <c r="L5797" i="2"/>
  <c r="K5797" i="2"/>
  <c r="G5797" i="2"/>
  <c r="E5797" i="2"/>
  <c r="B5797" i="2"/>
  <c r="S5796" i="2"/>
  <c r="M5796" i="2"/>
  <c r="L5796" i="2"/>
  <c r="K5796" i="2"/>
  <c r="G5796" i="2"/>
  <c r="E5796" i="2"/>
  <c r="B5796" i="2"/>
  <c r="S5795" i="2"/>
  <c r="M5795" i="2"/>
  <c r="L5795" i="2"/>
  <c r="K5795" i="2"/>
  <c r="G5795" i="2"/>
  <c r="E5795" i="2"/>
  <c r="B5795" i="2"/>
  <c r="S5794" i="2"/>
  <c r="M5794" i="2"/>
  <c r="L5794" i="2"/>
  <c r="K5794" i="2"/>
  <c r="G5794" i="2"/>
  <c r="E5794" i="2"/>
  <c r="B5794" i="2"/>
  <c r="S5793" i="2"/>
  <c r="M5793" i="2"/>
  <c r="L5793" i="2"/>
  <c r="K5793" i="2"/>
  <c r="H5793" i="2"/>
  <c r="G5793" i="2"/>
  <c r="E5793" i="2"/>
  <c r="B5793" i="2"/>
  <c r="S5792" i="2"/>
  <c r="M5792" i="2"/>
  <c r="L5792" i="2"/>
  <c r="K5792" i="2"/>
  <c r="H5792" i="2"/>
  <c r="G5792" i="2"/>
  <c r="E5792" i="2"/>
  <c r="B5792" i="2"/>
  <c r="S5791" i="2"/>
  <c r="M5791" i="2"/>
  <c r="L5791" i="2"/>
  <c r="K5791" i="2"/>
  <c r="H5791" i="2"/>
  <c r="G5791" i="2"/>
  <c r="E5791" i="2"/>
  <c r="B5791" i="2"/>
  <c r="S5790" i="2"/>
  <c r="M5790" i="2"/>
  <c r="L5790" i="2"/>
  <c r="K5790" i="2"/>
  <c r="H5790" i="2"/>
  <c r="G5790" i="2"/>
  <c r="E5790" i="2"/>
  <c r="B5790" i="2"/>
  <c r="S5789" i="2"/>
  <c r="M5789" i="2"/>
  <c r="L5789" i="2"/>
  <c r="K5789" i="2"/>
  <c r="G5789" i="2"/>
  <c r="E5789" i="2"/>
  <c r="B5789" i="2"/>
  <c r="S5788" i="2"/>
  <c r="M5788" i="2"/>
  <c r="L5788" i="2"/>
  <c r="K5788" i="2"/>
  <c r="G5788" i="2"/>
  <c r="E5788" i="2"/>
  <c r="B5788" i="2"/>
  <c r="S5787" i="2"/>
  <c r="M5787" i="2"/>
  <c r="L5787" i="2"/>
  <c r="K5787" i="2"/>
  <c r="H5787" i="2"/>
  <c r="G5787" i="2"/>
  <c r="E5787" i="2"/>
  <c r="B5787" i="2"/>
  <c r="S5786" i="2"/>
  <c r="M5786" i="2"/>
  <c r="L5786" i="2"/>
  <c r="K5786" i="2"/>
  <c r="G5786" i="2"/>
  <c r="E5786" i="2"/>
  <c r="B5786" i="2"/>
  <c r="S5785" i="2"/>
  <c r="M5785" i="2"/>
  <c r="L5785" i="2"/>
  <c r="K5785" i="2"/>
  <c r="G5785" i="2"/>
  <c r="E5785" i="2"/>
  <c r="B5785" i="2"/>
  <c r="S5784" i="2"/>
  <c r="M5784" i="2"/>
  <c r="L5784" i="2"/>
  <c r="K5784" i="2"/>
  <c r="G5784" i="2"/>
  <c r="E5784" i="2"/>
  <c r="B5784" i="2"/>
  <c r="S5783" i="2"/>
  <c r="M5783" i="2"/>
  <c r="L5783" i="2"/>
  <c r="K5783" i="2"/>
  <c r="H5783" i="2"/>
  <c r="G5783" i="2"/>
  <c r="E5783" i="2"/>
  <c r="B5783" i="2"/>
  <c r="S5782" i="2"/>
  <c r="M5782" i="2"/>
  <c r="L5782" i="2"/>
  <c r="K5782" i="2"/>
  <c r="G5782" i="2"/>
  <c r="E5782" i="2"/>
  <c r="B5782" i="2"/>
  <c r="S5781" i="2"/>
  <c r="M5781" i="2"/>
  <c r="L5781" i="2"/>
  <c r="K5781" i="2"/>
  <c r="G5781" i="2"/>
  <c r="E5781" i="2"/>
  <c r="B5781" i="2"/>
  <c r="S5780" i="2"/>
  <c r="M5780" i="2"/>
  <c r="L5780" i="2"/>
  <c r="K5780" i="2"/>
  <c r="G5780" i="2"/>
  <c r="E5780" i="2"/>
  <c r="B5780" i="2"/>
  <c r="S5779" i="2"/>
  <c r="M5779" i="2"/>
  <c r="L5779" i="2"/>
  <c r="K5779" i="2"/>
  <c r="H5779" i="2"/>
  <c r="G5779" i="2"/>
  <c r="E5779" i="2"/>
  <c r="B5779" i="2"/>
  <c r="S5778" i="2"/>
  <c r="M5778" i="2"/>
  <c r="L5778" i="2"/>
  <c r="K5778" i="2"/>
  <c r="H5778" i="2"/>
  <c r="G5778" i="2"/>
  <c r="E5778" i="2"/>
  <c r="B5778" i="2"/>
  <c r="S5777" i="2"/>
  <c r="M5777" i="2"/>
  <c r="L5777" i="2"/>
  <c r="K5777" i="2"/>
  <c r="G5777" i="2"/>
  <c r="E5777" i="2"/>
  <c r="B5777" i="2"/>
  <c r="S5776" i="2"/>
  <c r="M5776" i="2"/>
  <c r="L5776" i="2"/>
  <c r="K5776" i="2"/>
  <c r="H5776" i="2"/>
  <c r="G5776" i="2"/>
  <c r="E5776" i="2"/>
  <c r="B5776" i="2"/>
  <c r="S5775" i="2"/>
  <c r="M5775" i="2"/>
  <c r="L5775" i="2"/>
  <c r="K5775" i="2"/>
  <c r="G5775" i="2"/>
  <c r="E5775" i="2"/>
  <c r="B5775" i="2"/>
  <c r="S5774" i="2"/>
  <c r="M5774" i="2"/>
  <c r="L5774" i="2"/>
  <c r="K5774" i="2"/>
  <c r="G5774" i="2"/>
  <c r="E5774" i="2"/>
  <c r="B5774" i="2"/>
  <c r="S5773" i="2"/>
  <c r="M5773" i="2"/>
  <c r="L5773" i="2"/>
  <c r="K5773" i="2"/>
  <c r="G5773" i="2"/>
  <c r="E5773" i="2"/>
  <c r="B5773" i="2"/>
  <c r="S5772" i="2"/>
  <c r="M5772" i="2"/>
  <c r="L5772" i="2"/>
  <c r="K5772" i="2"/>
  <c r="H5772" i="2"/>
  <c r="G5772" i="2"/>
  <c r="E5772" i="2"/>
  <c r="B5772" i="2"/>
  <c r="S5771" i="2"/>
  <c r="M5771" i="2"/>
  <c r="L5771" i="2"/>
  <c r="K5771" i="2"/>
  <c r="H5771" i="2"/>
  <c r="G5771" i="2"/>
  <c r="E5771" i="2"/>
  <c r="B5771" i="2"/>
  <c r="S5770" i="2"/>
  <c r="M5770" i="2"/>
  <c r="L5770" i="2"/>
  <c r="K5770" i="2"/>
  <c r="G5770" i="2"/>
  <c r="E5770" i="2"/>
  <c r="B5770" i="2"/>
  <c r="S5769" i="2"/>
  <c r="M5769" i="2"/>
  <c r="L5769" i="2"/>
  <c r="K5769" i="2"/>
  <c r="H5769" i="2"/>
  <c r="G5769" i="2"/>
  <c r="E5769" i="2"/>
  <c r="B5769" i="2"/>
  <c r="S5768" i="2"/>
  <c r="M5768" i="2"/>
  <c r="L5768" i="2"/>
  <c r="K5768" i="2"/>
  <c r="H5768" i="2"/>
  <c r="G5768" i="2"/>
  <c r="E5768" i="2"/>
  <c r="B5768" i="2"/>
  <c r="S5767" i="2"/>
  <c r="M5767" i="2"/>
  <c r="L5767" i="2"/>
  <c r="K5767" i="2"/>
  <c r="G5767" i="2"/>
  <c r="E5767" i="2"/>
  <c r="B5767" i="2"/>
  <c r="S5766" i="2"/>
  <c r="M5766" i="2"/>
  <c r="L5766" i="2"/>
  <c r="K5766" i="2"/>
  <c r="H5766" i="2"/>
  <c r="G5766" i="2"/>
  <c r="E5766" i="2"/>
  <c r="B5766" i="2"/>
  <c r="S5765" i="2"/>
  <c r="M5765" i="2"/>
  <c r="L5765" i="2"/>
  <c r="K5765" i="2"/>
  <c r="G5765" i="2"/>
  <c r="E5765" i="2"/>
  <c r="B5765" i="2"/>
  <c r="S5764" i="2"/>
  <c r="M5764" i="2"/>
  <c r="L5764" i="2"/>
  <c r="K5764" i="2"/>
  <c r="G5764" i="2"/>
  <c r="E5764" i="2"/>
  <c r="B5764" i="2"/>
  <c r="S5763" i="2"/>
  <c r="M5763" i="2"/>
  <c r="L5763" i="2"/>
  <c r="K5763" i="2"/>
  <c r="G5763" i="2"/>
  <c r="E5763" i="2"/>
  <c r="B5763" i="2"/>
  <c r="S5762" i="2"/>
  <c r="M5762" i="2"/>
  <c r="L5762" i="2"/>
  <c r="K5762" i="2"/>
  <c r="G5762" i="2"/>
  <c r="E5762" i="2"/>
  <c r="B5762" i="2"/>
  <c r="S5761" i="2"/>
  <c r="M5761" i="2"/>
  <c r="L5761" i="2"/>
  <c r="K5761" i="2"/>
  <c r="G5761" i="2"/>
  <c r="E5761" i="2"/>
  <c r="B5761" i="2"/>
  <c r="S5760" i="2"/>
  <c r="M5760" i="2"/>
  <c r="L5760" i="2"/>
  <c r="K5760" i="2"/>
  <c r="G5760" i="2"/>
  <c r="E5760" i="2"/>
  <c r="B5760" i="2"/>
  <c r="S5759" i="2"/>
  <c r="M5759" i="2"/>
  <c r="L5759" i="2"/>
  <c r="K5759" i="2"/>
  <c r="G5759" i="2"/>
  <c r="E5759" i="2"/>
  <c r="B5759" i="2"/>
  <c r="S5758" i="2"/>
  <c r="M5758" i="2"/>
  <c r="L5758" i="2"/>
  <c r="K5758" i="2"/>
  <c r="H5758" i="2"/>
  <c r="G5758" i="2"/>
  <c r="E5758" i="2"/>
  <c r="B5758" i="2"/>
  <c r="S5757" i="2"/>
  <c r="M5757" i="2"/>
  <c r="L5757" i="2"/>
  <c r="K5757" i="2"/>
  <c r="G5757" i="2"/>
  <c r="E5757" i="2"/>
  <c r="B5757" i="2"/>
  <c r="S5756" i="2"/>
  <c r="M5756" i="2"/>
  <c r="L5756" i="2"/>
  <c r="K5756" i="2"/>
  <c r="G5756" i="2"/>
  <c r="E5756" i="2"/>
  <c r="B5756" i="2"/>
  <c r="S5755" i="2"/>
  <c r="M5755" i="2"/>
  <c r="L5755" i="2"/>
  <c r="K5755" i="2"/>
  <c r="H5755" i="2"/>
  <c r="G5755" i="2"/>
  <c r="E5755" i="2"/>
  <c r="B5755" i="2"/>
  <c r="S5754" i="2"/>
  <c r="M5754" i="2"/>
  <c r="L5754" i="2"/>
  <c r="K5754" i="2"/>
  <c r="G5754" i="2"/>
  <c r="E5754" i="2"/>
  <c r="B5754" i="2"/>
  <c r="S5753" i="2"/>
  <c r="M5753" i="2"/>
  <c r="L5753" i="2"/>
  <c r="K5753" i="2"/>
  <c r="H5753" i="2"/>
  <c r="G5753" i="2"/>
  <c r="E5753" i="2"/>
  <c r="B5753" i="2"/>
  <c r="S5752" i="2"/>
  <c r="M5752" i="2"/>
  <c r="L5752" i="2"/>
  <c r="K5752" i="2"/>
  <c r="G5752" i="2"/>
  <c r="E5752" i="2"/>
  <c r="B5752" i="2"/>
  <c r="S5751" i="2"/>
  <c r="M5751" i="2"/>
  <c r="L5751" i="2"/>
  <c r="K5751" i="2"/>
  <c r="G5751" i="2"/>
  <c r="E5751" i="2"/>
  <c r="B5751" i="2"/>
  <c r="S5750" i="2"/>
  <c r="M5750" i="2"/>
  <c r="L5750" i="2"/>
  <c r="K5750" i="2"/>
  <c r="G5750" i="2"/>
  <c r="E5750" i="2"/>
  <c r="B5750" i="2"/>
  <c r="S5749" i="2"/>
  <c r="M5749" i="2"/>
  <c r="L5749" i="2"/>
  <c r="K5749" i="2"/>
  <c r="G5749" i="2"/>
  <c r="E5749" i="2"/>
  <c r="B5749" i="2"/>
  <c r="S5748" i="2"/>
  <c r="M5748" i="2"/>
  <c r="L5748" i="2"/>
  <c r="K5748" i="2"/>
  <c r="H5748" i="2"/>
  <c r="G5748" i="2"/>
  <c r="E5748" i="2"/>
  <c r="B5748" i="2"/>
  <c r="S5747" i="2"/>
  <c r="M5747" i="2"/>
  <c r="L5747" i="2"/>
  <c r="K5747" i="2"/>
  <c r="H5747" i="2"/>
  <c r="G5747" i="2"/>
  <c r="E5747" i="2"/>
  <c r="B5747" i="2"/>
  <c r="S5746" i="2"/>
  <c r="M5746" i="2"/>
  <c r="L5746" i="2"/>
  <c r="K5746" i="2"/>
  <c r="H5746" i="2"/>
  <c r="G5746" i="2"/>
  <c r="E5746" i="2"/>
  <c r="B5746" i="2"/>
  <c r="S5745" i="2"/>
  <c r="M5745" i="2"/>
  <c r="L5745" i="2"/>
  <c r="K5745" i="2"/>
  <c r="G5745" i="2"/>
  <c r="E5745" i="2"/>
  <c r="B5745" i="2"/>
  <c r="S5744" i="2"/>
  <c r="M5744" i="2"/>
  <c r="L5744" i="2"/>
  <c r="K5744" i="2"/>
  <c r="G5744" i="2"/>
  <c r="E5744" i="2"/>
  <c r="B5744" i="2"/>
  <c r="S5743" i="2"/>
  <c r="M5743" i="2"/>
  <c r="L5743" i="2"/>
  <c r="K5743" i="2"/>
  <c r="G5743" i="2"/>
  <c r="E5743" i="2"/>
  <c r="B5743" i="2"/>
  <c r="S5742" i="2"/>
  <c r="M5742" i="2"/>
  <c r="L5742" i="2"/>
  <c r="K5742" i="2"/>
  <c r="G5742" i="2"/>
  <c r="E5742" i="2"/>
  <c r="B5742" i="2"/>
  <c r="S5741" i="2"/>
  <c r="M5741" i="2"/>
  <c r="L5741" i="2"/>
  <c r="K5741" i="2"/>
  <c r="G5741" i="2"/>
  <c r="E5741" i="2"/>
  <c r="B5741" i="2"/>
  <c r="S5740" i="2"/>
  <c r="M5740" i="2"/>
  <c r="L5740" i="2"/>
  <c r="K5740" i="2"/>
  <c r="G5740" i="2"/>
  <c r="E5740" i="2"/>
  <c r="B5740" i="2"/>
  <c r="S5739" i="2"/>
  <c r="M5739" i="2"/>
  <c r="L5739" i="2"/>
  <c r="K5739" i="2"/>
  <c r="H5739" i="2"/>
  <c r="G5739" i="2"/>
  <c r="E5739" i="2"/>
  <c r="B5739" i="2"/>
  <c r="S5738" i="2"/>
  <c r="M5738" i="2"/>
  <c r="L5738" i="2"/>
  <c r="K5738" i="2"/>
  <c r="G5738" i="2"/>
  <c r="E5738" i="2"/>
  <c r="B5738" i="2"/>
  <c r="S5737" i="2"/>
  <c r="M5737" i="2"/>
  <c r="L5737" i="2"/>
  <c r="K5737" i="2"/>
  <c r="G5737" i="2"/>
  <c r="E5737" i="2"/>
  <c r="B5737" i="2"/>
  <c r="S5736" i="2"/>
  <c r="M5736" i="2"/>
  <c r="L5736" i="2"/>
  <c r="K5736" i="2"/>
  <c r="G5736" i="2"/>
  <c r="E5736" i="2"/>
  <c r="B5736" i="2"/>
  <c r="S5735" i="2"/>
  <c r="M5735" i="2"/>
  <c r="L5735" i="2"/>
  <c r="K5735" i="2"/>
  <c r="G5735" i="2"/>
  <c r="E5735" i="2"/>
  <c r="B5735" i="2"/>
  <c r="S5734" i="2"/>
  <c r="M5734" i="2"/>
  <c r="L5734" i="2"/>
  <c r="K5734" i="2"/>
  <c r="G5734" i="2"/>
  <c r="E5734" i="2"/>
  <c r="B5734" i="2"/>
  <c r="S5733" i="2"/>
  <c r="M5733" i="2"/>
  <c r="L5733" i="2"/>
  <c r="K5733" i="2"/>
  <c r="G5733" i="2"/>
  <c r="E5733" i="2"/>
  <c r="B5733" i="2"/>
  <c r="S5732" i="2"/>
  <c r="M5732" i="2"/>
  <c r="L5732" i="2"/>
  <c r="K5732" i="2"/>
  <c r="G5732" i="2"/>
  <c r="E5732" i="2"/>
  <c r="B5732" i="2"/>
  <c r="S5731" i="2"/>
  <c r="M5731" i="2"/>
  <c r="L5731" i="2"/>
  <c r="K5731" i="2"/>
  <c r="H5731" i="2"/>
  <c r="G5731" i="2"/>
  <c r="E5731" i="2"/>
  <c r="B5731" i="2"/>
  <c r="S5730" i="2"/>
  <c r="M5730" i="2"/>
  <c r="L5730" i="2"/>
  <c r="K5730" i="2"/>
  <c r="G5730" i="2"/>
  <c r="E5730" i="2"/>
  <c r="B5730" i="2"/>
  <c r="S5729" i="2"/>
  <c r="M5729" i="2"/>
  <c r="L5729" i="2"/>
  <c r="K5729" i="2"/>
  <c r="G5729" i="2"/>
  <c r="E5729" i="2"/>
  <c r="B5729" i="2"/>
  <c r="S5728" i="2"/>
  <c r="M5728" i="2"/>
  <c r="L5728" i="2"/>
  <c r="K5728" i="2"/>
  <c r="G5728" i="2"/>
  <c r="E5728" i="2"/>
  <c r="B5728" i="2"/>
  <c r="S5727" i="2"/>
  <c r="M5727" i="2"/>
  <c r="L5727" i="2"/>
  <c r="K5727" i="2"/>
  <c r="G5727" i="2"/>
  <c r="E5727" i="2"/>
  <c r="B5727" i="2"/>
  <c r="S5726" i="2"/>
  <c r="M5726" i="2"/>
  <c r="L5726" i="2"/>
  <c r="K5726" i="2"/>
  <c r="G5726" i="2"/>
  <c r="E5726" i="2"/>
  <c r="B5726" i="2"/>
  <c r="S5725" i="2"/>
  <c r="M5725" i="2"/>
  <c r="L5725" i="2"/>
  <c r="K5725" i="2"/>
  <c r="G5725" i="2"/>
  <c r="E5725" i="2"/>
  <c r="B5725" i="2"/>
  <c r="S5724" i="2"/>
  <c r="M5724" i="2"/>
  <c r="L5724" i="2"/>
  <c r="K5724" i="2"/>
  <c r="G5724" i="2"/>
  <c r="E5724" i="2"/>
  <c r="B5724" i="2"/>
  <c r="S5723" i="2"/>
  <c r="M5723" i="2"/>
  <c r="L5723" i="2"/>
  <c r="K5723" i="2"/>
  <c r="H5723" i="2"/>
  <c r="G5723" i="2"/>
  <c r="E5723" i="2"/>
  <c r="B5723" i="2"/>
  <c r="S5722" i="2"/>
  <c r="M5722" i="2"/>
  <c r="L5722" i="2"/>
  <c r="K5722" i="2"/>
  <c r="G5722" i="2"/>
  <c r="E5722" i="2"/>
  <c r="B5722" i="2"/>
  <c r="S5721" i="2"/>
  <c r="M5721" i="2"/>
  <c r="L5721" i="2"/>
  <c r="K5721" i="2"/>
  <c r="H5721" i="2"/>
  <c r="G5721" i="2"/>
  <c r="E5721" i="2"/>
  <c r="B5721" i="2"/>
  <c r="S5720" i="2"/>
  <c r="M5720" i="2"/>
  <c r="L5720" i="2"/>
  <c r="K5720" i="2"/>
  <c r="G5720" i="2"/>
  <c r="E5720" i="2"/>
  <c r="B5720" i="2"/>
  <c r="S5719" i="2"/>
  <c r="M5719" i="2"/>
  <c r="L5719" i="2"/>
  <c r="K5719" i="2"/>
  <c r="G5719" i="2"/>
  <c r="E5719" i="2"/>
  <c r="B5719" i="2"/>
  <c r="S5718" i="2"/>
  <c r="M5718" i="2"/>
  <c r="L5718" i="2"/>
  <c r="K5718" i="2"/>
  <c r="G5718" i="2"/>
  <c r="E5718" i="2"/>
  <c r="B5718" i="2"/>
  <c r="S5717" i="2"/>
  <c r="M5717" i="2"/>
  <c r="L5717" i="2"/>
  <c r="K5717" i="2"/>
  <c r="G5717" i="2"/>
  <c r="E5717" i="2"/>
  <c r="B5717" i="2"/>
  <c r="S5716" i="2"/>
  <c r="M5716" i="2"/>
  <c r="L5716" i="2"/>
  <c r="K5716" i="2"/>
  <c r="G5716" i="2"/>
  <c r="E5716" i="2"/>
  <c r="B5716" i="2"/>
  <c r="S5715" i="2"/>
  <c r="M5715" i="2"/>
  <c r="L5715" i="2"/>
  <c r="K5715" i="2"/>
  <c r="H5715" i="2"/>
  <c r="G5715" i="2"/>
  <c r="E5715" i="2"/>
  <c r="B5715" i="2"/>
  <c r="S5714" i="2"/>
  <c r="M5714" i="2"/>
  <c r="L5714" i="2"/>
  <c r="K5714" i="2"/>
  <c r="G5714" i="2"/>
  <c r="E5714" i="2"/>
  <c r="B5714" i="2"/>
  <c r="S5713" i="2"/>
  <c r="M5713" i="2"/>
  <c r="L5713" i="2"/>
  <c r="K5713" i="2"/>
  <c r="G5713" i="2"/>
  <c r="E5713" i="2"/>
  <c r="B5713" i="2"/>
  <c r="S5712" i="2"/>
  <c r="M5712" i="2"/>
  <c r="L5712" i="2"/>
  <c r="K5712" i="2"/>
  <c r="G5712" i="2"/>
  <c r="E5712" i="2"/>
  <c r="B5712" i="2"/>
  <c r="S5711" i="2"/>
  <c r="M5711" i="2"/>
  <c r="L5711" i="2"/>
  <c r="K5711" i="2"/>
  <c r="G5711" i="2"/>
  <c r="E5711" i="2"/>
  <c r="B5711" i="2"/>
  <c r="S5710" i="2"/>
  <c r="M5710" i="2"/>
  <c r="L5710" i="2"/>
  <c r="K5710" i="2"/>
  <c r="G5710" i="2"/>
  <c r="E5710" i="2"/>
  <c r="B5710" i="2"/>
  <c r="S5709" i="2"/>
  <c r="M5709" i="2"/>
  <c r="L5709" i="2"/>
  <c r="K5709" i="2"/>
  <c r="G5709" i="2"/>
  <c r="E5709" i="2"/>
  <c r="B5709" i="2"/>
  <c r="S5708" i="2"/>
  <c r="M5708" i="2"/>
  <c r="L5708" i="2"/>
  <c r="K5708" i="2"/>
  <c r="G5708" i="2"/>
  <c r="E5708" i="2"/>
  <c r="B5708" i="2"/>
  <c r="S5707" i="2"/>
  <c r="M5707" i="2"/>
  <c r="L5707" i="2"/>
  <c r="K5707" i="2"/>
  <c r="G5707" i="2"/>
  <c r="E5707" i="2"/>
  <c r="B5707" i="2"/>
  <c r="S5706" i="2"/>
  <c r="M5706" i="2"/>
  <c r="L5706" i="2"/>
  <c r="K5706" i="2"/>
  <c r="G5706" i="2"/>
  <c r="E5706" i="2"/>
  <c r="B5706" i="2"/>
  <c r="S5705" i="2"/>
  <c r="M5705" i="2"/>
  <c r="L5705" i="2"/>
  <c r="K5705" i="2"/>
  <c r="G5705" i="2"/>
  <c r="E5705" i="2"/>
  <c r="B5705" i="2"/>
  <c r="S5704" i="2"/>
  <c r="M5704" i="2"/>
  <c r="L5704" i="2"/>
  <c r="K5704" i="2"/>
  <c r="G5704" i="2"/>
  <c r="E5704" i="2"/>
  <c r="B5704" i="2"/>
  <c r="S5703" i="2"/>
  <c r="M5703" i="2"/>
  <c r="L5703" i="2"/>
  <c r="K5703" i="2"/>
  <c r="G5703" i="2"/>
  <c r="E5703" i="2"/>
  <c r="B5703" i="2"/>
  <c r="S5702" i="2"/>
  <c r="M5702" i="2"/>
  <c r="L5702" i="2"/>
  <c r="K5702" i="2"/>
  <c r="G5702" i="2"/>
  <c r="E5702" i="2"/>
  <c r="B5702" i="2"/>
  <c r="S5701" i="2"/>
  <c r="M5701" i="2"/>
  <c r="L5701" i="2"/>
  <c r="K5701" i="2"/>
  <c r="G5701" i="2"/>
  <c r="E5701" i="2"/>
  <c r="B5701" i="2"/>
  <c r="S5700" i="2"/>
  <c r="M5700" i="2"/>
  <c r="L5700" i="2"/>
  <c r="K5700" i="2"/>
  <c r="G5700" i="2"/>
  <c r="E5700" i="2"/>
  <c r="B5700" i="2"/>
  <c r="S5699" i="2"/>
  <c r="M5699" i="2"/>
  <c r="L5699" i="2"/>
  <c r="K5699" i="2"/>
  <c r="G5699" i="2"/>
  <c r="E5699" i="2"/>
  <c r="B5699" i="2"/>
  <c r="S5698" i="2"/>
  <c r="M5698" i="2"/>
  <c r="L5698" i="2"/>
  <c r="K5698" i="2"/>
  <c r="G5698" i="2"/>
  <c r="E5698" i="2"/>
  <c r="B5698" i="2"/>
  <c r="S5697" i="2"/>
  <c r="M5697" i="2"/>
  <c r="L5697" i="2"/>
  <c r="K5697" i="2"/>
  <c r="G5697" i="2"/>
  <c r="E5697" i="2"/>
  <c r="B5697" i="2"/>
  <c r="S5696" i="2"/>
  <c r="M5696" i="2"/>
  <c r="L5696" i="2"/>
  <c r="K5696" i="2"/>
  <c r="G5696" i="2"/>
  <c r="E5696" i="2"/>
  <c r="B5696" i="2"/>
  <c r="S5695" i="2"/>
  <c r="M5695" i="2"/>
  <c r="L5695" i="2"/>
  <c r="K5695" i="2"/>
  <c r="G5695" i="2"/>
  <c r="E5695" i="2"/>
  <c r="B5695" i="2"/>
  <c r="S5694" i="2"/>
  <c r="M5694" i="2"/>
  <c r="L5694" i="2"/>
  <c r="K5694" i="2"/>
  <c r="G5694" i="2"/>
  <c r="E5694" i="2"/>
  <c r="B5694" i="2"/>
  <c r="S5693" i="2"/>
  <c r="M5693" i="2"/>
  <c r="L5693" i="2"/>
  <c r="K5693" i="2"/>
  <c r="G5693" i="2"/>
  <c r="E5693" i="2"/>
  <c r="B5693" i="2"/>
  <c r="S5692" i="2"/>
  <c r="M5692" i="2"/>
  <c r="L5692" i="2"/>
  <c r="K5692" i="2"/>
  <c r="G5692" i="2"/>
  <c r="E5692" i="2"/>
  <c r="B5692" i="2"/>
  <c r="S5691" i="2"/>
  <c r="M5691" i="2"/>
  <c r="L5691" i="2"/>
  <c r="K5691" i="2"/>
  <c r="G5691" i="2"/>
  <c r="E5691" i="2"/>
  <c r="B5691" i="2"/>
  <c r="S5690" i="2"/>
  <c r="M5690" i="2"/>
  <c r="L5690" i="2"/>
  <c r="K5690" i="2"/>
  <c r="G5690" i="2"/>
  <c r="E5690" i="2"/>
  <c r="B5690" i="2"/>
  <c r="S5689" i="2"/>
  <c r="M5689" i="2"/>
  <c r="L5689" i="2"/>
  <c r="K5689" i="2"/>
  <c r="G5689" i="2"/>
  <c r="E5689" i="2"/>
  <c r="B5689" i="2"/>
  <c r="S5688" i="2"/>
  <c r="M5688" i="2"/>
  <c r="L5688" i="2"/>
  <c r="K5688" i="2"/>
  <c r="G5688" i="2"/>
  <c r="E5688" i="2"/>
  <c r="B5688" i="2"/>
  <c r="S5687" i="2"/>
  <c r="M5687" i="2"/>
  <c r="L5687" i="2"/>
  <c r="K5687" i="2"/>
  <c r="G5687" i="2"/>
  <c r="E5687" i="2"/>
  <c r="B5687" i="2"/>
  <c r="S5686" i="2"/>
  <c r="M5686" i="2"/>
  <c r="L5686" i="2"/>
  <c r="K5686" i="2"/>
  <c r="G5686" i="2"/>
  <c r="E5686" i="2"/>
  <c r="B5686" i="2"/>
  <c r="S5685" i="2"/>
  <c r="M5685" i="2"/>
  <c r="L5685" i="2"/>
  <c r="K5685" i="2"/>
  <c r="G5685" i="2"/>
  <c r="E5685" i="2"/>
  <c r="B5685" i="2"/>
  <c r="S5684" i="2"/>
  <c r="M5684" i="2"/>
  <c r="L5684" i="2"/>
  <c r="K5684" i="2"/>
  <c r="G5684" i="2"/>
  <c r="E5684" i="2"/>
  <c r="B5684" i="2"/>
  <c r="S5683" i="2"/>
  <c r="M5683" i="2"/>
  <c r="L5683" i="2"/>
  <c r="K5683" i="2"/>
  <c r="G5683" i="2"/>
  <c r="E5683" i="2"/>
  <c r="B5683" i="2"/>
  <c r="S5682" i="2"/>
  <c r="M5682" i="2"/>
  <c r="L5682" i="2"/>
  <c r="K5682" i="2"/>
  <c r="G5682" i="2"/>
  <c r="E5682" i="2"/>
  <c r="B5682" i="2"/>
  <c r="S5681" i="2"/>
  <c r="M5681" i="2"/>
  <c r="L5681" i="2"/>
  <c r="K5681" i="2"/>
  <c r="G5681" i="2"/>
  <c r="E5681" i="2"/>
  <c r="B5681" i="2"/>
  <c r="S5680" i="2"/>
  <c r="M5680" i="2"/>
  <c r="L5680" i="2"/>
  <c r="K5680" i="2"/>
  <c r="G5680" i="2"/>
  <c r="E5680" i="2"/>
  <c r="B5680" i="2"/>
  <c r="S5679" i="2"/>
  <c r="M5679" i="2"/>
  <c r="L5679" i="2"/>
  <c r="K5679" i="2"/>
  <c r="G5679" i="2"/>
  <c r="E5679" i="2"/>
  <c r="B5679" i="2"/>
  <c r="S5678" i="2"/>
  <c r="M5678" i="2"/>
  <c r="L5678" i="2"/>
  <c r="K5678" i="2"/>
  <c r="G5678" i="2"/>
  <c r="E5678" i="2"/>
  <c r="B5678" i="2"/>
  <c r="S5677" i="2"/>
  <c r="M5677" i="2"/>
  <c r="L5677" i="2"/>
  <c r="K5677" i="2"/>
  <c r="G5677" i="2"/>
  <c r="E5677" i="2"/>
  <c r="B5677" i="2"/>
  <c r="S5676" i="2"/>
  <c r="M5676" i="2"/>
  <c r="L5676" i="2"/>
  <c r="K5676" i="2"/>
  <c r="G5676" i="2"/>
  <c r="E5676" i="2"/>
  <c r="B5676" i="2"/>
  <c r="S5675" i="2"/>
  <c r="M5675" i="2"/>
  <c r="L5675" i="2"/>
  <c r="K5675" i="2"/>
  <c r="G5675" i="2"/>
  <c r="E5675" i="2"/>
  <c r="B5675" i="2"/>
  <c r="S5674" i="2"/>
  <c r="M5674" i="2"/>
  <c r="L5674" i="2"/>
  <c r="K5674" i="2"/>
  <c r="G5674" i="2"/>
  <c r="E5674" i="2"/>
  <c r="B5674" i="2"/>
  <c r="S5673" i="2"/>
  <c r="M5673" i="2"/>
  <c r="L5673" i="2"/>
  <c r="K5673" i="2"/>
  <c r="G5673" i="2"/>
  <c r="E5673" i="2"/>
  <c r="B5673" i="2"/>
  <c r="S5672" i="2"/>
  <c r="M5672" i="2"/>
  <c r="L5672" i="2"/>
  <c r="K5672" i="2"/>
  <c r="G5672" i="2"/>
  <c r="E5672" i="2"/>
  <c r="B5672" i="2"/>
  <c r="M5671" i="2"/>
  <c r="L5671" i="2"/>
  <c r="K5671" i="2"/>
  <c r="G5671" i="2"/>
  <c r="E5671" i="2"/>
  <c r="B5671" i="2"/>
  <c r="S5670" i="2"/>
  <c r="M5670" i="2"/>
  <c r="L5670" i="2"/>
  <c r="K5670" i="2"/>
  <c r="G5670" i="2"/>
  <c r="E5670" i="2"/>
  <c r="B5670" i="2"/>
  <c r="S5669" i="2"/>
  <c r="M5669" i="2"/>
  <c r="L5669" i="2"/>
  <c r="K5669" i="2"/>
  <c r="G5669" i="2"/>
  <c r="E5669" i="2"/>
  <c r="B5669" i="2"/>
  <c r="S5668" i="2"/>
  <c r="M5668" i="2"/>
  <c r="L5668" i="2"/>
  <c r="K5668" i="2"/>
  <c r="G5668" i="2"/>
  <c r="E5668" i="2"/>
  <c r="B5668" i="2"/>
  <c r="S5667" i="2"/>
  <c r="M5667" i="2"/>
  <c r="L5667" i="2"/>
  <c r="K5667" i="2"/>
  <c r="G5667" i="2"/>
  <c r="E5667" i="2"/>
  <c r="B5667" i="2"/>
  <c r="S5666" i="2"/>
  <c r="M5666" i="2"/>
  <c r="L5666" i="2"/>
  <c r="K5666" i="2"/>
  <c r="G5666" i="2"/>
  <c r="E5666" i="2"/>
  <c r="B5666" i="2"/>
  <c r="S5665" i="2"/>
  <c r="M5665" i="2"/>
  <c r="L5665" i="2"/>
  <c r="K5665" i="2"/>
  <c r="G5665" i="2"/>
  <c r="E5665" i="2"/>
  <c r="B5665" i="2"/>
  <c r="S5664" i="2"/>
  <c r="M5664" i="2"/>
  <c r="L5664" i="2"/>
  <c r="K5664" i="2"/>
  <c r="G5664" i="2"/>
  <c r="E5664" i="2"/>
  <c r="B5664" i="2"/>
  <c r="S5663" i="2"/>
  <c r="M5663" i="2"/>
  <c r="L5663" i="2"/>
  <c r="K5663" i="2"/>
  <c r="G5663" i="2"/>
  <c r="E5663" i="2"/>
  <c r="B5663" i="2"/>
  <c r="S5662" i="2"/>
  <c r="M5662" i="2"/>
  <c r="L5662" i="2"/>
  <c r="K5662" i="2"/>
  <c r="G5662" i="2"/>
  <c r="E5662" i="2"/>
  <c r="B5662" i="2"/>
  <c r="S5661" i="2"/>
  <c r="M5661" i="2"/>
  <c r="L5661" i="2"/>
  <c r="K5661" i="2"/>
  <c r="G5661" i="2"/>
  <c r="E5661" i="2"/>
  <c r="B5661" i="2"/>
  <c r="S5660" i="2"/>
  <c r="M5660" i="2"/>
  <c r="L5660" i="2"/>
  <c r="K5660" i="2"/>
  <c r="G5660" i="2"/>
  <c r="E5660" i="2"/>
  <c r="B5660" i="2"/>
  <c r="S5659" i="2"/>
  <c r="M5659" i="2"/>
  <c r="L5659" i="2"/>
  <c r="K5659" i="2"/>
  <c r="G5659" i="2"/>
  <c r="E5659" i="2"/>
  <c r="B5659" i="2"/>
  <c r="S5658" i="2"/>
  <c r="M5658" i="2"/>
  <c r="L5658" i="2"/>
  <c r="K5658" i="2"/>
  <c r="G5658" i="2"/>
  <c r="E5658" i="2"/>
  <c r="B5658" i="2"/>
  <c r="S5657" i="2"/>
  <c r="M5657" i="2"/>
  <c r="L5657" i="2"/>
  <c r="K5657" i="2"/>
  <c r="G5657" i="2"/>
  <c r="E5657" i="2"/>
  <c r="B5657" i="2"/>
  <c r="S5656" i="2"/>
  <c r="M5656" i="2"/>
  <c r="L5656" i="2"/>
  <c r="K5656" i="2"/>
  <c r="G5656" i="2"/>
  <c r="E5656" i="2"/>
  <c r="B5656" i="2"/>
  <c r="S5655" i="2"/>
  <c r="M5655" i="2"/>
  <c r="L5655" i="2"/>
  <c r="K5655" i="2"/>
  <c r="G5655" i="2"/>
  <c r="E5655" i="2"/>
  <c r="B5655" i="2"/>
  <c r="S5654" i="2"/>
  <c r="M5654" i="2"/>
  <c r="L5654" i="2"/>
  <c r="K5654" i="2"/>
  <c r="G5654" i="2"/>
  <c r="E5654" i="2"/>
  <c r="B5654" i="2"/>
  <c r="S5653" i="2"/>
  <c r="M5653" i="2"/>
  <c r="L5653" i="2"/>
  <c r="K5653" i="2"/>
  <c r="G5653" i="2"/>
  <c r="E5653" i="2"/>
  <c r="B5653" i="2"/>
  <c r="S5652" i="2"/>
  <c r="M5652" i="2"/>
  <c r="L5652" i="2"/>
  <c r="K5652" i="2"/>
  <c r="G5652" i="2"/>
  <c r="E5652" i="2"/>
  <c r="B5652" i="2"/>
  <c r="S5651" i="2"/>
  <c r="M5651" i="2"/>
  <c r="L5651" i="2"/>
  <c r="K5651" i="2"/>
  <c r="G5651" i="2"/>
  <c r="E5651" i="2"/>
  <c r="B5651" i="2"/>
  <c r="S5650" i="2"/>
  <c r="M5650" i="2"/>
  <c r="L5650" i="2"/>
  <c r="K5650" i="2"/>
  <c r="G5650" i="2"/>
  <c r="E5650" i="2"/>
  <c r="B5650" i="2"/>
  <c r="S5649" i="2"/>
  <c r="M5649" i="2"/>
  <c r="L5649" i="2"/>
  <c r="K5649" i="2"/>
  <c r="G5649" i="2"/>
  <c r="E5649" i="2"/>
  <c r="B5649" i="2"/>
  <c r="S5648" i="2"/>
  <c r="M5648" i="2"/>
  <c r="L5648" i="2"/>
  <c r="K5648" i="2"/>
  <c r="G5648" i="2"/>
  <c r="E5648" i="2"/>
  <c r="B5648" i="2"/>
  <c r="S5647" i="2"/>
  <c r="M5647" i="2"/>
  <c r="L5647" i="2"/>
  <c r="K5647" i="2"/>
  <c r="G5647" i="2"/>
  <c r="E5647" i="2"/>
  <c r="B5647" i="2"/>
  <c r="S5646" i="2"/>
  <c r="M5646" i="2"/>
  <c r="L5646" i="2"/>
  <c r="K5646" i="2"/>
  <c r="G5646" i="2"/>
  <c r="E5646" i="2"/>
  <c r="B5646" i="2"/>
  <c r="S5645" i="2"/>
  <c r="M5645" i="2"/>
  <c r="L5645" i="2"/>
  <c r="K5645" i="2"/>
  <c r="G5645" i="2"/>
  <c r="E5645" i="2"/>
  <c r="B5645" i="2"/>
  <c r="S5644" i="2"/>
  <c r="M5644" i="2"/>
  <c r="L5644" i="2"/>
  <c r="K5644" i="2"/>
  <c r="G5644" i="2"/>
  <c r="E5644" i="2"/>
  <c r="B5644" i="2"/>
  <c r="S5643" i="2"/>
  <c r="M5643" i="2"/>
  <c r="L5643" i="2"/>
  <c r="K5643" i="2"/>
  <c r="G5643" i="2"/>
  <c r="E5643" i="2"/>
  <c r="B5643" i="2"/>
  <c r="S5642" i="2"/>
  <c r="M5642" i="2"/>
  <c r="L5642" i="2"/>
  <c r="K5642" i="2"/>
  <c r="G5642" i="2"/>
  <c r="E5642" i="2"/>
  <c r="B5642" i="2"/>
  <c r="S5641" i="2"/>
  <c r="M5641" i="2"/>
  <c r="L5641" i="2"/>
  <c r="K5641" i="2"/>
  <c r="G5641" i="2"/>
  <c r="E5641" i="2"/>
  <c r="B5641" i="2"/>
  <c r="S5640" i="2"/>
  <c r="M5640" i="2"/>
  <c r="L5640" i="2"/>
  <c r="K5640" i="2"/>
  <c r="G5640" i="2"/>
  <c r="E5640" i="2"/>
  <c r="B5640" i="2"/>
  <c r="S5639" i="2"/>
  <c r="M5639" i="2"/>
  <c r="L5639" i="2"/>
  <c r="K5639" i="2"/>
  <c r="G5639" i="2"/>
  <c r="E5639" i="2"/>
  <c r="B5639" i="2"/>
  <c r="S5638" i="2"/>
  <c r="M5638" i="2"/>
  <c r="L5638" i="2"/>
  <c r="K5638" i="2"/>
  <c r="G5638" i="2"/>
  <c r="E5638" i="2"/>
  <c r="B5638" i="2"/>
  <c r="S5637" i="2"/>
  <c r="M5637" i="2"/>
  <c r="L5637" i="2"/>
  <c r="K5637" i="2"/>
  <c r="G5637" i="2"/>
  <c r="E5637" i="2"/>
  <c r="B5637" i="2"/>
  <c r="S5636" i="2"/>
  <c r="M5636" i="2"/>
  <c r="L5636" i="2"/>
  <c r="K5636" i="2"/>
  <c r="G5636" i="2"/>
  <c r="E5636" i="2"/>
  <c r="B5636" i="2"/>
  <c r="S5635" i="2"/>
  <c r="M5635" i="2"/>
  <c r="L5635" i="2"/>
  <c r="K5635" i="2"/>
  <c r="G5635" i="2"/>
  <c r="E5635" i="2"/>
  <c r="B5635" i="2"/>
  <c r="S5634" i="2"/>
  <c r="M5634" i="2"/>
  <c r="L5634" i="2"/>
  <c r="K5634" i="2"/>
  <c r="G5634" i="2"/>
  <c r="E5634" i="2"/>
  <c r="B5634" i="2"/>
  <c r="S5633" i="2"/>
  <c r="M5633" i="2"/>
  <c r="L5633" i="2"/>
  <c r="K5633" i="2"/>
  <c r="G5633" i="2"/>
  <c r="E5633" i="2"/>
  <c r="B5633" i="2"/>
  <c r="S5632" i="2"/>
  <c r="M5632" i="2"/>
  <c r="L5632" i="2"/>
  <c r="K5632" i="2"/>
  <c r="G5632" i="2"/>
  <c r="E5632" i="2"/>
  <c r="B5632" i="2"/>
  <c r="S5631" i="2"/>
  <c r="M5631" i="2"/>
  <c r="L5631" i="2"/>
  <c r="K5631" i="2"/>
  <c r="G5631" i="2"/>
  <c r="E5631" i="2"/>
  <c r="B5631" i="2"/>
  <c r="S5630" i="2"/>
  <c r="M5630" i="2"/>
  <c r="L5630" i="2"/>
  <c r="K5630" i="2"/>
  <c r="G5630" i="2"/>
  <c r="E5630" i="2"/>
  <c r="B5630" i="2"/>
  <c r="S5629" i="2"/>
  <c r="M5629" i="2"/>
  <c r="L5629" i="2"/>
  <c r="K5629" i="2"/>
  <c r="G5629" i="2"/>
  <c r="E5629" i="2"/>
  <c r="B5629" i="2"/>
  <c r="S5628" i="2"/>
  <c r="M5628" i="2"/>
  <c r="L5628" i="2"/>
  <c r="K5628" i="2"/>
  <c r="G5628" i="2"/>
  <c r="E5628" i="2"/>
  <c r="B5628" i="2"/>
  <c r="S5627" i="2"/>
  <c r="M5627" i="2"/>
  <c r="L5627" i="2"/>
  <c r="K5627" i="2"/>
  <c r="G5627" i="2"/>
  <c r="E5627" i="2"/>
  <c r="B5627" i="2"/>
  <c r="S5626" i="2"/>
  <c r="M5626" i="2"/>
  <c r="L5626" i="2"/>
  <c r="K5626" i="2"/>
  <c r="G5626" i="2"/>
  <c r="E5626" i="2"/>
  <c r="B5626" i="2"/>
  <c r="S5625" i="2"/>
  <c r="M5625" i="2"/>
  <c r="L5625" i="2"/>
  <c r="K5625" i="2"/>
  <c r="G5625" i="2"/>
  <c r="E5625" i="2"/>
  <c r="B5625" i="2"/>
  <c r="S5624" i="2"/>
  <c r="M5624" i="2"/>
  <c r="L5624" i="2"/>
  <c r="K5624" i="2"/>
  <c r="G5624" i="2"/>
  <c r="E5624" i="2"/>
  <c r="B5624" i="2"/>
  <c r="S5623" i="2"/>
  <c r="M5623" i="2"/>
  <c r="L5623" i="2"/>
  <c r="K5623" i="2"/>
  <c r="G5623" i="2"/>
  <c r="E5623" i="2"/>
  <c r="B5623" i="2"/>
  <c r="S5622" i="2"/>
  <c r="M5622" i="2"/>
  <c r="L5622" i="2"/>
  <c r="K5622" i="2"/>
  <c r="G5622" i="2"/>
  <c r="E5622" i="2"/>
  <c r="B5622" i="2"/>
  <c r="S5621" i="2"/>
  <c r="M5621" i="2"/>
  <c r="L5621" i="2"/>
  <c r="K5621" i="2"/>
  <c r="G5621" i="2"/>
  <c r="E5621" i="2"/>
  <c r="B5621" i="2"/>
  <c r="S5620" i="2"/>
  <c r="M5620" i="2"/>
  <c r="L5620" i="2"/>
  <c r="K5620" i="2"/>
  <c r="G5620" i="2"/>
  <c r="E5620" i="2"/>
  <c r="B5620" i="2"/>
  <c r="S5619" i="2"/>
  <c r="M5619" i="2"/>
  <c r="L5619" i="2"/>
  <c r="K5619" i="2"/>
  <c r="G5619" i="2"/>
  <c r="E5619" i="2"/>
  <c r="B5619" i="2"/>
  <c r="S5618" i="2"/>
  <c r="M5618" i="2"/>
  <c r="L5618" i="2"/>
  <c r="K5618" i="2"/>
  <c r="G5618" i="2"/>
  <c r="E5618" i="2"/>
  <c r="B5618" i="2"/>
  <c r="S5617" i="2"/>
  <c r="M5617" i="2"/>
  <c r="L5617" i="2"/>
  <c r="K5617" i="2"/>
  <c r="G5617" i="2"/>
  <c r="E5617" i="2"/>
  <c r="B5617" i="2"/>
  <c r="S5616" i="2"/>
  <c r="M5616" i="2"/>
  <c r="L5616" i="2"/>
  <c r="K5616" i="2"/>
  <c r="G5616" i="2"/>
  <c r="E5616" i="2"/>
  <c r="B5616" i="2"/>
  <c r="S5615" i="2"/>
  <c r="M5615" i="2"/>
  <c r="L5615" i="2"/>
  <c r="K5615" i="2"/>
  <c r="G5615" i="2"/>
  <c r="E5615" i="2"/>
  <c r="B5615" i="2"/>
  <c r="S5614" i="2"/>
  <c r="M5614" i="2"/>
  <c r="L5614" i="2"/>
  <c r="K5614" i="2"/>
  <c r="G5614" i="2"/>
  <c r="E5614" i="2"/>
  <c r="B5614" i="2"/>
  <c r="S5613" i="2"/>
  <c r="M5613" i="2"/>
  <c r="L5613" i="2"/>
  <c r="K5613" i="2"/>
  <c r="G5613" i="2"/>
  <c r="E5613" i="2"/>
  <c r="B5613" i="2"/>
  <c r="S5612" i="2"/>
  <c r="M5612" i="2"/>
  <c r="L5612" i="2"/>
  <c r="K5612" i="2"/>
  <c r="G5612" i="2"/>
  <c r="E5612" i="2"/>
  <c r="B5612" i="2"/>
  <c r="S5611" i="2"/>
  <c r="M5611" i="2"/>
  <c r="L5611" i="2"/>
  <c r="K5611" i="2"/>
  <c r="G5611" i="2"/>
  <c r="E5611" i="2"/>
  <c r="B5611" i="2"/>
  <c r="S5610" i="2"/>
  <c r="M5610" i="2"/>
  <c r="L5610" i="2"/>
  <c r="K5610" i="2"/>
  <c r="G5610" i="2"/>
  <c r="E5610" i="2"/>
  <c r="B5610" i="2"/>
  <c r="S5609" i="2"/>
  <c r="M5609" i="2"/>
  <c r="L5609" i="2"/>
  <c r="K5609" i="2"/>
  <c r="G5609" i="2"/>
  <c r="E5609" i="2"/>
  <c r="B5609" i="2"/>
  <c r="S5608" i="2"/>
  <c r="M5608" i="2"/>
  <c r="L5608" i="2"/>
  <c r="K5608" i="2"/>
  <c r="G5608" i="2"/>
  <c r="E5608" i="2"/>
  <c r="B5608" i="2"/>
  <c r="S5607" i="2"/>
  <c r="M5607" i="2"/>
  <c r="L5607" i="2"/>
  <c r="K5607" i="2"/>
  <c r="G5607" i="2"/>
  <c r="E5607" i="2"/>
  <c r="B5607" i="2"/>
  <c r="S5606" i="2"/>
  <c r="M5606" i="2"/>
  <c r="L5606" i="2"/>
  <c r="K5606" i="2"/>
  <c r="G5606" i="2"/>
  <c r="E5606" i="2"/>
  <c r="B5606" i="2"/>
  <c r="S5605" i="2"/>
  <c r="M5605" i="2"/>
  <c r="L5605" i="2"/>
  <c r="K5605" i="2"/>
  <c r="G5605" i="2"/>
  <c r="E5605" i="2"/>
  <c r="B5605" i="2"/>
  <c r="S5604" i="2"/>
  <c r="M5604" i="2"/>
  <c r="L5604" i="2"/>
  <c r="K5604" i="2"/>
  <c r="G5604" i="2"/>
  <c r="E5604" i="2"/>
  <c r="B5604" i="2"/>
  <c r="S5603" i="2"/>
  <c r="M5603" i="2"/>
  <c r="L5603" i="2"/>
  <c r="K5603" i="2"/>
  <c r="G5603" i="2"/>
  <c r="E5603" i="2"/>
  <c r="B5603" i="2"/>
  <c r="S5602" i="2"/>
  <c r="M5602" i="2"/>
  <c r="L5602" i="2"/>
  <c r="K5602" i="2"/>
  <c r="G5602" i="2"/>
  <c r="E5602" i="2"/>
  <c r="B5602" i="2"/>
  <c r="S5601" i="2"/>
  <c r="M5601" i="2"/>
  <c r="L5601" i="2"/>
  <c r="K5601" i="2"/>
  <c r="G5601" i="2"/>
  <c r="E5601" i="2"/>
  <c r="B5601" i="2"/>
  <c r="S5600" i="2"/>
  <c r="M5600" i="2"/>
  <c r="L5600" i="2"/>
  <c r="K5600" i="2"/>
  <c r="G5600" i="2"/>
  <c r="E5600" i="2"/>
  <c r="B5600" i="2"/>
  <c r="S5599" i="2"/>
  <c r="M5599" i="2"/>
  <c r="L5599" i="2"/>
  <c r="K5599" i="2"/>
  <c r="G5599" i="2"/>
  <c r="E5599" i="2"/>
  <c r="B5599" i="2"/>
  <c r="S5598" i="2"/>
  <c r="M5598" i="2"/>
  <c r="L5598" i="2"/>
  <c r="K5598" i="2"/>
  <c r="G5598" i="2"/>
  <c r="E5598" i="2"/>
  <c r="B5598" i="2"/>
  <c r="S5597" i="2"/>
  <c r="M5597" i="2"/>
  <c r="L5597" i="2"/>
  <c r="K5597" i="2"/>
  <c r="G5597" i="2"/>
  <c r="E5597" i="2"/>
  <c r="B5597" i="2"/>
  <c r="S5596" i="2"/>
  <c r="M5596" i="2"/>
  <c r="L5596" i="2"/>
  <c r="K5596" i="2"/>
  <c r="G5596" i="2"/>
  <c r="E5596" i="2"/>
  <c r="B5596" i="2"/>
  <c r="S5595" i="2"/>
  <c r="M5595" i="2"/>
  <c r="L5595" i="2"/>
  <c r="K5595" i="2"/>
  <c r="G5595" i="2"/>
  <c r="E5595" i="2"/>
  <c r="B5595" i="2"/>
  <c r="S5594" i="2"/>
  <c r="M5594" i="2"/>
  <c r="L5594" i="2"/>
  <c r="K5594" i="2"/>
  <c r="G5594" i="2"/>
  <c r="E5594" i="2"/>
  <c r="B5594" i="2"/>
  <c r="S5593" i="2"/>
  <c r="M5593" i="2"/>
  <c r="L5593" i="2"/>
  <c r="K5593" i="2"/>
  <c r="G5593" i="2"/>
  <c r="E5593" i="2"/>
  <c r="B5593" i="2"/>
  <c r="S5592" i="2"/>
  <c r="M5592" i="2"/>
  <c r="L5592" i="2"/>
  <c r="K5592" i="2"/>
  <c r="G5592" i="2"/>
  <c r="E5592" i="2"/>
  <c r="B5592" i="2"/>
  <c r="S5591" i="2"/>
  <c r="M5591" i="2"/>
  <c r="L5591" i="2"/>
  <c r="K5591" i="2"/>
  <c r="G5591" i="2"/>
  <c r="E5591" i="2"/>
  <c r="B5591" i="2"/>
  <c r="S5590" i="2"/>
  <c r="M5590" i="2"/>
  <c r="L5590" i="2"/>
  <c r="K5590" i="2"/>
  <c r="G5590" i="2"/>
  <c r="E5590" i="2"/>
  <c r="B5590" i="2"/>
  <c r="S5589" i="2"/>
  <c r="M5589" i="2"/>
  <c r="L5589" i="2"/>
  <c r="K5589" i="2"/>
  <c r="G5589" i="2"/>
  <c r="E5589" i="2"/>
  <c r="B5589" i="2"/>
  <c r="S5588" i="2"/>
  <c r="M5588" i="2"/>
  <c r="L5588" i="2"/>
  <c r="K5588" i="2"/>
  <c r="G5588" i="2"/>
  <c r="E5588" i="2"/>
  <c r="B5588" i="2"/>
  <c r="S5587" i="2"/>
  <c r="M5587" i="2"/>
  <c r="L5587" i="2"/>
  <c r="K5587" i="2"/>
  <c r="G5587" i="2"/>
  <c r="E5587" i="2"/>
  <c r="B5587" i="2"/>
  <c r="S5586" i="2"/>
  <c r="M5586" i="2"/>
  <c r="L5586" i="2"/>
  <c r="K5586" i="2"/>
  <c r="G5586" i="2"/>
  <c r="E5586" i="2"/>
  <c r="B5586" i="2"/>
  <c r="S5585" i="2"/>
  <c r="M5585" i="2"/>
  <c r="L5585" i="2"/>
  <c r="K5585" i="2"/>
  <c r="G5585" i="2"/>
  <c r="E5585" i="2"/>
  <c r="B5585" i="2"/>
  <c r="S5584" i="2"/>
  <c r="M5584" i="2"/>
  <c r="L5584" i="2"/>
  <c r="K5584" i="2"/>
  <c r="G5584" i="2"/>
  <c r="E5584" i="2"/>
  <c r="B5584" i="2"/>
  <c r="S5583" i="2"/>
  <c r="M5583" i="2"/>
  <c r="L5583" i="2"/>
  <c r="K5583" i="2"/>
  <c r="G5583" i="2"/>
  <c r="E5583" i="2"/>
  <c r="B5583" i="2"/>
  <c r="S5582" i="2"/>
  <c r="M5582" i="2"/>
  <c r="L5582" i="2"/>
  <c r="K5582" i="2"/>
  <c r="G5582" i="2"/>
  <c r="E5582" i="2"/>
  <c r="B5582" i="2"/>
  <c r="S5581" i="2"/>
  <c r="M5581" i="2"/>
  <c r="L5581" i="2"/>
  <c r="K5581" i="2"/>
  <c r="G5581" i="2"/>
  <c r="E5581" i="2"/>
  <c r="B5581" i="2"/>
  <c r="S5580" i="2"/>
  <c r="M5580" i="2"/>
  <c r="L5580" i="2"/>
  <c r="K5580" i="2"/>
  <c r="G5580" i="2"/>
  <c r="E5580" i="2"/>
  <c r="B5580" i="2"/>
  <c r="S5579" i="2"/>
  <c r="M5579" i="2"/>
  <c r="L5579" i="2"/>
  <c r="K5579" i="2"/>
  <c r="G5579" i="2"/>
  <c r="E5579" i="2"/>
  <c r="B5579" i="2"/>
  <c r="S5578" i="2"/>
  <c r="M5578" i="2"/>
  <c r="L5578" i="2"/>
  <c r="K5578" i="2"/>
  <c r="G5578" i="2"/>
  <c r="E5578" i="2"/>
  <c r="B5578" i="2"/>
  <c r="S5577" i="2"/>
  <c r="M5577" i="2"/>
  <c r="L5577" i="2"/>
  <c r="K5577" i="2"/>
  <c r="G5577" i="2"/>
  <c r="E5577" i="2"/>
  <c r="B5577" i="2"/>
  <c r="S5576" i="2"/>
  <c r="M5576" i="2"/>
  <c r="L5576" i="2"/>
  <c r="K5576" i="2"/>
  <c r="G5576" i="2"/>
  <c r="E5576" i="2"/>
  <c r="B5576" i="2"/>
  <c r="S5575" i="2"/>
  <c r="M5575" i="2"/>
  <c r="L5575" i="2"/>
  <c r="K5575" i="2"/>
  <c r="G5575" i="2"/>
  <c r="E5575" i="2"/>
  <c r="B5575" i="2"/>
  <c r="S5574" i="2"/>
  <c r="M5574" i="2"/>
  <c r="L5574" i="2"/>
  <c r="K5574" i="2"/>
  <c r="G5574" i="2"/>
  <c r="E5574" i="2"/>
  <c r="B5574" i="2"/>
  <c r="S5573" i="2"/>
  <c r="M5573" i="2"/>
  <c r="L5573" i="2"/>
  <c r="K5573" i="2"/>
  <c r="G5573" i="2"/>
  <c r="E5573" i="2"/>
  <c r="B5573" i="2"/>
  <c r="S5572" i="2"/>
  <c r="M5572" i="2"/>
  <c r="L5572" i="2"/>
  <c r="K5572" i="2"/>
  <c r="G5572" i="2"/>
  <c r="E5572" i="2"/>
  <c r="B5572" i="2"/>
  <c r="S5571" i="2"/>
  <c r="M5571" i="2"/>
  <c r="L5571" i="2"/>
  <c r="K5571" i="2"/>
  <c r="G5571" i="2"/>
  <c r="E5571" i="2"/>
  <c r="B5571" i="2"/>
  <c r="S5570" i="2"/>
  <c r="M5570" i="2"/>
  <c r="L5570" i="2"/>
  <c r="K5570" i="2"/>
  <c r="G5570" i="2"/>
  <c r="E5570" i="2"/>
  <c r="B5570" i="2"/>
  <c r="S5569" i="2"/>
  <c r="M5569" i="2"/>
  <c r="L5569" i="2"/>
  <c r="K5569" i="2"/>
  <c r="G5569" i="2"/>
  <c r="E5569" i="2"/>
  <c r="B5569" i="2"/>
  <c r="S5568" i="2"/>
  <c r="M5568" i="2"/>
  <c r="L5568" i="2"/>
  <c r="K5568" i="2"/>
  <c r="G5568" i="2"/>
  <c r="E5568" i="2"/>
  <c r="B5568" i="2"/>
  <c r="S5567" i="2"/>
  <c r="M5567" i="2"/>
  <c r="L5567" i="2"/>
  <c r="K5567" i="2"/>
  <c r="G5567" i="2"/>
  <c r="E5567" i="2"/>
  <c r="B5567" i="2"/>
  <c r="S5566" i="2"/>
  <c r="M5566" i="2"/>
  <c r="L5566" i="2"/>
  <c r="K5566" i="2"/>
  <c r="G5566" i="2"/>
  <c r="E5566" i="2"/>
  <c r="B5566" i="2"/>
  <c r="S5565" i="2"/>
  <c r="M5565" i="2"/>
  <c r="L5565" i="2"/>
  <c r="K5565" i="2"/>
  <c r="G5565" i="2"/>
  <c r="E5565" i="2"/>
  <c r="B5565" i="2"/>
  <c r="S5564" i="2"/>
  <c r="M5564" i="2"/>
  <c r="L5564" i="2"/>
  <c r="K5564" i="2"/>
  <c r="G5564" i="2"/>
  <c r="E5564" i="2"/>
  <c r="B5564" i="2"/>
  <c r="S5563" i="2"/>
  <c r="M5563" i="2"/>
  <c r="L5563" i="2"/>
  <c r="K5563" i="2"/>
  <c r="G5563" i="2"/>
  <c r="E5563" i="2"/>
  <c r="B5563" i="2"/>
  <c r="S5562" i="2"/>
  <c r="M5562" i="2"/>
  <c r="L5562" i="2"/>
  <c r="K5562" i="2"/>
  <c r="G5562" i="2"/>
  <c r="E5562" i="2"/>
  <c r="B5562" i="2"/>
  <c r="S5561" i="2"/>
  <c r="M5561" i="2"/>
  <c r="L5561" i="2"/>
  <c r="K5561" i="2"/>
  <c r="G5561" i="2"/>
  <c r="E5561" i="2"/>
  <c r="B5561" i="2"/>
  <c r="S5560" i="2"/>
  <c r="M5560" i="2"/>
  <c r="L5560" i="2"/>
  <c r="K5560" i="2"/>
  <c r="G5560" i="2"/>
  <c r="E5560" i="2"/>
  <c r="B5560" i="2"/>
  <c r="S5559" i="2"/>
  <c r="M5559" i="2"/>
  <c r="L5559" i="2"/>
  <c r="K5559" i="2"/>
  <c r="G5559" i="2"/>
  <c r="E5559" i="2"/>
  <c r="B5559" i="2"/>
  <c r="S5558" i="2"/>
  <c r="M5558" i="2"/>
  <c r="L5558" i="2"/>
  <c r="K5558" i="2"/>
  <c r="G5558" i="2"/>
  <c r="E5558" i="2"/>
  <c r="B5558" i="2"/>
  <c r="S5557" i="2"/>
  <c r="M5557" i="2"/>
  <c r="L5557" i="2"/>
  <c r="K5557" i="2"/>
  <c r="G5557" i="2"/>
  <c r="E5557" i="2"/>
  <c r="B5557" i="2"/>
  <c r="S5556" i="2"/>
  <c r="M5556" i="2"/>
  <c r="L5556" i="2"/>
  <c r="K5556" i="2"/>
  <c r="G5556" i="2"/>
  <c r="E5556" i="2"/>
  <c r="B5556" i="2"/>
  <c r="S5555" i="2"/>
  <c r="M5555" i="2"/>
  <c r="L5555" i="2"/>
  <c r="K5555" i="2"/>
  <c r="G5555" i="2"/>
  <c r="E5555" i="2"/>
  <c r="B5555" i="2"/>
  <c r="S5554" i="2"/>
  <c r="M5554" i="2"/>
  <c r="L5554" i="2"/>
  <c r="K5554" i="2"/>
  <c r="G5554" i="2"/>
  <c r="E5554" i="2"/>
  <c r="B5554" i="2"/>
  <c r="S5553" i="2"/>
  <c r="M5553" i="2"/>
  <c r="L5553" i="2"/>
  <c r="K5553" i="2"/>
  <c r="G5553" i="2"/>
  <c r="E5553" i="2"/>
  <c r="B5553" i="2"/>
  <c r="S5552" i="2"/>
  <c r="M5552" i="2"/>
  <c r="L5552" i="2"/>
  <c r="K5552" i="2"/>
  <c r="G5552" i="2"/>
  <c r="E5552" i="2"/>
  <c r="B5552" i="2"/>
  <c r="S5551" i="2"/>
  <c r="M5551" i="2"/>
  <c r="L5551" i="2"/>
  <c r="K5551" i="2"/>
  <c r="G5551" i="2"/>
  <c r="E5551" i="2"/>
  <c r="B5551" i="2"/>
  <c r="S5550" i="2"/>
  <c r="M5550" i="2"/>
  <c r="L5550" i="2"/>
  <c r="K5550" i="2"/>
  <c r="G5550" i="2"/>
  <c r="E5550" i="2"/>
  <c r="B5550" i="2"/>
  <c r="S5549" i="2"/>
  <c r="M5549" i="2"/>
  <c r="L5549" i="2"/>
  <c r="K5549" i="2"/>
  <c r="G5549" i="2"/>
  <c r="E5549" i="2"/>
  <c r="B5549" i="2"/>
  <c r="S5548" i="2"/>
  <c r="M5548" i="2"/>
  <c r="L5548" i="2"/>
  <c r="K5548" i="2"/>
  <c r="G5548" i="2"/>
  <c r="E5548" i="2"/>
  <c r="B5548" i="2"/>
  <c r="S5547" i="2"/>
  <c r="M5547" i="2"/>
  <c r="L5547" i="2"/>
  <c r="K5547" i="2"/>
  <c r="G5547" i="2"/>
  <c r="E5547" i="2"/>
  <c r="B5547" i="2"/>
  <c r="S5546" i="2"/>
  <c r="M5546" i="2"/>
  <c r="L5546" i="2"/>
  <c r="K5546" i="2"/>
  <c r="G5546" i="2"/>
  <c r="E5546" i="2"/>
  <c r="B5546" i="2"/>
  <c r="S5545" i="2"/>
  <c r="M5545" i="2"/>
  <c r="L5545" i="2"/>
  <c r="K5545" i="2"/>
  <c r="G5545" i="2"/>
  <c r="E5545" i="2"/>
  <c r="B5545" i="2"/>
  <c r="S5544" i="2"/>
  <c r="M5544" i="2"/>
  <c r="L5544" i="2"/>
  <c r="K5544" i="2"/>
  <c r="G5544" i="2"/>
  <c r="E5544" i="2"/>
  <c r="B5544" i="2"/>
  <c r="S5543" i="2"/>
  <c r="M5543" i="2"/>
  <c r="L5543" i="2"/>
  <c r="K5543" i="2"/>
  <c r="G5543" i="2"/>
  <c r="E5543" i="2"/>
  <c r="B5543" i="2"/>
  <c r="S5542" i="2"/>
  <c r="M5542" i="2"/>
  <c r="L5542" i="2"/>
  <c r="K5542" i="2"/>
  <c r="G5542" i="2"/>
  <c r="E5542" i="2"/>
  <c r="B5542" i="2"/>
  <c r="S5541" i="2"/>
  <c r="M5541" i="2"/>
  <c r="L5541" i="2"/>
  <c r="K5541" i="2"/>
  <c r="G5541" i="2"/>
  <c r="E5541" i="2"/>
  <c r="B5541" i="2"/>
  <c r="S5540" i="2"/>
  <c r="M5540" i="2"/>
  <c r="L5540" i="2"/>
  <c r="K5540" i="2"/>
  <c r="G5540" i="2"/>
  <c r="E5540" i="2"/>
  <c r="B5540" i="2"/>
  <c r="S5539" i="2"/>
  <c r="M5539" i="2"/>
  <c r="L5539" i="2"/>
  <c r="K5539" i="2"/>
  <c r="G5539" i="2"/>
  <c r="E5539" i="2"/>
  <c r="B5539" i="2"/>
  <c r="S5538" i="2"/>
  <c r="M5538" i="2"/>
  <c r="L5538" i="2"/>
  <c r="K5538" i="2"/>
  <c r="G5538" i="2"/>
  <c r="E5538" i="2"/>
  <c r="B5538" i="2"/>
  <c r="S5537" i="2"/>
  <c r="M5537" i="2"/>
  <c r="L5537" i="2"/>
  <c r="K5537" i="2"/>
  <c r="G5537" i="2"/>
  <c r="E5537" i="2"/>
  <c r="B5537" i="2"/>
  <c r="S5536" i="2"/>
  <c r="M5536" i="2"/>
  <c r="L5536" i="2"/>
  <c r="K5536" i="2"/>
  <c r="G5536" i="2"/>
  <c r="E5536" i="2"/>
  <c r="B5536" i="2"/>
  <c r="S5535" i="2"/>
  <c r="M5535" i="2"/>
  <c r="L5535" i="2"/>
  <c r="K5535" i="2"/>
  <c r="G5535" i="2"/>
  <c r="E5535" i="2"/>
  <c r="B5535" i="2"/>
  <c r="S5534" i="2"/>
  <c r="M5534" i="2"/>
  <c r="L5534" i="2"/>
  <c r="K5534" i="2"/>
  <c r="G5534" i="2"/>
  <c r="E5534" i="2"/>
  <c r="B5534" i="2"/>
  <c r="S5533" i="2"/>
  <c r="M5533" i="2"/>
  <c r="L5533" i="2"/>
  <c r="K5533" i="2"/>
  <c r="G5533" i="2"/>
  <c r="E5533" i="2"/>
  <c r="B5533" i="2"/>
  <c r="S5532" i="2"/>
  <c r="M5532" i="2"/>
  <c r="L5532" i="2"/>
  <c r="K5532" i="2"/>
  <c r="G5532" i="2"/>
  <c r="E5532" i="2"/>
  <c r="B5532" i="2"/>
  <c r="S5531" i="2"/>
  <c r="M5531" i="2"/>
  <c r="L5531" i="2"/>
  <c r="K5531" i="2"/>
  <c r="G5531" i="2"/>
  <c r="E5531" i="2"/>
  <c r="B5531" i="2"/>
  <c r="S5530" i="2"/>
  <c r="M5530" i="2"/>
  <c r="L5530" i="2"/>
  <c r="K5530" i="2"/>
  <c r="G5530" i="2"/>
  <c r="E5530" i="2"/>
  <c r="B5530" i="2"/>
  <c r="S5529" i="2"/>
  <c r="M5529" i="2"/>
  <c r="L5529" i="2"/>
  <c r="K5529" i="2"/>
  <c r="G5529" i="2"/>
  <c r="E5529" i="2"/>
  <c r="B5529" i="2"/>
  <c r="S5528" i="2"/>
  <c r="M5528" i="2"/>
  <c r="L5528" i="2"/>
  <c r="K5528" i="2"/>
  <c r="G5528" i="2"/>
  <c r="E5528" i="2"/>
  <c r="B5528" i="2"/>
  <c r="S5527" i="2"/>
  <c r="M5527" i="2"/>
  <c r="L5527" i="2"/>
  <c r="K5527" i="2"/>
  <c r="G5527" i="2"/>
  <c r="E5527" i="2"/>
  <c r="B5527" i="2"/>
  <c r="S5526" i="2"/>
  <c r="M5526" i="2"/>
  <c r="L5526" i="2"/>
  <c r="K5526" i="2"/>
  <c r="G5526" i="2"/>
  <c r="E5526" i="2"/>
  <c r="B5526" i="2"/>
  <c r="S5525" i="2"/>
  <c r="M5525" i="2"/>
  <c r="L5525" i="2"/>
  <c r="K5525" i="2"/>
  <c r="G5525" i="2"/>
  <c r="E5525" i="2"/>
  <c r="B5525" i="2"/>
  <c r="S5524" i="2"/>
  <c r="M5524" i="2"/>
  <c r="L5524" i="2"/>
  <c r="K5524" i="2"/>
  <c r="G5524" i="2"/>
  <c r="E5524" i="2"/>
  <c r="B5524" i="2"/>
  <c r="S5523" i="2"/>
  <c r="M5523" i="2"/>
  <c r="L5523" i="2"/>
  <c r="K5523" i="2"/>
  <c r="G5523" i="2"/>
  <c r="E5523" i="2"/>
  <c r="B5523" i="2"/>
  <c r="S5522" i="2"/>
  <c r="M5522" i="2"/>
  <c r="L5522" i="2"/>
  <c r="K5522" i="2"/>
  <c r="G5522" i="2"/>
  <c r="E5522" i="2"/>
  <c r="B5522" i="2"/>
  <c r="S5521" i="2"/>
  <c r="M5521" i="2"/>
  <c r="L5521" i="2"/>
  <c r="K5521" i="2"/>
  <c r="G5521" i="2"/>
  <c r="E5521" i="2"/>
  <c r="B5521" i="2"/>
  <c r="S5520" i="2"/>
  <c r="M5520" i="2"/>
  <c r="L5520" i="2"/>
  <c r="K5520" i="2"/>
  <c r="G5520" i="2"/>
  <c r="E5520" i="2"/>
  <c r="B5520" i="2"/>
  <c r="S5519" i="2"/>
  <c r="M5519" i="2"/>
  <c r="L5519" i="2"/>
  <c r="K5519" i="2"/>
  <c r="G5519" i="2"/>
  <c r="E5519" i="2"/>
  <c r="B5519" i="2"/>
  <c r="S5518" i="2"/>
  <c r="M5518" i="2"/>
  <c r="L5518" i="2"/>
  <c r="K5518" i="2"/>
  <c r="G5518" i="2"/>
  <c r="E5518" i="2"/>
  <c r="B5518" i="2"/>
  <c r="S5517" i="2"/>
  <c r="M5517" i="2"/>
  <c r="L5517" i="2"/>
  <c r="K5517" i="2"/>
  <c r="G5517" i="2"/>
  <c r="E5517" i="2"/>
  <c r="B5517" i="2"/>
  <c r="S5516" i="2"/>
  <c r="M5516" i="2"/>
  <c r="L5516" i="2"/>
  <c r="K5516" i="2"/>
  <c r="G5516" i="2"/>
  <c r="E5516" i="2"/>
  <c r="B5516" i="2"/>
  <c r="S5515" i="2"/>
  <c r="M5515" i="2"/>
  <c r="L5515" i="2"/>
  <c r="K5515" i="2"/>
  <c r="G5515" i="2"/>
  <c r="E5515" i="2"/>
  <c r="B5515" i="2"/>
  <c r="S5514" i="2"/>
  <c r="M5514" i="2"/>
  <c r="L5514" i="2"/>
  <c r="K5514" i="2"/>
  <c r="G5514" i="2"/>
  <c r="E5514" i="2"/>
  <c r="B5514" i="2"/>
  <c r="S5513" i="2"/>
  <c r="M5513" i="2"/>
  <c r="L5513" i="2"/>
  <c r="K5513" i="2"/>
  <c r="G5513" i="2"/>
  <c r="E5513" i="2"/>
  <c r="B5513" i="2"/>
  <c r="S5512" i="2"/>
  <c r="M5512" i="2"/>
  <c r="L5512" i="2"/>
  <c r="K5512" i="2"/>
  <c r="G5512" i="2"/>
  <c r="E5512" i="2"/>
  <c r="B5512" i="2"/>
  <c r="S5511" i="2"/>
  <c r="M5511" i="2"/>
  <c r="L5511" i="2"/>
  <c r="K5511" i="2"/>
  <c r="G5511" i="2"/>
  <c r="E5511" i="2"/>
  <c r="B5511" i="2"/>
  <c r="S5510" i="2"/>
  <c r="M5510" i="2"/>
  <c r="L5510" i="2"/>
  <c r="K5510" i="2"/>
  <c r="G5510" i="2"/>
  <c r="E5510" i="2"/>
  <c r="B5510" i="2"/>
  <c r="S5509" i="2"/>
  <c r="M5509" i="2"/>
  <c r="L5509" i="2"/>
  <c r="K5509" i="2"/>
  <c r="G5509" i="2"/>
  <c r="E5509" i="2"/>
  <c r="B5509" i="2"/>
  <c r="S5508" i="2"/>
  <c r="M5508" i="2"/>
  <c r="L5508" i="2"/>
  <c r="K5508" i="2"/>
  <c r="G5508" i="2"/>
  <c r="E5508" i="2"/>
  <c r="B5508" i="2"/>
  <c r="S5507" i="2"/>
  <c r="M5507" i="2"/>
  <c r="L5507" i="2"/>
  <c r="K5507" i="2"/>
  <c r="G5507" i="2"/>
  <c r="E5507" i="2"/>
  <c r="B5507" i="2"/>
  <c r="S5506" i="2"/>
  <c r="M5506" i="2"/>
  <c r="L5506" i="2"/>
  <c r="K5506" i="2"/>
  <c r="G5506" i="2"/>
  <c r="E5506" i="2"/>
  <c r="B5506" i="2"/>
  <c r="S5505" i="2"/>
  <c r="M5505" i="2"/>
  <c r="L5505" i="2"/>
  <c r="K5505" i="2"/>
  <c r="G5505" i="2"/>
  <c r="E5505" i="2"/>
  <c r="B5505" i="2"/>
  <c r="S5504" i="2"/>
  <c r="M5504" i="2"/>
  <c r="L5504" i="2"/>
  <c r="K5504" i="2"/>
  <c r="G5504" i="2"/>
  <c r="E5504" i="2"/>
  <c r="B5504" i="2"/>
  <c r="S5503" i="2"/>
  <c r="M5503" i="2"/>
  <c r="L5503" i="2"/>
  <c r="K5503" i="2"/>
  <c r="G5503" i="2"/>
  <c r="E5503" i="2"/>
  <c r="B5503" i="2"/>
  <c r="S5502" i="2"/>
  <c r="M5502" i="2"/>
  <c r="L5502" i="2"/>
  <c r="K5502" i="2"/>
  <c r="G5502" i="2"/>
  <c r="E5502" i="2"/>
  <c r="B5502" i="2"/>
  <c r="S5501" i="2"/>
  <c r="M5501" i="2"/>
  <c r="L5501" i="2"/>
  <c r="K5501" i="2"/>
  <c r="G5501" i="2"/>
  <c r="E5501" i="2"/>
  <c r="B5501" i="2"/>
  <c r="S5500" i="2"/>
  <c r="M5500" i="2"/>
  <c r="L5500" i="2"/>
  <c r="K5500" i="2"/>
  <c r="G5500" i="2"/>
  <c r="E5500" i="2"/>
  <c r="B5500" i="2"/>
  <c r="S5499" i="2"/>
  <c r="M5499" i="2"/>
  <c r="L5499" i="2"/>
  <c r="K5499" i="2"/>
  <c r="G5499" i="2"/>
  <c r="E5499" i="2"/>
  <c r="B5499" i="2"/>
  <c r="S5498" i="2"/>
  <c r="M5498" i="2"/>
  <c r="L5498" i="2"/>
  <c r="K5498" i="2"/>
  <c r="G5498" i="2"/>
  <c r="E5498" i="2"/>
  <c r="B5498" i="2"/>
  <c r="S5497" i="2"/>
  <c r="M5497" i="2"/>
  <c r="L5497" i="2"/>
  <c r="K5497" i="2"/>
  <c r="G5497" i="2"/>
  <c r="E5497" i="2"/>
  <c r="B5497" i="2"/>
  <c r="S5496" i="2"/>
  <c r="M5496" i="2"/>
  <c r="L5496" i="2"/>
  <c r="K5496" i="2"/>
  <c r="G5496" i="2"/>
  <c r="E5496" i="2"/>
  <c r="B5496" i="2"/>
  <c r="S5495" i="2"/>
  <c r="M5495" i="2"/>
  <c r="L5495" i="2"/>
  <c r="K5495" i="2"/>
  <c r="G5495" i="2"/>
  <c r="E5495" i="2"/>
  <c r="B5495" i="2"/>
  <c r="S5494" i="2"/>
  <c r="M5494" i="2"/>
  <c r="L5494" i="2"/>
  <c r="K5494" i="2"/>
  <c r="G5494" i="2"/>
  <c r="E5494" i="2"/>
  <c r="B5494" i="2"/>
  <c r="S5493" i="2"/>
  <c r="M5493" i="2"/>
  <c r="L5493" i="2"/>
  <c r="K5493" i="2"/>
  <c r="G5493" i="2"/>
  <c r="E5493" i="2"/>
  <c r="B5493" i="2"/>
  <c r="S5492" i="2"/>
  <c r="M5492" i="2"/>
  <c r="L5492" i="2"/>
  <c r="K5492" i="2"/>
  <c r="G5492" i="2"/>
  <c r="E5492" i="2"/>
  <c r="B5492" i="2"/>
  <c r="S5491" i="2"/>
  <c r="M5491" i="2"/>
  <c r="L5491" i="2"/>
  <c r="K5491" i="2"/>
  <c r="G5491" i="2"/>
  <c r="E5491" i="2"/>
  <c r="B5491" i="2"/>
  <c r="S5490" i="2"/>
  <c r="M5490" i="2"/>
  <c r="L5490" i="2"/>
  <c r="K5490" i="2"/>
  <c r="G5490" i="2"/>
  <c r="E5490" i="2"/>
  <c r="B5490" i="2"/>
  <c r="S5489" i="2"/>
  <c r="M5489" i="2"/>
  <c r="L5489" i="2"/>
  <c r="K5489" i="2"/>
  <c r="G5489" i="2"/>
  <c r="E5489" i="2"/>
  <c r="B5489" i="2"/>
  <c r="S5488" i="2"/>
  <c r="M5488" i="2"/>
  <c r="L5488" i="2"/>
  <c r="K5488" i="2"/>
  <c r="G5488" i="2"/>
  <c r="E5488" i="2"/>
  <c r="B5488" i="2"/>
  <c r="S5487" i="2"/>
  <c r="M5487" i="2"/>
  <c r="L5487" i="2"/>
  <c r="K5487" i="2"/>
  <c r="G5487" i="2"/>
  <c r="E5487" i="2"/>
  <c r="B5487" i="2"/>
  <c r="S5486" i="2"/>
  <c r="M5486" i="2"/>
  <c r="L5486" i="2"/>
  <c r="K5486" i="2"/>
  <c r="G5486" i="2"/>
  <c r="E5486" i="2"/>
  <c r="B5486" i="2"/>
  <c r="S5485" i="2"/>
  <c r="M5485" i="2"/>
  <c r="L5485" i="2"/>
  <c r="K5485" i="2"/>
  <c r="G5485" i="2"/>
  <c r="E5485" i="2"/>
  <c r="B5485" i="2"/>
  <c r="S5484" i="2"/>
  <c r="M5484" i="2"/>
  <c r="L5484" i="2"/>
  <c r="K5484" i="2"/>
  <c r="G5484" i="2"/>
  <c r="E5484" i="2"/>
  <c r="B5484" i="2"/>
  <c r="S5483" i="2"/>
  <c r="M5483" i="2"/>
  <c r="L5483" i="2"/>
  <c r="K5483" i="2"/>
  <c r="G5483" i="2"/>
  <c r="E5483" i="2"/>
  <c r="B5483" i="2"/>
  <c r="S5482" i="2"/>
  <c r="M5482" i="2"/>
  <c r="L5482" i="2"/>
  <c r="K5482" i="2"/>
  <c r="G5482" i="2"/>
  <c r="E5482" i="2"/>
  <c r="B5482" i="2"/>
  <c r="S5481" i="2"/>
  <c r="M5481" i="2"/>
  <c r="L5481" i="2"/>
  <c r="K5481" i="2"/>
  <c r="G5481" i="2"/>
  <c r="E5481" i="2"/>
  <c r="B5481" i="2"/>
  <c r="S5480" i="2"/>
  <c r="M5480" i="2"/>
  <c r="L5480" i="2"/>
  <c r="K5480" i="2"/>
  <c r="G5480" i="2"/>
  <c r="E5480" i="2"/>
  <c r="B5480" i="2"/>
  <c r="S5479" i="2"/>
  <c r="M5479" i="2"/>
  <c r="L5479" i="2"/>
  <c r="K5479" i="2"/>
  <c r="G5479" i="2"/>
  <c r="E5479" i="2"/>
  <c r="B5479" i="2"/>
  <c r="S5478" i="2"/>
  <c r="M5478" i="2"/>
  <c r="L5478" i="2"/>
  <c r="K5478" i="2"/>
  <c r="G5478" i="2"/>
  <c r="E5478" i="2"/>
  <c r="B5478" i="2"/>
  <c r="S5477" i="2"/>
  <c r="M5477" i="2"/>
  <c r="L5477" i="2"/>
  <c r="K5477" i="2"/>
  <c r="G5477" i="2"/>
  <c r="E5477" i="2"/>
  <c r="B5477" i="2"/>
  <c r="S5476" i="2"/>
  <c r="M5476" i="2"/>
  <c r="L5476" i="2"/>
  <c r="K5476" i="2"/>
  <c r="G5476" i="2"/>
  <c r="E5476" i="2"/>
  <c r="B5476" i="2"/>
  <c r="S5475" i="2"/>
  <c r="M5475" i="2"/>
  <c r="L5475" i="2"/>
  <c r="K5475" i="2"/>
  <c r="G5475" i="2"/>
  <c r="E5475" i="2"/>
  <c r="B5475" i="2"/>
  <c r="S5474" i="2"/>
  <c r="M5474" i="2"/>
  <c r="L5474" i="2"/>
  <c r="K5474" i="2"/>
  <c r="G5474" i="2"/>
  <c r="E5474" i="2"/>
  <c r="B5474" i="2"/>
  <c r="S5473" i="2"/>
  <c r="M5473" i="2"/>
  <c r="L5473" i="2"/>
  <c r="K5473" i="2"/>
  <c r="G5473" i="2"/>
  <c r="E5473" i="2"/>
  <c r="B5473" i="2"/>
  <c r="S5472" i="2"/>
  <c r="M5472" i="2"/>
  <c r="L5472" i="2"/>
  <c r="K5472" i="2"/>
  <c r="G5472" i="2"/>
  <c r="E5472" i="2"/>
  <c r="B5472" i="2"/>
  <c r="S5471" i="2"/>
  <c r="M5471" i="2"/>
  <c r="L5471" i="2"/>
  <c r="K5471" i="2"/>
  <c r="G5471" i="2"/>
  <c r="E5471" i="2"/>
  <c r="B5471" i="2"/>
  <c r="S5470" i="2"/>
  <c r="M5470" i="2"/>
  <c r="L5470" i="2"/>
  <c r="K5470" i="2"/>
  <c r="G5470" i="2"/>
  <c r="E5470" i="2"/>
  <c r="B5470" i="2"/>
  <c r="S5469" i="2"/>
  <c r="M5469" i="2"/>
  <c r="L5469" i="2"/>
  <c r="K5469" i="2"/>
  <c r="G5469" i="2"/>
  <c r="E5469" i="2"/>
  <c r="B5469" i="2"/>
  <c r="S5468" i="2"/>
  <c r="M5468" i="2"/>
  <c r="L5468" i="2"/>
  <c r="K5468" i="2"/>
  <c r="G5468" i="2"/>
  <c r="E5468" i="2"/>
  <c r="B5468" i="2"/>
  <c r="S5467" i="2"/>
  <c r="M5467" i="2"/>
  <c r="L5467" i="2"/>
  <c r="K5467" i="2"/>
  <c r="G5467" i="2"/>
  <c r="E5467" i="2"/>
  <c r="B5467" i="2"/>
  <c r="S5466" i="2"/>
  <c r="M5466" i="2"/>
  <c r="L5466" i="2"/>
  <c r="K5466" i="2"/>
  <c r="G5466" i="2"/>
  <c r="E5466" i="2"/>
  <c r="B5466" i="2"/>
  <c r="S5465" i="2"/>
  <c r="M5465" i="2"/>
  <c r="L5465" i="2"/>
  <c r="K5465" i="2"/>
  <c r="G5465" i="2"/>
  <c r="E5465" i="2"/>
  <c r="B5465" i="2"/>
  <c r="S5464" i="2"/>
  <c r="M5464" i="2"/>
  <c r="L5464" i="2"/>
  <c r="K5464" i="2"/>
  <c r="G5464" i="2"/>
  <c r="E5464" i="2"/>
  <c r="B5464" i="2"/>
  <c r="S5463" i="2"/>
  <c r="M5463" i="2"/>
  <c r="L5463" i="2"/>
  <c r="K5463" i="2"/>
  <c r="G5463" i="2"/>
  <c r="E5463" i="2"/>
  <c r="B5463" i="2"/>
  <c r="S5462" i="2"/>
  <c r="M5462" i="2"/>
  <c r="L5462" i="2"/>
  <c r="K5462" i="2"/>
  <c r="G5462" i="2"/>
  <c r="E5462" i="2"/>
  <c r="B5462" i="2"/>
  <c r="S5461" i="2"/>
  <c r="M5461" i="2"/>
  <c r="L5461" i="2"/>
  <c r="K5461" i="2"/>
  <c r="G5461" i="2"/>
  <c r="E5461" i="2"/>
  <c r="B5461" i="2"/>
  <c r="S5460" i="2"/>
  <c r="M5460" i="2"/>
  <c r="L5460" i="2"/>
  <c r="K5460" i="2"/>
  <c r="G5460" i="2"/>
  <c r="E5460" i="2"/>
  <c r="B5460" i="2"/>
  <c r="S5459" i="2"/>
  <c r="M5459" i="2"/>
  <c r="L5459" i="2"/>
  <c r="K5459" i="2"/>
  <c r="G5459" i="2"/>
  <c r="E5459" i="2"/>
  <c r="B5459" i="2"/>
  <c r="S5458" i="2"/>
  <c r="M5458" i="2"/>
  <c r="L5458" i="2"/>
  <c r="K5458" i="2"/>
  <c r="G5458" i="2"/>
  <c r="E5458" i="2"/>
  <c r="B5458" i="2"/>
  <c r="S5457" i="2"/>
  <c r="M5457" i="2"/>
  <c r="L5457" i="2"/>
  <c r="K5457" i="2"/>
  <c r="G5457" i="2"/>
  <c r="E5457" i="2"/>
  <c r="B5457" i="2"/>
  <c r="S5456" i="2"/>
  <c r="M5456" i="2"/>
  <c r="L5456" i="2"/>
  <c r="K5456" i="2"/>
  <c r="G5456" i="2"/>
  <c r="E5456" i="2"/>
  <c r="B5456" i="2"/>
  <c r="S5455" i="2"/>
  <c r="M5455" i="2"/>
  <c r="L5455" i="2"/>
  <c r="K5455" i="2"/>
  <c r="G5455" i="2"/>
  <c r="E5455" i="2"/>
  <c r="B5455" i="2"/>
  <c r="S5454" i="2"/>
  <c r="M5454" i="2"/>
  <c r="L5454" i="2"/>
  <c r="K5454" i="2"/>
  <c r="G5454" i="2"/>
  <c r="E5454" i="2"/>
  <c r="B5454" i="2"/>
  <c r="S5453" i="2"/>
  <c r="M5453" i="2"/>
  <c r="L5453" i="2"/>
  <c r="K5453" i="2"/>
  <c r="G5453" i="2"/>
  <c r="E5453" i="2"/>
  <c r="B5453" i="2"/>
  <c r="S5452" i="2"/>
  <c r="M5452" i="2"/>
  <c r="L5452" i="2"/>
  <c r="K5452" i="2"/>
  <c r="G5452" i="2"/>
  <c r="E5452" i="2"/>
  <c r="B5452" i="2"/>
  <c r="S5451" i="2"/>
  <c r="M5451" i="2"/>
  <c r="L5451" i="2"/>
  <c r="K5451" i="2"/>
  <c r="G5451" i="2"/>
  <c r="E5451" i="2"/>
  <c r="B5451" i="2"/>
  <c r="S5450" i="2"/>
  <c r="M5450" i="2"/>
  <c r="L5450" i="2"/>
  <c r="K5450" i="2"/>
  <c r="G5450" i="2"/>
  <c r="E5450" i="2"/>
  <c r="B5450" i="2"/>
  <c r="S5449" i="2"/>
  <c r="M5449" i="2"/>
  <c r="L5449" i="2"/>
  <c r="K5449" i="2"/>
  <c r="G5449" i="2"/>
  <c r="E5449" i="2"/>
  <c r="B5449" i="2"/>
  <c r="S5448" i="2"/>
  <c r="M5448" i="2"/>
  <c r="L5448" i="2"/>
  <c r="K5448" i="2"/>
  <c r="G5448" i="2"/>
  <c r="E5448" i="2"/>
  <c r="B5448" i="2"/>
  <c r="S5447" i="2"/>
  <c r="M5447" i="2"/>
  <c r="L5447" i="2"/>
  <c r="K5447" i="2"/>
  <c r="G5447" i="2"/>
  <c r="E5447" i="2"/>
  <c r="B5447" i="2"/>
  <c r="S5446" i="2"/>
  <c r="M5446" i="2"/>
  <c r="L5446" i="2"/>
  <c r="K5446" i="2"/>
  <c r="G5446" i="2"/>
  <c r="E5446" i="2"/>
  <c r="B5446" i="2"/>
  <c r="S5445" i="2"/>
  <c r="M5445" i="2"/>
  <c r="L5445" i="2"/>
  <c r="K5445" i="2"/>
  <c r="G5445" i="2"/>
  <c r="E5445" i="2"/>
  <c r="B5445" i="2"/>
  <c r="S5444" i="2"/>
  <c r="M5444" i="2"/>
  <c r="L5444" i="2"/>
  <c r="K5444" i="2"/>
  <c r="G5444" i="2"/>
  <c r="E5444" i="2"/>
  <c r="B5444" i="2"/>
  <c r="S5443" i="2"/>
  <c r="M5443" i="2"/>
  <c r="L5443" i="2"/>
  <c r="K5443" i="2"/>
  <c r="G5443" i="2"/>
  <c r="E5443" i="2"/>
  <c r="B5443" i="2"/>
  <c r="S5442" i="2"/>
  <c r="M5442" i="2"/>
  <c r="L5442" i="2"/>
  <c r="K5442" i="2"/>
  <c r="G5442" i="2"/>
  <c r="E5442" i="2"/>
  <c r="B5442" i="2"/>
  <c r="S5441" i="2"/>
  <c r="M5441" i="2"/>
  <c r="L5441" i="2"/>
  <c r="K5441" i="2"/>
  <c r="G5441" i="2"/>
  <c r="E5441" i="2"/>
  <c r="B5441" i="2"/>
  <c r="S5440" i="2"/>
  <c r="M5440" i="2"/>
  <c r="L5440" i="2"/>
  <c r="K5440" i="2"/>
  <c r="G5440" i="2"/>
  <c r="E5440" i="2"/>
  <c r="B5440" i="2"/>
  <c r="S5439" i="2"/>
  <c r="M5439" i="2"/>
  <c r="L5439" i="2"/>
  <c r="K5439" i="2"/>
  <c r="G5439" i="2"/>
  <c r="E5439" i="2"/>
  <c r="B5439" i="2"/>
  <c r="S5438" i="2"/>
  <c r="M5438" i="2"/>
  <c r="L5438" i="2"/>
  <c r="K5438" i="2"/>
  <c r="G5438" i="2"/>
  <c r="E5438" i="2"/>
  <c r="B5438" i="2"/>
  <c r="S5437" i="2"/>
  <c r="M5437" i="2"/>
  <c r="L5437" i="2"/>
  <c r="K5437" i="2"/>
  <c r="G5437" i="2"/>
  <c r="E5437" i="2"/>
  <c r="B5437" i="2"/>
  <c r="S5436" i="2"/>
  <c r="M5436" i="2"/>
  <c r="L5436" i="2"/>
  <c r="K5436" i="2"/>
  <c r="G5436" i="2"/>
  <c r="E5436" i="2"/>
  <c r="B5436" i="2"/>
  <c r="S5435" i="2"/>
  <c r="M5435" i="2"/>
  <c r="L5435" i="2"/>
  <c r="K5435" i="2"/>
  <c r="G5435" i="2"/>
  <c r="E5435" i="2"/>
  <c r="B5435" i="2"/>
  <c r="S5434" i="2"/>
  <c r="M5434" i="2"/>
  <c r="L5434" i="2"/>
  <c r="K5434" i="2"/>
  <c r="G5434" i="2"/>
  <c r="E5434" i="2"/>
  <c r="B5434" i="2"/>
  <c r="S5433" i="2"/>
  <c r="M5433" i="2"/>
  <c r="L5433" i="2"/>
  <c r="K5433" i="2"/>
  <c r="G5433" i="2"/>
  <c r="E5433" i="2"/>
  <c r="B5433" i="2"/>
  <c r="S5432" i="2"/>
  <c r="M5432" i="2"/>
  <c r="L5432" i="2"/>
  <c r="K5432" i="2"/>
  <c r="G5432" i="2"/>
  <c r="E5432" i="2"/>
  <c r="B5432" i="2"/>
  <c r="S5431" i="2"/>
  <c r="M5431" i="2"/>
  <c r="L5431" i="2"/>
  <c r="K5431" i="2"/>
  <c r="G5431" i="2"/>
  <c r="E5431" i="2"/>
  <c r="B5431" i="2"/>
  <c r="S5430" i="2"/>
  <c r="M5430" i="2"/>
  <c r="L5430" i="2"/>
  <c r="K5430" i="2"/>
  <c r="G5430" i="2"/>
  <c r="E5430" i="2"/>
  <c r="B5430" i="2"/>
  <c r="S5429" i="2"/>
  <c r="M5429" i="2"/>
  <c r="L5429" i="2"/>
  <c r="K5429" i="2"/>
  <c r="G5429" i="2"/>
  <c r="E5429" i="2"/>
  <c r="B5429" i="2"/>
  <c r="S5428" i="2"/>
  <c r="M5428" i="2"/>
  <c r="L5428" i="2"/>
  <c r="K5428" i="2"/>
  <c r="G5428" i="2"/>
  <c r="E5428" i="2"/>
  <c r="B5428" i="2"/>
  <c r="S5427" i="2"/>
  <c r="M5427" i="2"/>
  <c r="L5427" i="2"/>
  <c r="K5427" i="2"/>
  <c r="G5427" i="2"/>
  <c r="E5427" i="2"/>
  <c r="B5427" i="2"/>
  <c r="S5426" i="2"/>
  <c r="M5426" i="2"/>
  <c r="L5426" i="2"/>
  <c r="K5426" i="2"/>
  <c r="G5426" i="2"/>
  <c r="E5426" i="2"/>
  <c r="B5426" i="2"/>
  <c r="S5425" i="2"/>
  <c r="M5425" i="2"/>
  <c r="L5425" i="2"/>
  <c r="K5425" i="2"/>
  <c r="G5425" i="2"/>
  <c r="E5425" i="2"/>
  <c r="B5425" i="2"/>
  <c r="S5424" i="2"/>
  <c r="M5424" i="2"/>
  <c r="L5424" i="2"/>
  <c r="K5424" i="2"/>
  <c r="G5424" i="2"/>
  <c r="E5424" i="2"/>
  <c r="B5424" i="2"/>
  <c r="S5423" i="2"/>
  <c r="M5423" i="2"/>
  <c r="L5423" i="2"/>
  <c r="K5423" i="2"/>
  <c r="G5423" i="2"/>
  <c r="E5423" i="2"/>
  <c r="B5423" i="2"/>
  <c r="S5422" i="2"/>
  <c r="M5422" i="2"/>
  <c r="L5422" i="2"/>
  <c r="K5422" i="2"/>
  <c r="G5422" i="2"/>
  <c r="E5422" i="2"/>
  <c r="B5422" i="2"/>
  <c r="S5421" i="2"/>
  <c r="M5421" i="2"/>
  <c r="L5421" i="2"/>
  <c r="K5421" i="2"/>
  <c r="G5421" i="2"/>
  <c r="E5421" i="2"/>
  <c r="B5421" i="2"/>
  <c r="S5420" i="2"/>
  <c r="M5420" i="2"/>
  <c r="L5420" i="2"/>
  <c r="K5420" i="2"/>
  <c r="G5420" i="2"/>
  <c r="E5420" i="2"/>
  <c r="B5420" i="2"/>
  <c r="S5419" i="2"/>
  <c r="M5419" i="2"/>
  <c r="L5419" i="2"/>
  <c r="K5419" i="2"/>
  <c r="G5419" i="2"/>
  <c r="E5419" i="2"/>
  <c r="B5419" i="2"/>
  <c r="S5418" i="2"/>
  <c r="M5418" i="2"/>
  <c r="L5418" i="2"/>
  <c r="K5418" i="2"/>
  <c r="G5418" i="2"/>
  <c r="E5418" i="2"/>
  <c r="B5418" i="2"/>
  <c r="S5417" i="2"/>
  <c r="M5417" i="2"/>
  <c r="L5417" i="2"/>
  <c r="K5417" i="2"/>
  <c r="G5417" i="2"/>
  <c r="E5417" i="2"/>
  <c r="B5417" i="2"/>
  <c r="S5416" i="2"/>
  <c r="M5416" i="2"/>
  <c r="L5416" i="2"/>
  <c r="K5416" i="2"/>
  <c r="G5416" i="2"/>
  <c r="E5416" i="2"/>
  <c r="B5416" i="2"/>
  <c r="S5415" i="2"/>
  <c r="M5415" i="2"/>
  <c r="L5415" i="2"/>
  <c r="K5415" i="2"/>
  <c r="G5415" i="2"/>
  <c r="E5415" i="2"/>
  <c r="B5415" i="2"/>
  <c r="S5414" i="2"/>
  <c r="M5414" i="2"/>
  <c r="L5414" i="2"/>
  <c r="K5414" i="2"/>
  <c r="G5414" i="2"/>
  <c r="E5414" i="2"/>
  <c r="B5414" i="2"/>
  <c r="S5413" i="2"/>
  <c r="M5413" i="2"/>
  <c r="L5413" i="2"/>
  <c r="K5413" i="2"/>
  <c r="G5413" i="2"/>
  <c r="E5413" i="2"/>
  <c r="B5413" i="2"/>
  <c r="S5412" i="2"/>
  <c r="M5412" i="2"/>
  <c r="L5412" i="2"/>
  <c r="K5412" i="2"/>
  <c r="G5412" i="2"/>
  <c r="E5412" i="2"/>
  <c r="B5412" i="2"/>
  <c r="S5411" i="2"/>
  <c r="M5411" i="2"/>
  <c r="L5411" i="2"/>
  <c r="K5411" i="2"/>
  <c r="G5411" i="2"/>
  <c r="E5411" i="2"/>
  <c r="B5411" i="2"/>
  <c r="S5410" i="2"/>
  <c r="M5410" i="2"/>
  <c r="L5410" i="2"/>
  <c r="K5410" i="2"/>
  <c r="G5410" i="2"/>
  <c r="E5410" i="2"/>
  <c r="B5410" i="2"/>
  <c r="S5409" i="2"/>
  <c r="M5409" i="2"/>
  <c r="L5409" i="2"/>
  <c r="K5409" i="2"/>
  <c r="G5409" i="2"/>
  <c r="E5409" i="2"/>
  <c r="B5409" i="2"/>
  <c r="S5408" i="2"/>
  <c r="M5408" i="2"/>
  <c r="L5408" i="2"/>
  <c r="K5408" i="2"/>
  <c r="G5408" i="2"/>
  <c r="E5408" i="2"/>
  <c r="B5408" i="2"/>
  <c r="S5407" i="2"/>
  <c r="M5407" i="2"/>
  <c r="L5407" i="2"/>
  <c r="K5407" i="2"/>
  <c r="G5407" i="2"/>
  <c r="E5407" i="2"/>
  <c r="B5407" i="2"/>
  <c r="S5406" i="2"/>
  <c r="M5406" i="2"/>
  <c r="L5406" i="2"/>
  <c r="K5406" i="2"/>
  <c r="G5406" i="2"/>
  <c r="E5406" i="2"/>
  <c r="B5406" i="2"/>
  <c r="S5405" i="2"/>
  <c r="M5405" i="2"/>
  <c r="L5405" i="2"/>
  <c r="K5405" i="2"/>
  <c r="G5405" i="2"/>
  <c r="E5405" i="2"/>
  <c r="B5405" i="2"/>
  <c r="S5404" i="2"/>
  <c r="M5404" i="2"/>
  <c r="L5404" i="2"/>
  <c r="K5404" i="2"/>
  <c r="G5404" i="2"/>
  <c r="E5404" i="2"/>
  <c r="B5404" i="2"/>
  <c r="S5403" i="2"/>
  <c r="M5403" i="2"/>
  <c r="L5403" i="2"/>
  <c r="K5403" i="2"/>
  <c r="G5403" i="2"/>
  <c r="E5403" i="2"/>
  <c r="B5403" i="2"/>
  <c r="S5402" i="2"/>
  <c r="M5402" i="2"/>
  <c r="L5402" i="2"/>
  <c r="K5402" i="2"/>
  <c r="G5402" i="2"/>
  <c r="E5402" i="2"/>
  <c r="B5402" i="2"/>
  <c r="S5401" i="2"/>
  <c r="M5401" i="2"/>
  <c r="L5401" i="2"/>
  <c r="K5401" i="2"/>
  <c r="G5401" i="2"/>
  <c r="E5401" i="2"/>
  <c r="B5401" i="2"/>
  <c r="S5400" i="2"/>
  <c r="M5400" i="2"/>
  <c r="L5400" i="2"/>
  <c r="K5400" i="2"/>
  <c r="G5400" i="2"/>
  <c r="E5400" i="2"/>
  <c r="B5400" i="2"/>
  <c r="S5399" i="2"/>
  <c r="M5399" i="2"/>
  <c r="L5399" i="2"/>
  <c r="K5399" i="2"/>
  <c r="G5399" i="2"/>
  <c r="E5399" i="2"/>
  <c r="B5399" i="2"/>
  <c r="S5398" i="2"/>
  <c r="M5398" i="2"/>
  <c r="L5398" i="2"/>
  <c r="K5398" i="2"/>
  <c r="G5398" i="2"/>
  <c r="E5398" i="2"/>
  <c r="B5398" i="2"/>
  <c r="S5397" i="2"/>
  <c r="M5397" i="2"/>
  <c r="L5397" i="2"/>
  <c r="K5397" i="2"/>
  <c r="G5397" i="2"/>
  <c r="E5397" i="2"/>
  <c r="B5397" i="2"/>
  <c r="S5396" i="2"/>
  <c r="M5396" i="2"/>
  <c r="L5396" i="2"/>
  <c r="K5396" i="2"/>
  <c r="G5396" i="2"/>
  <c r="E5396" i="2"/>
  <c r="B5396" i="2"/>
  <c r="S5395" i="2"/>
  <c r="M5395" i="2"/>
  <c r="L5395" i="2"/>
  <c r="K5395" i="2"/>
  <c r="G5395" i="2"/>
  <c r="E5395" i="2"/>
  <c r="B5395" i="2"/>
  <c r="S5394" i="2"/>
  <c r="M5394" i="2"/>
  <c r="L5394" i="2"/>
  <c r="K5394" i="2"/>
  <c r="G5394" i="2"/>
  <c r="E5394" i="2"/>
  <c r="B5394" i="2"/>
  <c r="S5393" i="2"/>
  <c r="M5393" i="2"/>
  <c r="L5393" i="2"/>
  <c r="K5393" i="2"/>
  <c r="G5393" i="2"/>
  <c r="E5393" i="2"/>
  <c r="B5393" i="2"/>
  <c r="S5392" i="2"/>
  <c r="M5392" i="2"/>
  <c r="L5392" i="2"/>
  <c r="K5392" i="2"/>
  <c r="G5392" i="2"/>
  <c r="E5392" i="2"/>
  <c r="B5392" i="2"/>
  <c r="S5391" i="2"/>
  <c r="M5391" i="2"/>
  <c r="L5391" i="2"/>
  <c r="K5391" i="2"/>
  <c r="G5391" i="2"/>
  <c r="E5391" i="2"/>
  <c r="B5391" i="2"/>
  <c r="S5390" i="2"/>
  <c r="M5390" i="2"/>
  <c r="L5390" i="2"/>
  <c r="K5390" i="2"/>
  <c r="G5390" i="2"/>
  <c r="E5390" i="2"/>
  <c r="B5390" i="2"/>
  <c r="S5389" i="2"/>
  <c r="M5389" i="2"/>
  <c r="L5389" i="2"/>
  <c r="K5389" i="2"/>
  <c r="G5389" i="2"/>
  <c r="E5389" i="2"/>
  <c r="B5389" i="2"/>
  <c r="S5388" i="2"/>
  <c r="M5388" i="2"/>
  <c r="L5388" i="2"/>
  <c r="K5388" i="2"/>
  <c r="G5388" i="2"/>
  <c r="E5388" i="2"/>
  <c r="B5388" i="2"/>
  <c r="S5387" i="2"/>
  <c r="M5387" i="2"/>
  <c r="L5387" i="2"/>
  <c r="K5387" i="2"/>
  <c r="G5387" i="2"/>
  <c r="E5387" i="2"/>
  <c r="B5387" i="2"/>
  <c r="S5386" i="2"/>
  <c r="M5386" i="2"/>
  <c r="L5386" i="2"/>
  <c r="K5386" i="2"/>
  <c r="G5386" i="2"/>
  <c r="E5386" i="2"/>
  <c r="B5386" i="2"/>
  <c r="S5385" i="2"/>
  <c r="M5385" i="2"/>
  <c r="L5385" i="2"/>
  <c r="K5385" i="2"/>
  <c r="G5385" i="2"/>
  <c r="E5385" i="2"/>
  <c r="B5385" i="2"/>
  <c r="S5384" i="2"/>
  <c r="M5384" i="2"/>
  <c r="L5384" i="2"/>
  <c r="K5384" i="2"/>
  <c r="G5384" i="2"/>
  <c r="E5384" i="2"/>
  <c r="B5384" i="2"/>
  <c r="S5383" i="2"/>
  <c r="M5383" i="2"/>
  <c r="L5383" i="2"/>
  <c r="K5383" i="2"/>
  <c r="G5383" i="2"/>
  <c r="E5383" i="2"/>
  <c r="B5383" i="2"/>
  <c r="S5382" i="2"/>
  <c r="M5382" i="2"/>
  <c r="L5382" i="2"/>
  <c r="K5382" i="2"/>
  <c r="G5382" i="2"/>
  <c r="E5382" i="2"/>
  <c r="B5382" i="2"/>
  <c r="S5381" i="2"/>
  <c r="M5381" i="2"/>
  <c r="L5381" i="2"/>
  <c r="K5381" i="2"/>
  <c r="G5381" i="2"/>
  <c r="E5381" i="2"/>
  <c r="B5381" i="2"/>
  <c r="S5380" i="2"/>
  <c r="M5380" i="2"/>
  <c r="L5380" i="2"/>
  <c r="K5380" i="2"/>
  <c r="G5380" i="2"/>
  <c r="E5380" i="2"/>
  <c r="B5380" i="2"/>
  <c r="S5379" i="2"/>
  <c r="M5379" i="2"/>
  <c r="L5379" i="2"/>
  <c r="K5379" i="2"/>
  <c r="G5379" i="2"/>
  <c r="E5379" i="2"/>
  <c r="B5379" i="2"/>
  <c r="S5378" i="2"/>
  <c r="M5378" i="2"/>
  <c r="L5378" i="2"/>
  <c r="K5378" i="2"/>
  <c r="G5378" i="2"/>
  <c r="E5378" i="2"/>
  <c r="B5378" i="2"/>
  <c r="S5377" i="2"/>
  <c r="M5377" i="2"/>
  <c r="L5377" i="2"/>
  <c r="K5377" i="2"/>
  <c r="G5377" i="2"/>
  <c r="E5377" i="2"/>
  <c r="B5377" i="2"/>
  <c r="S5376" i="2"/>
  <c r="M5376" i="2"/>
  <c r="L5376" i="2"/>
  <c r="K5376" i="2"/>
  <c r="G5376" i="2"/>
  <c r="E5376" i="2"/>
  <c r="B5376" i="2"/>
  <c r="S5375" i="2"/>
  <c r="M5375" i="2"/>
  <c r="L5375" i="2"/>
  <c r="K5375" i="2"/>
  <c r="G5375" i="2"/>
  <c r="E5375" i="2"/>
  <c r="B5375" i="2"/>
  <c r="S5374" i="2"/>
  <c r="M5374" i="2"/>
  <c r="L5374" i="2"/>
  <c r="K5374" i="2"/>
  <c r="G5374" i="2"/>
  <c r="E5374" i="2"/>
  <c r="B5374" i="2"/>
  <c r="S5373" i="2"/>
  <c r="M5373" i="2"/>
  <c r="L5373" i="2"/>
  <c r="K5373" i="2"/>
  <c r="G5373" i="2"/>
  <c r="E5373" i="2"/>
  <c r="B5373" i="2"/>
  <c r="S5372" i="2"/>
  <c r="M5372" i="2"/>
  <c r="L5372" i="2"/>
  <c r="K5372" i="2"/>
  <c r="G5372" i="2"/>
  <c r="E5372" i="2"/>
  <c r="B5372" i="2"/>
  <c r="S5371" i="2"/>
  <c r="M5371" i="2"/>
  <c r="L5371" i="2"/>
  <c r="K5371" i="2"/>
  <c r="G5371" i="2"/>
  <c r="E5371" i="2"/>
  <c r="B5371" i="2"/>
  <c r="S5370" i="2"/>
  <c r="M5370" i="2"/>
  <c r="L5370" i="2"/>
  <c r="K5370" i="2"/>
  <c r="G5370" i="2"/>
  <c r="E5370" i="2"/>
  <c r="B5370" i="2"/>
  <c r="S5369" i="2"/>
  <c r="M5369" i="2"/>
  <c r="L5369" i="2"/>
  <c r="K5369" i="2"/>
  <c r="G5369" i="2"/>
  <c r="E5369" i="2"/>
  <c r="B5369" i="2"/>
  <c r="S5368" i="2"/>
  <c r="M5368" i="2"/>
  <c r="L5368" i="2"/>
  <c r="K5368" i="2"/>
  <c r="G5368" i="2"/>
  <c r="E5368" i="2"/>
  <c r="B5368" i="2"/>
  <c r="S5367" i="2"/>
  <c r="M5367" i="2"/>
  <c r="L5367" i="2"/>
  <c r="K5367" i="2"/>
  <c r="G5367" i="2"/>
  <c r="E5367" i="2"/>
  <c r="B5367" i="2"/>
  <c r="S5366" i="2"/>
  <c r="M5366" i="2"/>
  <c r="L5366" i="2"/>
  <c r="K5366" i="2"/>
  <c r="G5366" i="2"/>
  <c r="E5366" i="2"/>
  <c r="B5366" i="2"/>
  <c r="S5365" i="2"/>
  <c r="M5365" i="2"/>
  <c r="L5365" i="2"/>
  <c r="K5365" i="2"/>
  <c r="G5365" i="2"/>
  <c r="E5365" i="2"/>
  <c r="B5365" i="2"/>
  <c r="S5364" i="2"/>
  <c r="M5364" i="2"/>
  <c r="L5364" i="2"/>
  <c r="K5364" i="2"/>
  <c r="G5364" i="2"/>
  <c r="E5364" i="2"/>
  <c r="B5364" i="2"/>
  <c r="S5363" i="2"/>
  <c r="M5363" i="2"/>
  <c r="L5363" i="2"/>
  <c r="K5363" i="2"/>
  <c r="G5363" i="2"/>
  <c r="E5363" i="2"/>
  <c r="B5363" i="2"/>
  <c r="S5362" i="2"/>
  <c r="M5362" i="2"/>
  <c r="L5362" i="2"/>
  <c r="K5362" i="2"/>
  <c r="G5362" i="2"/>
  <c r="E5362" i="2"/>
  <c r="B5362" i="2"/>
  <c r="S5361" i="2"/>
  <c r="M5361" i="2"/>
  <c r="L5361" i="2"/>
  <c r="K5361" i="2"/>
  <c r="G5361" i="2"/>
  <c r="E5361" i="2"/>
  <c r="B5361" i="2"/>
  <c r="S5360" i="2"/>
  <c r="M5360" i="2"/>
  <c r="L5360" i="2"/>
  <c r="K5360" i="2"/>
  <c r="G5360" i="2"/>
  <c r="E5360" i="2"/>
  <c r="B5360" i="2"/>
  <c r="S5359" i="2"/>
  <c r="M5359" i="2"/>
  <c r="L5359" i="2"/>
  <c r="K5359" i="2"/>
  <c r="G5359" i="2"/>
  <c r="E5359" i="2"/>
  <c r="B5359" i="2"/>
  <c r="S5358" i="2"/>
  <c r="M5358" i="2"/>
  <c r="L5358" i="2"/>
  <c r="K5358" i="2"/>
  <c r="G5358" i="2"/>
  <c r="E5358" i="2"/>
  <c r="B5358" i="2"/>
  <c r="S5357" i="2"/>
  <c r="M5357" i="2"/>
  <c r="L5357" i="2"/>
  <c r="K5357" i="2"/>
  <c r="G5357" i="2"/>
  <c r="E5357" i="2"/>
  <c r="B5357" i="2"/>
  <c r="S5356" i="2"/>
  <c r="M5356" i="2"/>
  <c r="L5356" i="2"/>
  <c r="K5356" i="2"/>
  <c r="G5356" i="2"/>
  <c r="E5356" i="2"/>
  <c r="B5356" i="2"/>
  <c r="S5355" i="2"/>
  <c r="M5355" i="2"/>
  <c r="L5355" i="2"/>
  <c r="K5355" i="2"/>
  <c r="G5355" i="2"/>
  <c r="E5355" i="2"/>
  <c r="B5355" i="2"/>
  <c r="S5354" i="2"/>
  <c r="M5354" i="2"/>
  <c r="L5354" i="2"/>
  <c r="K5354" i="2"/>
  <c r="G5354" i="2"/>
  <c r="E5354" i="2"/>
  <c r="B5354" i="2"/>
  <c r="S5353" i="2"/>
  <c r="M5353" i="2"/>
  <c r="L5353" i="2"/>
  <c r="K5353" i="2"/>
  <c r="G5353" i="2"/>
  <c r="E5353" i="2"/>
  <c r="B5353" i="2"/>
  <c r="S5352" i="2"/>
  <c r="M5352" i="2"/>
  <c r="L5352" i="2"/>
  <c r="K5352" i="2"/>
  <c r="G5352" i="2"/>
  <c r="E5352" i="2"/>
  <c r="B5352" i="2"/>
  <c r="S5351" i="2"/>
  <c r="M5351" i="2"/>
  <c r="L5351" i="2"/>
  <c r="K5351" i="2"/>
  <c r="G5351" i="2"/>
  <c r="E5351" i="2"/>
  <c r="B5351" i="2"/>
  <c r="S5350" i="2"/>
  <c r="M5350" i="2"/>
  <c r="L5350" i="2"/>
  <c r="K5350" i="2"/>
  <c r="G5350" i="2"/>
  <c r="E5350" i="2"/>
  <c r="B5350" i="2"/>
  <c r="S5349" i="2"/>
  <c r="M5349" i="2"/>
  <c r="L5349" i="2"/>
  <c r="K5349" i="2"/>
  <c r="G5349" i="2"/>
  <c r="E5349" i="2"/>
  <c r="B5349" i="2"/>
  <c r="S5348" i="2"/>
  <c r="M5348" i="2"/>
  <c r="L5348" i="2"/>
  <c r="K5348" i="2"/>
  <c r="G5348" i="2"/>
  <c r="E5348" i="2"/>
  <c r="B5348" i="2"/>
  <c r="S5347" i="2"/>
  <c r="M5347" i="2"/>
  <c r="L5347" i="2"/>
  <c r="K5347" i="2"/>
  <c r="G5347" i="2"/>
  <c r="E5347" i="2"/>
  <c r="B5347" i="2"/>
  <c r="S5346" i="2"/>
  <c r="M5346" i="2"/>
  <c r="L5346" i="2"/>
  <c r="K5346" i="2"/>
  <c r="G5346" i="2"/>
  <c r="E5346" i="2"/>
  <c r="B5346" i="2"/>
  <c r="S5345" i="2"/>
  <c r="M5345" i="2"/>
  <c r="L5345" i="2"/>
  <c r="K5345" i="2"/>
  <c r="G5345" i="2"/>
  <c r="E5345" i="2"/>
  <c r="B5345" i="2"/>
  <c r="S5344" i="2"/>
  <c r="M5344" i="2"/>
  <c r="L5344" i="2"/>
  <c r="K5344" i="2"/>
  <c r="G5344" i="2"/>
  <c r="E5344" i="2"/>
  <c r="B5344" i="2"/>
  <c r="S5343" i="2"/>
  <c r="M5343" i="2"/>
  <c r="L5343" i="2"/>
  <c r="K5343" i="2"/>
  <c r="G5343" i="2"/>
  <c r="E5343" i="2"/>
  <c r="B5343" i="2"/>
  <c r="S5342" i="2"/>
  <c r="M5342" i="2"/>
  <c r="L5342" i="2"/>
  <c r="K5342" i="2"/>
  <c r="G5342" i="2"/>
  <c r="E5342" i="2"/>
  <c r="B5342" i="2"/>
  <c r="S5341" i="2"/>
  <c r="M5341" i="2"/>
  <c r="L5341" i="2"/>
  <c r="K5341" i="2"/>
  <c r="G5341" i="2"/>
  <c r="E5341" i="2"/>
  <c r="B5341" i="2"/>
  <c r="S5340" i="2"/>
  <c r="M5340" i="2"/>
  <c r="L5340" i="2"/>
  <c r="K5340" i="2"/>
  <c r="G5340" i="2"/>
  <c r="E5340" i="2"/>
  <c r="B5340" i="2"/>
  <c r="S5339" i="2"/>
  <c r="M5339" i="2"/>
  <c r="L5339" i="2"/>
  <c r="K5339" i="2"/>
  <c r="G5339" i="2"/>
  <c r="E5339" i="2"/>
  <c r="B5339" i="2"/>
  <c r="S5338" i="2"/>
  <c r="M5338" i="2"/>
  <c r="L5338" i="2"/>
  <c r="K5338" i="2"/>
  <c r="G5338" i="2"/>
  <c r="E5338" i="2"/>
  <c r="B5338" i="2"/>
  <c r="S5337" i="2"/>
  <c r="M5337" i="2"/>
  <c r="L5337" i="2"/>
  <c r="K5337" i="2"/>
  <c r="G5337" i="2"/>
  <c r="E5337" i="2"/>
  <c r="B5337" i="2"/>
  <c r="S5336" i="2"/>
  <c r="M5336" i="2"/>
  <c r="L5336" i="2"/>
  <c r="K5336" i="2"/>
  <c r="G5336" i="2"/>
  <c r="E5336" i="2"/>
  <c r="B5336" i="2"/>
  <c r="S5335" i="2"/>
  <c r="M5335" i="2"/>
  <c r="L5335" i="2"/>
  <c r="K5335" i="2"/>
  <c r="G5335" i="2"/>
  <c r="E5335" i="2"/>
  <c r="B5335" i="2"/>
  <c r="S5334" i="2"/>
  <c r="M5334" i="2"/>
  <c r="L5334" i="2"/>
  <c r="K5334" i="2"/>
  <c r="G5334" i="2"/>
  <c r="E5334" i="2"/>
  <c r="B5334" i="2"/>
  <c r="S5333" i="2"/>
  <c r="M5333" i="2"/>
  <c r="L5333" i="2"/>
  <c r="K5333" i="2"/>
  <c r="G5333" i="2"/>
  <c r="E5333" i="2"/>
  <c r="B5333" i="2"/>
  <c r="S5332" i="2"/>
  <c r="M5332" i="2"/>
  <c r="L5332" i="2"/>
  <c r="K5332" i="2"/>
  <c r="G5332" i="2"/>
  <c r="E5332" i="2"/>
  <c r="B5332" i="2"/>
  <c r="S5331" i="2"/>
  <c r="M5331" i="2"/>
  <c r="L5331" i="2"/>
  <c r="K5331" i="2"/>
  <c r="G5331" i="2"/>
  <c r="E5331" i="2"/>
  <c r="B5331" i="2"/>
  <c r="S5330" i="2"/>
  <c r="M5330" i="2"/>
  <c r="L5330" i="2"/>
  <c r="K5330" i="2"/>
  <c r="G5330" i="2"/>
  <c r="E5330" i="2"/>
  <c r="B5330" i="2"/>
  <c r="S5329" i="2"/>
  <c r="M5329" i="2"/>
  <c r="L5329" i="2"/>
  <c r="K5329" i="2"/>
  <c r="G5329" i="2"/>
  <c r="E5329" i="2"/>
  <c r="B5329" i="2"/>
  <c r="S5328" i="2"/>
  <c r="M5328" i="2"/>
  <c r="L5328" i="2"/>
  <c r="K5328" i="2"/>
  <c r="G5328" i="2"/>
  <c r="E5328" i="2"/>
  <c r="B5328" i="2"/>
  <c r="S5327" i="2"/>
  <c r="M5327" i="2"/>
  <c r="L5327" i="2"/>
  <c r="K5327" i="2"/>
  <c r="G5327" i="2"/>
  <c r="E5327" i="2"/>
  <c r="B5327" i="2"/>
  <c r="S5326" i="2"/>
  <c r="M5326" i="2"/>
  <c r="L5326" i="2"/>
  <c r="K5326" i="2"/>
  <c r="G5326" i="2"/>
  <c r="E5326" i="2"/>
  <c r="B5326" i="2"/>
  <c r="S5325" i="2"/>
  <c r="M5325" i="2"/>
  <c r="L5325" i="2"/>
  <c r="K5325" i="2"/>
  <c r="G5325" i="2"/>
  <c r="E5325" i="2"/>
  <c r="B5325" i="2"/>
  <c r="S5324" i="2"/>
  <c r="M5324" i="2"/>
  <c r="L5324" i="2"/>
  <c r="K5324" i="2"/>
  <c r="G5324" i="2"/>
  <c r="E5324" i="2"/>
  <c r="B5324" i="2"/>
  <c r="S5323" i="2"/>
  <c r="M5323" i="2"/>
  <c r="L5323" i="2"/>
  <c r="K5323" i="2"/>
  <c r="G5323" i="2"/>
  <c r="E5323" i="2"/>
  <c r="B5323" i="2"/>
  <c r="S5322" i="2"/>
  <c r="M5322" i="2"/>
  <c r="L5322" i="2"/>
  <c r="K5322" i="2"/>
  <c r="G5322" i="2"/>
  <c r="E5322" i="2"/>
  <c r="B5322" i="2"/>
  <c r="S5321" i="2"/>
  <c r="M5321" i="2"/>
  <c r="L5321" i="2"/>
  <c r="K5321" i="2"/>
  <c r="G5321" i="2"/>
  <c r="E5321" i="2"/>
  <c r="B5321" i="2"/>
  <c r="S5320" i="2"/>
  <c r="M5320" i="2"/>
  <c r="L5320" i="2"/>
  <c r="K5320" i="2"/>
  <c r="G5320" i="2"/>
  <c r="E5320" i="2"/>
  <c r="B5320" i="2"/>
  <c r="S5319" i="2"/>
  <c r="M5319" i="2"/>
  <c r="L5319" i="2"/>
  <c r="K5319" i="2"/>
  <c r="G5319" i="2"/>
  <c r="E5319" i="2"/>
  <c r="B5319" i="2"/>
  <c r="S5318" i="2"/>
  <c r="M5318" i="2"/>
  <c r="L5318" i="2"/>
  <c r="K5318" i="2"/>
  <c r="G5318" i="2"/>
  <c r="E5318" i="2"/>
  <c r="B5318" i="2"/>
  <c r="S5317" i="2"/>
  <c r="M5317" i="2"/>
  <c r="L5317" i="2"/>
  <c r="K5317" i="2"/>
  <c r="G5317" i="2"/>
  <c r="E5317" i="2"/>
  <c r="B5317" i="2"/>
  <c r="S5316" i="2"/>
  <c r="M5316" i="2"/>
  <c r="L5316" i="2"/>
  <c r="K5316" i="2"/>
  <c r="G5316" i="2"/>
  <c r="E5316" i="2"/>
  <c r="B5316" i="2"/>
  <c r="S5315" i="2"/>
  <c r="M5315" i="2"/>
  <c r="L5315" i="2"/>
  <c r="K5315" i="2"/>
  <c r="G5315" i="2"/>
  <c r="E5315" i="2"/>
  <c r="B5315" i="2"/>
  <c r="S5314" i="2"/>
  <c r="M5314" i="2"/>
  <c r="L5314" i="2"/>
  <c r="K5314" i="2"/>
  <c r="G5314" i="2"/>
  <c r="E5314" i="2"/>
  <c r="B5314" i="2"/>
  <c r="S5313" i="2"/>
  <c r="M5313" i="2"/>
  <c r="L5313" i="2"/>
  <c r="K5313" i="2"/>
  <c r="G5313" i="2"/>
  <c r="E5313" i="2"/>
  <c r="B5313" i="2"/>
  <c r="S5312" i="2"/>
  <c r="M5312" i="2"/>
  <c r="L5312" i="2"/>
  <c r="K5312" i="2"/>
  <c r="G5312" i="2"/>
  <c r="E5312" i="2"/>
  <c r="B5312" i="2"/>
  <c r="S5311" i="2"/>
  <c r="M5311" i="2"/>
  <c r="L5311" i="2"/>
  <c r="K5311" i="2"/>
  <c r="G5311" i="2"/>
  <c r="E5311" i="2"/>
  <c r="B5311" i="2"/>
  <c r="S5310" i="2"/>
  <c r="M5310" i="2"/>
  <c r="L5310" i="2"/>
  <c r="K5310" i="2"/>
  <c r="G5310" i="2"/>
  <c r="E5310" i="2"/>
  <c r="B5310" i="2"/>
  <c r="S5309" i="2"/>
  <c r="M5309" i="2"/>
  <c r="L5309" i="2"/>
  <c r="K5309" i="2"/>
  <c r="G5309" i="2"/>
  <c r="E5309" i="2"/>
  <c r="B5309" i="2"/>
  <c r="S5308" i="2"/>
  <c r="M5308" i="2"/>
  <c r="L5308" i="2"/>
  <c r="K5308" i="2"/>
  <c r="G5308" i="2"/>
  <c r="E5308" i="2"/>
  <c r="B5308" i="2"/>
  <c r="S5307" i="2"/>
  <c r="M5307" i="2"/>
  <c r="L5307" i="2"/>
  <c r="K5307" i="2"/>
  <c r="G5307" i="2"/>
  <c r="E5307" i="2"/>
  <c r="B5307" i="2"/>
  <c r="S5306" i="2"/>
  <c r="M5306" i="2"/>
  <c r="L5306" i="2"/>
  <c r="K5306" i="2"/>
  <c r="G5306" i="2"/>
  <c r="E5306" i="2"/>
  <c r="B5306" i="2"/>
  <c r="S5305" i="2"/>
  <c r="M5305" i="2"/>
  <c r="L5305" i="2"/>
  <c r="K5305" i="2"/>
  <c r="G5305" i="2"/>
  <c r="E5305" i="2"/>
  <c r="B5305" i="2"/>
  <c r="S5304" i="2"/>
  <c r="M5304" i="2"/>
  <c r="L5304" i="2"/>
  <c r="K5304" i="2"/>
  <c r="G5304" i="2"/>
  <c r="E5304" i="2"/>
  <c r="B5304" i="2"/>
  <c r="S5303" i="2"/>
  <c r="M5303" i="2"/>
  <c r="L5303" i="2"/>
  <c r="K5303" i="2"/>
  <c r="G5303" i="2"/>
  <c r="E5303" i="2"/>
  <c r="B5303" i="2"/>
  <c r="S5302" i="2"/>
  <c r="M5302" i="2"/>
  <c r="L5302" i="2"/>
  <c r="K5302" i="2"/>
  <c r="G5302" i="2"/>
  <c r="E5302" i="2"/>
  <c r="B5302" i="2"/>
  <c r="S5301" i="2"/>
  <c r="M5301" i="2"/>
  <c r="L5301" i="2"/>
  <c r="K5301" i="2"/>
  <c r="G5301" i="2"/>
  <c r="E5301" i="2"/>
  <c r="B5301" i="2"/>
  <c r="S5300" i="2"/>
  <c r="M5300" i="2"/>
  <c r="L5300" i="2"/>
  <c r="K5300" i="2"/>
  <c r="G5300" i="2"/>
  <c r="E5300" i="2"/>
  <c r="B5300" i="2"/>
  <c r="S5299" i="2"/>
  <c r="M5299" i="2"/>
  <c r="L5299" i="2"/>
  <c r="K5299" i="2"/>
  <c r="G5299" i="2"/>
  <c r="E5299" i="2"/>
  <c r="B5299" i="2"/>
  <c r="S5298" i="2"/>
  <c r="M5298" i="2"/>
  <c r="L5298" i="2"/>
  <c r="K5298" i="2"/>
  <c r="G5298" i="2"/>
  <c r="E5298" i="2"/>
  <c r="B5298" i="2"/>
  <c r="S5297" i="2"/>
  <c r="M5297" i="2"/>
  <c r="L5297" i="2"/>
  <c r="K5297" i="2"/>
  <c r="G5297" i="2"/>
  <c r="E5297" i="2"/>
  <c r="B5297" i="2"/>
  <c r="S5296" i="2"/>
  <c r="M5296" i="2"/>
  <c r="L5296" i="2"/>
  <c r="K5296" i="2"/>
  <c r="G5296" i="2"/>
  <c r="E5296" i="2"/>
  <c r="B5296" i="2"/>
  <c r="S5295" i="2"/>
  <c r="M5295" i="2"/>
  <c r="L5295" i="2"/>
  <c r="K5295" i="2"/>
  <c r="G5295" i="2"/>
  <c r="E5295" i="2"/>
  <c r="B5295" i="2"/>
  <c r="S5294" i="2"/>
  <c r="M5294" i="2"/>
  <c r="L5294" i="2"/>
  <c r="K5294" i="2"/>
  <c r="G5294" i="2"/>
  <c r="E5294" i="2"/>
  <c r="B5294" i="2"/>
  <c r="S5293" i="2"/>
  <c r="M5293" i="2"/>
  <c r="L5293" i="2"/>
  <c r="K5293" i="2"/>
  <c r="G5293" i="2"/>
  <c r="E5293" i="2"/>
  <c r="B5293" i="2"/>
  <c r="S5292" i="2"/>
  <c r="M5292" i="2"/>
  <c r="L5292" i="2"/>
  <c r="K5292" i="2"/>
  <c r="G5292" i="2"/>
  <c r="E5292" i="2"/>
  <c r="B5292" i="2"/>
  <c r="S5291" i="2"/>
  <c r="M5291" i="2"/>
  <c r="L5291" i="2"/>
  <c r="K5291" i="2"/>
  <c r="G5291" i="2"/>
  <c r="E5291" i="2"/>
  <c r="B5291" i="2"/>
  <c r="S5290" i="2"/>
  <c r="M5290" i="2"/>
  <c r="L5290" i="2"/>
  <c r="K5290" i="2"/>
  <c r="G5290" i="2"/>
  <c r="E5290" i="2"/>
  <c r="B5290" i="2"/>
  <c r="S5289" i="2"/>
  <c r="M5289" i="2"/>
  <c r="L5289" i="2"/>
  <c r="K5289" i="2"/>
  <c r="G5289" i="2"/>
  <c r="E5289" i="2"/>
  <c r="B5289" i="2"/>
  <c r="S5288" i="2"/>
  <c r="M5288" i="2"/>
  <c r="L5288" i="2"/>
  <c r="K5288" i="2"/>
  <c r="G5288" i="2"/>
  <c r="E5288" i="2"/>
  <c r="B5288" i="2"/>
  <c r="S5287" i="2"/>
  <c r="M5287" i="2"/>
  <c r="L5287" i="2"/>
  <c r="K5287" i="2"/>
  <c r="G5287" i="2"/>
  <c r="E5287" i="2"/>
  <c r="B5287" i="2"/>
  <c r="S5286" i="2"/>
  <c r="M5286" i="2"/>
  <c r="L5286" i="2"/>
  <c r="K5286" i="2"/>
  <c r="G5286" i="2"/>
  <c r="E5286" i="2"/>
  <c r="B5286" i="2"/>
  <c r="S5285" i="2"/>
  <c r="M5285" i="2"/>
  <c r="L5285" i="2"/>
  <c r="K5285" i="2"/>
  <c r="G5285" i="2"/>
  <c r="E5285" i="2"/>
  <c r="B5285" i="2"/>
  <c r="S5284" i="2"/>
  <c r="M5284" i="2"/>
  <c r="L5284" i="2"/>
  <c r="K5284" i="2"/>
  <c r="G5284" i="2"/>
  <c r="E5284" i="2"/>
  <c r="B5284" i="2"/>
  <c r="S5283" i="2"/>
  <c r="M5283" i="2"/>
  <c r="L5283" i="2"/>
  <c r="K5283" i="2"/>
  <c r="G5283" i="2"/>
  <c r="E5283" i="2"/>
  <c r="B5283" i="2"/>
  <c r="S5282" i="2"/>
  <c r="M5282" i="2"/>
  <c r="L5282" i="2"/>
  <c r="K5282" i="2"/>
  <c r="G5282" i="2"/>
  <c r="E5282" i="2"/>
  <c r="B5282" i="2"/>
  <c r="S5281" i="2"/>
  <c r="M5281" i="2"/>
  <c r="L5281" i="2"/>
  <c r="K5281" i="2"/>
  <c r="G5281" i="2"/>
  <c r="E5281" i="2"/>
  <c r="B5281" i="2"/>
  <c r="S5280" i="2"/>
  <c r="M5280" i="2"/>
  <c r="L5280" i="2"/>
  <c r="K5280" i="2"/>
  <c r="G5280" i="2"/>
  <c r="E5280" i="2"/>
  <c r="B5280" i="2"/>
  <c r="S5279" i="2"/>
  <c r="M5279" i="2"/>
  <c r="L5279" i="2"/>
  <c r="K5279" i="2"/>
  <c r="G5279" i="2"/>
  <c r="E5279" i="2"/>
  <c r="B5279" i="2"/>
  <c r="S5278" i="2"/>
  <c r="M5278" i="2"/>
  <c r="L5278" i="2"/>
  <c r="K5278" i="2"/>
  <c r="G5278" i="2"/>
  <c r="E5278" i="2"/>
  <c r="B5278" i="2"/>
  <c r="S5277" i="2"/>
  <c r="M5277" i="2"/>
  <c r="L5277" i="2"/>
  <c r="K5277" i="2"/>
  <c r="G5277" i="2"/>
  <c r="E5277" i="2"/>
  <c r="B5277" i="2"/>
  <c r="S5276" i="2"/>
  <c r="M5276" i="2"/>
  <c r="L5276" i="2"/>
  <c r="K5276" i="2"/>
  <c r="G5276" i="2"/>
  <c r="E5276" i="2"/>
  <c r="B5276" i="2"/>
  <c r="S5275" i="2"/>
  <c r="M5275" i="2"/>
  <c r="L5275" i="2"/>
  <c r="K5275" i="2"/>
  <c r="G5275" i="2"/>
  <c r="E5275" i="2"/>
  <c r="B5275" i="2"/>
  <c r="S5274" i="2"/>
  <c r="M5274" i="2"/>
  <c r="L5274" i="2"/>
  <c r="K5274" i="2"/>
  <c r="G5274" i="2"/>
  <c r="E5274" i="2"/>
  <c r="B5274" i="2"/>
  <c r="S5273" i="2"/>
  <c r="M5273" i="2"/>
  <c r="L5273" i="2"/>
  <c r="K5273" i="2"/>
  <c r="G5273" i="2"/>
  <c r="E5273" i="2"/>
  <c r="B5273" i="2"/>
  <c r="S5272" i="2"/>
  <c r="M5272" i="2"/>
  <c r="L5272" i="2"/>
  <c r="K5272" i="2"/>
  <c r="G5272" i="2"/>
  <c r="E5272" i="2"/>
  <c r="B5272" i="2"/>
  <c r="S5271" i="2"/>
  <c r="M5271" i="2"/>
  <c r="L5271" i="2"/>
  <c r="K5271" i="2"/>
  <c r="G5271" i="2"/>
  <c r="E5271" i="2"/>
  <c r="B5271" i="2"/>
  <c r="S5270" i="2"/>
  <c r="M5270" i="2"/>
  <c r="L5270" i="2"/>
  <c r="K5270" i="2"/>
  <c r="G5270" i="2"/>
  <c r="E5270" i="2"/>
  <c r="B5270" i="2"/>
  <c r="S5269" i="2"/>
  <c r="M5269" i="2"/>
  <c r="L5269" i="2"/>
  <c r="K5269" i="2"/>
  <c r="G5269" i="2"/>
  <c r="E5269" i="2"/>
  <c r="B5269" i="2"/>
  <c r="S5268" i="2"/>
  <c r="M5268" i="2"/>
  <c r="L5268" i="2"/>
  <c r="K5268" i="2"/>
  <c r="G5268" i="2"/>
  <c r="E5268" i="2"/>
  <c r="B5268" i="2"/>
  <c r="S5267" i="2"/>
  <c r="M5267" i="2"/>
  <c r="L5267" i="2"/>
  <c r="K5267" i="2"/>
  <c r="G5267" i="2"/>
  <c r="E5267" i="2"/>
  <c r="B5267" i="2"/>
  <c r="S5266" i="2"/>
  <c r="M5266" i="2"/>
  <c r="L5266" i="2"/>
  <c r="K5266" i="2"/>
  <c r="G5266" i="2"/>
  <c r="E5266" i="2"/>
  <c r="B5266" i="2"/>
  <c r="S5265" i="2"/>
  <c r="M5265" i="2"/>
  <c r="L5265" i="2"/>
  <c r="K5265" i="2"/>
  <c r="G5265" i="2"/>
  <c r="E5265" i="2"/>
  <c r="B5265" i="2"/>
  <c r="S5264" i="2"/>
  <c r="M5264" i="2"/>
  <c r="L5264" i="2"/>
  <c r="K5264" i="2"/>
  <c r="G5264" i="2"/>
  <c r="E5264" i="2"/>
  <c r="B5264" i="2"/>
  <c r="S5263" i="2"/>
  <c r="M5263" i="2"/>
  <c r="L5263" i="2"/>
  <c r="K5263" i="2"/>
  <c r="G5263" i="2"/>
  <c r="E5263" i="2"/>
  <c r="B5263" i="2"/>
  <c r="S5262" i="2"/>
  <c r="M5262" i="2"/>
  <c r="L5262" i="2"/>
  <c r="K5262" i="2"/>
  <c r="G5262" i="2"/>
  <c r="E5262" i="2"/>
  <c r="B5262" i="2"/>
  <c r="S5261" i="2"/>
  <c r="M5261" i="2"/>
  <c r="L5261" i="2"/>
  <c r="K5261" i="2"/>
  <c r="G5261" i="2"/>
  <c r="E5261" i="2"/>
  <c r="B5261" i="2"/>
  <c r="S5260" i="2"/>
  <c r="M5260" i="2"/>
  <c r="L5260" i="2"/>
  <c r="K5260" i="2"/>
  <c r="G5260" i="2"/>
  <c r="E5260" i="2"/>
  <c r="B5260" i="2"/>
  <c r="S5259" i="2"/>
  <c r="M5259" i="2"/>
  <c r="L5259" i="2"/>
  <c r="K5259" i="2"/>
  <c r="G5259" i="2"/>
  <c r="E5259" i="2"/>
  <c r="B5259" i="2"/>
  <c r="S5258" i="2"/>
  <c r="M5258" i="2"/>
  <c r="L5258" i="2"/>
  <c r="K5258" i="2"/>
  <c r="G5258" i="2"/>
  <c r="E5258" i="2"/>
  <c r="B5258" i="2"/>
  <c r="S5257" i="2"/>
  <c r="M5257" i="2"/>
  <c r="L5257" i="2"/>
  <c r="K5257" i="2"/>
  <c r="G5257" i="2"/>
  <c r="E5257" i="2"/>
  <c r="B5257" i="2"/>
  <c r="S5256" i="2"/>
  <c r="M5256" i="2"/>
  <c r="L5256" i="2"/>
  <c r="K5256" i="2"/>
  <c r="G5256" i="2"/>
  <c r="E5256" i="2"/>
  <c r="B5256" i="2"/>
  <c r="S5255" i="2"/>
  <c r="M5255" i="2"/>
  <c r="L5255" i="2"/>
  <c r="K5255" i="2"/>
  <c r="G5255" i="2"/>
  <c r="E5255" i="2"/>
  <c r="B5255" i="2"/>
  <c r="S5254" i="2"/>
  <c r="M5254" i="2"/>
  <c r="L5254" i="2"/>
  <c r="K5254" i="2"/>
  <c r="G5254" i="2"/>
  <c r="E5254" i="2"/>
  <c r="B5254" i="2"/>
  <c r="S5253" i="2"/>
  <c r="M5253" i="2"/>
  <c r="L5253" i="2"/>
  <c r="K5253" i="2"/>
  <c r="G5253" i="2"/>
  <c r="E5253" i="2"/>
  <c r="B5253" i="2"/>
  <c r="S5252" i="2"/>
  <c r="M5252" i="2"/>
  <c r="L5252" i="2"/>
  <c r="K5252" i="2"/>
  <c r="G5252" i="2"/>
  <c r="E5252" i="2"/>
  <c r="B5252" i="2"/>
  <c r="S5251" i="2"/>
  <c r="M5251" i="2"/>
  <c r="L5251" i="2"/>
  <c r="K5251" i="2"/>
  <c r="G5251" i="2"/>
  <c r="E5251" i="2"/>
  <c r="B5251" i="2"/>
  <c r="S5250" i="2"/>
  <c r="M5250" i="2"/>
  <c r="L5250" i="2"/>
  <c r="K5250" i="2"/>
  <c r="G5250" i="2"/>
  <c r="E5250" i="2"/>
  <c r="B5250" i="2"/>
  <c r="S5249" i="2"/>
  <c r="M5249" i="2"/>
  <c r="L5249" i="2"/>
  <c r="K5249" i="2"/>
  <c r="G5249" i="2"/>
  <c r="E5249" i="2"/>
  <c r="B5249" i="2"/>
  <c r="S5248" i="2"/>
  <c r="M5248" i="2"/>
  <c r="L5248" i="2"/>
  <c r="K5248" i="2"/>
  <c r="G5248" i="2"/>
  <c r="E5248" i="2"/>
  <c r="B5248" i="2"/>
  <c r="S5247" i="2"/>
  <c r="M5247" i="2"/>
  <c r="L5247" i="2"/>
  <c r="K5247" i="2"/>
  <c r="G5247" i="2"/>
  <c r="E5247" i="2"/>
  <c r="B5247" i="2"/>
  <c r="S5246" i="2"/>
  <c r="M5246" i="2"/>
  <c r="L5246" i="2"/>
  <c r="K5246" i="2"/>
  <c r="G5246" i="2"/>
  <c r="E5246" i="2"/>
  <c r="B5246" i="2"/>
  <c r="S5245" i="2"/>
  <c r="M5245" i="2"/>
  <c r="L5245" i="2"/>
  <c r="K5245" i="2"/>
  <c r="G5245" i="2"/>
  <c r="E5245" i="2"/>
  <c r="B5245" i="2"/>
  <c r="S5244" i="2"/>
  <c r="M5244" i="2"/>
  <c r="L5244" i="2"/>
  <c r="K5244" i="2"/>
  <c r="G5244" i="2"/>
  <c r="E5244" i="2"/>
  <c r="B5244" i="2"/>
  <c r="S5243" i="2"/>
  <c r="M5243" i="2"/>
  <c r="L5243" i="2"/>
  <c r="K5243" i="2"/>
  <c r="G5243" i="2"/>
  <c r="E5243" i="2"/>
  <c r="B5243" i="2"/>
  <c r="S5242" i="2"/>
  <c r="M5242" i="2"/>
  <c r="L5242" i="2"/>
  <c r="K5242" i="2"/>
  <c r="G5242" i="2"/>
  <c r="E5242" i="2"/>
  <c r="B5242" i="2"/>
  <c r="S5241" i="2"/>
  <c r="M5241" i="2"/>
  <c r="L5241" i="2"/>
  <c r="K5241" i="2"/>
  <c r="G5241" i="2"/>
  <c r="E5241" i="2"/>
  <c r="B5241" i="2"/>
  <c r="S5240" i="2"/>
  <c r="M5240" i="2"/>
  <c r="L5240" i="2"/>
  <c r="K5240" i="2"/>
  <c r="G5240" i="2"/>
  <c r="E5240" i="2"/>
  <c r="B5240" i="2"/>
  <c r="S5239" i="2"/>
  <c r="M5239" i="2"/>
  <c r="L5239" i="2"/>
  <c r="K5239" i="2"/>
  <c r="G5239" i="2"/>
  <c r="E5239" i="2"/>
  <c r="B5239" i="2"/>
  <c r="S5238" i="2"/>
  <c r="M5238" i="2"/>
  <c r="L5238" i="2"/>
  <c r="K5238" i="2"/>
  <c r="G5238" i="2"/>
  <c r="E5238" i="2"/>
  <c r="B5238" i="2"/>
  <c r="S5237" i="2"/>
  <c r="M5237" i="2"/>
  <c r="L5237" i="2"/>
  <c r="K5237" i="2"/>
  <c r="G5237" i="2"/>
  <c r="E5237" i="2"/>
  <c r="B5237" i="2"/>
  <c r="S5236" i="2"/>
  <c r="M5236" i="2"/>
  <c r="L5236" i="2"/>
  <c r="K5236" i="2"/>
  <c r="G5236" i="2"/>
  <c r="E5236" i="2"/>
  <c r="B5236" i="2"/>
  <c r="S5235" i="2"/>
  <c r="M5235" i="2"/>
  <c r="L5235" i="2"/>
  <c r="K5235" i="2"/>
  <c r="G5235" i="2"/>
  <c r="E5235" i="2"/>
  <c r="B5235" i="2"/>
  <c r="S5234" i="2"/>
  <c r="M5234" i="2"/>
  <c r="L5234" i="2"/>
  <c r="K5234" i="2"/>
  <c r="G5234" i="2"/>
  <c r="E5234" i="2"/>
  <c r="B5234" i="2"/>
  <c r="S5233" i="2"/>
  <c r="M5233" i="2"/>
  <c r="L5233" i="2"/>
  <c r="K5233" i="2"/>
  <c r="G5233" i="2"/>
  <c r="E5233" i="2"/>
  <c r="B5233" i="2"/>
  <c r="S5232" i="2"/>
  <c r="M5232" i="2"/>
  <c r="L5232" i="2"/>
  <c r="K5232" i="2"/>
  <c r="G5232" i="2"/>
  <c r="E5232" i="2"/>
  <c r="B5232" i="2"/>
  <c r="S5231" i="2"/>
  <c r="M5231" i="2"/>
  <c r="L5231" i="2"/>
  <c r="K5231" i="2"/>
  <c r="G5231" i="2"/>
  <c r="E5231" i="2"/>
  <c r="B5231" i="2"/>
  <c r="S5230" i="2"/>
  <c r="M5230" i="2"/>
  <c r="L5230" i="2"/>
  <c r="K5230" i="2"/>
  <c r="G5230" i="2"/>
  <c r="E5230" i="2"/>
  <c r="B5230" i="2"/>
  <c r="S5229" i="2"/>
  <c r="M5229" i="2"/>
  <c r="L5229" i="2"/>
  <c r="K5229" i="2"/>
  <c r="G5229" i="2"/>
  <c r="E5229" i="2"/>
  <c r="B5229" i="2"/>
  <c r="S5228" i="2"/>
  <c r="M5228" i="2"/>
  <c r="L5228" i="2"/>
  <c r="K5228" i="2"/>
  <c r="G5228" i="2"/>
  <c r="E5228" i="2"/>
  <c r="B5228" i="2"/>
  <c r="S5227" i="2"/>
  <c r="M5227" i="2"/>
  <c r="L5227" i="2"/>
  <c r="K5227" i="2"/>
  <c r="G5227" i="2"/>
  <c r="E5227" i="2"/>
  <c r="B5227" i="2"/>
  <c r="S5226" i="2"/>
  <c r="M5226" i="2"/>
  <c r="L5226" i="2"/>
  <c r="K5226" i="2"/>
  <c r="G5226" i="2"/>
  <c r="E5226" i="2"/>
  <c r="B5226" i="2"/>
  <c r="S5225" i="2"/>
  <c r="M5225" i="2"/>
  <c r="L5225" i="2"/>
  <c r="K5225" i="2"/>
  <c r="G5225" i="2"/>
  <c r="E5225" i="2"/>
  <c r="B5225" i="2"/>
  <c r="S5224" i="2"/>
  <c r="M5224" i="2"/>
  <c r="L5224" i="2"/>
  <c r="K5224" i="2"/>
  <c r="G5224" i="2"/>
  <c r="E5224" i="2"/>
  <c r="B5224" i="2"/>
  <c r="S5223" i="2"/>
  <c r="M5223" i="2"/>
  <c r="L5223" i="2"/>
  <c r="K5223" i="2"/>
  <c r="G5223" i="2"/>
  <c r="E5223" i="2"/>
  <c r="B5223" i="2"/>
  <c r="S5222" i="2"/>
  <c r="M5222" i="2"/>
  <c r="L5222" i="2"/>
  <c r="K5222" i="2"/>
  <c r="G5222" i="2"/>
  <c r="E5222" i="2"/>
  <c r="B5222" i="2"/>
  <c r="S5221" i="2"/>
  <c r="M5221" i="2"/>
  <c r="L5221" i="2"/>
  <c r="K5221" i="2"/>
  <c r="G5221" i="2"/>
  <c r="E5221" i="2"/>
  <c r="B5221" i="2"/>
  <c r="S5220" i="2"/>
  <c r="M5220" i="2"/>
  <c r="L5220" i="2"/>
  <c r="K5220" i="2"/>
  <c r="G5220" i="2"/>
  <c r="E5220" i="2"/>
  <c r="B5220" i="2"/>
  <c r="S5219" i="2"/>
  <c r="M5219" i="2"/>
  <c r="L5219" i="2"/>
  <c r="K5219" i="2"/>
  <c r="G5219" i="2"/>
  <c r="E5219" i="2"/>
  <c r="B5219" i="2"/>
  <c r="S5218" i="2"/>
  <c r="M5218" i="2"/>
  <c r="L5218" i="2"/>
  <c r="K5218" i="2"/>
  <c r="G5218" i="2"/>
  <c r="E5218" i="2"/>
  <c r="B5218" i="2"/>
  <c r="S5217" i="2"/>
  <c r="M5217" i="2"/>
  <c r="L5217" i="2"/>
  <c r="K5217" i="2"/>
  <c r="G5217" i="2"/>
  <c r="E5217" i="2"/>
  <c r="B5217" i="2"/>
  <c r="S5216" i="2"/>
  <c r="M5216" i="2"/>
  <c r="L5216" i="2"/>
  <c r="K5216" i="2"/>
  <c r="G5216" i="2"/>
  <c r="E5216" i="2"/>
  <c r="B5216" i="2"/>
  <c r="S5215" i="2"/>
  <c r="M5215" i="2"/>
  <c r="L5215" i="2"/>
  <c r="K5215" i="2"/>
  <c r="G5215" i="2"/>
  <c r="E5215" i="2"/>
  <c r="B5215" i="2"/>
  <c r="S5214" i="2"/>
  <c r="M5214" i="2"/>
  <c r="L5214" i="2"/>
  <c r="K5214" i="2"/>
  <c r="G5214" i="2"/>
  <c r="E5214" i="2"/>
  <c r="B5214" i="2"/>
  <c r="S5213" i="2"/>
  <c r="M5213" i="2"/>
  <c r="L5213" i="2"/>
  <c r="K5213" i="2"/>
  <c r="G5213" i="2"/>
  <c r="E5213" i="2"/>
  <c r="B5213" i="2"/>
  <c r="S5212" i="2"/>
  <c r="M5212" i="2"/>
  <c r="L5212" i="2"/>
  <c r="K5212" i="2"/>
  <c r="G5212" i="2"/>
  <c r="E5212" i="2"/>
  <c r="B5212" i="2"/>
  <c r="S5211" i="2"/>
  <c r="M5211" i="2"/>
  <c r="L5211" i="2"/>
  <c r="K5211" i="2"/>
  <c r="G5211" i="2"/>
  <c r="E5211" i="2"/>
  <c r="B5211" i="2"/>
  <c r="S5210" i="2"/>
  <c r="M5210" i="2"/>
  <c r="L5210" i="2"/>
  <c r="K5210" i="2"/>
  <c r="G5210" i="2"/>
  <c r="E5210" i="2"/>
  <c r="B5210" i="2"/>
  <c r="S5209" i="2"/>
  <c r="M5209" i="2"/>
  <c r="L5209" i="2"/>
  <c r="K5209" i="2"/>
  <c r="G5209" i="2"/>
  <c r="E5209" i="2"/>
  <c r="B5209" i="2"/>
  <c r="S5208" i="2"/>
  <c r="M5208" i="2"/>
  <c r="L5208" i="2"/>
  <c r="K5208" i="2"/>
  <c r="G5208" i="2"/>
  <c r="E5208" i="2"/>
  <c r="B5208" i="2"/>
  <c r="S5207" i="2"/>
  <c r="M5207" i="2"/>
  <c r="L5207" i="2"/>
  <c r="K5207" i="2"/>
  <c r="G5207" i="2"/>
  <c r="E5207" i="2"/>
  <c r="B5207" i="2"/>
  <c r="S5206" i="2"/>
  <c r="M5206" i="2"/>
  <c r="L5206" i="2"/>
  <c r="K5206" i="2"/>
  <c r="G5206" i="2"/>
  <c r="E5206" i="2"/>
  <c r="B5206" i="2"/>
  <c r="S5205" i="2"/>
  <c r="M5205" i="2"/>
  <c r="L5205" i="2"/>
  <c r="K5205" i="2"/>
  <c r="G5205" i="2"/>
  <c r="E5205" i="2"/>
  <c r="B5205" i="2"/>
  <c r="S5204" i="2"/>
  <c r="M5204" i="2"/>
  <c r="L5204" i="2"/>
  <c r="K5204" i="2"/>
  <c r="G5204" i="2"/>
  <c r="E5204" i="2"/>
  <c r="B5204" i="2"/>
  <c r="S5203" i="2"/>
  <c r="M5203" i="2"/>
  <c r="L5203" i="2"/>
  <c r="K5203" i="2"/>
  <c r="G5203" i="2"/>
  <c r="E5203" i="2"/>
  <c r="B5203" i="2"/>
  <c r="S5202" i="2"/>
  <c r="M5202" i="2"/>
  <c r="L5202" i="2"/>
  <c r="K5202" i="2"/>
  <c r="G5202" i="2"/>
  <c r="E5202" i="2"/>
  <c r="B5202" i="2"/>
  <c r="S5201" i="2"/>
  <c r="M5201" i="2"/>
  <c r="L5201" i="2"/>
  <c r="K5201" i="2"/>
  <c r="G5201" i="2"/>
  <c r="E5201" i="2"/>
  <c r="B5201" i="2"/>
  <c r="S5200" i="2"/>
  <c r="M5200" i="2"/>
  <c r="L5200" i="2"/>
  <c r="K5200" i="2"/>
  <c r="G5200" i="2"/>
  <c r="E5200" i="2"/>
  <c r="B5200" i="2"/>
  <c r="S5199" i="2"/>
  <c r="M5199" i="2"/>
  <c r="L5199" i="2"/>
  <c r="K5199" i="2"/>
  <c r="G5199" i="2"/>
  <c r="E5199" i="2"/>
  <c r="B5199" i="2"/>
  <c r="M5198" i="2"/>
  <c r="L5198" i="2"/>
  <c r="K5198" i="2"/>
  <c r="G5198" i="2"/>
  <c r="E5198" i="2"/>
  <c r="B5198" i="2"/>
  <c r="S5197" i="2"/>
  <c r="M5197" i="2"/>
  <c r="L5197" i="2"/>
  <c r="K5197" i="2"/>
  <c r="G5197" i="2"/>
  <c r="E5197" i="2"/>
  <c r="B5197" i="2"/>
  <c r="S5196" i="2"/>
  <c r="M5196" i="2"/>
  <c r="L5196" i="2"/>
  <c r="K5196" i="2"/>
  <c r="G5196" i="2"/>
  <c r="E5196" i="2"/>
  <c r="B5196" i="2"/>
  <c r="S5195" i="2"/>
  <c r="M5195" i="2"/>
  <c r="L5195" i="2"/>
  <c r="K5195" i="2"/>
  <c r="G5195" i="2"/>
  <c r="E5195" i="2"/>
  <c r="B5195" i="2"/>
  <c r="S5194" i="2"/>
  <c r="M5194" i="2"/>
  <c r="L5194" i="2"/>
  <c r="K5194" i="2"/>
  <c r="G5194" i="2"/>
  <c r="E5194" i="2"/>
  <c r="B5194" i="2"/>
  <c r="S5193" i="2"/>
  <c r="M5193" i="2"/>
  <c r="L5193" i="2"/>
  <c r="K5193" i="2"/>
  <c r="G5193" i="2"/>
  <c r="E5193" i="2"/>
  <c r="B5193" i="2"/>
  <c r="S5192" i="2"/>
  <c r="M5192" i="2"/>
  <c r="L5192" i="2"/>
  <c r="K5192" i="2"/>
  <c r="G5192" i="2"/>
  <c r="E5192" i="2"/>
  <c r="B5192" i="2"/>
  <c r="S5191" i="2"/>
  <c r="M5191" i="2"/>
  <c r="L5191" i="2"/>
  <c r="K5191" i="2"/>
  <c r="G5191" i="2"/>
  <c r="E5191" i="2"/>
  <c r="B5191" i="2"/>
  <c r="S5190" i="2"/>
  <c r="M5190" i="2"/>
  <c r="L5190" i="2"/>
  <c r="K5190" i="2"/>
  <c r="G5190" i="2"/>
  <c r="E5190" i="2"/>
  <c r="B5190" i="2"/>
  <c r="S5189" i="2"/>
  <c r="M5189" i="2"/>
  <c r="L5189" i="2"/>
  <c r="K5189" i="2"/>
  <c r="G5189" i="2"/>
  <c r="E5189" i="2"/>
  <c r="B5189" i="2"/>
  <c r="S5188" i="2"/>
  <c r="M5188" i="2"/>
  <c r="L5188" i="2"/>
  <c r="K5188" i="2"/>
  <c r="G5188" i="2"/>
  <c r="E5188" i="2"/>
  <c r="B5188" i="2"/>
  <c r="S5187" i="2"/>
  <c r="M5187" i="2"/>
  <c r="L5187" i="2"/>
  <c r="K5187" i="2"/>
  <c r="G5187" i="2"/>
  <c r="E5187" i="2"/>
  <c r="B5187" i="2"/>
  <c r="S5186" i="2"/>
  <c r="M5186" i="2"/>
  <c r="L5186" i="2"/>
  <c r="K5186" i="2"/>
  <c r="G5186" i="2"/>
  <c r="E5186" i="2"/>
  <c r="B5186" i="2"/>
  <c r="S5185" i="2"/>
  <c r="M5185" i="2"/>
  <c r="L5185" i="2"/>
  <c r="K5185" i="2"/>
  <c r="G5185" i="2"/>
  <c r="E5185" i="2"/>
  <c r="B5185" i="2"/>
  <c r="S5184" i="2"/>
  <c r="M5184" i="2"/>
  <c r="L5184" i="2"/>
  <c r="K5184" i="2"/>
  <c r="G5184" i="2"/>
  <c r="E5184" i="2"/>
  <c r="B5184" i="2"/>
  <c r="S5183" i="2"/>
  <c r="M5183" i="2"/>
  <c r="L5183" i="2"/>
  <c r="K5183" i="2"/>
  <c r="G5183" i="2"/>
  <c r="E5183" i="2"/>
  <c r="B5183" i="2"/>
  <c r="S5182" i="2"/>
  <c r="M5182" i="2"/>
  <c r="L5182" i="2"/>
  <c r="K5182" i="2"/>
  <c r="G5182" i="2"/>
  <c r="E5182" i="2"/>
  <c r="B5182" i="2"/>
  <c r="S5181" i="2"/>
  <c r="M5181" i="2"/>
  <c r="L5181" i="2"/>
  <c r="K5181" i="2"/>
  <c r="G5181" i="2"/>
  <c r="E5181" i="2"/>
  <c r="B5181" i="2"/>
  <c r="S5180" i="2"/>
  <c r="M5180" i="2"/>
  <c r="L5180" i="2"/>
  <c r="K5180" i="2"/>
  <c r="G5180" i="2"/>
  <c r="E5180" i="2"/>
  <c r="B5180" i="2"/>
  <c r="S5179" i="2"/>
  <c r="M5179" i="2"/>
  <c r="L5179" i="2"/>
  <c r="K5179" i="2"/>
  <c r="G5179" i="2"/>
  <c r="E5179" i="2"/>
  <c r="B5179" i="2"/>
  <c r="S5178" i="2"/>
  <c r="M5178" i="2"/>
  <c r="L5178" i="2"/>
  <c r="K5178" i="2"/>
  <c r="G5178" i="2"/>
  <c r="E5178" i="2"/>
  <c r="B5178" i="2"/>
  <c r="S5177" i="2"/>
  <c r="M5177" i="2"/>
  <c r="L5177" i="2"/>
  <c r="K5177" i="2"/>
  <c r="G5177" i="2"/>
  <c r="E5177" i="2"/>
  <c r="B5177" i="2"/>
  <c r="S5176" i="2"/>
  <c r="M5176" i="2"/>
  <c r="L5176" i="2"/>
  <c r="K5176" i="2"/>
  <c r="G5176" i="2"/>
  <c r="E5176" i="2"/>
  <c r="B5176" i="2"/>
  <c r="S5175" i="2"/>
  <c r="M5175" i="2"/>
  <c r="L5175" i="2"/>
  <c r="K5175" i="2"/>
  <c r="G5175" i="2"/>
  <c r="E5175" i="2"/>
  <c r="B5175" i="2"/>
  <c r="S5174" i="2"/>
  <c r="M5174" i="2"/>
  <c r="L5174" i="2"/>
  <c r="K5174" i="2"/>
  <c r="G5174" i="2"/>
  <c r="E5174" i="2"/>
  <c r="B5174" i="2"/>
  <c r="S5173" i="2"/>
  <c r="M5173" i="2"/>
  <c r="L5173" i="2"/>
  <c r="K5173" i="2"/>
  <c r="G5173" i="2"/>
  <c r="E5173" i="2"/>
  <c r="B5173" i="2"/>
  <c r="S5172" i="2"/>
  <c r="M5172" i="2"/>
  <c r="L5172" i="2"/>
  <c r="K5172" i="2"/>
  <c r="G5172" i="2"/>
  <c r="E5172" i="2"/>
  <c r="B5172" i="2"/>
  <c r="S5171" i="2"/>
  <c r="M5171" i="2"/>
  <c r="L5171" i="2"/>
  <c r="K5171" i="2"/>
  <c r="G5171" i="2"/>
  <c r="E5171" i="2"/>
  <c r="B5171" i="2"/>
  <c r="S5170" i="2"/>
  <c r="M5170" i="2"/>
  <c r="L5170" i="2"/>
  <c r="K5170" i="2"/>
  <c r="G5170" i="2"/>
  <c r="E5170" i="2"/>
  <c r="B5170" i="2"/>
  <c r="S5169" i="2"/>
  <c r="M5169" i="2"/>
  <c r="L5169" i="2"/>
  <c r="K5169" i="2"/>
  <c r="G5169" i="2"/>
  <c r="E5169" i="2"/>
  <c r="B5169" i="2"/>
  <c r="S5168" i="2"/>
  <c r="M5168" i="2"/>
  <c r="L5168" i="2"/>
  <c r="K5168" i="2"/>
  <c r="G5168" i="2"/>
  <c r="E5168" i="2"/>
  <c r="B5168" i="2"/>
  <c r="S5167" i="2"/>
  <c r="M5167" i="2"/>
  <c r="L5167" i="2"/>
  <c r="K5167" i="2"/>
  <c r="G5167" i="2"/>
  <c r="E5167" i="2"/>
  <c r="B5167" i="2"/>
  <c r="S5166" i="2"/>
  <c r="M5166" i="2"/>
  <c r="L5166" i="2"/>
  <c r="K5166" i="2"/>
  <c r="G5166" i="2"/>
  <c r="E5166" i="2"/>
  <c r="B5166" i="2"/>
  <c r="S5165" i="2"/>
  <c r="M5165" i="2"/>
  <c r="L5165" i="2"/>
  <c r="K5165" i="2"/>
  <c r="G5165" i="2"/>
  <c r="E5165" i="2"/>
  <c r="B5165" i="2"/>
  <c r="S5164" i="2"/>
  <c r="M5164" i="2"/>
  <c r="L5164" i="2"/>
  <c r="K5164" i="2"/>
  <c r="G5164" i="2"/>
  <c r="E5164" i="2"/>
  <c r="B5164" i="2"/>
  <c r="S5163" i="2"/>
  <c r="M5163" i="2"/>
  <c r="L5163" i="2"/>
  <c r="K5163" i="2"/>
  <c r="G5163" i="2"/>
  <c r="E5163" i="2"/>
  <c r="B5163" i="2"/>
  <c r="S5162" i="2"/>
  <c r="M5162" i="2"/>
  <c r="L5162" i="2"/>
  <c r="K5162" i="2"/>
  <c r="G5162" i="2"/>
  <c r="E5162" i="2"/>
  <c r="B5162" i="2"/>
  <c r="S5161" i="2"/>
  <c r="M5161" i="2"/>
  <c r="L5161" i="2"/>
  <c r="K5161" i="2"/>
  <c r="G5161" i="2"/>
  <c r="E5161" i="2"/>
  <c r="B5161" i="2"/>
  <c r="S5160" i="2"/>
  <c r="M5160" i="2"/>
  <c r="L5160" i="2"/>
  <c r="K5160" i="2"/>
  <c r="G5160" i="2"/>
  <c r="E5160" i="2"/>
  <c r="B5160" i="2"/>
  <c r="S5159" i="2"/>
  <c r="M5159" i="2"/>
  <c r="L5159" i="2"/>
  <c r="K5159" i="2"/>
  <c r="G5159" i="2"/>
  <c r="E5159" i="2"/>
  <c r="B5159" i="2"/>
  <c r="S5158" i="2"/>
  <c r="M5158" i="2"/>
  <c r="L5158" i="2"/>
  <c r="K5158" i="2"/>
  <c r="G5158" i="2"/>
  <c r="E5158" i="2"/>
  <c r="B5158" i="2"/>
  <c r="S5157" i="2"/>
  <c r="M5157" i="2"/>
  <c r="L5157" i="2"/>
  <c r="K5157" i="2"/>
  <c r="G5157" i="2"/>
  <c r="E5157" i="2"/>
  <c r="B5157" i="2"/>
  <c r="S5156" i="2"/>
  <c r="M5156" i="2"/>
  <c r="L5156" i="2"/>
  <c r="K5156" i="2"/>
  <c r="G5156" i="2"/>
  <c r="E5156" i="2"/>
  <c r="B5156" i="2"/>
  <c r="S5155" i="2"/>
  <c r="M5155" i="2"/>
  <c r="L5155" i="2"/>
  <c r="K5155" i="2"/>
  <c r="G5155" i="2"/>
  <c r="E5155" i="2"/>
  <c r="B5155" i="2"/>
  <c r="S5154" i="2"/>
  <c r="M5154" i="2"/>
  <c r="L5154" i="2"/>
  <c r="K5154" i="2"/>
  <c r="G5154" i="2"/>
  <c r="E5154" i="2"/>
  <c r="B5154" i="2"/>
  <c r="S5153" i="2"/>
  <c r="M5153" i="2"/>
  <c r="L5153" i="2"/>
  <c r="K5153" i="2"/>
  <c r="G5153" i="2"/>
  <c r="E5153" i="2"/>
  <c r="B5153" i="2"/>
  <c r="S5152" i="2"/>
  <c r="M5152" i="2"/>
  <c r="L5152" i="2"/>
  <c r="K5152" i="2"/>
  <c r="G5152" i="2"/>
  <c r="E5152" i="2"/>
  <c r="B5152" i="2"/>
  <c r="S5151" i="2"/>
  <c r="M5151" i="2"/>
  <c r="L5151" i="2"/>
  <c r="K5151" i="2"/>
  <c r="G5151" i="2"/>
  <c r="E5151" i="2"/>
  <c r="B5151" i="2"/>
  <c r="S5150" i="2"/>
  <c r="M5150" i="2"/>
  <c r="L5150" i="2"/>
  <c r="K5150" i="2"/>
  <c r="G5150" i="2"/>
  <c r="E5150" i="2"/>
  <c r="B5150" i="2"/>
  <c r="S5149" i="2"/>
  <c r="M5149" i="2"/>
  <c r="L5149" i="2"/>
  <c r="K5149" i="2"/>
  <c r="G5149" i="2"/>
  <c r="E5149" i="2"/>
  <c r="B5149" i="2"/>
  <c r="S5148" i="2"/>
  <c r="M5148" i="2"/>
  <c r="L5148" i="2"/>
  <c r="K5148" i="2"/>
  <c r="G5148" i="2"/>
  <c r="E5148" i="2"/>
  <c r="B5148" i="2"/>
  <c r="S5147" i="2"/>
  <c r="M5147" i="2"/>
  <c r="L5147" i="2"/>
  <c r="K5147" i="2"/>
  <c r="G5147" i="2"/>
  <c r="E5147" i="2"/>
  <c r="B5147" i="2"/>
  <c r="S5146" i="2"/>
  <c r="M5146" i="2"/>
  <c r="L5146" i="2"/>
  <c r="K5146" i="2"/>
  <c r="G5146" i="2"/>
  <c r="E5146" i="2"/>
  <c r="B5146" i="2"/>
  <c r="S5145" i="2"/>
  <c r="M5145" i="2"/>
  <c r="L5145" i="2"/>
  <c r="K5145" i="2"/>
  <c r="G5145" i="2"/>
  <c r="E5145" i="2"/>
  <c r="B5145" i="2"/>
  <c r="S5144" i="2"/>
  <c r="M5144" i="2"/>
  <c r="L5144" i="2"/>
  <c r="K5144" i="2"/>
  <c r="G5144" i="2"/>
  <c r="E5144" i="2"/>
  <c r="B5144" i="2"/>
  <c r="S5143" i="2"/>
  <c r="M5143" i="2"/>
  <c r="L5143" i="2"/>
  <c r="K5143" i="2"/>
  <c r="G5143" i="2"/>
  <c r="E5143" i="2"/>
  <c r="B5143" i="2"/>
  <c r="S5142" i="2"/>
  <c r="M5142" i="2"/>
  <c r="L5142" i="2"/>
  <c r="K5142" i="2"/>
  <c r="G5142" i="2"/>
  <c r="E5142" i="2"/>
  <c r="B5142" i="2"/>
  <c r="S5141" i="2"/>
  <c r="M5141" i="2"/>
  <c r="L5141" i="2"/>
  <c r="K5141" i="2"/>
  <c r="G5141" i="2"/>
  <c r="E5141" i="2"/>
  <c r="B5141" i="2"/>
  <c r="S5140" i="2"/>
  <c r="M5140" i="2"/>
  <c r="L5140" i="2"/>
  <c r="K5140" i="2"/>
  <c r="G5140" i="2"/>
  <c r="E5140" i="2"/>
  <c r="B5140" i="2"/>
  <c r="S5139" i="2"/>
  <c r="M5139" i="2"/>
  <c r="L5139" i="2"/>
  <c r="K5139" i="2"/>
  <c r="G5139" i="2"/>
  <c r="E5139" i="2"/>
  <c r="B5139" i="2"/>
  <c r="S5138" i="2"/>
  <c r="M5138" i="2"/>
  <c r="L5138" i="2"/>
  <c r="K5138" i="2"/>
  <c r="G5138" i="2"/>
  <c r="E5138" i="2"/>
  <c r="B5138" i="2"/>
  <c r="S5137" i="2"/>
  <c r="M5137" i="2"/>
  <c r="L5137" i="2"/>
  <c r="K5137" i="2"/>
  <c r="G5137" i="2"/>
  <c r="E5137" i="2"/>
  <c r="B5137" i="2"/>
  <c r="S5136" i="2"/>
  <c r="M5136" i="2"/>
  <c r="L5136" i="2"/>
  <c r="K5136" i="2"/>
  <c r="G5136" i="2"/>
  <c r="E5136" i="2"/>
  <c r="B5136" i="2"/>
  <c r="S5135" i="2"/>
  <c r="M5135" i="2"/>
  <c r="L5135" i="2"/>
  <c r="K5135" i="2"/>
  <c r="G5135" i="2"/>
  <c r="E5135" i="2"/>
  <c r="B5135" i="2"/>
  <c r="S5134" i="2"/>
  <c r="M5134" i="2"/>
  <c r="L5134" i="2"/>
  <c r="K5134" i="2"/>
  <c r="G5134" i="2"/>
  <c r="E5134" i="2"/>
  <c r="B5134" i="2"/>
  <c r="S5133" i="2"/>
  <c r="M5133" i="2"/>
  <c r="L5133" i="2"/>
  <c r="K5133" i="2"/>
  <c r="G5133" i="2"/>
  <c r="E5133" i="2"/>
  <c r="B5133" i="2"/>
  <c r="S5132" i="2"/>
  <c r="M5132" i="2"/>
  <c r="L5132" i="2"/>
  <c r="K5132" i="2"/>
  <c r="G5132" i="2"/>
  <c r="E5132" i="2"/>
  <c r="B5132" i="2"/>
  <c r="S5131" i="2"/>
  <c r="M5131" i="2"/>
  <c r="L5131" i="2"/>
  <c r="K5131" i="2"/>
  <c r="G5131" i="2"/>
  <c r="E5131" i="2"/>
  <c r="B5131" i="2"/>
  <c r="S5130" i="2"/>
  <c r="M5130" i="2"/>
  <c r="L5130" i="2"/>
  <c r="K5130" i="2"/>
  <c r="G5130" i="2"/>
  <c r="E5130" i="2"/>
  <c r="B5130" i="2"/>
  <c r="S5129" i="2"/>
  <c r="M5129" i="2"/>
  <c r="L5129" i="2"/>
  <c r="K5129" i="2"/>
  <c r="G5129" i="2"/>
  <c r="E5129" i="2"/>
  <c r="B5129" i="2"/>
  <c r="S5128" i="2"/>
  <c r="M5128" i="2"/>
  <c r="L5128" i="2"/>
  <c r="K5128" i="2"/>
  <c r="G5128" i="2"/>
  <c r="E5128" i="2"/>
  <c r="B5128" i="2"/>
  <c r="S5127" i="2"/>
  <c r="M5127" i="2"/>
  <c r="L5127" i="2"/>
  <c r="K5127" i="2"/>
  <c r="G5127" i="2"/>
  <c r="E5127" i="2"/>
  <c r="B5127" i="2"/>
  <c r="S5126" i="2"/>
  <c r="M5126" i="2"/>
  <c r="L5126" i="2"/>
  <c r="K5126" i="2"/>
  <c r="G5126" i="2"/>
  <c r="E5126" i="2"/>
  <c r="B5126" i="2"/>
  <c r="S5125" i="2"/>
  <c r="M5125" i="2"/>
  <c r="L5125" i="2"/>
  <c r="K5125" i="2"/>
  <c r="G5125" i="2"/>
  <c r="E5125" i="2"/>
  <c r="B5125" i="2"/>
  <c r="S5124" i="2"/>
  <c r="M5124" i="2"/>
  <c r="L5124" i="2"/>
  <c r="K5124" i="2"/>
  <c r="G5124" i="2"/>
  <c r="E5124" i="2"/>
  <c r="B5124" i="2"/>
  <c r="S5123" i="2"/>
  <c r="M5123" i="2"/>
  <c r="L5123" i="2"/>
  <c r="K5123" i="2"/>
  <c r="G5123" i="2"/>
  <c r="E5123" i="2"/>
  <c r="B5123" i="2"/>
  <c r="S5122" i="2"/>
  <c r="M5122" i="2"/>
  <c r="L5122" i="2"/>
  <c r="K5122" i="2"/>
  <c r="G5122" i="2"/>
  <c r="E5122" i="2"/>
  <c r="B5122" i="2"/>
  <c r="S5121" i="2"/>
  <c r="M5121" i="2"/>
  <c r="L5121" i="2"/>
  <c r="K5121" i="2"/>
  <c r="G5121" i="2"/>
  <c r="E5121" i="2"/>
  <c r="B5121" i="2"/>
  <c r="S5120" i="2"/>
  <c r="M5120" i="2"/>
  <c r="L5120" i="2"/>
  <c r="K5120" i="2"/>
  <c r="G5120" i="2"/>
  <c r="E5120" i="2"/>
  <c r="B5120" i="2"/>
  <c r="S5119" i="2"/>
  <c r="M5119" i="2"/>
  <c r="L5119" i="2"/>
  <c r="K5119" i="2"/>
  <c r="G5119" i="2"/>
  <c r="E5119" i="2"/>
  <c r="B5119" i="2"/>
  <c r="S5118" i="2"/>
  <c r="M5118" i="2"/>
  <c r="L5118" i="2"/>
  <c r="K5118" i="2"/>
  <c r="G5118" i="2"/>
  <c r="E5118" i="2"/>
  <c r="B5118" i="2"/>
  <c r="S5117" i="2"/>
  <c r="M5117" i="2"/>
  <c r="L5117" i="2"/>
  <c r="K5117" i="2"/>
  <c r="G5117" i="2"/>
  <c r="E5117" i="2"/>
  <c r="B5117" i="2"/>
  <c r="S5116" i="2"/>
  <c r="M5116" i="2"/>
  <c r="L5116" i="2"/>
  <c r="K5116" i="2"/>
  <c r="G5116" i="2"/>
  <c r="E5116" i="2"/>
  <c r="B5116" i="2"/>
  <c r="S5115" i="2"/>
  <c r="M5115" i="2"/>
  <c r="L5115" i="2"/>
  <c r="K5115" i="2"/>
  <c r="G5115" i="2"/>
  <c r="E5115" i="2"/>
  <c r="B5115" i="2"/>
  <c r="S5114" i="2"/>
  <c r="M5114" i="2"/>
  <c r="L5114" i="2"/>
  <c r="K5114" i="2"/>
  <c r="G5114" i="2"/>
  <c r="E5114" i="2"/>
  <c r="B5114" i="2"/>
  <c r="S5113" i="2"/>
  <c r="M5113" i="2"/>
  <c r="L5113" i="2"/>
  <c r="K5113" i="2"/>
  <c r="G5113" i="2"/>
  <c r="E5113" i="2"/>
  <c r="B5113" i="2"/>
  <c r="S5112" i="2"/>
  <c r="M5112" i="2"/>
  <c r="L5112" i="2"/>
  <c r="K5112" i="2"/>
  <c r="G5112" i="2"/>
  <c r="E5112" i="2"/>
  <c r="B5112" i="2"/>
  <c r="S5111" i="2"/>
  <c r="M5111" i="2"/>
  <c r="L5111" i="2"/>
  <c r="K5111" i="2"/>
  <c r="G5111" i="2"/>
  <c r="E5111" i="2"/>
  <c r="B5111" i="2"/>
  <c r="S5110" i="2"/>
  <c r="M5110" i="2"/>
  <c r="L5110" i="2"/>
  <c r="K5110" i="2"/>
  <c r="G5110" i="2"/>
  <c r="E5110" i="2"/>
  <c r="B5110" i="2"/>
  <c r="S5109" i="2"/>
  <c r="M5109" i="2"/>
  <c r="L5109" i="2"/>
  <c r="K5109" i="2"/>
  <c r="G5109" i="2"/>
  <c r="E5109" i="2"/>
  <c r="B5109" i="2"/>
  <c r="S5108" i="2"/>
  <c r="M5108" i="2"/>
  <c r="L5108" i="2"/>
  <c r="K5108" i="2"/>
  <c r="G5108" i="2"/>
  <c r="E5108" i="2"/>
  <c r="B5108" i="2"/>
  <c r="S5107" i="2"/>
  <c r="M5107" i="2"/>
  <c r="L5107" i="2"/>
  <c r="K5107" i="2"/>
  <c r="G5107" i="2"/>
  <c r="E5107" i="2"/>
  <c r="B5107" i="2"/>
  <c r="S5106" i="2"/>
  <c r="M5106" i="2"/>
  <c r="L5106" i="2"/>
  <c r="K5106" i="2"/>
  <c r="G5106" i="2"/>
  <c r="E5106" i="2"/>
  <c r="B5106" i="2"/>
  <c r="S5105" i="2"/>
  <c r="M5105" i="2"/>
  <c r="L5105" i="2"/>
  <c r="K5105" i="2"/>
  <c r="G5105" i="2"/>
  <c r="E5105" i="2"/>
  <c r="B5105" i="2"/>
  <c r="S5104" i="2"/>
  <c r="M5104" i="2"/>
  <c r="L5104" i="2"/>
  <c r="K5104" i="2"/>
  <c r="G5104" i="2"/>
  <c r="E5104" i="2"/>
  <c r="B5104" i="2"/>
  <c r="S5103" i="2"/>
  <c r="M5103" i="2"/>
  <c r="L5103" i="2"/>
  <c r="K5103" i="2"/>
  <c r="G5103" i="2"/>
  <c r="E5103" i="2"/>
  <c r="B5103" i="2"/>
  <c r="S5102" i="2"/>
  <c r="M5102" i="2"/>
  <c r="L5102" i="2"/>
  <c r="K5102" i="2"/>
  <c r="G5102" i="2"/>
  <c r="E5102" i="2"/>
  <c r="B5102" i="2"/>
  <c r="S5101" i="2"/>
  <c r="M5101" i="2"/>
  <c r="L5101" i="2"/>
  <c r="K5101" i="2"/>
  <c r="G5101" i="2"/>
  <c r="E5101" i="2"/>
  <c r="B5101" i="2"/>
  <c r="S5100" i="2"/>
  <c r="M5100" i="2"/>
  <c r="L5100" i="2"/>
  <c r="K5100" i="2"/>
  <c r="G5100" i="2"/>
  <c r="E5100" i="2"/>
  <c r="B5100" i="2"/>
  <c r="S5099" i="2"/>
  <c r="M5099" i="2"/>
  <c r="L5099" i="2"/>
  <c r="K5099" i="2"/>
  <c r="G5099" i="2"/>
  <c r="E5099" i="2"/>
  <c r="B5099" i="2"/>
  <c r="S5098" i="2"/>
  <c r="M5098" i="2"/>
  <c r="L5098" i="2"/>
  <c r="K5098" i="2"/>
  <c r="G5098" i="2"/>
  <c r="E5098" i="2"/>
  <c r="B5098" i="2"/>
  <c r="S5097" i="2"/>
  <c r="M5097" i="2"/>
  <c r="L5097" i="2"/>
  <c r="K5097" i="2"/>
  <c r="G5097" i="2"/>
  <c r="E5097" i="2"/>
  <c r="B5097" i="2"/>
  <c r="S5096" i="2"/>
  <c r="M5096" i="2"/>
  <c r="L5096" i="2"/>
  <c r="K5096" i="2"/>
  <c r="G5096" i="2"/>
  <c r="E5096" i="2"/>
  <c r="B5096" i="2"/>
  <c r="S5095" i="2"/>
  <c r="M5095" i="2"/>
  <c r="L5095" i="2"/>
  <c r="K5095" i="2"/>
  <c r="G5095" i="2"/>
  <c r="E5095" i="2"/>
  <c r="B5095" i="2"/>
  <c r="S5094" i="2"/>
  <c r="M5094" i="2"/>
  <c r="L5094" i="2"/>
  <c r="K5094" i="2"/>
  <c r="G5094" i="2"/>
  <c r="E5094" i="2"/>
  <c r="B5094" i="2"/>
  <c r="S5093" i="2"/>
  <c r="M5093" i="2"/>
  <c r="L5093" i="2"/>
  <c r="K5093" i="2"/>
  <c r="G5093" i="2"/>
  <c r="E5093" i="2"/>
  <c r="B5093" i="2"/>
  <c r="S5092" i="2"/>
  <c r="M5092" i="2"/>
  <c r="L5092" i="2"/>
  <c r="K5092" i="2"/>
  <c r="G5092" i="2"/>
  <c r="E5092" i="2"/>
  <c r="B5092" i="2"/>
  <c r="S5091" i="2"/>
  <c r="M5091" i="2"/>
  <c r="L5091" i="2"/>
  <c r="K5091" i="2"/>
  <c r="G5091" i="2"/>
  <c r="E5091" i="2"/>
  <c r="B5091" i="2"/>
  <c r="S5090" i="2"/>
  <c r="M5090" i="2"/>
  <c r="L5090" i="2"/>
  <c r="K5090" i="2"/>
  <c r="G5090" i="2"/>
  <c r="E5090" i="2"/>
  <c r="B5090" i="2"/>
  <c r="S5089" i="2"/>
  <c r="M5089" i="2"/>
  <c r="L5089" i="2"/>
  <c r="K5089" i="2"/>
  <c r="G5089" i="2"/>
  <c r="E5089" i="2"/>
  <c r="B5089" i="2"/>
  <c r="S5088" i="2"/>
  <c r="M5088" i="2"/>
  <c r="L5088" i="2"/>
  <c r="K5088" i="2"/>
  <c r="G5088" i="2"/>
  <c r="E5088" i="2"/>
  <c r="B5088" i="2"/>
  <c r="S5087" i="2"/>
  <c r="M5087" i="2"/>
  <c r="L5087" i="2"/>
  <c r="K5087" i="2"/>
  <c r="G5087" i="2"/>
  <c r="E5087" i="2"/>
  <c r="B5087" i="2"/>
  <c r="S5086" i="2"/>
  <c r="M5086" i="2"/>
  <c r="L5086" i="2"/>
  <c r="K5086" i="2"/>
  <c r="G5086" i="2"/>
  <c r="E5086" i="2"/>
  <c r="B5086" i="2"/>
  <c r="S5085" i="2"/>
  <c r="M5085" i="2"/>
  <c r="L5085" i="2"/>
  <c r="K5085" i="2"/>
  <c r="G5085" i="2"/>
  <c r="E5085" i="2"/>
  <c r="B5085" i="2"/>
  <c r="S5084" i="2"/>
  <c r="M5084" i="2"/>
  <c r="L5084" i="2"/>
  <c r="K5084" i="2"/>
  <c r="G5084" i="2"/>
  <c r="E5084" i="2"/>
  <c r="B5084" i="2"/>
  <c r="S5083" i="2"/>
  <c r="M5083" i="2"/>
  <c r="L5083" i="2"/>
  <c r="K5083" i="2"/>
  <c r="G5083" i="2"/>
  <c r="E5083" i="2"/>
  <c r="B5083" i="2"/>
  <c r="S5082" i="2"/>
  <c r="M5082" i="2"/>
  <c r="L5082" i="2"/>
  <c r="K5082" i="2"/>
  <c r="G5082" i="2"/>
  <c r="E5082" i="2"/>
  <c r="B5082" i="2"/>
  <c r="S5081" i="2"/>
  <c r="M5081" i="2"/>
  <c r="L5081" i="2"/>
  <c r="K5081" i="2"/>
  <c r="G5081" i="2"/>
  <c r="E5081" i="2"/>
  <c r="B5081" i="2"/>
  <c r="S5080" i="2"/>
  <c r="M5080" i="2"/>
  <c r="L5080" i="2"/>
  <c r="K5080" i="2"/>
  <c r="G5080" i="2"/>
  <c r="E5080" i="2"/>
  <c r="B5080" i="2"/>
  <c r="S5079" i="2"/>
  <c r="M5079" i="2"/>
  <c r="L5079" i="2"/>
  <c r="K5079" i="2"/>
  <c r="G5079" i="2"/>
  <c r="E5079" i="2"/>
  <c r="B5079" i="2"/>
  <c r="S5078" i="2"/>
  <c r="M5078" i="2"/>
  <c r="L5078" i="2"/>
  <c r="K5078" i="2"/>
  <c r="G5078" i="2"/>
  <c r="E5078" i="2"/>
  <c r="B5078" i="2"/>
  <c r="S5077" i="2"/>
  <c r="M5077" i="2"/>
  <c r="L5077" i="2"/>
  <c r="K5077" i="2"/>
  <c r="G5077" i="2"/>
  <c r="E5077" i="2"/>
  <c r="B5077" i="2"/>
  <c r="S5076" i="2"/>
  <c r="M5076" i="2"/>
  <c r="L5076" i="2"/>
  <c r="K5076" i="2"/>
  <c r="G5076" i="2"/>
  <c r="E5076" i="2"/>
  <c r="B5076" i="2"/>
  <c r="S5075" i="2"/>
  <c r="M5075" i="2"/>
  <c r="L5075" i="2"/>
  <c r="K5075" i="2"/>
  <c r="G5075" i="2"/>
  <c r="E5075" i="2"/>
  <c r="B5075" i="2"/>
  <c r="S5074" i="2"/>
  <c r="M5074" i="2"/>
  <c r="L5074" i="2"/>
  <c r="K5074" i="2"/>
  <c r="G5074" i="2"/>
  <c r="E5074" i="2"/>
  <c r="B5074" i="2"/>
  <c r="S5073" i="2"/>
  <c r="M5073" i="2"/>
  <c r="L5073" i="2"/>
  <c r="K5073" i="2"/>
  <c r="G5073" i="2"/>
  <c r="E5073" i="2"/>
  <c r="B5073" i="2"/>
  <c r="S5072" i="2"/>
  <c r="M5072" i="2"/>
  <c r="L5072" i="2"/>
  <c r="K5072" i="2"/>
  <c r="G5072" i="2"/>
  <c r="E5072" i="2"/>
  <c r="B5072" i="2"/>
  <c r="S5071" i="2"/>
  <c r="M5071" i="2"/>
  <c r="L5071" i="2"/>
  <c r="K5071" i="2"/>
  <c r="G5071" i="2"/>
  <c r="E5071" i="2"/>
  <c r="B5071" i="2"/>
  <c r="S5070" i="2"/>
  <c r="M5070" i="2"/>
  <c r="L5070" i="2"/>
  <c r="K5070" i="2"/>
  <c r="G5070" i="2"/>
  <c r="E5070" i="2"/>
  <c r="B5070" i="2"/>
  <c r="S5069" i="2"/>
  <c r="M5069" i="2"/>
  <c r="L5069" i="2"/>
  <c r="K5069" i="2"/>
  <c r="G5069" i="2"/>
  <c r="E5069" i="2"/>
  <c r="B5069" i="2"/>
  <c r="S5068" i="2"/>
  <c r="M5068" i="2"/>
  <c r="L5068" i="2"/>
  <c r="K5068" i="2"/>
  <c r="G5068" i="2"/>
  <c r="E5068" i="2"/>
  <c r="B5068" i="2"/>
  <c r="S5067" i="2"/>
  <c r="M5067" i="2"/>
  <c r="L5067" i="2"/>
  <c r="K5067" i="2"/>
  <c r="G5067" i="2"/>
  <c r="E5067" i="2"/>
  <c r="B5067" i="2"/>
  <c r="S5066" i="2"/>
  <c r="M5066" i="2"/>
  <c r="L5066" i="2"/>
  <c r="K5066" i="2"/>
  <c r="G5066" i="2"/>
  <c r="E5066" i="2"/>
  <c r="B5066" i="2"/>
  <c r="S5065" i="2"/>
  <c r="M5065" i="2"/>
  <c r="L5065" i="2"/>
  <c r="K5065" i="2"/>
  <c r="G5065" i="2"/>
  <c r="E5065" i="2"/>
  <c r="B5065" i="2"/>
  <c r="S5064" i="2"/>
  <c r="M5064" i="2"/>
  <c r="L5064" i="2"/>
  <c r="K5064" i="2"/>
  <c r="G5064" i="2"/>
  <c r="E5064" i="2"/>
  <c r="B5064" i="2"/>
  <c r="S5063" i="2"/>
  <c r="M5063" i="2"/>
  <c r="L5063" i="2"/>
  <c r="K5063" i="2"/>
  <c r="G5063" i="2"/>
  <c r="E5063" i="2"/>
  <c r="B5063" i="2"/>
  <c r="S5062" i="2"/>
  <c r="M5062" i="2"/>
  <c r="L5062" i="2"/>
  <c r="K5062" i="2"/>
  <c r="G5062" i="2"/>
  <c r="E5062" i="2"/>
  <c r="B5062" i="2"/>
  <c r="S5061" i="2"/>
  <c r="M5061" i="2"/>
  <c r="L5061" i="2"/>
  <c r="K5061" i="2"/>
  <c r="G5061" i="2"/>
  <c r="E5061" i="2"/>
  <c r="B5061" i="2"/>
  <c r="S5060" i="2"/>
  <c r="M5060" i="2"/>
  <c r="L5060" i="2"/>
  <c r="K5060" i="2"/>
  <c r="G5060" i="2"/>
  <c r="E5060" i="2"/>
  <c r="B5060" i="2"/>
  <c r="S5059" i="2"/>
  <c r="M5059" i="2"/>
  <c r="L5059" i="2"/>
  <c r="K5059" i="2"/>
  <c r="G5059" i="2"/>
  <c r="E5059" i="2"/>
  <c r="B5059" i="2"/>
  <c r="S5058" i="2"/>
  <c r="M5058" i="2"/>
  <c r="L5058" i="2"/>
  <c r="K5058" i="2"/>
  <c r="G5058" i="2"/>
  <c r="E5058" i="2"/>
  <c r="B5058" i="2"/>
  <c r="S5057" i="2"/>
  <c r="M5057" i="2"/>
  <c r="L5057" i="2"/>
  <c r="K5057" i="2"/>
  <c r="G5057" i="2"/>
  <c r="E5057" i="2"/>
  <c r="B5057" i="2"/>
  <c r="S5056" i="2"/>
  <c r="M5056" i="2"/>
  <c r="L5056" i="2"/>
  <c r="K5056" i="2"/>
  <c r="G5056" i="2"/>
  <c r="E5056" i="2"/>
  <c r="B5056" i="2"/>
  <c r="S5055" i="2"/>
  <c r="M5055" i="2"/>
  <c r="L5055" i="2"/>
  <c r="K5055" i="2"/>
  <c r="G5055" i="2"/>
  <c r="E5055" i="2"/>
  <c r="B5055" i="2"/>
  <c r="S5054" i="2"/>
  <c r="M5054" i="2"/>
  <c r="L5054" i="2"/>
  <c r="K5054" i="2"/>
  <c r="G5054" i="2"/>
  <c r="E5054" i="2"/>
  <c r="B5054" i="2"/>
  <c r="S5053" i="2"/>
  <c r="M5053" i="2"/>
  <c r="L5053" i="2"/>
  <c r="K5053" i="2"/>
  <c r="G5053" i="2"/>
  <c r="E5053" i="2"/>
  <c r="B5053" i="2"/>
  <c r="S5052" i="2"/>
  <c r="M5052" i="2"/>
  <c r="L5052" i="2"/>
  <c r="K5052" i="2"/>
  <c r="G5052" i="2"/>
  <c r="E5052" i="2"/>
  <c r="B5052" i="2"/>
  <c r="S5051" i="2"/>
  <c r="M5051" i="2"/>
  <c r="L5051" i="2"/>
  <c r="K5051" i="2"/>
  <c r="G5051" i="2"/>
  <c r="E5051" i="2"/>
  <c r="B5051" i="2"/>
  <c r="S5050" i="2"/>
  <c r="M5050" i="2"/>
  <c r="L5050" i="2"/>
  <c r="K5050" i="2"/>
  <c r="G5050" i="2"/>
  <c r="E5050" i="2"/>
  <c r="B5050" i="2"/>
  <c r="S5049" i="2"/>
  <c r="M5049" i="2"/>
  <c r="L5049" i="2"/>
  <c r="K5049" i="2"/>
  <c r="G5049" i="2"/>
  <c r="E5049" i="2"/>
  <c r="B5049" i="2"/>
  <c r="S5048" i="2"/>
  <c r="M5048" i="2"/>
  <c r="L5048" i="2"/>
  <c r="K5048" i="2"/>
  <c r="G5048" i="2"/>
  <c r="E5048" i="2"/>
  <c r="B5048" i="2"/>
  <c r="S5047" i="2"/>
  <c r="M5047" i="2"/>
  <c r="L5047" i="2"/>
  <c r="K5047" i="2"/>
  <c r="G5047" i="2"/>
  <c r="E5047" i="2"/>
  <c r="B5047" i="2"/>
  <c r="S5046" i="2"/>
  <c r="M5046" i="2"/>
  <c r="L5046" i="2"/>
  <c r="K5046" i="2"/>
  <c r="G5046" i="2"/>
  <c r="E5046" i="2"/>
  <c r="B5046" i="2"/>
  <c r="S5045" i="2"/>
  <c r="M5045" i="2"/>
  <c r="L5045" i="2"/>
  <c r="K5045" i="2"/>
  <c r="G5045" i="2"/>
  <c r="E5045" i="2"/>
  <c r="B5045" i="2"/>
  <c r="S5044" i="2"/>
  <c r="M5044" i="2"/>
  <c r="L5044" i="2"/>
  <c r="K5044" i="2"/>
  <c r="G5044" i="2"/>
  <c r="E5044" i="2"/>
  <c r="B5044" i="2"/>
  <c r="S5043" i="2"/>
  <c r="M5043" i="2"/>
  <c r="L5043" i="2"/>
  <c r="K5043" i="2"/>
  <c r="G5043" i="2"/>
  <c r="E5043" i="2"/>
  <c r="B5043" i="2"/>
  <c r="S5042" i="2"/>
  <c r="M5042" i="2"/>
  <c r="L5042" i="2"/>
  <c r="K5042" i="2"/>
  <c r="G5042" i="2"/>
  <c r="E5042" i="2"/>
  <c r="B5042" i="2"/>
  <c r="S5041" i="2"/>
  <c r="M5041" i="2"/>
  <c r="L5041" i="2"/>
  <c r="K5041" i="2"/>
  <c r="G5041" i="2"/>
  <c r="E5041" i="2"/>
  <c r="B5041" i="2"/>
  <c r="S5040" i="2"/>
  <c r="M5040" i="2"/>
  <c r="L5040" i="2"/>
  <c r="K5040" i="2"/>
  <c r="G5040" i="2"/>
  <c r="E5040" i="2"/>
  <c r="B5040" i="2"/>
  <c r="S5039" i="2"/>
  <c r="M5039" i="2"/>
  <c r="L5039" i="2"/>
  <c r="K5039" i="2"/>
  <c r="G5039" i="2"/>
  <c r="E5039" i="2"/>
  <c r="B5039" i="2"/>
  <c r="S5038" i="2"/>
  <c r="M5038" i="2"/>
  <c r="L5038" i="2"/>
  <c r="K5038" i="2"/>
  <c r="G5038" i="2"/>
  <c r="E5038" i="2"/>
  <c r="B5038" i="2"/>
  <c r="S5037" i="2"/>
  <c r="M5037" i="2"/>
  <c r="L5037" i="2"/>
  <c r="K5037" i="2"/>
  <c r="G5037" i="2"/>
  <c r="E5037" i="2"/>
  <c r="B5037" i="2"/>
  <c r="S5036" i="2"/>
  <c r="M5036" i="2"/>
  <c r="L5036" i="2"/>
  <c r="K5036" i="2"/>
  <c r="G5036" i="2"/>
  <c r="E5036" i="2"/>
  <c r="B5036" i="2"/>
  <c r="S5035" i="2"/>
  <c r="M5035" i="2"/>
  <c r="L5035" i="2"/>
  <c r="K5035" i="2"/>
  <c r="G5035" i="2"/>
  <c r="E5035" i="2"/>
  <c r="B5035" i="2"/>
  <c r="S5034" i="2"/>
  <c r="M5034" i="2"/>
  <c r="L5034" i="2"/>
  <c r="K5034" i="2"/>
  <c r="G5034" i="2"/>
  <c r="E5034" i="2"/>
  <c r="B5034" i="2"/>
  <c r="S5033" i="2"/>
  <c r="M5033" i="2"/>
  <c r="L5033" i="2"/>
  <c r="K5033" i="2"/>
  <c r="G5033" i="2"/>
  <c r="E5033" i="2"/>
  <c r="B5033" i="2"/>
  <c r="S5032" i="2"/>
  <c r="M5032" i="2"/>
  <c r="L5032" i="2"/>
  <c r="K5032" i="2"/>
  <c r="G5032" i="2"/>
  <c r="E5032" i="2"/>
  <c r="B5032" i="2"/>
  <c r="S5031" i="2"/>
  <c r="M5031" i="2"/>
  <c r="L5031" i="2"/>
  <c r="K5031" i="2"/>
  <c r="G5031" i="2"/>
  <c r="E5031" i="2"/>
  <c r="B5031" i="2"/>
  <c r="S5030" i="2"/>
  <c r="M5030" i="2"/>
  <c r="L5030" i="2"/>
  <c r="K5030" i="2"/>
  <c r="G5030" i="2"/>
  <c r="E5030" i="2"/>
  <c r="B5030" i="2"/>
  <c r="S5029" i="2"/>
  <c r="M5029" i="2"/>
  <c r="L5029" i="2"/>
  <c r="K5029" i="2"/>
  <c r="G5029" i="2"/>
  <c r="E5029" i="2"/>
  <c r="B5029" i="2"/>
  <c r="S5028" i="2"/>
  <c r="M5028" i="2"/>
  <c r="L5028" i="2"/>
  <c r="K5028" i="2"/>
  <c r="G5028" i="2"/>
  <c r="E5028" i="2"/>
  <c r="B5028" i="2"/>
  <c r="S5027" i="2"/>
  <c r="M5027" i="2"/>
  <c r="L5027" i="2"/>
  <c r="K5027" i="2"/>
  <c r="G5027" i="2"/>
  <c r="E5027" i="2"/>
  <c r="B5027" i="2"/>
  <c r="S5026" i="2"/>
  <c r="M5026" i="2"/>
  <c r="L5026" i="2"/>
  <c r="K5026" i="2"/>
  <c r="G5026" i="2"/>
  <c r="E5026" i="2"/>
  <c r="B5026" i="2"/>
  <c r="S5025" i="2"/>
  <c r="M5025" i="2"/>
  <c r="L5025" i="2"/>
  <c r="K5025" i="2"/>
  <c r="G5025" i="2"/>
  <c r="E5025" i="2"/>
  <c r="B5025" i="2"/>
  <c r="S5024" i="2"/>
  <c r="M5024" i="2"/>
  <c r="L5024" i="2"/>
  <c r="K5024" i="2"/>
  <c r="G5024" i="2"/>
  <c r="E5024" i="2"/>
  <c r="B5024" i="2"/>
  <c r="S5023" i="2"/>
  <c r="M5023" i="2"/>
  <c r="L5023" i="2"/>
  <c r="K5023" i="2"/>
  <c r="G5023" i="2"/>
  <c r="E5023" i="2"/>
  <c r="B5023" i="2"/>
  <c r="S5022" i="2"/>
  <c r="M5022" i="2"/>
  <c r="L5022" i="2"/>
  <c r="K5022" i="2"/>
  <c r="G5022" i="2"/>
  <c r="E5022" i="2"/>
  <c r="B5022" i="2"/>
  <c r="S5021" i="2"/>
  <c r="M5021" i="2"/>
  <c r="L5021" i="2"/>
  <c r="K5021" i="2"/>
  <c r="G5021" i="2"/>
  <c r="E5021" i="2"/>
  <c r="B5021" i="2"/>
  <c r="S5020" i="2"/>
  <c r="M5020" i="2"/>
  <c r="L5020" i="2"/>
  <c r="K5020" i="2"/>
  <c r="G5020" i="2"/>
  <c r="E5020" i="2"/>
  <c r="B5020" i="2"/>
  <c r="S5019" i="2"/>
  <c r="M5019" i="2"/>
  <c r="L5019" i="2"/>
  <c r="K5019" i="2"/>
  <c r="G5019" i="2"/>
  <c r="E5019" i="2"/>
  <c r="B5019" i="2"/>
  <c r="S5018" i="2"/>
  <c r="M5018" i="2"/>
  <c r="L5018" i="2"/>
  <c r="K5018" i="2"/>
  <c r="G5018" i="2"/>
  <c r="E5018" i="2"/>
  <c r="B5018" i="2"/>
  <c r="S5017" i="2"/>
  <c r="M5017" i="2"/>
  <c r="L5017" i="2"/>
  <c r="K5017" i="2"/>
  <c r="G5017" i="2"/>
  <c r="E5017" i="2"/>
  <c r="B5017" i="2"/>
  <c r="S5016" i="2"/>
  <c r="M5016" i="2"/>
  <c r="L5016" i="2"/>
  <c r="K5016" i="2"/>
  <c r="G5016" i="2"/>
  <c r="E5016" i="2"/>
  <c r="B5016" i="2"/>
  <c r="S5015" i="2"/>
  <c r="M5015" i="2"/>
  <c r="L5015" i="2"/>
  <c r="K5015" i="2"/>
  <c r="G5015" i="2"/>
  <c r="E5015" i="2"/>
  <c r="B5015" i="2"/>
  <c r="S5014" i="2"/>
  <c r="M5014" i="2"/>
  <c r="L5014" i="2"/>
  <c r="K5014" i="2"/>
  <c r="G5014" i="2"/>
  <c r="E5014" i="2"/>
  <c r="B5014" i="2"/>
  <c r="S5013" i="2"/>
  <c r="M5013" i="2"/>
  <c r="L5013" i="2"/>
  <c r="K5013" i="2"/>
  <c r="G5013" i="2"/>
  <c r="E5013" i="2"/>
  <c r="B5013" i="2"/>
  <c r="S5012" i="2"/>
  <c r="M5012" i="2"/>
  <c r="L5012" i="2"/>
  <c r="K5012" i="2"/>
  <c r="G5012" i="2"/>
  <c r="E5012" i="2"/>
  <c r="B5012" i="2"/>
  <c r="S5011" i="2"/>
  <c r="M5011" i="2"/>
  <c r="L5011" i="2"/>
  <c r="K5011" i="2"/>
  <c r="G5011" i="2"/>
  <c r="E5011" i="2"/>
  <c r="B5011" i="2"/>
  <c r="S5010" i="2"/>
  <c r="M5010" i="2"/>
  <c r="L5010" i="2"/>
  <c r="K5010" i="2"/>
  <c r="G5010" i="2"/>
  <c r="E5010" i="2"/>
  <c r="B5010" i="2"/>
  <c r="S5009" i="2"/>
  <c r="M5009" i="2"/>
  <c r="L5009" i="2"/>
  <c r="K5009" i="2"/>
  <c r="G5009" i="2"/>
  <c r="E5009" i="2"/>
  <c r="B5009" i="2"/>
  <c r="S5008" i="2"/>
  <c r="M5008" i="2"/>
  <c r="L5008" i="2"/>
  <c r="K5008" i="2"/>
  <c r="G5008" i="2"/>
  <c r="E5008" i="2"/>
  <c r="B5008" i="2"/>
  <c r="S5007" i="2"/>
  <c r="M5007" i="2"/>
  <c r="L5007" i="2"/>
  <c r="K5007" i="2"/>
  <c r="G5007" i="2"/>
  <c r="E5007" i="2"/>
  <c r="B5007" i="2"/>
  <c r="S5006" i="2"/>
  <c r="M5006" i="2"/>
  <c r="L5006" i="2"/>
  <c r="K5006" i="2"/>
  <c r="G5006" i="2"/>
  <c r="E5006" i="2"/>
  <c r="B5006" i="2"/>
  <c r="S5005" i="2"/>
  <c r="M5005" i="2"/>
  <c r="L5005" i="2"/>
  <c r="K5005" i="2"/>
  <c r="G5005" i="2"/>
  <c r="E5005" i="2"/>
  <c r="B5005" i="2"/>
  <c r="S5004" i="2"/>
  <c r="M5004" i="2"/>
  <c r="L5004" i="2"/>
  <c r="K5004" i="2"/>
  <c r="G5004" i="2"/>
  <c r="E5004" i="2"/>
  <c r="B5004" i="2"/>
  <c r="S5003" i="2"/>
  <c r="M5003" i="2"/>
  <c r="L5003" i="2"/>
  <c r="K5003" i="2"/>
  <c r="G5003" i="2"/>
  <c r="E5003" i="2"/>
  <c r="B5003" i="2"/>
  <c r="S5002" i="2"/>
  <c r="M5002" i="2"/>
  <c r="L5002" i="2"/>
  <c r="K5002" i="2"/>
  <c r="G5002" i="2"/>
  <c r="E5002" i="2"/>
  <c r="B5002" i="2"/>
  <c r="S5001" i="2"/>
  <c r="M5001" i="2"/>
  <c r="L5001" i="2"/>
  <c r="K5001" i="2"/>
  <c r="G5001" i="2"/>
  <c r="E5001" i="2"/>
  <c r="B5001" i="2"/>
  <c r="S5000" i="2"/>
  <c r="M5000" i="2"/>
  <c r="L5000" i="2"/>
  <c r="K5000" i="2"/>
  <c r="G5000" i="2"/>
  <c r="E5000" i="2"/>
  <c r="B5000" i="2"/>
  <c r="S4999" i="2"/>
  <c r="M4999" i="2"/>
  <c r="L4999" i="2"/>
  <c r="K4999" i="2"/>
  <c r="G4999" i="2"/>
  <c r="E4999" i="2"/>
  <c r="B4999" i="2"/>
  <c r="S4998" i="2"/>
  <c r="M4998" i="2"/>
  <c r="L4998" i="2"/>
  <c r="K4998" i="2"/>
  <c r="G4998" i="2"/>
  <c r="E4998" i="2"/>
  <c r="B4998" i="2"/>
  <c r="S4997" i="2"/>
  <c r="M4997" i="2"/>
  <c r="L4997" i="2"/>
  <c r="K4997" i="2"/>
  <c r="G4997" i="2"/>
  <c r="E4997" i="2"/>
  <c r="B4997" i="2"/>
  <c r="S4996" i="2"/>
  <c r="M4996" i="2"/>
  <c r="L4996" i="2"/>
  <c r="K4996" i="2"/>
  <c r="G4996" i="2"/>
  <c r="E4996" i="2"/>
  <c r="B4996" i="2"/>
  <c r="S4995" i="2"/>
  <c r="M4995" i="2"/>
  <c r="L4995" i="2"/>
  <c r="K4995" i="2"/>
  <c r="G4995" i="2"/>
  <c r="E4995" i="2"/>
  <c r="B4995" i="2"/>
  <c r="S4994" i="2"/>
  <c r="M4994" i="2"/>
  <c r="L4994" i="2"/>
  <c r="K4994" i="2"/>
  <c r="G4994" i="2"/>
  <c r="E4994" i="2"/>
  <c r="B4994" i="2"/>
  <c r="S4993" i="2"/>
  <c r="M4993" i="2"/>
  <c r="L4993" i="2"/>
  <c r="K4993" i="2"/>
  <c r="G4993" i="2"/>
  <c r="E4993" i="2"/>
  <c r="B4993" i="2"/>
  <c r="S4992" i="2"/>
  <c r="M4992" i="2"/>
  <c r="L4992" i="2"/>
  <c r="K4992" i="2"/>
  <c r="G4992" i="2"/>
  <c r="E4992" i="2"/>
  <c r="B4992" i="2"/>
  <c r="S4991" i="2"/>
  <c r="M4991" i="2"/>
  <c r="L4991" i="2"/>
  <c r="K4991" i="2"/>
  <c r="G4991" i="2"/>
  <c r="E4991" i="2"/>
  <c r="B4991" i="2"/>
  <c r="S4990" i="2"/>
  <c r="M4990" i="2"/>
  <c r="L4990" i="2"/>
  <c r="K4990" i="2"/>
  <c r="G4990" i="2"/>
  <c r="E4990" i="2"/>
  <c r="B4990" i="2"/>
  <c r="S4989" i="2"/>
  <c r="M4989" i="2"/>
  <c r="L4989" i="2"/>
  <c r="K4989" i="2"/>
  <c r="G4989" i="2"/>
  <c r="E4989" i="2"/>
  <c r="B4989" i="2"/>
  <c r="S4988" i="2"/>
  <c r="M4988" i="2"/>
  <c r="L4988" i="2"/>
  <c r="K4988" i="2"/>
  <c r="G4988" i="2"/>
  <c r="E4988" i="2"/>
  <c r="B4988" i="2"/>
  <c r="S4987" i="2"/>
  <c r="M4987" i="2"/>
  <c r="L4987" i="2"/>
  <c r="K4987" i="2"/>
  <c r="G4987" i="2"/>
  <c r="E4987" i="2"/>
  <c r="B4987" i="2"/>
  <c r="S4986" i="2"/>
  <c r="M4986" i="2"/>
  <c r="L4986" i="2"/>
  <c r="K4986" i="2"/>
  <c r="G4986" i="2"/>
  <c r="E4986" i="2"/>
  <c r="B4986" i="2"/>
  <c r="S4985" i="2"/>
  <c r="M4985" i="2"/>
  <c r="L4985" i="2"/>
  <c r="K4985" i="2"/>
  <c r="G4985" i="2"/>
  <c r="E4985" i="2"/>
  <c r="B4985" i="2"/>
  <c r="S4984" i="2"/>
  <c r="M4984" i="2"/>
  <c r="L4984" i="2"/>
  <c r="K4984" i="2"/>
  <c r="G4984" i="2"/>
  <c r="E4984" i="2"/>
  <c r="B4984" i="2"/>
  <c r="S4983" i="2"/>
  <c r="M4983" i="2"/>
  <c r="L4983" i="2"/>
  <c r="K4983" i="2"/>
  <c r="G4983" i="2"/>
  <c r="E4983" i="2"/>
  <c r="B4983" i="2"/>
  <c r="S4982" i="2"/>
  <c r="M4982" i="2"/>
  <c r="L4982" i="2"/>
  <c r="K4982" i="2"/>
  <c r="G4982" i="2"/>
  <c r="E4982" i="2"/>
  <c r="B4982" i="2"/>
  <c r="S4981" i="2"/>
  <c r="M4981" i="2"/>
  <c r="L4981" i="2"/>
  <c r="K4981" i="2"/>
  <c r="G4981" i="2"/>
  <c r="E4981" i="2"/>
  <c r="B4981" i="2"/>
  <c r="S4980" i="2"/>
  <c r="M4980" i="2"/>
  <c r="L4980" i="2"/>
  <c r="K4980" i="2"/>
  <c r="G4980" i="2"/>
  <c r="E4980" i="2"/>
  <c r="B4980" i="2"/>
  <c r="S4979" i="2"/>
  <c r="M4979" i="2"/>
  <c r="L4979" i="2"/>
  <c r="K4979" i="2"/>
  <c r="G4979" i="2"/>
  <c r="E4979" i="2"/>
  <c r="B4979" i="2"/>
  <c r="S4978" i="2"/>
  <c r="M4978" i="2"/>
  <c r="L4978" i="2"/>
  <c r="K4978" i="2"/>
  <c r="G4978" i="2"/>
  <c r="E4978" i="2"/>
  <c r="B4978" i="2"/>
  <c r="S4977" i="2"/>
  <c r="M4977" i="2"/>
  <c r="L4977" i="2"/>
  <c r="K4977" i="2"/>
  <c r="G4977" i="2"/>
  <c r="E4977" i="2"/>
  <c r="B4977" i="2"/>
  <c r="S4976" i="2"/>
  <c r="M4976" i="2"/>
  <c r="L4976" i="2"/>
  <c r="K4976" i="2"/>
  <c r="G4976" i="2"/>
  <c r="E4976" i="2"/>
  <c r="B4976" i="2"/>
  <c r="S4975" i="2"/>
  <c r="M4975" i="2"/>
  <c r="L4975" i="2"/>
  <c r="K4975" i="2"/>
  <c r="G4975" i="2"/>
  <c r="E4975" i="2"/>
  <c r="B4975" i="2"/>
  <c r="S4974" i="2"/>
  <c r="M4974" i="2"/>
  <c r="L4974" i="2"/>
  <c r="K4974" i="2"/>
  <c r="G4974" i="2"/>
  <c r="E4974" i="2"/>
  <c r="B4974" i="2"/>
  <c r="S4973" i="2"/>
  <c r="M4973" i="2"/>
  <c r="L4973" i="2"/>
  <c r="K4973" i="2"/>
  <c r="G4973" i="2"/>
  <c r="E4973" i="2"/>
  <c r="B4973" i="2"/>
  <c r="S4972" i="2"/>
  <c r="M4972" i="2"/>
  <c r="L4972" i="2"/>
  <c r="K4972" i="2"/>
  <c r="G4972" i="2"/>
  <c r="E4972" i="2"/>
  <c r="B4972" i="2"/>
  <c r="S4971" i="2"/>
  <c r="M4971" i="2"/>
  <c r="L4971" i="2"/>
  <c r="K4971" i="2"/>
  <c r="G4971" i="2"/>
  <c r="E4971" i="2"/>
  <c r="B4971" i="2"/>
  <c r="S4970" i="2"/>
  <c r="M4970" i="2"/>
  <c r="L4970" i="2"/>
  <c r="K4970" i="2"/>
  <c r="G4970" i="2"/>
  <c r="E4970" i="2"/>
  <c r="B4970" i="2"/>
  <c r="S4969" i="2"/>
  <c r="M4969" i="2"/>
  <c r="L4969" i="2"/>
  <c r="K4969" i="2"/>
  <c r="G4969" i="2"/>
  <c r="E4969" i="2"/>
  <c r="B4969" i="2"/>
  <c r="S4968" i="2"/>
  <c r="M4968" i="2"/>
  <c r="L4968" i="2"/>
  <c r="K4968" i="2"/>
  <c r="G4968" i="2"/>
  <c r="E4968" i="2"/>
  <c r="B4968" i="2"/>
  <c r="S4967" i="2"/>
  <c r="M4967" i="2"/>
  <c r="L4967" i="2"/>
  <c r="K4967" i="2"/>
  <c r="G4967" i="2"/>
  <c r="E4967" i="2"/>
  <c r="B4967" i="2"/>
  <c r="S4966" i="2"/>
  <c r="M4966" i="2"/>
  <c r="L4966" i="2"/>
  <c r="K4966" i="2"/>
  <c r="G4966" i="2"/>
  <c r="E4966" i="2"/>
  <c r="B4966" i="2"/>
  <c r="S4965" i="2"/>
  <c r="M4965" i="2"/>
  <c r="L4965" i="2"/>
  <c r="K4965" i="2"/>
  <c r="G4965" i="2"/>
  <c r="E4965" i="2"/>
  <c r="B4965" i="2"/>
  <c r="S4964" i="2"/>
  <c r="M4964" i="2"/>
  <c r="L4964" i="2"/>
  <c r="K4964" i="2"/>
  <c r="G4964" i="2"/>
  <c r="E4964" i="2"/>
  <c r="B4964" i="2"/>
  <c r="S4963" i="2"/>
  <c r="M4963" i="2"/>
  <c r="L4963" i="2"/>
  <c r="K4963" i="2"/>
  <c r="G4963" i="2"/>
  <c r="E4963" i="2"/>
  <c r="B4963" i="2"/>
  <c r="S4962" i="2"/>
  <c r="M4962" i="2"/>
  <c r="L4962" i="2"/>
  <c r="K4962" i="2"/>
  <c r="G4962" i="2"/>
  <c r="E4962" i="2"/>
  <c r="B4962" i="2"/>
  <c r="S4961" i="2"/>
  <c r="M4961" i="2"/>
  <c r="L4961" i="2"/>
  <c r="K4961" i="2"/>
  <c r="G4961" i="2"/>
  <c r="E4961" i="2"/>
  <c r="B4961" i="2"/>
  <c r="S4960" i="2"/>
  <c r="M4960" i="2"/>
  <c r="L4960" i="2"/>
  <c r="K4960" i="2"/>
  <c r="G4960" i="2"/>
  <c r="E4960" i="2"/>
  <c r="B4960" i="2"/>
  <c r="S4959" i="2"/>
  <c r="M4959" i="2"/>
  <c r="L4959" i="2"/>
  <c r="K4959" i="2"/>
  <c r="G4959" i="2"/>
  <c r="E4959" i="2"/>
  <c r="B4959" i="2"/>
  <c r="S4958" i="2"/>
  <c r="M4958" i="2"/>
  <c r="L4958" i="2"/>
  <c r="K4958" i="2"/>
  <c r="G4958" i="2"/>
  <c r="E4958" i="2"/>
  <c r="B4958" i="2"/>
  <c r="S4957" i="2"/>
  <c r="M4957" i="2"/>
  <c r="L4957" i="2"/>
  <c r="K4957" i="2"/>
  <c r="G4957" i="2"/>
  <c r="E4957" i="2"/>
  <c r="B4957" i="2"/>
  <c r="S4956" i="2"/>
  <c r="M4956" i="2"/>
  <c r="L4956" i="2"/>
  <c r="K4956" i="2"/>
  <c r="G4956" i="2"/>
  <c r="E4956" i="2"/>
  <c r="B4956" i="2"/>
  <c r="S4955" i="2"/>
  <c r="M4955" i="2"/>
  <c r="L4955" i="2"/>
  <c r="K4955" i="2"/>
  <c r="G4955" i="2"/>
  <c r="E4955" i="2"/>
  <c r="B4955" i="2"/>
  <c r="S4954" i="2"/>
  <c r="M4954" i="2"/>
  <c r="L4954" i="2"/>
  <c r="K4954" i="2"/>
  <c r="G4954" i="2"/>
  <c r="E4954" i="2"/>
  <c r="B4954" i="2"/>
  <c r="S4953" i="2"/>
  <c r="M4953" i="2"/>
  <c r="L4953" i="2"/>
  <c r="K4953" i="2"/>
  <c r="G4953" i="2"/>
  <c r="E4953" i="2"/>
  <c r="B4953" i="2"/>
  <c r="S4952" i="2"/>
  <c r="M4952" i="2"/>
  <c r="L4952" i="2"/>
  <c r="K4952" i="2"/>
  <c r="G4952" i="2"/>
  <c r="E4952" i="2"/>
  <c r="B4952" i="2"/>
  <c r="S4951" i="2"/>
  <c r="M4951" i="2"/>
  <c r="L4951" i="2"/>
  <c r="K4951" i="2"/>
  <c r="G4951" i="2"/>
  <c r="E4951" i="2"/>
  <c r="B4951" i="2"/>
  <c r="S4950" i="2"/>
  <c r="M4950" i="2"/>
  <c r="L4950" i="2"/>
  <c r="K4950" i="2"/>
  <c r="G4950" i="2"/>
  <c r="E4950" i="2"/>
  <c r="B4950" i="2"/>
  <c r="S4949" i="2"/>
  <c r="M4949" i="2"/>
  <c r="L4949" i="2"/>
  <c r="K4949" i="2"/>
  <c r="G4949" i="2"/>
  <c r="E4949" i="2"/>
  <c r="B4949" i="2"/>
  <c r="S4948" i="2"/>
  <c r="M4948" i="2"/>
  <c r="L4948" i="2"/>
  <c r="K4948" i="2"/>
  <c r="G4948" i="2"/>
  <c r="E4948" i="2"/>
  <c r="B4948" i="2"/>
  <c r="S4947" i="2"/>
  <c r="M4947" i="2"/>
  <c r="L4947" i="2"/>
  <c r="K4947" i="2"/>
  <c r="G4947" i="2"/>
  <c r="E4947" i="2"/>
  <c r="B4947" i="2"/>
  <c r="S4946" i="2"/>
  <c r="M4946" i="2"/>
  <c r="L4946" i="2"/>
  <c r="K4946" i="2"/>
  <c r="G4946" i="2"/>
  <c r="E4946" i="2"/>
  <c r="B4946" i="2"/>
  <c r="S4945" i="2"/>
  <c r="M4945" i="2"/>
  <c r="L4945" i="2"/>
  <c r="K4945" i="2"/>
  <c r="G4945" i="2"/>
  <c r="E4945" i="2"/>
  <c r="B4945" i="2"/>
  <c r="S4944" i="2"/>
  <c r="M4944" i="2"/>
  <c r="L4944" i="2"/>
  <c r="K4944" i="2"/>
  <c r="G4944" i="2"/>
  <c r="E4944" i="2"/>
  <c r="B4944" i="2"/>
  <c r="S4943" i="2"/>
  <c r="M4943" i="2"/>
  <c r="L4943" i="2"/>
  <c r="K4943" i="2"/>
  <c r="G4943" i="2"/>
  <c r="E4943" i="2"/>
  <c r="B4943" i="2"/>
  <c r="S4942" i="2"/>
  <c r="M4942" i="2"/>
  <c r="L4942" i="2"/>
  <c r="K4942" i="2"/>
  <c r="G4942" i="2"/>
  <c r="E4942" i="2"/>
  <c r="B4942" i="2"/>
  <c r="S4941" i="2"/>
  <c r="M4941" i="2"/>
  <c r="L4941" i="2"/>
  <c r="K4941" i="2"/>
  <c r="G4941" i="2"/>
  <c r="E4941" i="2"/>
  <c r="B4941" i="2"/>
  <c r="S4940" i="2"/>
  <c r="M4940" i="2"/>
  <c r="L4940" i="2"/>
  <c r="K4940" i="2"/>
  <c r="G4940" i="2"/>
  <c r="E4940" i="2"/>
  <c r="B4940" i="2"/>
  <c r="S4939" i="2"/>
  <c r="M4939" i="2"/>
  <c r="L4939" i="2"/>
  <c r="K4939" i="2"/>
  <c r="G4939" i="2"/>
  <c r="E4939" i="2"/>
  <c r="B4939" i="2"/>
  <c r="S4938" i="2"/>
  <c r="M4938" i="2"/>
  <c r="L4938" i="2"/>
  <c r="K4938" i="2"/>
  <c r="G4938" i="2"/>
  <c r="E4938" i="2"/>
  <c r="B4938" i="2"/>
  <c r="S4937" i="2"/>
  <c r="M4937" i="2"/>
  <c r="L4937" i="2"/>
  <c r="K4937" i="2"/>
  <c r="G4937" i="2"/>
  <c r="E4937" i="2"/>
  <c r="B4937" i="2"/>
  <c r="S4936" i="2"/>
  <c r="M4936" i="2"/>
  <c r="L4936" i="2"/>
  <c r="K4936" i="2"/>
  <c r="G4936" i="2"/>
  <c r="E4936" i="2"/>
  <c r="B4936" i="2"/>
  <c r="S4935" i="2"/>
  <c r="M4935" i="2"/>
  <c r="L4935" i="2"/>
  <c r="K4935" i="2"/>
  <c r="G4935" i="2"/>
  <c r="E4935" i="2"/>
  <c r="B4935" i="2"/>
  <c r="S4934" i="2"/>
  <c r="M4934" i="2"/>
  <c r="L4934" i="2"/>
  <c r="K4934" i="2"/>
  <c r="G4934" i="2"/>
  <c r="E4934" i="2"/>
  <c r="B4934" i="2"/>
  <c r="S4933" i="2"/>
  <c r="M4933" i="2"/>
  <c r="L4933" i="2"/>
  <c r="K4933" i="2"/>
  <c r="G4933" i="2"/>
  <c r="E4933" i="2"/>
  <c r="B4933" i="2"/>
  <c r="S4932" i="2"/>
  <c r="M4932" i="2"/>
  <c r="L4932" i="2"/>
  <c r="K4932" i="2"/>
  <c r="G4932" i="2"/>
  <c r="E4932" i="2"/>
  <c r="B4932" i="2"/>
  <c r="S4931" i="2"/>
  <c r="M4931" i="2"/>
  <c r="L4931" i="2"/>
  <c r="K4931" i="2"/>
  <c r="G4931" i="2"/>
  <c r="E4931" i="2"/>
  <c r="B4931" i="2"/>
  <c r="S4930" i="2"/>
  <c r="M4930" i="2"/>
  <c r="L4930" i="2"/>
  <c r="K4930" i="2"/>
  <c r="G4930" i="2"/>
  <c r="E4930" i="2"/>
  <c r="B4930" i="2"/>
  <c r="S4929" i="2"/>
  <c r="M4929" i="2"/>
  <c r="L4929" i="2"/>
  <c r="K4929" i="2"/>
  <c r="G4929" i="2"/>
  <c r="E4929" i="2"/>
  <c r="B4929" i="2"/>
  <c r="S4928" i="2"/>
  <c r="M4928" i="2"/>
  <c r="L4928" i="2"/>
  <c r="K4928" i="2"/>
  <c r="G4928" i="2"/>
  <c r="E4928" i="2"/>
  <c r="B4928" i="2"/>
  <c r="S4927" i="2"/>
  <c r="M4927" i="2"/>
  <c r="L4927" i="2"/>
  <c r="K4927" i="2"/>
  <c r="G4927" i="2"/>
  <c r="E4927" i="2"/>
  <c r="B4927" i="2"/>
  <c r="S4926" i="2"/>
  <c r="M4926" i="2"/>
  <c r="L4926" i="2"/>
  <c r="K4926" i="2"/>
  <c r="G4926" i="2"/>
  <c r="E4926" i="2"/>
  <c r="B4926" i="2"/>
  <c r="S4925" i="2"/>
  <c r="M4925" i="2"/>
  <c r="L4925" i="2"/>
  <c r="K4925" i="2"/>
  <c r="G4925" i="2"/>
  <c r="E4925" i="2"/>
  <c r="B4925" i="2"/>
  <c r="S4924" i="2"/>
  <c r="M4924" i="2"/>
  <c r="L4924" i="2"/>
  <c r="K4924" i="2"/>
  <c r="G4924" i="2"/>
  <c r="E4924" i="2"/>
  <c r="B4924" i="2"/>
  <c r="S4923" i="2"/>
  <c r="M4923" i="2"/>
  <c r="L4923" i="2"/>
  <c r="K4923" i="2"/>
  <c r="G4923" i="2"/>
  <c r="E4923" i="2"/>
  <c r="B4923" i="2"/>
  <c r="S4922" i="2"/>
  <c r="M4922" i="2"/>
  <c r="L4922" i="2"/>
  <c r="K4922" i="2"/>
  <c r="G4922" i="2"/>
  <c r="E4922" i="2"/>
  <c r="B4922" i="2"/>
  <c r="S4921" i="2"/>
  <c r="M4921" i="2"/>
  <c r="L4921" i="2"/>
  <c r="K4921" i="2"/>
  <c r="G4921" i="2"/>
  <c r="E4921" i="2"/>
  <c r="B4921" i="2"/>
  <c r="S4920" i="2"/>
  <c r="M4920" i="2"/>
  <c r="L4920" i="2"/>
  <c r="K4920" i="2"/>
  <c r="G4920" i="2"/>
  <c r="E4920" i="2"/>
  <c r="B4920" i="2"/>
  <c r="S4919" i="2"/>
  <c r="M4919" i="2"/>
  <c r="L4919" i="2"/>
  <c r="K4919" i="2"/>
  <c r="G4919" i="2"/>
  <c r="E4919" i="2"/>
  <c r="B4919" i="2"/>
  <c r="S4918" i="2"/>
  <c r="M4918" i="2"/>
  <c r="L4918" i="2"/>
  <c r="K4918" i="2"/>
  <c r="G4918" i="2"/>
  <c r="E4918" i="2"/>
  <c r="B4918" i="2"/>
  <c r="S4917" i="2"/>
  <c r="M4917" i="2"/>
  <c r="L4917" i="2"/>
  <c r="K4917" i="2"/>
  <c r="G4917" i="2"/>
  <c r="E4917" i="2"/>
  <c r="B4917" i="2"/>
  <c r="S4916" i="2"/>
  <c r="M4916" i="2"/>
  <c r="L4916" i="2"/>
  <c r="K4916" i="2"/>
  <c r="G4916" i="2"/>
  <c r="E4916" i="2"/>
  <c r="B4916" i="2"/>
  <c r="S4915" i="2"/>
  <c r="M4915" i="2"/>
  <c r="L4915" i="2"/>
  <c r="K4915" i="2"/>
  <c r="G4915" i="2"/>
  <c r="E4915" i="2"/>
  <c r="B4915" i="2"/>
  <c r="S4914" i="2"/>
  <c r="M4914" i="2"/>
  <c r="L4914" i="2"/>
  <c r="K4914" i="2"/>
  <c r="G4914" i="2"/>
  <c r="E4914" i="2"/>
  <c r="B4914" i="2"/>
  <c r="S4913" i="2"/>
  <c r="M4913" i="2"/>
  <c r="L4913" i="2"/>
  <c r="K4913" i="2"/>
  <c r="G4913" i="2"/>
  <c r="E4913" i="2"/>
  <c r="B4913" i="2"/>
  <c r="S4912" i="2"/>
  <c r="M4912" i="2"/>
  <c r="L4912" i="2"/>
  <c r="K4912" i="2"/>
  <c r="G4912" i="2"/>
  <c r="E4912" i="2"/>
  <c r="B4912" i="2"/>
  <c r="S4911" i="2"/>
  <c r="M4911" i="2"/>
  <c r="L4911" i="2"/>
  <c r="K4911" i="2"/>
  <c r="G4911" i="2"/>
  <c r="E4911" i="2"/>
  <c r="B4911" i="2"/>
  <c r="S4910" i="2"/>
  <c r="M4910" i="2"/>
  <c r="L4910" i="2"/>
  <c r="K4910" i="2"/>
  <c r="G4910" i="2"/>
  <c r="E4910" i="2"/>
  <c r="B4910" i="2"/>
  <c r="S4909" i="2"/>
  <c r="M4909" i="2"/>
  <c r="L4909" i="2"/>
  <c r="K4909" i="2"/>
  <c r="G4909" i="2"/>
  <c r="E4909" i="2"/>
  <c r="B4909" i="2"/>
  <c r="S4908" i="2"/>
  <c r="M4908" i="2"/>
  <c r="L4908" i="2"/>
  <c r="K4908" i="2"/>
  <c r="G4908" i="2"/>
  <c r="E4908" i="2"/>
  <c r="B4908" i="2"/>
  <c r="S4907" i="2"/>
  <c r="M4907" i="2"/>
  <c r="L4907" i="2"/>
  <c r="K4907" i="2"/>
  <c r="G4907" i="2"/>
  <c r="E4907" i="2"/>
  <c r="B4907" i="2"/>
  <c r="S4906" i="2"/>
  <c r="M4906" i="2"/>
  <c r="L4906" i="2"/>
  <c r="K4906" i="2"/>
  <c r="G4906" i="2"/>
  <c r="E4906" i="2"/>
  <c r="B4906" i="2"/>
  <c r="S4905" i="2"/>
  <c r="M4905" i="2"/>
  <c r="L4905" i="2"/>
  <c r="K4905" i="2"/>
  <c r="G4905" i="2"/>
  <c r="E4905" i="2"/>
  <c r="B4905" i="2"/>
  <c r="S4904" i="2"/>
  <c r="M4904" i="2"/>
  <c r="L4904" i="2"/>
  <c r="K4904" i="2"/>
  <c r="G4904" i="2"/>
  <c r="E4904" i="2"/>
  <c r="B4904" i="2"/>
  <c r="S4903" i="2"/>
  <c r="M4903" i="2"/>
  <c r="L4903" i="2"/>
  <c r="K4903" i="2"/>
  <c r="G4903" i="2"/>
  <c r="E4903" i="2"/>
  <c r="B4903" i="2"/>
  <c r="S4902" i="2"/>
  <c r="M4902" i="2"/>
  <c r="L4902" i="2"/>
  <c r="K4902" i="2"/>
  <c r="G4902" i="2"/>
  <c r="E4902" i="2"/>
  <c r="B4902" i="2"/>
  <c r="S4901" i="2"/>
  <c r="M4901" i="2"/>
  <c r="L4901" i="2"/>
  <c r="K4901" i="2"/>
  <c r="G4901" i="2"/>
  <c r="E4901" i="2"/>
  <c r="B4901" i="2"/>
  <c r="S4900" i="2"/>
  <c r="M4900" i="2"/>
  <c r="L4900" i="2"/>
  <c r="K4900" i="2"/>
  <c r="G4900" i="2"/>
  <c r="E4900" i="2"/>
  <c r="B4900" i="2"/>
  <c r="S4899" i="2"/>
  <c r="M4899" i="2"/>
  <c r="L4899" i="2"/>
  <c r="K4899" i="2"/>
  <c r="G4899" i="2"/>
  <c r="E4899" i="2"/>
  <c r="B4899" i="2"/>
  <c r="S4898" i="2"/>
  <c r="M4898" i="2"/>
  <c r="L4898" i="2"/>
  <c r="K4898" i="2"/>
  <c r="G4898" i="2"/>
  <c r="E4898" i="2"/>
  <c r="B4898" i="2"/>
  <c r="S4897" i="2"/>
  <c r="M4897" i="2"/>
  <c r="L4897" i="2"/>
  <c r="K4897" i="2"/>
  <c r="G4897" i="2"/>
  <c r="E4897" i="2"/>
  <c r="B4897" i="2"/>
  <c r="S4896" i="2"/>
  <c r="M4896" i="2"/>
  <c r="L4896" i="2"/>
  <c r="K4896" i="2"/>
  <c r="G4896" i="2"/>
  <c r="E4896" i="2"/>
  <c r="B4896" i="2"/>
  <c r="S4895" i="2"/>
  <c r="M4895" i="2"/>
  <c r="L4895" i="2"/>
  <c r="K4895" i="2"/>
  <c r="G4895" i="2"/>
  <c r="E4895" i="2"/>
  <c r="B4895" i="2"/>
  <c r="S4894" i="2"/>
  <c r="M4894" i="2"/>
  <c r="L4894" i="2"/>
  <c r="K4894" i="2"/>
  <c r="G4894" i="2"/>
  <c r="E4894" i="2"/>
  <c r="B4894" i="2"/>
  <c r="S4893" i="2"/>
  <c r="M4893" i="2"/>
  <c r="L4893" i="2"/>
  <c r="K4893" i="2"/>
  <c r="G4893" i="2"/>
  <c r="E4893" i="2"/>
  <c r="B4893" i="2"/>
  <c r="S4892" i="2"/>
  <c r="M4892" i="2"/>
  <c r="L4892" i="2"/>
  <c r="K4892" i="2"/>
  <c r="G4892" i="2"/>
  <c r="E4892" i="2"/>
  <c r="B4892" i="2"/>
  <c r="S4891" i="2"/>
  <c r="M4891" i="2"/>
  <c r="L4891" i="2"/>
  <c r="K4891" i="2"/>
  <c r="G4891" i="2"/>
  <c r="E4891" i="2"/>
  <c r="B4891" i="2"/>
  <c r="S4890" i="2"/>
  <c r="M4890" i="2"/>
  <c r="L4890" i="2"/>
  <c r="K4890" i="2"/>
  <c r="G4890" i="2"/>
  <c r="E4890" i="2"/>
  <c r="B4890" i="2"/>
  <c r="S4889" i="2"/>
  <c r="M4889" i="2"/>
  <c r="L4889" i="2"/>
  <c r="K4889" i="2"/>
  <c r="G4889" i="2"/>
  <c r="E4889" i="2"/>
  <c r="B4889" i="2"/>
  <c r="S4888" i="2"/>
  <c r="M4888" i="2"/>
  <c r="L4888" i="2"/>
  <c r="K4888" i="2"/>
  <c r="G4888" i="2"/>
  <c r="E4888" i="2"/>
  <c r="B4888" i="2"/>
  <c r="S4887" i="2"/>
  <c r="M4887" i="2"/>
  <c r="L4887" i="2"/>
  <c r="K4887" i="2"/>
  <c r="G4887" i="2"/>
  <c r="E4887" i="2"/>
  <c r="B4887" i="2"/>
  <c r="S4886" i="2"/>
  <c r="M4886" i="2"/>
  <c r="L4886" i="2"/>
  <c r="K4886" i="2"/>
  <c r="G4886" i="2"/>
  <c r="E4886" i="2"/>
  <c r="B4886" i="2"/>
  <c r="S4885" i="2"/>
  <c r="M4885" i="2"/>
  <c r="L4885" i="2"/>
  <c r="K4885" i="2"/>
  <c r="G4885" i="2"/>
  <c r="E4885" i="2"/>
  <c r="B4885" i="2"/>
  <c r="S4884" i="2"/>
  <c r="M4884" i="2"/>
  <c r="L4884" i="2"/>
  <c r="K4884" i="2"/>
  <c r="G4884" i="2"/>
  <c r="E4884" i="2"/>
  <c r="B4884" i="2"/>
  <c r="S4883" i="2"/>
  <c r="M4883" i="2"/>
  <c r="L4883" i="2"/>
  <c r="K4883" i="2"/>
  <c r="G4883" i="2"/>
  <c r="E4883" i="2"/>
  <c r="B4883" i="2"/>
  <c r="S4882" i="2"/>
  <c r="M4882" i="2"/>
  <c r="L4882" i="2"/>
  <c r="K4882" i="2"/>
  <c r="G4882" i="2"/>
  <c r="E4882" i="2"/>
  <c r="B4882" i="2"/>
  <c r="S4881" i="2"/>
  <c r="M4881" i="2"/>
  <c r="L4881" i="2"/>
  <c r="K4881" i="2"/>
  <c r="G4881" i="2"/>
  <c r="E4881" i="2"/>
  <c r="B4881" i="2"/>
  <c r="S4880" i="2"/>
  <c r="M4880" i="2"/>
  <c r="L4880" i="2"/>
  <c r="K4880" i="2"/>
  <c r="G4880" i="2"/>
  <c r="E4880" i="2"/>
  <c r="B4880" i="2"/>
  <c r="S4879" i="2"/>
  <c r="M4879" i="2"/>
  <c r="L4879" i="2"/>
  <c r="K4879" i="2"/>
  <c r="G4879" i="2"/>
  <c r="E4879" i="2"/>
  <c r="B4879" i="2"/>
  <c r="S4878" i="2"/>
  <c r="M4878" i="2"/>
  <c r="L4878" i="2"/>
  <c r="K4878" i="2"/>
  <c r="G4878" i="2"/>
  <c r="E4878" i="2"/>
  <c r="B4878" i="2"/>
  <c r="S4877" i="2"/>
  <c r="M4877" i="2"/>
  <c r="L4877" i="2"/>
  <c r="K4877" i="2"/>
  <c r="G4877" i="2"/>
  <c r="E4877" i="2"/>
  <c r="B4877" i="2"/>
  <c r="S4876" i="2"/>
  <c r="M4876" i="2"/>
  <c r="L4876" i="2"/>
  <c r="K4876" i="2"/>
  <c r="G4876" i="2"/>
  <c r="E4876" i="2"/>
  <c r="B4876" i="2"/>
  <c r="S4875" i="2"/>
  <c r="M4875" i="2"/>
  <c r="L4875" i="2"/>
  <c r="K4875" i="2"/>
  <c r="G4875" i="2"/>
  <c r="E4875" i="2"/>
  <c r="B4875" i="2"/>
  <c r="S4874" i="2"/>
  <c r="M4874" i="2"/>
  <c r="L4874" i="2"/>
  <c r="K4874" i="2"/>
  <c r="G4874" i="2"/>
  <c r="E4874" i="2"/>
  <c r="B4874" i="2"/>
  <c r="S4873" i="2"/>
  <c r="M4873" i="2"/>
  <c r="L4873" i="2"/>
  <c r="K4873" i="2"/>
  <c r="G4873" i="2"/>
  <c r="E4873" i="2"/>
  <c r="B4873" i="2"/>
  <c r="S4872" i="2"/>
  <c r="M4872" i="2"/>
  <c r="L4872" i="2"/>
  <c r="K4872" i="2"/>
  <c r="G4872" i="2"/>
  <c r="E4872" i="2"/>
  <c r="B4872" i="2"/>
  <c r="S4871" i="2"/>
  <c r="M4871" i="2"/>
  <c r="L4871" i="2"/>
  <c r="K4871" i="2"/>
  <c r="G4871" i="2"/>
  <c r="E4871" i="2"/>
  <c r="B4871" i="2"/>
  <c r="S4870" i="2"/>
  <c r="M4870" i="2"/>
  <c r="L4870" i="2"/>
  <c r="K4870" i="2"/>
  <c r="G4870" i="2"/>
  <c r="E4870" i="2"/>
  <c r="B4870" i="2"/>
  <c r="S4869" i="2"/>
  <c r="M4869" i="2"/>
  <c r="L4869" i="2"/>
  <c r="K4869" i="2"/>
  <c r="G4869" i="2"/>
  <c r="E4869" i="2"/>
  <c r="B4869" i="2"/>
  <c r="S4868" i="2"/>
  <c r="M4868" i="2"/>
  <c r="L4868" i="2"/>
  <c r="K4868" i="2"/>
  <c r="G4868" i="2"/>
  <c r="E4868" i="2"/>
  <c r="B4868" i="2"/>
  <c r="S4867" i="2"/>
  <c r="M4867" i="2"/>
  <c r="L4867" i="2"/>
  <c r="K4867" i="2"/>
  <c r="G4867" i="2"/>
  <c r="E4867" i="2"/>
  <c r="B4867" i="2"/>
  <c r="S4866" i="2"/>
  <c r="M4866" i="2"/>
  <c r="L4866" i="2"/>
  <c r="K4866" i="2"/>
  <c r="G4866" i="2"/>
  <c r="E4866" i="2"/>
  <c r="B4866" i="2"/>
  <c r="S4865" i="2"/>
  <c r="M4865" i="2"/>
  <c r="L4865" i="2"/>
  <c r="K4865" i="2"/>
  <c r="G4865" i="2"/>
  <c r="E4865" i="2"/>
  <c r="B4865" i="2"/>
  <c r="S4864" i="2"/>
  <c r="M4864" i="2"/>
  <c r="L4864" i="2"/>
  <c r="K4864" i="2"/>
  <c r="G4864" i="2"/>
  <c r="E4864" i="2"/>
  <c r="B4864" i="2"/>
  <c r="S4863" i="2"/>
  <c r="M4863" i="2"/>
  <c r="L4863" i="2"/>
  <c r="K4863" i="2"/>
  <c r="G4863" i="2"/>
  <c r="E4863" i="2"/>
  <c r="B4863" i="2"/>
  <c r="S4862" i="2"/>
  <c r="M4862" i="2"/>
  <c r="L4862" i="2"/>
  <c r="K4862" i="2"/>
  <c r="G4862" i="2"/>
  <c r="E4862" i="2"/>
  <c r="B4862" i="2"/>
  <c r="S4861" i="2"/>
  <c r="M4861" i="2"/>
  <c r="L4861" i="2"/>
  <c r="K4861" i="2"/>
  <c r="G4861" i="2"/>
  <c r="E4861" i="2"/>
  <c r="B4861" i="2"/>
  <c r="S4860" i="2"/>
  <c r="M4860" i="2"/>
  <c r="L4860" i="2"/>
  <c r="K4860" i="2"/>
  <c r="G4860" i="2"/>
  <c r="E4860" i="2"/>
  <c r="B4860" i="2"/>
  <c r="S4859" i="2"/>
  <c r="M4859" i="2"/>
  <c r="L4859" i="2"/>
  <c r="K4859" i="2"/>
  <c r="G4859" i="2"/>
  <c r="E4859" i="2"/>
  <c r="B4859" i="2"/>
  <c r="S4858" i="2"/>
  <c r="M4858" i="2"/>
  <c r="L4858" i="2"/>
  <c r="K4858" i="2"/>
  <c r="G4858" i="2"/>
  <c r="E4858" i="2"/>
  <c r="B4858" i="2"/>
  <c r="S4857" i="2"/>
  <c r="M4857" i="2"/>
  <c r="L4857" i="2"/>
  <c r="K4857" i="2"/>
  <c r="G4857" i="2"/>
  <c r="E4857" i="2"/>
  <c r="B4857" i="2"/>
  <c r="S4856" i="2"/>
  <c r="M4856" i="2"/>
  <c r="L4856" i="2"/>
  <c r="K4856" i="2"/>
  <c r="G4856" i="2"/>
  <c r="E4856" i="2"/>
  <c r="B4856" i="2"/>
  <c r="S4855" i="2"/>
  <c r="M4855" i="2"/>
  <c r="L4855" i="2"/>
  <c r="K4855" i="2"/>
  <c r="G4855" i="2"/>
  <c r="E4855" i="2"/>
  <c r="B4855" i="2"/>
  <c r="S4854" i="2"/>
  <c r="M4854" i="2"/>
  <c r="L4854" i="2"/>
  <c r="K4854" i="2"/>
  <c r="G4854" i="2"/>
  <c r="E4854" i="2"/>
  <c r="B4854" i="2"/>
  <c r="S4853" i="2"/>
  <c r="M4853" i="2"/>
  <c r="L4853" i="2"/>
  <c r="K4853" i="2"/>
  <c r="G4853" i="2"/>
  <c r="E4853" i="2"/>
  <c r="B4853" i="2"/>
  <c r="S4852" i="2"/>
  <c r="M4852" i="2"/>
  <c r="L4852" i="2"/>
  <c r="K4852" i="2"/>
  <c r="G4852" i="2"/>
  <c r="E4852" i="2"/>
  <c r="B4852" i="2"/>
  <c r="S4851" i="2"/>
  <c r="M4851" i="2"/>
  <c r="L4851" i="2"/>
  <c r="K4851" i="2"/>
  <c r="G4851" i="2"/>
  <c r="E4851" i="2"/>
  <c r="B4851" i="2"/>
  <c r="S4850" i="2"/>
  <c r="M4850" i="2"/>
  <c r="L4850" i="2"/>
  <c r="K4850" i="2"/>
  <c r="G4850" i="2"/>
  <c r="E4850" i="2"/>
  <c r="B4850" i="2"/>
  <c r="S4849" i="2"/>
  <c r="M4849" i="2"/>
  <c r="L4849" i="2"/>
  <c r="K4849" i="2"/>
  <c r="G4849" i="2"/>
  <c r="E4849" i="2"/>
  <c r="B4849" i="2"/>
  <c r="S4848" i="2"/>
  <c r="M4848" i="2"/>
  <c r="L4848" i="2"/>
  <c r="K4848" i="2"/>
  <c r="G4848" i="2"/>
  <c r="E4848" i="2"/>
  <c r="B4848" i="2"/>
  <c r="S4847" i="2"/>
  <c r="M4847" i="2"/>
  <c r="L4847" i="2"/>
  <c r="K4847" i="2"/>
  <c r="G4847" i="2"/>
  <c r="E4847" i="2"/>
  <c r="B4847" i="2"/>
  <c r="S4846" i="2"/>
  <c r="M4846" i="2"/>
  <c r="L4846" i="2"/>
  <c r="K4846" i="2"/>
  <c r="G4846" i="2"/>
  <c r="E4846" i="2"/>
  <c r="B4846" i="2"/>
  <c r="S4845" i="2"/>
  <c r="M4845" i="2"/>
  <c r="L4845" i="2"/>
  <c r="K4845" i="2"/>
  <c r="G4845" i="2"/>
  <c r="E4845" i="2"/>
  <c r="B4845" i="2"/>
  <c r="S4844" i="2"/>
  <c r="M4844" i="2"/>
  <c r="L4844" i="2"/>
  <c r="K4844" i="2"/>
  <c r="G4844" i="2"/>
  <c r="E4844" i="2"/>
  <c r="B4844" i="2"/>
  <c r="S4843" i="2"/>
  <c r="M4843" i="2"/>
  <c r="L4843" i="2"/>
  <c r="K4843" i="2"/>
  <c r="G4843" i="2"/>
  <c r="E4843" i="2"/>
  <c r="B4843" i="2"/>
  <c r="S4842" i="2"/>
  <c r="M4842" i="2"/>
  <c r="L4842" i="2"/>
  <c r="K4842" i="2"/>
  <c r="G4842" i="2"/>
  <c r="E4842" i="2"/>
  <c r="B4842" i="2"/>
  <c r="S4841" i="2"/>
  <c r="M4841" i="2"/>
  <c r="L4841" i="2"/>
  <c r="K4841" i="2"/>
  <c r="G4841" i="2"/>
  <c r="E4841" i="2"/>
  <c r="B4841" i="2"/>
  <c r="S4840" i="2"/>
  <c r="M4840" i="2"/>
  <c r="L4840" i="2"/>
  <c r="K4840" i="2"/>
  <c r="G4840" i="2"/>
  <c r="E4840" i="2"/>
  <c r="B4840" i="2"/>
  <c r="S4839" i="2"/>
  <c r="M4839" i="2"/>
  <c r="L4839" i="2"/>
  <c r="K4839" i="2"/>
  <c r="G4839" i="2"/>
  <c r="E4839" i="2"/>
  <c r="B4839" i="2"/>
  <c r="S4838" i="2"/>
  <c r="M4838" i="2"/>
  <c r="L4838" i="2"/>
  <c r="K4838" i="2"/>
  <c r="G4838" i="2"/>
  <c r="E4838" i="2"/>
  <c r="B4838" i="2"/>
  <c r="S4837" i="2"/>
  <c r="M4837" i="2"/>
  <c r="L4837" i="2"/>
  <c r="K4837" i="2"/>
  <c r="G4837" i="2"/>
  <c r="E4837" i="2"/>
  <c r="B4837" i="2"/>
  <c r="S4836" i="2"/>
  <c r="M4836" i="2"/>
  <c r="L4836" i="2"/>
  <c r="K4836" i="2"/>
  <c r="G4836" i="2"/>
  <c r="E4836" i="2"/>
  <c r="B4836" i="2"/>
  <c r="S4835" i="2"/>
  <c r="M4835" i="2"/>
  <c r="L4835" i="2"/>
  <c r="K4835" i="2"/>
  <c r="G4835" i="2"/>
  <c r="E4835" i="2"/>
  <c r="B4835" i="2"/>
  <c r="S4834" i="2"/>
  <c r="M4834" i="2"/>
  <c r="L4834" i="2"/>
  <c r="K4834" i="2"/>
  <c r="G4834" i="2"/>
  <c r="E4834" i="2"/>
  <c r="B4834" i="2"/>
  <c r="S4833" i="2"/>
  <c r="M4833" i="2"/>
  <c r="L4833" i="2"/>
  <c r="K4833" i="2"/>
  <c r="G4833" i="2"/>
  <c r="E4833" i="2"/>
  <c r="B4833" i="2"/>
  <c r="S4832" i="2"/>
  <c r="M4832" i="2"/>
  <c r="L4832" i="2"/>
  <c r="K4832" i="2"/>
  <c r="G4832" i="2"/>
  <c r="E4832" i="2"/>
  <c r="B4832" i="2"/>
  <c r="S4831" i="2"/>
  <c r="M4831" i="2"/>
  <c r="L4831" i="2"/>
  <c r="K4831" i="2"/>
  <c r="G4831" i="2"/>
  <c r="E4831" i="2"/>
  <c r="B4831" i="2"/>
  <c r="S4830" i="2"/>
  <c r="M4830" i="2"/>
  <c r="L4830" i="2"/>
  <c r="K4830" i="2"/>
  <c r="G4830" i="2"/>
  <c r="E4830" i="2"/>
  <c r="B4830" i="2"/>
  <c r="S4829" i="2"/>
  <c r="M4829" i="2"/>
  <c r="L4829" i="2"/>
  <c r="K4829" i="2"/>
  <c r="G4829" i="2"/>
  <c r="E4829" i="2"/>
  <c r="B4829" i="2"/>
  <c r="S4828" i="2"/>
  <c r="M4828" i="2"/>
  <c r="L4828" i="2"/>
  <c r="K4828" i="2"/>
  <c r="G4828" i="2"/>
  <c r="E4828" i="2"/>
  <c r="B4828" i="2"/>
  <c r="S4827" i="2"/>
  <c r="M4827" i="2"/>
  <c r="L4827" i="2"/>
  <c r="K4827" i="2"/>
  <c r="G4827" i="2"/>
  <c r="E4827" i="2"/>
  <c r="B4827" i="2"/>
  <c r="S4826" i="2"/>
  <c r="M4826" i="2"/>
  <c r="L4826" i="2"/>
  <c r="K4826" i="2"/>
  <c r="G4826" i="2"/>
  <c r="E4826" i="2"/>
  <c r="B4826" i="2"/>
  <c r="S4825" i="2"/>
  <c r="M4825" i="2"/>
  <c r="L4825" i="2"/>
  <c r="K4825" i="2"/>
  <c r="G4825" i="2"/>
  <c r="E4825" i="2"/>
  <c r="B4825" i="2"/>
  <c r="S4824" i="2"/>
  <c r="M4824" i="2"/>
  <c r="L4824" i="2"/>
  <c r="K4824" i="2"/>
  <c r="G4824" i="2"/>
  <c r="E4824" i="2"/>
  <c r="B4824" i="2"/>
  <c r="S4823" i="2"/>
  <c r="M4823" i="2"/>
  <c r="L4823" i="2"/>
  <c r="K4823" i="2"/>
  <c r="G4823" i="2"/>
  <c r="E4823" i="2"/>
  <c r="B4823" i="2"/>
  <c r="S4822" i="2"/>
  <c r="M4822" i="2"/>
  <c r="L4822" i="2"/>
  <c r="K4822" i="2"/>
  <c r="G4822" i="2"/>
  <c r="E4822" i="2"/>
  <c r="B4822" i="2"/>
  <c r="S4821" i="2"/>
  <c r="M4821" i="2"/>
  <c r="L4821" i="2"/>
  <c r="K4821" i="2"/>
  <c r="G4821" i="2"/>
  <c r="E4821" i="2"/>
  <c r="B4821" i="2"/>
  <c r="S4820" i="2"/>
  <c r="M4820" i="2"/>
  <c r="L4820" i="2"/>
  <c r="K4820" i="2"/>
  <c r="G4820" i="2"/>
  <c r="E4820" i="2"/>
  <c r="B4820" i="2"/>
  <c r="S4819" i="2"/>
  <c r="M4819" i="2"/>
  <c r="L4819" i="2"/>
  <c r="K4819" i="2"/>
  <c r="G4819" i="2"/>
  <c r="E4819" i="2"/>
  <c r="B4819" i="2"/>
  <c r="S4818" i="2"/>
  <c r="M4818" i="2"/>
  <c r="L4818" i="2"/>
  <c r="K4818" i="2"/>
  <c r="G4818" i="2"/>
  <c r="E4818" i="2"/>
  <c r="B4818" i="2"/>
  <c r="S4817" i="2"/>
  <c r="M4817" i="2"/>
  <c r="L4817" i="2"/>
  <c r="K4817" i="2"/>
  <c r="G4817" i="2"/>
  <c r="E4817" i="2"/>
  <c r="B4817" i="2"/>
  <c r="S4816" i="2"/>
  <c r="M4816" i="2"/>
  <c r="L4816" i="2"/>
  <c r="K4816" i="2"/>
  <c r="G4816" i="2"/>
  <c r="E4816" i="2"/>
  <c r="B4816" i="2"/>
  <c r="S4815" i="2"/>
  <c r="M4815" i="2"/>
  <c r="L4815" i="2"/>
  <c r="K4815" i="2"/>
  <c r="G4815" i="2"/>
  <c r="E4815" i="2"/>
  <c r="B4815" i="2"/>
  <c r="S4814" i="2"/>
  <c r="M4814" i="2"/>
  <c r="L4814" i="2"/>
  <c r="K4814" i="2"/>
  <c r="G4814" i="2"/>
  <c r="E4814" i="2"/>
  <c r="B4814" i="2"/>
  <c r="S4813" i="2"/>
  <c r="M4813" i="2"/>
  <c r="L4813" i="2"/>
  <c r="K4813" i="2"/>
  <c r="G4813" i="2"/>
  <c r="E4813" i="2"/>
  <c r="B4813" i="2"/>
  <c r="S4812" i="2"/>
  <c r="M4812" i="2"/>
  <c r="L4812" i="2"/>
  <c r="K4812" i="2"/>
  <c r="G4812" i="2"/>
  <c r="E4812" i="2"/>
  <c r="B4812" i="2"/>
  <c r="S4811" i="2"/>
  <c r="M4811" i="2"/>
  <c r="L4811" i="2"/>
  <c r="K4811" i="2"/>
  <c r="G4811" i="2"/>
  <c r="E4811" i="2"/>
  <c r="B4811" i="2"/>
  <c r="S4810" i="2"/>
  <c r="M4810" i="2"/>
  <c r="L4810" i="2"/>
  <c r="K4810" i="2"/>
  <c r="G4810" i="2"/>
  <c r="E4810" i="2"/>
  <c r="B4810" i="2"/>
  <c r="S4809" i="2"/>
  <c r="M4809" i="2"/>
  <c r="L4809" i="2"/>
  <c r="K4809" i="2"/>
  <c r="G4809" i="2"/>
  <c r="E4809" i="2"/>
  <c r="B4809" i="2"/>
  <c r="S4808" i="2"/>
  <c r="M4808" i="2"/>
  <c r="L4808" i="2"/>
  <c r="K4808" i="2"/>
  <c r="G4808" i="2"/>
  <c r="E4808" i="2"/>
  <c r="B4808" i="2"/>
  <c r="S4807" i="2"/>
  <c r="M4807" i="2"/>
  <c r="L4807" i="2"/>
  <c r="K4807" i="2"/>
  <c r="G4807" i="2"/>
  <c r="E4807" i="2"/>
  <c r="B4807" i="2"/>
  <c r="S4806" i="2"/>
  <c r="M4806" i="2"/>
  <c r="L4806" i="2"/>
  <c r="K4806" i="2"/>
  <c r="G4806" i="2"/>
  <c r="E4806" i="2"/>
  <c r="B4806" i="2"/>
  <c r="S4805" i="2"/>
  <c r="M4805" i="2"/>
  <c r="L4805" i="2"/>
  <c r="K4805" i="2"/>
  <c r="G4805" i="2"/>
  <c r="E4805" i="2"/>
  <c r="B4805" i="2"/>
  <c r="S4804" i="2"/>
  <c r="M4804" i="2"/>
  <c r="L4804" i="2"/>
  <c r="K4804" i="2"/>
  <c r="G4804" i="2"/>
  <c r="E4804" i="2"/>
  <c r="B4804" i="2"/>
  <c r="S4790" i="2"/>
  <c r="M4790" i="2"/>
  <c r="L4790" i="2"/>
  <c r="K4790" i="2"/>
  <c r="G4790" i="2"/>
  <c r="E4790" i="2"/>
  <c r="B4790" i="2"/>
  <c r="S4789" i="2"/>
  <c r="M4789" i="2"/>
  <c r="L4789" i="2"/>
  <c r="K4789" i="2"/>
  <c r="G4789" i="2"/>
  <c r="E4789" i="2"/>
  <c r="B4789" i="2"/>
  <c r="S4788" i="2"/>
  <c r="M4788" i="2"/>
  <c r="L4788" i="2"/>
  <c r="K4788" i="2"/>
  <c r="G4788" i="2"/>
  <c r="E4788" i="2"/>
  <c r="B4788" i="2"/>
  <c r="S4787" i="2"/>
  <c r="M4787" i="2"/>
  <c r="L4787" i="2"/>
  <c r="K4787" i="2"/>
  <c r="G4787" i="2"/>
  <c r="E4787" i="2"/>
  <c r="B4787" i="2"/>
  <c r="S4786" i="2"/>
  <c r="M4786" i="2"/>
  <c r="L4786" i="2"/>
  <c r="K4786" i="2"/>
  <c r="G4786" i="2"/>
  <c r="E4786" i="2"/>
  <c r="B4786" i="2"/>
  <c r="S4785" i="2"/>
  <c r="M4785" i="2"/>
  <c r="L4785" i="2"/>
  <c r="K4785" i="2"/>
  <c r="G4785" i="2"/>
  <c r="E4785" i="2"/>
  <c r="B4785" i="2"/>
  <c r="S4784" i="2"/>
  <c r="M4784" i="2"/>
  <c r="L4784" i="2"/>
  <c r="K4784" i="2"/>
  <c r="G4784" i="2"/>
  <c r="E4784" i="2"/>
  <c r="B4784" i="2"/>
  <c r="S4783" i="2"/>
  <c r="M4783" i="2"/>
  <c r="L4783" i="2"/>
  <c r="K4783" i="2"/>
  <c r="G4783" i="2"/>
  <c r="E4783" i="2"/>
  <c r="B4783" i="2"/>
  <c r="S4782" i="2"/>
  <c r="M4782" i="2"/>
  <c r="L4782" i="2"/>
  <c r="K4782" i="2"/>
  <c r="G4782" i="2"/>
  <c r="E4782" i="2"/>
  <c r="B4782" i="2"/>
  <c r="S4781" i="2"/>
  <c r="M4781" i="2"/>
  <c r="L4781" i="2"/>
  <c r="K4781" i="2"/>
  <c r="G4781" i="2"/>
  <c r="E4781" i="2"/>
  <c r="B4781" i="2"/>
  <c r="S4780" i="2"/>
  <c r="M4780" i="2"/>
  <c r="L4780" i="2"/>
  <c r="K4780" i="2"/>
  <c r="G4780" i="2"/>
  <c r="E4780" i="2"/>
  <c r="B4780" i="2"/>
  <c r="S4779" i="2"/>
  <c r="M4779" i="2"/>
  <c r="L4779" i="2"/>
  <c r="K4779" i="2"/>
  <c r="G4779" i="2"/>
  <c r="E4779" i="2"/>
  <c r="B4779" i="2"/>
  <c r="S4778" i="2"/>
  <c r="M4778" i="2"/>
  <c r="L4778" i="2"/>
  <c r="K4778" i="2"/>
  <c r="G4778" i="2"/>
  <c r="E4778" i="2"/>
  <c r="B4778" i="2"/>
  <c r="S4777" i="2"/>
  <c r="M4777" i="2"/>
  <c r="L4777" i="2"/>
  <c r="K4777" i="2"/>
  <c r="G4777" i="2"/>
  <c r="E4777" i="2"/>
  <c r="B4777" i="2"/>
  <c r="S4776" i="2"/>
  <c r="M4776" i="2"/>
  <c r="L4776" i="2"/>
  <c r="K4776" i="2"/>
  <c r="G4776" i="2"/>
  <c r="E4776" i="2"/>
  <c r="B4776" i="2"/>
  <c r="S4775" i="2"/>
  <c r="M4775" i="2"/>
  <c r="L4775" i="2"/>
  <c r="K4775" i="2"/>
  <c r="G4775" i="2"/>
  <c r="E4775" i="2"/>
  <c r="B4775" i="2"/>
  <c r="S4774" i="2"/>
  <c r="M4774" i="2"/>
  <c r="L4774" i="2"/>
  <c r="K4774" i="2"/>
  <c r="G4774" i="2"/>
  <c r="E4774" i="2"/>
  <c r="B4774" i="2"/>
  <c r="S4773" i="2"/>
  <c r="M4773" i="2"/>
  <c r="L4773" i="2"/>
  <c r="K4773" i="2"/>
  <c r="G4773" i="2"/>
  <c r="E4773" i="2"/>
  <c r="B4773" i="2"/>
  <c r="S4772" i="2"/>
  <c r="M4772" i="2"/>
  <c r="L4772" i="2"/>
  <c r="K4772" i="2"/>
  <c r="G4772" i="2"/>
  <c r="E4772" i="2"/>
  <c r="B4772" i="2"/>
  <c r="S4771" i="2"/>
  <c r="M4771" i="2"/>
  <c r="L4771" i="2"/>
  <c r="K4771" i="2"/>
  <c r="G4771" i="2"/>
  <c r="E4771" i="2"/>
  <c r="B4771" i="2"/>
  <c r="S4770" i="2"/>
  <c r="M4770" i="2"/>
  <c r="L4770" i="2"/>
  <c r="K4770" i="2"/>
  <c r="G4770" i="2"/>
  <c r="E4770" i="2"/>
  <c r="B4770" i="2"/>
  <c r="S4769" i="2"/>
  <c r="M4769" i="2"/>
  <c r="L4769" i="2"/>
  <c r="K4769" i="2"/>
  <c r="G4769" i="2"/>
  <c r="E4769" i="2"/>
  <c r="B4769" i="2"/>
  <c r="S4768" i="2"/>
  <c r="M4768" i="2"/>
  <c r="L4768" i="2"/>
  <c r="K4768" i="2"/>
  <c r="G4768" i="2"/>
  <c r="E4768" i="2"/>
  <c r="B4768" i="2"/>
  <c r="S4767" i="2"/>
  <c r="M4767" i="2"/>
  <c r="L4767" i="2"/>
  <c r="K4767" i="2"/>
  <c r="G4767" i="2"/>
  <c r="E4767" i="2"/>
  <c r="B4767" i="2"/>
  <c r="S4766" i="2"/>
  <c r="M4766" i="2"/>
  <c r="L4766" i="2"/>
  <c r="K4766" i="2"/>
  <c r="G4766" i="2"/>
  <c r="E4766" i="2"/>
  <c r="B4766" i="2"/>
  <c r="S4765" i="2"/>
  <c r="M4765" i="2"/>
  <c r="L4765" i="2"/>
  <c r="K4765" i="2"/>
  <c r="G4765" i="2"/>
  <c r="E4765" i="2"/>
  <c r="B4765" i="2"/>
  <c r="S4764" i="2"/>
  <c r="M4764" i="2"/>
  <c r="L4764" i="2"/>
  <c r="K4764" i="2"/>
  <c r="G4764" i="2"/>
  <c r="E4764" i="2"/>
  <c r="B4764" i="2"/>
  <c r="S4763" i="2"/>
  <c r="M4763" i="2"/>
  <c r="L4763" i="2"/>
  <c r="K4763" i="2"/>
  <c r="G4763" i="2"/>
  <c r="E4763" i="2"/>
  <c r="B4763" i="2"/>
  <c r="S4762" i="2"/>
  <c r="M4762" i="2"/>
  <c r="L4762" i="2"/>
  <c r="K4762" i="2"/>
  <c r="G4762" i="2"/>
  <c r="E4762" i="2"/>
  <c r="B4762" i="2"/>
  <c r="S4761" i="2"/>
  <c r="M4761" i="2"/>
  <c r="L4761" i="2"/>
  <c r="K4761" i="2"/>
  <c r="G4761" i="2"/>
  <c r="E4761" i="2"/>
  <c r="B4761" i="2"/>
  <c r="S4760" i="2"/>
  <c r="M4760" i="2"/>
  <c r="L4760" i="2"/>
  <c r="K4760" i="2"/>
  <c r="G4760" i="2"/>
  <c r="E4760" i="2"/>
  <c r="B4760" i="2"/>
  <c r="S4759" i="2"/>
  <c r="M4759" i="2"/>
  <c r="L4759" i="2"/>
  <c r="K4759" i="2"/>
  <c r="G4759" i="2"/>
  <c r="E4759" i="2"/>
  <c r="B4759" i="2"/>
  <c r="S4758" i="2"/>
  <c r="M4758" i="2"/>
  <c r="L4758" i="2"/>
  <c r="K4758" i="2"/>
  <c r="G4758" i="2"/>
  <c r="E4758" i="2"/>
  <c r="B4758" i="2"/>
  <c r="S4757" i="2"/>
  <c r="M4757" i="2"/>
  <c r="L4757" i="2"/>
  <c r="K4757" i="2"/>
  <c r="G4757" i="2"/>
  <c r="E4757" i="2"/>
  <c r="B4757" i="2"/>
  <c r="S4756" i="2"/>
  <c r="M4756" i="2"/>
  <c r="L4756" i="2"/>
  <c r="K4756" i="2"/>
  <c r="G4756" i="2"/>
  <c r="E4756" i="2"/>
  <c r="B4756" i="2"/>
  <c r="S4755" i="2"/>
  <c r="M4755" i="2"/>
  <c r="L4755" i="2"/>
  <c r="K4755" i="2"/>
  <c r="G4755" i="2"/>
  <c r="E4755" i="2"/>
  <c r="B4755" i="2"/>
  <c r="S4754" i="2"/>
  <c r="M4754" i="2"/>
  <c r="L4754" i="2"/>
  <c r="K4754" i="2"/>
  <c r="G4754" i="2"/>
  <c r="E4754" i="2"/>
  <c r="B4754" i="2"/>
  <c r="S4753" i="2"/>
  <c r="M4753" i="2"/>
  <c r="L4753" i="2"/>
  <c r="K4753" i="2"/>
  <c r="G4753" i="2"/>
  <c r="E4753" i="2"/>
  <c r="B4753" i="2"/>
  <c r="S4752" i="2"/>
  <c r="M4752" i="2"/>
  <c r="L4752" i="2"/>
  <c r="K4752" i="2"/>
  <c r="G4752" i="2"/>
  <c r="E4752" i="2"/>
  <c r="B4752" i="2"/>
  <c r="S4751" i="2"/>
  <c r="M4751" i="2"/>
  <c r="L4751" i="2"/>
  <c r="K4751" i="2"/>
  <c r="G4751" i="2"/>
  <c r="E4751" i="2"/>
  <c r="B4751" i="2"/>
  <c r="S4750" i="2"/>
  <c r="M4750" i="2"/>
  <c r="L4750" i="2"/>
  <c r="K4750" i="2"/>
  <c r="G4750" i="2"/>
  <c r="E4750" i="2"/>
  <c r="B4750" i="2"/>
  <c r="S4749" i="2"/>
  <c r="M4749" i="2"/>
  <c r="L4749" i="2"/>
  <c r="K4749" i="2"/>
  <c r="G4749" i="2"/>
  <c r="E4749" i="2"/>
  <c r="B4749" i="2"/>
  <c r="S4748" i="2"/>
  <c r="M4748" i="2"/>
  <c r="L4748" i="2"/>
  <c r="K4748" i="2"/>
  <c r="G4748" i="2"/>
  <c r="E4748" i="2"/>
  <c r="B4748" i="2"/>
  <c r="S4747" i="2"/>
  <c r="M4747" i="2"/>
  <c r="L4747" i="2"/>
  <c r="K4747" i="2"/>
  <c r="G4747" i="2"/>
  <c r="E4747" i="2"/>
  <c r="B4747" i="2"/>
  <c r="S4746" i="2"/>
  <c r="M4746" i="2"/>
  <c r="L4746" i="2"/>
  <c r="K4746" i="2"/>
  <c r="G4746" i="2"/>
  <c r="E4746" i="2"/>
  <c r="B4746" i="2"/>
  <c r="S4745" i="2"/>
  <c r="M4745" i="2"/>
  <c r="L4745" i="2"/>
  <c r="K4745" i="2"/>
  <c r="G4745" i="2"/>
  <c r="E4745" i="2"/>
  <c r="B4745" i="2"/>
  <c r="S4744" i="2"/>
  <c r="M4744" i="2"/>
  <c r="L4744" i="2"/>
  <c r="K4744" i="2"/>
  <c r="G4744" i="2"/>
  <c r="E4744" i="2"/>
  <c r="B4744" i="2"/>
  <c r="S4743" i="2"/>
  <c r="M4743" i="2"/>
  <c r="L4743" i="2"/>
  <c r="K4743" i="2"/>
  <c r="G4743" i="2"/>
  <c r="E4743" i="2"/>
  <c r="B4743" i="2"/>
  <c r="S4742" i="2"/>
  <c r="M4742" i="2"/>
  <c r="L4742" i="2"/>
  <c r="K4742" i="2"/>
  <c r="G4742" i="2"/>
  <c r="E4742" i="2"/>
  <c r="B4742" i="2"/>
  <c r="S4741" i="2"/>
  <c r="M4741" i="2"/>
  <c r="L4741" i="2"/>
  <c r="K4741" i="2"/>
  <c r="G4741" i="2"/>
  <c r="E4741" i="2"/>
  <c r="B4741" i="2"/>
  <c r="S4740" i="2"/>
  <c r="M4740" i="2"/>
  <c r="L4740" i="2"/>
  <c r="K4740" i="2"/>
  <c r="G4740" i="2"/>
  <c r="E4740" i="2"/>
  <c r="B4740" i="2"/>
  <c r="S4739" i="2"/>
  <c r="M4739" i="2"/>
  <c r="L4739" i="2"/>
  <c r="K4739" i="2"/>
  <c r="G4739" i="2"/>
  <c r="E4739" i="2"/>
  <c r="B4739" i="2"/>
  <c r="S4738" i="2"/>
  <c r="M4738" i="2"/>
  <c r="L4738" i="2"/>
  <c r="K4738" i="2"/>
  <c r="G4738" i="2"/>
  <c r="E4738" i="2"/>
  <c r="B4738" i="2"/>
  <c r="S4737" i="2"/>
  <c r="M4737" i="2"/>
  <c r="L4737" i="2"/>
  <c r="K4737" i="2"/>
  <c r="G4737" i="2"/>
  <c r="E4737" i="2"/>
  <c r="B4737" i="2"/>
  <c r="S4736" i="2"/>
  <c r="M4736" i="2"/>
  <c r="L4736" i="2"/>
  <c r="K4736" i="2"/>
  <c r="G4736" i="2"/>
  <c r="E4736" i="2"/>
  <c r="B4736" i="2"/>
  <c r="S4735" i="2"/>
  <c r="M4735" i="2"/>
  <c r="L4735" i="2"/>
  <c r="K4735" i="2"/>
  <c r="G4735" i="2"/>
  <c r="E4735" i="2"/>
  <c r="B4735" i="2"/>
  <c r="S4734" i="2"/>
  <c r="M4734" i="2"/>
  <c r="L4734" i="2"/>
  <c r="K4734" i="2"/>
  <c r="G4734" i="2"/>
  <c r="E4734" i="2"/>
  <c r="B4734" i="2"/>
  <c r="S4733" i="2"/>
  <c r="M4733" i="2"/>
  <c r="L4733" i="2"/>
  <c r="K4733" i="2"/>
  <c r="G4733" i="2"/>
  <c r="E4733" i="2"/>
  <c r="B4733" i="2"/>
  <c r="S4732" i="2"/>
  <c r="M4732" i="2"/>
  <c r="L4732" i="2"/>
  <c r="K4732" i="2"/>
  <c r="G4732" i="2"/>
  <c r="E4732" i="2"/>
  <c r="B4732" i="2"/>
  <c r="S4731" i="2"/>
  <c r="M4731" i="2"/>
  <c r="L4731" i="2"/>
  <c r="K4731" i="2"/>
  <c r="G4731" i="2"/>
  <c r="E4731" i="2"/>
  <c r="B4731" i="2"/>
  <c r="S4730" i="2"/>
  <c r="M4730" i="2"/>
  <c r="L4730" i="2"/>
  <c r="K4730" i="2"/>
  <c r="G4730" i="2"/>
  <c r="E4730" i="2"/>
  <c r="B4730" i="2"/>
  <c r="S4729" i="2"/>
  <c r="M4729" i="2"/>
  <c r="L4729" i="2"/>
  <c r="K4729" i="2"/>
  <c r="G4729" i="2"/>
  <c r="E4729" i="2"/>
  <c r="B4729" i="2"/>
  <c r="S4728" i="2"/>
  <c r="M4728" i="2"/>
  <c r="L4728" i="2"/>
  <c r="K4728" i="2"/>
  <c r="G4728" i="2"/>
  <c r="E4728" i="2"/>
  <c r="B4728" i="2"/>
  <c r="S4727" i="2"/>
  <c r="M4727" i="2"/>
  <c r="L4727" i="2"/>
  <c r="K4727" i="2"/>
  <c r="G4727" i="2"/>
  <c r="E4727" i="2"/>
  <c r="B4727" i="2"/>
  <c r="S4726" i="2"/>
  <c r="M4726" i="2"/>
  <c r="L4726" i="2"/>
  <c r="K4726" i="2"/>
  <c r="G4726" i="2"/>
  <c r="E4726" i="2"/>
  <c r="B4726" i="2"/>
  <c r="S4725" i="2"/>
  <c r="M4725" i="2"/>
  <c r="L4725" i="2"/>
  <c r="K4725" i="2"/>
  <c r="G4725" i="2"/>
  <c r="E4725" i="2"/>
  <c r="B4725" i="2"/>
  <c r="S4724" i="2"/>
  <c r="M4724" i="2"/>
  <c r="L4724" i="2"/>
  <c r="K4724" i="2"/>
  <c r="G4724" i="2"/>
  <c r="E4724" i="2"/>
  <c r="B4724" i="2"/>
  <c r="S4723" i="2"/>
  <c r="M4723" i="2"/>
  <c r="L4723" i="2"/>
  <c r="K4723" i="2"/>
  <c r="G4723" i="2"/>
  <c r="E4723" i="2"/>
  <c r="B4723" i="2"/>
  <c r="S4722" i="2"/>
  <c r="M4722" i="2"/>
  <c r="L4722" i="2"/>
  <c r="K4722" i="2"/>
  <c r="G4722" i="2"/>
  <c r="E4722" i="2"/>
  <c r="B4722" i="2"/>
  <c r="S4721" i="2"/>
  <c r="M4721" i="2"/>
  <c r="L4721" i="2"/>
  <c r="K4721" i="2"/>
  <c r="G4721" i="2"/>
  <c r="E4721" i="2"/>
  <c r="B4721" i="2"/>
  <c r="S4720" i="2"/>
  <c r="M4720" i="2"/>
  <c r="L4720" i="2"/>
  <c r="K4720" i="2"/>
  <c r="G4720" i="2"/>
  <c r="E4720" i="2"/>
  <c r="B4720" i="2"/>
  <c r="S4719" i="2"/>
  <c r="M4719" i="2"/>
  <c r="L4719" i="2"/>
  <c r="K4719" i="2"/>
  <c r="G4719" i="2"/>
  <c r="E4719" i="2"/>
  <c r="B4719" i="2"/>
  <c r="S4718" i="2"/>
  <c r="M4718" i="2"/>
  <c r="L4718" i="2"/>
  <c r="K4718" i="2"/>
  <c r="G4718" i="2"/>
  <c r="E4718" i="2"/>
  <c r="B4718" i="2"/>
  <c r="S4717" i="2"/>
  <c r="M4717" i="2"/>
  <c r="L4717" i="2"/>
  <c r="K4717" i="2"/>
  <c r="G4717" i="2"/>
  <c r="E4717" i="2"/>
  <c r="B4717" i="2"/>
  <c r="S4716" i="2"/>
  <c r="M4716" i="2"/>
  <c r="L4716" i="2"/>
  <c r="K4716" i="2"/>
  <c r="G4716" i="2"/>
  <c r="E4716" i="2"/>
  <c r="B4716" i="2"/>
  <c r="S4715" i="2"/>
  <c r="M4715" i="2"/>
  <c r="L4715" i="2"/>
  <c r="K4715" i="2"/>
  <c r="G4715" i="2"/>
  <c r="E4715" i="2"/>
  <c r="B4715" i="2"/>
  <c r="S4714" i="2"/>
  <c r="M4714" i="2"/>
  <c r="L4714" i="2"/>
  <c r="K4714" i="2"/>
  <c r="G4714" i="2"/>
  <c r="E4714" i="2"/>
  <c r="B4714" i="2"/>
  <c r="S4713" i="2"/>
  <c r="M4713" i="2"/>
  <c r="L4713" i="2"/>
  <c r="K4713" i="2"/>
  <c r="G4713" i="2"/>
  <c r="E4713" i="2"/>
  <c r="B4713" i="2"/>
  <c r="S4712" i="2"/>
  <c r="M4712" i="2"/>
  <c r="L4712" i="2"/>
  <c r="K4712" i="2"/>
  <c r="G4712" i="2"/>
  <c r="E4712" i="2"/>
  <c r="B4712" i="2"/>
  <c r="S4711" i="2"/>
  <c r="M4711" i="2"/>
  <c r="L4711" i="2"/>
  <c r="K4711" i="2"/>
  <c r="G4711" i="2"/>
  <c r="E4711" i="2"/>
  <c r="B4711" i="2"/>
  <c r="S4710" i="2"/>
  <c r="M4710" i="2"/>
  <c r="L4710" i="2"/>
  <c r="K4710" i="2"/>
  <c r="G4710" i="2"/>
  <c r="E4710" i="2"/>
  <c r="B4710" i="2"/>
  <c r="S4709" i="2"/>
  <c r="M4709" i="2"/>
  <c r="L4709" i="2"/>
  <c r="K4709" i="2"/>
  <c r="G4709" i="2"/>
  <c r="E4709" i="2"/>
  <c r="B4709" i="2"/>
  <c r="S4708" i="2"/>
  <c r="M4708" i="2"/>
  <c r="L4708" i="2"/>
  <c r="K4708" i="2"/>
  <c r="G4708" i="2"/>
  <c r="E4708" i="2"/>
  <c r="B4708" i="2"/>
  <c r="S4707" i="2"/>
  <c r="M4707" i="2"/>
  <c r="L4707" i="2"/>
  <c r="K4707" i="2"/>
  <c r="G4707" i="2"/>
  <c r="E4707" i="2"/>
  <c r="B4707" i="2"/>
  <c r="S4706" i="2"/>
  <c r="M4706" i="2"/>
  <c r="L4706" i="2"/>
  <c r="K4706" i="2"/>
  <c r="G4706" i="2"/>
  <c r="E4706" i="2"/>
  <c r="B4706" i="2"/>
  <c r="S4705" i="2"/>
  <c r="M4705" i="2"/>
  <c r="L4705" i="2"/>
  <c r="K4705" i="2"/>
  <c r="G4705" i="2"/>
  <c r="E4705" i="2"/>
  <c r="B4705" i="2"/>
  <c r="S4704" i="2"/>
  <c r="M4704" i="2"/>
  <c r="L4704" i="2"/>
  <c r="K4704" i="2"/>
  <c r="G4704" i="2"/>
  <c r="E4704" i="2"/>
  <c r="B4704" i="2"/>
  <c r="S4703" i="2"/>
  <c r="M4703" i="2"/>
  <c r="L4703" i="2"/>
  <c r="K4703" i="2"/>
  <c r="G4703" i="2"/>
  <c r="E4703" i="2"/>
  <c r="B4703" i="2"/>
  <c r="S4702" i="2"/>
  <c r="M4702" i="2"/>
  <c r="L4702" i="2"/>
  <c r="K4702" i="2"/>
  <c r="G4702" i="2"/>
  <c r="E4702" i="2"/>
  <c r="B4702" i="2"/>
  <c r="S4701" i="2"/>
  <c r="M4701" i="2"/>
  <c r="L4701" i="2"/>
  <c r="K4701" i="2"/>
  <c r="G4701" i="2"/>
  <c r="E4701" i="2"/>
  <c r="B4701" i="2"/>
  <c r="S4700" i="2"/>
  <c r="M4700" i="2"/>
  <c r="L4700" i="2"/>
  <c r="K4700" i="2"/>
  <c r="G4700" i="2"/>
  <c r="E4700" i="2"/>
  <c r="B4700" i="2"/>
  <c r="S4699" i="2"/>
  <c r="M4699" i="2"/>
  <c r="L4699" i="2"/>
  <c r="K4699" i="2"/>
  <c r="G4699" i="2"/>
  <c r="E4699" i="2"/>
  <c r="B4699" i="2"/>
  <c r="S4698" i="2"/>
  <c r="M4698" i="2"/>
  <c r="L4698" i="2"/>
  <c r="K4698" i="2"/>
  <c r="G4698" i="2"/>
  <c r="E4698" i="2"/>
  <c r="B4698" i="2"/>
  <c r="S4697" i="2"/>
  <c r="M4697" i="2"/>
  <c r="L4697" i="2"/>
  <c r="K4697" i="2"/>
  <c r="G4697" i="2"/>
  <c r="E4697" i="2"/>
  <c r="B4697" i="2"/>
  <c r="S4696" i="2"/>
  <c r="M4696" i="2"/>
  <c r="L4696" i="2"/>
  <c r="K4696" i="2"/>
  <c r="G4696" i="2"/>
  <c r="E4696" i="2"/>
  <c r="B4696" i="2"/>
  <c r="S4695" i="2"/>
  <c r="M4695" i="2"/>
  <c r="L4695" i="2"/>
  <c r="K4695" i="2"/>
  <c r="G4695" i="2"/>
  <c r="E4695" i="2"/>
  <c r="B4695" i="2"/>
  <c r="S4694" i="2"/>
  <c r="M4694" i="2"/>
  <c r="L4694" i="2"/>
  <c r="K4694" i="2"/>
  <c r="G4694" i="2"/>
  <c r="E4694" i="2"/>
  <c r="B4694" i="2"/>
  <c r="S4693" i="2"/>
  <c r="M4693" i="2"/>
  <c r="L4693" i="2"/>
  <c r="K4693" i="2"/>
  <c r="G4693" i="2"/>
  <c r="E4693" i="2"/>
  <c r="B4693" i="2"/>
  <c r="S4692" i="2"/>
  <c r="M4692" i="2"/>
  <c r="L4692" i="2"/>
  <c r="K4692" i="2"/>
  <c r="G4692" i="2"/>
  <c r="E4692" i="2"/>
  <c r="B4692" i="2"/>
  <c r="S4691" i="2"/>
  <c r="M4691" i="2"/>
  <c r="L4691" i="2"/>
  <c r="K4691" i="2"/>
  <c r="G4691" i="2"/>
  <c r="E4691" i="2"/>
  <c r="B4691" i="2"/>
  <c r="S4690" i="2"/>
  <c r="M4690" i="2"/>
  <c r="L4690" i="2"/>
  <c r="K4690" i="2"/>
  <c r="G4690" i="2"/>
  <c r="E4690" i="2"/>
  <c r="B4690" i="2"/>
  <c r="S4689" i="2"/>
  <c r="M4689" i="2"/>
  <c r="L4689" i="2"/>
  <c r="K4689" i="2"/>
  <c r="G4689" i="2"/>
  <c r="E4689" i="2"/>
  <c r="B4689" i="2"/>
  <c r="S4688" i="2"/>
  <c r="M4688" i="2"/>
  <c r="L4688" i="2"/>
  <c r="K4688" i="2"/>
  <c r="G4688" i="2"/>
  <c r="E4688" i="2"/>
  <c r="B4688" i="2"/>
  <c r="S4687" i="2"/>
  <c r="M4687" i="2"/>
  <c r="L4687" i="2"/>
  <c r="K4687" i="2"/>
  <c r="G4687" i="2"/>
  <c r="E4687" i="2"/>
  <c r="B4687" i="2"/>
  <c r="S4686" i="2"/>
  <c r="M4686" i="2"/>
  <c r="L4686" i="2"/>
  <c r="K4686" i="2"/>
  <c r="G4686" i="2"/>
  <c r="E4686" i="2"/>
  <c r="B4686" i="2"/>
  <c r="S4685" i="2"/>
  <c r="M4685" i="2"/>
  <c r="L4685" i="2"/>
  <c r="K4685" i="2"/>
  <c r="G4685" i="2"/>
  <c r="E4685" i="2"/>
  <c r="B4685" i="2"/>
  <c r="S4684" i="2"/>
  <c r="M4684" i="2"/>
  <c r="L4684" i="2"/>
  <c r="K4684" i="2"/>
  <c r="G4684" i="2"/>
  <c r="E4684" i="2"/>
  <c r="B4684" i="2"/>
  <c r="S4683" i="2"/>
  <c r="M4683" i="2"/>
  <c r="L4683" i="2"/>
  <c r="K4683" i="2"/>
  <c r="G4683" i="2"/>
  <c r="E4683" i="2"/>
  <c r="B4683" i="2"/>
  <c r="S4682" i="2"/>
  <c r="M4682" i="2"/>
  <c r="L4682" i="2"/>
  <c r="K4682" i="2"/>
  <c r="G4682" i="2"/>
  <c r="E4682" i="2"/>
  <c r="B4682" i="2"/>
  <c r="S4681" i="2"/>
  <c r="M4681" i="2"/>
  <c r="L4681" i="2"/>
  <c r="K4681" i="2"/>
  <c r="G4681" i="2"/>
  <c r="E4681" i="2"/>
  <c r="B4681" i="2"/>
  <c r="S4680" i="2"/>
  <c r="M4680" i="2"/>
  <c r="L4680" i="2"/>
  <c r="K4680" i="2"/>
  <c r="G4680" i="2"/>
  <c r="E4680" i="2"/>
  <c r="B4680" i="2"/>
  <c r="S4679" i="2"/>
  <c r="M4679" i="2"/>
  <c r="L4679" i="2"/>
  <c r="K4679" i="2"/>
  <c r="G4679" i="2"/>
  <c r="E4679" i="2"/>
  <c r="B4679" i="2"/>
  <c r="S4678" i="2"/>
  <c r="M4678" i="2"/>
  <c r="L4678" i="2"/>
  <c r="K4678" i="2"/>
  <c r="G4678" i="2"/>
  <c r="E4678" i="2"/>
  <c r="B4678" i="2"/>
  <c r="S4677" i="2"/>
  <c r="M4677" i="2"/>
  <c r="L4677" i="2"/>
  <c r="K4677" i="2"/>
  <c r="G4677" i="2"/>
  <c r="E4677" i="2"/>
  <c r="B4677" i="2"/>
  <c r="S4676" i="2"/>
  <c r="M4676" i="2"/>
  <c r="L4676" i="2"/>
  <c r="K4676" i="2"/>
  <c r="G4676" i="2"/>
  <c r="E4676" i="2"/>
  <c r="B4676" i="2"/>
  <c r="S4675" i="2"/>
  <c r="M4675" i="2"/>
  <c r="L4675" i="2"/>
  <c r="K4675" i="2"/>
  <c r="G4675" i="2"/>
  <c r="E4675" i="2"/>
  <c r="B4675" i="2"/>
  <c r="S4674" i="2"/>
  <c r="M4674" i="2"/>
  <c r="L4674" i="2"/>
  <c r="K4674" i="2"/>
  <c r="G4674" i="2"/>
  <c r="E4674" i="2"/>
  <c r="B4674" i="2"/>
  <c r="S4673" i="2"/>
  <c r="M4673" i="2"/>
  <c r="L4673" i="2"/>
  <c r="K4673" i="2"/>
  <c r="G4673" i="2"/>
  <c r="E4673" i="2"/>
  <c r="B4673" i="2"/>
  <c r="S4672" i="2"/>
  <c r="M4672" i="2"/>
  <c r="L4672" i="2"/>
  <c r="K4672" i="2"/>
  <c r="G4672" i="2"/>
  <c r="E4672" i="2"/>
  <c r="B4672" i="2"/>
  <c r="S4671" i="2"/>
  <c r="M4671" i="2"/>
  <c r="L4671" i="2"/>
  <c r="K4671" i="2"/>
  <c r="G4671" i="2"/>
  <c r="E4671" i="2"/>
  <c r="B4671" i="2"/>
  <c r="S4670" i="2"/>
  <c r="M4670" i="2"/>
  <c r="L4670" i="2"/>
  <c r="K4670" i="2"/>
  <c r="G4670" i="2"/>
  <c r="E4670" i="2"/>
  <c r="B4670" i="2"/>
  <c r="S4669" i="2"/>
  <c r="M4669" i="2"/>
  <c r="L4669" i="2"/>
  <c r="K4669" i="2"/>
  <c r="G4669" i="2"/>
  <c r="E4669" i="2"/>
  <c r="B4669" i="2"/>
  <c r="S4668" i="2"/>
  <c r="M4668" i="2"/>
  <c r="L4668" i="2"/>
  <c r="K4668" i="2"/>
  <c r="G4668" i="2"/>
  <c r="E4668" i="2"/>
  <c r="B4668" i="2"/>
  <c r="S4667" i="2"/>
  <c r="M4667" i="2"/>
  <c r="L4667" i="2"/>
  <c r="K4667" i="2"/>
  <c r="G4667" i="2"/>
  <c r="E4667" i="2"/>
  <c r="B4667" i="2"/>
  <c r="S4666" i="2"/>
  <c r="M4666" i="2"/>
  <c r="L4666" i="2"/>
  <c r="K4666" i="2"/>
  <c r="G4666" i="2"/>
  <c r="E4666" i="2"/>
  <c r="B4666" i="2"/>
  <c r="S4665" i="2"/>
  <c r="M4665" i="2"/>
  <c r="L4665" i="2"/>
  <c r="K4665" i="2"/>
  <c r="G4665" i="2"/>
  <c r="E4665" i="2"/>
  <c r="B4665" i="2"/>
  <c r="S4664" i="2"/>
  <c r="M4664" i="2"/>
  <c r="L4664" i="2"/>
  <c r="K4664" i="2"/>
  <c r="G4664" i="2"/>
  <c r="E4664" i="2"/>
  <c r="B4664" i="2"/>
  <c r="S4663" i="2"/>
  <c r="M4663" i="2"/>
  <c r="L4663" i="2"/>
  <c r="K4663" i="2"/>
  <c r="G4663" i="2"/>
  <c r="E4663" i="2"/>
  <c r="B4663" i="2"/>
  <c r="S4662" i="2"/>
  <c r="M4662" i="2"/>
  <c r="L4662" i="2"/>
  <c r="K4662" i="2"/>
  <c r="G4662" i="2"/>
  <c r="E4662" i="2"/>
  <c r="B4662" i="2"/>
  <c r="S4661" i="2"/>
  <c r="M4661" i="2"/>
  <c r="L4661" i="2"/>
  <c r="K4661" i="2"/>
  <c r="G4661" i="2"/>
  <c r="E4661" i="2"/>
  <c r="B4661" i="2"/>
  <c r="S4660" i="2"/>
  <c r="M4660" i="2"/>
  <c r="L4660" i="2"/>
  <c r="K4660" i="2"/>
  <c r="G4660" i="2"/>
  <c r="E4660" i="2"/>
  <c r="B4660" i="2"/>
  <c r="S4659" i="2"/>
  <c r="M4659" i="2"/>
  <c r="L4659" i="2"/>
  <c r="K4659" i="2"/>
  <c r="G4659" i="2"/>
  <c r="E4659" i="2"/>
  <c r="B4659" i="2"/>
  <c r="S4658" i="2"/>
  <c r="M4658" i="2"/>
  <c r="L4658" i="2"/>
  <c r="K4658" i="2"/>
  <c r="G4658" i="2"/>
  <c r="E4658" i="2"/>
  <c r="B4658" i="2"/>
  <c r="S4657" i="2"/>
  <c r="M4657" i="2"/>
  <c r="L4657" i="2"/>
  <c r="K4657" i="2"/>
  <c r="G4657" i="2"/>
  <c r="E4657" i="2"/>
  <c r="B4657" i="2"/>
  <c r="S4656" i="2"/>
  <c r="M4656" i="2"/>
  <c r="L4656" i="2"/>
  <c r="K4656" i="2"/>
  <c r="G4656" i="2"/>
  <c r="E4656" i="2"/>
  <c r="B4656" i="2"/>
  <c r="S4655" i="2"/>
  <c r="M4655" i="2"/>
  <c r="L4655" i="2"/>
  <c r="K4655" i="2"/>
  <c r="G4655" i="2"/>
  <c r="E4655" i="2"/>
  <c r="B4655" i="2"/>
  <c r="S4654" i="2"/>
  <c r="M4654" i="2"/>
  <c r="L4654" i="2"/>
  <c r="K4654" i="2"/>
  <c r="G4654" i="2"/>
  <c r="E4654" i="2"/>
  <c r="B4654" i="2"/>
  <c r="S4653" i="2"/>
  <c r="M4653" i="2"/>
  <c r="L4653" i="2"/>
  <c r="K4653" i="2"/>
  <c r="G4653" i="2"/>
  <c r="E4653" i="2"/>
  <c r="B4653" i="2"/>
  <c r="S4652" i="2"/>
  <c r="M4652" i="2"/>
  <c r="L4652" i="2"/>
  <c r="K4652" i="2"/>
  <c r="G4652" i="2"/>
  <c r="E4652" i="2"/>
  <c r="B4652" i="2"/>
  <c r="S4651" i="2"/>
  <c r="M4651" i="2"/>
  <c r="L4651" i="2"/>
  <c r="K4651" i="2"/>
  <c r="G4651" i="2"/>
  <c r="E4651" i="2"/>
  <c r="B4651" i="2"/>
  <c r="S4650" i="2"/>
  <c r="M4650" i="2"/>
  <c r="L4650" i="2"/>
  <c r="K4650" i="2"/>
  <c r="G4650" i="2"/>
  <c r="E4650" i="2"/>
  <c r="B4650" i="2"/>
  <c r="S4649" i="2"/>
  <c r="M4649" i="2"/>
  <c r="L4649" i="2"/>
  <c r="K4649" i="2"/>
  <c r="G4649" i="2"/>
  <c r="E4649" i="2"/>
  <c r="B4649" i="2"/>
  <c r="S4648" i="2"/>
  <c r="M4648" i="2"/>
  <c r="L4648" i="2"/>
  <c r="K4648" i="2"/>
  <c r="G4648" i="2"/>
  <c r="E4648" i="2"/>
  <c r="B4648" i="2"/>
  <c r="S4647" i="2"/>
  <c r="M4647" i="2"/>
  <c r="L4647" i="2"/>
  <c r="K4647" i="2"/>
  <c r="G4647" i="2"/>
  <c r="E4647" i="2"/>
  <c r="B4647" i="2"/>
  <c r="S4646" i="2"/>
  <c r="M4646" i="2"/>
  <c r="L4646" i="2"/>
  <c r="K4646" i="2"/>
  <c r="G4646" i="2"/>
  <c r="E4646" i="2"/>
  <c r="B4646" i="2"/>
  <c r="S4645" i="2"/>
  <c r="M4645" i="2"/>
  <c r="L4645" i="2"/>
  <c r="K4645" i="2"/>
  <c r="G4645" i="2"/>
  <c r="E4645" i="2"/>
  <c r="B4645" i="2"/>
  <c r="S4644" i="2"/>
  <c r="M4644" i="2"/>
  <c r="L4644" i="2"/>
  <c r="K4644" i="2"/>
  <c r="G4644" i="2"/>
  <c r="E4644" i="2"/>
  <c r="B4644" i="2"/>
  <c r="S4643" i="2"/>
  <c r="M4643" i="2"/>
  <c r="L4643" i="2"/>
  <c r="K4643" i="2"/>
  <c r="G4643" i="2"/>
  <c r="E4643" i="2"/>
  <c r="B4643" i="2"/>
  <c r="S4642" i="2"/>
  <c r="M4642" i="2"/>
  <c r="L4642" i="2"/>
  <c r="K4642" i="2"/>
  <c r="G4642" i="2"/>
  <c r="E4642" i="2"/>
  <c r="B4642" i="2"/>
  <c r="S4641" i="2"/>
  <c r="M4641" i="2"/>
  <c r="L4641" i="2"/>
  <c r="K4641" i="2"/>
  <c r="G4641" i="2"/>
  <c r="E4641" i="2"/>
  <c r="B4641" i="2"/>
  <c r="S4640" i="2"/>
  <c r="M4640" i="2"/>
  <c r="L4640" i="2"/>
  <c r="K4640" i="2"/>
  <c r="G4640" i="2"/>
  <c r="E4640" i="2"/>
  <c r="B4640" i="2"/>
  <c r="S4639" i="2"/>
  <c r="M4639" i="2"/>
  <c r="L4639" i="2"/>
  <c r="K4639" i="2"/>
  <c r="G4639" i="2"/>
  <c r="E4639" i="2"/>
  <c r="B4639" i="2"/>
  <c r="S4638" i="2"/>
  <c r="M4638" i="2"/>
  <c r="L4638" i="2"/>
  <c r="K4638" i="2"/>
  <c r="G4638" i="2"/>
  <c r="E4638" i="2"/>
  <c r="B4638" i="2"/>
  <c r="S4637" i="2"/>
  <c r="M4637" i="2"/>
  <c r="L4637" i="2"/>
  <c r="K4637" i="2"/>
  <c r="G4637" i="2"/>
  <c r="E4637" i="2"/>
  <c r="B4637" i="2"/>
  <c r="S4636" i="2"/>
  <c r="M4636" i="2"/>
  <c r="L4636" i="2"/>
  <c r="K4636" i="2"/>
  <c r="G4636" i="2"/>
  <c r="E4636" i="2"/>
  <c r="B4636" i="2"/>
  <c r="S4635" i="2"/>
  <c r="M4635" i="2"/>
  <c r="L4635" i="2"/>
  <c r="K4635" i="2"/>
  <c r="G4635" i="2"/>
  <c r="E4635" i="2"/>
  <c r="B4635" i="2"/>
  <c r="S4634" i="2"/>
  <c r="M4634" i="2"/>
  <c r="L4634" i="2"/>
  <c r="K4634" i="2"/>
  <c r="G4634" i="2"/>
  <c r="E4634" i="2"/>
  <c r="B4634" i="2"/>
  <c r="S4633" i="2"/>
  <c r="M4633" i="2"/>
  <c r="L4633" i="2"/>
  <c r="K4633" i="2"/>
  <c r="G4633" i="2"/>
  <c r="E4633" i="2"/>
  <c r="B4633" i="2"/>
  <c r="S4632" i="2"/>
  <c r="M4632" i="2"/>
  <c r="L4632" i="2"/>
  <c r="K4632" i="2"/>
  <c r="G4632" i="2"/>
  <c r="E4632" i="2"/>
  <c r="B4632" i="2"/>
  <c r="S4631" i="2"/>
  <c r="M4631" i="2"/>
  <c r="L4631" i="2"/>
  <c r="K4631" i="2"/>
  <c r="G4631" i="2"/>
  <c r="E4631" i="2"/>
  <c r="B4631" i="2"/>
  <c r="S4630" i="2"/>
  <c r="M4630" i="2"/>
  <c r="L4630" i="2"/>
  <c r="K4630" i="2"/>
  <c r="G4630" i="2"/>
  <c r="E4630" i="2"/>
  <c r="B4630" i="2"/>
  <c r="S4629" i="2"/>
  <c r="M4629" i="2"/>
  <c r="L4629" i="2"/>
  <c r="K4629" i="2"/>
  <c r="G4629" i="2"/>
  <c r="E4629" i="2"/>
  <c r="B4629" i="2"/>
  <c r="S4628" i="2"/>
  <c r="M4628" i="2"/>
  <c r="L4628" i="2"/>
  <c r="K4628" i="2"/>
  <c r="G4628" i="2"/>
  <c r="E4628" i="2"/>
  <c r="B4628" i="2"/>
  <c r="S4627" i="2"/>
  <c r="M4627" i="2"/>
  <c r="L4627" i="2"/>
  <c r="K4627" i="2"/>
  <c r="G4627" i="2"/>
  <c r="E4627" i="2"/>
  <c r="B4627" i="2"/>
  <c r="S4626" i="2"/>
  <c r="M4626" i="2"/>
  <c r="L4626" i="2"/>
  <c r="K4626" i="2"/>
  <c r="G4626" i="2"/>
  <c r="E4626" i="2"/>
  <c r="B4626" i="2"/>
  <c r="S4625" i="2"/>
  <c r="M4625" i="2"/>
  <c r="L4625" i="2"/>
  <c r="K4625" i="2"/>
  <c r="G4625" i="2"/>
  <c r="E4625" i="2"/>
  <c r="B4625" i="2"/>
  <c r="S4624" i="2"/>
  <c r="M4624" i="2"/>
  <c r="L4624" i="2"/>
  <c r="K4624" i="2"/>
  <c r="G4624" i="2"/>
  <c r="E4624" i="2"/>
  <c r="B4624" i="2"/>
  <c r="S4623" i="2"/>
  <c r="M4623" i="2"/>
  <c r="L4623" i="2"/>
  <c r="K4623" i="2"/>
  <c r="G4623" i="2"/>
  <c r="E4623" i="2"/>
  <c r="B4623" i="2"/>
  <c r="S4622" i="2"/>
  <c r="M4622" i="2"/>
  <c r="L4622" i="2"/>
  <c r="K4622" i="2"/>
  <c r="G4622" i="2"/>
  <c r="E4622" i="2"/>
  <c r="B4622" i="2"/>
  <c r="S4621" i="2"/>
  <c r="M4621" i="2"/>
  <c r="L4621" i="2"/>
  <c r="K4621" i="2"/>
  <c r="G4621" i="2"/>
  <c r="E4621" i="2"/>
  <c r="B4621" i="2"/>
  <c r="S4620" i="2"/>
  <c r="M4620" i="2"/>
  <c r="L4620" i="2"/>
  <c r="K4620" i="2"/>
  <c r="G4620" i="2"/>
  <c r="E4620" i="2"/>
  <c r="B4620" i="2"/>
  <c r="S4619" i="2"/>
  <c r="M4619" i="2"/>
  <c r="L4619" i="2"/>
  <c r="K4619" i="2"/>
  <c r="G4619" i="2"/>
  <c r="E4619" i="2"/>
  <c r="B4619" i="2"/>
  <c r="S4618" i="2"/>
  <c r="M4618" i="2"/>
  <c r="L4618" i="2"/>
  <c r="K4618" i="2"/>
  <c r="G4618" i="2"/>
  <c r="E4618" i="2"/>
  <c r="B4618" i="2"/>
  <c r="S4617" i="2"/>
  <c r="M4617" i="2"/>
  <c r="L4617" i="2"/>
  <c r="K4617" i="2"/>
  <c r="G4617" i="2"/>
  <c r="E4617" i="2"/>
  <c r="B4617" i="2"/>
  <c r="S4616" i="2"/>
  <c r="M4616" i="2"/>
  <c r="L4616" i="2"/>
  <c r="K4616" i="2"/>
  <c r="G4616" i="2"/>
  <c r="E4616" i="2"/>
  <c r="B4616" i="2"/>
  <c r="S4615" i="2"/>
  <c r="M4615" i="2"/>
  <c r="L4615" i="2"/>
  <c r="K4615" i="2"/>
  <c r="G4615" i="2"/>
  <c r="E4615" i="2"/>
  <c r="B4615" i="2"/>
  <c r="S4614" i="2"/>
  <c r="M4614" i="2"/>
  <c r="L4614" i="2"/>
  <c r="K4614" i="2"/>
  <c r="G4614" i="2"/>
  <c r="E4614" i="2"/>
  <c r="B4614" i="2"/>
  <c r="S4613" i="2"/>
  <c r="M4613" i="2"/>
  <c r="L4613" i="2"/>
  <c r="K4613" i="2"/>
  <c r="G4613" i="2"/>
  <c r="E4613" i="2"/>
  <c r="B4613" i="2"/>
  <c r="S4612" i="2"/>
  <c r="M4612" i="2"/>
  <c r="L4612" i="2"/>
  <c r="K4612" i="2"/>
  <c r="G4612" i="2"/>
  <c r="E4612" i="2"/>
  <c r="B4612" i="2"/>
  <c r="S4611" i="2"/>
  <c r="M4611" i="2"/>
  <c r="L4611" i="2"/>
  <c r="K4611" i="2"/>
  <c r="G4611" i="2"/>
  <c r="E4611" i="2"/>
  <c r="B4611" i="2"/>
  <c r="S4610" i="2"/>
  <c r="M4610" i="2"/>
  <c r="L4610" i="2"/>
  <c r="K4610" i="2"/>
  <c r="G4610" i="2"/>
  <c r="E4610" i="2"/>
  <c r="B4610" i="2"/>
  <c r="S4609" i="2"/>
  <c r="M4609" i="2"/>
  <c r="L4609" i="2"/>
  <c r="K4609" i="2"/>
  <c r="G4609" i="2"/>
  <c r="E4609" i="2"/>
  <c r="B4609" i="2"/>
  <c r="S4608" i="2"/>
  <c r="M4608" i="2"/>
  <c r="L4608" i="2"/>
  <c r="K4608" i="2"/>
  <c r="G4608" i="2"/>
  <c r="E4608" i="2"/>
  <c r="B4608" i="2"/>
  <c r="S4607" i="2"/>
  <c r="M4607" i="2"/>
  <c r="L4607" i="2"/>
  <c r="K4607" i="2"/>
  <c r="G4607" i="2"/>
  <c r="E4607" i="2"/>
  <c r="B4607" i="2"/>
  <c r="S4606" i="2"/>
  <c r="M4606" i="2"/>
  <c r="L4606" i="2"/>
  <c r="K4606" i="2"/>
  <c r="G4606" i="2"/>
  <c r="E4606" i="2"/>
  <c r="B4606" i="2"/>
  <c r="S4605" i="2"/>
  <c r="M4605" i="2"/>
  <c r="L4605" i="2"/>
  <c r="K4605" i="2"/>
  <c r="G4605" i="2"/>
  <c r="E4605" i="2"/>
  <c r="B4605" i="2"/>
  <c r="S4604" i="2"/>
  <c r="M4604" i="2"/>
  <c r="L4604" i="2"/>
  <c r="K4604" i="2"/>
  <c r="G4604" i="2"/>
  <c r="E4604" i="2"/>
  <c r="B4604" i="2"/>
  <c r="S4603" i="2"/>
  <c r="M4603" i="2"/>
  <c r="L4603" i="2"/>
  <c r="K4603" i="2"/>
  <c r="G4603" i="2"/>
  <c r="E4603" i="2"/>
  <c r="B4603" i="2"/>
  <c r="S4602" i="2"/>
  <c r="M4602" i="2"/>
  <c r="L4602" i="2"/>
  <c r="K4602" i="2"/>
  <c r="G4602" i="2"/>
  <c r="E4602" i="2"/>
  <c r="B4602" i="2"/>
  <c r="S4601" i="2"/>
  <c r="M4601" i="2"/>
  <c r="L4601" i="2"/>
  <c r="K4601" i="2"/>
  <c r="G4601" i="2"/>
  <c r="E4601" i="2"/>
  <c r="B4601" i="2"/>
  <c r="S4600" i="2"/>
  <c r="M4600" i="2"/>
  <c r="L4600" i="2"/>
  <c r="K4600" i="2"/>
  <c r="G4600" i="2"/>
  <c r="E4600" i="2"/>
  <c r="B4600" i="2"/>
  <c r="S4599" i="2"/>
  <c r="M4599" i="2"/>
  <c r="L4599" i="2"/>
  <c r="K4599" i="2"/>
  <c r="G4599" i="2"/>
  <c r="E4599" i="2"/>
  <c r="B4599" i="2"/>
  <c r="S4598" i="2"/>
  <c r="M4598" i="2"/>
  <c r="L4598" i="2"/>
  <c r="K4598" i="2"/>
  <c r="G4598" i="2"/>
  <c r="E4598" i="2"/>
  <c r="B4598" i="2"/>
  <c r="S4597" i="2"/>
  <c r="M4597" i="2"/>
  <c r="L4597" i="2"/>
  <c r="K4597" i="2"/>
  <c r="G4597" i="2"/>
  <c r="E4597" i="2"/>
  <c r="B4597" i="2"/>
  <c r="S4596" i="2"/>
  <c r="M4596" i="2"/>
  <c r="L4596" i="2"/>
  <c r="K4596" i="2"/>
  <c r="G4596" i="2"/>
  <c r="E4596" i="2"/>
  <c r="B4596" i="2"/>
  <c r="S4595" i="2"/>
  <c r="M4595" i="2"/>
  <c r="L4595" i="2"/>
  <c r="K4595" i="2"/>
  <c r="G4595" i="2"/>
  <c r="E4595" i="2"/>
  <c r="B4595" i="2"/>
  <c r="S4594" i="2"/>
  <c r="M4594" i="2"/>
  <c r="L4594" i="2"/>
  <c r="K4594" i="2"/>
  <c r="G4594" i="2"/>
  <c r="E4594" i="2"/>
  <c r="B4594" i="2"/>
  <c r="S4593" i="2"/>
  <c r="M4593" i="2"/>
  <c r="L4593" i="2"/>
  <c r="K4593" i="2"/>
  <c r="G4593" i="2"/>
  <c r="E4593" i="2"/>
  <c r="B4593" i="2"/>
  <c r="S4592" i="2"/>
  <c r="M4592" i="2"/>
  <c r="L4592" i="2"/>
  <c r="K4592" i="2"/>
  <c r="G4592" i="2"/>
  <c r="E4592" i="2"/>
  <c r="B4592" i="2"/>
  <c r="S4591" i="2"/>
  <c r="M4591" i="2"/>
  <c r="L4591" i="2"/>
  <c r="K4591" i="2"/>
  <c r="G4591" i="2"/>
  <c r="E4591" i="2"/>
  <c r="B4591" i="2"/>
  <c r="S4590" i="2"/>
  <c r="M4590" i="2"/>
  <c r="L4590" i="2"/>
  <c r="K4590" i="2"/>
  <c r="G4590" i="2"/>
  <c r="E4590" i="2"/>
  <c r="B4590" i="2"/>
  <c r="S4589" i="2"/>
  <c r="M4589" i="2"/>
  <c r="L4589" i="2"/>
  <c r="K4589" i="2"/>
  <c r="G4589" i="2"/>
  <c r="E4589" i="2"/>
  <c r="B4589" i="2"/>
  <c r="S4588" i="2"/>
  <c r="M4588" i="2"/>
  <c r="L4588" i="2"/>
  <c r="K4588" i="2"/>
  <c r="G4588" i="2"/>
  <c r="E4588" i="2"/>
  <c r="B4588" i="2"/>
  <c r="S4587" i="2"/>
  <c r="M4587" i="2"/>
  <c r="L4587" i="2"/>
  <c r="K4587" i="2"/>
  <c r="G4587" i="2"/>
  <c r="E4587" i="2"/>
  <c r="B4587" i="2"/>
  <c r="S4586" i="2"/>
  <c r="M4586" i="2"/>
  <c r="L4586" i="2"/>
  <c r="K4586" i="2"/>
  <c r="G4586" i="2"/>
  <c r="E4586" i="2"/>
  <c r="B4586" i="2"/>
  <c r="S4585" i="2"/>
  <c r="M4585" i="2"/>
  <c r="L4585" i="2"/>
  <c r="K4585" i="2"/>
  <c r="G4585" i="2"/>
  <c r="E4585" i="2"/>
  <c r="B4585" i="2"/>
  <c r="S4584" i="2"/>
  <c r="M4584" i="2"/>
  <c r="L4584" i="2"/>
  <c r="K4584" i="2"/>
  <c r="G4584" i="2"/>
  <c r="E4584" i="2"/>
  <c r="B4584" i="2"/>
  <c r="S4583" i="2"/>
  <c r="M4583" i="2"/>
  <c r="L4583" i="2"/>
  <c r="K4583" i="2"/>
  <c r="G4583" i="2"/>
  <c r="E4583" i="2"/>
  <c r="B4583" i="2"/>
  <c r="S4582" i="2"/>
  <c r="M4582" i="2"/>
  <c r="L4582" i="2"/>
  <c r="K4582" i="2"/>
  <c r="G4582" i="2"/>
  <c r="E4582" i="2"/>
  <c r="B4582" i="2"/>
  <c r="S4581" i="2"/>
  <c r="M4581" i="2"/>
  <c r="L4581" i="2"/>
  <c r="K4581" i="2"/>
  <c r="G4581" i="2"/>
  <c r="E4581" i="2"/>
  <c r="B4581" i="2"/>
  <c r="S4580" i="2"/>
  <c r="M4580" i="2"/>
  <c r="L4580" i="2"/>
  <c r="K4580" i="2"/>
  <c r="G4580" i="2"/>
  <c r="E4580" i="2"/>
  <c r="B4580" i="2"/>
  <c r="S4579" i="2"/>
  <c r="M4579" i="2"/>
  <c r="L4579" i="2"/>
  <c r="K4579" i="2"/>
  <c r="G4579" i="2"/>
  <c r="E4579" i="2"/>
  <c r="B4579" i="2"/>
  <c r="S4578" i="2"/>
  <c r="M4578" i="2"/>
  <c r="L4578" i="2"/>
  <c r="K4578" i="2"/>
  <c r="G4578" i="2"/>
  <c r="E4578" i="2"/>
  <c r="B4578" i="2"/>
  <c r="S4577" i="2"/>
  <c r="M4577" i="2"/>
  <c r="L4577" i="2"/>
  <c r="K4577" i="2"/>
  <c r="G4577" i="2"/>
  <c r="E4577" i="2"/>
  <c r="B4577" i="2"/>
  <c r="S4576" i="2"/>
  <c r="M4576" i="2"/>
  <c r="L4576" i="2"/>
  <c r="K4576" i="2"/>
  <c r="G4576" i="2"/>
  <c r="E4576" i="2"/>
  <c r="B4576" i="2"/>
  <c r="S4573" i="2"/>
  <c r="M4573" i="2"/>
  <c r="L4573" i="2"/>
  <c r="K4573" i="2"/>
  <c r="G4573" i="2"/>
  <c r="E4573" i="2"/>
  <c r="B4573" i="2"/>
  <c r="S4572" i="2"/>
  <c r="M4572" i="2"/>
  <c r="L4572" i="2"/>
  <c r="K4572" i="2"/>
  <c r="G4572" i="2"/>
  <c r="E4572" i="2"/>
  <c r="B4572" i="2"/>
  <c r="S4571" i="2"/>
  <c r="M4571" i="2"/>
  <c r="L4571" i="2"/>
  <c r="K4571" i="2"/>
  <c r="G4571" i="2"/>
  <c r="E4571" i="2"/>
  <c r="B4571" i="2"/>
  <c r="S4570" i="2"/>
  <c r="M4570" i="2"/>
  <c r="L4570" i="2"/>
  <c r="K4570" i="2"/>
  <c r="G4570" i="2"/>
  <c r="E4570" i="2"/>
  <c r="B4570" i="2"/>
  <c r="S4569" i="2"/>
  <c r="M4569" i="2"/>
  <c r="L4569" i="2"/>
  <c r="K4569" i="2"/>
  <c r="G4569" i="2"/>
  <c r="E4569" i="2"/>
  <c r="B4569" i="2"/>
  <c r="S4568" i="2"/>
  <c r="M4568" i="2"/>
  <c r="L4568" i="2"/>
  <c r="K4568" i="2"/>
  <c r="G4568" i="2"/>
  <c r="E4568" i="2"/>
  <c r="B4568" i="2"/>
  <c r="S4567" i="2"/>
  <c r="M4567" i="2"/>
  <c r="L4567" i="2"/>
  <c r="K4567" i="2"/>
  <c r="G4567" i="2"/>
  <c r="E4567" i="2"/>
  <c r="B4567" i="2"/>
  <c r="S4566" i="2"/>
  <c r="M4566" i="2"/>
  <c r="L4566" i="2"/>
  <c r="K4566" i="2"/>
  <c r="G4566" i="2"/>
  <c r="E4566" i="2"/>
  <c r="B4566" i="2"/>
  <c r="S4565" i="2"/>
  <c r="M4565" i="2"/>
  <c r="L4565" i="2"/>
  <c r="K4565" i="2"/>
  <c r="G4565" i="2"/>
  <c r="E4565" i="2"/>
  <c r="B4565" i="2"/>
  <c r="S4564" i="2"/>
  <c r="M4564" i="2"/>
  <c r="L4564" i="2"/>
  <c r="K4564" i="2"/>
  <c r="G4564" i="2"/>
  <c r="E4564" i="2"/>
  <c r="B4564" i="2"/>
  <c r="S4563" i="2"/>
  <c r="M4563" i="2"/>
  <c r="L4563" i="2"/>
  <c r="K4563" i="2"/>
  <c r="G4563" i="2"/>
  <c r="E4563" i="2"/>
  <c r="B4563" i="2"/>
  <c r="S4562" i="2"/>
  <c r="M4562" i="2"/>
  <c r="L4562" i="2"/>
  <c r="K4562" i="2"/>
  <c r="G4562" i="2"/>
  <c r="E4562" i="2"/>
  <c r="B4562" i="2"/>
  <c r="S4561" i="2"/>
  <c r="M4561" i="2"/>
  <c r="L4561" i="2"/>
  <c r="K4561" i="2"/>
  <c r="G4561" i="2"/>
  <c r="E4561" i="2"/>
  <c r="B4561" i="2"/>
  <c r="S4560" i="2"/>
  <c r="M4560" i="2"/>
  <c r="L4560" i="2"/>
  <c r="K4560" i="2"/>
  <c r="G4560" i="2"/>
  <c r="E4560" i="2"/>
  <c r="B4560" i="2"/>
  <c r="S4559" i="2"/>
  <c r="M4559" i="2"/>
  <c r="L4559" i="2"/>
  <c r="K4559" i="2"/>
  <c r="G4559" i="2"/>
  <c r="E4559" i="2"/>
  <c r="B4559" i="2"/>
  <c r="S4558" i="2"/>
  <c r="M4558" i="2"/>
  <c r="L4558" i="2"/>
  <c r="K4558" i="2"/>
  <c r="G4558" i="2"/>
  <c r="E4558" i="2"/>
  <c r="B4558" i="2"/>
  <c r="S4557" i="2"/>
  <c r="M4557" i="2"/>
  <c r="L4557" i="2"/>
  <c r="K4557" i="2"/>
  <c r="G4557" i="2"/>
  <c r="E4557" i="2"/>
  <c r="B4557" i="2"/>
  <c r="S4556" i="2"/>
  <c r="M4556" i="2"/>
  <c r="L4556" i="2"/>
  <c r="K4556" i="2"/>
  <c r="G4556" i="2"/>
  <c r="E4556" i="2"/>
  <c r="B4556" i="2"/>
  <c r="S4555" i="2"/>
  <c r="M4555" i="2"/>
  <c r="L4555" i="2"/>
  <c r="K4555" i="2"/>
  <c r="G4555" i="2"/>
  <c r="E4555" i="2"/>
  <c r="B4555" i="2"/>
  <c r="S4554" i="2"/>
  <c r="M4554" i="2"/>
  <c r="L4554" i="2"/>
  <c r="K4554" i="2"/>
  <c r="G4554" i="2"/>
  <c r="E4554" i="2"/>
  <c r="B4554" i="2"/>
  <c r="S4553" i="2"/>
  <c r="M4553" i="2"/>
  <c r="L4553" i="2"/>
  <c r="K4553" i="2"/>
  <c r="G4553" i="2"/>
  <c r="E4553" i="2"/>
  <c r="B4553" i="2"/>
  <c r="S4552" i="2"/>
  <c r="M4552" i="2"/>
  <c r="L4552" i="2"/>
  <c r="K4552" i="2"/>
  <c r="G4552" i="2"/>
  <c r="E4552" i="2"/>
  <c r="B4552" i="2"/>
  <c r="S4551" i="2"/>
  <c r="M4551" i="2"/>
  <c r="L4551" i="2"/>
  <c r="K4551" i="2"/>
  <c r="G4551" i="2"/>
  <c r="E4551" i="2"/>
  <c r="B4551" i="2"/>
  <c r="S4550" i="2"/>
  <c r="M4550" i="2"/>
  <c r="L4550" i="2"/>
  <c r="K4550" i="2"/>
  <c r="G4550" i="2"/>
  <c r="E4550" i="2"/>
  <c r="B4550" i="2"/>
  <c r="S4549" i="2"/>
  <c r="M4549" i="2"/>
  <c r="L4549" i="2"/>
  <c r="K4549" i="2"/>
  <c r="G4549" i="2"/>
  <c r="E4549" i="2"/>
  <c r="B4549" i="2"/>
  <c r="S4548" i="2"/>
  <c r="M4548" i="2"/>
  <c r="L4548" i="2"/>
  <c r="K4548" i="2"/>
  <c r="G4548" i="2"/>
  <c r="E4548" i="2"/>
  <c r="B4548" i="2"/>
  <c r="S4547" i="2"/>
  <c r="M4547" i="2"/>
  <c r="L4547" i="2"/>
  <c r="K4547" i="2"/>
  <c r="G4547" i="2"/>
  <c r="E4547" i="2"/>
  <c r="B4547" i="2"/>
  <c r="S4546" i="2"/>
  <c r="M4546" i="2"/>
  <c r="L4546" i="2"/>
  <c r="K4546" i="2"/>
  <c r="G4546" i="2"/>
  <c r="E4546" i="2"/>
  <c r="B4546" i="2"/>
  <c r="S4545" i="2"/>
  <c r="M4545" i="2"/>
  <c r="L4545" i="2"/>
  <c r="K4545" i="2"/>
  <c r="G4545" i="2"/>
  <c r="E4545" i="2"/>
  <c r="B4545" i="2"/>
  <c r="S4544" i="2"/>
  <c r="M4544" i="2"/>
  <c r="L4544" i="2"/>
  <c r="K4544" i="2"/>
  <c r="G4544" i="2"/>
  <c r="E4544" i="2"/>
  <c r="B4544" i="2"/>
  <c r="S4543" i="2"/>
  <c r="M4543" i="2"/>
  <c r="L4543" i="2"/>
  <c r="K4543" i="2"/>
  <c r="G4543" i="2"/>
  <c r="E4543" i="2"/>
  <c r="B4543" i="2"/>
  <c r="S4542" i="2"/>
  <c r="M4542" i="2"/>
  <c r="L4542" i="2"/>
  <c r="K4542" i="2"/>
  <c r="G4542" i="2"/>
  <c r="E4542" i="2"/>
  <c r="B4542" i="2"/>
  <c r="S4541" i="2"/>
  <c r="M4541" i="2"/>
  <c r="L4541" i="2"/>
  <c r="K4541" i="2"/>
  <c r="G4541" i="2"/>
  <c r="E4541" i="2"/>
  <c r="B4541" i="2"/>
  <c r="S4540" i="2"/>
  <c r="M4540" i="2"/>
  <c r="L4540" i="2"/>
  <c r="K4540" i="2"/>
  <c r="G4540" i="2"/>
  <c r="E4540" i="2"/>
  <c r="B4540" i="2"/>
  <c r="S4539" i="2"/>
  <c r="M4539" i="2"/>
  <c r="L4539" i="2"/>
  <c r="K4539" i="2"/>
  <c r="G4539" i="2"/>
  <c r="E4539" i="2"/>
  <c r="B4539" i="2"/>
  <c r="S4538" i="2"/>
  <c r="M4538" i="2"/>
  <c r="L4538" i="2"/>
  <c r="K4538" i="2"/>
  <c r="G4538" i="2"/>
  <c r="E4538" i="2"/>
  <c r="B4538" i="2"/>
  <c r="S4537" i="2"/>
  <c r="M4537" i="2"/>
  <c r="L4537" i="2"/>
  <c r="K4537" i="2"/>
  <c r="G4537" i="2"/>
  <c r="E4537" i="2"/>
  <c r="B4537" i="2"/>
  <c r="S4536" i="2"/>
  <c r="M4536" i="2"/>
  <c r="L4536" i="2"/>
  <c r="K4536" i="2"/>
  <c r="G4536" i="2"/>
  <c r="E4536" i="2"/>
  <c r="B4536" i="2"/>
  <c r="S4535" i="2"/>
  <c r="M4535" i="2"/>
  <c r="L4535" i="2"/>
  <c r="K4535" i="2"/>
  <c r="G4535" i="2"/>
  <c r="E4535" i="2"/>
  <c r="B4535" i="2"/>
  <c r="S4534" i="2"/>
  <c r="M4534" i="2"/>
  <c r="L4534" i="2"/>
  <c r="K4534" i="2"/>
  <c r="G4534" i="2"/>
  <c r="E4534" i="2"/>
  <c r="B4534" i="2"/>
  <c r="S4533" i="2"/>
  <c r="M4533" i="2"/>
  <c r="L4533" i="2"/>
  <c r="K4533" i="2"/>
  <c r="G4533" i="2"/>
  <c r="E4533" i="2"/>
  <c r="B4533" i="2"/>
  <c r="S4532" i="2"/>
  <c r="M4532" i="2"/>
  <c r="L4532" i="2"/>
  <c r="K4532" i="2"/>
  <c r="G4532" i="2"/>
  <c r="E4532" i="2"/>
  <c r="B4532" i="2"/>
  <c r="S4531" i="2"/>
  <c r="M4531" i="2"/>
  <c r="L4531" i="2"/>
  <c r="K4531" i="2"/>
  <c r="G4531" i="2"/>
  <c r="E4531" i="2"/>
  <c r="B4531" i="2"/>
  <c r="S4530" i="2"/>
  <c r="M4530" i="2"/>
  <c r="L4530" i="2"/>
  <c r="K4530" i="2"/>
  <c r="G4530" i="2"/>
  <c r="E4530" i="2"/>
  <c r="B4530" i="2"/>
  <c r="S4529" i="2"/>
  <c r="M4529" i="2"/>
  <c r="L4529" i="2"/>
  <c r="K4529" i="2"/>
  <c r="G4529" i="2"/>
  <c r="E4529" i="2"/>
  <c r="B4529" i="2"/>
  <c r="S4528" i="2"/>
  <c r="M4528" i="2"/>
  <c r="L4528" i="2"/>
  <c r="K4528" i="2"/>
  <c r="G4528" i="2"/>
  <c r="E4528" i="2"/>
  <c r="B4528" i="2"/>
  <c r="S4527" i="2"/>
  <c r="M4527" i="2"/>
  <c r="L4527" i="2"/>
  <c r="K4527" i="2"/>
  <c r="G4527" i="2"/>
  <c r="E4527" i="2"/>
  <c r="B4527" i="2"/>
  <c r="S4526" i="2"/>
  <c r="M4526" i="2"/>
  <c r="L4526" i="2"/>
  <c r="K4526" i="2"/>
  <c r="G4526" i="2"/>
  <c r="E4526" i="2"/>
  <c r="B4526" i="2"/>
  <c r="S4525" i="2"/>
  <c r="M4525" i="2"/>
  <c r="L4525" i="2"/>
  <c r="K4525" i="2"/>
  <c r="G4525" i="2"/>
  <c r="E4525" i="2"/>
  <c r="B4525" i="2"/>
  <c r="S4524" i="2"/>
  <c r="M4524" i="2"/>
  <c r="L4524" i="2"/>
  <c r="K4524" i="2"/>
  <c r="G4524" i="2"/>
  <c r="E4524" i="2"/>
  <c r="B4524" i="2"/>
  <c r="S4523" i="2"/>
  <c r="M4523" i="2"/>
  <c r="L4523" i="2"/>
  <c r="K4523" i="2"/>
  <c r="G4523" i="2"/>
  <c r="E4523" i="2"/>
  <c r="B4523" i="2"/>
  <c r="S4522" i="2"/>
  <c r="M4522" i="2"/>
  <c r="L4522" i="2"/>
  <c r="K4522" i="2"/>
  <c r="G4522" i="2"/>
  <c r="E4522" i="2"/>
  <c r="B4522" i="2"/>
  <c r="S4521" i="2"/>
  <c r="M4521" i="2"/>
  <c r="L4521" i="2"/>
  <c r="K4521" i="2"/>
  <c r="G4521" i="2"/>
  <c r="E4521" i="2"/>
  <c r="B4521" i="2"/>
  <c r="S4520" i="2"/>
  <c r="M4520" i="2"/>
  <c r="L4520" i="2"/>
  <c r="K4520" i="2"/>
  <c r="G4520" i="2"/>
  <c r="E4520" i="2"/>
  <c r="B4520" i="2"/>
  <c r="S4519" i="2"/>
  <c r="M4519" i="2"/>
  <c r="L4519" i="2"/>
  <c r="K4519" i="2"/>
  <c r="G4519" i="2"/>
  <c r="E4519" i="2"/>
  <c r="B4519" i="2"/>
  <c r="S4518" i="2"/>
  <c r="M4518" i="2"/>
  <c r="L4518" i="2"/>
  <c r="K4518" i="2"/>
  <c r="G4518" i="2"/>
  <c r="E4518" i="2"/>
  <c r="B4518" i="2"/>
  <c r="S4517" i="2"/>
  <c r="M4517" i="2"/>
  <c r="L4517" i="2"/>
  <c r="K4517" i="2"/>
  <c r="G4517" i="2"/>
  <c r="E4517" i="2"/>
  <c r="B4517" i="2"/>
  <c r="S4516" i="2"/>
  <c r="M4516" i="2"/>
  <c r="L4516" i="2"/>
  <c r="K4516" i="2"/>
  <c r="G4516" i="2"/>
  <c r="E4516" i="2"/>
  <c r="B4516" i="2"/>
  <c r="S4515" i="2"/>
  <c r="M4515" i="2"/>
  <c r="L4515" i="2"/>
  <c r="K4515" i="2"/>
  <c r="G4515" i="2"/>
  <c r="E4515" i="2"/>
  <c r="B4515" i="2"/>
  <c r="S4514" i="2"/>
  <c r="M4514" i="2"/>
  <c r="L4514" i="2"/>
  <c r="K4514" i="2"/>
  <c r="G4514" i="2"/>
  <c r="E4514" i="2"/>
  <c r="B4514" i="2"/>
  <c r="S4513" i="2"/>
  <c r="M4513" i="2"/>
  <c r="L4513" i="2"/>
  <c r="K4513" i="2"/>
  <c r="G4513" i="2"/>
  <c r="E4513" i="2"/>
  <c r="B4513" i="2"/>
  <c r="S4512" i="2"/>
  <c r="M4512" i="2"/>
  <c r="L4512" i="2"/>
  <c r="K4512" i="2"/>
  <c r="G4512" i="2"/>
  <c r="E4512" i="2"/>
  <c r="B4512" i="2"/>
  <c r="S4511" i="2"/>
  <c r="M4511" i="2"/>
  <c r="L4511" i="2"/>
  <c r="K4511" i="2"/>
  <c r="G4511" i="2"/>
  <c r="E4511" i="2"/>
  <c r="B4511" i="2"/>
  <c r="S4510" i="2"/>
  <c r="M4510" i="2"/>
  <c r="L4510" i="2"/>
  <c r="K4510" i="2"/>
  <c r="G4510" i="2"/>
  <c r="E4510" i="2"/>
  <c r="B4510" i="2"/>
  <c r="S4509" i="2"/>
  <c r="M4509" i="2"/>
  <c r="L4509" i="2"/>
  <c r="K4509" i="2"/>
  <c r="G4509" i="2"/>
  <c r="E4509" i="2"/>
  <c r="B4509" i="2"/>
  <c r="S4508" i="2"/>
  <c r="M4508" i="2"/>
  <c r="L4508" i="2"/>
  <c r="K4508" i="2"/>
  <c r="G4508" i="2"/>
  <c r="E4508" i="2"/>
  <c r="B4508" i="2"/>
  <c r="S4507" i="2"/>
  <c r="M4507" i="2"/>
  <c r="L4507" i="2"/>
  <c r="K4507" i="2"/>
  <c r="G4507" i="2"/>
  <c r="E4507" i="2"/>
  <c r="B4507" i="2"/>
  <c r="S4506" i="2"/>
  <c r="M4506" i="2"/>
  <c r="L4506" i="2"/>
  <c r="K4506" i="2"/>
  <c r="G4506" i="2"/>
  <c r="E4506" i="2"/>
  <c r="B4506" i="2"/>
  <c r="S4505" i="2"/>
  <c r="M4505" i="2"/>
  <c r="L4505" i="2"/>
  <c r="K4505" i="2"/>
  <c r="G4505" i="2"/>
  <c r="E4505" i="2"/>
  <c r="B4505" i="2"/>
  <c r="S4504" i="2"/>
  <c r="M4504" i="2"/>
  <c r="L4504" i="2"/>
  <c r="K4504" i="2"/>
  <c r="G4504" i="2"/>
  <c r="E4504" i="2"/>
  <c r="B4504" i="2"/>
  <c r="S4503" i="2"/>
  <c r="M4503" i="2"/>
  <c r="L4503" i="2"/>
  <c r="K4503" i="2"/>
  <c r="G4503" i="2"/>
  <c r="E4503" i="2"/>
  <c r="B4503" i="2"/>
  <c r="S4502" i="2"/>
  <c r="M4502" i="2"/>
  <c r="L4502" i="2"/>
  <c r="K4502" i="2"/>
  <c r="G4502" i="2"/>
  <c r="E4502" i="2"/>
  <c r="B4502" i="2"/>
  <c r="S4501" i="2"/>
  <c r="M4501" i="2"/>
  <c r="L4501" i="2"/>
  <c r="K4501" i="2"/>
  <c r="G4501" i="2"/>
  <c r="E4501" i="2"/>
  <c r="B4501" i="2"/>
  <c r="S4500" i="2"/>
  <c r="M4500" i="2"/>
  <c r="L4500" i="2"/>
  <c r="K4500" i="2"/>
  <c r="G4500" i="2"/>
  <c r="E4500" i="2"/>
  <c r="B4500" i="2"/>
  <c r="S4499" i="2"/>
  <c r="M4499" i="2"/>
  <c r="L4499" i="2"/>
  <c r="K4499" i="2"/>
  <c r="G4499" i="2"/>
  <c r="E4499" i="2"/>
  <c r="B4499" i="2"/>
  <c r="S4498" i="2"/>
  <c r="M4498" i="2"/>
  <c r="L4498" i="2"/>
  <c r="K4498" i="2"/>
  <c r="G4498" i="2"/>
  <c r="E4498" i="2"/>
  <c r="B4498" i="2"/>
  <c r="S4497" i="2"/>
  <c r="M4497" i="2"/>
  <c r="L4497" i="2"/>
  <c r="K4497" i="2"/>
  <c r="G4497" i="2"/>
  <c r="E4497" i="2"/>
  <c r="B4497" i="2"/>
  <c r="S4496" i="2"/>
  <c r="M4496" i="2"/>
  <c r="L4496" i="2"/>
  <c r="K4496" i="2"/>
  <c r="G4496" i="2"/>
  <c r="E4496" i="2"/>
  <c r="B4496" i="2"/>
  <c r="S4495" i="2"/>
  <c r="M4495" i="2"/>
  <c r="L4495" i="2"/>
  <c r="K4495" i="2"/>
  <c r="G4495" i="2"/>
  <c r="E4495" i="2"/>
  <c r="B4495" i="2"/>
  <c r="S4494" i="2"/>
  <c r="M4494" i="2"/>
  <c r="L4494" i="2"/>
  <c r="K4494" i="2"/>
  <c r="G4494" i="2"/>
  <c r="E4494" i="2"/>
  <c r="B4494" i="2"/>
  <c r="S4493" i="2"/>
  <c r="M4493" i="2"/>
  <c r="L4493" i="2"/>
  <c r="K4493" i="2"/>
  <c r="G4493" i="2"/>
  <c r="E4493" i="2"/>
  <c r="B4493" i="2"/>
  <c r="S4492" i="2"/>
  <c r="M4492" i="2"/>
  <c r="L4492" i="2"/>
  <c r="K4492" i="2"/>
  <c r="G4492" i="2"/>
  <c r="E4492" i="2"/>
  <c r="B4492" i="2"/>
  <c r="S4491" i="2"/>
  <c r="M4491" i="2"/>
  <c r="L4491" i="2"/>
  <c r="K4491" i="2"/>
  <c r="G4491" i="2"/>
  <c r="E4491" i="2"/>
  <c r="B4491" i="2"/>
  <c r="S4490" i="2"/>
  <c r="M4490" i="2"/>
  <c r="L4490" i="2"/>
  <c r="K4490" i="2"/>
  <c r="G4490" i="2"/>
  <c r="E4490" i="2"/>
  <c r="B4490" i="2"/>
  <c r="S4489" i="2"/>
  <c r="M4489" i="2"/>
  <c r="L4489" i="2"/>
  <c r="K4489" i="2"/>
  <c r="G4489" i="2"/>
  <c r="E4489" i="2"/>
  <c r="B4489" i="2"/>
  <c r="S4488" i="2"/>
  <c r="M4488" i="2"/>
  <c r="L4488" i="2"/>
  <c r="K4488" i="2"/>
  <c r="G4488" i="2"/>
  <c r="E4488" i="2"/>
  <c r="B4488" i="2"/>
  <c r="S4487" i="2"/>
  <c r="M4487" i="2"/>
  <c r="L4487" i="2"/>
  <c r="K4487" i="2"/>
  <c r="G4487" i="2"/>
  <c r="E4487" i="2"/>
  <c r="B4487" i="2"/>
  <c r="S4486" i="2"/>
  <c r="M4486" i="2"/>
  <c r="L4486" i="2"/>
  <c r="K4486" i="2"/>
  <c r="G4486" i="2"/>
  <c r="E4486" i="2"/>
  <c r="B4486" i="2"/>
  <c r="S4485" i="2"/>
  <c r="M4485" i="2"/>
  <c r="L4485" i="2"/>
  <c r="K4485" i="2"/>
  <c r="G4485" i="2"/>
  <c r="E4485" i="2"/>
  <c r="B4485" i="2"/>
  <c r="S4484" i="2"/>
  <c r="M4484" i="2"/>
  <c r="L4484" i="2"/>
  <c r="K4484" i="2"/>
  <c r="G4484" i="2"/>
  <c r="E4484" i="2"/>
  <c r="B4484" i="2"/>
  <c r="S4483" i="2"/>
  <c r="M4483" i="2"/>
  <c r="L4483" i="2"/>
  <c r="K4483" i="2"/>
  <c r="G4483" i="2"/>
  <c r="E4483" i="2"/>
  <c r="B4483" i="2"/>
  <c r="S4482" i="2"/>
  <c r="M4482" i="2"/>
  <c r="L4482" i="2"/>
  <c r="K4482" i="2"/>
  <c r="G4482" i="2"/>
  <c r="E4482" i="2"/>
  <c r="B4482" i="2"/>
  <c r="S4481" i="2"/>
  <c r="M4481" i="2"/>
  <c r="L4481" i="2"/>
  <c r="K4481" i="2"/>
  <c r="G4481" i="2"/>
  <c r="E4481" i="2"/>
  <c r="B4481" i="2"/>
  <c r="S4480" i="2"/>
  <c r="M4480" i="2"/>
  <c r="L4480" i="2"/>
  <c r="K4480" i="2"/>
  <c r="G4480" i="2"/>
  <c r="E4480" i="2"/>
  <c r="B4480" i="2"/>
  <c r="S4479" i="2"/>
  <c r="M4479" i="2"/>
  <c r="L4479" i="2"/>
  <c r="K4479" i="2"/>
  <c r="G4479" i="2"/>
  <c r="E4479" i="2"/>
  <c r="B4479" i="2"/>
  <c r="S4478" i="2"/>
  <c r="M4478" i="2"/>
  <c r="L4478" i="2"/>
  <c r="K4478" i="2"/>
  <c r="G4478" i="2"/>
  <c r="E4478" i="2"/>
  <c r="B4478" i="2"/>
  <c r="S4477" i="2"/>
  <c r="M4477" i="2"/>
  <c r="L4477" i="2"/>
  <c r="K4477" i="2"/>
  <c r="G4477" i="2"/>
  <c r="E4477" i="2"/>
  <c r="B4477" i="2"/>
  <c r="S4476" i="2"/>
  <c r="M4476" i="2"/>
  <c r="L4476" i="2"/>
  <c r="K4476" i="2"/>
  <c r="G4476" i="2"/>
  <c r="E4476" i="2"/>
  <c r="B4476" i="2"/>
  <c r="S4475" i="2"/>
  <c r="M4475" i="2"/>
  <c r="L4475" i="2"/>
  <c r="K4475" i="2"/>
  <c r="G4475" i="2"/>
  <c r="E4475" i="2"/>
  <c r="B4475" i="2"/>
  <c r="S4474" i="2"/>
  <c r="M4474" i="2"/>
  <c r="L4474" i="2"/>
  <c r="K4474" i="2"/>
  <c r="G4474" i="2"/>
  <c r="E4474" i="2"/>
  <c r="B4474" i="2"/>
  <c r="S4473" i="2"/>
  <c r="M4473" i="2"/>
  <c r="L4473" i="2"/>
  <c r="K4473" i="2"/>
  <c r="G4473" i="2"/>
  <c r="E4473" i="2"/>
  <c r="B4473" i="2"/>
  <c r="S4472" i="2"/>
  <c r="M4472" i="2"/>
  <c r="L4472" i="2"/>
  <c r="K4472" i="2"/>
  <c r="G4472" i="2"/>
  <c r="E4472" i="2"/>
  <c r="B4472" i="2"/>
  <c r="S4471" i="2"/>
  <c r="M4471" i="2"/>
  <c r="L4471" i="2"/>
  <c r="K4471" i="2"/>
  <c r="G4471" i="2"/>
  <c r="E4471" i="2"/>
  <c r="B4471" i="2"/>
  <c r="S4470" i="2"/>
  <c r="M4470" i="2"/>
  <c r="L4470" i="2"/>
  <c r="K4470" i="2"/>
  <c r="G4470" i="2"/>
  <c r="E4470" i="2"/>
  <c r="B4470" i="2"/>
  <c r="S4469" i="2"/>
  <c r="M4469" i="2"/>
  <c r="L4469" i="2"/>
  <c r="K4469" i="2"/>
  <c r="G4469" i="2"/>
  <c r="E4469" i="2"/>
  <c r="B4469" i="2"/>
  <c r="S4468" i="2"/>
  <c r="M4468" i="2"/>
  <c r="L4468" i="2"/>
  <c r="K4468" i="2"/>
  <c r="G4468" i="2"/>
  <c r="E4468" i="2"/>
  <c r="B4468" i="2"/>
  <c r="S4467" i="2"/>
  <c r="M4467" i="2"/>
  <c r="L4467" i="2"/>
  <c r="K4467" i="2"/>
  <c r="G4467" i="2"/>
  <c r="E4467" i="2"/>
  <c r="B4467" i="2"/>
  <c r="S4466" i="2"/>
  <c r="M4466" i="2"/>
  <c r="L4466" i="2"/>
  <c r="K4466" i="2"/>
  <c r="G4466" i="2"/>
  <c r="E4466" i="2"/>
  <c r="B4466" i="2"/>
  <c r="S4465" i="2"/>
  <c r="M4465" i="2"/>
  <c r="L4465" i="2"/>
  <c r="K4465" i="2"/>
  <c r="G4465" i="2"/>
  <c r="E4465" i="2"/>
  <c r="B4465" i="2"/>
  <c r="S4464" i="2"/>
  <c r="M4464" i="2"/>
  <c r="L4464" i="2"/>
  <c r="K4464" i="2"/>
  <c r="G4464" i="2"/>
  <c r="E4464" i="2"/>
  <c r="B4464" i="2"/>
  <c r="S4463" i="2"/>
  <c r="M4463" i="2"/>
  <c r="L4463" i="2"/>
  <c r="K4463" i="2"/>
  <c r="G4463" i="2"/>
  <c r="E4463" i="2"/>
  <c r="B4463" i="2"/>
  <c r="S4462" i="2"/>
  <c r="M4462" i="2"/>
  <c r="L4462" i="2"/>
  <c r="K4462" i="2"/>
  <c r="G4462" i="2"/>
  <c r="E4462" i="2"/>
  <c r="B4462" i="2"/>
  <c r="S4461" i="2"/>
  <c r="M4461" i="2"/>
  <c r="L4461" i="2"/>
  <c r="K4461" i="2"/>
  <c r="G4461" i="2"/>
  <c r="E4461" i="2"/>
  <c r="B4461" i="2"/>
  <c r="S4460" i="2"/>
  <c r="M4460" i="2"/>
  <c r="L4460" i="2"/>
  <c r="K4460" i="2"/>
  <c r="G4460" i="2"/>
  <c r="E4460" i="2"/>
  <c r="B4460" i="2"/>
  <c r="S4459" i="2"/>
  <c r="M4459" i="2"/>
  <c r="L4459" i="2"/>
  <c r="K4459" i="2"/>
  <c r="G4459" i="2"/>
  <c r="E4459" i="2"/>
  <c r="B4459" i="2"/>
  <c r="S4458" i="2"/>
  <c r="M4458" i="2"/>
  <c r="L4458" i="2"/>
  <c r="K4458" i="2"/>
  <c r="G4458" i="2"/>
  <c r="E4458" i="2"/>
  <c r="B4458" i="2"/>
  <c r="S4457" i="2"/>
  <c r="M4457" i="2"/>
  <c r="L4457" i="2"/>
  <c r="K4457" i="2"/>
  <c r="G4457" i="2"/>
  <c r="E4457" i="2"/>
  <c r="B4457" i="2"/>
  <c r="S4456" i="2"/>
  <c r="M4456" i="2"/>
  <c r="L4456" i="2"/>
  <c r="K4456" i="2"/>
  <c r="G4456" i="2"/>
  <c r="E4456" i="2"/>
  <c r="B4456" i="2"/>
  <c r="S4455" i="2"/>
  <c r="M4455" i="2"/>
  <c r="L4455" i="2"/>
  <c r="K4455" i="2"/>
  <c r="G4455" i="2"/>
  <c r="E4455" i="2"/>
  <c r="B4455" i="2"/>
  <c r="S4454" i="2"/>
  <c r="M4454" i="2"/>
  <c r="L4454" i="2"/>
  <c r="K4454" i="2"/>
  <c r="G4454" i="2"/>
  <c r="E4454" i="2"/>
  <c r="B4454" i="2"/>
  <c r="S4453" i="2"/>
  <c r="M4453" i="2"/>
  <c r="L4453" i="2"/>
  <c r="K4453" i="2"/>
  <c r="G4453" i="2"/>
  <c r="E4453" i="2"/>
  <c r="B4453" i="2"/>
  <c r="S4452" i="2"/>
  <c r="M4452" i="2"/>
  <c r="L4452" i="2"/>
  <c r="K4452" i="2"/>
  <c r="G4452" i="2"/>
  <c r="E4452" i="2"/>
  <c r="B4452" i="2"/>
  <c r="S4451" i="2"/>
  <c r="M4451" i="2"/>
  <c r="L4451" i="2"/>
  <c r="K4451" i="2"/>
  <c r="G4451" i="2"/>
  <c r="E4451" i="2"/>
  <c r="B4451" i="2"/>
  <c r="S4450" i="2"/>
  <c r="M4450" i="2"/>
  <c r="L4450" i="2"/>
  <c r="K4450" i="2"/>
  <c r="G4450" i="2"/>
  <c r="E4450" i="2"/>
  <c r="B4450" i="2"/>
  <c r="S4449" i="2"/>
  <c r="M4449" i="2"/>
  <c r="L4449" i="2"/>
  <c r="K4449" i="2"/>
  <c r="G4449" i="2"/>
  <c r="E4449" i="2"/>
  <c r="B4449" i="2"/>
  <c r="S4448" i="2"/>
  <c r="M4448" i="2"/>
  <c r="L4448" i="2"/>
  <c r="K4448" i="2"/>
  <c r="G4448" i="2"/>
  <c r="E4448" i="2"/>
  <c r="B4448" i="2"/>
  <c r="S4447" i="2"/>
  <c r="M4447" i="2"/>
  <c r="L4447" i="2"/>
  <c r="K4447" i="2"/>
  <c r="G4447" i="2"/>
  <c r="E4447" i="2"/>
  <c r="B4447" i="2"/>
  <c r="S4446" i="2"/>
  <c r="M4446" i="2"/>
  <c r="L4446" i="2"/>
  <c r="K4446" i="2"/>
  <c r="G4446" i="2"/>
  <c r="E4446" i="2"/>
  <c r="B4446" i="2"/>
  <c r="S4445" i="2"/>
  <c r="M4445" i="2"/>
  <c r="L4445" i="2"/>
  <c r="K4445" i="2"/>
  <c r="G4445" i="2"/>
  <c r="E4445" i="2"/>
  <c r="B4445" i="2"/>
  <c r="S4444" i="2"/>
  <c r="M4444" i="2"/>
  <c r="L4444" i="2"/>
  <c r="K4444" i="2"/>
  <c r="G4444" i="2"/>
  <c r="E4444" i="2"/>
  <c r="B4444" i="2"/>
  <c r="S4443" i="2"/>
  <c r="M4443" i="2"/>
  <c r="L4443" i="2"/>
  <c r="K4443" i="2"/>
  <c r="G4443" i="2"/>
  <c r="E4443" i="2"/>
  <c r="B4443" i="2"/>
  <c r="S4442" i="2"/>
  <c r="M4442" i="2"/>
  <c r="L4442" i="2"/>
  <c r="K4442" i="2"/>
  <c r="G4442" i="2"/>
  <c r="E4442" i="2"/>
  <c r="B4442" i="2"/>
  <c r="S4441" i="2"/>
  <c r="M4441" i="2"/>
  <c r="L4441" i="2"/>
  <c r="K4441" i="2"/>
  <c r="G4441" i="2"/>
  <c r="E4441" i="2"/>
  <c r="B4441" i="2"/>
  <c r="S4440" i="2"/>
  <c r="M4440" i="2"/>
  <c r="L4440" i="2"/>
  <c r="K4440" i="2"/>
  <c r="G4440" i="2"/>
  <c r="E4440" i="2"/>
  <c r="B4440" i="2"/>
  <c r="S4439" i="2"/>
  <c r="M4439" i="2"/>
  <c r="L4439" i="2"/>
  <c r="K4439" i="2"/>
  <c r="G4439" i="2"/>
  <c r="E4439" i="2"/>
  <c r="B4439" i="2"/>
  <c r="S4438" i="2"/>
  <c r="M4438" i="2"/>
  <c r="L4438" i="2"/>
  <c r="K4438" i="2"/>
  <c r="G4438" i="2"/>
  <c r="E4438" i="2"/>
  <c r="B4438" i="2"/>
  <c r="S4437" i="2"/>
  <c r="M4437" i="2"/>
  <c r="L4437" i="2"/>
  <c r="K4437" i="2"/>
  <c r="G4437" i="2"/>
  <c r="E4437" i="2"/>
  <c r="B4437" i="2"/>
  <c r="S4436" i="2"/>
  <c r="M4436" i="2"/>
  <c r="L4436" i="2"/>
  <c r="K4436" i="2"/>
  <c r="G4436" i="2"/>
  <c r="E4436" i="2"/>
  <c r="B4436" i="2"/>
  <c r="S4435" i="2"/>
  <c r="M4435" i="2"/>
  <c r="L4435" i="2"/>
  <c r="K4435" i="2"/>
  <c r="G4435" i="2"/>
  <c r="E4435" i="2"/>
  <c r="B4435" i="2"/>
  <c r="S4434" i="2"/>
  <c r="M4434" i="2"/>
  <c r="L4434" i="2"/>
  <c r="K4434" i="2"/>
  <c r="G4434" i="2"/>
  <c r="E4434" i="2"/>
  <c r="B4434" i="2"/>
  <c r="S4433" i="2"/>
  <c r="M4433" i="2"/>
  <c r="L4433" i="2"/>
  <c r="K4433" i="2"/>
  <c r="G4433" i="2"/>
  <c r="E4433" i="2"/>
  <c r="B4433" i="2"/>
  <c r="S4432" i="2"/>
  <c r="M4432" i="2"/>
  <c r="L4432" i="2"/>
  <c r="K4432" i="2"/>
  <c r="G4432" i="2"/>
  <c r="E4432" i="2"/>
  <c r="B4432" i="2"/>
  <c r="S4431" i="2"/>
  <c r="M4431" i="2"/>
  <c r="L4431" i="2"/>
  <c r="K4431" i="2"/>
  <c r="G4431" i="2"/>
  <c r="E4431" i="2"/>
  <c r="B4431" i="2"/>
  <c r="S4430" i="2"/>
  <c r="M4430" i="2"/>
  <c r="L4430" i="2"/>
  <c r="K4430" i="2"/>
  <c r="G4430" i="2"/>
  <c r="E4430" i="2"/>
  <c r="B4430" i="2"/>
  <c r="S4429" i="2"/>
  <c r="M4429" i="2"/>
  <c r="L4429" i="2"/>
  <c r="K4429" i="2"/>
  <c r="G4429" i="2"/>
  <c r="E4429" i="2"/>
  <c r="B4429" i="2"/>
  <c r="S4428" i="2"/>
  <c r="M4428" i="2"/>
  <c r="L4428" i="2"/>
  <c r="K4428" i="2"/>
  <c r="G4428" i="2"/>
  <c r="E4428" i="2"/>
  <c r="B4428" i="2"/>
  <c r="S4427" i="2"/>
  <c r="M4427" i="2"/>
  <c r="L4427" i="2"/>
  <c r="K4427" i="2"/>
  <c r="G4427" i="2"/>
  <c r="E4427" i="2"/>
  <c r="B4427" i="2"/>
  <c r="S4426" i="2"/>
  <c r="M4426" i="2"/>
  <c r="L4426" i="2"/>
  <c r="K4426" i="2"/>
  <c r="G4426" i="2"/>
  <c r="E4426" i="2"/>
  <c r="B4426" i="2"/>
  <c r="S4425" i="2"/>
  <c r="M4425" i="2"/>
  <c r="L4425" i="2"/>
  <c r="K4425" i="2"/>
  <c r="G4425" i="2"/>
  <c r="E4425" i="2"/>
  <c r="B4425" i="2"/>
  <c r="S4424" i="2"/>
  <c r="M4424" i="2"/>
  <c r="L4424" i="2"/>
  <c r="K4424" i="2"/>
  <c r="G4424" i="2"/>
  <c r="E4424" i="2"/>
  <c r="B4424" i="2"/>
  <c r="S4423" i="2"/>
  <c r="M4423" i="2"/>
  <c r="L4423" i="2"/>
  <c r="K4423" i="2"/>
  <c r="G4423" i="2"/>
  <c r="E4423" i="2"/>
  <c r="B4423" i="2"/>
  <c r="S4422" i="2"/>
  <c r="M4422" i="2"/>
  <c r="L4422" i="2"/>
  <c r="K4422" i="2"/>
  <c r="G4422" i="2"/>
  <c r="E4422" i="2"/>
  <c r="B4422" i="2"/>
  <c r="S4421" i="2"/>
  <c r="M4421" i="2"/>
  <c r="L4421" i="2"/>
  <c r="K4421" i="2"/>
  <c r="G4421" i="2"/>
  <c r="E4421" i="2"/>
  <c r="B4421" i="2"/>
  <c r="S4420" i="2"/>
  <c r="M4420" i="2"/>
  <c r="L4420" i="2"/>
  <c r="K4420" i="2"/>
  <c r="G4420" i="2"/>
  <c r="E4420" i="2"/>
  <c r="B4420" i="2"/>
  <c r="S4419" i="2"/>
  <c r="M4419" i="2"/>
  <c r="L4419" i="2"/>
  <c r="K4419" i="2"/>
  <c r="G4419" i="2"/>
  <c r="E4419" i="2"/>
  <c r="B4419" i="2"/>
  <c r="S4418" i="2"/>
  <c r="M4418" i="2"/>
  <c r="L4418" i="2"/>
  <c r="K4418" i="2"/>
  <c r="G4418" i="2"/>
  <c r="E4418" i="2"/>
  <c r="B4418" i="2"/>
  <c r="S4417" i="2"/>
  <c r="M4417" i="2"/>
  <c r="L4417" i="2"/>
  <c r="K4417" i="2"/>
  <c r="G4417" i="2"/>
  <c r="E4417" i="2"/>
  <c r="B4417" i="2"/>
  <c r="S4416" i="2"/>
  <c r="M4416" i="2"/>
  <c r="L4416" i="2"/>
  <c r="K4416" i="2"/>
  <c r="G4416" i="2"/>
  <c r="E4416" i="2"/>
  <c r="B4416" i="2"/>
  <c r="S4415" i="2"/>
  <c r="M4415" i="2"/>
  <c r="L4415" i="2"/>
  <c r="K4415" i="2"/>
  <c r="G4415" i="2"/>
  <c r="E4415" i="2"/>
  <c r="B4415" i="2"/>
  <c r="S4414" i="2"/>
  <c r="M4414" i="2"/>
  <c r="L4414" i="2"/>
  <c r="K4414" i="2"/>
  <c r="G4414" i="2"/>
  <c r="E4414" i="2"/>
  <c r="B4414" i="2"/>
  <c r="S4413" i="2"/>
  <c r="M4413" i="2"/>
  <c r="L4413" i="2"/>
  <c r="K4413" i="2"/>
  <c r="G4413" i="2"/>
  <c r="E4413" i="2"/>
  <c r="B4413" i="2"/>
  <c r="S4412" i="2"/>
  <c r="M4412" i="2"/>
  <c r="L4412" i="2"/>
  <c r="K4412" i="2"/>
  <c r="G4412" i="2"/>
  <c r="E4412" i="2"/>
  <c r="B4412" i="2"/>
  <c r="S4411" i="2"/>
  <c r="M4411" i="2"/>
  <c r="L4411" i="2"/>
  <c r="K4411" i="2"/>
  <c r="G4411" i="2"/>
  <c r="E4411" i="2"/>
  <c r="B4411" i="2"/>
  <c r="S4410" i="2"/>
  <c r="M4410" i="2"/>
  <c r="L4410" i="2"/>
  <c r="K4410" i="2"/>
  <c r="G4410" i="2"/>
  <c r="E4410" i="2"/>
  <c r="B4410" i="2"/>
  <c r="S4409" i="2"/>
  <c r="M4409" i="2"/>
  <c r="L4409" i="2"/>
  <c r="K4409" i="2"/>
  <c r="G4409" i="2"/>
  <c r="E4409" i="2"/>
  <c r="B4409" i="2"/>
  <c r="S4408" i="2"/>
  <c r="M4408" i="2"/>
  <c r="L4408" i="2"/>
  <c r="K4408" i="2"/>
  <c r="G4408" i="2"/>
  <c r="E4408" i="2"/>
  <c r="B4408" i="2"/>
  <c r="S4407" i="2"/>
  <c r="M4407" i="2"/>
  <c r="L4407" i="2"/>
  <c r="K4407" i="2"/>
  <c r="G4407" i="2"/>
  <c r="E4407" i="2"/>
  <c r="B4407" i="2"/>
  <c r="S4406" i="2"/>
  <c r="M4406" i="2"/>
  <c r="L4406" i="2"/>
  <c r="K4406" i="2"/>
  <c r="G4406" i="2"/>
  <c r="E4406" i="2"/>
  <c r="B4406" i="2"/>
  <c r="S4405" i="2"/>
  <c r="M4405" i="2"/>
  <c r="L4405" i="2"/>
  <c r="K4405" i="2"/>
  <c r="G4405" i="2"/>
  <c r="E4405" i="2"/>
  <c r="B4405" i="2"/>
  <c r="S4404" i="2"/>
  <c r="M4404" i="2"/>
  <c r="L4404" i="2"/>
  <c r="K4404" i="2"/>
  <c r="G4404" i="2"/>
  <c r="E4404" i="2"/>
  <c r="B4404" i="2"/>
  <c r="S4403" i="2"/>
  <c r="M4403" i="2"/>
  <c r="L4403" i="2"/>
  <c r="K4403" i="2"/>
  <c r="G4403" i="2"/>
  <c r="E4403" i="2"/>
  <c r="B4403" i="2"/>
  <c r="S4402" i="2"/>
  <c r="M4402" i="2"/>
  <c r="L4402" i="2"/>
  <c r="K4402" i="2"/>
  <c r="G4402" i="2"/>
  <c r="E4402" i="2"/>
  <c r="B4402" i="2"/>
  <c r="S4401" i="2"/>
  <c r="M4401" i="2"/>
  <c r="L4401" i="2"/>
  <c r="K4401" i="2"/>
  <c r="G4401" i="2"/>
  <c r="E4401" i="2"/>
  <c r="B4401" i="2"/>
  <c r="S4400" i="2"/>
  <c r="M4400" i="2"/>
  <c r="L4400" i="2"/>
  <c r="K4400" i="2"/>
  <c r="G4400" i="2"/>
  <c r="E4400" i="2"/>
  <c r="B4400" i="2"/>
  <c r="S4399" i="2"/>
  <c r="M4399" i="2"/>
  <c r="L4399" i="2"/>
  <c r="K4399" i="2"/>
  <c r="G4399" i="2"/>
  <c r="E4399" i="2"/>
  <c r="B4399" i="2"/>
  <c r="S4398" i="2"/>
  <c r="M4398" i="2"/>
  <c r="L4398" i="2"/>
  <c r="K4398" i="2"/>
  <c r="G4398" i="2"/>
  <c r="E4398" i="2"/>
  <c r="B4398" i="2"/>
  <c r="S4397" i="2"/>
  <c r="M4397" i="2"/>
  <c r="L4397" i="2"/>
  <c r="K4397" i="2"/>
  <c r="G4397" i="2"/>
  <c r="E4397" i="2"/>
  <c r="B4397" i="2"/>
  <c r="S4396" i="2"/>
  <c r="M4396" i="2"/>
  <c r="L4396" i="2"/>
  <c r="K4396" i="2"/>
  <c r="G4396" i="2"/>
  <c r="E4396" i="2"/>
  <c r="B4396" i="2"/>
  <c r="S4395" i="2"/>
  <c r="M4395" i="2"/>
  <c r="L4395" i="2"/>
  <c r="K4395" i="2"/>
  <c r="G4395" i="2"/>
  <c r="E4395" i="2"/>
  <c r="B4395" i="2"/>
  <c r="S4394" i="2"/>
  <c r="M4394" i="2"/>
  <c r="L4394" i="2"/>
  <c r="K4394" i="2"/>
  <c r="G4394" i="2"/>
  <c r="E4394" i="2"/>
  <c r="B4394" i="2"/>
  <c r="S4393" i="2"/>
  <c r="M4393" i="2"/>
  <c r="L4393" i="2"/>
  <c r="K4393" i="2"/>
  <c r="G4393" i="2"/>
  <c r="E4393" i="2"/>
  <c r="B4393" i="2"/>
  <c r="S4392" i="2"/>
  <c r="M4392" i="2"/>
  <c r="L4392" i="2"/>
  <c r="K4392" i="2"/>
  <c r="G4392" i="2"/>
  <c r="E4392" i="2"/>
  <c r="B4392" i="2"/>
  <c r="S4391" i="2"/>
  <c r="M4391" i="2"/>
  <c r="L4391" i="2"/>
  <c r="K4391" i="2"/>
  <c r="G4391" i="2"/>
  <c r="E4391" i="2"/>
  <c r="B4391" i="2"/>
  <c r="S4390" i="2"/>
  <c r="M4390" i="2"/>
  <c r="L4390" i="2"/>
  <c r="K4390" i="2"/>
  <c r="G4390" i="2"/>
  <c r="E4390" i="2"/>
  <c r="B4390" i="2"/>
  <c r="S4389" i="2"/>
  <c r="M4389" i="2"/>
  <c r="L4389" i="2"/>
  <c r="K4389" i="2"/>
  <c r="G4389" i="2"/>
  <c r="E4389" i="2"/>
  <c r="B4389" i="2"/>
  <c r="S4388" i="2"/>
  <c r="M4388" i="2"/>
  <c r="L4388" i="2"/>
  <c r="K4388" i="2"/>
  <c r="G4388" i="2"/>
  <c r="E4388" i="2"/>
  <c r="B4388" i="2"/>
  <c r="S4387" i="2"/>
  <c r="M4387" i="2"/>
  <c r="L4387" i="2"/>
  <c r="K4387" i="2"/>
  <c r="G4387" i="2"/>
  <c r="E4387" i="2"/>
  <c r="B4387" i="2"/>
  <c r="S4386" i="2"/>
  <c r="M4386" i="2"/>
  <c r="L4386" i="2"/>
  <c r="K4386" i="2"/>
  <c r="G4386" i="2"/>
  <c r="E4386" i="2"/>
  <c r="B4386" i="2"/>
  <c r="S4385" i="2"/>
  <c r="M4385" i="2"/>
  <c r="L4385" i="2"/>
  <c r="K4385" i="2"/>
  <c r="G4385" i="2"/>
  <c r="E4385" i="2"/>
  <c r="B4385" i="2"/>
  <c r="S4384" i="2"/>
  <c r="M4384" i="2"/>
  <c r="L4384" i="2"/>
  <c r="K4384" i="2"/>
  <c r="G4384" i="2"/>
  <c r="E4384" i="2"/>
  <c r="B4384" i="2"/>
  <c r="S4383" i="2"/>
  <c r="M4383" i="2"/>
  <c r="L4383" i="2"/>
  <c r="K4383" i="2"/>
  <c r="G4383" i="2"/>
  <c r="E4383" i="2"/>
  <c r="B4383" i="2"/>
  <c r="S4382" i="2"/>
  <c r="M4382" i="2"/>
  <c r="L4382" i="2"/>
  <c r="K4382" i="2"/>
  <c r="G4382" i="2"/>
  <c r="E4382" i="2"/>
  <c r="B4382" i="2"/>
  <c r="S4381" i="2"/>
  <c r="M4381" i="2"/>
  <c r="L4381" i="2"/>
  <c r="K4381" i="2"/>
  <c r="G4381" i="2"/>
  <c r="E4381" i="2"/>
  <c r="B4381" i="2"/>
  <c r="S4380" i="2"/>
  <c r="M4380" i="2"/>
  <c r="L4380" i="2"/>
  <c r="K4380" i="2"/>
  <c r="G4380" i="2"/>
  <c r="E4380" i="2"/>
  <c r="B4380" i="2"/>
  <c r="S4379" i="2"/>
  <c r="M4379" i="2"/>
  <c r="L4379" i="2"/>
  <c r="K4379" i="2"/>
  <c r="G4379" i="2"/>
  <c r="E4379" i="2"/>
  <c r="B4379" i="2"/>
  <c r="S4378" i="2"/>
  <c r="M4378" i="2"/>
  <c r="L4378" i="2"/>
  <c r="K4378" i="2"/>
  <c r="G4378" i="2"/>
  <c r="E4378" i="2"/>
  <c r="B4378" i="2"/>
  <c r="S4377" i="2"/>
  <c r="M4377" i="2"/>
  <c r="L4377" i="2"/>
  <c r="K4377" i="2"/>
  <c r="G4377" i="2"/>
  <c r="E4377" i="2"/>
  <c r="B4377" i="2"/>
  <c r="S4376" i="2"/>
  <c r="M4376" i="2"/>
  <c r="L4376" i="2"/>
  <c r="K4376" i="2"/>
  <c r="G4376" i="2"/>
  <c r="E4376" i="2"/>
  <c r="B4376" i="2"/>
  <c r="S4375" i="2"/>
  <c r="M4375" i="2"/>
  <c r="L4375" i="2"/>
  <c r="K4375" i="2"/>
  <c r="G4375" i="2"/>
  <c r="E4375" i="2"/>
  <c r="B4375" i="2"/>
  <c r="S4374" i="2"/>
  <c r="M4374" i="2"/>
  <c r="L4374" i="2"/>
  <c r="K4374" i="2"/>
  <c r="G4374" i="2"/>
  <c r="E4374" i="2"/>
  <c r="B4374" i="2"/>
  <c r="S4373" i="2"/>
  <c r="M4373" i="2"/>
  <c r="L4373" i="2"/>
  <c r="K4373" i="2"/>
  <c r="G4373" i="2"/>
  <c r="E4373" i="2"/>
  <c r="B4373" i="2"/>
  <c r="S4372" i="2"/>
  <c r="M4372" i="2"/>
  <c r="L4372" i="2"/>
  <c r="K4372" i="2"/>
  <c r="G4372" i="2"/>
  <c r="E4372" i="2"/>
  <c r="B4372" i="2"/>
  <c r="S4371" i="2"/>
  <c r="M4371" i="2"/>
  <c r="L4371" i="2"/>
  <c r="K4371" i="2"/>
  <c r="G4371" i="2"/>
  <c r="E4371" i="2"/>
  <c r="B4371" i="2"/>
  <c r="S4370" i="2"/>
  <c r="M4370" i="2"/>
  <c r="L4370" i="2"/>
  <c r="K4370" i="2"/>
  <c r="G4370" i="2"/>
  <c r="E4370" i="2"/>
  <c r="B4370" i="2"/>
  <c r="S4369" i="2"/>
  <c r="M4369" i="2"/>
  <c r="L4369" i="2"/>
  <c r="K4369" i="2"/>
  <c r="G4369" i="2"/>
  <c r="E4369" i="2"/>
  <c r="B4369" i="2"/>
  <c r="S4368" i="2"/>
  <c r="M4368" i="2"/>
  <c r="L4368" i="2"/>
  <c r="K4368" i="2"/>
  <c r="G4368" i="2"/>
  <c r="E4368" i="2"/>
  <c r="B4368" i="2"/>
  <c r="S4367" i="2"/>
  <c r="M4367" i="2"/>
  <c r="L4367" i="2"/>
  <c r="K4367" i="2"/>
  <c r="G4367" i="2"/>
  <c r="E4367" i="2"/>
  <c r="B4367" i="2"/>
  <c r="S4366" i="2"/>
  <c r="M4366" i="2"/>
  <c r="L4366" i="2"/>
  <c r="K4366" i="2"/>
  <c r="G4366" i="2"/>
  <c r="E4366" i="2"/>
  <c r="B4366" i="2"/>
  <c r="S4365" i="2"/>
  <c r="M4365" i="2"/>
  <c r="L4365" i="2"/>
  <c r="K4365" i="2"/>
  <c r="G4365" i="2"/>
  <c r="E4365" i="2"/>
  <c r="B4365" i="2"/>
  <c r="S4364" i="2"/>
  <c r="M4364" i="2"/>
  <c r="L4364" i="2"/>
  <c r="K4364" i="2"/>
  <c r="G4364" i="2"/>
  <c r="E4364" i="2"/>
  <c r="B4364" i="2"/>
  <c r="S4363" i="2"/>
  <c r="M4363" i="2"/>
  <c r="L4363" i="2"/>
  <c r="K4363" i="2"/>
  <c r="G4363" i="2"/>
  <c r="E4363" i="2"/>
  <c r="B4363" i="2"/>
  <c r="S4362" i="2"/>
  <c r="M4362" i="2"/>
  <c r="L4362" i="2"/>
  <c r="K4362" i="2"/>
  <c r="G4362" i="2"/>
  <c r="E4362" i="2"/>
  <c r="B4362" i="2"/>
  <c r="S4361" i="2"/>
  <c r="M4361" i="2"/>
  <c r="L4361" i="2"/>
  <c r="K4361" i="2"/>
  <c r="G4361" i="2"/>
  <c r="E4361" i="2"/>
  <c r="B4361" i="2"/>
  <c r="S4360" i="2"/>
  <c r="M4360" i="2"/>
  <c r="L4360" i="2"/>
  <c r="K4360" i="2"/>
  <c r="G4360" i="2"/>
  <c r="E4360" i="2"/>
  <c r="B4360" i="2"/>
  <c r="S4359" i="2"/>
  <c r="M4359" i="2"/>
  <c r="L4359" i="2"/>
  <c r="K4359" i="2"/>
  <c r="G4359" i="2"/>
  <c r="E4359" i="2"/>
  <c r="B4359" i="2"/>
  <c r="S4358" i="2"/>
  <c r="M4358" i="2"/>
  <c r="L4358" i="2"/>
  <c r="K4358" i="2"/>
  <c r="G4358" i="2"/>
  <c r="E4358" i="2"/>
  <c r="B4358" i="2"/>
  <c r="S4357" i="2"/>
  <c r="M4357" i="2"/>
  <c r="L4357" i="2"/>
  <c r="K4357" i="2"/>
  <c r="G4357" i="2"/>
  <c r="E4357" i="2"/>
  <c r="B4357" i="2"/>
  <c r="S4356" i="2"/>
  <c r="M4356" i="2"/>
  <c r="L4356" i="2"/>
  <c r="K4356" i="2"/>
  <c r="G4356" i="2"/>
  <c r="E4356" i="2"/>
  <c r="B4356" i="2"/>
  <c r="S4355" i="2"/>
  <c r="M4355" i="2"/>
  <c r="L4355" i="2"/>
  <c r="K4355" i="2"/>
  <c r="G4355" i="2"/>
  <c r="E4355" i="2"/>
  <c r="B4355" i="2"/>
  <c r="S4354" i="2"/>
  <c r="M4354" i="2"/>
  <c r="L4354" i="2"/>
  <c r="K4354" i="2"/>
  <c r="G4354" i="2"/>
  <c r="E4354" i="2"/>
  <c r="B4354" i="2"/>
  <c r="S4353" i="2"/>
  <c r="M4353" i="2"/>
  <c r="L4353" i="2"/>
  <c r="K4353" i="2"/>
  <c r="G4353" i="2"/>
  <c r="E4353" i="2"/>
  <c r="B4353" i="2"/>
  <c r="S4352" i="2"/>
  <c r="M4352" i="2"/>
  <c r="L4352" i="2"/>
  <c r="K4352" i="2"/>
  <c r="G4352" i="2"/>
  <c r="E4352" i="2"/>
  <c r="B4352" i="2"/>
  <c r="S4351" i="2"/>
  <c r="M4351" i="2"/>
  <c r="L4351" i="2"/>
  <c r="K4351" i="2"/>
  <c r="G4351" i="2"/>
  <c r="E4351" i="2"/>
  <c r="B4351" i="2"/>
  <c r="S4350" i="2"/>
  <c r="M4350" i="2"/>
  <c r="L4350" i="2"/>
  <c r="K4350" i="2"/>
  <c r="G4350" i="2"/>
  <c r="E4350" i="2"/>
  <c r="B4350" i="2"/>
  <c r="S4349" i="2"/>
  <c r="M4349" i="2"/>
  <c r="L4349" i="2"/>
  <c r="K4349" i="2"/>
  <c r="G4349" i="2"/>
  <c r="E4349" i="2"/>
  <c r="B4349" i="2"/>
  <c r="S4348" i="2"/>
  <c r="M4348" i="2"/>
  <c r="L4348" i="2"/>
  <c r="K4348" i="2"/>
  <c r="G4348" i="2"/>
  <c r="E4348" i="2"/>
  <c r="B4348" i="2"/>
  <c r="S4347" i="2"/>
  <c r="M4347" i="2"/>
  <c r="L4347" i="2"/>
  <c r="K4347" i="2"/>
  <c r="G4347" i="2"/>
  <c r="E4347" i="2"/>
  <c r="B4347" i="2"/>
  <c r="S4346" i="2"/>
  <c r="M4346" i="2"/>
  <c r="L4346" i="2"/>
  <c r="K4346" i="2"/>
  <c r="G4346" i="2"/>
  <c r="E4346" i="2"/>
  <c r="B4346" i="2"/>
  <c r="S4345" i="2"/>
  <c r="M4345" i="2"/>
  <c r="L4345" i="2"/>
  <c r="K4345" i="2"/>
  <c r="G4345" i="2"/>
  <c r="E4345" i="2"/>
  <c r="B4345" i="2"/>
  <c r="S4344" i="2"/>
  <c r="M4344" i="2"/>
  <c r="L4344" i="2"/>
  <c r="K4344" i="2"/>
  <c r="G4344" i="2"/>
  <c r="E4344" i="2"/>
  <c r="B4344" i="2"/>
  <c r="S4343" i="2"/>
  <c r="M4343" i="2"/>
  <c r="L4343" i="2"/>
  <c r="K4343" i="2"/>
  <c r="G4343" i="2"/>
  <c r="E4343" i="2"/>
  <c r="B4343" i="2"/>
  <c r="S4342" i="2"/>
  <c r="M4342" i="2"/>
  <c r="L4342" i="2"/>
  <c r="K4342" i="2"/>
  <c r="G4342" i="2"/>
  <c r="E4342" i="2"/>
  <c r="B4342" i="2"/>
  <c r="S4341" i="2"/>
  <c r="M4341" i="2"/>
  <c r="L4341" i="2"/>
  <c r="K4341" i="2"/>
  <c r="G4341" i="2"/>
  <c r="E4341" i="2"/>
  <c r="B4341" i="2"/>
  <c r="S4340" i="2"/>
  <c r="M4340" i="2"/>
  <c r="L4340" i="2"/>
  <c r="K4340" i="2"/>
  <c r="G4340" i="2"/>
  <c r="E4340" i="2"/>
  <c r="B4340" i="2"/>
  <c r="S4339" i="2"/>
  <c r="M4339" i="2"/>
  <c r="L4339" i="2"/>
  <c r="K4339" i="2"/>
  <c r="G4339" i="2"/>
  <c r="E4339" i="2"/>
  <c r="B4339" i="2"/>
  <c r="S4338" i="2"/>
  <c r="M4338" i="2"/>
  <c r="L4338" i="2"/>
  <c r="K4338" i="2"/>
  <c r="G4338" i="2"/>
  <c r="E4338" i="2"/>
  <c r="B4338" i="2"/>
  <c r="S4337" i="2"/>
  <c r="M4337" i="2"/>
  <c r="L4337" i="2"/>
  <c r="K4337" i="2"/>
  <c r="G4337" i="2"/>
  <c r="E4337" i="2"/>
  <c r="B4337" i="2"/>
  <c r="S4336" i="2"/>
  <c r="M4336" i="2"/>
  <c r="L4336" i="2"/>
  <c r="K4336" i="2"/>
  <c r="G4336" i="2"/>
  <c r="E4336" i="2"/>
  <c r="B4336" i="2"/>
  <c r="S4335" i="2"/>
  <c r="M4335" i="2"/>
  <c r="L4335" i="2"/>
  <c r="K4335" i="2"/>
  <c r="G4335" i="2"/>
  <c r="E4335" i="2"/>
  <c r="B4335" i="2"/>
  <c r="S4334" i="2"/>
  <c r="M4334" i="2"/>
  <c r="L4334" i="2"/>
  <c r="K4334" i="2"/>
  <c r="G4334" i="2"/>
  <c r="E4334" i="2"/>
  <c r="B4334" i="2"/>
  <c r="S4333" i="2"/>
  <c r="M4333" i="2"/>
  <c r="L4333" i="2"/>
  <c r="K4333" i="2"/>
  <c r="G4333" i="2"/>
  <c r="E4333" i="2"/>
  <c r="B4333" i="2"/>
  <c r="S4332" i="2"/>
  <c r="M4332" i="2"/>
  <c r="L4332" i="2"/>
  <c r="K4332" i="2"/>
  <c r="G4332" i="2"/>
  <c r="E4332" i="2"/>
  <c r="B4332" i="2"/>
  <c r="S4331" i="2"/>
  <c r="M4331" i="2"/>
  <c r="L4331" i="2"/>
  <c r="K4331" i="2"/>
  <c r="G4331" i="2"/>
  <c r="E4331" i="2"/>
  <c r="B4331" i="2"/>
  <c r="S4330" i="2"/>
  <c r="M4330" i="2"/>
  <c r="L4330" i="2"/>
  <c r="K4330" i="2"/>
  <c r="G4330" i="2"/>
  <c r="E4330" i="2"/>
  <c r="B4330" i="2"/>
  <c r="S4329" i="2"/>
  <c r="M4329" i="2"/>
  <c r="L4329" i="2"/>
  <c r="K4329" i="2"/>
  <c r="G4329" i="2"/>
  <c r="E4329" i="2"/>
  <c r="B4329" i="2"/>
  <c r="S4328" i="2"/>
  <c r="M4328" i="2"/>
  <c r="L4328" i="2"/>
  <c r="K4328" i="2"/>
  <c r="G4328" i="2"/>
  <c r="E4328" i="2"/>
  <c r="B4328" i="2"/>
  <c r="S4327" i="2"/>
  <c r="M4327" i="2"/>
  <c r="L4327" i="2"/>
  <c r="K4327" i="2"/>
  <c r="G4327" i="2"/>
  <c r="E4327" i="2"/>
  <c r="B4327" i="2"/>
  <c r="S4326" i="2"/>
  <c r="M4326" i="2"/>
  <c r="L4326" i="2"/>
  <c r="K4326" i="2"/>
  <c r="G4326" i="2"/>
  <c r="E4326" i="2"/>
  <c r="B4326" i="2"/>
  <c r="S4325" i="2"/>
  <c r="M4325" i="2"/>
  <c r="L4325" i="2"/>
  <c r="K4325" i="2"/>
  <c r="G4325" i="2"/>
  <c r="E4325" i="2"/>
  <c r="B4325" i="2"/>
  <c r="S4324" i="2"/>
  <c r="M4324" i="2"/>
  <c r="L4324" i="2"/>
  <c r="K4324" i="2"/>
  <c r="G4324" i="2"/>
  <c r="E4324" i="2"/>
  <c r="B4324" i="2"/>
  <c r="S4323" i="2"/>
  <c r="M4323" i="2"/>
  <c r="L4323" i="2"/>
  <c r="K4323" i="2"/>
  <c r="G4323" i="2"/>
  <c r="E4323" i="2"/>
  <c r="B4323" i="2"/>
  <c r="S4322" i="2"/>
  <c r="M4322" i="2"/>
  <c r="L4322" i="2"/>
  <c r="K4322" i="2"/>
  <c r="G4322" i="2"/>
  <c r="E4322" i="2"/>
  <c r="B4322" i="2"/>
  <c r="S4321" i="2"/>
  <c r="M4321" i="2"/>
  <c r="L4321" i="2"/>
  <c r="K4321" i="2"/>
  <c r="G4321" i="2"/>
  <c r="E4321" i="2"/>
  <c r="B4321" i="2"/>
  <c r="S4320" i="2"/>
  <c r="M4320" i="2"/>
  <c r="L4320" i="2"/>
  <c r="K4320" i="2"/>
  <c r="G4320" i="2"/>
  <c r="E4320" i="2"/>
  <c r="B4320" i="2"/>
  <c r="S4319" i="2"/>
  <c r="M4319" i="2"/>
  <c r="L4319" i="2"/>
  <c r="K4319" i="2"/>
  <c r="G4319" i="2"/>
  <c r="E4319" i="2"/>
  <c r="B4319" i="2"/>
  <c r="S4318" i="2"/>
  <c r="M4318" i="2"/>
  <c r="L4318" i="2"/>
  <c r="K4318" i="2"/>
  <c r="G4318" i="2"/>
  <c r="E4318" i="2"/>
  <c r="B4318" i="2"/>
  <c r="S4317" i="2"/>
  <c r="M4317" i="2"/>
  <c r="L4317" i="2"/>
  <c r="K4317" i="2"/>
  <c r="G4317" i="2"/>
  <c r="E4317" i="2"/>
  <c r="B4317" i="2"/>
  <c r="S4316" i="2"/>
  <c r="M4316" i="2"/>
  <c r="L4316" i="2"/>
  <c r="K4316" i="2"/>
  <c r="G4316" i="2"/>
  <c r="E4316" i="2"/>
  <c r="B4316" i="2"/>
  <c r="S4315" i="2"/>
  <c r="M4315" i="2"/>
  <c r="L4315" i="2"/>
  <c r="K4315" i="2"/>
  <c r="G4315" i="2"/>
  <c r="E4315" i="2"/>
  <c r="B4315" i="2"/>
  <c r="S4314" i="2"/>
  <c r="M4314" i="2"/>
  <c r="L4314" i="2"/>
  <c r="K4314" i="2"/>
  <c r="G4314" i="2"/>
  <c r="E4314" i="2"/>
  <c r="B4314" i="2"/>
  <c r="S4313" i="2"/>
  <c r="M4313" i="2"/>
  <c r="L4313" i="2"/>
  <c r="K4313" i="2"/>
  <c r="G4313" i="2"/>
  <c r="E4313" i="2"/>
  <c r="B4313" i="2"/>
  <c r="S4312" i="2"/>
  <c r="M4312" i="2"/>
  <c r="L4312" i="2"/>
  <c r="K4312" i="2"/>
  <c r="G4312" i="2"/>
  <c r="E4312" i="2"/>
  <c r="B4312" i="2"/>
  <c r="S4311" i="2"/>
  <c r="M4311" i="2"/>
  <c r="L4311" i="2"/>
  <c r="K4311" i="2"/>
  <c r="G4311" i="2"/>
  <c r="E4311" i="2"/>
  <c r="B4311" i="2"/>
  <c r="S4310" i="2"/>
  <c r="M4310" i="2"/>
  <c r="L4310" i="2"/>
  <c r="K4310" i="2"/>
  <c r="G4310" i="2"/>
  <c r="E4310" i="2"/>
  <c r="B4310" i="2"/>
  <c r="S4309" i="2"/>
  <c r="M4309" i="2"/>
  <c r="L4309" i="2"/>
  <c r="K4309" i="2"/>
  <c r="G4309" i="2"/>
  <c r="E4309" i="2"/>
  <c r="B4309" i="2"/>
  <c r="S4308" i="2"/>
  <c r="M4308" i="2"/>
  <c r="L4308" i="2"/>
  <c r="K4308" i="2"/>
  <c r="G4308" i="2"/>
  <c r="E4308" i="2"/>
  <c r="B4308" i="2"/>
  <c r="S4307" i="2"/>
  <c r="M4307" i="2"/>
  <c r="L4307" i="2"/>
  <c r="K4307" i="2"/>
  <c r="G4307" i="2"/>
  <c r="E4307" i="2"/>
  <c r="B4307" i="2"/>
  <c r="S4306" i="2"/>
  <c r="M4306" i="2"/>
  <c r="L4306" i="2"/>
  <c r="K4306" i="2"/>
  <c r="G4306" i="2"/>
  <c r="E4306" i="2"/>
  <c r="B4306" i="2"/>
  <c r="S4305" i="2"/>
  <c r="M4305" i="2"/>
  <c r="L4305" i="2"/>
  <c r="K4305" i="2"/>
  <c r="G4305" i="2"/>
  <c r="E4305" i="2"/>
  <c r="B4305" i="2"/>
  <c r="S4304" i="2"/>
  <c r="M4304" i="2"/>
  <c r="L4304" i="2"/>
  <c r="K4304" i="2"/>
  <c r="G4304" i="2"/>
  <c r="E4304" i="2"/>
  <c r="B4304" i="2"/>
  <c r="S4303" i="2"/>
  <c r="M4303" i="2"/>
  <c r="L4303" i="2"/>
  <c r="K4303" i="2"/>
  <c r="G4303" i="2"/>
  <c r="E4303" i="2"/>
  <c r="B4303" i="2"/>
  <c r="S4302" i="2"/>
  <c r="M4302" i="2"/>
  <c r="L4302" i="2"/>
  <c r="K4302" i="2"/>
  <c r="G4302" i="2"/>
  <c r="E4302" i="2"/>
  <c r="B4302" i="2"/>
  <c r="S4301" i="2"/>
  <c r="M4301" i="2"/>
  <c r="L4301" i="2"/>
  <c r="K4301" i="2"/>
  <c r="G4301" i="2"/>
  <c r="E4301" i="2"/>
  <c r="B4301" i="2"/>
  <c r="S4300" i="2"/>
  <c r="M4300" i="2"/>
  <c r="L4300" i="2"/>
  <c r="K4300" i="2"/>
  <c r="G4300" i="2"/>
  <c r="E4300" i="2"/>
  <c r="B4300" i="2"/>
  <c r="S4299" i="2"/>
  <c r="M4299" i="2"/>
  <c r="L4299" i="2"/>
  <c r="K4299" i="2"/>
  <c r="G4299" i="2"/>
  <c r="E4299" i="2"/>
  <c r="B4299" i="2"/>
  <c r="S4298" i="2"/>
  <c r="M4298" i="2"/>
  <c r="L4298" i="2"/>
  <c r="K4298" i="2"/>
  <c r="G4298" i="2"/>
  <c r="E4298" i="2"/>
  <c r="B4298" i="2"/>
  <c r="S4297" i="2"/>
  <c r="M4297" i="2"/>
  <c r="L4297" i="2"/>
  <c r="K4297" i="2"/>
  <c r="G4297" i="2"/>
  <c r="E4297" i="2"/>
  <c r="B4297" i="2"/>
  <c r="S4296" i="2"/>
  <c r="M4296" i="2"/>
  <c r="L4296" i="2"/>
  <c r="K4296" i="2"/>
  <c r="G4296" i="2"/>
  <c r="E4296" i="2"/>
  <c r="B4296" i="2"/>
  <c r="S4295" i="2"/>
  <c r="M4295" i="2"/>
  <c r="L4295" i="2"/>
  <c r="K4295" i="2"/>
  <c r="G4295" i="2"/>
  <c r="E4295" i="2"/>
  <c r="B4295" i="2"/>
  <c r="S4294" i="2"/>
  <c r="M4294" i="2"/>
  <c r="L4294" i="2"/>
  <c r="K4294" i="2"/>
  <c r="G4294" i="2"/>
  <c r="E4294" i="2"/>
  <c r="B4294" i="2"/>
  <c r="S4293" i="2"/>
  <c r="M4293" i="2"/>
  <c r="L4293" i="2"/>
  <c r="K4293" i="2"/>
  <c r="G4293" i="2"/>
  <c r="E4293" i="2"/>
  <c r="B4293" i="2"/>
  <c r="S4292" i="2"/>
  <c r="M4292" i="2"/>
  <c r="L4292" i="2"/>
  <c r="K4292" i="2"/>
  <c r="G4292" i="2"/>
  <c r="E4292" i="2"/>
  <c r="B4292" i="2"/>
  <c r="S4291" i="2"/>
  <c r="M4291" i="2"/>
  <c r="L4291" i="2"/>
  <c r="K4291" i="2"/>
  <c r="G4291" i="2"/>
  <c r="E4291" i="2"/>
  <c r="B4291" i="2"/>
  <c r="S4290" i="2"/>
  <c r="M4290" i="2"/>
  <c r="L4290" i="2"/>
  <c r="K4290" i="2"/>
  <c r="G4290" i="2"/>
  <c r="E4290" i="2"/>
  <c r="B4290" i="2"/>
  <c r="S4289" i="2"/>
  <c r="M4289" i="2"/>
  <c r="L4289" i="2"/>
  <c r="K4289" i="2"/>
  <c r="G4289" i="2"/>
  <c r="E4289" i="2"/>
  <c r="B4289" i="2"/>
  <c r="S4288" i="2"/>
  <c r="M4288" i="2"/>
  <c r="L4288" i="2"/>
  <c r="K4288" i="2"/>
  <c r="G4288" i="2"/>
  <c r="E4288" i="2"/>
  <c r="B4288" i="2"/>
  <c r="S4287" i="2"/>
  <c r="M4287" i="2"/>
  <c r="L4287" i="2"/>
  <c r="K4287" i="2"/>
  <c r="G4287" i="2"/>
  <c r="E4287" i="2"/>
  <c r="B4287" i="2"/>
  <c r="S4286" i="2"/>
  <c r="M4286" i="2"/>
  <c r="L4286" i="2"/>
  <c r="K4286" i="2"/>
  <c r="G4286" i="2"/>
  <c r="E4286" i="2"/>
  <c r="B4286" i="2"/>
  <c r="S4285" i="2"/>
  <c r="M4285" i="2"/>
  <c r="L4285" i="2"/>
  <c r="K4285" i="2"/>
  <c r="G4285" i="2"/>
  <c r="E4285" i="2"/>
  <c r="B4285" i="2"/>
  <c r="S4284" i="2"/>
  <c r="M4284" i="2"/>
  <c r="L4284" i="2"/>
  <c r="K4284" i="2"/>
  <c r="G4284" i="2"/>
  <c r="E4284" i="2"/>
  <c r="B4284" i="2"/>
  <c r="S4283" i="2"/>
  <c r="M4283" i="2"/>
  <c r="L4283" i="2"/>
  <c r="K4283" i="2"/>
  <c r="G4283" i="2"/>
  <c r="E4283" i="2"/>
  <c r="B4283" i="2"/>
  <c r="S4282" i="2"/>
  <c r="M4282" i="2"/>
  <c r="L4282" i="2"/>
  <c r="K4282" i="2"/>
  <c r="G4282" i="2"/>
  <c r="E4282" i="2"/>
  <c r="B4282" i="2"/>
  <c r="S4281" i="2"/>
  <c r="M4281" i="2"/>
  <c r="L4281" i="2"/>
  <c r="K4281" i="2"/>
  <c r="G4281" i="2"/>
  <c r="E4281" i="2"/>
  <c r="B4281" i="2"/>
  <c r="S4280" i="2"/>
  <c r="M4280" i="2"/>
  <c r="L4280" i="2"/>
  <c r="K4280" i="2"/>
  <c r="G4280" i="2"/>
  <c r="E4280" i="2"/>
  <c r="B4280" i="2"/>
  <c r="S4279" i="2"/>
  <c r="M4279" i="2"/>
  <c r="L4279" i="2"/>
  <c r="K4279" i="2"/>
  <c r="G4279" i="2"/>
  <c r="E4279" i="2"/>
  <c r="B4279" i="2"/>
  <c r="S4278" i="2"/>
  <c r="M4278" i="2"/>
  <c r="L4278" i="2"/>
  <c r="K4278" i="2"/>
  <c r="G4278" i="2"/>
  <c r="E4278" i="2"/>
  <c r="B4278" i="2"/>
  <c r="S4277" i="2"/>
  <c r="M4277" i="2"/>
  <c r="L4277" i="2"/>
  <c r="K4277" i="2"/>
  <c r="G4277" i="2"/>
  <c r="E4277" i="2"/>
  <c r="B4277" i="2"/>
  <c r="S4276" i="2"/>
  <c r="M4276" i="2"/>
  <c r="L4276" i="2"/>
  <c r="K4276" i="2"/>
  <c r="G4276" i="2"/>
  <c r="E4276" i="2"/>
  <c r="B4276" i="2"/>
  <c r="S4275" i="2"/>
  <c r="M4275" i="2"/>
  <c r="L4275" i="2"/>
  <c r="K4275" i="2"/>
  <c r="G4275" i="2"/>
  <c r="E4275" i="2"/>
  <c r="B4275" i="2"/>
  <c r="S4274" i="2"/>
  <c r="M4274" i="2"/>
  <c r="L4274" i="2"/>
  <c r="K4274" i="2"/>
  <c r="G4274" i="2"/>
  <c r="E4274" i="2"/>
  <c r="B4274" i="2"/>
  <c r="S4273" i="2"/>
  <c r="M4273" i="2"/>
  <c r="L4273" i="2"/>
  <c r="K4273" i="2"/>
  <c r="G4273" i="2"/>
  <c r="E4273" i="2"/>
  <c r="B4273" i="2"/>
  <c r="S4272" i="2"/>
  <c r="M4272" i="2"/>
  <c r="L4272" i="2"/>
  <c r="K4272" i="2"/>
  <c r="G4272" i="2"/>
  <c r="E4272" i="2"/>
  <c r="B4272" i="2"/>
  <c r="S4271" i="2"/>
  <c r="M4271" i="2"/>
  <c r="L4271" i="2"/>
  <c r="K4271" i="2"/>
  <c r="G4271" i="2"/>
  <c r="E4271" i="2"/>
  <c r="B4271" i="2"/>
  <c r="S4270" i="2"/>
  <c r="M4270" i="2"/>
  <c r="L4270" i="2"/>
  <c r="K4270" i="2"/>
  <c r="G4270" i="2"/>
  <c r="E4270" i="2"/>
  <c r="B4270" i="2"/>
  <c r="S4269" i="2"/>
  <c r="M4269" i="2"/>
  <c r="L4269" i="2"/>
  <c r="K4269" i="2"/>
  <c r="G4269" i="2"/>
  <c r="E4269" i="2"/>
  <c r="B4269" i="2"/>
  <c r="S4268" i="2"/>
  <c r="M4268" i="2"/>
  <c r="L4268" i="2"/>
  <c r="K4268" i="2"/>
  <c r="G4268" i="2"/>
  <c r="E4268" i="2"/>
  <c r="B4268" i="2"/>
  <c r="S4267" i="2"/>
  <c r="M4267" i="2"/>
  <c r="L4267" i="2"/>
  <c r="K4267" i="2"/>
  <c r="G4267" i="2"/>
  <c r="E4267" i="2"/>
  <c r="B4267" i="2"/>
  <c r="S4266" i="2"/>
  <c r="M4266" i="2"/>
  <c r="L4266" i="2"/>
  <c r="K4266" i="2"/>
  <c r="G4266" i="2"/>
  <c r="E4266" i="2"/>
  <c r="B4266" i="2"/>
  <c r="S4265" i="2"/>
  <c r="M4265" i="2"/>
  <c r="L4265" i="2"/>
  <c r="K4265" i="2"/>
  <c r="G4265" i="2"/>
  <c r="E4265" i="2"/>
  <c r="B4265" i="2"/>
  <c r="S4264" i="2"/>
  <c r="M4264" i="2"/>
  <c r="L4264" i="2"/>
  <c r="K4264" i="2"/>
  <c r="G4264" i="2"/>
  <c r="E4264" i="2"/>
  <c r="B4264" i="2"/>
  <c r="S4263" i="2"/>
  <c r="M4263" i="2"/>
  <c r="L4263" i="2"/>
  <c r="K4263" i="2"/>
  <c r="G4263" i="2"/>
  <c r="E4263" i="2"/>
  <c r="B4263" i="2"/>
  <c r="S4262" i="2"/>
  <c r="M4262" i="2"/>
  <c r="L4262" i="2"/>
  <c r="K4262" i="2"/>
  <c r="G4262" i="2"/>
  <c r="E4262" i="2"/>
  <c r="B4262" i="2"/>
  <c r="S4261" i="2"/>
  <c r="M4261" i="2"/>
  <c r="L4261" i="2"/>
  <c r="K4261" i="2"/>
  <c r="G4261" i="2"/>
  <c r="E4261" i="2"/>
  <c r="B4261" i="2"/>
  <c r="S4260" i="2"/>
  <c r="M4260" i="2"/>
  <c r="L4260" i="2"/>
  <c r="K4260" i="2"/>
  <c r="G4260" i="2"/>
  <c r="E4260" i="2"/>
  <c r="B4260" i="2"/>
  <c r="S4259" i="2"/>
  <c r="M4259" i="2"/>
  <c r="L4259" i="2"/>
  <c r="K4259" i="2"/>
  <c r="G4259" i="2"/>
  <c r="E4259" i="2"/>
  <c r="B4259" i="2"/>
  <c r="S4258" i="2"/>
  <c r="M4258" i="2"/>
  <c r="L4258" i="2"/>
  <c r="K4258" i="2"/>
  <c r="G4258" i="2"/>
  <c r="E4258" i="2"/>
  <c r="B4258" i="2"/>
  <c r="S4257" i="2"/>
  <c r="M4257" i="2"/>
  <c r="L4257" i="2"/>
  <c r="K4257" i="2"/>
  <c r="G4257" i="2"/>
  <c r="E4257" i="2"/>
  <c r="B4257" i="2"/>
  <c r="S4256" i="2"/>
  <c r="M4256" i="2"/>
  <c r="L4256" i="2"/>
  <c r="K4256" i="2"/>
  <c r="G4256" i="2"/>
  <c r="E4256" i="2"/>
  <c r="B4256" i="2"/>
  <c r="S4255" i="2"/>
  <c r="M4255" i="2"/>
  <c r="L4255" i="2"/>
  <c r="K4255" i="2"/>
  <c r="G4255" i="2"/>
  <c r="E4255" i="2"/>
  <c r="B4255" i="2"/>
  <c r="S4254" i="2"/>
  <c r="M4254" i="2"/>
  <c r="L4254" i="2"/>
  <c r="K4254" i="2"/>
  <c r="G4254" i="2"/>
  <c r="E4254" i="2"/>
  <c r="B4254" i="2"/>
  <c r="S4253" i="2"/>
  <c r="M4253" i="2"/>
  <c r="L4253" i="2"/>
  <c r="K4253" i="2"/>
  <c r="G4253" i="2"/>
  <c r="E4253" i="2"/>
  <c r="B4253" i="2"/>
  <c r="S4252" i="2"/>
  <c r="M4252" i="2"/>
  <c r="L4252" i="2"/>
  <c r="K4252" i="2"/>
  <c r="G4252" i="2"/>
  <c r="E4252" i="2"/>
  <c r="B4252" i="2"/>
  <c r="S4251" i="2"/>
  <c r="M4251" i="2"/>
  <c r="L4251" i="2"/>
  <c r="K4251" i="2"/>
  <c r="G4251" i="2"/>
  <c r="E4251" i="2"/>
  <c r="B4251" i="2"/>
  <c r="S4250" i="2"/>
  <c r="M4250" i="2"/>
  <c r="L4250" i="2"/>
  <c r="K4250" i="2"/>
  <c r="G4250" i="2"/>
  <c r="E4250" i="2"/>
  <c r="B4250" i="2"/>
  <c r="S4249" i="2"/>
  <c r="M4249" i="2"/>
  <c r="L4249" i="2"/>
  <c r="K4249" i="2"/>
  <c r="G4249" i="2"/>
  <c r="E4249" i="2"/>
  <c r="B4249" i="2"/>
  <c r="S4248" i="2"/>
  <c r="M4248" i="2"/>
  <c r="L4248" i="2"/>
  <c r="K4248" i="2"/>
  <c r="G4248" i="2"/>
  <c r="E4248" i="2"/>
  <c r="B4248" i="2"/>
  <c r="S4247" i="2"/>
  <c r="M4247" i="2"/>
  <c r="L4247" i="2"/>
  <c r="K4247" i="2"/>
  <c r="G4247" i="2"/>
  <c r="E4247" i="2"/>
  <c r="B4247" i="2"/>
  <c r="S4246" i="2"/>
  <c r="M4246" i="2"/>
  <c r="L4246" i="2"/>
  <c r="K4246" i="2"/>
  <c r="G4246" i="2"/>
  <c r="E4246" i="2"/>
  <c r="B4246" i="2"/>
  <c r="S4245" i="2"/>
  <c r="M4245" i="2"/>
  <c r="L4245" i="2"/>
  <c r="K4245" i="2"/>
  <c r="G4245" i="2"/>
  <c r="E4245" i="2"/>
  <c r="B4245" i="2"/>
  <c r="S4244" i="2"/>
  <c r="M4244" i="2"/>
  <c r="L4244" i="2"/>
  <c r="K4244" i="2"/>
  <c r="G4244" i="2"/>
  <c r="E4244" i="2"/>
  <c r="B4244" i="2"/>
  <c r="S4243" i="2"/>
  <c r="M4243" i="2"/>
  <c r="L4243" i="2"/>
  <c r="K4243" i="2"/>
  <c r="G4243" i="2"/>
  <c r="E4243" i="2"/>
  <c r="B4243" i="2"/>
  <c r="S4242" i="2"/>
  <c r="M4242" i="2"/>
  <c r="L4242" i="2"/>
  <c r="K4242" i="2"/>
  <c r="G4242" i="2"/>
  <c r="E4242" i="2"/>
  <c r="B4242" i="2"/>
  <c r="S4241" i="2"/>
  <c r="M4241" i="2"/>
  <c r="L4241" i="2"/>
  <c r="K4241" i="2"/>
  <c r="G4241" i="2"/>
  <c r="E4241" i="2"/>
  <c r="B4241" i="2"/>
  <c r="S4240" i="2"/>
  <c r="M4240" i="2"/>
  <c r="L4240" i="2"/>
  <c r="K4240" i="2"/>
  <c r="G4240" i="2"/>
  <c r="E4240" i="2"/>
  <c r="B4240" i="2"/>
  <c r="S4239" i="2"/>
  <c r="M4239" i="2"/>
  <c r="L4239" i="2"/>
  <c r="K4239" i="2"/>
  <c r="G4239" i="2"/>
  <c r="E4239" i="2"/>
  <c r="B4239" i="2"/>
  <c r="S4238" i="2"/>
  <c r="M4238" i="2"/>
  <c r="L4238" i="2"/>
  <c r="K4238" i="2"/>
  <c r="G4238" i="2"/>
  <c r="E4238" i="2"/>
  <c r="B4238" i="2"/>
  <c r="S4237" i="2"/>
  <c r="M4237" i="2"/>
  <c r="L4237" i="2"/>
  <c r="K4237" i="2"/>
  <c r="G4237" i="2"/>
  <c r="E4237" i="2"/>
  <c r="B4237" i="2"/>
  <c r="S4236" i="2"/>
  <c r="M4236" i="2"/>
  <c r="L4236" i="2"/>
  <c r="K4236" i="2"/>
  <c r="G4236" i="2"/>
  <c r="E4236" i="2"/>
  <c r="B4236" i="2"/>
  <c r="S4235" i="2"/>
  <c r="M4235" i="2"/>
  <c r="L4235" i="2"/>
  <c r="K4235" i="2"/>
  <c r="G4235" i="2"/>
  <c r="E4235" i="2"/>
  <c r="B4235" i="2"/>
  <c r="S4234" i="2"/>
  <c r="M4234" i="2"/>
  <c r="L4234" i="2"/>
  <c r="K4234" i="2"/>
  <c r="G4234" i="2"/>
  <c r="E4234" i="2"/>
  <c r="B4234" i="2"/>
  <c r="S4233" i="2"/>
  <c r="M4233" i="2"/>
  <c r="L4233" i="2"/>
  <c r="K4233" i="2"/>
  <c r="G4233" i="2"/>
  <c r="E4233" i="2"/>
  <c r="B4233" i="2"/>
  <c r="S4232" i="2"/>
  <c r="M4232" i="2"/>
  <c r="L4232" i="2"/>
  <c r="K4232" i="2"/>
  <c r="G4232" i="2"/>
  <c r="E4232" i="2"/>
  <c r="B4232" i="2"/>
  <c r="S4231" i="2"/>
  <c r="M4231" i="2"/>
  <c r="L4231" i="2"/>
  <c r="K4231" i="2"/>
  <c r="G4231" i="2"/>
  <c r="E4231" i="2"/>
  <c r="B4231" i="2"/>
  <c r="S4230" i="2"/>
  <c r="M4230" i="2"/>
  <c r="L4230" i="2"/>
  <c r="K4230" i="2"/>
  <c r="G4230" i="2"/>
  <c r="E4230" i="2"/>
  <c r="B4230" i="2"/>
  <c r="S4229" i="2"/>
  <c r="M4229" i="2"/>
  <c r="L4229" i="2"/>
  <c r="K4229" i="2"/>
  <c r="G4229" i="2"/>
  <c r="E4229" i="2"/>
  <c r="B4229" i="2"/>
  <c r="S4228" i="2"/>
  <c r="M4228" i="2"/>
  <c r="L4228" i="2"/>
  <c r="K4228" i="2"/>
  <c r="G4228" i="2"/>
  <c r="E4228" i="2"/>
  <c r="B4228" i="2"/>
  <c r="S4227" i="2"/>
  <c r="M4227" i="2"/>
  <c r="L4227" i="2"/>
  <c r="K4227" i="2"/>
  <c r="G4227" i="2"/>
  <c r="E4227" i="2"/>
  <c r="B4227" i="2"/>
  <c r="S4226" i="2"/>
  <c r="M4226" i="2"/>
  <c r="L4226" i="2"/>
  <c r="K4226" i="2"/>
  <c r="G4226" i="2"/>
  <c r="E4226" i="2"/>
  <c r="B4226" i="2"/>
  <c r="S4225" i="2"/>
  <c r="M4225" i="2"/>
  <c r="L4225" i="2"/>
  <c r="K4225" i="2"/>
  <c r="G4225" i="2"/>
  <c r="E4225" i="2"/>
  <c r="B4225" i="2"/>
  <c r="S4224" i="2"/>
  <c r="M4224" i="2"/>
  <c r="L4224" i="2"/>
  <c r="K4224" i="2"/>
  <c r="G4224" i="2"/>
  <c r="E4224" i="2"/>
  <c r="B4224" i="2"/>
  <c r="S4223" i="2"/>
  <c r="M4223" i="2"/>
  <c r="L4223" i="2"/>
  <c r="K4223" i="2"/>
  <c r="G4223" i="2"/>
  <c r="E4223" i="2"/>
  <c r="B4223" i="2"/>
  <c r="S4222" i="2"/>
  <c r="M4222" i="2"/>
  <c r="L4222" i="2"/>
  <c r="K4222" i="2"/>
  <c r="G4222" i="2"/>
  <c r="E4222" i="2"/>
  <c r="B4222" i="2"/>
  <c r="S4221" i="2"/>
  <c r="M4221" i="2"/>
  <c r="L4221" i="2"/>
  <c r="K4221" i="2"/>
  <c r="G4221" i="2"/>
  <c r="E4221" i="2"/>
  <c r="B4221" i="2"/>
  <c r="S4220" i="2"/>
  <c r="M4220" i="2"/>
  <c r="L4220" i="2"/>
  <c r="K4220" i="2"/>
  <c r="G4220" i="2"/>
  <c r="E4220" i="2"/>
  <c r="B4220" i="2"/>
  <c r="S4219" i="2"/>
  <c r="M4219" i="2"/>
  <c r="L4219" i="2"/>
  <c r="K4219" i="2"/>
  <c r="G4219" i="2"/>
  <c r="E4219" i="2"/>
  <c r="B4219" i="2"/>
  <c r="S4218" i="2"/>
  <c r="M4218" i="2"/>
  <c r="L4218" i="2"/>
  <c r="K4218" i="2"/>
  <c r="G4218" i="2"/>
  <c r="E4218" i="2"/>
  <c r="B4218" i="2"/>
  <c r="S4217" i="2"/>
  <c r="M4217" i="2"/>
  <c r="L4217" i="2"/>
  <c r="K4217" i="2"/>
  <c r="G4217" i="2"/>
  <c r="E4217" i="2"/>
  <c r="B4217" i="2"/>
  <c r="S4216" i="2"/>
  <c r="M4216" i="2"/>
  <c r="L4216" i="2"/>
  <c r="K4216" i="2"/>
  <c r="G4216" i="2"/>
  <c r="E4216" i="2"/>
  <c r="B4216" i="2"/>
  <c r="S4215" i="2"/>
  <c r="M4215" i="2"/>
  <c r="L4215" i="2"/>
  <c r="K4215" i="2"/>
  <c r="G4215" i="2"/>
  <c r="E4215" i="2"/>
  <c r="B4215" i="2"/>
  <c r="S4214" i="2"/>
  <c r="M4214" i="2"/>
  <c r="L4214" i="2"/>
  <c r="K4214" i="2"/>
  <c r="G4214" i="2"/>
  <c r="E4214" i="2"/>
  <c r="B4214" i="2"/>
  <c r="S4213" i="2"/>
  <c r="M4213" i="2"/>
  <c r="L4213" i="2"/>
  <c r="K4213" i="2"/>
  <c r="G4213" i="2"/>
  <c r="E4213" i="2"/>
  <c r="B4213" i="2"/>
  <c r="S4212" i="2"/>
  <c r="M4212" i="2"/>
  <c r="L4212" i="2"/>
  <c r="K4212" i="2"/>
  <c r="G4212" i="2"/>
  <c r="E4212" i="2"/>
  <c r="B4212" i="2"/>
  <c r="S4211" i="2"/>
  <c r="M4211" i="2"/>
  <c r="L4211" i="2"/>
  <c r="K4211" i="2"/>
  <c r="G4211" i="2"/>
  <c r="E4211" i="2"/>
  <c r="B4211" i="2"/>
  <c r="S4210" i="2"/>
  <c r="M4210" i="2"/>
  <c r="L4210" i="2"/>
  <c r="K4210" i="2"/>
  <c r="G4210" i="2"/>
  <c r="E4210" i="2"/>
  <c r="B4210" i="2"/>
  <c r="S4209" i="2"/>
  <c r="M4209" i="2"/>
  <c r="L4209" i="2"/>
  <c r="K4209" i="2"/>
  <c r="G4209" i="2"/>
  <c r="E4209" i="2"/>
  <c r="B4209" i="2"/>
  <c r="S4208" i="2"/>
  <c r="M4208" i="2"/>
  <c r="L4208" i="2"/>
  <c r="K4208" i="2"/>
  <c r="G4208" i="2"/>
  <c r="E4208" i="2"/>
  <c r="B4208" i="2"/>
  <c r="S4207" i="2"/>
  <c r="M4207" i="2"/>
  <c r="L4207" i="2"/>
  <c r="K4207" i="2"/>
  <c r="G4207" i="2"/>
  <c r="E4207" i="2"/>
  <c r="B4207" i="2"/>
  <c r="S4206" i="2"/>
  <c r="M4206" i="2"/>
  <c r="L4206" i="2"/>
  <c r="K4206" i="2"/>
  <c r="G4206" i="2"/>
  <c r="E4206" i="2"/>
  <c r="B4206" i="2"/>
  <c r="S4205" i="2"/>
  <c r="M4205" i="2"/>
  <c r="L4205" i="2"/>
  <c r="K4205" i="2"/>
  <c r="G4205" i="2"/>
  <c r="E4205" i="2"/>
  <c r="B4205" i="2"/>
  <c r="S4204" i="2"/>
  <c r="M4204" i="2"/>
  <c r="L4204" i="2"/>
  <c r="K4204" i="2"/>
  <c r="G4204" i="2"/>
  <c r="E4204" i="2"/>
  <c r="B4204" i="2"/>
  <c r="S4203" i="2"/>
  <c r="M4203" i="2"/>
  <c r="L4203" i="2"/>
  <c r="K4203" i="2"/>
  <c r="G4203" i="2"/>
  <c r="E4203" i="2"/>
  <c r="B4203" i="2"/>
  <c r="S4202" i="2"/>
  <c r="M4202" i="2"/>
  <c r="L4202" i="2"/>
  <c r="K4202" i="2"/>
  <c r="G4202" i="2"/>
  <c r="E4202" i="2"/>
  <c r="B4202" i="2"/>
  <c r="S4201" i="2"/>
  <c r="M4201" i="2"/>
  <c r="L4201" i="2"/>
  <c r="K4201" i="2"/>
  <c r="G4201" i="2"/>
  <c r="E4201" i="2"/>
  <c r="B4201" i="2"/>
  <c r="S4200" i="2"/>
  <c r="M4200" i="2"/>
  <c r="L4200" i="2"/>
  <c r="K4200" i="2"/>
  <c r="G4200" i="2"/>
  <c r="E4200" i="2"/>
  <c r="B4200" i="2"/>
  <c r="S4199" i="2"/>
  <c r="M4199" i="2"/>
  <c r="L4199" i="2"/>
  <c r="K4199" i="2"/>
  <c r="G4199" i="2"/>
  <c r="E4199" i="2"/>
  <c r="B4199" i="2"/>
  <c r="S4198" i="2"/>
  <c r="M4198" i="2"/>
  <c r="L4198" i="2"/>
  <c r="K4198" i="2"/>
  <c r="G4198" i="2"/>
  <c r="E4198" i="2"/>
  <c r="B4198" i="2"/>
  <c r="S4197" i="2"/>
  <c r="M4197" i="2"/>
  <c r="L4197" i="2"/>
  <c r="K4197" i="2"/>
  <c r="G4197" i="2"/>
  <c r="E4197" i="2"/>
  <c r="B4197" i="2"/>
  <c r="S4196" i="2"/>
  <c r="M4196" i="2"/>
  <c r="L4196" i="2"/>
  <c r="K4196" i="2"/>
  <c r="G4196" i="2"/>
  <c r="E4196" i="2"/>
  <c r="B4196" i="2"/>
  <c r="S4195" i="2"/>
  <c r="M4195" i="2"/>
  <c r="L4195" i="2"/>
  <c r="K4195" i="2"/>
  <c r="G4195" i="2"/>
  <c r="E4195" i="2"/>
  <c r="B4195" i="2"/>
  <c r="S4194" i="2"/>
  <c r="M4194" i="2"/>
  <c r="L4194" i="2"/>
  <c r="K4194" i="2"/>
  <c r="G4194" i="2"/>
  <c r="E4194" i="2"/>
  <c r="B4194" i="2"/>
  <c r="S4193" i="2"/>
  <c r="M4193" i="2"/>
  <c r="L4193" i="2"/>
  <c r="K4193" i="2"/>
  <c r="G4193" i="2"/>
  <c r="E4193" i="2"/>
  <c r="B4193" i="2"/>
  <c r="S4192" i="2"/>
  <c r="M4192" i="2"/>
  <c r="L4192" i="2"/>
  <c r="K4192" i="2"/>
  <c r="G4192" i="2"/>
  <c r="E4192" i="2"/>
  <c r="B4192" i="2"/>
  <c r="S4191" i="2"/>
  <c r="M4191" i="2"/>
  <c r="L4191" i="2"/>
  <c r="K4191" i="2"/>
  <c r="G4191" i="2"/>
  <c r="E4191" i="2"/>
  <c r="B4191" i="2"/>
  <c r="S4190" i="2"/>
  <c r="M4190" i="2"/>
  <c r="L4190" i="2"/>
  <c r="K4190" i="2"/>
  <c r="G4190" i="2"/>
  <c r="E4190" i="2"/>
  <c r="B4190" i="2"/>
  <c r="S4189" i="2"/>
  <c r="M4189" i="2"/>
  <c r="L4189" i="2"/>
  <c r="K4189" i="2"/>
  <c r="G4189" i="2"/>
  <c r="E4189" i="2"/>
  <c r="B4189" i="2"/>
  <c r="S4188" i="2"/>
  <c r="M4188" i="2"/>
  <c r="L4188" i="2"/>
  <c r="K4188" i="2"/>
  <c r="G4188" i="2"/>
  <c r="E4188" i="2"/>
  <c r="B4188" i="2"/>
  <c r="S4187" i="2"/>
  <c r="M4187" i="2"/>
  <c r="L4187" i="2"/>
  <c r="K4187" i="2"/>
  <c r="G4187" i="2"/>
  <c r="E4187" i="2"/>
  <c r="B4187" i="2"/>
  <c r="S4186" i="2"/>
  <c r="M4186" i="2"/>
  <c r="L4186" i="2"/>
  <c r="K4186" i="2"/>
  <c r="G4186" i="2"/>
  <c r="E4186" i="2"/>
  <c r="B4186" i="2"/>
  <c r="S4185" i="2"/>
  <c r="M4185" i="2"/>
  <c r="L4185" i="2"/>
  <c r="K4185" i="2"/>
  <c r="G4185" i="2"/>
  <c r="E4185" i="2"/>
  <c r="B4185" i="2"/>
  <c r="S4184" i="2"/>
  <c r="M4184" i="2"/>
  <c r="L4184" i="2"/>
  <c r="K4184" i="2"/>
  <c r="G4184" i="2"/>
  <c r="E4184" i="2"/>
  <c r="B4184" i="2"/>
  <c r="S4183" i="2"/>
  <c r="M4183" i="2"/>
  <c r="L4183" i="2"/>
  <c r="K4183" i="2"/>
  <c r="G4183" i="2"/>
  <c r="E4183" i="2"/>
  <c r="B4183" i="2"/>
  <c r="S4182" i="2"/>
  <c r="M4182" i="2"/>
  <c r="L4182" i="2"/>
  <c r="K4182" i="2"/>
  <c r="G4182" i="2"/>
  <c r="E4182" i="2"/>
  <c r="B4182" i="2"/>
  <c r="S4181" i="2"/>
  <c r="M4181" i="2"/>
  <c r="L4181" i="2"/>
  <c r="K4181" i="2"/>
  <c r="G4181" i="2"/>
  <c r="E4181" i="2"/>
  <c r="B4181" i="2"/>
  <c r="S4180" i="2"/>
  <c r="M4180" i="2"/>
  <c r="L4180" i="2"/>
  <c r="K4180" i="2"/>
  <c r="G4180" i="2"/>
  <c r="E4180" i="2"/>
  <c r="B4180" i="2"/>
  <c r="S4179" i="2"/>
  <c r="M4179" i="2"/>
  <c r="L4179" i="2"/>
  <c r="K4179" i="2"/>
  <c r="G4179" i="2"/>
  <c r="E4179" i="2"/>
  <c r="B4179" i="2"/>
  <c r="S4178" i="2"/>
  <c r="M4178" i="2"/>
  <c r="L4178" i="2"/>
  <c r="K4178" i="2"/>
  <c r="G4178" i="2"/>
  <c r="E4178" i="2"/>
  <c r="B4178" i="2"/>
  <c r="S4177" i="2"/>
  <c r="M4177" i="2"/>
  <c r="L4177" i="2"/>
  <c r="K4177" i="2"/>
  <c r="G4177" i="2"/>
  <c r="E4177" i="2"/>
  <c r="B4177" i="2"/>
  <c r="S4176" i="2"/>
  <c r="M4176" i="2"/>
  <c r="L4176" i="2"/>
  <c r="K4176" i="2"/>
  <c r="G4176" i="2"/>
  <c r="E4176" i="2"/>
  <c r="B4176" i="2"/>
  <c r="S4175" i="2"/>
  <c r="M4175" i="2"/>
  <c r="L4175" i="2"/>
  <c r="K4175" i="2"/>
  <c r="G4175" i="2"/>
  <c r="E4175" i="2"/>
  <c r="B4175" i="2"/>
  <c r="S4174" i="2"/>
  <c r="M4174" i="2"/>
  <c r="L4174" i="2"/>
  <c r="K4174" i="2"/>
  <c r="G4174" i="2"/>
  <c r="E4174" i="2"/>
  <c r="B4174" i="2"/>
  <c r="S4173" i="2"/>
  <c r="M4173" i="2"/>
  <c r="L4173" i="2"/>
  <c r="K4173" i="2"/>
  <c r="G4173" i="2"/>
  <c r="E4173" i="2"/>
  <c r="B4173" i="2"/>
  <c r="S4172" i="2"/>
  <c r="M4172" i="2"/>
  <c r="L4172" i="2"/>
  <c r="K4172" i="2"/>
  <c r="G4172" i="2"/>
  <c r="E4172" i="2"/>
  <c r="B4172" i="2"/>
  <c r="S4171" i="2"/>
  <c r="M4171" i="2"/>
  <c r="L4171" i="2"/>
  <c r="K4171" i="2"/>
  <c r="G4171" i="2"/>
  <c r="E4171" i="2"/>
  <c r="B4171" i="2"/>
  <c r="S4170" i="2"/>
  <c r="M4170" i="2"/>
  <c r="L4170" i="2"/>
  <c r="K4170" i="2"/>
  <c r="G4170" i="2"/>
  <c r="E4170" i="2"/>
  <c r="B4170" i="2"/>
  <c r="S4169" i="2"/>
  <c r="M4169" i="2"/>
  <c r="L4169" i="2"/>
  <c r="K4169" i="2"/>
  <c r="G4169" i="2"/>
  <c r="E4169" i="2"/>
  <c r="B4169" i="2"/>
  <c r="S4168" i="2"/>
  <c r="M4168" i="2"/>
  <c r="L4168" i="2"/>
  <c r="K4168" i="2"/>
  <c r="G4168" i="2"/>
  <c r="E4168" i="2"/>
  <c r="B4168" i="2"/>
  <c r="S4167" i="2"/>
  <c r="M4167" i="2"/>
  <c r="L4167" i="2"/>
  <c r="K4167" i="2"/>
  <c r="G4167" i="2"/>
  <c r="E4167" i="2"/>
  <c r="B4167" i="2"/>
  <c r="S4166" i="2"/>
  <c r="M4166" i="2"/>
  <c r="L4166" i="2"/>
  <c r="K4166" i="2"/>
  <c r="G4166" i="2"/>
  <c r="E4166" i="2"/>
  <c r="B4166" i="2"/>
  <c r="S4165" i="2"/>
  <c r="M4165" i="2"/>
  <c r="L4165" i="2"/>
  <c r="K4165" i="2"/>
  <c r="G4165" i="2"/>
  <c r="E4165" i="2"/>
  <c r="B4165" i="2"/>
  <c r="S4164" i="2"/>
  <c r="M4164" i="2"/>
  <c r="L4164" i="2"/>
  <c r="K4164" i="2"/>
  <c r="G4164" i="2"/>
  <c r="E4164" i="2"/>
  <c r="B4164" i="2"/>
  <c r="S4163" i="2"/>
  <c r="M4163" i="2"/>
  <c r="L4163" i="2"/>
  <c r="K4163" i="2"/>
  <c r="G4163" i="2"/>
  <c r="E4163" i="2"/>
  <c r="B4163" i="2"/>
  <c r="S4162" i="2"/>
  <c r="M4162" i="2"/>
  <c r="L4162" i="2"/>
  <c r="K4162" i="2"/>
  <c r="G4162" i="2"/>
  <c r="E4162" i="2"/>
  <c r="B4162" i="2"/>
  <c r="S4161" i="2"/>
  <c r="M4161" i="2"/>
  <c r="L4161" i="2"/>
  <c r="K4161" i="2"/>
  <c r="G4161" i="2"/>
  <c r="E4161" i="2"/>
  <c r="B4161" i="2"/>
  <c r="S4160" i="2"/>
  <c r="M4160" i="2"/>
  <c r="L4160" i="2"/>
  <c r="K4160" i="2"/>
  <c r="G4160" i="2"/>
  <c r="E4160" i="2"/>
  <c r="B4160" i="2"/>
  <c r="S4159" i="2"/>
  <c r="M4159" i="2"/>
  <c r="L4159" i="2"/>
  <c r="K4159" i="2"/>
  <c r="G4159" i="2"/>
  <c r="E4159" i="2"/>
  <c r="B4159" i="2"/>
  <c r="S4158" i="2"/>
  <c r="M4158" i="2"/>
  <c r="L4158" i="2"/>
  <c r="K4158" i="2"/>
  <c r="G4158" i="2"/>
  <c r="E4158" i="2"/>
  <c r="B4158" i="2"/>
  <c r="S4157" i="2"/>
  <c r="M4157" i="2"/>
  <c r="L4157" i="2"/>
  <c r="K4157" i="2"/>
  <c r="G4157" i="2"/>
  <c r="E4157" i="2"/>
  <c r="B4157" i="2"/>
  <c r="S4156" i="2"/>
  <c r="M4156" i="2"/>
  <c r="L4156" i="2"/>
  <c r="K4156" i="2"/>
  <c r="G4156" i="2"/>
  <c r="E4156" i="2"/>
  <c r="B4156" i="2"/>
  <c r="S4155" i="2"/>
  <c r="M4155" i="2"/>
  <c r="L4155" i="2"/>
  <c r="K4155" i="2"/>
  <c r="G4155" i="2"/>
  <c r="E4155" i="2"/>
  <c r="B4155" i="2"/>
  <c r="S4154" i="2"/>
  <c r="M4154" i="2"/>
  <c r="L4154" i="2"/>
  <c r="K4154" i="2"/>
  <c r="G4154" i="2"/>
  <c r="E4154" i="2"/>
  <c r="B4154" i="2"/>
  <c r="S4153" i="2"/>
  <c r="M4153" i="2"/>
  <c r="L4153" i="2"/>
  <c r="K4153" i="2"/>
  <c r="G4153" i="2"/>
  <c r="E4153" i="2"/>
  <c r="B4153" i="2"/>
  <c r="S4152" i="2"/>
  <c r="M4152" i="2"/>
  <c r="L4152" i="2"/>
  <c r="K4152" i="2"/>
  <c r="G4152" i="2"/>
  <c r="E4152" i="2"/>
  <c r="B4152" i="2"/>
  <c r="S4151" i="2"/>
  <c r="M4151" i="2"/>
  <c r="L4151" i="2"/>
  <c r="K4151" i="2"/>
  <c r="G4151" i="2"/>
  <c r="E4151" i="2"/>
  <c r="B4151" i="2"/>
  <c r="S4150" i="2"/>
  <c r="M4150" i="2"/>
  <c r="L4150" i="2"/>
  <c r="K4150" i="2"/>
  <c r="G4150" i="2"/>
  <c r="E4150" i="2"/>
  <c r="B4150" i="2"/>
  <c r="S4149" i="2"/>
  <c r="M4149" i="2"/>
  <c r="L4149" i="2"/>
  <c r="K4149" i="2"/>
  <c r="G4149" i="2"/>
  <c r="E4149" i="2"/>
  <c r="B4149" i="2"/>
  <c r="S4148" i="2"/>
  <c r="M4148" i="2"/>
  <c r="L4148" i="2"/>
  <c r="K4148" i="2"/>
  <c r="G4148" i="2"/>
  <c r="E4148" i="2"/>
  <c r="B4148" i="2"/>
  <c r="S4147" i="2"/>
  <c r="M4147" i="2"/>
  <c r="L4147" i="2"/>
  <c r="K4147" i="2"/>
  <c r="G4147" i="2"/>
  <c r="E4147" i="2"/>
  <c r="B4147" i="2"/>
  <c r="S4146" i="2"/>
  <c r="M4146" i="2"/>
  <c r="L4146" i="2"/>
  <c r="K4146" i="2"/>
  <c r="G4146" i="2"/>
  <c r="E4146" i="2"/>
  <c r="B4146" i="2"/>
  <c r="S4145" i="2"/>
  <c r="M4145" i="2"/>
  <c r="L4145" i="2"/>
  <c r="K4145" i="2"/>
  <c r="G4145" i="2"/>
  <c r="E4145" i="2"/>
  <c r="B4145" i="2"/>
  <c r="S4144" i="2"/>
  <c r="M4144" i="2"/>
  <c r="L4144" i="2"/>
  <c r="K4144" i="2"/>
  <c r="G4144" i="2"/>
  <c r="E4144" i="2"/>
  <c r="B4144" i="2"/>
  <c r="S4143" i="2"/>
  <c r="M4143" i="2"/>
  <c r="L4143" i="2"/>
  <c r="K4143" i="2"/>
  <c r="G4143" i="2"/>
  <c r="E4143" i="2"/>
  <c r="B4143" i="2"/>
  <c r="S4142" i="2"/>
  <c r="M4142" i="2"/>
  <c r="L4142" i="2"/>
  <c r="K4142" i="2"/>
  <c r="G4142" i="2"/>
  <c r="E4142" i="2"/>
  <c r="B4142" i="2"/>
  <c r="S4141" i="2"/>
  <c r="M4141" i="2"/>
  <c r="L4141" i="2"/>
  <c r="K4141" i="2"/>
  <c r="G4141" i="2"/>
  <c r="E4141" i="2"/>
  <c r="B4141" i="2"/>
  <c r="S4140" i="2"/>
  <c r="M4140" i="2"/>
  <c r="L4140" i="2"/>
  <c r="K4140" i="2"/>
  <c r="G4140" i="2"/>
  <c r="E4140" i="2"/>
  <c r="B4140" i="2"/>
  <c r="S4139" i="2"/>
  <c r="M4139" i="2"/>
  <c r="L4139" i="2"/>
  <c r="K4139" i="2"/>
  <c r="G4139" i="2"/>
  <c r="E4139" i="2"/>
  <c r="B4139" i="2"/>
  <c r="S4138" i="2"/>
  <c r="M4138" i="2"/>
  <c r="L4138" i="2"/>
  <c r="K4138" i="2"/>
  <c r="G4138" i="2"/>
  <c r="E4138" i="2"/>
  <c r="B4138" i="2"/>
  <c r="S4137" i="2"/>
  <c r="M4137" i="2"/>
  <c r="L4137" i="2"/>
  <c r="K4137" i="2"/>
  <c r="G4137" i="2"/>
  <c r="E4137" i="2"/>
  <c r="B4137" i="2"/>
  <c r="S4136" i="2"/>
  <c r="M4136" i="2"/>
  <c r="L4136" i="2"/>
  <c r="K4136" i="2"/>
  <c r="G4136" i="2"/>
  <c r="E4136" i="2"/>
  <c r="B4136" i="2"/>
  <c r="S4135" i="2"/>
  <c r="M4135" i="2"/>
  <c r="L4135" i="2"/>
  <c r="K4135" i="2"/>
  <c r="G4135" i="2"/>
  <c r="E4135" i="2"/>
  <c r="B4135" i="2"/>
  <c r="S4134" i="2"/>
  <c r="M4134" i="2"/>
  <c r="L4134" i="2"/>
  <c r="K4134" i="2"/>
  <c r="G4134" i="2"/>
  <c r="E4134" i="2"/>
  <c r="B4134" i="2"/>
  <c r="S4133" i="2"/>
  <c r="M4133" i="2"/>
  <c r="L4133" i="2"/>
  <c r="K4133" i="2"/>
  <c r="G4133" i="2"/>
  <c r="E4133" i="2"/>
  <c r="B4133" i="2"/>
  <c r="S4132" i="2"/>
  <c r="M4132" i="2"/>
  <c r="L4132" i="2"/>
  <c r="K4132" i="2"/>
  <c r="G4132" i="2"/>
  <c r="E4132" i="2"/>
  <c r="B4132" i="2"/>
  <c r="S4131" i="2"/>
  <c r="M4131" i="2"/>
  <c r="L4131" i="2"/>
  <c r="K4131" i="2"/>
  <c r="G4131" i="2"/>
  <c r="E4131" i="2"/>
  <c r="B4131" i="2"/>
  <c r="S4130" i="2"/>
  <c r="M4130" i="2"/>
  <c r="L4130" i="2"/>
  <c r="K4130" i="2"/>
  <c r="G4130" i="2"/>
  <c r="E4130" i="2"/>
  <c r="B4130" i="2"/>
  <c r="S4129" i="2"/>
  <c r="M4129" i="2"/>
  <c r="L4129" i="2"/>
  <c r="K4129" i="2"/>
  <c r="G4129" i="2"/>
  <c r="E4129" i="2"/>
  <c r="B4129" i="2"/>
  <c r="S4128" i="2"/>
  <c r="M4128" i="2"/>
  <c r="L4128" i="2"/>
  <c r="K4128" i="2"/>
  <c r="G4128" i="2"/>
  <c r="E4128" i="2"/>
  <c r="B4128" i="2"/>
  <c r="S4127" i="2"/>
  <c r="M4127" i="2"/>
  <c r="L4127" i="2"/>
  <c r="K4127" i="2"/>
  <c r="G4127" i="2"/>
  <c r="E4127" i="2"/>
  <c r="B4127" i="2"/>
  <c r="S4126" i="2"/>
  <c r="M4126" i="2"/>
  <c r="L4126" i="2"/>
  <c r="K4126" i="2"/>
  <c r="G4126" i="2"/>
  <c r="E4126" i="2"/>
  <c r="B4126" i="2"/>
  <c r="S4125" i="2"/>
  <c r="M4125" i="2"/>
  <c r="L4125" i="2"/>
  <c r="K4125" i="2"/>
  <c r="G4125" i="2"/>
  <c r="E4125" i="2"/>
  <c r="B4125" i="2"/>
  <c r="S4124" i="2"/>
  <c r="M4124" i="2"/>
  <c r="L4124" i="2"/>
  <c r="K4124" i="2"/>
  <c r="G4124" i="2"/>
  <c r="E4124" i="2"/>
  <c r="B4124" i="2"/>
  <c r="S4123" i="2"/>
  <c r="M4123" i="2"/>
  <c r="L4123" i="2"/>
  <c r="K4123" i="2"/>
  <c r="G4123" i="2"/>
  <c r="E4123" i="2"/>
  <c r="B4123" i="2"/>
  <c r="S4122" i="2"/>
  <c r="M4122" i="2"/>
  <c r="L4122" i="2"/>
  <c r="K4122" i="2"/>
  <c r="G4122" i="2"/>
  <c r="E4122" i="2"/>
  <c r="B4122" i="2"/>
  <c r="S4121" i="2"/>
  <c r="M4121" i="2"/>
  <c r="L4121" i="2"/>
  <c r="K4121" i="2"/>
  <c r="G4121" i="2"/>
  <c r="E4121" i="2"/>
  <c r="B4121" i="2"/>
  <c r="S4120" i="2"/>
  <c r="M4120" i="2"/>
  <c r="L4120" i="2"/>
  <c r="K4120" i="2"/>
  <c r="G4120" i="2"/>
  <c r="E4120" i="2"/>
  <c r="B4120" i="2"/>
  <c r="S4119" i="2"/>
  <c r="M4119" i="2"/>
  <c r="L4119" i="2"/>
  <c r="K4119" i="2"/>
  <c r="G4119" i="2"/>
  <c r="E4119" i="2"/>
  <c r="B4119" i="2"/>
  <c r="S4118" i="2"/>
  <c r="M4118" i="2"/>
  <c r="L4118" i="2"/>
  <c r="K4118" i="2"/>
  <c r="G4118" i="2"/>
  <c r="E4118" i="2"/>
  <c r="B4118" i="2"/>
  <c r="S4117" i="2"/>
  <c r="M4117" i="2"/>
  <c r="L4117" i="2"/>
  <c r="K4117" i="2"/>
  <c r="G4117" i="2"/>
  <c r="E4117" i="2"/>
  <c r="B4117" i="2"/>
  <c r="S4116" i="2"/>
  <c r="M4116" i="2"/>
  <c r="L4116" i="2"/>
  <c r="K4116" i="2"/>
  <c r="G4116" i="2"/>
  <c r="E4116" i="2"/>
  <c r="B4116" i="2"/>
  <c r="S4115" i="2"/>
  <c r="M4115" i="2"/>
  <c r="L4115" i="2"/>
  <c r="K4115" i="2"/>
  <c r="G4115" i="2"/>
  <c r="E4115" i="2"/>
  <c r="B4115" i="2"/>
  <c r="S4114" i="2"/>
  <c r="M4114" i="2"/>
  <c r="L4114" i="2"/>
  <c r="K4114" i="2"/>
  <c r="G4114" i="2"/>
  <c r="E4114" i="2"/>
  <c r="B4114" i="2"/>
  <c r="S4113" i="2"/>
  <c r="M4113" i="2"/>
  <c r="L4113" i="2"/>
  <c r="K4113" i="2"/>
  <c r="G4113" i="2"/>
  <c r="E4113" i="2"/>
  <c r="B4113" i="2"/>
  <c r="S4112" i="2"/>
  <c r="M4112" i="2"/>
  <c r="L4112" i="2"/>
  <c r="K4112" i="2"/>
  <c r="G4112" i="2"/>
  <c r="E4112" i="2"/>
  <c r="B4112" i="2"/>
  <c r="S4111" i="2"/>
  <c r="M4111" i="2"/>
  <c r="L4111" i="2"/>
  <c r="K4111" i="2"/>
  <c r="G4111" i="2"/>
  <c r="E4111" i="2"/>
  <c r="B4111" i="2"/>
  <c r="S4110" i="2"/>
  <c r="M4110" i="2"/>
  <c r="L4110" i="2"/>
  <c r="K4110" i="2"/>
  <c r="G4110" i="2"/>
  <c r="E4110" i="2"/>
  <c r="B4110" i="2"/>
  <c r="S4109" i="2"/>
  <c r="M4109" i="2"/>
  <c r="L4109" i="2"/>
  <c r="K4109" i="2"/>
  <c r="G4109" i="2"/>
  <c r="E4109" i="2"/>
  <c r="B4109" i="2"/>
  <c r="S4108" i="2"/>
  <c r="M4108" i="2"/>
  <c r="L4108" i="2"/>
  <c r="K4108" i="2"/>
  <c r="G4108" i="2"/>
  <c r="E4108" i="2"/>
  <c r="B4108" i="2"/>
  <c r="S4107" i="2"/>
  <c r="M4107" i="2"/>
  <c r="L4107" i="2"/>
  <c r="K4107" i="2"/>
  <c r="G4107" i="2"/>
  <c r="E4107" i="2"/>
  <c r="B4107" i="2"/>
  <c r="S4106" i="2"/>
  <c r="M4106" i="2"/>
  <c r="L4106" i="2"/>
  <c r="K4106" i="2"/>
  <c r="G4106" i="2"/>
  <c r="E4106" i="2"/>
  <c r="B4106" i="2"/>
  <c r="S4105" i="2"/>
  <c r="M4105" i="2"/>
  <c r="L4105" i="2"/>
  <c r="K4105" i="2"/>
  <c r="G4105" i="2"/>
  <c r="E4105" i="2"/>
  <c r="B4105" i="2"/>
  <c r="S4104" i="2"/>
  <c r="M4104" i="2"/>
  <c r="L4104" i="2"/>
  <c r="K4104" i="2"/>
  <c r="G4104" i="2"/>
  <c r="E4104" i="2"/>
  <c r="B4104" i="2"/>
  <c r="S4103" i="2"/>
  <c r="M4103" i="2"/>
  <c r="L4103" i="2"/>
  <c r="K4103" i="2"/>
  <c r="G4103" i="2"/>
  <c r="E4103" i="2"/>
  <c r="B4103" i="2"/>
  <c r="S4102" i="2"/>
  <c r="M4102" i="2"/>
  <c r="L4102" i="2"/>
  <c r="K4102" i="2"/>
  <c r="G4102" i="2"/>
  <c r="E4102" i="2"/>
  <c r="B4102" i="2"/>
  <c r="S4101" i="2"/>
  <c r="M4101" i="2"/>
  <c r="L4101" i="2"/>
  <c r="K4101" i="2"/>
  <c r="G4101" i="2"/>
  <c r="E4101" i="2"/>
  <c r="B4101" i="2"/>
  <c r="S4100" i="2"/>
  <c r="M4100" i="2"/>
  <c r="L4100" i="2"/>
  <c r="K4100" i="2"/>
  <c r="G4100" i="2"/>
  <c r="E4100" i="2"/>
  <c r="B4100" i="2"/>
  <c r="S4099" i="2"/>
  <c r="M4099" i="2"/>
  <c r="L4099" i="2"/>
  <c r="K4099" i="2"/>
  <c r="G4099" i="2"/>
  <c r="E4099" i="2"/>
  <c r="B4099" i="2"/>
  <c r="S4098" i="2"/>
  <c r="M4098" i="2"/>
  <c r="L4098" i="2"/>
  <c r="K4098" i="2"/>
  <c r="G4098" i="2"/>
  <c r="E4098" i="2"/>
  <c r="B4098" i="2"/>
  <c r="S4097" i="2"/>
  <c r="M4097" i="2"/>
  <c r="L4097" i="2"/>
  <c r="K4097" i="2"/>
  <c r="G4097" i="2"/>
  <c r="E4097" i="2"/>
  <c r="B4097" i="2"/>
  <c r="S4096" i="2"/>
  <c r="M4096" i="2"/>
  <c r="L4096" i="2"/>
  <c r="K4096" i="2"/>
  <c r="G4096" i="2"/>
  <c r="E4096" i="2"/>
  <c r="B4096" i="2"/>
  <c r="S4095" i="2"/>
  <c r="M4095" i="2"/>
  <c r="L4095" i="2"/>
  <c r="K4095" i="2"/>
  <c r="G4095" i="2"/>
  <c r="E4095" i="2"/>
  <c r="B4095" i="2"/>
  <c r="S4094" i="2"/>
  <c r="M4094" i="2"/>
  <c r="L4094" i="2"/>
  <c r="K4094" i="2"/>
  <c r="G4094" i="2"/>
  <c r="E4094" i="2"/>
  <c r="B4094" i="2"/>
  <c r="S4093" i="2"/>
  <c r="M4093" i="2"/>
  <c r="L4093" i="2"/>
  <c r="K4093" i="2"/>
  <c r="G4093" i="2"/>
  <c r="E4093" i="2"/>
  <c r="B4093" i="2"/>
  <c r="S4092" i="2"/>
  <c r="M4092" i="2"/>
  <c r="L4092" i="2"/>
  <c r="K4092" i="2"/>
  <c r="G4092" i="2"/>
  <c r="E4092" i="2"/>
  <c r="B4092" i="2"/>
  <c r="S4091" i="2"/>
  <c r="M4091" i="2"/>
  <c r="L4091" i="2"/>
  <c r="K4091" i="2"/>
  <c r="G4091" i="2"/>
  <c r="E4091" i="2"/>
  <c r="B4091" i="2"/>
  <c r="S4090" i="2"/>
  <c r="M4090" i="2"/>
  <c r="L4090" i="2"/>
  <c r="K4090" i="2"/>
  <c r="G4090" i="2"/>
  <c r="E4090" i="2"/>
  <c r="B4090" i="2"/>
  <c r="S4089" i="2"/>
  <c r="M4089" i="2"/>
  <c r="L4089" i="2"/>
  <c r="K4089" i="2"/>
  <c r="G4089" i="2"/>
  <c r="E4089" i="2"/>
  <c r="B4089" i="2"/>
  <c r="S4088" i="2"/>
  <c r="M4088" i="2"/>
  <c r="L4088" i="2"/>
  <c r="K4088" i="2"/>
  <c r="G4088" i="2"/>
  <c r="E4088" i="2"/>
  <c r="B4088" i="2"/>
  <c r="S4087" i="2"/>
  <c r="M4087" i="2"/>
  <c r="L4087" i="2"/>
  <c r="K4087" i="2"/>
  <c r="G4087" i="2"/>
  <c r="E4087" i="2"/>
  <c r="B4087" i="2"/>
  <c r="S4086" i="2"/>
  <c r="M4086" i="2"/>
  <c r="L4086" i="2"/>
  <c r="K4086" i="2"/>
  <c r="G4086" i="2"/>
  <c r="E4086" i="2"/>
  <c r="B4086" i="2"/>
  <c r="S4085" i="2"/>
  <c r="M4085" i="2"/>
  <c r="L4085" i="2"/>
  <c r="K4085" i="2"/>
  <c r="G4085" i="2"/>
  <c r="E4085" i="2"/>
  <c r="B4085" i="2"/>
  <c r="S4084" i="2"/>
  <c r="M4084" i="2"/>
  <c r="L4084" i="2"/>
  <c r="K4084" i="2"/>
  <c r="G4084" i="2"/>
  <c r="E4084" i="2"/>
  <c r="B4084" i="2"/>
  <c r="S4083" i="2"/>
  <c r="M4083" i="2"/>
  <c r="L4083" i="2"/>
  <c r="K4083" i="2"/>
  <c r="G4083" i="2"/>
  <c r="E4083" i="2"/>
  <c r="B4083" i="2"/>
  <c r="S4082" i="2"/>
  <c r="M4082" i="2"/>
  <c r="L4082" i="2"/>
  <c r="K4082" i="2"/>
  <c r="G4082" i="2"/>
  <c r="E4082" i="2"/>
  <c r="B4082" i="2"/>
  <c r="S4081" i="2"/>
  <c r="M4081" i="2"/>
  <c r="L4081" i="2"/>
  <c r="K4081" i="2"/>
  <c r="G4081" i="2"/>
  <c r="E4081" i="2"/>
  <c r="B4081" i="2"/>
  <c r="S4080" i="2"/>
  <c r="M4080" i="2"/>
  <c r="L4080" i="2"/>
  <c r="K4080" i="2"/>
  <c r="G4080" i="2"/>
  <c r="E4080" i="2"/>
  <c r="B4080" i="2"/>
  <c r="S4079" i="2"/>
  <c r="M4079" i="2"/>
  <c r="L4079" i="2"/>
  <c r="K4079" i="2"/>
  <c r="G4079" i="2"/>
  <c r="E4079" i="2"/>
  <c r="B4079" i="2"/>
  <c r="S4078" i="2"/>
  <c r="M4078" i="2"/>
  <c r="L4078" i="2"/>
  <c r="K4078" i="2"/>
  <c r="G4078" i="2"/>
  <c r="E4078" i="2"/>
  <c r="B4078" i="2"/>
  <c r="S4077" i="2"/>
  <c r="M4077" i="2"/>
  <c r="L4077" i="2"/>
  <c r="K4077" i="2"/>
  <c r="G4077" i="2"/>
  <c r="E4077" i="2"/>
  <c r="B4077" i="2"/>
  <c r="S4076" i="2"/>
  <c r="M4076" i="2"/>
  <c r="L4076" i="2"/>
  <c r="K4076" i="2"/>
  <c r="G4076" i="2"/>
  <c r="E4076" i="2"/>
  <c r="B4076" i="2"/>
  <c r="S4075" i="2"/>
  <c r="M4075" i="2"/>
  <c r="L4075" i="2"/>
  <c r="K4075" i="2"/>
  <c r="G4075" i="2"/>
  <c r="E4075" i="2"/>
  <c r="B4075" i="2"/>
  <c r="S4074" i="2"/>
  <c r="M4074" i="2"/>
  <c r="L4074" i="2"/>
  <c r="K4074" i="2"/>
  <c r="G4074" i="2"/>
  <c r="E4074" i="2"/>
  <c r="B4074" i="2"/>
  <c r="S4073" i="2"/>
  <c r="M4073" i="2"/>
  <c r="L4073" i="2"/>
  <c r="K4073" i="2"/>
  <c r="G4073" i="2"/>
  <c r="E4073" i="2"/>
  <c r="B4073" i="2"/>
  <c r="S4072" i="2"/>
  <c r="M4072" i="2"/>
  <c r="L4072" i="2"/>
  <c r="K4072" i="2"/>
  <c r="G4072" i="2"/>
  <c r="E4072" i="2"/>
  <c r="B4072" i="2"/>
  <c r="S4071" i="2"/>
  <c r="M4071" i="2"/>
  <c r="L4071" i="2"/>
  <c r="K4071" i="2"/>
  <c r="G4071" i="2"/>
  <c r="E4071" i="2"/>
  <c r="B4071" i="2"/>
  <c r="S4070" i="2"/>
  <c r="M4070" i="2"/>
  <c r="L4070" i="2"/>
  <c r="K4070" i="2"/>
  <c r="G4070" i="2"/>
  <c r="E4070" i="2"/>
  <c r="B4070" i="2"/>
  <c r="S4069" i="2"/>
  <c r="M4069" i="2"/>
  <c r="L4069" i="2"/>
  <c r="K4069" i="2"/>
  <c r="G4069" i="2"/>
  <c r="E4069" i="2"/>
  <c r="B4069" i="2"/>
  <c r="S4068" i="2"/>
  <c r="M4068" i="2"/>
  <c r="L4068" i="2"/>
  <c r="K4068" i="2"/>
  <c r="G4068" i="2"/>
  <c r="E4068" i="2"/>
  <c r="B4068" i="2"/>
  <c r="S4067" i="2"/>
  <c r="M4067" i="2"/>
  <c r="L4067" i="2"/>
  <c r="K4067" i="2"/>
  <c r="G4067" i="2"/>
  <c r="E4067" i="2"/>
  <c r="B4067" i="2"/>
  <c r="S4066" i="2"/>
  <c r="M4066" i="2"/>
  <c r="L4066" i="2"/>
  <c r="K4066" i="2"/>
  <c r="G4066" i="2"/>
  <c r="E4066" i="2"/>
  <c r="B4066" i="2"/>
  <c r="S4065" i="2"/>
  <c r="M4065" i="2"/>
  <c r="L4065" i="2"/>
  <c r="K4065" i="2"/>
  <c r="G4065" i="2"/>
  <c r="E4065" i="2"/>
  <c r="B4065" i="2"/>
  <c r="S4064" i="2"/>
  <c r="M4064" i="2"/>
  <c r="L4064" i="2"/>
  <c r="K4064" i="2"/>
  <c r="G4064" i="2"/>
  <c r="E4064" i="2"/>
  <c r="B4064" i="2"/>
  <c r="S4063" i="2"/>
  <c r="M4063" i="2"/>
  <c r="L4063" i="2"/>
  <c r="K4063" i="2"/>
  <c r="G4063" i="2"/>
  <c r="E4063" i="2"/>
  <c r="B4063" i="2"/>
  <c r="S4062" i="2"/>
  <c r="M4062" i="2"/>
  <c r="L4062" i="2"/>
  <c r="K4062" i="2"/>
  <c r="G4062" i="2"/>
  <c r="E4062" i="2"/>
  <c r="B4062" i="2"/>
  <c r="S4061" i="2"/>
  <c r="M4061" i="2"/>
  <c r="L4061" i="2"/>
  <c r="K4061" i="2"/>
  <c r="G4061" i="2"/>
  <c r="E4061" i="2"/>
  <c r="B4061" i="2"/>
  <c r="S4060" i="2"/>
  <c r="M4060" i="2"/>
  <c r="L4060" i="2"/>
  <c r="K4060" i="2"/>
  <c r="G4060" i="2"/>
  <c r="E4060" i="2"/>
  <c r="B4060" i="2"/>
  <c r="S4059" i="2"/>
  <c r="M4059" i="2"/>
  <c r="L4059" i="2"/>
  <c r="K4059" i="2"/>
  <c r="G4059" i="2"/>
  <c r="E4059" i="2"/>
  <c r="B4059" i="2"/>
  <c r="S4058" i="2"/>
  <c r="M4058" i="2"/>
  <c r="L4058" i="2"/>
  <c r="K4058" i="2"/>
  <c r="G4058" i="2"/>
  <c r="E4058" i="2"/>
  <c r="B4058" i="2"/>
  <c r="S4057" i="2"/>
  <c r="M4057" i="2"/>
  <c r="L4057" i="2"/>
  <c r="K4057" i="2"/>
  <c r="G4057" i="2"/>
  <c r="E4057" i="2"/>
  <c r="B4057" i="2"/>
  <c r="S4056" i="2"/>
  <c r="M4056" i="2"/>
  <c r="L4056" i="2"/>
  <c r="K4056" i="2"/>
  <c r="G4056" i="2"/>
  <c r="E4056" i="2"/>
  <c r="B4056" i="2"/>
  <c r="S4055" i="2"/>
  <c r="M4055" i="2"/>
  <c r="L4055" i="2"/>
  <c r="K4055" i="2"/>
  <c r="G4055" i="2"/>
  <c r="E4055" i="2"/>
  <c r="B4055" i="2"/>
  <c r="S4054" i="2"/>
  <c r="M4054" i="2"/>
  <c r="L4054" i="2"/>
  <c r="K4054" i="2"/>
  <c r="G4054" i="2"/>
  <c r="E4054" i="2"/>
  <c r="B4054" i="2"/>
  <c r="S4053" i="2"/>
  <c r="M4053" i="2"/>
  <c r="L4053" i="2"/>
  <c r="K4053" i="2"/>
  <c r="G4053" i="2"/>
  <c r="E4053" i="2"/>
  <c r="B4053" i="2"/>
  <c r="S4052" i="2"/>
  <c r="M4052" i="2"/>
  <c r="L4052" i="2"/>
  <c r="K4052" i="2"/>
  <c r="G4052" i="2"/>
  <c r="E4052" i="2"/>
  <c r="B4052" i="2"/>
  <c r="S4051" i="2"/>
  <c r="M4051" i="2"/>
  <c r="L4051" i="2"/>
  <c r="K4051" i="2"/>
  <c r="G4051" i="2"/>
  <c r="E4051" i="2"/>
  <c r="B4051" i="2"/>
  <c r="S4050" i="2"/>
  <c r="M4050" i="2"/>
  <c r="L4050" i="2"/>
  <c r="K4050" i="2"/>
  <c r="G4050" i="2"/>
  <c r="E4050" i="2"/>
  <c r="B4050" i="2"/>
  <c r="S4049" i="2"/>
  <c r="M4049" i="2"/>
  <c r="L4049" i="2"/>
  <c r="K4049" i="2"/>
  <c r="G4049" i="2"/>
  <c r="E4049" i="2"/>
  <c r="B4049" i="2"/>
  <c r="S4048" i="2"/>
  <c r="M4048" i="2"/>
  <c r="L4048" i="2"/>
  <c r="K4048" i="2"/>
  <c r="G4048" i="2"/>
  <c r="E4048" i="2"/>
  <c r="B4048" i="2"/>
  <c r="S4047" i="2"/>
  <c r="M4047" i="2"/>
  <c r="L4047" i="2"/>
  <c r="K4047" i="2"/>
  <c r="G4047" i="2"/>
  <c r="E4047" i="2"/>
  <c r="B4047" i="2"/>
  <c r="S4046" i="2"/>
  <c r="M4046" i="2"/>
  <c r="L4046" i="2"/>
  <c r="K4046" i="2"/>
  <c r="G4046" i="2"/>
  <c r="E4046" i="2"/>
  <c r="B4046" i="2"/>
  <c r="S4045" i="2"/>
  <c r="M4045" i="2"/>
  <c r="L4045" i="2"/>
  <c r="K4045" i="2"/>
  <c r="G4045" i="2"/>
  <c r="E4045" i="2"/>
  <c r="B4045" i="2"/>
  <c r="S4044" i="2"/>
  <c r="M4044" i="2"/>
  <c r="L4044" i="2"/>
  <c r="K4044" i="2"/>
  <c r="G4044" i="2"/>
  <c r="E4044" i="2"/>
  <c r="B4044" i="2"/>
  <c r="S4043" i="2"/>
  <c r="M4043" i="2"/>
  <c r="L4043" i="2"/>
  <c r="K4043" i="2"/>
  <c r="G4043" i="2"/>
  <c r="E4043" i="2"/>
  <c r="B4043" i="2"/>
  <c r="S4042" i="2"/>
  <c r="M4042" i="2"/>
  <c r="L4042" i="2"/>
  <c r="K4042" i="2"/>
  <c r="G4042" i="2"/>
  <c r="E4042" i="2"/>
  <c r="B4042" i="2"/>
  <c r="S4041" i="2"/>
  <c r="M4041" i="2"/>
  <c r="L4041" i="2"/>
  <c r="K4041" i="2"/>
  <c r="G4041" i="2"/>
  <c r="E4041" i="2"/>
  <c r="B4041" i="2"/>
  <c r="S4040" i="2"/>
  <c r="M4040" i="2"/>
  <c r="L4040" i="2"/>
  <c r="K4040" i="2"/>
  <c r="G4040" i="2"/>
  <c r="E4040" i="2"/>
  <c r="B4040" i="2"/>
  <c r="S4039" i="2"/>
  <c r="M4039" i="2"/>
  <c r="L4039" i="2"/>
  <c r="K4039" i="2"/>
  <c r="G4039" i="2"/>
  <c r="E4039" i="2"/>
  <c r="B4039" i="2"/>
  <c r="S4038" i="2"/>
  <c r="M4038" i="2"/>
  <c r="L4038" i="2"/>
  <c r="K4038" i="2"/>
  <c r="G4038" i="2"/>
  <c r="E4038" i="2"/>
  <c r="B4038" i="2"/>
  <c r="S4037" i="2"/>
  <c r="M4037" i="2"/>
  <c r="L4037" i="2"/>
  <c r="K4037" i="2"/>
  <c r="G4037" i="2"/>
  <c r="E4037" i="2"/>
  <c r="B4037" i="2"/>
  <c r="S4036" i="2"/>
  <c r="M4036" i="2"/>
  <c r="L4036" i="2"/>
  <c r="K4036" i="2"/>
  <c r="G4036" i="2"/>
  <c r="E4036" i="2"/>
  <c r="B4036" i="2"/>
  <c r="S4035" i="2"/>
  <c r="M4035" i="2"/>
  <c r="L4035" i="2"/>
  <c r="K4035" i="2"/>
  <c r="G4035" i="2"/>
  <c r="E4035" i="2"/>
  <c r="B4035" i="2"/>
  <c r="S4034" i="2"/>
  <c r="M4034" i="2"/>
  <c r="L4034" i="2"/>
  <c r="K4034" i="2"/>
  <c r="G4034" i="2"/>
  <c r="E4034" i="2"/>
  <c r="B4034" i="2"/>
  <c r="S4033" i="2"/>
  <c r="M4033" i="2"/>
  <c r="L4033" i="2"/>
  <c r="K4033" i="2"/>
  <c r="G4033" i="2"/>
  <c r="E4033" i="2"/>
  <c r="B4033" i="2"/>
  <c r="S4032" i="2"/>
  <c r="M4032" i="2"/>
  <c r="L4032" i="2"/>
  <c r="K4032" i="2"/>
  <c r="G4032" i="2"/>
  <c r="E4032" i="2"/>
  <c r="B4032" i="2"/>
  <c r="S4031" i="2"/>
  <c r="M4031" i="2"/>
  <c r="L4031" i="2"/>
  <c r="K4031" i="2"/>
  <c r="G4031" i="2"/>
  <c r="E4031" i="2"/>
  <c r="B4031" i="2"/>
  <c r="S4030" i="2"/>
  <c r="M4030" i="2"/>
  <c r="L4030" i="2"/>
  <c r="K4030" i="2"/>
  <c r="G4030" i="2"/>
  <c r="E4030" i="2"/>
  <c r="B4030" i="2"/>
  <c r="S4029" i="2"/>
  <c r="M4029" i="2"/>
  <c r="L4029" i="2"/>
  <c r="K4029" i="2"/>
  <c r="G4029" i="2"/>
  <c r="E4029" i="2"/>
  <c r="B4029" i="2"/>
  <c r="S4028" i="2"/>
  <c r="M4028" i="2"/>
  <c r="L4028" i="2"/>
  <c r="K4028" i="2"/>
  <c r="G4028" i="2"/>
  <c r="E4028" i="2"/>
  <c r="B4028" i="2"/>
  <c r="S4027" i="2"/>
  <c r="M4027" i="2"/>
  <c r="L4027" i="2"/>
  <c r="K4027" i="2"/>
  <c r="G4027" i="2"/>
  <c r="E4027" i="2"/>
  <c r="B4027" i="2"/>
  <c r="S4026" i="2"/>
  <c r="M4026" i="2"/>
  <c r="L4026" i="2"/>
  <c r="K4026" i="2"/>
  <c r="G4026" i="2"/>
  <c r="E4026" i="2"/>
  <c r="B4026" i="2"/>
  <c r="S4025" i="2"/>
  <c r="M4025" i="2"/>
  <c r="L4025" i="2"/>
  <c r="K4025" i="2"/>
  <c r="G4025" i="2"/>
  <c r="E4025" i="2"/>
  <c r="B4025" i="2"/>
  <c r="S4024" i="2"/>
  <c r="M4024" i="2"/>
  <c r="L4024" i="2"/>
  <c r="K4024" i="2"/>
  <c r="G4024" i="2"/>
  <c r="E4024" i="2"/>
  <c r="B4024" i="2"/>
  <c r="S4023" i="2"/>
  <c r="M4023" i="2"/>
  <c r="L4023" i="2"/>
  <c r="K4023" i="2"/>
  <c r="G4023" i="2"/>
  <c r="E4023" i="2"/>
  <c r="B4023" i="2"/>
  <c r="S4022" i="2"/>
  <c r="M4022" i="2"/>
  <c r="L4022" i="2"/>
  <c r="K4022" i="2"/>
  <c r="G4022" i="2"/>
  <c r="E4022" i="2"/>
  <c r="B4022" i="2"/>
  <c r="S4021" i="2"/>
  <c r="M4021" i="2"/>
  <c r="L4021" i="2"/>
  <c r="K4021" i="2"/>
  <c r="G4021" i="2"/>
  <c r="E4021" i="2"/>
  <c r="B4021" i="2"/>
  <c r="S4020" i="2"/>
  <c r="M4020" i="2"/>
  <c r="L4020" i="2"/>
  <c r="K4020" i="2"/>
  <c r="G4020" i="2"/>
  <c r="E4020" i="2"/>
  <c r="B4020" i="2"/>
  <c r="S4019" i="2"/>
  <c r="M4019" i="2"/>
  <c r="L4019" i="2"/>
  <c r="K4019" i="2"/>
  <c r="G4019" i="2"/>
  <c r="E4019" i="2"/>
  <c r="B4019" i="2"/>
  <c r="S4018" i="2"/>
  <c r="M4018" i="2"/>
  <c r="L4018" i="2"/>
  <c r="K4018" i="2"/>
  <c r="G4018" i="2"/>
  <c r="E4018" i="2"/>
  <c r="B4018" i="2"/>
  <c r="S4017" i="2"/>
  <c r="M4017" i="2"/>
  <c r="L4017" i="2"/>
  <c r="K4017" i="2"/>
  <c r="G4017" i="2"/>
  <c r="E4017" i="2"/>
  <c r="B4017" i="2"/>
  <c r="S4016" i="2"/>
  <c r="M4016" i="2"/>
  <c r="L4016" i="2"/>
  <c r="K4016" i="2"/>
  <c r="G4016" i="2"/>
  <c r="E4016" i="2"/>
  <c r="B4016" i="2"/>
  <c r="S4015" i="2"/>
  <c r="M4015" i="2"/>
  <c r="L4015" i="2"/>
  <c r="K4015" i="2"/>
  <c r="G4015" i="2"/>
  <c r="E4015" i="2"/>
  <c r="B4015" i="2"/>
  <c r="S4014" i="2"/>
  <c r="M4014" i="2"/>
  <c r="L4014" i="2"/>
  <c r="K4014" i="2"/>
  <c r="G4014" i="2"/>
  <c r="E4014" i="2"/>
  <c r="B4014" i="2"/>
  <c r="S4013" i="2"/>
  <c r="M4013" i="2"/>
  <c r="L4013" i="2"/>
  <c r="K4013" i="2"/>
  <c r="G4013" i="2"/>
  <c r="E4013" i="2"/>
  <c r="B4013" i="2"/>
  <c r="S4012" i="2"/>
  <c r="M4012" i="2"/>
  <c r="L4012" i="2"/>
  <c r="K4012" i="2"/>
  <c r="G4012" i="2"/>
  <c r="E4012" i="2"/>
  <c r="B4012" i="2"/>
  <c r="S4011" i="2"/>
  <c r="M4011" i="2"/>
  <c r="L4011" i="2"/>
  <c r="K4011" i="2"/>
  <c r="G4011" i="2"/>
  <c r="E4011" i="2"/>
  <c r="B4011" i="2"/>
  <c r="S4010" i="2"/>
  <c r="M4010" i="2"/>
  <c r="L4010" i="2"/>
  <c r="K4010" i="2"/>
  <c r="G4010" i="2"/>
  <c r="E4010" i="2"/>
  <c r="B4010" i="2"/>
  <c r="S4009" i="2"/>
  <c r="M4009" i="2"/>
  <c r="L4009" i="2"/>
  <c r="K4009" i="2"/>
  <c r="G4009" i="2"/>
  <c r="E4009" i="2"/>
  <c r="B4009" i="2"/>
  <c r="S4008" i="2"/>
  <c r="M4008" i="2"/>
  <c r="L4008" i="2"/>
  <c r="K4008" i="2"/>
  <c r="G4008" i="2"/>
  <c r="E4008" i="2"/>
  <c r="B4008" i="2"/>
  <c r="S4007" i="2"/>
  <c r="M4007" i="2"/>
  <c r="L4007" i="2"/>
  <c r="K4007" i="2"/>
  <c r="G4007" i="2"/>
  <c r="E4007" i="2"/>
  <c r="B4007" i="2"/>
  <c r="S4006" i="2"/>
  <c r="M4006" i="2"/>
  <c r="L4006" i="2"/>
  <c r="K4006" i="2"/>
  <c r="G4006" i="2"/>
  <c r="E4006" i="2"/>
  <c r="B4006" i="2"/>
  <c r="S4005" i="2"/>
  <c r="M4005" i="2"/>
  <c r="L4005" i="2"/>
  <c r="K4005" i="2"/>
  <c r="G4005" i="2"/>
  <c r="E4005" i="2"/>
  <c r="B4005" i="2"/>
  <c r="S4004" i="2"/>
  <c r="M4004" i="2"/>
  <c r="L4004" i="2"/>
  <c r="K4004" i="2"/>
  <c r="G4004" i="2"/>
  <c r="E4004" i="2"/>
  <c r="B4004" i="2"/>
  <c r="S4003" i="2"/>
  <c r="M4003" i="2"/>
  <c r="L4003" i="2"/>
  <c r="K4003" i="2"/>
  <c r="G4003" i="2"/>
  <c r="E4003" i="2"/>
  <c r="B4003" i="2"/>
  <c r="S4002" i="2"/>
  <c r="M4002" i="2"/>
  <c r="L4002" i="2"/>
  <c r="K4002" i="2"/>
  <c r="G4002" i="2"/>
  <c r="E4002" i="2"/>
  <c r="B4002" i="2"/>
  <c r="S4001" i="2"/>
  <c r="M4001" i="2"/>
  <c r="L4001" i="2"/>
  <c r="K4001" i="2"/>
  <c r="G4001" i="2"/>
  <c r="E4001" i="2"/>
  <c r="B4001" i="2"/>
  <c r="S4000" i="2"/>
  <c r="M4000" i="2"/>
  <c r="L4000" i="2"/>
  <c r="K4000" i="2"/>
  <c r="G4000" i="2"/>
  <c r="E4000" i="2"/>
  <c r="B4000" i="2"/>
  <c r="S3999" i="2"/>
  <c r="M3999" i="2"/>
  <c r="L3999" i="2"/>
  <c r="K3999" i="2"/>
  <c r="G3999" i="2"/>
  <c r="E3999" i="2"/>
  <c r="B3999" i="2"/>
  <c r="S3998" i="2"/>
  <c r="M3998" i="2"/>
  <c r="L3998" i="2"/>
  <c r="K3998" i="2"/>
  <c r="G3998" i="2"/>
  <c r="E3998" i="2"/>
  <c r="B3998" i="2"/>
  <c r="S3997" i="2"/>
  <c r="M3997" i="2"/>
  <c r="L3997" i="2"/>
  <c r="K3997" i="2"/>
  <c r="G3997" i="2"/>
  <c r="E3997" i="2"/>
  <c r="B3997" i="2"/>
  <c r="S3996" i="2"/>
  <c r="M3996" i="2"/>
  <c r="L3996" i="2"/>
  <c r="K3996" i="2"/>
  <c r="G3996" i="2"/>
  <c r="E3996" i="2"/>
  <c r="B3996" i="2"/>
  <c r="S3995" i="2"/>
  <c r="M3995" i="2"/>
  <c r="L3995" i="2"/>
  <c r="K3995" i="2"/>
  <c r="G3995" i="2"/>
  <c r="E3995" i="2"/>
  <c r="B3995" i="2"/>
  <c r="S3994" i="2"/>
  <c r="M3994" i="2"/>
  <c r="L3994" i="2"/>
  <c r="K3994" i="2"/>
  <c r="G3994" i="2"/>
  <c r="E3994" i="2"/>
  <c r="B3994" i="2"/>
  <c r="S3993" i="2"/>
  <c r="M3993" i="2"/>
  <c r="L3993" i="2"/>
  <c r="K3993" i="2"/>
  <c r="G3993" i="2"/>
  <c r="E3993" i="2"/>
  <c r="B3993" i="2"/>
  <c r="S3992" i="2"/>
  <c r="M3992" i="2"/>
  <c r="L3992" i="2"/>
  <c r="K3992" i="2"/>
  <c r="G3992" i="2"/>
  <c r="E3992" i="2"/>
  <c r="B3992" i="2"/>
  <c r="S3991" i="2"/>
  <c r="M3991" i="2"/>
  <c r="L3991" i="2"/>
  <c r="K3991" i="2"/>
  <c r="G3991" i="2"/>
  <c r="E3991" i="2"/>
  <c r="B3991" i="2"/>
  <c r="S3990" i="2"/>
  <c r="M3990" i="2"/>
  <c r="L3990" i="2"/>
  <c r="K3990" i="2"/>
  <c r="G3990" i="2"/>
  <c r="E3990" i="2"/>
  <c r="B3990" i="2"/>
  <c r="S3989" i="2"/>
  <c r="M3989" i="2"/>
  <c r="L3989" i="2"/>
  <c r="K3989" i="2"/>
  <c r="G3989" i="2"/>
  <c r="E3989" i="2"/>
  <c r="B3989" i="2"/>
  <c r="S3988" i="2"/>
  <c r="M3988" i="2"/>
  <c r="L3988" i="2"/>
  <c r="K3988" i="2"/>
  <c r="G3988" i="2"/>
  <c r="E3988" i="2"/>
  <c r="B3988" i="2"/>
  <c r="S3987" i="2"/>
  <c r="M3987" i="2"/>
  <c r="L3987" i="2"/>
  <c r="K3987" i="2"/>
  <c r="G3987" i="2"/>
  <c r="E3987" i="2"/>
  <c r="B3987" i="2"/>
  <c r="S3986" i="2"/>
  <c r="M3986" i="2"/>
  <c r="L3986" i="2"/>
  <c r="K3986" i="2"/>
  <c r="G3986" i="2"/>
  <c r="E3986" i="2"/>
  <c r="B3986" i="2"/>
  <c r="S3985" i="2"/>
  <c r="M3985" i="2"/>
  <c r="L3985" i="2"/>
  <c r="K3985" i="2"/>
  <c r="G3985" i="2"/>
  <c r="E3985" i="2"/>
  <c r="B3985" i="2"/>
  <c r="S3984" i="2"/>
  <c r="M3984" i="2"/>
  <c r="L3984" i="2"/>
  <c r="K3984" i="2"/>
  <c r="G3984" i="2"/>
  <c r="E3984" i="2"/>
  <c r="B3984" i="2"/>
  <c r="S3983" i="2"/>
  <c r="M3983" i="2"/>
  <c r="L3983" i="2"/>
  <c r="K3983" i="2"/>
  <c r="G3983" i="2"/>
  <c r="E3983" i="2"/>
  <c r="B3983" i="2"/>
  <c r="S3982" i="2"/>
  <c r="M3982" i="2"/>
  <c r="L3982" i="2"/>
  <c r="K3982" i="2"/>
  <c r="G3982" i="2"/>
  <c r="E3982" i="2"/>
  <c r="B3982" i="2"/>
  <c r="S3981" i="2"/>
  <c r="M3981" i="2"/>
  <c r="L3981" i="2"/>
  <c r="K3981" i="2"/>
  <c r="G3981" i="2"/>
  <c r="E3981" i="2"/>
  <c r="B3981" i="2"/>
  <c r="S3980" i="2"/>
  <c r="M3980" i="2"/>
  <c r="L3980" i="2"/>
  <c r="K3980" i="2"/>
  <c r="G3980" i="2"/>
  <c r="E3980" i="2"/>
  <c r="B3980" i="2"/>
  <c r="S3979" i="2"/>
  <c r="M3979" i="2"/>
  <c r="L3979" i="2"/>
  <c r="K3979" i="2"/>
  <c r="G3979" i="2"/>
  <c r="E3979" i="2"/>
  <c r="B3979" i="2"/>
  <c r="S3978" i="2"/>
  <c r="M3978" i="2"/>
  <c r="L3978" i="2"/>
  <c r="K3978" i="2"/>
  <c r="G3978" i="2"/>
  <c r="E3978" i="2"/>
  <c r="B3978" i="2"/>
  <c r="S3977" i="2"/>
  <c r="M3977" i="2"/>
  <c r="L3977" i="2"/>
  <c r="K3977" i="2"/>
  <c r="G3977" i="2"/>
  <c r="E3977" i="2"/>
  <c r="B3977" i="2"/>
  <c r="S3976" i="2"/>
  <c r="M3976" i="2"/>
  <c r="L3976" i="2"/>
  <c r="K3976" i="2"/>
  <c r="G3976" i="2"/>
  <c r="E3976" i="2"/>
  <c r="B3976" i="2"/>
  <c r="S3975" i="2"/>
  <c r="M3975" i="2"/>
  <c r="L3975" i="2"/>
  <c r="K3975" i="2"/>
  <c r="G3975" i="2"/>
  <c r="E3975" i="2"/>
  <c r="B3975" i="2"/>
  <c r="S3974" i="2"/>
  <c r="M3974" i="2"/>
  <c r="L3974" i="2"/>
  <c r="K3974" i="2"/>
  <c r="G3974" i="2"/>
  <c r="E3974" i="2"/>
  <c r="B3974" i="2"/>
  <c r="S3973" i="2"/>
  <c r="M3973" i="2"/>
  <c r="L3973" i="2"/>
  <c r="K3973" i="2"/>
  <c r="G3973" i="2"/>
  <c r="E3973" i="2"/>
  <c r="B3973" i="2"/>
  <c r="S3972" i="2"/>
  <c r="M3972" i="2"/>
  <c r="L3972" i="2"/>
  <c r="K3972" i="2"/>
  <c r="G3972" i="2"/>
  <c r="E3972" i="2"/>
  <c r="B3972" i="2"/>
  <c r="S3971" i="2"/>
  <c r="M3971" i="2"/>
  <c r="L3971" i="2"/>
  <c r="K3971" i="2"/>
  <c r="G3971" i="2"/>
  <c r="E3971" i="2"/>
  <c r="B3971" i="2"/>
  <c r="S3970" i="2"/>
  <c r="M3970" i="2"/>
  <c r="L3970" i="2"/>
  <c r="K3970" i="2"/>
  <c r="G3970" i="2"/>
  <c r="E3970" i="2"/>
  <c r="B3970" i="2"/>
  <c r="S3969" i="2"/>
  <c r="M3969" i="2"/>
  <c r="L3969" i="2"/>
  <c r="K3969" i="2"/>
  <c r="G3969" i="2"/>
  <c r="E3969" i="2"/>
  <c r="B3969" i="2"/>
  <c r="S3968" i="2"/>
  <c r="M3968" i="2"/>
  <c r="L3968" i="2"/>
  <c r="K3968" i="2"/>
  <c r="G3968" i="2"/>
  <c r="E3968" i="2"/>
  <c r="B3968" i="2"/>
  <c r="S3967" i="2"/>
  <c r="M3967" i="2"/>
  <c r="L3967" i="2"/>
  <c r="K3967" i="2"/>
  <c r="G3967" i="2"/>
  <c r="E3967" i="2"/>
  <c r="B3967" i="2"/>
  <c r="S3966" i="2"/>
  <c r="M3966" i="2"/>
  <c r="L3966" i="2"/>
  <c r="K3966" i="2"/>
  <c r="G3966" i="2"/>
  <c r="E3966" i="2"/>
  <c r="B3966" i="2"/>
  <c r="S3965" i="2"/>
  <c r="M3965" i="2"/>
  <c r="L3965" i="2"/>
  <c r="K3965" i="2"/>
  <c r="G3965" i="2"/>
  <c r="E3965" i="2"/>
  <c r="B3965" i="2"/>
  <c r="S3964" i="2"/>
  <c r="M3964" i="2"/>
  <c r="L3964" i="2"/>
  <c r="K3964" i="2"/>
  <c r="G3964" i="2"/>
  <c r="E3964" i="2"/>
  <c r="B3964" i="2"/>
  <c r="S3963" i="2"/>
  <c r="M3963" i="2"/>
  <c r="L3963" i="2"/>
  <c r="K3963" i="2"/>
  <c r="G3963" i="2"/>
  <c r="E3963" i="2"/>
  <c r="B3963" i="2"/>
  <c r="S3962" i="2"/>
  <c r="M3962" i="2"/>
  <c r="L3962" i="2"/>
  <c r="K3962" i="2"/>
  <c r="G3962" i="2"/>
  <c r="E3962" i="2"/>
  <c r="B3962" i="2"/>
  <c r="S3961" i="2"/>
  <c r="M3961" i="2"/>
  <c r="L3961" i="2"/>
  <c r="K3961" i="2"/>
  <c r="G3961" i="2"/>
  <c r="E3961" i="2"/>
  <c r="B3961" i="2"/>
  <c r="S3960" i="2"/>
  <c r="M3960" i="2"/>
  <c r="L3960" i="2"/>
  <c r="K3960" i="2"/>
  <c r="G3960" i="2"/>
  <c r="E3960" i="2"/>
  <c r="B3960" i="2"/>
  <c r="S3959" i="2"/>
  <c r="M3959" i="2"/>
  <c r="L3959" i="2"/>
  <c r="K3959" i="2"/>
  <c r="G3959" i="2"/>
  <c r="E3959" i="2"/>
  <c r="B3959" i="2"/>
  <c r="S3958" i="2"/>
  <c r="M3958" i="2"/>
  <c r="L3958" i="2"/>
  <c r="K3958" i="2"/>
  <c r="G3958" i="2"/>
  <c r="E3958" i="2"/>
  <c r="B3958" i="2"/>
  <c r="S3957" i="2"/>
  <c r="M3957" i="2"/>
  <c r="L3957" i="2"/>
  <c r="K3957" i="2"/>
  <c r="G3957" i="2"/>
  <c r="E3957" i="2"/>
  <c r="B3957" i="2"/>
  <c r="S3956" i="2"/>
  <c r="M3956" i="2"/>
  <c r="L3956" i="2"/>
  <c r="K3956" i="2"/>
  <c r="G3956" i="2"/>
  <c r="E3956" i="2"/>
  <c r="B3956" i="2"/>
  <c r="S3955" i="2"/>
  <c r="M3955" i="2"/>
  <c r="L3955" i="2"/>
  <c r="K3955" i="2"/>
  <c r="G3955" i="2"/>
  <c r="E3955" i="2"/>
  <c r="B3955" i="2"/>
  <c r="S3954" i="2"/>
  <c r="M3954" i="2"/>
  <c r="L3954" i="2"/>
  <c r="K3954" i="2"/>
  <c r="G3954" i="2"/>
  <c r="E3954" i="2"/>
  <c r="B3954" i="2"/>
  <c r="S3953" i="2"/>
  <c r="M3953" i="2"/>
  <c r="L3953" i="2"/>
  <c r="K3953" i="2"/>
  <c r="G3953" i="2"/>
  <c r="E3953" i="2"/>
  <c r="B3953" i="2"/>
  <c r="S3952" i="2"/>
  <c r="M3952" i="2"/>
  <c r="L3952" i="2"/>
  <c r="K3952" i="2"/>
  <c r="G3952" i="2"/>
  <c r="E3952" i="2"/>
  <c r="B3952" i="2"/>
  <c r="S3951" i="2"/>
  <c r="M3951" i="2"/>
  <c r="L3951" i="2"/>
  <c r="K3951" i="2"/>
  <c r="G3951" i="2"/>
  <c r="E3951" i="2"/>
  <c r="B3951" i="2"/>
  <c r="S3950" i="2"/>
  <c r="M3950" i="2"/>
  <c r="L3950" i="2"/>
  <c r="K3950" i="2"/>
  <c r="G3950" i="2"/>
  <c r="E3950" i="2"/>
  <c r="B3950" i="2"/>
  <c r="S3949" i="2"/>
  <c r="M3949" i="2"/>
  <c r="L3949" i="2"/>
  <c r="K3949" i="2"/>
  <c r="G3949" i="2"/>
  <c r="E3949" i="2"/>
  <c r="B3949" i="2"/>
  <c r="S3948" i="2"/>
  <c r="M3948" i="2"/>
  <c r="L3948" i="2"/>
  <c r="K3948" i="2"/>
  <c r="G3948" i="2"/>
  <c r="E3948" i="2"/>
  <c r="B3948" i="2"/>
  <c r="S3947" i="2"/>
  <c r="M3947" i="2"/>
  <c r="L3947" i="2"/>
  <c r="K3947" i="2"/>
  <c r="G3947" i="2"/>
  <c r="E3947" i="2"/>
  <c r="B3947" i="2"/>
  <c r="S3946" i="2"/>
  <c r="M3946" i="2"/>
  <c r="L3946" i="2"/>
  <c r="K3946" i="2"/>
  <c r="G3946" i="2"/>
  <c r="E3946" i="2"/>
  <c r="B3946" i="2"/>
  <c r="S3945" i="2"/>
  <c r="M3945" i="2"/>
  <c r="L3945" i="2"/>
  <c r="K3945" i="2"/>
  <c r="G3945" i="2"/>
  <c r="E3945" i="2"/>
  <c r="B3945" i="2"/>
  <c r="S3944" i="2"/>
  <c r="M3944" i="2"/>
  <c r="L3944" i="2"/>
  <c r="K3944" i="2"/>
  <c r="G3944" i="2"/>
  <c r="E3944" i="2"/>
  <c r="B3944" i="2"/>
  <c r="S3943" i="2"/>
  <c r="M3943" i="2"/>
  <c r="L3943" i="2"/>
  <c r="K3943" i="2"/>
  <c r="G3943" i="2"/>
  <c r="E3943" i="2"/>
  <c r="B3943" i="2"/>
  <c r="S3942" i="2"/>
  <c r="M3942" i="2"/>
  <c r="L3942" i="2"/>
  <c r="K3942" i="2"/>
  <c r="G3942" i="2"/>
  <c r="E3942" i="2"/>
  <c r="B3942" i="2"/>
  <c r="S3941" i="2"/>
  <c r="M3941" i="2"/>
  <c r="L3941" i="2"/>
  <c r="K3941" i="2"/>
  <c r="G3941" i="2"/>
  <c r="E3941" i="2"/>
  <c r="B3941" i="2"/>
  <c r="S3940" i="2"/>
  <c r="M3940" i="2"/>
  <c r="L3940" i="2"/>
  <c r="K3940" i="2"/>
  <c r="G3940" i="2"/>
  <c r="E3940" i="2"/>
  <c r="B3940" i="2"/>
  <c r="S3939" i="2"/>
  <c r="M3939" i="2"/>
  <c r="L3939" i="2"/>
  <c r="K3939" i="2"/>
  <c r="G3939" i="2"/>
  <c r="E3939" i="2"/>
  <c r="B3939" i="2"/>
  <c r="S3938" i="2"/>
  <c r="M3938" i="2"/>
  <c r="L3938" i="2"/>
  <c r="K3938" i="2"/>
  <c r="G3938" i="2"/>
  <c r="E3938" i="2"/>
  <c r="B3938" i="2"/>
  <c r="S3937" i="2"/>
  <c r="M3937" i="2"/>
  <c r="L3937" i="2"/>
  <c r="K3937" i="2"/>
  <c r="G3937" i="2"/>
  <c r="E3937" i="2"/>
  <c r="B3937" i="2"/>
  <c r="S3936" i="2"/>
  <c r="M3936" i="2"/>
  <c r="L3936" i="2"/>
  <c r="K3936" i="2"/>
  <c r="G3936" i="2"/>
  <c r="E3936" i="2"/>
  <c r="B3936" i="2"/>
  <c r="S3935" i="2"/>
  <c r="M3935" i="2"/>
  <c r="L3935" i="2"/>
  <c r="K3935" i="2"/>
  <c r="G3935" i="2"/>
  <c r="E3935" i="2"/>
  <c r="B3935" i="2"/>
  <c r="S3934" i="2"/>
  <c r="M3934" i="2"/>
  <c r="L3934" i="2"/>
  <c r="K3934" i="2"/>
  <c r="G3934" i="2"/>
  <c r="E3934" i="2"/>
  <c r="B3934" i="2"/>
  <c r="S3933" i="2"/>
  <c r="M3933" i="2"/>
  <c r="L3933" i="2"/>
  <c r="K3933" i="2"/>
  <c r="G3933" i="2"/>
  <c r="E3933" i="2"/>
  <c r="B3933" i="2"/>
  <c r="S3932" i="2"/>
  <c r="M3932" i="2"/>
  <c r="L3932" i="2"/>
  <c r="K3932" i="2"/>
  <c r="G3932" i="2"/>
  <c r="E3932" i="2"/>
  <c r="B3932" i="2"/>
  <c r="S3931" i="2"/>
  <c r="M3931" i="2"/>
  <c r="L3931" i="2"/>
  <c r="K3931" i="2"/>
  <c r="G3931" i="2"/>
  <c r="E3931" i="2"/>
  <c r="B3931" i="2"/>
  <c r="S3930" i="2"/>
  <c r="M3930" i="2"/>
  <c r="L3930" i="2"/>
  <c r="K3930" i="2"/>
  <c r="G3930" i="2"/>
  <c r="E3930" i="2"/>
  <c r="B3930" i="2"/>
  <c r="S3929" i="2"/>
  <c r="M3929" i="2"/>
  <c r="L3929" i="2"/>
  <c r="K3929" i="2"/>
  <c r="G3929" i="2"/>
  <c r="E3929" i="2"/>
  <c r="B3929" i="2"/>
  <c r="S3928" i="2"/>
  <c r="M3928" i="2"/>
  <c r="L3928" i="2"/>
  <c r="K3928" i="2"/>
  <c r="G3928" i="2"/>
  <c r="E3928" i="2"/>
  <c r="B3928" i="2"/>
  <c r="S3927" i="2"/>
  <c r="M3927" i="2"/>
  <c r="L3927" i="2"/>
  <c r="K3927" i="2"/>
  <c r="G3927" i="2"/>
  <c r="E3927" i="2"/>
  <c r="B3927" i="2"/>
  <c r="S3926" i="2"/>
  <c r="M3926" i="2"/>
  <c r="L3926" i="2"/>
  <c r="K3926" i="2"/>
  <c r="G3926" i="2"/>
  <c r="E3926" i="2"/>
  <c r="B3926" i="2"/>
  <c r="S3925" i="2"/>
  <c r="M3925" i="2"/>
  <c r="L3925" i="2"/>
  <c r="K3925" i="2"/>
  <c r="G3925" i="2"/>
  <c r="E3925" i="2"/>
  <c r="B3925" i="2"/>
  <c r="S3924" i="2"/>
  <c r="M3924" i="2"/>
  <c r="L3924" i="2"/>
  <c r="K3924" i="2"/>
  <c r="G3924" i="2"/>
  <c r="E3924" i="2"/>
  <c r="B3924" i="2"/>
  <c r="S3923" i="2"/>
  <c r="M3923" i="2"/>
  <c r="L3923" i="2"/>
  <c r="K3923" i="2"/>
  <c r="G3923" i="2"/>
  <c r="E3923" i="2"/>
  <c r="B3923" i="2"/>
  <c r="S3922" i="2"/>
  <c r="M3922" i="2"/>
  <c r="L3922" i="2"/>
  <c r="K3922" i="2"/>
  <c r="G3922" i="2"/>
  <c r="E3922" i="2"/>
  <c r="B3922" i="2"/>
  <c r="S3921" i="2"/>
  <c r="M3921" i="2"/>
  <c r="L3921" i="2"/>
  <c r="K3921" i="2"/>
  <c r="G3921" i="2"/>
  <c r="E3921" i="2"/>
  <c r="B3921" i="2"/>
  <c r="S3920" i="2"/>
  <c r="M3920" i="2"/>
  <c r="L3920" i="2"/>
  <c r="K3920" i="2"/>
  <c r="G3920" i="2"/>
  <c r="E3920" i="2"/>
  <c r="B3920" i="2"/>
  <c r="S3919" i="2"/>
  <c r="M3919" i="2"/>
  <c r="L3919" i="2"/>
  <c r="K3919" i="2"/>
  <c r="G3919" i="2"/>
  <c r="E3919" i="2"/>
  <c r="B3919" i="2"/>
  <c r="S3918" i="2"/>
  <c r="M3918" i="2"/>
  <c r="L3918" i="2"/>
  <c r="K3918" i="2"/>
  <c r="G3918" i="2"/>
  <c r="E3918" i="2"/>
  <c r="B3918" i="2"/>
  <c r="S3917" i="2"/>
  <c r="M3917" i="2"/>
  <c r="L3917" i="2"/>
  <c r="K3917" i="2"/>
  <c r="G3917" i="2"/>
  <c r="E3917" i="2"/>
  <c r="B3917" i="2"/>
  <c r="S3916" i="2"/>
  <c r="M3916" i="2"/>
  <c r="L3916" i="2"/>
  <c r="K3916" i="2"/>
  <c r="G3916" i="2"/>
  <c r="E3916" i="2"/>
  <c r="B3916" i="2"/>
  <c r="S3915" i="2"/>
  <c r="M3915" i="2"/>
  <c r="L3915" i="2"/>
  <c r="K3915" i="2"/>
  <c r="G3915" i="2"/>
  <c r="E3915" i="2"/>
  <c r="B3915" i="2"/>
  <c r="S3914" i="2"/>
  <c r="M3914" i="2"/>
  <c r="L3914" i="2"/>
  <c r="K3914" i="2"/>
  <c r="G3914" i="2"/>
  <c r="E3914" i="2"/>
  <c r="B3914" i="2"/>
  <c r="S3913" i="2"/>
  <c r="M3913" i="2"/>
  <c r="L3913" i="2"/>
  <c r="K3913" i="2"/>
  <c r="G3913" i="2"/>
  <c r="E3913" i="2"/>
  <c r="B3913" i="2"/>
  <c r="S3912" i="2"/>
  <c r="M3912" i="2"/>
  <c r="L3912" i="2"/>
  <c r="K3912" i="2"/>
  <c r="G3912" i="2"/>
  <c r="E3912" i="2"/>
  <c r="B3912" i="2"/>
  <c r="S3911" i="2"/>
  <c r="M3911" i="2"/>
  <c r="L3911" i="2"/>
  <c r="K3911" i="2"/>
  <c r="G3911" i="2"/>
  <c r="E3911" i="2"/>
  <c r="B3911" i="2"/>
  <c r="S3910" i="2"/>
  <c r="M3910" i="2"/>
  <c r="L3910" i="2"/>
  <c r="K3910" i="2"/>
  <c r="G3910" i="2"/>
  <c r="E3910" i="2"/>
  <c r="B3910" i="2"/>
  <c r="S3909" i="2"/>
  <c r="M3909" i="2"/>
  <c r="L3909" i="2"/>
  <c r="K3909" i="2"/>
  <c r="G3909" i="2"/>
  <c r="E3909" i="2"/>
  <c r="B3909" i="2"/>
  <c r="S3908" i="2"/>
  <c r="M3908" i="2"/>
  <c r="L3908" i="2"/>
  <c r="K3908" i="2"/>
  <c r="G3908" i="2"/>
  <c r="E3908" i="2"/>
  <c r="B3908" i="2"/>
  <c r="S3907" i="2"/>
  <c r="M3907" i="2"/>
  <c r="L3907" i="2"/>
  <c r="K3907" i="2"/>
  <c r="G3907" i="2"/>
  <c r="E3907" i="2"/>
  <c r="B3907" i="2"/>
  <c r="S3906" i="2"/>
  <c r="M3906" i="2"/>
  <c r="L3906" i="2"/>
  <c r="K3906" i="2"/>
  <c r="G3906" i="2"/>
  <c r="E3906" i="2"/>
  <c r="B3906" i="2"/>
  <c r="S3905" i="2"/>
  <c r="M3905" i="2"/>
  <c r="L3905" i="2"/>
  <c r="K3905" i="2"/>
  <c r="G3905" i="2"/>
  <c r="E3905" i="2"/>
  <c r="B3905" i="2"/>
  <c r="S3904" i="2"/>
  <c r="M3904" i="2"/>
  <c r="L3904" i="2"/>
  <c r="K3904" i="2"/>
  <c r="G3904" i="2"/>
  <c r="E3904" i="2"/>
  <c r="B3904" i="2"/>
  <c r="S3903" i="2"/>
  <c r="M3903" i="2"/>
  <c r="L3903" i="2"/>
  <c r="K3903" i="2"/>
  <c r="G3903" i="2"/>
  <c r="E3903" i="2"/>
  <c r="B3903" i="2"/>
  <c r="S3902" i="2"/>
  <c r="M3902" i="2"/>
  <c r="L3902" i="2"/>
  <c r="K3902" i="2"/>
  <c r="G3902" i="2"/>
  <c r="E3902" i="2"/>
  <c r="B3902" i="2"/>
  <c r="S3901" i="2"/>
  <c r="M3901" i="2"/>
  <c r="L3901" i="2"/>
  <c r="K3901" i="2"/>
  <c r="G3901" i="2"/>
  <c r="E3901" i="2"/>
  <c r="B3901" i="2"/>
  <c r="S3900" i="2"/>
  <c r="M3900" i="2"/>
  <c r="L3900" i="2"/>
  <c r="K3900" i="2"/>
  <c r="G3900" i="2"/>
  <c r="E3900" i="2"/>
  <c r="B3900" i="2"/>
  <c r="S3899" i="2"/>
  <c r="M3899" i="2"/>
  <c r="L3899" i="2"/>
  <c r="K3899" i="2"/>
  <c r="G3899" i="2"/>
  <c r="E3899" i="2"/>
  <c r="B3899" i="2"/>
  <c r="S3898" i="2"/>
  <c r="M3898" i="2"/>
  <c r="L3898" i="2"/>
  <c r="K3898" i="2"/>
  <c r="G3898" i="2"/>
  <c r="E3898" i="2"/>
  <c r="B3898" i="2"/>
  <c r="S3897" i="2"/>
  <c r="M3897" i="2"/>
  <c r="L3897" i="2"/>
  <c r="K3897" i="2"/>
  <c r="G3897" i="2"/>
  <c r="E3897" i="2"/>
  <c r="B3897" i="2"/>
  <c r="S3896" i="2"/>
  <c r="M3896" i="2"/>
  <c r="L3896" i="2"/>
  <c r="K3896" i="2"/>
  <c r="G3896" i="2"/>
  <c r="E3896" i="2"/>
  <c r="B3896" i="2"/>
  <c r="S3895" i="2"/>
  <c r="M3895" i="2"/>
  <c r="L3895" i="2"/>
  <c r="K3895" i="2"/>
  <c r="G3895" i="2"/>
  <c r="E3895" i="2"/>
  <c r="B3895" i="2"/>
  <c r="S3894" i="2"/>
  <c r="M3894" i="2"/>
  <c r="L3894" i="2"/>
  <c r="K3894" i="2"/>
  <c r="G3894" i="2"/>
  <c r="E3894" i="2"/>
  <c r="B3894" i="2"/>
  <c r="S3893" i="2"/>
  <c r="M3893" i="2"/>
  <c r="L3893" i="2"/>
  <c r="K3893" i="2"/>
  <c r="G3893" i="2"/>
  <c r="E3893" i="2"/>
  <c r="B3893" i="2"/>
  <c r="S3892" i="2"/>
  <c r="M3892" i="2"/>
  <c r="L3892" i="2"/>
  <c r="K3892" i="2"/>
  <c r="G3892" i="2"/>
  <c r="E3892" i="2"/>
  <c r="B3892" i="2"/>
  <c r="S3891" i="2"/>
  <c r="M3891" i="2"/>
  <c r="L3891" i="2"/>
  <c r="K3891" i="2"/>
  <c r="G3891" i="2"/>
  <c r="E3891" i="2"/>
  <c r="B3891" i="2"/>
  <c r="S3890" i="2"/>
  <c r="M3890" i="2"/>
  <c r="L3890" i="2"/>
  <c r="K3890" i="2"/>
  <c r="G3890" i="2"/>
  <c r="E3890" i="2"/>
  <c r="B3890" i="2"/>
  <c r="S3889" i="2"/>
  <c r="M3889" i="2"/>
  <c r="L3889" i="2"/>
  <c r="K3889" i="2"/>
  <c r="G3889" i="2"/>
  <c r="E3889" i="2"/>
  <c r="B3889" i="2"/>
  <c r="S3888" i="2"/>
  <c r="M3888" i="2"/>
  <c r="L3888" i="2"/>
  <c r="K3888" i="2"/>
  <c r="G3888" i="2"/>
  <c r="E3888" i="2"/>
  <c r="B3888" i="2"/>
  <c r="S3887" i="2"/>
  <c r="M3887" i="2"/>
  <c r="L3887" i="2"/>
  <c r="K3887" i="2"/>
  <c r="G3887" i="2"/>
  <c r="E3887" i="2"/>
  <c r="B3887" i="2"/>
  <c r="S3886" i="2"/>
  <c r="M3886" i="2"/>
  <c r="L3886" i="2"/>
  <c r="K3886" i="2"/>
  <c r="G3886" i="2"/>
  <c r="E3886" i="2"/>
  <c r="B3886" i="2"/>
  <c r="S3885" i="2"/>
  <c r="M3885" i="2"/>
  <c r="L3885" i="2"/>
  <c r="K3885" i="2"/>
  <c r="G3885" i="2"/>
  <c r="E3885" i="2"/>
  <c r="B3885" i="2"/>
  <c r="S3884" i="2"/>
  <c r="M3884" i="2"/>
  <c r="L3884" i="2"/>
  <c r="K3884" i="2"/>
  <c r="G3884" i="2"/>
  <c r="E3884" i="2"/>
  <c r="B3884" i="2"/>
  <c r="S3883" i="2"/>
  <c r="M3883" i="2"/>
  <c r="L3883" i="2"/>
  <c r="K3883" i="2"/>
  <c r="G3883" i="2"/>
  <c r="E3883" i="2"/>
  <c r="B3883" i="2"/>
  <c r="S3882" i="2"/>
  <c r="M3882" i="2"/>
  <c r="L3882" i="2"/>
  <c r="K3882" i="2"/>
  <c r="G3882" i="2"/>
  <c r="E3882" i="2"/>
  <c r="B3882" i="2"/>
  <c r="S3881" i="2"/>
  <c r="M3881" i="2"/>
  <c r="L3881" i="2"/>
  <c r="K3881" i="2"/>
  <c r="G3881" i="2"/>
  <c r="E3881" i="2"/>
  <c r="B3881" i="2"/>
  <c r="S3880" i="2"/>
  <c r="M3880" i="2"/>
  <c r="L3880" i="2"/>
  <c r="K3880" i="2"/>
  <c r="G3880" i="2"/>
  <c r="E3880" i="2"/>
  <c r="B3880" i="2"/>
  <c r="S3879" i="2"/>
  <c r="M3879" i="2"/>
  <c r="L3879" i="2"/>
  <c r="K3879" i="2"/>
  <c r="G3879" i="2"/>
  <c r="E3879" i="2"/>
  <c r="B3879" i="2"/>
  <c r="S3878" i="2"/>
  <c r="M3878" i="2"/>
  <c r="L3878" i="2"/>
  <c r="K3878" i="2"/>
  <c r="G3878" i="2"/>
  <c r="E3878" i="2"/>
  <c r="B3878" i="2"/>
  <c r="S3877" i="2"/>
  <c r="M3877" i="2"/>
  <c r="L3877" i="2"/>
  <c r="K3877" i="2"/>
  <c r="G3877" i="2"/>
  <c r="E3877" i="2"/>
  <c r="B3877" i="2"/>
  <c r="S3876" i="2"/>
  <c r="M3876" i="2"/>
  <c r="L3876" i="2"/>
  <c r="K3876" i="2"/>
  <c r="G3876" i="2"/>
  <c r="E3876" i="2"/>
  <c r="B3876" i="2"/>
  <c r="S3875" i="2"/>
  <c r="M3875" i="2"/>
  <c r="L3875" i="2"/>
  <c r="K3875" i="2"/>
  <c r="G3875" i="2"/>
  <c r="E3875" i="2"/>
  <c r="B3875" i="2"/>
  <c r="S3874" i="2"/>
  <c r="M3874" i="2"/>
  <c r="L3874" i="2"/>
  <c r="K3874" i="2"/>
  <c r="G3874" i="2"/>
  <c r="E3874" i="2"/>
  <c r="B3874" i="2"/>
  <c r="S3873" i="2"/>
  <c r="M3873" i="2"/>
  <c r="L3873" i="2"/>
  <c r="K3873" i="2"/>
  <c r="G3873" i="2"/>
  <c r="E3873" i="2"/>
  <c r="B3873" i="2"/>
  <c r="S3872" i="2"/>
  <c r="M3872" i="2"/>
  <c r="L3872" i="2"/>
  <c r="K3872" i="2"/>
  <c r="G3872" i="2"/>
  <c r="E3872" i="2"/>
  <c r="B3872" i="2"/>
  <c r="S3871" i="2"/>
  <c r="M3871" i="2"/>
  <c r="L3871" i="2"/>
  <c r="K3871" i="2"/>
  <c r="G3871" i="2"/>
  <c r="E3871" i="2"/>
  <c r="B3871" i="2"/>
  <c r="S3870" i="2"/>
  <c r="M3870" i="2"/>
  <c r="L3870" i="2"/>
  <c r="K3870" i="2"/>
  <c r="G3870" i="2"/>
  <c r="E3870" i="2"/>
  <c r="B3870" i="2"/>
  <c r="S3869" i="2"/>
  <c r="M3869" i="2"/>
  <c r="L3869" i="2"/>
  <c r="K3869" i="2"/>
  <c r="G3869" i="2"/>
  <c r="E3869" i="2"/>
  <c r="B3869" i="2"/>
  <c r="S3868" i="2"/>
  <c r="M3868" i="2"/>
  <c r="L3868" i="2"/>
  <c r="K3868" i="2"/>
  <c r="G3868" i="2"/>
  <c r="E3868" i="2"/>
  <c r="B3868" i="2"/>
  <c r="S3867" i="2"/>
  <c r="M3867" i="2"/>
  <c r="L3867" i="2"/>
  <c r="K3867" i="2"/>
  <c r="G3867" i="2"/>
  <c r="E3867" i="2"/>
  <c r="B3867" i="2"/>
  <c r="S3866" i="2"/>
  <c r="M3866" i="2"/>
  <c r="L3866" i="2"/>
  <c r="K3866" i="2"/>
  <c r="G3866" i="2"/>
  <c r="E3866" i="2"/>
  <c r="B3866" i="2"/>
  <c r="S3865" i="2"/>
  <c r="M3865" i="2"/>
  <c r="L3865" i="2"/>
  <c r="K3865" i="2"/>
  <c r="G3865" i="2"/>
  <c r="E3865" i="2"/>
  <c r="B3865" i="2"/>
  <c r="S3864" i="2"/>
  <c r="M3864" i="2"/>
  <c r="L3864" i="2"/>
  <c r="K3864" i="2"/>
  <c r="G3864" i="2"/>
  <c r="E3864" i="2"/>
  <c r="B3864" i="2"/>
  <c r="S3863" i="2"/>
  <c r="M3863" i="2"/>
  <c r="L3863" i="2"/>
  <c r="K3863" i="2"/>
  <c r="G3863" i="2"/>
  <c r="E3863" i="2"/>
  <c r="B3863" i="2"/>
  <c r="S3862" i="2"/>
  <c r="M3862" i="2"/>
  <c r="L3862" i="2"/>
  <c r="K3862" i="2"/>
  <c r="G3862" i="2"/>
  <c r="E3862" i="2"/>
  <c r="B3862" i="2"/>
  <c r="S3861" i="2"/>
  <c r="M3861" i="2"/>
  <c r="L3861" i="2"/>
  <c r="K3861" i="2"/>
  <c r="G3861" i="2"/>
  <c r="E3861" i="2"/>
  <c r="B3861" i="2"/>
  <c r="S3860" i="2"/>
  <c r="M3860" i="2"/>
  <c r="L3860" i="2"/>
  <c r="K3860" i="2"/>
  <c r="G3860" i="2"/>
  <c r="E3860" i="2"/>
  <c r="B3860" i="2"/>
  <c r="S3859" i="2"/>
  <c r="M3859" i="2"/>
  <c r="L3859" i="2"/>
  <c r="K3859" i="2"/>
  <c r="G3859" i="2"/>
  <c r="E3859" i="2"/>
  <c r="B3859" i="2"/>
  <c r="S3858" i="2"/>
  <c r="M3858" i="2"/>
  <c r="L3858" i="2"/>
  <c r="K3858" i="2"/>
  <c r="G3858" i="2"/>
  <c r="E3858" i="2"/>
  <c r="B3858" i="2"/>
  <c r="S3857" i="2"/>
  <c r="M3857" i="2"/>
  <c r="L3857" i="2"/>
  <c r="K3857" i="2"/>
  <c r="G3857" i="2"/>
  <c r="E3857" i="2"/>
  <c r="B3857" i="2"/>
  <c r="S3856" i="2"/>
  <c r="M3856" i="2"/>
  <c r="L3856" i="2"/>
  <c r="K3856" i="2"/>
  <c r="G3856" i="2"/>
  <c r="E3856" i="2"/>
  <c r="B3856" i="2"/>
  <c r="S3855" i="2"/>
  <c r="M3855" i="2"/>
  <c r="L3855" i="2"/>
  <c r="K3855" i="2"/>
  <c r="G3855" i="2"/>
  <c r="E3855" i="2"/>
  <c r="B3855" i="2"/>
  <c r="S3854" i="2"/>
  <c r="M3854" i="2"/>
  <c r="L3854" i="2"/>
  <c r="K3854" i="2"/>
  <c r="G3854" i="2"/>
  <c r="E3854" i="2"/>
  <c r="B3854" i="2"/>
  <c r="S3853" i="2"/>
  <c r="M3853" i="2"/>
  <c r="L3853" i="2"/>
  <c r="K3853" i="2"/>
  <c r="G3853" i="2"/>
  <c r="E3853" i="2"/>
  <c r="B3853" i="2"/>
  <c r="S3852" i="2"/>
  <c r="M3852" i="2"/>
  <c r="L3852" i="2"/>
  <c r="K3852" i="2"/>
  <c r="G3852" i="2"/>
  <c r="E3852" i="2"/>
  <c r="B3852" i="2"/>
  <c r="S3851" i="2"/>
  <c r="M3851" i="2"/>
  <c r="L3851" i="2"/>
  <c r="K3851" i="2"/>
  <c r="G3851" i="2"/>
  <c r="E3851" i="2"/>
  <c r="B3851" i="2"/>
  <c r="S3850" i="2"/>
  <c r="M3850" i="2"/>
  <c r="L3850" i="2"/>
  <c r="K3850" i="2"/>
  <c r="G3850" i="2"/>
  <c r="E3850" i="2"/>
  <c r="B3850" i="2"/>
  <c r="S3849" i="2"/>
  <c r="M3849" i="2"/>
  <c r="L3849" i="2"/>
  <c r="K3849" i="2"/>
  <c r="G3849" i="2"/>
  <c r="E3849" i="2"/>
  <c r="B3849" i="2"/>
  <c r="S3848" i="2"/>
  <c r="M3848" i="2"/>
  <c r="L3848" i="2"/>
  <c r="K3848" i="2"/>
  <c r="G3848" i="2"/>
  <c r="E3848" i="2"/>
  <c r="B3848" i="2"/>
  <c r="S3847" i="2"/>
  <c r="M3847" i="2"/>
  <c r="L3847" i="2"/>
  <c r="K3847" i="2"/>
  <c r="G3847" i="2"/>
  <c r="E3847" i="2"/>
  <c r="B3847" i="2"/>
  <c r="S3846" i="2"/>
  <c r="M3846" i="2"/>
  <c r="L3846" i="2"/>
  <c r="K3846" i="2"/>
  <c r="G3846" i="2"/>
  <c r="E3846" i="2"/>
  <c r="B3846" i="2"/>
  <c r="S3845" i="2"/>
  <c r="M3845" i="2"/>
  <c r="L3845" i="2"/>
  <c r="K3845" i="2"/>
  <c r="G3845" i="2"/>
  <c r="E3845" i="2"/>
  <c r="B3845" i="2"/>
  <c r="S3844" i="2"/>
  <c r="M3844" i="2"/>
  <c r="L3844" i="2"/>
  <c r="K3844" i="2"/>
  <c r="G3844" i="2"/>
  <c r="E3844" i="2"/>
  <c r="B3844" i="2"/>
  <c r="S3843" i="2"/>
  <c r="M3843" i="2"/>
  <c r="L3843" i="2"/>
  <c r="K3843" i="2"/>
  <c r="G3843" i="2"/>
  <c r="E3843" i="2"/>
  <c r="B3843" i="2"/>
  <c r="S3842" i="2"/>
  <c r="M3842" i="2"/>
  <c r="L3842" i="2"/>
  <c r="K3842" i="2"/>
  <c r="G3842" i="2"/>
  <c r="E3842" i="2"/>
  <c r="B3842" i="2"/>
  <c r="S3841" i="2"/>
  <c r="M3841" i="2"/>
  <c r="L3841" i="2"/>
  <c r="K3841" i="2"/>
  <c r="G3841" i="2"/>
  <c r="E3841" i="2"/>
  <c r="B3841" i="2"/>
  <c r="S3840" i="2"/>
  <c r="M3840" i="2"/>
  <c r="L3840" i="2"/>
  <c r="K3840" i="2"/>
  <c r="G3840" i="2"/>
  <c r="E3840" i="2"/>
  <c r="B3840" i="2"/>
  <c r="S3839" i="2"/>
  <c r="M3839" i="2"/>
  <c r="L3839" i="2"/>
  <c r="K3839" i="2"/>
  <c r="G3839" i="2"/>
  <c r="E3839" i="2"/>
  <c r="B3839" i="2"/>
  <c r="S3838" i="2"/>
  <c r="M3838" i="2"/>
  <c r="L3838" i="2"/>
  <c r="K3838" i="2"/>
  <c r="G3838" i="2"/>
  <c r="E3838" i="2"/>
  <c r="B3838" i="2"/>
  <c r="S3837" i="2"/>
  <c r="M3837" i="2"/>
  <c r="L3837" i="2"/>
  <c r="K3837" i="2"/>
  <c r="G3837" i="2"/>
  <c r="E3837" i="2"/>
  <c r="B3837" i="2"/>
  <c r="S3836" i="2"/>
  <c r="M3836" i="2"/>
  <c r="L3836" i="2"/>
  <c r="K3836" i="2"/>
  <c r="G3836" i="2"/>
  <c r="E3836" i="2"/>
  <c r="B3836" i="2"/>
  <c r="S3835" i="2"/>
  <c r="M3835" i="2"/>
  <c r="L3835" i="2"/>
  <c r="K3835" i="2"/>
  <c r="G3835" i="2"/>
  <c r="E3835" i="2"/>
  <c r="B3835" i="2"/>
  <c r="S3834" i="2"/>
  <c r="M3834" i="2"/>
  <c r="L3834" i="2"/>
  <c r="K3834" i="2"/>
  <c r="G3834" i="2"/>
  <c r="E3834" i="2"/>
  <c r="B3834" i="2"/>
  <c r="S3833" i="2"/>
  <c r="M3833" i="2"/>
  <c r="L3833" i="2"/>
  <c r="K3833" i="2"/>
  <c r="G3833" i="2"/>
  <c r="E3833" i="2"/>
  <c r="B3833" i="2"/>
  <c r="S3832" i="2"/>
  <c r="M3832" i="2"/>
  <c r="L3832" i="2"/>
  <c r="K3832" i="2"/>
  <c r="G3832" i="2"/>
  <c r="E3832" i="2"/>
  <c r="B3832" i="2"/>
  <c r="S3831" i="2"/>
  <c r="M3831" i="2"/>
  <c r="L3831" i="2"/>
  <c r="K3831" i="2"/>
  <c r="G3831" i="2"/>
  <c r="E3831" i="2"/>
  <c r="B3831" i="2"/>
  <c r="S3830" i="2"/>
  <c r="M3830" i="2"/>
  <c r="L3830" i="2"/>
  <c r="K3830" i="2"/>
  <c r="G3830" i="2"/>
  <c r="E3830" i="2"/>
  <c r="B3830" i="2"/>
  <c r="S3829" i="2"/>
  <c r="M3829" i="2"/>
  <c r="L3829" i="2"/>
  <c r="K3829" i="2"/>
  <c r="G3829" i="2"/>
  <c r="E3829" i="2"/>
  <c r="B3829" i="2"/>
  <c r="S3828" i="2"/>
  <c r="M3828" i="2"/>
  <c r="L3828" i="2"/>
  <c r="K3828" i="2"/>
  <c r="G3828" i="2"/>
  <c r="E3828" i="2"/>
  <c r="B3828" i="2"/>
  <c r="S3827" i="2"/>
  <c r="M3827" i="2"/>
  <c r="L3827" i="2"/>
  <c r="K3827" i="2"/>
  <c r="G3827" i="2"/>
  <c r="E3827" i="2"/>
  <c r="B3827" i="2"/>
  <c r="S3826" i="2"/>
  <c r="M3826" i="2"/>
  <c r="L3826" i="2"/>
  <c r="K3826" i="2"/>
  <c r="G3826" i="2"/>
  <c r="E3826" i="2"/>
  <c r="B3826" i="2"/>
  <c r="S3825" i="2"/>
  <c r="M3825" i="2"/>
  <c r="L3825" i="2"/>
  <c r="K3825" i="2"/>
  <c r="G3825" i="2"/>
  <c r="E3825" i="2"/>
  <c r="B3825" i="2"/>
  <c r="S3824" i="2"/>
  <c r="M3824" i="2"/>
  <c r="L3824" i="2"/>
  <c r="K3824" i="2"/>
  <c r="G3824" i="2"/>
  <c r="E3824" i="2"/>
  <c r="B3824" i="2"/>
  <c r="S3823" i="2"/>
  <c r="M3823" i="2"/>
  <c r="L3823" i="2"/>
  <c r="K3823" i="2"/>
  <c r="G3823" i="2"/>
  <c r="E3823" i="2"/>
  <c r="B3823" i="2"/>
  <c r="S3822" i="2"/>
  <c r="M3822" i="2"/>
  <c r="L3822" i="2"/>
  <c r="K3822" i="2"/>
  <c r="G3822" i="2"/>
  <c r="E3822" i="2"/>
  <c r="B3822" i="2"/>
  <c r="S3821" i="2"/>
  <c r="M3821" i="2"/>
  <c r="L3821" i="2"/>
  <c r="K3821" i="2"/>
  <c r="G3821" i="2"/>
  <c r="E3821" i="2"/>
  <c r="B3821" i="2"/>
  <c r="S3820" i="2"/>
  <c r="M3820" i="2"/>
  <c r="L3820" i="2"/>
  <c r="K3820" i="2"/>
  <c r="G3820" i="2"/>
  <c r="E3820" i="2"/>
  <c r="B3820" i="2"/>
  <c r="S3819" i="2"/>
  <c r="M3819" i="2"/>
  <c r="L3819" i="2"/>
  <c r="K3819" i="2"/>
  <c r="G3819" i="2"/>
  <c r="E3819" i="2"/>
  <c r="B3819" i="2"/>
  <c r="S3818" i="2"/>
  <c r="M3818" i="2"/>
  <c r="L3818" i="2"/>
  <c r="K3818" i="2"/>
  <c r="G3818" i="2"/>
  <c r="E3818" i="2"/>
  <c r="B3818" i="2"/>
  <c r="S3817" i="2"/>
  <c r="M3817" i="2"/>
  <c r="L3817" i="2"/>
  <c r="K3817" i="2"/>
  <c r="G3817" i="2"/>
  <c r="E3817" i="2"/>
  <c r="B3817" i="2"/>
  <c r="S3816" i="2"/>
  <c r="M3816" i="2"/>
  <c r="L3816" i="2"/>
  <c r="K3816" i="2"/>
  <c r="G3816" i="2"/>
  <c r="E3816" i="2"/>
  <c r="B3816" i="2"/>
  <c r="S3815" i="2"/>
  <c r="M3815" i="2"/>
  <c r="L3815" i="2"/>
  <c r="K3815" i="2"/>
  <c r="G3815" i="2"/>
  <c r="E3815" i="2"/>
  <c r="B3815" i="2"/>
  <c r="S3814" i="2"/>
  <c r="M3814" i="2"/>
  <c r="L3814" i="2"/>
  <c r="K3814" i="2"/>
  <c r="G3814" i="2"/>
  <c r="E3814" i="2"/>
  <c r="B3814" i="2"/>
  <c r="S3813" i="2"/>
  <c r="M3813" i="2"/>
  <c r="L3813" i="2"/>
  <c r="K3813" i="2"/>
  <c r="G3813" i="2"/>
  <c r="E3813" i="2"/>
  <c r="B3813" i="2"/>
  <c r="S3812" i="2"/>
  <c r="M3812" i="2"/>
  <c r="L3812" i="2"/>
  <c r="K3812" i="2"/>
  <c r="G3812" i="2"/>
  <c r="E3812" i="2"/>
  <c r="B3812" i="2"/>
  <c r="S3811" i="2"/>
  <c r="M3811" i="2"/>
  <c r="L3811" i="2"/>
  <c r="K3811" i="2"/>
  <c r="G3811" i="2"/>
  <c r="E3811" i="2"/>
  <c r="B3811" i="2"/>
  <c r="S3810" i="2"/>
  <c r="M3810" i="2"/>
  <c r="L3810" i="2"/>
  <c r="K3810" i="2"/>
  <c r="G3810" i="2"/>
  <c r="E3810" i="2"/>
  <c r="B3810" i="2"/>
  <c r="S3809" i="2"/>
  <c r="M3809" i="2"/>
  <c r="L3809" i="2"/>
  <c r="K3809" i="2"/>
  <c r="G3809" i="2"/>
  <c r="E3809" i="2"/>
  <c r="B3809" i="2"/>
  <c r="S3808" i="2"/>
  <c r="M3808" i="2"/>
  <c r="L3808" i="2"/>
  <c r="K3808" i="2"/>
  <c r="G3808" i="2"/>
  <c r="E3808" i="2"/>
  <c r="B3808" i="2"/>
  <c r="S3807" i="2"/>
  <c r="M3807" i="2"/>
  <c r="L3807" i="2"/>
  <c r="K3807" i="2"/>
  <c r="G3807" i="2"/>
  <c r="E3807" i="2"/>
  <c r="B3807" i="2"/>
  <c r="S3806" i="2"/>
  <c r="M3806" i="2"/>
  <c r="L3806" i="2"/>
  <c r="K3806" i="2"/>
  <c r="G3806" i="2"/>
  <c r="E3806" i="2"/>
  <c r="B3806" i="2"/>
  <c r="S3805" i="2"/>
  <c r="M3805" i="2"/>
  <c r="L3805" i="2"/>
  <c r="K3805" i="2"/>
  <c r="G3805" i="2"/>
  <c r="E3805" i="2"/>
  <c r="B3805" i="2"/>
  <c r="S3804" i="2"/>
  <c r="M3804" i="2"/>
  <c r="L3804" i="2"/>
  <c r="K3804" i="2"/>
  <c r="G3804" i="2"/>
  <c r="E3804" i="2"/>
  <c r="B3804" i="2"/>
  <c r="S3803" i="2"/>
  <c r="M3803" i="2"/>
  <c r="L3803" i="2"/>
  <c r="K3803" i="2"/>
  <c r="G3803" i="2"/>
  <c r="E3803" i="2"/>
  <c r="B3803" i="2"/>
  <c r="S3802" i="2"/>
  <c r="M3802" i="2"/>
  <c r="L3802" i="2"/>
  <c r="K3802" i="2"/>
  <c r="G3802" i="2"/>
  <c r="E3802" i="2"/>
  <c r="B3802" i="2"/>
  <c r="S3801" i="2"/>
  <c r="M3801" i="2"/>
  <c r="L3801" i="2"/>
  <c r="K3801" i="2"/>
  <c r="G3801" i="2"/>
  <c r="E3801" i="2"/>
  <c r="B3801" i="2"/>
  <c r="S3800" i="2"/>
  <c r="M3800" i="2"/>
  <c r="L3800" i="2"/>
  <c r="K3800" i="2"/>
  <c r="G3800" i="2"/>
  <c r="E3800" i="2"/>
  <c r="B3800" i="2"/>
  <c r="S3799" i="2"/>
  <c r="M3799" i="2"/>
  <c r="L3799" i="2"/>
  <c r="K3799" i="2"/>
  <c r="G3799" i="2"/>
  <c r="E3799" i="2"/>
  <c r="B3799" i="2"/>
  <c r="S3798" i="2"/>
  <c r="M3798" i="2"/>
  <c r="L3798" i="2"/>
  <c r="K3798" i="2"/>
  <c r="G3798" i="2"/>
  <c r="E3798" i="2"/>
  <c r="B3798" i="2"/>
  <c r="S3797" i="2"/>
  <c r="M3797" i="2"/>
  <c r="L3797" i="2"/>
  <c r="K3797" i="2"/>
  <c r="G3797" i="2"/>
  <c r="E3797" i="2"/>
  <c r="B3797" i="2"/>
  <c r="S3796" i="2"/>
  <c r="M3796" i="2"/>
  <c r="L3796" i="2"/>
  <c r="K3796" i="2"/>
  <c r="G3796" i="2"/>
  <c r="E3796" i="2"/>
  <c r="B3796" i="2"/>
  <c r="S3795" i="2"/>
  <c r="M3795" i="2"/>
  <c r="L3795" i="2"/>
  <c r="K3795" i="2"/>
  <c r="G3795" i="2"/>
  <c r="E3795" i="2"/>
  <c r="B3795" i="2"/>
  <c r="S3794" i="2"/>
  <c r="M3794" i="2"/>
  <c r="L3794" i="2"/>
  <c r="K3794" i="2"/>
  <c r="G3794" i="2"/>
  <c r="E3794" i="2"/>
  <c r="B3794" i="2"/>
  <c r="S3793" i="2"/>
  <c r="M3793" i="2"/>
  <c r="L3793" i="2"/>
  <c r="K3793" i="2"/>
  <c r="G3793" i="2"/>
  <c r="E3793" i="2"/>
  <c r="B3793" i="2"/>
  <c r="S3792" i="2"/>
  <c r="M3792" i="2"/>
  <c r="L3792" i="2"/>
  <c r="K3792" i="2"/>
  <c r="G3792" i="2"/>
  <c r="E3792" i="2"/>
  <c r="B3792" i="2"/>
  <c r="S3791" i="2"/>
  <c r="M3791" i="2"/>
  <c r="L3791" i="2"/>
  <c r="K3791" i="2"/>
  <c r="G3791" i="2"/>
  <c r="E3791" i="2"/>
  <c r="B3791" i="2"/>
  <c r="S3790" i="2"/>
  <c r="M3790" i="2"/>
  <c r="L3790" i="2"/>
  <c r="K3790" i="2"/>
  <c r="G3790" i="2"/>
  <c r="E3790" i="2"/>
  <c r="B3790" i="2"/>
  <c r="S3789" i="2"/>
  <c r="M3789" i="2"/>
  <c r="L3789" i="2"/>
  <c r="K3789" i="2"/>
  <c r="G3789" i="2"/>
  <c r="E3789" i="2"/>
  <c r="B3789" i="2"/>
  <c r="S3788" i="2"/>
  <c r="M3788" i="2"/>
  <c r="L3788" i="2"/>
  <c r="K3788" i="2"/>
  <c r="G3788" i="2"/>
  <c r="E3788" i="2"/>
  <c r="B3788" i="2"/>
  <c r="S3787" i="2"/>
  <c r="M3787" i="2"/>
  <c r="L3787" i="2"/>
  <c r="K3787" i="2"/>
  <c r="G3787" i="2"/>
  <c r="E3787" i="2"/>
  <c r="B3787" i="2"/>
  <c r="S3786" i="2"/>
  <c r="M3786" i="2"/>
  <c r="L3786" i="2"/>
  <c r="K3786" i="2"/>
  <c r="G3786" i="2"/>
  <c r="E3786" i="2"/>
  <c r="B3786" i="2"/>
  <c r="S3785" i="2"/>
  <c r="M3785" i="2"/>
  <c r="L3785" i="2"/>
  <c r="K3785" i="2"/>
  <c r="G3785" i="2"/>
  <c r="E3785" i="2"/>
  <c r="B3785" i="2"/>
  <c r="S3784" i="2"/>
  <c r="M3784" i="2"/>
  <c r="L3784" i="2"/>
  <c r="K3784" i="2"/>
  <c r="G3784" i="2"/>
  <c r="E3784" i="2"/>
  <c r="B3784" i="2"/>
  <c r="S3783" i="2"/>
  <c r="M3783" i="2"/>
  <c r="L3783" i="2"/>
  <c r="K3783" i="2"/>
  <c r="G3783" i="2"/>
  <c r="E3783" i="2"/>
  <c r="B3783" i="2"/>
  <c r="S3782" i="2"/>
  <c r="M3782" i="2"/>
  <c r="L3782" i="2"/>
  <c r="K3782" i="2"/>
  <c r="G3782" i="2"/>
  <c r="E3782" i="2"/>
  <c r="B3782" i="2"/>
  <c r="S3781" i="2"/>
  <c r="M3781" i="2"/>
  <c r="L3781" i="2"/>
  <c r="K3781" i="2"/>
  <c r="G3781" i="2"/>
  <c r="E3781" i="2"/>
  <c r="B3781" i="2"/>
  <c r="S3780" i="2"/>
  <c r="M3780" i="2"/>
  <c r="L3780" i="2"/>
  <c r="K3780" i="2"/>
  <c r="G3780" i="2"/>
  <c r="E3780" i="2"/>
  <c r="B3780" i="2"/>
  <c r="S3779" i="2"/>
  <c r="M3779" i="2"/>
  <c r="L3779" i="2"/>
  <c r="K3779" i="2"/>
  <c r="G3779" i="2"/>
  <c r="E3779" i="2"/>
  <c r="B3779" i="2"/>
  <c r="S3778" i="2"/>
  <c r="M3778" i="2"/>
  <c r="L3778" i="2"/>
  <c r="K3778" i="2"/>
  <c r="G3778" i="2"/>
  <c r="E3778" i="2"/>
  <c r="B3778" i="2"/>
  <c r="S3777" i="2"/>
  <c r="M3777" i="2"/>
  <c r="L3777" i="2"/>
  <c r="K3777" i="2"/>
  <c r="G3777" i="2"/>
  <c r="E3777" i="2"/>
  <c r="B3777" i="2"/>
  <c r="S3776" i="2"/>
  <c r="M3776" i="2"/>
  <c r="L3776" i="2"/>
  <c r="K3776" i="2"/>
  <c r="G3776" i="2"/>
  <c r="E3776" i="2"/>
  <c r="B3776" i="2"/>
  <c r="S3775" i="2"/>
  <c r="M3775" i="2"/>
  <c r="L3775" i="2"/>
  <c r="K3775" i="2"/>
  <c r="G3775" i="2"/>
  <c r="E3775" i="2"/>
  <c r="B3775" i="2"/>
  <c r="S3774" i="2"/>
  <c r="M3774" i="2"/>
  <c r="L3774" i="2"/>
  <c r="K3774" i="2"/>
  <c r="G3774" i="2"/>
  <c r="E3774" i="2"/>
  <c r="B3774" i="2"/>
  <c r="S3773" i="2"/>
  <c r="M3773" i="2"/>
  <c r="L3773" i="2"/>
  <c r="K3773" i="2"/>
  <c r="G3773" i="2"/>
  <c r="E3773" i="2"/>
  <c r="B3773" i="2"/>
  <c r="S3772" i="2"/>
  <c r="M3772" i="2"/>
  <c r="L3772" i="2"/>
  <c r="K3772" i="2"/>
  <c r="G3772" i="2"/>
  <c r="E3772" i="2"/>
  <c r="B3772" i="2"/>
  <c r="S3771" i="2"/>
  <c r="M3771" i="2"/>
  <c r="L3771" i="2"/>
  <c r="K3771" i="2"/>
  <c r="G3771" i="2"/>
  <c r="E3771" i="2"/>
  <c r="B3771" i="2"/>
  <c r="S3770" i="2"/>
  <c r="M3770" i="2"/>
  <c r="L3770" i="2"/>
  <c r="K3770" i="2"/>
  <c r="G3770" i="2"/>
  <c r="E3770" i="2"/>
  <c r="B3770" i="2"/>
  <c r="S3769" i="2"/>
  <c r="M3769" i="2"/>
  <c r="L3769" i="2"/>
  <c r="K3769" i="2"/>
  <c r="G3769" i="2"/>
  <c r="E3769" i="2"/>
  <c r="B3769" i="2"/>
  <c r="S3768" i="2"/>
  <c r="M3768" i="2"/>
  <c r="L3768" i="2"/>
  <c r="K3768" i="2"/>
  <c r="G3768" i="2"/>
  <c r="E3768" i="2"/>
  <c r="B3768" i="2"/>
  <c r="S3767" i="2"/>
  <c r="M3767" i="2"/>
  <c r="L3767" i="2"/>
  <c r="K3767" i="2"/>
  <c r="G3767" i="2"/>
  <c r="E3767" i="2"/>
  <c r="B3767" i="2"/>
  <c r="S3766" i="2"/>
  <c r="M3766" i="2"/>
  <c r="L3766" i="2"/>
  <c r="K3766" i="2"/>
  <c r="G3766" i="2"/>
  <c r="E3766" i="2"/>
  <c r="B3766" i="2"/>
  <c r="S3765" i="2"/>
  <c r="M3765" i="2"/>
  <c r="L3765" i="2"/>
  <c r="K3765" i="2"/>
  <c r="G3765" i="2"/>
  <c r="E3765" i="2"/>
  <c r="B3765" i="2"/>
  <c r="S3764" i="2"/>
  <c r="M3764" i="2"/>
  <c r="L3764" i="2"/>
  <c r="K3764" i="2"/>
  <c r="G3764" i="2"/>
  <c r="E3764" i="2"/>
  <c r="B3764" i="2"/>
  <c r="S3763" i="2"/>
  <c r="M3763" i="2"/>
  <c r="L3763" i="2"/>
  <c r="K3763" i="2"/>
  <c r="G3763" i="2"/>
  <c r="E3763" i="2"/>
  <c r="B3763" i="2"/>
  <c r="S3762" i="2"/>
  <c r="M3762" i="2"/>
  <c r="L3762" i="2"/>
  <c r="K3762" i="2"/>
  <c r="G3762" i="2"/>
  <c r="E3762" i="2"/>
  <c r="B3762" i="2"/>
  <c r="S3761" i="2"/>
  <c r="M3761" i="2"/>
  <c r="L3761" i="2"/>
  <c r="K3761" i="2"/>
  <c r="G3761" i="2"/>
  <c r="E3761" i="2"/>
  <c r="B3761" i="2"/>
  <c r="S3760" i="2"/>
  <c r="M3760" i="2"/>
  <c r="L3760" i="2"/>
  <c r="K3760" i="2"/>
  <c r="G3760" i="2"/>
  <c r="E3760" i="2"/>
  <c r="B3760" i="2"/>
  <c r="S3759" i="2"/>
  <c r="M3759" i="2"/>
  <c r="L3759" i="2"/>
  <c r="K3759" i="2"/>
  <c r="G3759" i="2"/>
  <c r="E3759" i="2"/>
  <c r="B3759" i="2"/>
  <c r="S3758" i="2"/>
  <c r="M3758" i="2"/>
  <c r="L3758" i="2"/>
  <c r="K3758" i="2"/>
  <c r="G3758" i="2"/>
  <c r="E3758" i="2"/>
  <c r="B3758" i="2"/>
  <c r="S3757" i="2"/>
  <c r="M3757" i="2"/>
  <c r="L3757" i="2"/>
  <c r="K3757" i="2"/>
  <c r="G3757" i="2"/>
  <c r="E3757" i="2"/>
  <c r="B3757" i="2"/>
  <c r="S3756" i="2"/>
  <c r="M3756" i="2"/>
  <c r="L3756" i="2"/>
  <c r="K3756" i="2"/>
  <c r="G3756" i="2"/>
  <c r="E3756" i="2"/>
  <c r="B3756" i="2"/>
  <c r="S3755" i="2"/>
  <c r="M3755" i="2"/>
  <c r="L3755" i="2"/>
  <c r="K3755" i="2"/>
  <c r="G3755" i="2"/>
  <c r="E3755" i="2"/>
  <c r="B3755" i="2"/>
  <c r="S3754" i="2"/>
  <c r="M3754" i="2"/>
  <c r="L3754" i="2"/>
  <c r="K3754" i="2"/>
  <c r="G3754" i="2"/>
  <c r="E3754" i="2"/>
  <c r="B3754" i="2"/>
  <c r="S3753" i="2"/>
  <c r="M3753" i="2"/>
  <c r="L3753" i="2"/>
  <c r="K3753" i="2"/>
  <c r="G3753" i="2"/>
  <c r="E3753" i="2"/>
  <c r="B3753" i="2"/>
  <c r="S3752" i="2"/>
  <c r="M3752" i="2"/>
  <c r="L3752" i="2"/>
  <c r="K3752" i="2"/>
  <c r="G3752" i="2"/>
  <c r="E3752" i="2"/>
  <c r="B3752" i="2"/>
  <c r="S3751" i="2"/>
  <c r="M3751" i="2"/>
  <c r="L3751" i="2"/>
  <c r="K3751" i="2"/>
  <c r="G3751" i="2"/>
  <c r="E3751" i="2"/>
  <c r="B3751" i="2"/>
  <c r="S3750" i="2"/>
  <c r="M3750" i="2"/>
  <c r="L3750" i="2"/>
  <c r="K3750" i="2"/>
  <c r="G3750" i="2"/>
  <c r="E3750" i="2"/>
  <c r="B3750" i="2"/>
  <c r="S3749" i="2"/>
  <c r="M3749" i="2"/>
  <c r="L3749" i="2"/>
  <c r="K3749" i="2"/>
  <c r="G3749" i="2"/>
  <c r="E3749" i="2"/>
  <c r="B3749" i="2"/>
  <c r="S3748" i="2"/>
  <c r="M3748" i="2"/>
  <c r="L3748" i="2"/>
  <c r="K3748" i="2"/>
  <c r="G3748" i="2"/>
  <c r="E3748" i="2"/>
  <c r="B3748" i="2"/>
  <c r="S3747" i="2"/>
  <c r="M3747" i="2"/>
  <c r="L3747" i="2"/>
  <c r="K3747" i="2"/>
  <c r="G3747" i="2"/>
  <c r="E3747" i="2"/>
  <c r="B3747" i="2"/>
  <c r="S3746" i="2"/>
  <c r="M3746" i="2"/>
  <c r="L3746" i="2"/>
  <c r="K3746" i="2"/>
  <c r="G3746" i="2"/>
  <c r="E3746" i="2"/>
  <c r="B3746" i="2"/>
  <c r="S3745" i="2"/>
  <c r="M3745" i="2"/>
  <c r="L3745" i="2"/>
  <c r="K3745" i="2"/>
  <c r="G3745" i="2"/>
  <c r="E3745" i="2"/>
  <c r="B3745" i="2"/>
  <c r="S3744" i="2"/>
  <c r="M3744" i="2"/>
  <c r="L3744" i="2"/>
  <c r="K3744" i="2"/>
  <c r="G3744" i="2"/>
  <c r="E3744" i="2"/>
  <c r="B3744" i="2"/>
  <c r="S3743" i="2"/>
  <c r="M3743" i="2"/>
  <c r="L3743" i="2"/>
  <c r="K3743" i="2"/>
  <c r="G3743" i="2"/>
  <c r="E3743" i="2"/>
  <c r="B3743" i="2"/>
  <c r="S3742" i="2"/>
  <c r="M3742" i="2"/>
  <c r="L3742" i="2"/>
  <c r="K3742" i="2"/>
  <c r="G3742" i="2"/>
  <c r="E3742" i="2"/>
  <c r="B3742" i="2"/>
  <c r="S3741" i="2"/>
  <c r="M3741" i="2"/>
  <c r="L3741" i="2"/>
  <c r="K3741" i="2"/>
  <c r="G3741" i="2"/>
  <c r="E3741" i="2"/>
  <c r="B3741" i="2"/>
  <c r="S3740" i="2"/>
  <c r="M3740" i="2"/>
  <c r="L3740" i="2"/>
  <c r="K3740" i="2"/>
  <c r="G3740" i="2"/>
  <c r="E3740" i="2"/>
  <c r="B3740" i="2"/>
  <c r="S3739" i="2"/>
  <c r="M3739" i="2"/>
  <c r="L3739" i="2"/>
  <c r="K3739" i="2"/>
  <c r="G3739" i="2"/>
  <c r="E3739" i="2"/>
  <c r="B3739" i="2"/>
  <c r="S3738" i="2"/>
  <c r="M3738" i="2"/>
  <c r="L3738" i="2"/>
  <c r="K3738" i="2"/>
  <c r="G3738" i="2"/>
  <c r="E3738" i="2"/>
  <c r="B3738" i="2"/>
  <c r="S3737" i="2"/>
  <c r="M3737" i="2"/>
  <c r="L3737" i="2"/>
  <c r="K3737" i="2"/>
  <c r="G3737" i="2"/>
  <c r="E3737" i="2"/>
  <c r="B3737" i="2"/>
  <c r="S3736" i="2"/>
  <c r="M3736" i="2"/>
  <c r="L3736" i="2"/>
  <c r="K3736" i="2"/>
  <c r="G3736" i="2"/>
  <c r="E3736" i="2"/>
  <c r="B3736" i="2"/>
  <c r="S3735" i="2"/>
  <c r="M3735" i="2"/>
  <c r="L3735" i="2"/>
  <c r="K3735" i="2"/>
  <c r="G3735" i="2"/>
  <c r="E3735" i="2"/>
  <c r="B3735" i="2"/>
  <c r="S3734" i="2"/>
  <c r="M3734" i="2"/>
  <c r="L3734" i="2"/>
  <c r="K3734" i="2"/>
  <c r="G3734" i="2"/>
  <c r="E3734" i="2"/>
  <c r="B3734" i="2"/>
  <c r="S3733" i="2"/>
  <c r="M3733" i="2"/>
  <c r="L3733" i="2"/>
  <c r="K3733" i="2"/>
  <c r="G3733" i="2"/>
  <c r="E3733" i="2"/>
  <c r="B3733" i="2"/>
  <c r="S3732" i="2"/>
  <c r="M3732" i="2"/>
  <c r="L3732" i="2"/>
  <c r="K3732" i="2"/>
  <c r="G3732" i="2"/>
  <c r="E3732" i="2"/>
  <c r="B3732" i="2"/>
  <c r="S3731" i="2"/>
  <c r="M3731" i="2"/>
  <c r="L3731" i="2"/>
  <c r="K3731" i="2"/>
  <c r="G3731" i="2"/>
  <c r="E3731" i="2"/>
  <c r="B3731" i="2"/>
  <c r="S3730" i="2"/>
  <c r="M3730" i="2"/>
  <c r="L3730" i="2"/>
  <c r="K3730" i="2"/>
  <c r="G3730" i="2"/>
  <c r="E3730" i="2"/>
  <c r="B3730" i="2"/>
  <c r="S3729" i="2"/>
  <c r="M3729" i="2"/>
  <c r="L3729" i="2"/>
  <c r="K3729" i="2"/>
  <c r="G3729" i="2"/>
  <c r="E3729" i="2"/>
  <c r="B3729" i="2"/>
  <c r="S3728" i="2"/>
  <c r="M3728" i="2"/>
  <c r="L3728" i="2"/>
  <c r="K3728" i="2"/>
  <c r="G3728" i="2"/>
  <c r="E3728" i="2"/>
  <c r="B3728" i="2"/>
  <c r="S3727" i="2"/>
  <c r="M3727" i="2"/>
  <c r="L3727" i="2"/>
  <c r="K3727" i="2"/>
  <c r="G3727" i="2"/>
  <c r="E3727" i="2"/>
  <c r="B3727" i="2"/>
  <c r="S3726" i="2"/>
  <c r="M3726" i="2"/>
  <c r="L3726" i="2"/>
  <c r="K3726" i="2"/>
  <c r="G3726" i="2"/>
  <c r="E3726" i="2"/>
  <c r="B3726" i="2"/>
  <c r="S3725" i="2"/>
  <c r="M3725" i="2"/>
  <c r="L3725" i="2"/>
  <c r="K3725" i="2"/>
  <c r="G3725" i="2"/>
  <c r="E3725" i="2"/>
  <c r="B3725" i="2"/>
  <c r="S3724" i="2"/>
  <c r="M3724" i="2"/>
  <c r="L3724" i="2"/>
  <c r="K3724" i="2"/>
  <c r="G3724" i="2"/>
  <c r="E3724" i="2"/>
  <c r="B3724" i="2"/>
  <c r="S3723" i="2"/>
  <c r="M3723" i="2"/>
  <c r="L3723" i="2"/>
  <c r="K3723" i="2"/>
  <c r="G3723" i="2"/>
  <c r="E3723" i="2"/>
  <c r="B3723" i="2"/>
  <c r="S3722" i="2"/>
  <c r="M3722" i="2"/>
  <c r="L3722" i="2"/>
  <c r="K3722" i="2"/>
  <c r="G3722" i="2"/>
  <c r="E3722" i="2"/>
  <c r="B3722" i="2"/>
  <c r="S3721" i="2"/>
  <c r="M3721" i="2"/>
  <c r="L3721" i="2"/>
  <c r="K3721" i="2"/>
  <c r="G3721" i="2"/>
  <c r="E3721" i="2"/>
  <c r="B3721" i="2"/>
  <c r="S3720" i="2"/>
  <c r="M3720" i="2"/>
  <c r="L3720" i="2"/>
  <c r="K3720" i="2"/>
  <c r="G3720" i="2"/>
  <c r="E3720" i="2"/>
  <c r="B3720" i="2"/>
  <c r="S3719" i="2"/>
  <c r="M3719" i="2"/>
  <c r="L3719" i="2"/>
  <c r="K3719" i="2"/>
  <c r="G3719" i="2"/>
  <c r="E3719" i="2"/>
  <c r="B3719" i="2"/>
  <c r="S3718" i="2"/>
  <c r="M3718" i="2"/>
  <c r="L3718" i="2"/>
  <c r="K3718" i="2"/>
  <c r="G3718" i="2"/>
  <c r="E3718" i="2"/>
  <c r="B3718" i="2"/>
  <c r="S3717" i="2"/>
  <c r="M3717" i="2"/>
  <c r="L3717" i="2"/>
  <c r="K3717" i="2"/>
  <c r="G3717" i="2"/>
  <c r="E3717" i="2"/>
  <c r="B3717" i="2"/>
  <c r="S3716" i="2"/>
  <c r="M3716" i="2"/>
  <c r="L3716" i="2"/>
  <c r="K3716" i="2"/>
  <c r="G3716" i="2"/>
  <c r="E3716" i="2"/>
  <c r="B3716" i="2"/>
  <c r="S3715" i="2"/>
  <c r="M3715" i="2"/>
  <c r="L3715" i="2"/>
  <c r="K3715" i="2"/>
  <c r="G3715" i="2"/>
  <c r="E3715" i="2"/>
  <c r="B3715" i="2"/>
  <c r="S3714" i="2"/>
  <c r="M3714" i="2"/>
  <c r="L3714" i="2"/>
  <c r="K3714" i="2"/>
  <c r="G3714" i="2"/>
  <c r="E3714" i="2"/>
  <c r="B3714" i="2"/>
  <c r="S3713" i="2"/>
  <c r="M3713" i="2"/>
  <c r="L3713" i="2"/>
  <c r="K3713" i="2"/>
  <c r="G3713" i="2"/>
  <c r="E3713" i="2"/>
  <c r="B3713" i="2"/>
  <c r="S3712" i="2"/>
  <c r="M3712" i="2"/>
  <c r="L3712" i="2"/>
  <c r="K3712" i="2"/>
  <c r="G3712" i="2"/>
  <c r="E3712" i="2"/>
  <c r="B3712" i="2"/>
  <c r="S3711" i="2"/>
  <c r="M3711" i="2"/>
  <c r="L3711" i="2"/>
  <c r="K3711" i="2"/>
  <c r="G3711" i="2"/>
  <c r="E3711" i="2"/>
  <c r="B3711" i="2"/>
  <c r="S3710" i="2"/>
  <c r="M3710" i="2"/>
  <c r="L3710" i="2"/>
  <c r="K3710" i="2"/>
  <c r="G3710" i="2"/>
  <c r="E3710" i="2"/>
  <c r="B3710" i="2"/>
  <c r="S3709" i="2"/>
  <c r="M3709" i="2"/>
  <c r="L3709" i="2"/>
  <c r="K3709" i="2"/>
  <c r="G3709" i="2"/>
  <c r="E3709" i="2"/>
  <c r="B3709" i="2"/>
  <c r="S3708" i="2"/>
  <c r="M3708" i="2"/>
  <c r="L3708" i="2"/>
  <c r="K3708" i="2"/>
  <c r="G3708" i="2"/>
  <c r="E3708" i="2"/>
  <c r="B3708" i="2"/>
  <c r="S3707" i="2"/>
  <c r="M3707" i="2"/>
  <c r="L3707" i="2"/>
  <c r="K3707" i="2"/>
  <c r="G3707" i="2"/>
  <c r="E3707" i="2"/>
  <c r="B3707" i="2"/>
  <c r="S3706" i="2"/>
  <c r="M3706" i="2"/>
  <c r="L3706" i="2"/>
  <c r="K3706" i="2"/>
  <c r="G3706" i="2"/>
  <c r="E3706" i="2"/>
  <c r="B3706" i="2"/>
  <c r="S3705" i="2"/>
  <c r="M3705" i="2"/>
  <c r="L3705" i="2"/>
  <c r="K3705" i="2"/>
  <c r="G3705" i="2"/>
  <c r="E3705" i="2"/>
  <c r="B3705" i="2"/>
  <c r="S3704" i="2"/>
  <c r="M3704" i="2"/>
  <c r="L3704" i="2"/>
  <c r="K3704" i="2"/>
  <c r="G3704" i="2"/>
  <c r="E3704" i="2"/>
  <c r="B3704" i="2"/>
  <c r="S3703" i="2"/>
  <c r="M3703" i="2"/>
  <c r="L3703" i="2"/>
  <c r="K3703" i="2"/>
  <c r="G3703" i="2"/>
  <c r="E3703" i="2"/>
  <c r="B3703" i="2"/>
  <c r="S3702" i="2"/>
  <c r="M3702" i="2"/>
  <c r="L3702" i="2"/>
  <c r="K3702" i="2"/>
  <c r="G3702" i="2"/>
  <c r="E3702" i="2"/>
  <c r="B3702" i="2"/>
  <c r="S3701" i="2"/>
  <c r="M3701" i="2"/>
  <c r="L3701" i="2"/>
  <c r="K3701" i="2"/>
  <c r="G3701" i="2"/>
  <c r="E3701" i="2"/>
  <c r="B3701" i="2"/>
  <c r="S3700" i="2"/>
  <c r="M3700" i="2"/>
  <c r="L3700" i="2"/>
  <c r="K3700" i="2"/>
  <c r="G3700" i="2"/>
  <c r="E3700" i="2"/>
  <c r="B3700" i="2"/>
  <c r="S3699" i="2"/>
  <c r="M3699" i="2"/>
  <c r="L3699" i="2"/>
  <c r="K3699" i="2"/>
  <c r="G3699" i="2"/>
  <c r="E3699" i="2"/>
  <c r="B3699" i="2"/>
  <c r="S3698" i="2"/>
  <c r="M3698" i="2"/>
  <c r="L3698" i="2"/>
  <c r="K3698" i="2"/>
  <c r="G3698" i="2"/>
  <c r="E3698" i="2"/>
  <c r="B3698" i="2"/>
  <c r="S3697" i="2"/>
  <c r="M3697" i="2"/>
  <c r="L3697" i="2"/>
  <c r="K3697" i="2"/>
  <c r="G3697" i="2"/>
  <c r="E3697" i="2"/>
  <c r="B3697" i="2"/>
  <c r="S3696" i="2"/>
  <c r="M3696" i="2"/>
  <c r="L3696" i="2"/>
  <c r="K3696" i="2"/>
  <c r="G3696" i="2"/>
  <c r="E3696" i="2"/>
  <c r="B3696" i="2"/>
  <c r="S3695" i="2"/>
  <c r="M3695" i="2"/>
  <c r="L3695" i="2"/>
  <c r="K3695" i="2"/>
  <c r="G3695" i="2"/>
  <c r="E3695" i="2"/>
  <c r="B3695" i="2"/>
  <c r="S3694" i="2"/>
  <c r="M3694" i="2"/>
  <c r="L3694" i="2"/>
  <c r="K3694" i="2"/>
  <c r="G3694" i="2"/>
  <c r="E3694" i="2"/>
  <c r="B3694" i="2"/>
  <c r="S3693" i="2"/>
  <c r="M3693" i="2"/>
  <c r="L3693" i="2"/>
  <c r="K3693" i="2"/>
  <c r="G3693" i="2"/>
  <c r="E3693" i="2"/>
  <c r="B3693" i="2"/>
  <c r="S3692" i="2"/>
  <c r="M3692" i="2"/>
  <c r="L3692" i="2"/>
  <c r="K3692" i="2"/>
  <c r="G3692" i="2"/>
  <c r="E3692" i="2"/>
  <c r="B3692" i="2"/>
  <c r="S3691" i="2"/>
  <c r="M3691" i="2"/>
  <c r="L3691" i="2"/>
  <c r="K3691" i="2"/>
  <c r="G3691" i="2"/>
  <c r="E3691" i="2"/>
  <c r="B3691" i="2"/>
  <c r="S3690" i="2"/>
  <c r="M3690" i="2"/>
  <c r="L3690" i="2"/>
  <c r="K3690" i="2"/>
  <c r="G3690" i="2"/>
  <c r="E3690" i="2"/>
  <c r="B3690" i="2"/>
  <c r="S3689" i="2"/>
  <c r="M3689" i="2"/>
  <c r="L3689" i="2"/>
  <c r="K3689" i="2"/>
  <c r="G3689" i="2"/>
  <c r="E3689" i="2"/>
  <c r="B3689" i="2"/>
  <c r="S3688" i="2"/>
  <c r="M3688" i="2"/>
  <c r="L3688" i="2"/>
  <c r="K3688" i="2"/>
  <c r="G3688" i="2"/>
  <c r="E3688" i="2"/>
  <c r="B3688" i="2"/>
  <c r="S3687" i="2"/>
  <c r="M3687" i="2"/>
  <c r="L3687" i="2"/>
  <c r="K3687" i="2"/>
  <c r="G3687" i="2"/>
  <c r="E3687" i="2"/>
  <c r="B3687" i="2"/>
  <c r="S3686" i="2"/>
  <c r="M3686" i="2"/>
  <c r="L3686" i="2"/>
  <c r="K3686" i="2"/>
  <c r="G3686" i="2"/>
  <c r="E3686" i="2"/>
  <c r="B3686" i="2"/>
  <c r="S3685" i="2"/>
  <c r="M3685" i="2"/>
  <c r="L3685" i="2"/>
  <c r="K3685" i="2"/>
  <c r="G3685" i="2"/>
  <c r="E3685" i="2"/>
  <c r="B3685" i="2"/>
  <c r="S3684" i="2"/>
  <c r="M3684" i="2"/>
  <c r="L3684" i="2"/>
  <c r="K3684" i="2"/>
  <c r="G3684" i="2"/>
  <c r="E3684" i="2"/>
  <c r="B3684" i="2"/>
  <c r="S3683" i="2"/>
  <c r="M3683" i="2"/>
  <c r="L3683" i="2"/>
  <c r="K3683" i="2"/>
  <c r="G3683" i="2"/>
  <c r="E3683" i="2"/>
  <c r="B3683" i="2"/>
  <c r="S3682" i="2"/>
  <c r="M3682" i="2"/>
  <c r="L3682" i="2"/>
  <c r="K3682" i="2"/>
  <c r="G3682" i="2"/>
  <c r="E3682" i="2"/>
  <c r="B3682" i="2"/>
  <c r="S3681" i="2"/>
  <c r="M3681" i="2"/>
  <c r="L3681" i="2"/>
  <c r="K3681" i="2"/>
  <c r="G3681" i="2"/>
  <c r="E3681" i="2"/>
  <c r="B3681" i="2"/>
  <c r="S3680" i="2"/>
  <c r="M3680" i="2"/>
  <c r="L3680" i="2"/>
  <c r="K3680" i="2"/>
  <c r="G3680" i="2"/>
  <c r="E3680" i="2"/>
  <c r="B3680" i="2"/>
  <c r="S3679" i="2"/>
  <c r="M3679" i="2"/>
  <c r="L3679" i="2"/>
  <c r="K3679" i="2"/>
  <c r="G3679" i="2"/>
  <c r="E3679" i="2"/>
  <c r="B3679" i="2"/>
  <c r="S3678" i="2"/>
  <c r="M3678" i="2"/>
  <c r="L3678" i="2"/>
  <c r="K3678" i="2"/>
  <c r="G3678" i="2"/>
  <c r="E3678" i="2"/>
  <c r="B3678" i="2"/>
  <c r="S3677" i="2"/>
  <c r="M3677" i="2"/>
  <c r="L3677" i="2"/>
  <c r="K3677" i="2"/>
  <c r="G3677" i="2"/>
  <c r="E3677" i="2"/>
  <c r="B3677" i="2"/>
  <c r="S3676" i="2"/>
  <c r="M3676" i="2"/>
  <c r="L3676" i="2"/>
  <c r="K3676" i="2"/>
  <c r="G3676" i="2"/>
  <c r="E3676" i="2"/>
  <c r="B3676" i="2"/>
  <c r="S3675" i="2"/>
  <c r="M3675" i="2"/>
  <c r="L3675" i="2"/>
  <c r="K3675" i="2"/>
  <c r="G3675" i="2"/>
  <c r="E3675" i="2"/>
  <c r="B3675" i="2"/>
  <c r="S3674" i="2"/>
  <c r="M3674" i="2"/>
  <c r="L3674" i="2"/>
  <c r="K3674" i="2"/>
  <c r="G3674" i="2"/>
  <c r="E3674" i="2"/>
  <c r="B3674" i="2"/>
  <c r="S3673" i="2"/>
  <c r="M3673" i="2"/>
  <c r="L3673" i="2"/>
  <c r="K3673" i="2"/>
  <c r="G3673" i="2"/>
  <c r="E3673" i="2"/>
  <c r="B3673" i="2"/>
  <c r="S3672" i="2"/>
  <c r="M3672" i="2"/>
  <c r="L3672" i="2"/>
  <c r="K3672" i="2"/>
  <c r="G3672" i="2"/>
  <c r="E3672" i="2"/>
  <c r="B3672" i="2"/>
  <c r="S3671" i="2"/>
  <c r="M3671" i="2"/>
  <c r="L3671" i="2"/>
  <c r="K3671" i="2"/>
  <c r="G3671" i="2"/>
  <c r="E3671" i="2"/>
  <c r="B3671" i="2"/>
  <c r="S3670" i="2"/>
  <c r="M3670" i="2"/>
  <c r="L3670" i="2"/>
  <c r="K3670" i="2"/>
  <c r="G3670" i="2"/>
  <c r="E3670" i="2"/>
  <c r="B3670" i="2"/>
  <c r="S3669" i="2"/>
  <c r="M3669" i="2"/>
  <c r="L3669" i="2"/>
  <c r="K3669" i="2"/>
  <c r="G3669" i="2"/>
  <c r="E3669" i="2"/>
  <c r="B3669" i="2"/>
  <c r="S3668" i="2"/>
  <c r="M3668" i="2"/>
  <c r="L3668" i="2"/>
  <c r="K3668" i="2"/>
  <c r="G3668" i="2"/>
  <c r="E3668" i="2"/>
  <c r="B3668" i="2"/>
  <c r="S3667" i="2"/>
  <c r="M3667" i="2"/>
  <c r="L3667" i="2"/>
  <c r="K3667" i="2"/>
  <c r="G3667" i="2"/>
  <c r="E3667" i="2"/>
  <c r="B3667" i="2"/>
  <c r="S3666" i="2"/>
  <c r="M3666" i="2"/>
  <c r="L3666" i="2"/>
  <c r="K3666" i="2"/>
  <c r="G3666" i="2"/>
  <c r="E3666" i="2"/>
  <c r="B3666" i="2"/>
  <c r="S3665" i="2"/>
  <c r="M3665" i="2"/>
  <c r="L3665" i="2"/>
  <c r="K3665" i="2"/>
  <c r="G3665" i="2"/>
  <c r="E3665" i="2"/>
  <c r="B3665" i="2"/>
  <c r="S3664" i="2"/>
  <c r="M3664" i="2"/>
  <c r="L3664" i="2"/>
  <c r="K3664" i="2"/>
  <c r="G3664" i="2"/>
  <c r="E3664" i="2"/>
  <c r="B3664" i="2"/>
  <c r="S3663" i="2"/>
  <c r="M3663" i="2"/>
  <c r="L3663" i="2"/>
  <c r="K3663" i="2"/>
  <c r="G3663" i="2"/>
  <c r="E3663" i="2"/>
  <c r="B3663" i="2"/>
  <c r="S3662" i="2"/>
  <c r="M3662" i="2"/>
  <c r="L3662" i="2"/>
  <c r="K3662" i="2"/>
  <c r="G3662" i="2"/>
  <c r="E3662" i="2"/>
  <c r="B3662" i="2"/>
  <c r="S3661" i="2"/>
  <c r="M3661" i="2"/>
  <c r="L3661" i="2"/>
  <c r="K3661" i="2"/>
  <c r="G3661" i="2"/>
  <c r="E3661" i="2"/>
  <c r="B3661" i="2"/>
  <c r="S3660" i="2"/>
  <c r="M3660" i="2"/>
  <c r="L3660" i="2"/>
  <c r="K3660" i="2"/>
  <c r="G3660" i="2"/>
  <c r="E3660" i="2"/>
  <c r="B3660" i="2"/>
  <c r="S3659" i="2"/>
  <c r="M3659" i="2"/>
  <c r="L3659" i="2"/>
  <c r="K3659" i="2"/>
  <c r="G3659" i="2"/>
  <c r="E3659" i="2"/>
  <c r="B3659" i="2"/>
  <c r="S3658" i="2"/>
  <c r="M3658" i="2"/>
  <c r="L3658" i="2"/>
  <c r="K3658" i="2"/>
  <c r="G3658" i="2"/>
  <c r="E3658" i="2"/>
  <c r="B3658" i="2"/>
  <c r="S3657" i="2"/>
  <c r="M3657" i="2"/>
  <c r="L3657" i="2"/>
  <c r="K3657" i="2"/>
  <c r="G3657" i="2"/>
  <c r="E3657" i="2"/>
  <c r="B3657" i="2"/>
  <c r="S3656" i="2"/>
  <c r="M3656" i="2"/>
  <c r="L3656" i="2"/>
  <c r="K3656" i="2"/>
  <c r="G3656" i="2"/>
  <c r="E3656" i="2"/>
  <c r="B3656" i="2"/>
  <c r="S3655" i="2"/>
  <c r="M3655" i="2"/>
  <c r="L3655" i="2"/>
  <c r="K3655" i="2"/>
  <c r="G3655" i="2"/>
  <c r="E3655" i="2"/>
  <c r="B3655" i="2"/>
  <c r="S3654" i="2"/>
  <c r="M3654" i="2"/>
  <c r="L3654" i="2"/>
  <c r="K3654" i="2"/>
  <c r="G3654" i="2"/>
  <c r="E3654" i="2"/>
  <c r="B3654" i="2"/>
  <c r="S3653" i="2"/>
  <c r="M3653" i="2"/>
  <c r="L3653" i="2"/>
  <c r="K3653" i="2"/>
  <c r="G3653" i="2"/>
  <c r="E3653" i="2"/>
  <c r="B3653" i="2"/>
  <c r="S3652" i="2"/>
  <c r="M3652" i="2"/>
  <c r="L3652" i="2"/>
  <c r="K3652" i="2"/>
  <c r="G3652" i="2"/>
  <c r="E3652" i="2"/>
  <c r="B3652" i="2"/>
  <c r="S3651" i="2"/>
  <c r="M3651" i="2"/>
  <c r="L3651" i="2"/>
  <c r="K3651" i="2"/>
  <c r="G3651" i="2"/>
  <c r="E3651" i="2"/>
  <c r="B3651" i="2"/>
  <c r="S3650" i="2"/>
  <c r="M3650" i="2"/>
  <c r="L3650" i="2"/>
  <c r="K3650" i="2"/>
  <c r="G3650" i="2"/>
  <c r="E3650" i="2"/>
  <c r="B3650" i="2"/>
  <c r="S3649" i="2"/>
  <c r="M3649" i="2"/>
  <c r="L3649" i="2"/>
  <c r="K3649" i="2"/>
  <c r="G3649" i="2"/>
  <c r="E3649" i="2"/>
  <c r="B3649" i="2"/>
  <c r="S3648" i="2"/>
  <c r="M3648" i="2"/>
  <c r="L3648" i="2"/>
  <c r="K3648" i="2"/>
  <c r="G3648" i="2"/>
  <c r="E3648" i="2"/>
  <c r="B3648" i="2"/>
  <c r="S3647" i="2"/>
  <c r="M3647" i="2"/>
  <c r="L3647" i="2"/>
  <c r="K3647" i="2"/>
  <c r="G3647" i="2"/>
  <c r="E3647" i="2"/>
  <c r="B3647" i="2"/>
  <c r="S3646" i="2"/>
  <c r="M3646" i="2"/>
  <c r="L3646" i="2"/>
  <c r="K3646" i="2"/>
  <c r="G3646" i="2"/>
  <c r="E3646" i="2"/>
  <c r="B3646" i="2"/>
  <c r="S3645" i="2"/>
  <c r="M3645" i="2"/>
  <c r="L3645" i="2"/>
  <c r="K3645" i="2"/>
  <c r="G3645" i="2"/>
  <c r="E3645" i="2"/>
  <c r="B3645" i="2"/>
  <c r="S3644" i="2"/>
  <c r="M3644" i="2"/>
  <c r="L3644" i="2"/>
  <c r="K3644" i="2"/>
  <c r="G3644" i="2"/>
  <c r="E3644" i="2"/>
  <c r="B3644" i="2"/>
  <c r="S3643" i="2"/>
  <c r="M3643" i="2"/>
  <c r="L3643" i="2"/>
  <c r="K3643" i="2"/>
  <c r="G3643" i="2"/>
  <c r="E3643" i="2"/>
  <c r="B3643" i="2"/>
  <c r="S3642" i="2"/>
  <c r="M3642" i="2"/>
  <c r="L3642" i="2"/>
  <c r="K3642" i="2"/>
  <c r="G3642" i="2"/>
  <c r="E3642" i="2"/>
  <c r="B3642" i="2"/>
  <c r="S3641" i="2"/>
  <c r="M3641" i="2"/>
  <c r="L3641" i="2"/>
  <c r="K3641" i="2"/>
  <c r="G3641" i="2"/>
  <c r="E3641" i="2"/>
  <c r="B3641" i="2"/>
  <c r="S3640" i="2"/>
  <c r="M3640" i="2"/>
  <c r="L3640" i="2"/>
  <c r="K3640" i="2"/>
  <c r="G3640" i="2"/>
  <c r="E3640" i="2"/>
  <c r="B3640" i="2"/>
  <c r="S3639" i="2"/>
  <c r="M3639" i="2"/>
  <c r="L3639" i="2"/>
  <c r="K3639" i="2"/>
  <c r="G3639" i="2"/>
  <c r="E3639" i="2"/>
  <c r="B3639" i="2"/>
  <c r="S3638" i="2"/>
  <c r="M3638" i="2"/>
  <c r="L3638" i="2"/>
  <c r="K3638" i="2"/>
  <c r="G3638" i="2"/>
  <c r="E3638" i="2"/>
  <c r="B3638" i="2"/>
  <c r="S3637" i="2"/>
  <c r="M3637" i="2"/>
  <c r="L3637" i="2"/>
  <c r="K3637" i="2"/>
  <c r="G3637" i="2"/>
  <c r="E3637" i="2"/>
  <c r="B3637" i="2"/>
  <c r="S3636" i="2"/>
  <c r="M3636" i="2"/>
  <c r="L3636" i="2"/>
  <c r="K3636" i="2"/>
  <c r="G3636" i="2"/>
  <c r="E3636" i="2"/>
  <c r="B3636" i="2"/>
  <c r="S3635" i="2"/>
  <c r="M3635" i="2"/>
  <c r="L3635" i="2"/>
  <c r="K3635" i="2"/>
  <c r="G3635" i="2"/>
  <c r="E3635" i="2"/>
  <c r="B3635" i="2"/>
  <c r="S3634" i="2"/>
  <c r="M3634" i="2"/>
  <c r="L3634" i="2"/>
  <c r="K3634" i="2"/>
  <c r="G3634" i="2"/>
  <c r="E3634" i="2"/>
  <c r="B3634" i="2"/>
  <c r="S3633" i="2"/>
  <c r="M3633" i="2"/>
  <c r="L3633" i="2"/>
  <c r="K3633" i="2"/>
  <c r="G3633" i="2"/>
  <c r="E3633" i="2"/>
  <c r="B3633" i="2"/>
  <c r="S3632" i="2"/>
  <c r="M3632" i="2"/>
  <c r="L3632" i="2"/>
  <c r="K3632" i="2"/>
  <c r="G3632" i="2"/>
  <c r="E3632" i="2"/>
  <c r="B3632" i="2"/>
  <c r="S3631" i="2"/>
  <c r="M3631" i="2"/>
  <c r="L3631" i="2"/>
  <c r="K3631" i="2"/>
  <c r="G3631" i="2"/>
  <c r="E3631" i="2"/>
  <c r="B3631" i="2"/>
  <c r="S3630" i="2"/>
  <c r="M3630" i="2"/>
  <c r="L3630" i="2"/>
  <c r="K3630" i="2"/>
  <c r="G3630" i="2"/>
  <c r="E3630" i="2"/>
  <c r="B3630" i="2"/>
  <c r="S3629" i="2"/>
  <c r="M3629" i="2"/>
  <c r="L3629" i="2"/>
  <c r="K3629" i="2"/>
  <c r="G3629" i="2"/>
  <c r="E3629" i="2"/>
  <c r="B3629" i="2"/>
  <c r="S3628" i="2"/>
  <c r="M3628" i="2"/>
  <c r="L3628" i="2"/>
  <c r="K3628" i="2"/>
  <c r="G3628" i="2"/>
  <c r="E3628" i="2"/>
  <c r="B3628" i="2"/>
  <c r="S3627" i="2"/>
  <c r="M3627" i="2"/>
  <c r="L3627" i="2"/>
  <c r="K3627" i="2"/>
  <c r="G3627" i="2"/>
  <c r="E3627" i="2"/>
  <c r="B3627" i="2"/>
  <c r="S3626" i="2"/>
  <c r="M3626" i="2"/>
  <c r="L3626" i="2"/>
  <c r="K3626" i="2"/>
  <c r="G3626" i="2"/>
  <c r="E3626" i="2"/>
  <c r="B3626" i="2"/>
  <c r="S3625" i="2"/>
  <c r="M3625" i="2"/>
  <c r="L3625" i="2"/>
  <c r="K3625" i="2"/>
  <c r="G3625" i="2"/>
  <c r="E3625" i="2"/>
  <c r="B3625" i="2"/>
  <c r="S3624" i="2"/>
  <c r="M3624" i="2"/>
  <c r="L3624" i="2"/>
  <c r="K3624" i="2"/>
  <c r="G3624" i="2"/>
  <c r="E3624" i="2"/>
  <c r="B3624" i="2"/>
  <c r="S3623" i="2"/>
  <c r="M3623" i="2"/>
  <c r="L3623" i="2"/>
  <c r="K3623" i="2"/>
  <c r="G3623" i="2"/>
  <c r="E3623" i="2"/>
  <c r="B3623" i="2"/>
  <c r="S3622" i="2"/>
  <c r="M3622" i="2"/>
  <c r="L3622" i="2"/>
  <c r="K3622" i="2"/>
  <c r="G3622" i="2"/>
  <c r="E3622" i="2"/>
  <c r="B3622" i="2"/>
  <c r="S3621" i="2"/>
  <c r="M3621" i="2"/>
  <c r="L3621" i="2"/>
  <c r="K3621" i="2"/>
  <c r="G3621" i="2"/>
  <c r="E3621" i="2"/>
  <c r="B3621" i="2"/>
  <c r="S3620" i="2"/>
  <c r="M3620" i="2"/>
  <c r="L3620" i="2"/>
  <c r="K3620" i="2"/>
  <c r="G3620" i="2"/>
  <c r="E3620" i="2"/>
  <c r="B3620" i="2"/>
  <c r="S3619" i="2"/>
  <c r="M3619" i="2"/>
  <c r="L3619" i="2"/>
  <c r="K3619" i="2"/>
  <c r="G3619" i="2"/>
  <c r="E3619" i="2"/>
  <c r="B3619" i="2"/>
  <c r="S3618" i="2"/>
  <c r="M3618" i="2"/>
  <c r="L3618" i="2"/>
  <c r="K3618" i="2"/>
  <c r="G3618" i="2"/>
  <c r="E3618" i="2"/>
  <c r="B3618" i="2"/>
  <c r="S3617" i="2"/>
  <c r="M3617" i="2"/>
  <c r="L3617" i="2"/>
  <c r="K3617" i="2"/>
  <c r="G3617" i="2"/>
  <c r="E3617" i="2"/>
  <c r="B3617" i="2"/>
  <c r="S3616" i="2"/>
  <c r="M3616" i="2"/>
  <c r="L3616" i="2"/>
  <c r="K3616" i="2"/>
  <c r="G3616" i="2"/>
  <c r="E3616" i="2"/>
  <c r="B3616" i="2"/>
  <c r="S3615" i="2"/>
  <c r="M3615" i="2"/>
  <c r="L3615" i="2"/>
  <c r="K3615" i="2"/>
  <c r="G3615" i="2"/>
  <c r="E3615" i="2"/>
  <c r="B3615" i="2"/>
  <c r="S3614" i="2"/>
  <c r="M3614" i="2"/>
  <c r="L3614" i="2"/>
  <c r="K3614" i="2"/>
  <c r="G3614" i="2"/>
  <c r="E3614" i="2"/>
  <c r="B3614" i="2"/>
  <c r="S3613" i="2"/>
  <c r="M3613" i="2"/>
  <c r="L3613" i="2"/>
  <c r="K3613" i="2"/>
  <c r="G3613" i="2"/>
  <c r="E3613" i="2"/>
  <c r="B3613" i="2"/>
  <c r="S3612" i="2"/>
  <c r="M3612" i="2"/>
  <c r="L3612" i="2"/>
  <c r="K3612" i="2"/>
  <c r="G3612" i="2"/>
  <c r="E3612" i="2"/>
  <c r="B3612" i="2"/>
  <c r="S3611" i="2"/>
  <c r="M3611" i="2"/>
  <c r="L3611" i="2"/>
  <c r="K3611" i="2"/>
  <c r="G3611" i="2"/>
  <c r="E3611" i="2"/>
  <c r="B3611" i="2"/>
  <c r="S3610" i="2"/>
  <c r="M3610" i="2"/>
  <c r="L3610" i="2"/>
  <c r="K3610" i="2"/>
  <c r="G3610" i="2"/>
  <c r="E3610" i="2"/>
  <c r="B3610" i="2"/>
  <c r="S3609" i="2"/>
  <c r="M3609" i="2"/>
  <c r="L3609" i="2"/>
  <c r="K3609" i="2"/>
  <c r="G3609" i="2"/>
  <c r="E3609" i="2"/>
  <c r="B3609" i="2"/>
  <c r="S3608" i="2"/>
  <c r="M3608" i="2"/>
  <c r="L3608" i="2"/>
  <c r="K3608" i="2"/>
  <c r="G3608" i="2"/>
  <c r="E3608" i="2"/>
  <c r="B3608" i="2"/>
  <c r="S3607" i="2"/>
  <c r="M3607" i="2"/>
  <c r="L3607" i="2"/>
  <c r="K3607" i="2"/>
  <c r="G3607" i="2"/>
  <c r="E3607" i="2"/>
  <c r="B3607" i="2"/>
  <c r="S3606" i="2"/>
  <c r="M3606" i="2"/>
  <c r="L3606" i="2"/>
  <c r="K3606" i="2"/>
  <c r="G3606" i="2"/>
  <c r="E3606" i="2"/>
  <c r="B3606" i="2"/>
  <c r="S3605" i="2"/>
  <c r="M3605" i="2"/>
  <c r="L3605" i="2"/>
  <c r="K3605" i="2"/>
  <c r="G3605" i="2"/>
  <c r="E3605" i="2"/>
  <c r="B3605" i="2"/>
  <c r="S3604" i="2"/>
  <c r="M3604" i="2"/>
  <c r="L3604" i="2"/>
  <c r="K3604" i="2"/>
  <c r="G3604" i="2"/>
  <c r="E3604" i="2"/>
  <c r="B3604" i="2"/>
  <c r="S3603" i="2"/>
  <c r="M3603" i="2"/>
  <c r="L3603" i="2"/>
  <c r="K3603" i="2"/>
  <c r="G3603" i="2"/>
  <c r="E3603" i="2"/>
  <c r="B3603" i="2"/>
  <c r="S3602" i="2"/>
  <c r="M3602" i="2"/>
  <c r="L3602" i="2"/>
  <c r="K3602" i="2"/>
  <c r="G3602" i="2"/>
  <c r="E3602" i="2"/>
  <c r="B3602" i="2"/>
  <c r="S3601" i="2"/>
  <c r="M3601" i="2"/>
  <c r="L3601" i="2"/>
  <c r="K3601" i="2"/>
  <c r="G3601" i="2"/>
  <c r="E3601" i="2"/>
  <c r="B3601" i="2"/>
  <c r="S3600" i="2"/>
  <c r="M3600" i="2"/>
  <c r="L3600" i="2"/>
  <c r="K3600" i="2"/>
  <c r="G3600" i="2"/>
  <c r="E3600" i="2"/>
  <c r="B3600" i="2"/>
  <c r="S3599" i="2"/>
  <c r="M3599" i="2"/>
  <c r="L3599" i="2"/>
  <c r="K3599" i="2"/>
  <c r="G3599" i="2"/>
  <c r="E3599" i="2"/>
  <c r="B3599" i="2"/>
  <c r="S3598" i="2"/>
  <c r="M3598" i="2"/>
  <c r="L3598" i="2"/>
  <c r="K3598" i="2"/>
  <c r="G3598" i="2"/>
  <c r="E3598" i="2"/>
  <c r="B3598" i="2"/>
  <c r="S3597" i="2"/>
  <c r="M3597" i="2"/>
  <c r="L3597" i="2"/>
  <c r="K3597" i="2"/>
  <c r="G3597" i="2"/>
  <c r="E3597" i="2"/>
  <c r="B3597" i="2"/>
  <c r="S3596" i="2"/>
  <c r="M3596" i="2"/>
  <c r="L3596" i="2"/>
  <c r="K3596" i="2"/>
  <c r="G3596" i="2"/>
  <c r="E3596" i="2"/>
  <c r="B3596" i="2"/>
  <c r="S3595" i="2"/>
  <c r="M3595" i="2"/>
  <c r="L3595" i="2"/>
  <c r="K3595" i="2"/>
  <c r="G3595" i="2"/>
  <c r="E3595" i="2"/>
  <c r="B3595" i="2"/>
  <c r="S3594" i="2"/>
  <c r="M3594" i="2"/>
  <c r="L3594" i="2"/>
  <c r="K3594" i="2"/>
  <c r="G3594" i="2"/>
  <c r="E3594" i="2"/>
  <c r="B3594" i="2"/>
  <c r="S3593" i="2"/>
  <c r="M3593" i="2"/>
  <c r="L3593" i="2"/>
  <c r="K3593" i="2"/>
  <c r="G3593" i="2"/>
  <c r="E3593" i="2"/>
  <c r="B3593" i="2"/>
  <c r="S3592" i="2"/>
  <c r="M3592" i="2"/>
  <c r="L3592" i="2"/>
  <c r="K3592" i="2"/>
  <c r="G3592" i="2"/>
  <c r="E3592" i="2"/>
  <c r="B3592" i="2"/>
  <c r="S3591" i="2"/>
  <c r="M3591" i="2"/>
  <c r="L3591" i="2"/>
  <c r="K3591" i="2"/>
  <c r="G3591" i="2"/>
  <c r="E3591" i="2"/>
  <c r="B3591" i="2"/>
  <c r="S3590" i="2"/>
  <c r="M3590" i="2"/>
  <c r="L3590" i="2"/>
  <c r="K3590" i="2"/>
  <c r="G3590" i="2"/>
  <c r="E3590" i="2"/>
  <c r="B3590" i="2"/>
  <c r="S3589" i="2"/>
  <c r="M3589" i="2"/>
  <c r="L3589" i="2"/>
  <c r="K3589" i="2"/>
  <c r="G3589" i="2"/>
  <c r="E3589" i="2"/>
  <c r="B3589" i="2"/>
  <c r="S3588" i="2"/>
  <c r="M3588" i="2"/>
  <c r="L3588" i="2"/>
  <c r="K3588" i="2"/>
  <c r="G3588" i="2"/>
  <c r="E3588" i="2"/>
  <c r="B3588" i="2"/>
  <c r="S3587" i="2"/>
  <c r="M3587" i="2"/>
  <c r="L3587" i="2"/>
  <c r="K3587" i="2"/>
  <c r="G3587" i="2"/>
  <c r="E3587" i="2"/>
  <c r="B3587" i="2"/>
  <c r="S3586" i="2"/>
  <c r="M3586" i="2"/>
  <c r="L3586" i="2"/>
  <c r="K3586" i="2"/>
  <c r="G3586" i="2"/>
  <c r="E3586" i="2"/>
  <c r="B3586" i="2"/>
  <c r="S3585" i="2"/>
  <c r="M3585" i="2"/>
  <c r="L3585" i="2"/>
  <c r="K3585" i="2"/>
  <c r="G3585" i="2"/>
  <c r="E3585" i="2"/>
  <c r="B3585" i="2"/>
  <c r="S3584" i="2"/>
  <c r="M3584" i="2"/>
  <c r="L3584" i="2"/>
  <c r="K3584" i="2"/>
  <c r="G3584" i="2"/>
  <c r="E3584" i="2"/>
  <c r="B3584" i="2"/>
  <c r="S3583" i="2"/>
  <c r="M3583" i="2"/>
  <c r="L3583" i="2"/>
  <c r="K3583" i="2"/>
  <c r="G3583" i="2"/>
  <c r="E3583" i="2"/>
  <c r="B3583" i="2"/>
  <c r="S3582" i="2"/>
  <c r="M3582" i="2"/>
  <c r="L3582" i="2"/>
  <c r="K3582" i="2"/>
  <c r="G3582" i="2"/>
  <c r="E3582" i="2"/>
  <c r="B3582" i="2"/>
  <c r="S3581" i="2"/>
  <c r="M3581" i="2"/>
  <c r="L3581" i="2"/>
  <c r="K3581" i="2"/>
  <c r="G3581" i="2"/>
  <c r="E3581" i="2"/>
  <c r="B3581" i="2"/>
  <c r="S3580" i="2"/>
  <c r="M3580" i="2"/>
  <c r="L3580" i="2"/>
  <c r="K3580" i="2"/>
  <c r="G3580" i="2"/>
  <c r="E3580" i="2"/>
  <c r="B3580" i="2"/>
  <c r="S3579" i="2"/>
  <c r="M3579" i="2"/>
  <c r="L3579" i="2"/>
  <c r="K3579" i="2"/>
  <c r="G3579" i="2"/>
  <c r="E3579" i="2"/>
  <c r="B3579" i="2"/>
  <c r="S3578" i="2"/>
  <c r="M3578" i="2"/>
  <c r="L3578" i="2"/>
  <c r="K3578" i="2"/>
  <c r="G3578" i="2"/>
  <c r="E3578" i="2"/>
  <c r="B3578" i="2"/>
  <c r="S3577" i="2"/>
  <c r="M3577" i="2"/>
  <c r="L3577" i="2"/>
  <c r="K3577" i="2"/>
  <c r="G3577" i="2"/>
  <c r="E3577" i="2"/>
  <c r="B3577" i="2"/>
  <c r="S3576" i="2"/>
  <c r="M3576" i="2"/>
  <c r="L3576" i="2"/>
  <c r="K3576" i="2"/>
  <c r="G3576" i="2"/>
  <c r="E3576" i="2"/>
  <c r="B3576" i="2"/>
  <c r="S3575" i="2"/>
  <c r="M3575" i="2"/>
  <c r="L3575" i="2"/>
  <c r="K3575" i="2"/>
  <c r="G3575" i="2"/>
  <c r="E3575" i="2"/>
  <c r="B3575" i="2"/>
  <c r="S3574" i="2"/>
  <c r="M3574" i="2"/>
  <c r="L3574" i="2"/>
  <c r="K3574" i="2"/>
  <c r="G3574" i="2"/>
  <c r="E3574" i="2"/>
  <c r="B3574" i="2"/>
  <c r="S3573" i="2"/>
  <c r="M3573" i="2"/>
  <c r="L3573" i="2"/>
  <c r="K3573" i="2"/>
  <c r="G3573" i="2"/>
  <c r="E3573" i="2"/>
  <c r="B3573" i="2"/>
  <c r="S3572" i="2"/>
  <c r="M3572" i="2"/>
  <c r="L3572" i="2"/>
  <c r="K3572" i="2"/>
  <c r="G3572" i="2"/>
  <c r="E3572" i="2"/>
  <c r="B3572" i="2"/>
  <c r="S3571" i="2"/>
  <c r="M3571" i="2"/>
  <c r="L3571" i="2"/>
  <c r="K3571" i="2"/>
  <c r="G3571" i="2"/>
  <c r="E3571" i="2"/>
  <c r="B3571" i="2"/>
  <c r="S3570" i="2"/>
  <c r="M3570" i="2"/>
  <c r="L3570" i="2"/>
  <c r="K3570" i="2"/>
  <c r="G3570" i="2"/>
  <c r="E3570" i="2"/>
  <c r="B3570" i="2"/>
  <c r="S3569" i="2"/>
  <c r="M3569" i="2"/>
  <c r="L3569" i="2"/>
  <c r="K3569" i="2"/>
  <c r="G3569" i="2"/>
  <c r="E3569" i="2"/>
  <c r="B3569" i="2"/>
  <c r="S3568" i="2"/>
  <c r="M3568" i="2"/>
  <c r="L3568" i="2"/>
  <c r="K3568" i="2"/>
  <c r="G3568" i="2"/>
  <c r="E3568" i="2"/>
  <c r="B3568" i="2"/>
  <c r="S3567" i="2"/>
  <c r="M3567" i="2"/>
  <c r="L3567" i="2"/>
  <c r="K3567" i="2"/>
  <c r="G3567" i="2"/>
  <c r="E3567" i="2"/>
  <c r="B3567" i="2"/>
  <c r="S3566" i="2"/>
  <c r="M3566" i="2"/>
  <c r="L3566" i="2"/>
  <c r="K3566" i="2"/>
  <c r="G3566" i="2"/>
  <c r="E3566" i="2"/>
  <c r="B3566" i="2"/>
  <c r="S3565" i="2"/>
  <c r="M3565" i="2"/>
  <c r="L3565" i="2"/>
  <c r="K3565" i="2"/>
  <c r="G3565" i="2"/>
  <c r="E3565" i="2"/>
  <c r="B3565" i="2"/>
  <c r="S3564" i="2"/>
  <c r="M3564" i="2"/>
  <c r="L3564" i="2"/>
  <c r="K3564" i="2"/>
  <c r="G3564" i="2"/>
  <c r="E3564" i="2"/>
  <c r="B3564" i="2"/>
  <c r="S3563" i="2"/>
  <c r="M3563" i="2"/>
  <c r="L3563" i="2"/>
  <c r="K3563" i="2"/>
  <c r="G3563" i="2"/>
  <c r="E3563" i="2"/>
  <c r="B3563" i="2"/>
  <c r="S3562" i="2"/>
  <c r="M3562" i="2"/>
  <c r="L3562" i="2"/>
  <c r="K3562" i="2"/>
  <c r="G3562" i="2"/>
  <c r="E3562" i="2"/>
  <c r="B3562" i="2"/>
  <c r="S3561" i="2"/>
  <c r="M3561" i="2"/>
  <c r="L3561" i="2"/>
  <c r="K3561" i="2"/>
  <c r="G3561" i="2"/>
  <c r="E3561" i="2"/>
  <c r="B3561" i="2"/>
  <c r="S3560" i="2"/>
  <c r="M3560" i="2"/>
  <c r="L3560" i="2"/>
  <c r="K3560" i="2"/>
  <c r="G3560" i="2"/>
  <c r="E3560" i="2"/>
  <c r="B3560" i="2"/>
  <c r="S3559" i="2"/>
  <c r="M3559" i="2"/>
  <c r="L3559" i="2"/>
  <c r="K3559" i="2"/>
  <c r="G3559" i="2"/>
  <c r="E3559" i="2"/>
  <c r="B3559" i="2"/>
  <c r="S3558" i="2"/>
  <c r="M3558" i="2"/>
  <c r="L3558" i="2"/>
  <c r="K3558" i="2"/>
  <c r="G3558" i="2"/>
  <c r="E3558" i="2"/>
  <c r="B3558" i="2"/>
  <c r="S3557" i="2"/>
  <c r="M3557" i="2"/>
  <c r="L3557" i="2"/>
  <c r="K3557" i="2"/>
  <c r="G3557" i="2"/>
  <c r="E3557" i="2"/>
  <c r="B3557" i="2"/>
  <c r="S3556" i="2"/>
  <c r="M3556" i="2"/>
  <c r="L3556" i="2"/>
  <c r="K3556" i="2"/>
  <c r="G3556" i="2"/>
  <c r="E3556" i="2"/>
  <c r="B3556" i="2"/>
  <c r="S3555" i="2"/>
  <c r="M3555" i="2"/>
  <c r="L3555" i="2"/>
  <c r="K3555" i="2"/>
  <c r="G3555" i="2"/>
  <c r="E3555" i="2"/>
  <c r="B3555" i="2"/>
  <c r="S3554" i="2"/>
  <c r="M3554" i="2"/>
  <c r="L3554" i="2"/>
  <c r="K3554" i="2"/>
  <c r="G3554" i="2"/>
  <c r="E3554" i="2"/>
  <c r="B3554" i="2"/>
  <c r="S3553" i="2"/>
  <c r="M3553" i="2"/>
  <c r="L3553" i="2"/>
  <c r="K3553" i="2"/>
  <c r="G3553" i="2"/>
  <c r="E3553" i="2"/>
  <c r="B3553" i="2"/>
  <c r="S3552" i="2"/>
  <c r="M3552" i="2"/>
  <c r="L3552" i="2"/>
  <c r="K3552" i="2"/>
  <c r="G3552" i="2"/>
  <c r="E3552" i="2"/>
  <c r="B3552" i="2"/>
  <c r="S3551" i="2"/>
  <c r="M3551" i="2"/>
  <c r="L3551" i="2"/>
  <c r="K3551" i="2"/>
  <c r="G3551" i="2"/>
  <c r="E3551" i="2"/>
  <c r="B3551" i="2"/>
  <c r="S3550" i="2"/>
  <c r="M3550" i="2"/>
  <c r="L3550" i="2"/>
  <c r="K3550" i="2"/>
  <c r="G3550" i="2"/>
  <c r="E3550" i="2"/>
  <c r="B3550" i="2"/>
  <c r="S3549" i="2"/>
  <c r="M3549" i="2"/>
  <c r="L3549" i="2"/>
  <c r="K3549" i="2"/>
  <c r="G3549" i="2"/>
  <c r="E3549" i="2"/>
  <c r="B3549" i="2"/>
  <c r="S3548" i="2"/>
  <c r="M3548" i="2"/>
  <c r="L3548" i="2"/>
  <c r="K3548" i="2"/>
  <c r="G3548" i="2"/>
  <c r="E3548" i="2"/>
  <c r="B3548" i="2"/>
  <c r="S3547" i="2"/>
  <c r="M3547" i="2"/>
  <c r="L3547" i="2"/>
  <c r="K3547" i="2"/>
  <c r="G3547" i="2"/>
  <c r="E3547" i="2"/>
  <c r="B3547" i="2"/>
  <c r="S3546" i="2"/>
  <c r="M3546" i="2"/>
  <c r="L3546" i="2"/>
  <c r="K3546" i="2"/>
  <c r="G3546" i="2"/>
  <c r="E3546" i="2"/>
  <c r="B3546" i="2"/>
  <c r="S3545" i="2"/>
  <c r="M3545" i="2"/>
  <c r="L3545" i="2"/>
  <c r="K3545" i="2"/>
  <c r="G3545" i="2"/>
  <c r="E3545" i="2"/>
  <c r="B3545" i="2"/>
  <c r="S3544" i="2"/>
  <c r="M3544" i="2"/>
  <c r="L3544" i="2"/>
  <c r="K3544" i="2"/>
  <c r="G3544" i="2"/>
  <c r="E3544" i="2"/>
  <c r="B3544" i="2"/>
  <c r="S3543" i="2"/>
  <c r="M3543" i="2"/>
  <c r="L3543" i="2"/>
  <c r="K3543" i="2"/>
  <c r="G3543" i="2"/>
  <c r="E3543" i="2"/>
  <c r="B3543" i="2"/>
  <c r="S3542" i="2"/>
  <c r="M3542" i="2"/>
  <c r="L3542" i="2"/>
  <c r="K3542" i="2"/>
  <c r="G3542" i="2"/>
  <c r="E3542" i="2"/>
  <c r="B3542" i="2"/>
  <c r="S3541" i="2"/>
  <c r="M3541" i="2"/>
  <c r="L3541" i="2"/>
  <c r="K3541" i="2"/>
  <c r="G3541" i="2"/>
  <c r="E3541" i="2"/>
  <c r="B3541" i="2"/>
  <c r="S3540" i="2"/>
  <c r="M3540" i="2"/>
  <c r="L3540" i="2"/>
  <c r="K3540" i="2"/>
  <c r="G3540" i="2"/>
  <c r="E3540" i="2"/>
  <c r="B3540" i="2"/>
  <c r="S3539" i="2"/>
  <c r="M3539" i="2"/>
  <c r="L3539" i="2"/>
  <c r="K3539" i="2"/>
  <c r="G3539" i="2"/>
  <c r="E3539" i="2"/>
  <c r="B3539" i="2"/>
  <c r="S3538" i="2"/>
  <c r="M3538" i="2"/>
  <c r="L3538" i="2"/>
  <c r="K3538" i="2"/>
  <c r="G3538" i="2"/>
  <c r="E3538" i="2"/>
  <c r="B3538" i="2"/>
  <c r="S3537" i="2"/>
  <c r="M3537" i="2"/>
  <c r="L3537" i="2"/>
  <c r="K3537" i="2"/>
  <c r="G3537" i="2"/>
  <c r="E3537" i="2"/>
  <c r="B3537" i="2"/>
  <c r="S3536" i="2"/>
  <c r="M3536" i="2"/>
  <c r="L3536" i="2"/>
  <c r="K3536" i="2"/>
  <c r="G3536" i="2"/>
  <c r="E3536" i="2"/>
  <c r="B3536" i="2"/>
  <c r="S3535" i="2"/>
  <c r="M3535" i="2"/>
  <c r="L3535" i="2"/>
  <c r="K3535" i="2"/>
  <c r="G3535" i="2"/>
  <c r="E3535" i="2"/>
  <c r="B3535" i="2"/>
  <c r="S3534" i="2"/>
  <c r="M3534" i="2"/>
  <c r="L3534" i="2"/>
  <c r="K3534" i="2"/>
  <c r="G3534" i="2"/>
  <c r="E3534" i="2"/>
  <c r="B3534" i="2"/>
  <c r="S3533" i="2"/>
  <c r="M3533" i="2"/>
  <c r="L3533" i="2"/>
  <c r="K3533" i="2"/>
  <c r="G3533" i="2"/>
  <c r="E3533" i="2"/>
  <c r="B3533" i="2"/>
  <c r="S3532" i="2"/>
  <c r="M3532" i="2"/>
  <c r="L3532" i="2"/>
  <c r="K3532" i="2"/>
  <c r="G3532" i="2"/>
  <c r="E3532" i="2"/>
  <c r="B3532" i="2"/>
  <c r="S3531" i="2"/>
  <c r="M3531" i="2"/>
  <c r="L3531" i="2"/>
  <c r="K3531" i="2"/>
  <c r="G3531" i="2"/>
  <c r="E3531" i="2"/>
  <c r="B3531" i="2"/>
  <c r="S3530" i="2"/>
  <c r="M3530" i="2"/>
  <c r="L3530" i="2"/>
  <c r="K3530" i="2"/>
  <c r="G3530" i="2"/>
  <c r="E3530" i="2"/>
  <c r="B3530" i="2"/>
  <c r="S3529" i="2"/>
  <c r="M3529" i="2"/>
  <c r="L3529" i="2"/>
  <c r="K3529" i="2"/>
  <c r="G3529" i="2"/>
  <c r="E3529" i="2"/>
  <c r="B3529" i="2"/>
  <c r="S3528" i="2"/>
  <c r="M3528" i="2"/>
  <c r="L3528" i="2"/>
  <c r="K3528" i="2"/>
  <c r="G3528" i="2"/>
  <c r="E3528" i="2"/>
  <c r="B3528" i="2"/>
  <c r="S3527" i="2"/>
  <c r="M3527" i="2"/>
  <c r="L3527" i="2"/>
  <c r="K3527" i="2"/>
  <c r="G3527" i="2"/>
  <c r="E3527" i="2"/>
  <c r="B3527" i="2"/>
  <c r="S3526" i="2"/>
  <c r="M3526" i="2"/>
  <c r="L3526" i="2"/>
  <c r="K3526" i="2"/>
  <c r="G3526" i="2"/>
  <c r="E3526" i="2"/>
  <c r="B3526" i="2"/>
  <c r="S3525" i="2"/>
  <c r="M3525" i="2"/>
  <c r="L3525" i="2"/>
  <c r="K3525" i="2"/>
  <c r="G3525" i="2"/>
  <c r="E3525" i="2"/>
  <c r="B3525" i="2"/>
  <c r="S3524" i="2"/>
  <c r="M3524" i="2"/>
  <c r="L3524" i="2"/>
  <c r="K3524" i="2"/>
  <c r="G3524" i="2"/>
  <c r="E3524" i="2"/>
  <c r="B3524" i="2"/>
  <c r="S3523" i="2"/>
  <c r="M3523" i="2"/>
  <c r="L3523" i="2"/>
  <c r="K3523" i="2"/>
  <c r="G3523" i="2"/>
  <c r="E3523" i="2"/>
  <c r="B3523" i="2"/>
  <c r="S3522" i="2"/>
  <c r="M3522" i="2"/>
  <c r="L3522" i="2"/>
  <c r="K3522" i="2"/>
  <c r="G3522" i="2"/>
  <c r="E3522" i="2"/>
  <c r="B3522" i="2"/>
  <c r="S3521" i="2"/>
  <c r="M3521" i="2"/>
  <c r="L3521" i="2"/>
  <c r="K3521" i="2"/>
  <c r="G3521" i="2"/>
  <c r="E3521" i="2"/>
  <c r="B3521" i="2"/>
  <c r="S3520" i="2"/>
  <c r="M3520" i="2"/>
  <c r="L3520" i="2"/>
  <c r="K3520" i="2"/>
  <c r="G3520" i="2"/>
  <c r="E3520" i="2"/>
  <c r="B3520" i="2"/>
  <c r="S3519" i="2"/>
  <c r="M3519" i="2"/>
  <c r="L3519" i="2"/>
  <c r="K3519" i="2"/>
  <c r="G3519" i="2"/>
  <c r="E3519" i="2"/>
  <c r="B3519" i="2"/>
  <c r="S3518" i="2"/>
  <c r="M3518" i="2"/>
  <c r="L3518" i="2"/>
  <c r="K3518" i="2"/>
  <c r="G3518" i="2"/>
  <c r="E3518" i="2"/>
  <c r="B3518" i="2"/>
  <c r="S3517" i="2"/>
  <c r="M3517" i="2"/>
  <c r="L3517" i="2"/>
  <c r="K3517" i="2"/>
  <c r="G3517" i="2"/>
  <c r="E3517" i="2"/>
  <c r="B3517" i="2"/>
  <c r="S3516" i="2"/>
  <c r="M3516" i="2"/>
  <c r="L3516" i="2"/>
  <c r="K3516" i="2"/>
  <c r="G3516" i="2"/>
  <c r="E3516" i="2"/>
  <c r="B3516" i="2"/>
  <c r="S3515" i="2"/>
  <c r="M3515" i="2"/>
  <c r="L3515" i="2"/>
  <c r="K3515" i="2"/>
  <c r="G3515" i="2"/>
  <c r="E3515" i="2"/>
  <c r="B3515" i="2"/>
  <c r="S3514" i="2"/>
  <c r="M3514" i="2"/>
  <c r="L3514" i="2"/>
  <c r="K3514" i="2"/>
  <c r="G3514" i="2"/>
  <c r="E3514" i="2"/>
  <c r="B3514" i="2"/>
  <c r="S3513" i="2"/>
  <c r="M3513" i="2"/>
  <c r="L3513" i="2"/>
  <c r="K3513" i="2"/>
  <c r="G3513" i="2"/>
  <c r="E3513" i="2"/>
  <c r="B3513" i="2"/>
  <c r="S3512" i="2"/>
  <c r="M3512" i="2"/>
  <c r="L3512" i="2"/>
  <c r="K3512" i="2"/>
  <c r="G3512" i="2"/>
  <c r="E3512" i="2"/>
  <c r="B3512" i="2"/>
  <c r="S3511" i="2"/>
  <c r="M3511" i="2"/>
  <c r="L3511" i="2"/>
  <c r="K3511" i="2"/>
  <c r="G3511" i="2"/>
  <c r="E3511" i="2"/>
  <c r="B3511" i="2"/>
  <c r="S3510" i="2"/>
  <c r="M3510" i="2"/>
  <c r="L3510" i="2"/>
  <c r="K3510" i="2"/>
  <c r="G3510" i="2"/>
  <c r="E3510" i="2"/>
  <c r="B3510" i="2"/>
  <c r="S3509" i="2"/>
  <c r="M3509" i="2"/>
  <c r="L3509" i="2"/>
  <c r="K3509" i="2"/>
  <c r="G3509" i="2"/>
  <c r="E3509" i="2"/>
  <c r="B3509" i="2"/>
  <c r="S3508" i="2"/>
  <c r="M3508" i="2"/>
  <c r="L3508" i="2"/>
  <c r="K3508" i="2"/>
  <c r="G3508" i="2"/>
  <c r="E3508" i="2"/>
  <c r="B3508" i="2"/>
  <c r="S3507" i="2"/>
  <c r="M3507" i="2"/>
  <c r="L3507" i="2"/>
  <c r="K3507" i="2"/>
  <c r="G3507" i="2"/>
  <c r="E3507" i="2"/>
  <c r="B3507" i="2"/>
  <c r="S3506" i="2"/>
  <c r="M3506" i="2"/>
  <c r="L3506" i="2"/>
  <c r="K3506" i="2"/>
  <c r="G3506" i="2"/>
  <c r="E3506" i="2"/>
  <c r="B3506" i="2"/>
  <c r="S3505" i="2"/>
  <c r="M3505" i="2"/>
  <c r="L3505" i="2"/>
  <c r="K3505" i="2"/>
  <c r="G3505" i="2"/>
  <c r="E3505" i="2"/>
  <c r="B3505" i="2"/>
  <c r="S3504" i="2"/>
  <c r="M3504" i="2"/>
  <c r="L3504" i="2"/>
  <c r="K3504" i="2"/>
  <c r="G3504" i="2"/>
  <c r="E3504" i="2"/>
  <c r="B3504" i="2"/>
  <c r="S3503" i="2"/>
  <c r="M3503" i="2"/>
  <c r="L3503" i="2"/>
  <c r="K3503" i="2"/>
  <c r="G3503" i="2"/>
  <c r="E3503" i="2"/>
  <c r="B3503" i="2"/>
  <c r="S3502" i="2"/>
  <c r="M3502" i="2"/>
  <c r="L3502" i="2"/>
  <c r="K3502" i="2"/>
  <c r="G3502" i="2"/>
  <c r="E3502" i="2"/>
  <c r="B3502" i="2"/>
  <c r="S3501" i="2"/>
  <c r="M3501" i="2"/>
  <c r="L3501" i="2"/>
  <c r="K3501" i="2"/>
  <c r="G3501" i="2"/>
  <c r="E3501" i="2"/>
  <c r="B3501" i="2"/>
  <c r="S3500" i="2"/>
  <c r="M3500" i="2"/>
  <c r="L3500" i="2"/>
  <c r="K3500" i="2"/>
  <c r="G3500" i="2"/>
  <c r="E3500" i="2"/>
  <c r="B3500" i="2"/>
  <c r="S3499" i="2"/>
  <c r="M3499" i="2"/>
  <c r="L3499" i="2"/>
  <c r="K3499" i="2"/>
  <c r="G3499" i="2"/>
  <c r="E3499" i="2"/>
  <c r="B3499" i="2"/>
  <c r="S3498" i="2"/>
  <c r="M3498" i="2"/>
  <c r="L3498" i="2"/>
  <c r="K3498" i="2"/>
  <c r="G3498" i="2"/>
  <c r="E3498" i="2"/>
  <c r="B3498" i="2"/>
  <c r="S3497" i="2"/>
  <c r="M3497" i="2"/>
  <c r="L3497" i="2"/>
  <c r="K3497" i="2"/>
  <c r="G3497" i="2"/>
  <c r="E3497" i="2"/>
  <c r="B3497" i="2"/>
  <c r="S3496" i="2"/>
  <c r="M3496" i="2"/>
  <c r="L3496" i="2"/>
  <c r="K3496" i="2"/>
  <c r="G3496" i="2"/>
  <c r="E3496" i="2"/>
  <c r="B3496" i="2"/>
  <c r="S3495" i="2"/>
  <c r="M3495" i="2"/>
  <c r="L3495" i="2"/>
  <c r="K3495" i="2"/>
  <c r="G3495" i="2"/>
  <c r="E3495" i="2"/>
  <c r="B3495" i="2"/>
  <c r="S3494" i="2"/>
  <c r="M3494" i="2"/>
  <c r="L3494" i="2"/>
  <c r="K3494" i="2"/>
  <c r="G3494" i="2"/>
  <c r="E3494" i="2"/>
  <c r="B3494" i="2"/>
  <c r="S3493" i="2"/>
  <c r="M3493" i="2"/>
  <c r="L3493" i="2"/>
  <c r="K3493" i="2"/>
  <c r="G3493" i="2"/>
  <c r="E3493" i="2"/>
  <c r="B3493" i="2"/>
  <c r="S3492" i="2"/>
  <c r="M3492" i="2"/>
  <c r="L3492" i="2"/>
  <c r="K3492" i="2"/>
  <c r="G3492" i="2"/>
  <c r="E3492" i="2"/>
  <c r="B3492" i="2"/>
  <c r="S3491" i="2"/>
  <c r="M3491" i="2"/>
  <c r="L3491" i="2"/>
  <c r="K3491" i="2"/>
  <c r="G3491" i="2"/>
  <c r="E3491" i="2"/>
  <c r="B3491" i="2"/>
  <c r="S3490" i="2"/>
  <c r="M3490" i="2"/>
  <c r="L3490" i="2"/>
  <c r="K3490" i="2"/>
  <c r="G3490" i="2"/>
  <c r="E3490" i="2"/>
  <c r="B3490" i="2"/>
  <c r="S3489" i="2"/>
  <c r="M3489" i="2"/>
  <c r="L3489" i="2"/>
  <c r="K3489" i="2"/>
  <c r="G3489" i="2"/>
  <c r="E3489" i="2"/>
  <c r="B3489" i="2"/>
  <c r="S3488" i="2"/>
  <c r="M3488" i="2"/>
  <c r="L3488" i="2"/>
  <c r="K3488" i="2"/>
  <c r="G3488" i="2"/>
  <c r="E3488" i="2"/>
  <c r="B3488" i="2"/>
  <c r="S3487" i="2"/>
  <c r="M3487" i="2"/>
  <c r="L3487" i="2"/>
  <c r="K3487" i="2"/>
  <c r="G3487" i="2"/>
  <c r="E3487" i="2"/>
  <c r="B3487" i="2"/>
  <c r="S3486" i="2"/>
  <c r="M3486" i="2"/>
  <c r="L3486" i="2"/>
  <c r="K3486" i="2"/>
  <c r="G3486" i="2"/>
  <c r="E3486" i="2"/>
  <c r="B3486" i="2"/>
  <c r="S3485" i="2"/>
  <c r="M3485" i="2"/>
  <c r="L3485" i="2"/>
  <c r="K3485" i="2"/>
  <c r="G3485" i="2"/>
  <c r="E3485" i="2"/>
  <c r="B3485" i="2"/>
  <c r="S3484" i="2"/>
  <c r="M3484" i="2"/>
  <c r="L3484" i="2"/>
  <c r="K3484" i="2"/>
  <c r="G3484" i="2"/>
  <c r="E3484" i="2"/>
  <c r="B3484" i="2"/>
  <c r="S3483" i="2"/>
  <c r="M3483" i="2"/>
  <c r="L3483" i="2"/>
  <c r="K3483" i="2"/>
  <c r="G3483" i="2"/>
  <c r="E3483" i="2"/>
  <c r="B3483" i="2"/>
  <c r="S3482" i="2"/>
  <c r="M3482" i="2"/>
  <c r="L3482" i="2"/>
  <c r="K3482" i="2"/>
  <c r="G3482" i="2"/>
  <c r="E3482" i="2"/>
  <c r="B3482" i="2"/>
  <c r="S3481" i="2"/>
  <c r="M3481" i="2"/>
  <c r="L3481" i="2"/>
  <c r="K3481" i="2"/>
  <c r="G3481" i="2"/>
  <c r="E3481" i="2"/>
  <c r="B3481" i="2"/>
  <c r="S3480" i="2"/>
  <c r="M3480" i="2"/>
  <c r="L3480" i="2"/>
  <c r="K3480" i="2"/>
  <c r="G3480" i="2"/>
  <c r="E3480" i="2"/>
  <c r="B3480" i="2"/>
  <c r="S3479" i="2"/>
  <c r="M3479" i="2"/>
  <c r="L3479" i="2"/>
  <c r="K3479" i="2"/>
  <c r="G3479" i="2"/>
  <c r="E3479" i="2"/>
  <c r="B3479" i="2"/>
  <c r="S3478" i="2"/>
  <c r="M3478" i="2"/>
  <c r="L3478" i="2"/>
  <c r="K3478" i="2"/>
  <c r="G3478" i="2"/>
  <c r="E3478" i="2"/>
  <c r="B3478" i="2"/>
  <c r="S3477" i="2"/>
  <c r="M3477" i="2"/>
  <c r="L3477" i="2"/>
  <c r="K3477" i="2"/>
  <c r="G3477" i="2"/>
  <c r="E3477" i="2"/>
  <c r="B3477" i="2"/>
  <c r="S3476" i="2"/>
  <c r="M3476" i="2"/>
  <c r="L3476" i="2"/>
  <c r="K3476" i="2"/>
  <c r="G3476" i="2"/>
  <c r="E3476" i="2"/>
  <c r="B3476" i="2"/>
  <c r="S3475" i="2"/>
  <c r="M3475" i="2"/>
  <c r="L3475" i="2"/>
  <c r="K3475" i="2"/>
  <c r="G3475" i="2"/>
  <c r="E3475" i="2"/>
  <c r="B3475" i="2"/>
  <c r="S3474" i="2"/>
  <c r="M3474" i="2"/>
  <c r="L3474" i="2"/>
  <c r="K3474" i="2"/>
  <c r="G3474" i="2"/>
  <c r="E3474" i="2"/>
  <c r="B3474" i="2"/>
  <c r="S3473" i="2"/>
  <c r="M3473" i="2"/>
  <c r="L3473" i="2"/>
  <c r="K3473" i="2"/>
  <c r="G3473" i="2"/>
  <c r="E3473" i="2"/>
  <c r="B3473" i="2"/>
  <c r="S3472" i="2"/>
  <c r="M3472" i="2"/>
  <c r="L3472" i="2"/>
  <c r="K3472" i="2"/>
  <c r="G3472" i="2"/>
  <c r="E3472" i="2"/>
  <c r="B3472" i="2"/>
  <c r="S3471" i="2"/>
  <c r="M3471" i="2"/>
  <c r="L3471" i="2"/>
  <c r="K3471" i="2"/>
  <c r="G3471" i="2"/>
  <c r="E3471" i="2"/>
  <c r="B3471" i="2"/>
  <c r="S3470" i="2"/>
  <c r="M3470" i="2"/>
  <c r="L3470" i="2"/>
  <c r="K3470" i="2"/>
  <c r="G3470" i="2"/>
  <c r="E3470" i="2"/>
  <c r="B3470" i="2"/>
  <c r="S3469" i="2"/>
  <c r="M3469" i="2"/>
  <c r="L3469" i="2"/>
  <c r="K3469" i="2"/>
  <c r="G3469" i="2"/>
  <c r="E3469" i="2"/>
  <c r="B3469" i="2"/>
  <c r="S3468" i="2"/>
  <c r="M3468" i="2"/>
  <c r="L3468" i="2"/>
  <c r="K3468" i="2"/>
  <c r="G3468" i="2"/>
  <c r="E3468" i="2"/>
  <c r="B3468" i="2"/>
  <c r="S3467" i="2"/>
  <c r="M3467" i="2"/>
  <c r="L3467" i="2"/>
  <c r="K3467" i="2"/>
  <c r="G3467" i="2"/>
  <c r="E3467" i="2"/>
  <c r="B3467" i="2"/>
  <c r="S3466" i="2"/>
  <c r="M3466" i="2"/>
  <c r="L3466" i="2"/>
  <c r="K3466" i="2"/>
  <c r="G3466" i="2"/>
  <c r="E3466" i="2"/>
  <c r="B3466" i="2"/>
  <c r="S3465" i="2"/>
  <c r="M3465" i="2"/>
  <c r="L3465" i="2"/>
  <c r="K3465" i="2"/>
  <c r="G3465" i="2"/>
  <c r="E3465" i="2"/>
  <c r="B3465" i="2"/>
  <c r="S3464" i="2"/>
  <c r="M3464" i="2"/>
  <c r="L3464" i="2"/>
  <c r="K3464" i="2"/>
  <c r="G3464" i="2"/>
  <c r="E3464" i="2"/>
  <c r="B3464" i="2"/>
  <c r="S3463" i="2"/>
  <c r="M3463" i="2"/>
  <c r="L3463" i="2"/>
  <c r="K3463" i="2"/>
  <c r="G3463" i="2"/>
  <c r="E3463" i="2"/>
  <c r="B3463" i="2"/>
  <c r="S3462" i="2"/>
  <c r="M3462" i="2"/>
  <c r="L3462" i="2"/>
  <c r="K3462" i="2"/>
  <c r="G3462" i="2"/>
  <c r="E3462" i="2"/>
  <c r="B3462" i="2"/>
  <c r="S3461" i="2"/>
  <c r="M3461" i="2"/>
  <c r="L3461" i="2"/>
  <c r="K3461" i="2"/>
  <c r="G3461" i="2"/>
  <c r="E3461" i="2"/>
  <c r="B3461" i="2"/>
  <c r="S3460" i="2"/>
  <c r="M3460" i="2"/>
  <c r="L3460" i="2"/>
  <c r="K3460" i="2"/>
  <c r="G3460" i="2"/>
  <c r="E3460" i="2"/>
  <c r="B3460" i="2"/>
  <c r="S3459" i="2"/>
  <c r="M3459" i="2"/>
  <c r="L3459" i="2"/>
  <c r="K3459" i="2"/>
  <c r="G3459" i="2"/>
  <c r="E3459" i="2"/>
  <c r="B3459" i="2"/>
  <c r="S3458" i="2"/>
  <c r="M3458" i="2"/>
  <c r="L3458" i="2"/>
  <c r="K3458" i="2"/>
  <c r="G3458" i="2"/>
  <c r="E3458" i="2"/>
  <c r="B3458" i="2"/>
  <c r="S3457" i="2"/>
  <c r="M3457" i="2"/>
  <c r="L3457" i="2"/>
  <c r="K3457" i="2"/>
  <c r="G3457" i="2"/>
  <c r="E3457" i="2"/>
  <c r="B3457" i="2"/>
  <c r="S3456" i="2"/>
  <c r="M3456" i="2"/>
  <c r="L3456" i="2"/>
  <c r="K3456" i="2"/>
  <c r="G3456" i="2"/>
  <c r="E3456" i="2"/>
  <c r="B3456" i="2"/>
  <c r="S3455" i="2"/>
  <c r="M3455" i="2"/>
  <c r="L3455" i="2"/>
  <c r="K3455" i="2"/>
  <c r="G3455" i="2"/>
  <c r="E3455" i="2"/>
  <c r="B3455" i="2"/>
  <c r="S3454" i="2"/>
  <c r="M3454" i="2"/>
  <c r="L3454" i="2"/>
  <c r="K3454" i="2"/>
  <c r="G3454" i="2"/>
  <c r="E3454" i="2"/>
  <c r="B3454" i="2"/>
  <c r="S3453" i="2"/>
  <c r="M3453" i="2"/>
  <c r="L3453" i="2"/>
  <c r="K3453" i="2"/>
  <c r="G3453" i="2"/>
  <c r="E3453" i="2"/>
  <c r="B3453" i="2"/>
  <c r="S3452" i="2"/>
  <c r="M3452" i="2"/>
  <c r="L3452" i="2"/>
  <c r="K3452" i="2"/>
  <c r="G3452" i="2"/>
  <c r="E3452" i="2"/>
  <c r="B3452" i="2"/>
  <c r="S3451" i="2"/>
  <c r="M3451" i="2"/>
  <c r="L3451" i="2"/>
  <c r="K3451" i="2"/>
  <c r="G3451" i="2"/>
  <c r="E3451" i="2"/>
  <c r="B3451" i="2"/>
  <c r="S3450" i="2"/>
  <c r="M3450" i="2"/>
  <c r="L3450" i="2"/>
  <c r="K3450" i="2"/>
  <c r="G3450" i="2"/>
  <c r="E3450" i="2"/>
  <c r="B3450" i="2"/>
  <c r="S3449" i="2"/>
  <c r="M3449" i="2"/>
  <c r="L3449" i="2"/>
  <c r="K3449" i="2"/>
  <c r="G3449" i="2"/>
  <c r="E3449" i="2"/>
  <c r="B3449" i="2"/>
  <c r="S3448" i="2"/>
  <c r="M3448" i="2"/>
  <c r="L3448" i="2"/>
  <c r="K3448" i="2"/>
  <c r="G3448" i="2"/>
  <c r="E3448" i="2"/>
  <c r="B3448" i="2"/>
  <c r="S3447" i="2"/>
  <c r="M3447" i="2"/>
  <c r="L3447" i="2"/>
  <c r="K3447" i="2"/>
  <c r="G3447" i="2"/>
  <c r="E3447" i="2"/>
  <c r="B3447" i="2"/>
  <c r="S3446" i="2"/>
  <c r="M3446" i="2"/>
  <c r="L3446" i="2"/>
  <c r="K3446" i="2"/>
  <c r="G3446" i="2"/>
  <c r="E3446" i="2"/>
  <c r="B3446" i="2"/>
  <c r="S3445" i="2"/>
  <c r="M3445" i="2"/>
  <c r="L3445" i="2"/>
  <c r="K3445" i="2"/>
  <c r="G3445" i="2"/>
  <c r="E3445" i="2"/>
  <c r="B3445" i="2"/>
  <c r="S3444" i="2"/>
  <c r="M3444" i="2"/>
  <c r="L3444" i="2"/>
  <c r="K3444" i="2"/>
  <c r="G3444" i="2"/>
  <c r="E3444" i="2"/>
  <c r="B3444" i="2"/>
  <c r="S3443" i="2"/>
  <c r="M3443" i="2"/>
  <c r="L3443" i="2"/>
  <c r="K3443" i="2"/>
  <c r="G3443" i="2"/>
  <c r="E3443" i="2"/>
  <c r="B3443" i="2"/>
  <c r="S3442" i="2"/>
  <c r="M3442" i="2"/>
  <c r="L3442" i="2"/>
  <c r="K3442" i="2"/>
  <c r="G3442" i="2"/>
  <c r="E3442" i="2"/>
  <c r="B3442" i="2"/>
  <c r="S3441" i="2"/>
  <c r="M3441" i="2"/>
  <c r="L3441" i="2"/>
  <c r="K3441" i="2"/>
  <c r="G3441" i="2"/>
  <c r="E3441" i="2"/>
  <c r="B3441" i="2"/>
  <c r="S3440" i="2"/>
  <c r="M3440" i="2"/>
  <c r="L3440" i="2"/>
  <c r="K3440" i="2"/>
  <c r="G3440" i="2"/>
  <c r="E3440" i="2"/>
  <c r="B3440" i="2"/>
  <c r="S3439" i="2"/>
  <c r="M3439" i="2"/>
  <c r="L3439" i="2"/>
  <c r="K3439" i="2"/>
  <c r="G3439" i="2"/>
  <c r="E3439" i="2"/>
  <c r="B3439" i="2"/>
  <c r="S3438" i="2"/>
  <c r="M3438" i="2"/>
  <c r="L3438" i="2"/>
  <c r="K3438" i="2"/>
  <c r="G3438" i="2"/>
  <c r="E3438" i="2"/>
  <c r="B3438" i="2"/>
  <c r="S3437" i="2"/>
  <c r="M3437" i="2"/>
  <c r="L3437" i="2"/>
  <c r="K3437" i="2"/>
  <c r="G3437" i="2"/>
  <c r="E3437" i="2"/>
  <c r="B3437" i="2"/>
  <c r="S3436" i="2"/>
  <c r="M3436" i="2"/>
  <c r="L3436" i="2"/>
  <c r="K3436" i="2"/>
  <c r="G3436" i="2"/>
  <c r="E3436" i="2"/>
  <c r="B3436" i="2"/>
  <c r="S3435" i="2"/>
  <c r="M3435" i="2"/>
  <c r="L3435" i="2"/>
  <c r="K3435" i="2"/>
  <c r="G3435" i="2"/>
  <c r="E3435" i="2"/>
  <c r="B3435" i="2"/>
  <c r="S3434" i="2"/>
  <c r="M3434" i="2"/>
  <c r="L3434" i="2"/>
  <c r="K3434" i="2"/>
  <c r="G3434" i="2"/>
  <c r="E3434" i="2"/>
  <c r="B3434" i="2"/>
  <c r="S3433" i="2"/>
  <c r="M3433" i="2"/>
  <c r="L3433" i="2"/>
  <c r="K3433" i="2"/>
  <c r="G3433" i="2"/>
  <c r="E3433" i="2"/>
  <c r="B3433" i="2"/>
  <c r="S3432" i="2"/>
  <c r="M3432" i="2"/>
  <c r="L3432" i="2"/>
  <c r="K3432" i="2"/>
  <c r="G3432" i="2"/>
  <c r="E3432" i="2"/>
  <c r="B3432" i="2"/>
  <c r="S3431" i="2"/>
  <c r="M3431" i="2"/>
  <c r="L3431" i="2"/>
  <c r="K3431" i="2"/>
  <c r="G3431" i="2"/>
  <c r="E3431" i="2"/>
  <c r="B3431" i="2"/>
  <c r="S3430" i="2"/>
  <c r="M3430" i="2"/>
  <c r="L3430" i="2"/>
  <c r="K3430" i="2"/>
  <c r="G3430" i="2"/>
  <c r="E3430" i="2"/>
  <c r="B3430" i="2"/>
  <c r="S3429" i="2"/>
  <c r="M3429" i="2"/>
  <c r="L3429" i="2"/>
  <c r="K3429" i="2"/>
  <c r="G3429" i="2"/>
  <c r="E3429" i="2"/>
  <c r="B3429" i="2"/>
  <c r="S3428" i="2"/>
  <c r="M3428" i="2"/>
  <c r="L3428" i="2"/>
  <c r="K3428" i="2"/>
  <c r="G3428" i="2"/>
  <c r="E3428" i="2"/>
  <c r="B3428" i="2"/>
  <c r="S3427" i="2"/>
  <c r="M3427" i="2"/>
  <c r="L3427" i="2"/>
  <c r="K3427" i="2"/>
  <c r="G3427" i="2"/>
  <c r="E3427" i="2"/>
  <c r="B3427" i="2"/>
  <c r="S3426" i="2"/>
  <c r="M3426" i="2"/>
  <c r="L3426" i="2"/>
  <c r="K3426" i="2"/>
  <c r="G3426" i="2"/>
  <c r="E3426" i="2"/>
  <c r="B3426" i="2"/>
  <c r="S3425" i="2"/>
  <c r="M3425" i="2"/>
  <c r="L3425" i="2"/>
  <c r="K3425" i="2"/>
  <c r="G3425" i="2"/>
  <c r="E3425" i="2"/>
  <c r="B3425" i="2"/>
  <c r="S3424" i="2"/>
  <c r="M3424" i="2"/>
  <c r="L3424" i="2"/>
  <c r="K3424" i="2"/>
  <c r="G3424" i="2"/>
  <c r="E3424" i="2"/>
  <c r="B3424" i="2"/>
  <c r="S3423" i="2"/>
  <c r="M3423" i="2"/>
  <c r="L3423" i="2"/>
  <c r="K3423" i="2"/>
  <c r="G3423" i="2"/>
  <c r="E3423" i="2"/>
  <c r="B3423" i="2"/>
  <c r="S3422" i="2"/>
  <c r="M3422" i="2"/>
  <c r="L3422" i="2"/>
  <c r="K3422" i="2"/>
  <c r="G3422" i="2"/>
  <c r="E3422" i="2"/>
  <c r="B3422" i="2"/>
  <c r="S3421" i="2"/>
  <c r="M3421" i="2"/>
  <c r="L3421" i="2"/>
  <c r="K3421" i="2"/>
  <c r="G3421" i="2"/>
  <c r="E3421" i="2"/>
  <c r="B3421" i="2"/>
  <c r="S3420" i="2"/>
  <c r="M3420" i="2"/>
  <c r="L3420" i="2"/>
  <c r="K3420" i="2"/>
  <c r="G3420" i="2"/>
  <c r="E3420" i="2"/>
  <c r="B3420" i="2"/>
  <c r="S3419" i="2"/>
  <c r="M3419" i="2"/>
  <c r="L3419" i="2"/>
  <c r="K3419" i="2"/>
  <c r="G3419" i="2"/>
  <c r="E3419" i="2"/>
  <c r="B3419" i="2"/>
  <c r="S3418" i="2"/>
  <c r="M3418" i="2"/>
  <c r="L3418" i="2"/>
  <c r="K3418" i="2"/>
  <c r="G3418" i="2"/>
  <c r="E3418" i="2"/>
  <c r="B3418" i="2"/>
  <c r="S3417" i="2"/>
  <c r="M3417" i="2"/>
  <c r="L3417" i="2"/>
  <c r="K3417" i="2"/>
  <c r="G3417" i="2"/>
  <c r="E3417" i="2"/>
  <c r="B3417" i="2"/>
  <c r="S3416" i="2"/>
  <c r="M3416" i="2"/>
  <c r="L3416" i="2"/>
  <c r="K3416" i="2"/>
  <c r="G3416" i="2"/>
  <c r="E3416" i="2"/>
  <c r="B3416" i="2"/>
  <c r="S3415" i="2"/>
  <c r="M3415" i="2"/>
  <c r="L3415" i="2"/>
  <c r="K3415" i="2"/>
  <c r="G3415" i="2"/>
  <c r="E3415" i="2"/>
  <c r="B3415" i="2"/>
  <c r="S3414" i="2"/>
  <c r="M3414" i="2"/>
  <c r="L3414" i="2"/>
  <c r="K3414" i="2"/>
  <c r="G3414" i="2"/>
  <c r="E3414" i="2"/>
  <c r="B3414" i="2"/>
  <c r="S3413" i="2"/>
  <c r="M3413" i="2"/>
  <c r="L3413" i="2"/>
  <c r="K3413" i="2"/>
  <c r="G3413" i="2"/>
  <c r="E3413" i="2"/>
  <c r="B3413" i="2"/>
  <c r="S3412" i="2"/>
  <c r="M3412" i="2"/>
  <c r="L3412" i="2"/>
  <c r="K3412" i="2"/>
  <c r="G3412" i="2"/>
  <c r="E3412" i="2"/>
  <c r="B3412" i="2"/>
  <c r="S3411" i="2"/>
  <c r="M3411" i="2"/>
  <c r="L3411" i="2"/>
  <c r="K3411" i="2"/>
  <c r="G3411" i="2"/>
  <c r="E3411" i="2"/>
  <c r="B3411" i="2"/>
  <c r="S3410" i="2"/>
  <c r="M3410" i="2"/>
  <c r="L3410" i="2"/>
  <c r="K3410" i="2"/>
  <c r="G3410" i="2"/>
  <c r="E3410" i="2"/>
  <c r="B3410" i="2"/>
  <c r="S3409" i="2"/>
  <c r="M3409" i="2"/>
  <c r="L3409" i="2"/>
  <c r="K3409" i="2"/>
  <c r="G3409" i="2"/>
  <c r="E3409" i="2"/>
  <c r="B3409" i="2"/>
  <c r="S3408" i="2"/>
  <c r="M3408" i="2"/>
  <c r="L3408" i="2"/>
  <c r="K3408" i="2"/>
  <c r="G3408" i="2"/>
  <c r="E3408" i="2"/>
  <c r="B3408" i="2"/>
  <c r="S3407" i="2"/>
  <c r="M3407" i="2"/>
  <c r="L3407" i="2"/>
  <c r="K3407" i="2"/>
  <c r="G3407" i="2"/>
  <c r="E3407" i="2"/>
  <c r="B3407" i="2"/>
  <c r="S3406" i="2"/>
  <c r="M3406" i="2"/>
  <c r="L3406" i="2"/>
  <c r="K3406" i="2"/>
  <c r="G3406" i="2"/>
  <c r="E3406" i="2"/>
  <c r="B3406" i="2"/>
  <c r="S3405" i="2"/>
  <c r="M3405" i="2"/>
  <c r="L3405" i="2"/>
  <c r="K3405" i="2"/>
  <c r="G3405" i="2"/>
  <c r="E3405" i="2"/>
  <c r="B3405" i="2"/>
  <c r="S3404" i="2"/>
  <c r="M3404" i="2"/>
  <c r="L3404" i="2"/>
  <c r="K3404" i="2"/>
  <c r="G3404" i="2"/>
  <c r="E3404" i="2"/>
  <c r="B3404" i="2"/>
  <c r="S3403" i="2"/>
  <c r="M3403" i="2"/>
  <c r="L3403" i="2"/>
  <c r="K3403" i="2"/>
  <c r="G3403" i="2"/>
  <c r="E3403" i="2"/>
  <c r="B3403" i="2"/>
  <c r="S3402" i="2"/>
  <c r="M3402" i="2"/>
  <c r="L3402" i="2"/>
  <c r="K3402" i="2"/>
  <c r="G3402" i="2"/>
  <c r="E3402" i="2"/>
  <c r="B3402" i="2"/>
  <c r="S3401" i="2"/>
  <c r="M3401" i="2"/>
  <c r="L3401" i="2"/>
  <c r="K3401" i="2"/>
  <c r="G3401" i="2"/>
  <c r="E3401" i="2"/>
  <c r="B3401" i="2"/>
  <c r="S3400" i="2"/>
  <c r="M3400" i="2"/>
  <c r="L3400" i="2"/>
  <c r="K3400" i="2"/>
  <c r="G3400" i="2"/>
  <c r="E3400" i="2"/>
  <c r="B3400" i="2"/>
  <c r="S3399" i="2"/>
  <c r="M3399" i="2"/>
  <c r="L3399" i="2"/>
  <c r="K3399" i="2"/>
  <c r="G3399" i="2"/>
  <c r="E3399" i="2"/>
  <c r="B3399" i="2"/>
  <c r="S3398" i="2"/>
  <c r="M3398" i="2"/>
  <c r="L3398" i="2"/>
  <c r="K3398" i="2"/>
  <c r="G3398" i="2"/>
  <c r="E3398" i="2"/>
  <c r="B3398" i="2"/>
  <c r="S3397" i="2"/>
  <c r="M3397" i="2"/>
  <c r="L3397" i="2"/>
  <c r="K3397" i="2"/>
  <c r="G3397" i="2"/>
  <c r="E3397" i="2"/>
  <c r="B3397" i="2"/>
  <c r="S3396" i="2"/>
  <c r="M3396" i="2"/>
  <c r="L3396" i="2"/>
  <c r="K3396" i="2"/>
  <c r="G3396" i="2"/>
  <c r="E3396" i="2"/>
  <c r="B3396" i="2"/>
  <c r="S3395" i="2"/>
  <c r="M3395" i="2"/>
  <c r="L3395" i="2"/>
  <c r="K3395" i="2"/>
  <c r="G3395" i="2"/>
  <c r="E3395" i="2"/>
  <c r="B3395" i="2"/>
  <c r="S3394" i="2"/>
  <c r="M3394" i="2"/>
  <c r="L3394" i="2"/>
  <c r="K3394" i="2"/>
  <c r="G3394" i="2"/>
  <c r="E3394" i="2"/>
  <c r="B3394" i="2"/>
  <c r="S3393" i="2"/>
  <c r="M3393" i="2"/>
  <c r="L3393" i="2"/>
  <c r="K3393" i="2"/>
  <c r="G3393" i="2"/>
  <c r="E3393" i="2"/>
  <c r="B3393" i="2"/>
  <c r="S3392" i="2"/>
  <c r="M3392" i="2"/>
  <c r="L3392" i="2"/>
  <c r="K3392" i="2"/>
  <c r="G3392" i="2"/>
  <c r="E3392" i="2"/>
  <c r="B3392" i="2"/>
  <c r="S3391" i="2"/>
  <c r="M3391" i="2"/>
  <c r="L3391" i="2"/>
  <c r="K3391" i="2"/>
  <c r="G3391" i="2"/>
  <c r="E3391" i="2"/>
  <c r="B3391" i="2"/>
  <c r="S3390" i="2"/>
  <c r="M3390" i="2"/>
  <c r="L3390" i="2"/>
  <c r="K3390" i="2"/>
  <c r="G3390" i="2"/>
  <c r="E3390" i="2"/>
  <c r="B3390" i="2"/>
  <c r="S3389" i="2"/>
  <c r="M3389" i="2"/>
  <c r="L3389" i="2"/>
  <c r="K3389" i="2"/>
  <c r="G3389" i="2"/>
  <c r="E3389" i="2"/>
  <c r="B3389" i="2"/>
  <c r="S3388" i="2"/>
  <c r="M3388" i="2"/>
  <c r="L3388" i="2"/>
  <c r="K3388" i="2"/>
  <c r="G3388" i="2"/>
  <c r="E3388" i="2"/>
  <c r="B3388" i="2"/>
  <c r="S3387" i="2"/>
  <c r="M3387" i="2"/>
  <c r="L3387" i="2"/>
  <c r="K3387" i="2"/>
  <c r="G3387" i="2"/>
  <c r="E3387" i="2"/>
  <c r="B3387" i="2"/>
  <c r="S3386" i="2"/>
  <c r="M3386" i="2"/>
  <c r="L3386" i="2"/>
  <c r="K3386" i="2"/>
  <c r="G3386" i="2"/>
  <c r="E3386" i="2"/>
  <c r="B3386" i="2"/>
  <c r="S3385" i="2"/>
  <c r="M3385" i="2"/>
  <c r="L3385" i="2"/>
  <c r="K3385" i="2"/>
  <c r="G3385" i="2"/>
  <c r="E3385" i="2"/>
  <c r="B3385" i="2"/>
  <c r="S3384" i="2"/>
  <c r="M3384" i="2"/>
  <c r="L3384" i="2"/>
  <c r="K3384" i="2"/>
  <c r="G3384" i="2"/>
  <c r="E3384" i="2"/>
  <c r="B3384" i="2"/>
  <c r="S3383" i="2"/>
  <c r="M3383" i="2"/>
  <c r="L3383" i="2"/>
  <c r="K3383" i="2"/>
  <c r="G3383" i="2"/>
  <c r="E3383" i="2"/>
  <c r="B3383" i="2"/>
  <c r="S3382" i="2"/>
  <c r="M3382" i="2"/>
  <c r="L3382" i="2"/>
  <c r="K3382" i="2"/>
  <c r="G3382" i="2"/>
  <c r="E3382" i="2"/>
  <c r="B3382" i="2"/>
  <c r="S3381" i="2"/>
  <c r="M3381" i="2"/>
  <c r="L3381" i="2"/>
  <c r="K3381" i="2"/>
  <c r="G3381" i="2"/>
  <c r="E3381" i="2"/>
  <c r="B3381" i="2"/>
  <c r="S3380" i="2"/>
  <c r="M3380" i="2"/>
  <c r="L3380" i="2"/>
  <c r="K3380" i="2"/>
  <c r="G3380" i="2"/>
  <c r="E3380" i="2"/>
  <c r="B3380" i="2"/>
  <c r="S3379" i="2"/>
  <c r="M3379" i="2"/>
  <c r="L3379" i="2"/>
  <c r="K3379" i="2"/>
  <c r="G3379" i="2"/>
  <c r="E3379" i="2"/>
  <c r="B3379" i="2"/>
  <c r="S3378" i="2"/>
  <c r="M3378" i="2"/>
  <c r="L3378" i="2"/>
  <c r="K3378" i="2"/>
  <c r="G3378" i="2"/>
  <c r="E3378" i="2"/>
  <c r="B3378" i="2"/>
  <c r="S3377" i="2"/>
  <c r="M3377" i="2"/>
  <c r="L3377" i="2"/>
  <c r="K3377" i="2"/>
  <c r="G3377" i="2"/>
  <c r="E3377" i="2"/>
  <c r="B3377" i="2"/>
  <c r="S3376" i="2"/>
  <c r="M3376" i="2"/>
  <c r="L3376" i="2"/>
  <c r="K3376" i="2"/>
  <c r="G3376" i="2"/>
  <c r="E3376" i="2"/>
  <c r="B3376" i="2"/>
  <c r="S3375" i="2"/>
  <c r="M3375" i="2"/>
  <c r="L3375" i="2"/>
  <c r="K3375" i="2"/>
  <c r="G3375" i="2"/>
  <c r="E3375" i="2"/>
  <c r="B3375" i="2"/>
  <c r="S3374" i="2"/>
  <c r="M3374" i="2"/>
  <c r="L3374" i="2"/>
  <c r="K3374" i="2"/>
  <c r="G3374" i="2"/>
  <c r="E3374" i="2"/>
  <c r="B3374" i="2"/>
  <c r="S3373" i="2"/>
  <c r="M3373" i="2"/>
  <c r="L3373" i="2"/>
  <c r="K3373" i="2"/>
  <c r="G3373" i="2"/>
  <c r="E3373" i="2"/>
  <c r="B3373" i="2"/>
  <c r="S3372" i="2"/>
  <c r="M3372" i="2"/>
  <c r="L3372" i="2"/>
  <c r="K3372" i="2"/>
  <c r="G3372" i="2"/>
  <c r="E3372" i="2"/>
  <c r="B3372" i="2"/>
  <c r="S3371" i="2"/>
  <c r="M3371" i="2"/>
  <c r="L3371" i="2"/>
  <c r="K3371" i="2"/>
  <c r="G3371" i="2"/>
  <c r="E3371" i="2"/>
  <c r="B3371" i="2"/>
  <c r="S3370" i="2"/>
  <c r="M3370" i="2"/>
  <c r="L3370" i="2"/>
  <c r="K3370" i="2"/>
  <c r="G3370" i="2"/>
  <c r="E3370" i="2"/>
  <c r="B3370" i="2"/>
  <c r="S3369" i="2"/>
  <c r="M3369" i="2"/>
  <c r="L3369" i="2"/>
  <c r="K3369" i="2"/>
  <c r="G3369" i="2"/>
  <c r="E3369" i="2"/>
  <c r="B3369" i="2"/>
  <c r="S3368" i="2"/>
  <c r="M3368" i="2"/>
  <c r="L3368" i="2"/>
  <c r="K3368" i="2"/>
  <c r="G3368" i="2"/>
  <c r="E3368" i="2"/>
  <c r="B3368" i="2"/>
  <c r="S3367" i="2"/>
  <c r="M3367" i="2"/>
  <c r="L3367" i="2"/>
  <c r="K3367" i="2"/>
  <c r="G3367" i="2"/>
  <c r="E3367" i="2"/>
  <c r="B3367" i="2"/>
  <c r="S3366" i="2"/>
  <c r="M3366" i="2"/>
  <c r="L3366" i="2"/>
  <c r="K3366" i="2"/>
  <c r="G3366" i="2"/>
  <c r="E3366" i="2"/>
  <c r="B3366" i="2"/>
  <c r="S3365" i="2"/>
  <c r="M3365" i="2"/>
  <c r="L3365" i="2"/>
  <c r="K3365" i="2"/>
  <c r="G3365" i="2"/>
  <c r="E3365" i="2"/>
  <c r="B3365" i="2"/>
  <c r="S3364" i="2"/>
  <c r="M3364" i="2"/>
  <c r="L3364" i="2"/>
  <c r="K3364" i="2"/>
  <c r="G3364" i="2"/>
  <c r="E3364" i="2"/>
  <c r="B3364" i="2"/>
  <c r="S3363" i="2"/>
  <c r="M3363" i="2"/>
  <c r="L3363" i="2"/>
  <c r="K3363" i="2"/>
  <c r="G3363" i="2"/>
  <c r="E3363" i="2"/>
  <c r="B3363" i="2"/>
  <c r="S3362" i="2"/>
  <c r="M3362" i="2"/>
  <c r="L3362" i="2"/>
  <c r="K3362" i="2"/>
  <c r="G3362" i="2"/>
  <c r="E3362" i="2"/>
  <c r="B3362" i="2"/>
  <c r="S3361" i="2"/>
  <c r="M3361" i="2"/>
  <c r="L3361" i="2"/>
  <c r="K3361" i="2"/>
  <c r="G3361" i="2"/>
  <c r="E3361" i="2"/>
  <c r="B3361" i="2"/>
  <c r="S3360" i="2"/>
  <c r="M3360" i="2"/>
  <c r="L3360" i="2"/>
  <c r="K3360" i="2"/>
  <c r="G3360" i="2"/>
  <c r="E3360" i="2"/>
  <c r="B3360" i="2"/>
  <c r="S3359" i="2"/>
  <c r="M3359" i="2"/>
  <c r="L3359" i="2"/>
  <c r="K3359" i="2"/>
  <c r="G3359" i="2"/>
  <c r="E3359" i="2"/>
  <c r="B3359" i="2"/>
  <c r="S3358" i="2"/>
  <c r="M3358" i="2"/>
  <c r="L3358" i="2"/>
  <c r="K3358" i="2"/>
  <c r="G3358" i="2"/>
  <c r="E3358" i="2"/>
  <c r="B3358" i="2"/>
  <c r="S3357" i="2"/>
  <c r="M3357" i="2"/>
  <c r="L3357" i="2"/>
  <c r="K3357" i="2"/>
  <c r="G3357" i="2"/>
  <c r="E3357" i="2"/>
  <c r="B3357" i="2"/>
  <c r="S3356" i="2"/>
  <c r="M3356" i="2"/>
  <c r="L3356" i="2"/>
  <c r="K3356" i="2"/>
  <c r="G3356" i="2"/>
  <c r="E3356" i="2"/>
  <c r="B3356" i="2"/>
  <c r="S3355" i="2"/>
  <c r="M3355" i="2"/>
  <c r="L3355" i="2"/>
  <c r="K3355" i="2"/>
  <c r="G3355" i="2"/>
  <c r="E3355" i="2"/>
  <c r="B3355" i="2"/>
  <c r="S3354" i="2"/>
  <c r="M3354" i="2"/>
  <c r="L3354" i="2"/>
  <c r="K3354" i="2"/>
  <c r="G3354" i="2"/>
  <c r="E3354" i="2"/>
  <c r="B3354" i="2"/>
  <c r="S3353" i="2"/>
  <c r="M3353" i="2"/>
  <c r="L3353" i="2"/>
  <c r="K3353" i="2"/>
  <c r="G3353" i="2"/>
  <c r="E3353" i="2"/>
  <c r="B3353" i="2"/>
  <c r="S3352" i="2"/>
  <c r="M3352" i="2"/>
  <c r="L3352" i="2"/>
  <c r="K3352" i="2"/>
  <c r="G3352" i="2"/>
  <c r="E3352" i="2"/>
  <c r="B3352" i="2"/>
  <c r="S3351" i="2"/>
  <c r="M3351" i="2"/>
  <c r="L3351" i="2"/>
  <c r="K3351" i="2"/>
  <c r="G3351" i="2"/>
  <c r="E3351" i="2"/>
  <c r="B3351" i="2"/>
  <c r="S3350" i="2"/>
  <c r="M3350" i="2"/>
  <c r="L3350" i="2"/>
  <c r="K3350" i="2"/>
  <c r="G3350" i="2"/>
  <c r="E3350" i="2"/>
  <c r="B3350" i="2"/>
  <c r="S3349" i="2"/>
  <c r="M3349" i="2"/>
  <c r="L3349" i="2"/>
  <c r="K3349" i="2"/>
  <c r="G3349" i="2"/>
  <c r="E3349" i="2"/>
  <c r="B3349" i="2"/>
  <c r="S3348" i="2"/>
  <c r="M3348" i="2"/>
  <c r="L3348" i="2"/>
  <c r="K3348" i="2"/>
  <c r="G3348" i="2"/>
  <c r="E3348" i="2"/>
  <c r="B3348" i="2"/>
  <c r="S3347" i="2"/>
  <c r="M3347" i="2"/>
  <c r="L3347" i="2"/>
  <c r="K3347" i="2"/>
  <c r="G3347" i="2"/>
  <c r="E3347" i="2"/>
  <c r="B3347" i="2"/>
  <c r="S3346" i="2"/>
  <c r="M3346" i="2"/>
  <c r="L3346" i="2"/>
  <c r="K3346" i="2"/>
  <c r="G3346" i="2"/>
  <c r="E3346" i="2"/>
  <c r="B3346" i="2"/>
  <c r="S3345" i="2"/>
  <c r="M3345" i="2"/>
  <c r="L3345" i="2"/>
  <c r="K3345" i="2"/>
  <c r="G3345" i="2"/>
  <c r="E3345" i="2"/>
  <c r="B3345" i="2"/>
  <c r="S3344" i="2"/>
  <c r="M3344" i="2"/>
  <c r="L3344" i="2"/>
  <c r="K3344" i="2"/>
  <c r="G3344" i="2"/>
  <c r="E3344" i="2"/>
  <c r="B3344" i="2"/>
  <c r="S3343" i="2"/>
  <c r="M3343" i="2"/>
  <c r="L3343" i="2"/>
  <c r="K3343" i="2"/>
  <c r="G3343" i="2"/>
  <c r="E3343" i="2"/>
  <c r="B3343" i="2"/>
  <c r="S3342" i="2"/>
  <c r="M3342" i="2"/>
  <c r="L3342" i="2"/>
  <c r="K3342" i="2"/>
  <c r="G3342" i="2"/>
  <c r="E3342" i="2"/>
  <c r="B3342" i="2"/>
  <c r="S3341" i="2"/>
  <c r="M3341" i="2"/>
  <c r="L3341" i="2"/>
  <c r="K3341" i="2"/>
  <c r="G3341" i="2"/>
  <c r="E3341" i="2"/>
  <c r="B3341" i="2"/>
  <c r="S3340" i="2"/>
  <c r="M3340" i="2"/>
  <c r="L3340" i="2"/>
  <c r="K3340" i="2"/>
  <c r="G3340" i="2"/>
  <c r="E3340" i="2"/>
  <c r="B3340" i="2"/>
  <c r="S3339" i="2"/>
  <c r="M3339" i="2"/>
  <c r="L3339" i="2"/>
  <c r="K3339" i="2"/>
  <c r="G3339" i="2"/>
  <c r="E3339" i="2"/>
  <c r="B3339" i="2"/>
  <c r="S3338" i="2"/>
  <c r="M3338" i="2"/>
  <c r="L3338" i="2"/>
  <c r="K3338" i="2"/>
  <c r="G3338" i="2"/>
  <c r="E3338" i="2"/>
  <c r="B3338" i="2"/>
  <c r="S3337" i="2"/>
  <c r="M3337" i="2"/>
  <c r="L3337" i="2"/>
  <c r="K3337" i="2"/>
  <c r="G3337" i="2"/>
  <c r="E3337" i="2"/>
  <c r="B3337" i="2"/>
  <c r="S3336" i="2"/>
  <c r="M3336" i="2"/>
  <c r="L3336" i="2"/>
  <c r="K3336" i="2"/>
  <c r="G3336" i="2"/>
  <c r="E3336" i="2"/>
  <c r="B3336" i="2"/>
  <c r="S3335" i="2"/>
  <c r="M3335" i="2"/>
  <c r="L3335" i="2"/>
  <c r="K3335" i="2"/>
  <c r="G3335" i="2"/>
  <c r="E3335" i="2"/>
  <c r="B3335" i="2"/>
  <c r="S3334" i="2"/>
  <c r="M3334" i="2"/>
  <c r="L3334" i="2"/>
  <c r="K3334" i="2"/>
  <c r="G3334" i="2"/>
  <c r="E3334" i="2"/>
  <c r="B3334" i="2"/>
  <c r="S3333" i="2"/>
  <c r="M3333" i="2"/>
  <c r="L3333" i="2"/>
  <c r="K3333" i="2"/>
  <c r="G3333" i="2"/>
  <c r="E3333" i="2"/>
  <c r="B3333" i="2"/>
  <c r="S3332" i="2"/>
  <c r="M3332" i="2"/>
  <c r="L3332" i="2"/>
  <c r="K3332" i="2"/>
  <c r="G3332" i="2"/>
  <c r="E3332" i="2"/>
  <c r="B3332" i="2"/>
  <c r="S3331" i="2"/>
  <c r="M3331" i="2"/>
  <c r="L3331" i="2"/>
  <c r="K3331" i="2"/>
  <c r="G3331" i="2"/>
  <c r="E3331" i="2"/>
  <c r="B3331" i="2"/>
  <c r="S3330" i="2"/>
  <c r="M3330" i="2"/>
  <c r="L3330" i="2"/>
  <c r="K3330" i="2"/>
  <c r="G3330" i="2"/>
  <c r="E3330" i="2"/>
  <c r="B3330" i="2"/>
  <c r="S3329" i="2"/>
  <c r="M3329" i="2"/>
  <c r="L3329" i="2"/>
  <c r="K3329" i="2"/>
  <c r="G3329" i="2"/>
  <c r="E3329" i="2"/>
  <c r="B3329" i="2"/>
  <c r="S3328" i="2"/>
  <c r="M3328" i="2"/>
  <c r="L3328" i="2"/>
  <c r="K3328" i="2"/>
  <c r="G3328" i="2"/>
  <c r="E3328" i="2"/>
  <c r="B3328" i="2"/>
  <c r="S3327" i="2"/>
  <c r="M3327" i="2"/>
  <c r="L3327" i="2"/>
  <c r="K3327" i="2"/>
  <c r="G3327" i="2"/>
  <c r="E3327" i="2"/>
  <c r="B3327" i="2"/>
  <c r="S3326" i="2"/>
  <c r="M3326" i="2"/>
  <c r="L3326" i="2"/>
  <c r="K3326" i="2"/>
  <c r="G3326" i="2"/>
  <c r="E3326" i="2"/>
  <c r="B3326" i="2"/>
  <c r="S3325" i="2"/>
  <c r="M3325" i="2"/>
  <c r="L3325" i="2"/>
  <c r="K3325" i="2"/>
  <c r="G3325" i="2"/>
  <c r="E3325" i="2"/>
  <c r="B3325" i="2"/>
  <c r="S3324" i="2"/>
  <c r="M3324" i="2"/>
  <c r="L3324" i="2"/>
  <c r="K3324" i="2"/>
  <c r="G3324" i="2"/>
  <c r="E3324" i="2"/>
  <c r="B3324" i="2"/>
  <c r="S3323" i="2"/>
  <c r="M3323" i="2"/>
  <c r="L3323" i="2"/>
  <c r="K3323" i="2"/>
  <c r="G3323" i="2"/>
  <c r="E3323" i="2"/>
  <c r="B3323" i="2"/>
  <c r="S3322" i="2"/>
  <c r="M3322" i="2"/>
  <c r="L3322" i="2"/>
  <c r="K3322" i="2"/>
  <c r="G3322" i="2"/>
  <c r="E3322" i="2"/>
  <c r="B3322" i="2"/>
  <c r="S3321" i="2"/>
  <c r="M3321" i="2"/>
  <c r="L3321" i="2"/>
  <c r="K3321" i="2"/>
  <c r="G3321" i="2"/>
  <c r="E3321" i="2"/>
  <c r="B3321" i="2"/>
  <c r="S3320" i="2"/>
  <c r="M3320" i="2"/>
  <c r="L3320" i="2"/>
  <c r="K3320" i="2"/>
  <c r="G3320" i="2"/>
  <c r="E3320" i="2"/>
  <c r="B3320" i="2"/>
  <c r="S3319" i="2"/>
  <c r="M3319" i="2"/>
  <c r="L3319" i="2"/>
  <c r="K3319" i="2"/>
  <c r="G3319" i="2"/>
  <c r="E3319" i="2"/>
  <c r="B3319" i="2"/>
  <c r="S3318" i="2"/>
  <c r="M3318" i="2"/>
  <c r="L3318" i="2"/>
  <c r="K3318" i="2"/>
  <c r="G3318" i="2"/>
  <c r="E3318" i="2"/>
  <c r="B3318" i="2"/>
  <c r="S3317" i="2"/>
  <c r="M3317" i="2"/>
  <c r="L3317" i="2"/>
  <c r="K3317" i="2"/>
  <c r="G3317" i="2"/>
  <c r="E3317" i="2"/>
  <c r="B3317" i="2"/>
  <c r="S3316" i="2"/>
  <c r="M3316" i="2"/>
  <c r="L3316" i="2"/>
  <c r="K3316" i="2"/>
  <c r="G3316" i="2"/>
  <c r="E3316" i="2"/>
  <c r="B3316" i="2"/>
  <c r="S3315" i="2"/>
  <c r="M3315" i="2"/>
  <c r="L3315" i="2"/>
  <c r="K3315" i="2"/>
  <c r="G3315" i="2"/>
  <c r="E3315" i="2"/>
  <c r="B3315" i="2"/>
  <c r="S3314" i="2"/>
  <c r="M3314" i="2"/>
  <c r="L3314" i="2"/>
  <c r="K3314" i="2"/>
  <c r="G3314" i="2"/>
  <c r="E3314" i="2"/>
  <c r="B3314" i="2"/>
  <c r="S3313" i="2"/>
  <c r="M3313" i="2"/>
  <c r="L3313" i="2"/>
  <c r="K3313" i="2"/>
  <c r="G3313" i="2"/>
  <c r="E3313" i="2"/>
  <c r="B3313" i="2"/>
  <c r="S3312" i="2"/>
  <c r="M3312" i="2"/>
  <c r="L3312" i="2"/>
  <c r="K3312" i="2"/>
  <c r="G3312" i="2"/>
  <c r="E3312" i="2"/>
  <c r="B3312" i="2"/>
  <c r="S3311" i="2"/>
  <c r="M3311" i="2"/>
  <c r="L3311" i="2"/>
  <c r="K3311" i="2"/>
  <c r="G3311" i="2"/>
  <c r="E3311" i="2"/>
  <c r="B3311" i="2"/>
  <c r="S3310" i="2"/>
  <c r="M3310" i="2"/>
  <c r="L3310" i="2"/>
  <c r="K3310" i="2"/>
  <c r="G3310" i="2"/>
  <c r="E3310" i="2"/>
  <c r="B3310" i="2"/>
  <c r="S3309" i="2"/>
  <c r="M3309" i="2"/>
  <c r="L3309" i="2"/>
  <c r="K3309" i="2"/>
  <c r="G3309" i="2"/>
  <c r="E3309" i="2"/>
  <c r="B3309" i="2"/>
  <c r="S3308" i="2"/>
  <c r="M3308" i="2"/>
  <c r="L3308" i="2"/>
  <c r="K3308" i="2"/>
  <c r="G3308" i="2"/>
  <c r="E3308" i="2"/>
  <c r="B3308" i="2"/>
  <c r="S3307" i="2"/>
  <c r="M3307" i="2"/>
  <c r="L3307" i="2"/>
  <c r="K3307" i="2"/>
  <c r="G3307" i="2"/>
  <c r="E3307" i="2"/>
  <c r="B3307" i="2"/>
  <c r="S3306" i="2"/>
  <c r="M3306" i="2"/>
  <c r="L3306" i="2"/>
  <c r="K3306" i="2"/>
  <c r="G3306" i="2"/>
  <c r="E3306" i="2"/>
  <c r="B3306" i="2"/>
  <c r="S3305" i="2"/>
  <c r="M3305" i="2"/>
  <c r="L3305" i="2"/>
  <c r="K3305" i="2"/>
  <c r="G3305" i="2"/>
  <c r="E3305" i="2"/>
  <c r="B3305" i="2"/>
  <c r="S3304" i="2"/>
  <c r="M3304" i="2"/>
  <c r="L3304" i="2"/>
  <c r="K3304" i="2"/>
  <c r="G3304" i="2"/>
  <c r="E3304" i="2"/>
  <c r="B3304" i="2"/>
  <c r="S3303" i="2"/>
  <c r="M3303" i="2"/>
  <c r="L3303" i="2"/>
  <c r="K3303" i="2"/>
  <c r="G3303" i="2"/>
  <c r="E3303" i="2"/>
  <c r="B3303" i="2"/>
  <c r="S3302" i="2"/>
  <c r="M3302" i="2"/>
  <c r="L3302" i="2"/>
  <c r="K3302" i="2"/>
  <c r="G3302" i="2"/>
  <c r="E3302" i="2"/>
  <c r="B3302" i="2"/>
  <c r="S3301" i="2"/>
  <c r="M3301" i="2"/>
  <c r="L3301" i="2"/>
  <c r="K3301" i="2"/>
  <c r="G3301" i="2"/>
  <c r="E3301" i="2"/>
  <c r="B3301" i="2"/>
  <c r="S3300" i="2"/>
  <c r="M3300" i="2"/>
  <c r="L3300" i="2"/>
  <c r="K3300" i="2"/>
  <c r="G3300" i="2"/>
  <c r="E3300" i="2"/>
  <c r="B3300" i="2"/>
  <c r="S3299" i="2"/>
  <c r="M3299" i="2"/>
  <c r="L3299" i="2"/>
  <c r="K3299" i="2"/>
  <c r="G3299" i="2"/>
  <c r="E3299" i="2"/>
  <c r="B3299" i="2"/>
  <c r="S3298" i="2"/>
  <c r="M3298" i="2"/>
  <c r="L3298" i="2"/>
  <c r="K3298" i="2"/>
  <c r="G3298" i="2"/>
  <c r="E3298" i="2"/>
  <c r="B3298" i="2"/>
  <c r="S3297" i="2"/>
  <c r="M3297" i="2"/>
  <c r="L3297" i="2"/>
  <c r="K3297" i="2"/>
  <c r="G3297" i="2"/>
  <c r="E3297" i="2"/>
  <c r="B3297" i="2"/>
  <c r="S3296" i="2"/>
  <c r="M3296" i="2"/>
  <c r="L3296" i="2"/>
  <c r="K3296" i="2"/>
  <c r="G3296" i="2"/>
  <c r="E3296" i="2"/>
  <c r="B3296" i="2"/>
  <c r="S3295" i="2"/>
  <c r="M3295" i="2"/>
  <c r="L3295" i="2"/>
  <c r="K3295" i="2"/>
  <c r="G3295" i="2"/>
  <c r="E3295" i="2"/>
  <c r="B3295" i="2"/>
  <c r="S3294" i="2"/>
  <c r="M3294" i="2"/>
  <c r="L3294" i="2"/>
  <c r="K3294" i="2"/>
  <c r="G3294" i="2"/>
  <c r="E3294" i="2"/>
  <c r="B3294" i="2"/>
  <c r="S3293" i="2"/>
  <c r="M3293" i="2"/>
  <c r="L3293" i="2"/>
  <c r="K3293" i="2"/>
  <c r="G3293" i="2"/>
  <c r="E3293" i="2"/>
  <c r="B3293" i="2"/>
  <c r="S3292" i="2"/>
  <c r="M3292" i="2"/>
  <c r="L3292" i="2"/>
  <c r="K3292" i="2"/>
  <c r="G3292" i="2"/>
  <c r="E3292" i="2"/>
  <c r="B3292" i="2"/>
  <c r="S3291" i="2"/>
  <c r="M3291" i="2"/>
  <c r="L3291" i="2"/>
  <c r="K3291" i="2"/>
  <c r="G3291" i="2"/>
  <c r="E3291" i="2"/>
  <c r="B3291" i="2"/>
  <c r="S3290" i="2"/>
  <c r="M3290" i="2"/>
  <c r="L3290" i="2"/>
  <c r="K3290" i="2"/>
  <c r="G3290" i="2"/>
  <c r="E3290" i="2"/>
  <c r="B3290" i="2"/>
  <c r="S3289" i="2"/>
  <c r="M3289" i="2"/>
  <c r="L3289" i="2"/>
  <c r="K3289" i="2"/>
  <c r="G3289" i="2"/>
  <c r="E3289" i="2"/>
  <c r="B3289" i="2"/>
  <c r="S3288" i="2"/>
  <c r="M3288" i="2"/>
  <c r="L3288" i="2"/>
  <c r="K3288" i="2"/>
  <c r="G3288" i="2"/>
  <c r="E3288" i="2"/>
  <c r="B3288" i="2"/>
  <c r="S3287" i="2"/>
  <c r="M3287" i="2"/>
  <c r="L3287" i="2"/>
  <c r="K3287" i="2"/>
  <c r="G3287" i="2"/>
  <c r="E3287" i="2"/>
  <c r="B3287" i="2"/>
  <c r="S3286" i="2"/>
  <c r="M3286" i="2"/>
  <c r="L3286" i="2"/>
  <c r="K3286" i="2"/>
  <c r="G3286" i="2"/>
  <c r="E3286" i="2"/>
  <c r="B3286" i="2"/>
  <c r="S3285" i="2"/>
  <c r="M3285" i="2"/>
  <c r="L3285" i="2"/>
  <c r="K3285" i="2"/>
  <c r="G3285" i="2"/>
  <c r="E3285" i="2"/>
  <c r="B3285" i="2"/>
  <c r="S3284" i="2"/>
  <c r="M3284" i="2"/>
  <c r="L3284" i="2"/>
  <c r="K3284" i="2"/>
  <c r="G3284" i="2"/>
  <c r="E3284" i="2"/>
  <c r="B3284" i="2"/>
  <c r="S3283" i="2"/>
  <c r="M3283" i="2"/>
  <c r="L3283" i="2"/>
  <c r="K3283" i="2"/>
  <c r="G3283" i="2"/>
  <c r="E3283" i="2"/>
  <c r="B3283" i="2"/>
  <c r="S3282" i="2"/>
  <c r="M3282" i="2"/>
  <c r="L3282" i="2"/>
  <c r="K3282" i="2"/>
  <c r="G3282" i="2"/>
  <c r="E3282" i="2"/>
  <c r="B3282" i="2"/>
  <c r="S3281" i="2"/>
  <c r="M3281" i="2"/>
  <c r="L3281" i="2"/>
  <c r="K3281" i="2"/>
  <c r="G3281" i="2"/>
  <c r="E3281" i="2"/>
  <c r="B3281" i="2"/>
  <c r="S3280" i="2"/>
  <c r="M3280" i="2"/>
  <c r="L3280" i="2"/>
  <c r="K3280" i="2"/>
  <c r="G3280" i="2"/>
  <c r="E3280" i="2"/>
  <c r="B3280" i="2"/>
  <c r="S3279" i="2"/>
  <c r="M3279" i="2"/>
  <c r="L3279" i="2"/>
  <c r="K3279" i="2"/>
  <c r="G3279" i="2"/>
  <c r="E3279" i="2"/>
  <c r="B3279" i="2"/>
  <c r="S3278" i="2"/>
  <c r="M3278" i="2"/>
  <c r="L3278" i="2"/>
  <c r="K3278" i="2"/>
  <c r="G3278" i="2"/>
  <c r="E3278" i="2"/>
  <c r="B3278" i="2"/>
  <c r="S3277" i="2"/>
  <c r="M3277" i="2"/>
  <c r="L3277" i="2"/>
  <c r="K3277" i="2"/>
  <c r="G3277" i="2"/>
  <c r="E3277" i="2"/>
  <c r="B3277" i="2"/>
  <c r="S3276" i="2"/>
  <c r="M3276" i="2"/>
  <c r="L3276" i="2"/>
  <c r="K3276" i="2"/>
  <c r="G3276" i="2"/>
  <c r="E3276" i="2"/>
  <c r="B3276" i="2"/>
  <c r="S3275" i="2"/>
  <c r="M3275" i="2"/>
  <c r="L3275" i="2"/>
  <c r="K3275" i="2"/>
  <c r="G3275" i="2"/>
  <c r="E3275" i="2"/>
  <c r="B3275" i="2"/>
  <c r="S3274" i="2"/>
  <c r="M3274" i="2"/>
  <c r="L3274" i="2"/>
  <c r="K3274" i="2"/>
  <c r="G3274" i="2"/>
  <c r="E3274" i="2"/>
  <c r="B3274" i="2"/>
  <c r="S3273" i="2"/>
  <c r="M3273" i="2"/>
  <c r="L3273" i="2"/>
  <c r="K3273" i="2"/>
  <c r="G3273" i="2"/>
  <c r="E3273" i="2"/>
  <c r="B3273" i="2"/>
  <c r="S3272" i="2"/>
  <c r="M3272" i="2"/>
  <c r="L3272" i="2"/>
  <c r="K3272" i="2"/>
  <c r="G3272" i="2"/>
  <c r="E3272" i="2"/>
  <c r="B3272" i="2"/>
  <c r="S3271" i="2"/>
  <c r="M3271" i="2"/>
  <c r="L3271" i="2"/>
  <c r="K3271" i="2"/>
  <c r="G3271" i="2"/>
  <c r="E3271" i="2"/>
  <c r="B3271" i="2"/>
  <c r="S3270" i="2"/>
  <c r="M3270" i="2"/>
  <c r="L3270" i="2"/>
  <c r="K3270" i="2"/>
  <c r="G3270" i="2"/>
  <c r="E3270" i="2"/>
  <c r="B3270" i="2"/>
  <c r="S3269" i="2"/>
  <c r="M3269" i="2"/>
  <c r="L3269" i="2"/>
  <c r="K3269" i="2"/>
  <c r="G3269" i="2"/>
  <c r="E3269" i="2"/>
  <c r="B3269" i="2"/>
  <c r="S3268" i="2"/>
  <c r="M3268" i="2"/>
  <c r="L3268" i="2"/>
  <c r="K3268" i="2"/>
  <c r="G3268" i="2"/>
  <c r="E3268" i="2"/>
  <c r="B3268" i="2"/>
  <c r="S3267" i="2"/>
  <c r="M3267" i="2"/>
  <c r="L3267" i="2"/>
  <c r="K3267" i="2"/>
  <c r="G3267" i="2"/>
  <c r="E3267" i="2"/>
  <c r="B3267" i="2"/>
  <c r="S3266" i="2"/>
  <c r="M3266" i="2"/>
  <c r="L3266" i="2"/>
  <c r="K3266" i="2"/>
  <c r="G3266" i="2"/>
  <c r="E3266" i="2"/>
  <c r="B3266" i="2"/>
  <c r="S3265" i="2"/>
  <c r="M3265" i="2"/>
  <c r="L3265" i="2"/>
  <c r="K3265" i="2"/>
  <c r="G3265" i="2"/>
  <c r="E3265" i="2"/>
  <c r="B3265" i="2"/>
  <c r="S3264" i="2"/>
  <c r="M3264" i="2"/>
  <c r="L3264" i="2"/>
  <c r="K3264" i="2"/>
  <c r="G3264" i="2"/>
  <c r="E3264" i="2"/>
  <c r="B3264" i="2"/>
  <c r="S3263" i="2"/>
  <c r="M3263" i="2"/>
  <c r="L3263" i="2"/>
  <c r="K3263" i="2"/>
  <c r="G3263" i="2"/>
  <c r="E3263" i="2"/>
  <c r="B3263" i="2"/>
  <c r="S3262" i="2"/>
  <c r="M3262" i="2"/>
  <c r="L3262" i="2"/>
  <c r="K3262" i="2"/>
  <c r="G3262" i="2"/>
  <c r="E3262" i="2"/>
  <c r="B3262" i="2"/>
  <c r="S3261" i="2"/>
  <c r="M3261" i="2"/>
  <c r="L3261" i="2"/>
  <c r="K3261" i="2"/>
  <c r="G3261" i="2"/>
  <c r="E3261" i="2"/>
  <c r="B3261" i="2"/>
  <c r="S3260" i="2"/>
  <c r="M3260" i="2"/>
  <c r="L3260" i="2"/>
  <c r="K3260" i="2"/>
  <c r="G3260" i="2"/>
  <c r="E3260" i="2"/>
  <c r="B3260" i="2"/>
  <c r="S3259" i="2"/>
  <c r="M3259" i="2"/>
  <c r="L3259" i="2"/>
  <c r="K3259" i="2"/>
  <c r="G3259" i="2"/>
  <c r="E3259" i="2"/>
  <c r="B3259" i="2"/>
  <c r="S3258" i="2"/>
  <c r="M3258" i="2"/>
  <c r="L3258" i="2"/>
  <c r="K3258" i="2"/>
  <c r="G3258" i="2"/>
  <c r="E3258" i="2"/>
  <c r="B3258" i="2"/>
  <c r="S3257" i="2"/>
  <c r="M3257" i="2"/>
  <c r="L3257" i="2"/>
  <c r="K3257" i="2"/>
  <c r="G3257" i="2"/>
  <c r="E3257" i="2"/>
  <c r="B3257" i="2"/>
  <c r="S3256" i="2"/>
  <c r="M3256" i="2"/>
  <c r="L3256" i="2"/>
  <c r="K3256" i="2"/>
  <c r="G3256" i="2"/>
  <c r="E3256" i="2"/>
  <c r="B3256" i="2"/>
  <c r="S3255" i="2"/>
  <c r="M3255" i="2"/>
  <c r="L3255" i="2"/>
  <c r="K3255" i="2"/>
  <c r="G3255" i="2"/>
  <c r="E3255" i="2"/>
  <c r="B3255" i="2"/>
  <c r="S3254" i="2"/>
  <c r="M3254" i="2"/>
  <c r="L3254" i="2"/>
  <c r="K3254" i="2"/>
  <c r="G3254" i="2"/>
  <c r="E3254" i="2"/>
  <c r="B3254" i="2"/>
  <c r="S3253" i="2"/>
  <c r="M3253" i="2"/>
  <c r="L3253" i="2"/>
  <c r="K3253" i="2"/>
  <c r="G3253" i="2"/>
  <c r="E3253" i="2"/>
  <c r="B3253" i="2"/>
  <c r="S3252" i="2"/>
  <c r="M3252" i="2"/>
  <c r="L3252" i="2"/>
  <c r="K3252" i="2"/>
  <c r="G3252" i="2"/>
  <c r="E3252" i="2"/>
  <c r="B3252" i="2"/>
  <c r="S3251" i="2"/>
  <c r="M3251" i="2"/>
  <c r="L3251" i="2"/>
  <c r="K3251" i="2"/>
  <c r="G3251" i="2"/>
  <c r="E3251" i="2"/>
  <c r="B3251" i="2"/>
  <c r="S3250" i="2"/>
  <c r="M3250" i="2"/>
  <c r="L3250" i="2"/>
  <c r="K3250" i="2"/>
  <c r="G3250" i="2"/>
  <c r="E3250" i="2"/>
  <c r="B3250" i="2"/>
  <c r="S3249" i="2"/>
  <c r="M3249" i="2"/>
  <c r="L3249" i="2"/>
  <c r="K3249" i="2"/>
  <c r="G3249" i="2"/>
  <c r="E3249" i="2"/>
  <c r="B3249" i="2"/>
  <c r="S3248" i="2"/>
  <c r="M3248" i="2"/>
  <c r="L3248" i="2"/>
  <c r="K3248" i="2"/>
  <c r="G3248" i="2"/>
  <c r="E3248" i="2"/>
  <c r="B3248" i="2"/>
  <c r="S3247" i="2"/>
  <c r="M3247" i="2"/>
  <c r="L3247" i="2"/>
  <c r="K3247" i="2"/>
  <c r="G3247" i="2"/>
  <c r="E3247" i="2"/>
  <c r="B3247" i="2"/>
  <c r="S3246" i="2"/>
  <c r="M3246" i="2"/>
  <c r="L3246" i="2"/>
  <c r="K3246" i="2"/>
  <c r="G3246" i="2"/>
  <c r="E3246" i="2"/>
  <c r="B3246" i="2"/>
  <c r="S3245" i="2"/>
  <c r="M3245" i="2"/>
  <c r="L3245" i="2"/>
  <c r="K3245" i="2"/>
  <c r="G3245" i="2"/>
  <c r="E3245" i="2"/>
  <c r="B3245" i="2"/>
  <c r="S3244" i="2"/>
  <c r="M3244" i="2"/>
  <c r="L3244" i="2"/>
  <c r="K3244" i="2"/>
  <c r="G3244" i="2"/>
  <c r="E3244" i="2"/>
  <c r="B3244" i="2"/>
  <c r="S3243" i="2"/>
  <c r="M3243" i="2"/>
  <c r="L3243" i="2"/>
  <c r="K3243" i="2"/>
  <c r="G3243" i="2"/>
  <c r="E3243" i="2"/>
  <c r="B3243" i="2"/>
  <c r="S3242" i="2"/>
  <c r="M3242" i="2"/>
  <c r="L3242" i="2"/>
  <c r="K3242" i="2"/>
  <c r="G3242" i="2"/>
  <c r="E3242" i="2"/>
  <c r="B3242" i="2"/>
  <c r="S3241" i="2"/>
  <c r="M3241" i="2"/>
  <c r="L3241" i="2"/>
  <c r="K3241" i="2"/>
  <c r="G3241" i="2"/>
  <c r="E3241" i="2"/>
  <c r="B3241" i="2"/>
  <c r="S3240" i="2"/>
  <c r="M3240" i="2"/>
  <c r="L3240" i="2"/>
  <c r="K3240" i="2"/>
  <c r="G3240" i="2"/>
  <c r="E3240" i="2"/>
  <c r="B3240" i="2"/>
  <c r="S3239" i="2"/>
  <c r="M3239" i="2"/>
  <c r="L3239" i="2"/>
  <c r="K3239" i="2"/>
  <c r="G3239" i="2"/>
  <c r="E3239" i="2"/>
  <c r="B3239" i="2"/>
  <c r="S3238" i="2"/>
  <c r="M3238" i="2"/>
  <c r="L3238" i="2"/>
  <c r="K3238" i="2"/>
  <c r="G3238" i="2"/>
  <c r="E3238" i="2"/>
  <c r="B3238" i="2"/>
  <c r="S3237" i="2"/>
  <c r="M3237" i="2"/>
  <c r="L3237" i="2"/>
  <c r="K3237" i="2"/>
  <c r="G3237" i="2"/>
  <c r="E3237" i="2"/>
  <c r="B3237" i="2"/>
  <c r="S3236" i="2"/>
  <c r="M3236" i="2"/>
  <c r="L3236" i="2"/>
  <c r="K3236" i="2"/>
  <c r="G3236" i="2"/>
  <c r="E3236" i="2"/>
  <c r="B3236" i="2"/>
  <c r="S3235" i="2"/>
  <c r="M3235" i="2"/>
  <c r="L3235" i="2"/>
  <c r="K3235" i="2"/>
  <c r="G3235" i="2"/>
  <c r="E3235" i="2"/>
  <c r="B3235" i="2"/>
  <c r="S3234" i="2"/>
  <c r="M3234" i="2"/>
  <c r="L3234" i="2"/>
  <c r="K3234" i="2"/>
  <c r="G3234" i="2"/>
  <c r="E3234" i="2"/>
  <c r="B3234" i="2"/>
  <c r="S3233" i="2"/>
  <c r="M3233" i="2"/>
  <c r="L3233" i="2"/>
  <c r="K3233" i="2"/>
  <c r="G3233" i="2"/>
  <c r="E3233" i="2"/>
  <c r="B3233" i="2"/>
  <c r="S3232" i="2"/>
  <c r="M3232" i="2"/>
  <c r="L3232" i="2"/>
  <c r="K3232" i="2"/>
  <c r="G3232" i="2"/>
  <c r="E3232" i="2"/>
  <c r="B3232" i="2"/>
  <c r="S3231" i="2"/>
  <c r="M3231" i="2"/>
  <c r="L3231" i="2"/>
  <c r="K3231" i="2"/>
  <c r="G3231" i="2"/>
  <c r="E3231" i="2"/>
  <c r="B3231" i="2"/>
  <c r="S3230" i="2"/>
  <c r="M3230" i="2"/>
  <c r="L3230" i="2"/>
  <c r="K3230" i="2"/>
  <c r="G3230" i="2"/>
  <c r="E3230" i="2"/>
  <c r="B3230" i="2"/>
  <c r="S3229" i="2"/>
  <c r="M3229" i="2"/>
  <c r="L3229" i="2"/>
  <c r="K3229" i="2"/>
  <c r="G3229" i="2"/>
  <c r="E3229" i="2"/>
  <c r="B3229" i="2"/>
  <c r="S3228" i="2"/>
  <c r="M3228" i="2"/>
  <c r="L3228" i="2"/>
  <c r="K3228" i="2"/>
  <c r="G3228" i="2"/>
  <c r="E3228" i="2"/>
  <c r="B3228" i="2"/>
  <c r="S3227" i="2"/>
  <c r="M3227" i="2"/>
  <c r="L3227" i="2"/>
  <c r="K3227" i="2"/>
  <c r="G3227" i="2"/>
  <c r="E3227" i="2"/>
  <c r="B3227" i="2"/>
  <c r="S3226" i="2"/>
  <c r="M3226" i="2"/>
  <c r="L3226" i="2"/>
  <c r="K3226" i="2"/>
  <c r="G3226" i="2"/>
  <c r="E3226" i="2"/>
  <c r="B3226" i="2"/>
  <c r="S3225" i="2"/>
  <c r="M3225" i="2"/>
  <c r="L3225" i="2"/>
  <c r="K3225" i="2"/>
  <c r="G3225" i="2"/>
  <c r="E3225" i="2"/>
  <c r="B3225" i="2"/>
  <c r="S3224" i="2"/>
  <c r="M3224" i="2"/>
  <c r="L3224" i="2"/>
  <c r="K3224" i="2"/>
  <c r="G3224" i="2"/>
  <c r="E3224" i="2"/>
  <c r="B3224" i="2"/>
  <c r="S3223" i="2"/>
  <c r="M3223" i="2"/>
  <c r="L3223" i="2"/>
  <c r="K3223" i="2"/>
  <c r="G3223" i="2"/>
  <c r="E3223" i="2"/>
  <c r="B3223" i="2"/>
  <c r="S3222" i="2"/>
  <c r="M3222" i="2"/>
  <c r="L3222" i="2"/>
  <c r="K3222" i="2"/>
  <c r="G3222" i="2"/>
  <c r="E3222" i="2"/>
  <c r="B3222" i="2"/>
  <c r="S3221" i="2"/>
  <c r="M3221" i="2"/>
  <c r="L3221" i="2"/>
  <c r="K3221" i="2"/>
  <c r="G3221" i="2"/>
  <c r="E3221" i="2"/>
  <c r="B3221" i="2"/>
  <c r="S3220" i="2"/>
  <c r="M3220" i="2"/>
  <c r="L3220" i="2"/>
  <c r="K3220" i="2"/>
  <c r="G3220" i="2"/>
  <c r="E3220" i="2"/>
  <c r="B3220" i="2"/>
  <c r="S3219" i="2"/>
  <c r="M3219" i="2"/>
  <c r="L3219" i="2"/>
  <c r="K3219" i="2"/>
  <c r="G3219" i="2"/>
  <c r="E3219" i="2"/>
  <c r="B3219" i="2"/>
  <c r="S3218" i="2"/>
  <c r="M3218" i="2"/>
  <c r="L3218" i="2"/>
  <c r="K3218" i="2"/>
  <c r="G3218" i="2"/>
  <c r="E3218" i="2"/>
  <c r="B3218" i="2"/>
  <c r="S3217" i="2"/>
  <c r="M3217" i="2"/>
  <c r="L3217" i="2"/>
  <c r="K3217" i="2"/>
  <c r="G3217" i="2"/>
  <c r="E3217" i="2"/>
  <c r="B3217" i="2"/>
  <c r="S3216" i="2"/>
  <c r="M3216" i="2"/>
  <c r="L3216" i="2"/>
  <c r="K3216" i="2"/>
  <c r="G3216" i="2"/>
  <c r="E3216" i="2"/>
  <c r="B3216" i="2"/>
  <c r="S3215" i="2"/>
  <c r="M3215" i="2"/>
  <c r="L3215" i="2"/>
  <c r="K3215" i="2"/>
  <c r="G3215" i="2"/>
  <c r="E3215" i="2"/>
  <c r="B3215" i="2"/>
  <c r="S3214" i="2"/>
  <c r="M3214" i="2"/>
  <c r="L3214" i="2"/>
  <c r="K3214" i="2"/>
  <c r="G3214" i="2"/>
  <c r="E3214" i="2"/>
  <c r="B3214" i="2"/>
  <c r="S3213" i="2"/>
  <c r="M3213" i="2"/>
  <c r="L3213" i="2"/>
  <c r="K3213" i="2"/>
  <c r="G3213" i="2"/>
  <c r="E3213" i="2"/>
  <c r="B3213" i="2"/>
  <c r="S3212" i="2"/>
  <c r="M3212" i="2"/>
  <c r="L3212" i="2"/>
  <c r="K3212" i="2"/>
  <c r="G3212" i="2"/>
  <c r="E3212" i="2"/>
  <c r="B3212" i="2"/>
  <c r="S3211" i="2"/>
  <c r="M3211" i="2"/>
  <c r="L3211" i="2"/>
  <c r="K3211" i="2"/>
  <c r="G3211" i="2"/>
  <c r="E3211" i="2"/>
  <c r="B3211" i="2"/>
  <c r="S3210" i="2"/>
  <c r="M3210" i="2"/>
  <c r="L3210" i="2"/>
  <c r="K3210" i="2"/>
  <c r="G3210" i="2"/>
  <c r="E3210" i="2"/>
  <c r="B3210" i="2"/>
  <c r="S3209" i="2"/>
  <c r="M3209" i="2"/>
  <c r="L3209" i="2"/>
  <c r="K3209" i="2"/>
  <c r="G3209" i="2"/>
  <c r="E3209" i="2"/>
  <c r="B3209" i="2"/>
  <c r="S3208" i="2"/>
  <c r="M3208" i="2"/>
  <c r="L3208" i="2"/>
  <c r="K3208" i="2"/>
  <c r="G3208" i="2"/>
  <c r="E3208" i="2"/>
  <c r="B3208" i="2"/>
  <c r="S3207" i="2"/>
  <c r="M3207" i="2"/>
  <c r="L3207" i="2"/>
  <c r="K3207" i="2"/>
  <c r="G3207" i="2"/>
  <c r="E3207" i="2"/>
  <c r="B3207" i="2"/>
  <c r="S3206" i="2"/>
  <c r="M3206" i="2"/>
  <c r="L3206" i="2"/>
  <c r="K3206" i="2"/>
  <c r="G3206" i="2"/>
  <c r="E3206" i="2"/>
  <c r="B3206" i="2"/>
  <c r="S3205" i="2"/>
  <c r="M3205" i="2"/>
  <c r="L3205" i="2"/>
  <c r="K3205" i="2"/>
  <c r="G3205" i="2"/>
  <c r="E3205" i="2"/>
  <c r="B3205" i="2"/>
  <c r="S3204" i="2"/>
  <c r="M3204" i="2"/>
  <c r="L3204" i="2"/>
  <c r="K3204" i="2"/>
  <c r="G3204" i="2"/>
  <c r="E3204" i="2"/>
  <c r="B3204" i="2"/>
  <c r="S3203" i="2"/>
  <c r="M3203" i="2"/>
  <c r="L3203" i="2"/>
  <c r="K3203" i="2"/>
  <c r="G3203" i="2"/>
  <c r="E3203" i="2"/>
  <c r="B3203" i="2"/>
  <c r="S3202" i="2"/>
  <c r="M3202" i="2"/>
  <c r="L3202" i="2"/>
  <c r="K3202" i="2"/>
  <c r="G3202" i="2"/>
  <c r="E3202" i="2"/>
  <c r="B3202" i="2"/>
  <c r="S3201" i="2"/>
  <c r="M3201" i="2"/>
  <c r="L3201" i="2"/>
  <c r="K3201" i="2"/>
  <c r="G3201" i="2"/>
  <c r="E3201" i="2"/>
  <c r="B3201" i="2"/>
  <c r="S3200" i="2"/>
  <c r="M3200" i="2"/>
  <c r="L3200" i="2"/>
  <c r="K3200" i="2"/>
  <c r="G3200" i="2"/>
  <c r="E3200" i="2"/>
  <c r="B3200" i="2"/>
  <c r="S3199" i="2"/>
  <c r="M3199" i="2"/>
  <c r="L3199" i="2"/>
  <c r="K3199" i="2"/>
  <c r="G3199" i="2"/>
  <c r="E3199" i="2"/>
  <c r="B3199" i="2"/>
  <c r="S3198" i="2"/>
  <c r="M3198" i="2"/>
  <c r="L3198" i="2"/>
  <c r="K3198" i="2"/>
  <c r="G3198" i="2"/>
  <c r="E3198" i="2"/>
  <c r="B3198" i="2"/>
  <c r="S3197" i="2"/>
  <c r="M3197" i="2"/>
  <c r="L3197" i="2"/>
  <c r="K3197" i="2"/>
  <c r="G3197" i="2"/>
  <c r="E3197" i="2"/>
  <c r="B3197" i="2"/>
  <c r="S3196" i="2"/>
  <c r="M3196" i="2"/>
  <c r="L3196" i="2"/>
  <c r="K3196" i="2"/>
  <c r="G3196" i="2"/>
  <c r="E3196" i="2"/>
  <c r="B3196" i="2"/>
  <c r="S3195" i="2"/>
  <c r="M3195" i="2"/>
  <c r="L3195" i="2"/>
  <c r="K3195" i="2"/>
  <c r="G3195" i="2"/>
  <c r="E3195" i="2"/>
  <c r="B3195" i="2"/>
  <c r="S3194" i="2"/>
  <c r="M3194" i="2"/>
  <c r="L3194" i="2"/>
  <c r="K3194" i="2"/>
  <c r="G3194" i="2"/>
  <c r="E3194" i="2"/>
  <c r="B3194" i="2"/>
  <c r="S3193" i="2"/>
  <c r="M3193" i="2"/>
  <c r="L3193" i="2"/>
  <c r="K3193" i="2"/>
  <c r="G3193" i="2"/>
  <c r="E3193" i="2"/>
  <c r="B3193" i="2"/>
  <c r="S3192" i="2"/>
  <c r="M3192" i="2"/>
  <c r="L3192" i="2"/>
  <c r="K3192" i="2"/>
  <c r="G3192" i="2"/>
  <c r="E3192" i="2"/>
  <c r="B3192" i="2"/>
  <c r="S3191" i="2"/>
  <c r="M3191" i="2"/>
  <c r="L3191" i="2"/>
  <c r="K3191" i="2"/>
  <c r="G3191" i="2"/>
  <c r="E3191" i="2"/>
  <c r="B3191" i="2"/>
  <c r="S3190" i="2"/>
  <c r="M3190" i="2"/>
  <c r="L3190" i="2"/>
  <c r="K3190" i="2"/>
  <c r="G3190" i="2"/>
  <c r="E3190" i="2"/>
  <c r="B3190" i="2"/>
  <c r="S3189" i="2"/>
  <c r="M3189" i="2"/>
  <c r="L3189" i="2"/>
  <c r="K3189" i="2"/>
  <c r="G3189" i="2"/>
  <c r="E3189" i="2"/>
  <c r="B3189" i="2"/>
  <c r="S3188" i="2"/>
  <c r="M3188" i="2"/>
  <c r="L3188" i="2"/>
  <c r="K3188" i="2"/>
  <c r="G3188" i="2"/>
  <c r="E3188" i="2"/>
  <c r="B3188" i="2"/>
  <c r="S3187" i="2"/>
  <c r="M3187" i="2"/>
  <c r="L3187" i="2"/>
  <c r="K3187" i="2"/>
  <c r="G3187" i="2"/>
  <c r="E3187" i="2"/>
  <c r="B3187" i="2"/>
  <c r="S3186" i="2"/>
  <c r="M3186" i="2"/>
  <c r="L3186" i="2"/>
  <c r="K3186" i="2"/>
  <c r="G3186" i="2"/>
  <c r="E3186" i="2"/>
  <c r="B3186" i="2"/>
  <c r="S3185" i="2"/>
  <c r="M3185" i="2"/>
  <c r="L3185" i="2"/>
  <c r="K3185" i="2"/>
  <c r="G3185" i="2"/>
  <c r="E3185" i="2"/>
  <c r="B3185" i="2"/>
  <c r="S3184" i="2"/>
  <c r="M3184" i="2"/>
  <c r="L3184" i="2"/>
  <c r="K3184" i="2"/>
  <c r="G3184" i="2"/>
  <c r="E3184" i="2"/>
  <c r="B3184" i="2"/>
  <c r="S3183" i="2"/>
  <c r="M3183" i="2"/>
  <c r="L3183" i="2"/>
  <c r="K3183" i="2"/>
  <c r="G3183" i="2"/>
  <c r="E3183" i="2"/>
  <c r="B3183" i="2"/>
  <c r="S3182" i="2"/>
  <c r="M3182" i="2"/>
  <c r="L3182" i="2"/>
  <c r="K3182" i="2"/>
  <c r="G3182" i="2"/>
  <c r="E3182" i="2"/>
  <c r="B3182" i="2"/>
  <c r="S3181" i="2"/>
  <c r="M3181" i="2"/>
  <c r="L3181" i="2"/>
  <c r="K3181" i="2"/>
  <c r="G3181" i="2"/>
  <c r="E3181" i="2"/>
  <c r="B3181" i="2"/>
  <c r="S3180" i="2"/>
  <c r="M3180" i="2"/>
  <c r="L3180" i="2"/>
  <c r="K3180" i="2"/>
  <c r="G3180" i="2"/>
  <c r="E3180" i="2"/>
  <c r="B3180" i="2"/>
  <c r="S3179" i="2"/>
  <c r="M3179" i="2"/>
  <c r="L3179" i="2"/>
  <c r="K3179" i="2"/>
  <c r="G3179" i="2"/>
  <c r="E3179" i="2"/>
  <c r="B3179" i="2"/>
  <c r="S3178" i="2"/>
  <c r="M3178" i="2"/>
  <c r="L3178" i="2"/>
  <c r="K3178" i="2"/>
  <c r="G3178" i="2"/>
  <c r="E3178" i="2"/>
  <c r="B3178" i="2"/>
  <c r="S3177" i="2"/>
  <c r="M3177" i="2"/>
  <c r="L3177" i="2"/>
  <c r="K3177" i="2"/>
  <c r="G3177" i="2"/>
  <c r="E3177" i="2"/>
  <c r="B3177" i="2"/>
  <c r="S3176" i="2"/>
  <c r="M3176" i="2"/>
  <c r="L3176" i="2"/>
  <c r="K3176" i="2"/>
  <c r="G3176" i="2"/>
  <c r="E3176" i="2"/>
  <c r="B3176" i="2"/>
  <c r="S3175" i="2"/>
  <c r="M3175" i="2"/>
  <c r="L3175" i="2"/>
  <c r="K3175" i="2"/>
  <c r="G3175" i="2"/>
  <c r="E3175" i="2"/>
  <c r="B3175" i="2"/>
  <c r="S3174" i="2"/>
  <c r="M3174" i="2"/>
  <c r="L3174" i="2"/>
  <c r="K3174" i="2"/>
  <c r="G3174" i="2"/>
  <c r="E3174" i="2"/>
  <c r="B3174" i="2"/>
  <c r="S3173" i="2"/>
  <c r="M3173" i="2"/>
  <c r="L3173" i="2"/>
  <c r="K3173" i="2"/>
  <c r="G3173" i="2"/>
  <c r="E3173" i="2"/>
  <c r="B3173" i="2"/>
  <c r="S3172" i="2"/>
  <c r="M3172" i="2"/>
  <c r="L3172" i="2"/>
  <c r="K3172" i="2"/>
  <c r="G3172" i="2"/>
  <c r="E3172" i="2"/>
  <c r="B3172" i="2"/>
  <c r="S3171" i="2"/>
  <c r="M3171" i="2"/>
  <c r="L3171" i="2"/>
  <c r="K3171" i="2"/>
  <c r="G3171" i="2"/>
  <c r="E3171" i="2"/>
  <c r="B3171" i="2"/>
  <c r="S3170" i="2"/>
  <c r="M3170" i="2"/>
  <c r="L3170" i="2"/>
  <c r="K3170" i="2"/>
  <c r="G3170" i="2"/>
  <c r="E3170" i="2"/>
  <c r="B3170" i="2"/>
  <c r="S3169" i="2"/>
  <c r="M3169" i="2"/>
  <c r="L3169" i="2"/>
  <c r="K3169" i="2"/>
  <c r="G3169" i="2"/>
  <c r="E3169" i="2"/>
  <c r="B3169" i="2"/>
  <c r="S3168" i="2"/>
  <c r="M3168" i="2"/>
  <c r="L3168" i="2"/>
  <c r="K3168" i="2"/>
  <c r="G3168" i="2"/>
  <c r="E3168" i="2"/>
  <c r="B3168" i="2"/>
  <c r="S3167" i="2"/>
  <c r="M3167" i="2"/>
  <c r="L3167" i="2"/>
  <c r="K3167" i="2"/>
  <c r="G3167" i="2"/>
  <c r="E3167" i="2"/>
  <c r="B3167" i="2"/>
  <c r="S3166" i="2"/>
  <c r="M3166" i="2"/>
  <c r="L3166" i="2"/>
  <c r="K3166" i="2"/>
  <c r="G3166" i="2"/>
  <c r="E3166" i="2"/>
  <c r="B3166" i="2"/>
  <c r="S3165" i="2"/>
  <c r="M3165" i="2"/>
  <c r="L3165" i="2"/>
  <c r="K3165" i="2"/>
  <c r="G3165" i="2"/>
  <c r="E3165" i="2"/>
  <c r="B3165" i="2"/>
  <c r="S3164" i="2"/>
  <c r="M3164" i="2"/>
  <c r="L3164" i="2"/>
  <c r="K3164" i="2"/>
  <c r="G3164" i="2"/>
  <c r="E3164" i="2"/>
  <c r="B3164" i="2"/>
  <c r="S3163" i="2"/>
  <c r="M3163" i="2"/>
  <c r="L3163" i="2"/>
  <c r="K3163" i="2"/>
  <c r="G3163" i="2"/>
  <c r="E3163" i="2"/>
  <c r="B3163" i="2"/>
  <c r="S3162" i="2"/>
  <c r="M3162" i="2"/>
  <c r="L3162" i="2"/>
  <c r="K3162" i="2"/>
  <c r="G3162" i="2"/>
  <c r="E3162" i="2"/>
  <c r="B3162" i="2"/>
  <c r="S3161" i="2"/>
  <c r="M3161" i="2"/>
  <c r="L3161" i="2"/>
  <c r="K3161" i="2"/>
  <c r="G3161" i="2"/>
  <c r="E3161" i="2"/>
  <c r="B3161" i="2"/>
  <c r="S3160" i="2"/>
  <c r="M3160" i="2"/>
  <c r="L3160" i="2"/>
  <c r="K3160" i="2"/>
  <c r="G3160" i="2"/>
  <c r="E3160" i="2"/>
  <c r="B3160" i="2"/>
  <c r="S3159" i="2"/>
  <c r="M3159" i="2"/>
  <c r="L3159" i="2"/>
  <c r="K3159" i="2"/>
  <c r="G3159" i="2"/>
  <c r="E3159" i="2"/>
  <c r="B3159" i="2"/>
  <c r="S3158" i="2"/>
  <c r="M3158" i="2"/>
  <c r="L3158" i="2"/>
  <c r="K3158" i="2"/>
  <c r="G3158" i="2"/>
  <c r="E3158" i="2"/>
  <c r="B3158" i="2"/>
  <c r="S3157" i="2"/>
  <c r="M3157" i="2"/>
  <c r="L3157" i="2"/>
  <c r="K3157" i="2"/>
  <c r="G3157" i="2"/>
  <c r="E3157" i="2"/>
  <c r="B3157" i="2"/>
  <c r="S3156" i="2"/>
  <c r="M3156" i="2"/>
  <c r="L3156" i="2"/>
  <c r="K3156" i="2"/>
  <c r="G3156" i="2"/>
  <c r="E3156" i="2"/>
  <c r="B3156" i="2"/>
  <c r="S3155" i="2"/>
  <c r="M3155" i="2"/>
  <c r="L3155" i="2"/>
  <c r="K3155" i="2"/>
  <c r="G3155" i="2"/>
  <c r="E3155" i="2"/>
  <c r="B3155" i="2"/>
  <c r="S3154" i="2"/>
  <c r="M3154" i="2"/>
  <c r="L3154" i="2"/>
  <c r="K3154" i="2"/>
  <c r="G3154" i="2"/>
  <c r="E3154" i="2"/>
  <c r="B3154" i="2"/>
  <c r="S3153" i="2"/>
  <c r="M3153" i="2"/>
  <c r="L3153" i="2"/>
  <c r="K3153" i="2"/>
  <c r="G3153" i="2"/>
  <c r="E3153" i="2"/>
  <c r="B3153" i="2"/>
  <c r="S3152" i="2"/>
  <c r="M3152" i="2"/>
  <c r="L3152" i="2"/>
  <c r="K3152" i="2"/>
  <c r="G3152" i="2"/>
  <c r="E3152" i="2"/>
  <c r="B3152" i="2"/>
  <c r="S3151" i="2"/>
  <c r="M3151" i="2"/>
  <c r="L3151" i="2"/>
  <c r="K3151" i="2"/>
  <c r="G3151" i="2"/>
  <c r="E3151" i="2"/>
  <c r="B3151" i="2"/>
  <c r="S3150" i="2"/>
  <c r="M3150" i="2"/>
  <c r="L3150" i="2"/>
  <c r="K3150" i="2"/>
  <c r="G3150" i="2"/>
  <c r="E3150" i="2"/>
  <c r="B3150" i="2"/>
  <c r="S3149" i="2"/>
  <c r="M3149" i="2"/>
  <c r="L3149" i="2"/>
  <c r="K3149" i="2"/>
  <c r="G3149" i="2"/>
  <c r="E3149" i="2"/>
  <c r="B3149" i="2"/>
  <c r="S3148" i="2"/>
  <c r="M3148" i="2"/>
  <c r="L3148" i="2"/>
  <c r="K3148" i="2"/>
  <c r="G3148" i="2"/>
  <c r="E3148" i="2"/>
  <c r="B3148" i="2"/>
  <c r="S3147" i="2"/>
  <c r="M3147" i="2"/>
  <c r="L3147" i="2"/>
  <c r="K3147" i="2"/>
  <c r="G3147" i="2"/>
  <c r="E3147" i="2"/>
  <c r="B3147" i="2"/>
  <c r="S3146" i="2"/>
  <c r="M3146" i="2"/>
  <c r="L3146" i="2"/>
  <c r="K3146" i="2"/>
  <c r="G3146" i="2"/>
  <c r="E3146" i="2"/>
  <c r="B3146" i="2"/>
  <c r="S3145" i="2"/>
  <c r="M3145" i="2"/>
  <c r="L3145" i="2"/>
  <c r="K3145" i="2"/>
  <c r="G3145" i="2"/>
  <c r="E3145" i="2"/>
  <c r="B3145" i="2"/>
  <c r="S3144" i="2"/>
  <c r="M3144" i="2"/>
  <c r="L3144" i="2"/>
  <c r="K3144" i="2"/>
  <c r="G3144" i="2"/>
  <c r="E3144" i="2"/>
  <c r="B3144" i="2"/>
  <c r="S3143" i="2"/>
  <c r="M3143" i="2"/>
  <c r="L3143" i="2"/>
  <c r="K3143" i="2"/>
  <c r="G3143" i="2"/>
  <c r="E3143" i="2"/>
  <c r="B3143" i="2"/>
  <c r="S3142" i="2"/>
  <c r="M3142" i="2"/>
  <c r="L3142" i="2"/>
  <c r="K3142" i="2"/>
  <c r="G3142" i="2"/>
  <c r="E3142" i="2"/>
  <c r="B3142" i="2"/>
  <c r="S3141" i="2"/>
  <c r="M3141" i="2"/>
  <c r="L3141" i="2"/>
  <c r="K3141" i="2"/>
  <c r="G3141" i="2"/>
  <c r="E3141" i="2"/>
  <c r="B3141" i="2"/>
  <c r="S3140" i="2"/>
  <c r="M3140" i="2"/>
  <c r="L3140" i="2"/>
  <c r="K3140" i="2"/>
  <c r="G3140" i="2"/>
  <c r="E3140" i="2"/>
  <c r="B3140" i="2"/>
  <c r="S3139" i="2"/>
  <c r="M3139" i="2"/>
  <c r="L3139" i="2"/>
  <c r="K3139" i="2"/>
  <c r="G3139" i="2"/>
  <c r="E3139" i="2"/>
  <c r="B3139" i="2"/>
  <c r="S3138" i="2"/>
  <c r="M3138" i="2"/>
  <c r="L3138" i="2"/>
  <c r="K3138" i="2"/>
  <c r="G3138" i="2"/>
  <c r="E3138" i="2"/>
  <c r="B3138" i="2"/>
  <c r="S3137" i="2"/>
  <c r="M3137" i="2"/>
  <c r="L3137" i="2"/>
  <c r="K3137" i="2"/>
  <c r="G3137" i="2"/>
  <c r="E3137" i="2"/>
  <c r="B3137" i="2"/>
  <c r="S3136" i="2"/>
  <c r="M3136" i="2"/>
  <c r="L3136" i="2"/>
  <c r="K3136" i="2"/>
  <c r="G3136" i="2"/>
  <c r="E3136" i="2"/>
  <c r="B3136" i="2"/>
  <c r="S3135" i="2"/>
  <c r="M3135" i="2"/>
  <c r="L3135" i="2"/>
  <c r="K3135" i="2"/>
  <c r="G3135" i="2"/>
  <c r="E3135" i="2"/>
  <c r="B3135" i="2"/>
  <c r="S3134" i="2"/>
  <c r="M3134" i="2"/>
  <c r="L3134" i="2"/>
  <c r="K3134" i="2"/>
  <c r="G3134" i="2"/>
  <c r="E3134" i="2"/>
  <c r="B3134" i="2"/>
  <c r="S3133" i="2"/>
  <c r="M3133" i="2"/>
  <c r="L3133" i="2"/>
  <c r="K3133" i="2"/>
  <c r="G3133" i="2"/>
  <c r="E3133" i="2"/>
  <c r="B3133" i="2"/>
  <c r="S3132" i="2"/>
  <c r="M3132" i="2"/>
  <c r="L3132" i="2"/>
  <c r="K3132" i="2"/>
  <c r="G3132" i="2"/>
  <c r="E3132" i="2"/>
  <c r="B3132" i="2"/>
  <c r="S3131" i="2"/>
  <c r="M3131" i="2"/>
  <c r="L3131" i="2"/>
  <c r="K3131" i="2"/>
  <c r="G3131" i="2"/>
  <c r="E3131" i="2"/>
  <c r="B3131" i="2"/>
  <c r="S3130" i="2"/>
  <c r="M3130" i="2"/>
  <c r="L3130" i="2"/>
  <c r="K3130" i="2"/>
  <c r="G3130" i="2"/>
  <c r="E3130" i="2"/>
  <c r="B3130" i="2"/>
  <c r="S3129" i="2"/>
  <c r="M3129" i="2"/>
  <c r="L3129" i="2"/>
  <c r="K3129" i="2"/>
  <c r="G3129" i="2"/>
  <c r="E3129" i="2"/>
  <c r="B3129" i="2"/>
  <c r="S3128" i="2"/>
  <c r="M3128" i="2"/>
  <c r="L3128" i="2"/>
  <c r="K3128" i="2"/>
  <c r="G3128" i="2"/>
  <c r="E3128" i="2"/>
  <c r="B3128" i="2"/>
  <c r="S3127" i="2"/>
  <c r="M3127" i="2"/>
  <c r="L3127" i="2"/>
  <c r="K3127" i="2"/>
  <c r="G3127" i="2"/>
  <c r="E3127" i="2"/>
  <c r="B3127" i="2"/>
  <c r="S3126" i="2"/>
  <c r="M3126" i="2"/>
  <c r="L3126" i="2"/>
  <c r="K3126" i="2"/>
  <c r="G3126" i="2"/>
  <c r="E3126" i="2"/>
  <c r="B3126" i="2"/>
  <c r="S3125" i="2"/>
  <c r="M3125" i="2"/>
  <c r="L3125" i="2"/>
  <c r="K3125" i="2"/>
  <c r="G3125" i="2"/>
  <c r="E3125" i="2"/>
  <c r="B3125" i="2"/>
  <c r="S3124" i="2"/>
  <c r="M3124" i="2"/>
  <c r="L3124" i="2"/>
  <c r="K3124" i="2"/>
  <c r="G3124" i="2"/>
  <c r="E3124" i="2"/>
  <c r="B3124" i="2"/>
  <c r="S3123" i="2"/>
  <c r="M3123" i="2"/>
  <c r="L3123" i="2"/>
  <c r="K3123" i="2"/>
  <c r="G3123" i="2"/>
  <c r="E3123" i="2"/>
  <c r="B3123" i="2"/>
  <c r="S3122" i="2"/>
  <c r="M3122" i="2"/>
  <c r="L3122" i="2"/>
  <c r="K3122" i="2"/>
  <c r="G3122" i="2"/>
  <c r="E3122" i="2"/>
  <c r="B3122" i="2"/>
  <c r="S3121" i="2"/>
  <c r="M3121" i="2"/>
  <c r="L3121" i="2"/>
  <c r="K3121" i="2"/>
  <c r="G3121" i="2"/>
  <c r="E3121" i="2"/>
  <c r="B3121" i="2"/>
  <c r="S3120" i="2"/>
  <c r="M3120" i="2"/>
  <c r="L3120" i="2"/>
  <c r="K3120" i="2"/>
  <c r="G3120" i="2"/>
  <c r="E3120" i="2"/>
  <c r="B3120" i="2"/>
  <c r="S3119" i="2"/>
  <c r="M3119" i="2"/>
  <c r="L3119" i="2"/>
  <c r="K3119" i="2"/>
  <c r="G3119" i="2"/>
  <c r="E3119" i="2"/>
  <c r="B3119" i="2"/>
  <c r="S3118" i="2"/>
  <c r="M3118" i="2"/>
  <c r="L3118" i="2"/>
  <c r="K3118" i="2"/>
  <c r="G3118" i="2"/>
  <c r="E3118" i="2"/>
  <c r="B3118" i="2"/>
  <c r="S3117" i="2"/>
  <c r="M3117" i="2"/>
  <c r="L3117" i="2"/>
  <c r="K3117" i="2"/>
  <c r="G3117" i="2"/>
  <c r="E3117" i="2"/>
  <c r="B3117" i="2"/>
  <c r="S3116" i="2"/>
  <c r="M3116" i="2"/>
  <c r="L3116" i="2"/>
  <c r="K3116" i="2"/>
  <c r="G3116" i="2"/>
  <c r="E3116" i="2"/>
  <c r="B3116" i="2"/>
  <c r="S3115" i="2"/>
  <c r="M3115" i="2"/>
  <c r="L3115" i="2"/>
  <c r="K3115" i="2"/>
  <c r="G3115" i="2"/>
  <c r="E3115" i="2"/>
  <c r="B3115" i="2"/>
  <c r="S3114" i="2"/>
  <c r="M3114" i="2"/>
  <c r="L3114" i="2"/>
  <c r="K3114" i="2"/>
  <c r="G3114" i="2"/>
  <c r="E3114" i="2"/>
  <c r="B3114" i="2"/>
  <c r="S3113" i="2"/>
  <c r="M3113" i="2"/>
  <c r="L3113" i="2"/>
  <c r="K3113" i="2"/>
  <c r="G3113" i="2"/>
  <c r="E3113" i="2"/>
  <c r="B3113" i="2"/>
  <c r="S3112" i="2"/>
  <c r="M3112" i="2"/>
  <c r="L3112" i="2"/>
  <c r="K3112" i="2"/>
  <c r="G3112" i="2"/>
  <c r="E3112" i="2"/>
  <c r="B3112" i="2"/>
  <c r="S3111" i="2"/>
  <c r="M3111" i="2"/>
  <c r="L3111" i="2"/>
  <c r="K3111" i="2"/>
  <c r="G3111" i="2"/>
  <c r="E3111" i="2"/>
  <c r="B3111" i="2"/>
  <c r="S3110" i="2"/>
  <c r="M3110" i="2"/>
  <c r="L3110" i="2"/>
  <c r="K3110" i="2"/>
  <c r="G3110" i="2"/>
  <c r="E3110" i="2"/>
  <c r="B3110" i="2"/>
  <c r="S3109" i="2"/>
  <c r="M3109" i="2"/>
  <c r="L3109" i="2"/>
  <c r="K3109" i="2"/>
  <c r="G3109" i="2"/>
  <c r="E3109" i="2"/>
  <c r="B3109" i="2"/>
  <c r="S3108" i="2"/>
  <c r="M3108" i="2"/>
  <c r="L3108" i="2"/>
  <c r="K3108" i="2"/>
  <c r="G3108" i="2"/>
  <c r="E3108" i="2"/>
  <c r="B3108" i="2"/>
  <c r="S3107" i="2"/>
  <c r="M3107" i="2"/>
  <c r="L3107" i="2"/>
  <c r="K3107" i="2"/>
  <c r="G3107" i="2"/>
  <c r="E3107" i="2"/>
  <c r="B3107" i="2"/>
  <c r="S3106" i="2"/>
  <c r="M3106" i="2"/>
  <c r="L3106" i="2"/>
  <c r="K3106" i="2"/>
  <c r="G3106" i="2"/>
  <c r="E3106" i="2"/>
  <c r="B3106" i="2"/>
  <c r="S3105" i="2"/>
  <c r="M3105" i="2"/>
  <c r="L3105" i="2"/>
  <c r="K3105" i="2"/>
  <c r="G3105" i="2"/>
  <c r="E3105" i="2"/>
  <c r="B3105" i="2"/>
  <c r="S3104" i="2"/>
  <c r="M3104" i="2"/>
  <c r="L3104" i="2"/>
  <c r="K3104" i="2"/>
  <c r="G3104" i="2"/>
  <c r="E3104" i="2"/>
  <c r="B3104" i="2"/>
  <c r="S3103" i="2"/>
  <c r="M3103" i="2"/>
  <c r="L3103" i="2"/>
  <c r="K3103" i="2"/>
  <c r="G3103" i="2"/>
  <c r="E3103" i="2"/>
  <c r="B3103" i="2"/>
  <c r="S3102" i="2"/>
  <c r="M3102" i="2"/>
  <c r="L3102" i="2"/>
  <c r="K3102" i="2"/>
  <c r="G3102" i="2"/>
  <c r="E3102" i="2"/>
  <c r="B3102" i="2"/>
  <c r="S3101" i="2"/>
  <c r="M3101" i="2"/>
  <c r="L3101" i="2"/>
  <c r="K3101" i="2"/>
  <c r="G3101" i="2"/>
  <c r="E3101" i="2"/>
  <c r="B3101" i="2"/>
  <c r="S3100" i="2"/>
  <c r="M3100" i="2"/>
  <c r="L3100" i="2"/>
  <c r="K3100" i="2"/>
  <c r="G3100" i="2"/>
  <c r="E3100" i="2"/>
  <c r="B3100" i="2"/>
  <c r="S3099" i="2"/>
  <c r="M3099" i="2"/>
  <c r="L3099" i="2"/>
  <c r="K3099" i="2"/>
  <c r="G3099" i="2"/>
  <c r="E3099" i="2"/>
  <c r="B3099" i="2"/>
  <c r="S3098" i="2"/>
  <c r="M3098" i="2"/>
  <c r="L3098" i="2"/>
  <c r="K3098" i="2"/>
  <c r="G3098" i="2"/>
  <c r="E3098" i="2"/>
  <c r="B3098" i="2"/>
  <c r="S3097" i="2"/>
  <c r="M3097" i="2"/>
  <c r="L3097" i="2"/>
  <c r="K3097" i="2"/>
  <c r="G3097" i="2"/>
  <c r="E3097" i="2"/>
  <c r="B3097" i="2"/>
  <c r="S3096" i="2"/>
  <c r="M3096" i="2"/>
  <c r="L3096" i="2"/>
  <c r="K3096" i="2"/>
  <c r="G3096" i="2"/>
  <c r="E3096" i="2"/>
  <c r="B3096" i="2"/>
  <c r="S3095" i="2"/>
  <c r="M3095" i="2"/>
  <c r="L3095" i="2"/>
  <c r="K3095" i="2"/>
  <c r="G3095" i="2"/>
  <c r="E3095" i="2"/>
  <c r="B3095" i="2"/>
  <c r="S3094" i="2"/>
  <c r="M3094" i="2"/>
  <c r="L3094" i="2"/>
  <c r="K3094" i="2"/>
  <c r="G3094" i="2"/>
  <c r="E3094" i="2"/>
  <c r="B3094" i="2"/>
  <c r="S3093" i="2"/>
  <c r="M3093" i="2"/>
  <c r="L3093" i="2"/>
  <c r="K3093" i="2"/>
  <c r="G3093" i="2"/>
  <c r="E3093" i="2"/>
  <c r="B3093" i="2"/>
  <c r="S3092" i="2"/>
  <c r="M3092" i="2"/>
  <c r="L3092" i="2"/>
  <c r="K3092" i="2"/>
  <c r="G3092" i="2"/>
  <c r="E3092" i="2"/>
  <c r="B3092" i="2"/>
  <c r="S3091" i="2"/>
  <c r="M3091" i="2"/>
  <c r="L3091" i="2"/>
  <c r="K3091" i="2"/>
  <c r="G3091" i="2"/>
  <c r="E3091" i="2"/>
  <c r="B3091" i="2"/>
  <c r="S3090" i="2"/>
  <c r="M3090" i="2"/>
  <c r="L3090" i="2"/>
  <c r="K3090" i="2"/>
  <c r="G3090" i="2"/>
  <c r="E3090" i="2"/>
  <c r="B3090" i="2"/>
  <c r="S3089" i="2"/>
  <c r="M3089" i="2"/>
  <c r="L3089" i="2"/>
  <c r="K3089" i="2"/>
  <c r="G3089" i="2"/>
  <c r="E3089" i="2"/>
  <c r="B3089" i="2"/>
  <c r="S3088" i="2"/>
  <c r="M3088" i="2"/>
  <c r="L3088" i="2"/>
  <c r="K3088" i="2"/>
  <c r="G3088" i="2"/>
  <c r="E3088" i="2"/>
  <c r="B3088" i="2"/>
  <c r="S3087" i="2"/>
  <c r="M3087" i="2"/>
  <c r="L3087" i="2"/>
  <c r="K3087" i="2"/>
  <c r="G3087" i="2"/>
  <c r="E3087" i="2"/>
  <c r="B3087" i="2"/>
  <c r="S3086" i="2"/>
  <c r="M3086" i="2"/>
  <c r="L3086" i="2"/>
  <c r="K3086" i="2"/>
  <c r="G3086" i="2"/>
  <c r="E3086" i="2"/>
  <c r="B3086" i="2"/>
  <c r="S3085" i="2"/>
  <c r="M3085" i="2"/>
  <c r="L3085" i="2"/>
  <c r="K3085" i="2"/>
  <c r="G3085" i="2"/>
  <c r="E3085" i="2"/>
  <c r="B3085" i="2"/>
  <c r="S3084" i="2"/>
  <c r="M3084" i="2"/>
  <c r="L3084" i="2"/>
  <c r="K3084" i="2"/>
  <c r="G3084" i="2"/>
  <c r="E3084" i="2"/>
  <c r="B3084" i="2"/>
  <c r="S3083" i="2"/>
  <c r="M3083" i="2"/>
  <c r="L3083" i="2"/>
  <c r="K3083" i="2"/>
  <c r="G3083" i="2"/>
  <c r="E3083" i="2"/>
  <c r="B3083" i="2"/>
  <c r="S3082" i="2"/>
  <c r="M3082" i="2"/>
  <c r="L3082" i="2"/>
  <c r="K3082" i="2"/>
  <c r="G3082" i="2"/>
  <c r="E3082" i="2"/>
  <c r="B3082" i="2"/>
  <c r="S3081" i="2"/>
  <c r="M3081" i="2"/>
  <c r="L3081" i="2"/>
  <c r="K3081" i="2"/>
  <c r="G3081" i="2"/>
  <c r="E3081" i="2"/>
  <c r="B3081" i="2"/>
  <c r="S3080" i="2"/>
  <c r="M3080" i="2"/>
  <c r="L3080" i="2"/>
  <c r="K3080" i="2"/>
  <c r="G3080" i="2"/>
  <c r="E3080" i="2"/>
  <c r="B3080" i="2"/>
  <c r="S3079" i="2"/>
  <c r="M3079" i="2"/>
  <c r="L3079" i="2"/>
  <c r="K3079" i="2"/>
  <c r="G3079" i="2"/>
  <c r="E3079" i="2"/>
  <c r="B3079" i="2"/>
  <c r="S3078" i="2"/>
  <c r="M3078" i="2"/>
  <c r="L3078" i="2"/>
  <c r="K3078" i="2"/>
  <c r="G3078" i="2"/>
  <c r="E3078" i="2"/>
  <c r="B3078" i="2"/>
  <c r="S3077" i="2"/>
  <c r="M3077" i="2"/>
  <c r="L3077" i="2"/>
  <c r="K3077" i="2"/>
  <c r="G3077" i="2"/>
  <c r="E3077" i="2"/>
  <c r="B3077" i="2"/>
  <c r="S3076" i="2"/>
  <c r="M3076" i="2"/>
  <c r="L3076" i="2"/>
  <c r="K3076" i="2"/>
  <c r="G3076" i="2"/>
  <c r="E3076" i="2"/>
  <c r="B3076" i="2"/>
  <c r="S3075" i="2"/>
  <c r="M3075" i="2"/>
  <c r="L3075" i="2"/>
  <c r="K3075" i="2"/>
  <c r="G3075" i="2"/>
  <c r="E3075" i="2"/>
  <c r="B3075" i="2"/>
  <c r="S3074" i="2"/>
  <c r="M3074" i="2"/>
  <c r="L3074" i="2"/>
  <c r="K3074" i="2"/>
  <c r="G3074" i="2"/>
  <c r="E3074" i="2"/>
  <c r="B3074" i="2"/>
  <c r="S3073" i="2"/>
  <c r="M3073" i="2"/>
  <c r="L3073" i="2"/>
  <c r="K3073" i="2"/>
  <c r="G3073" i="2"/>
  <c r="E3073" i="2"/>
  <c r="B3073" i="2"/>
  <c r="S3072" i="2"/>
  <c r="M3072" i="2"/>
  <c r="L3072" i="2"/>
  <c r="K3072" i="2"/>
  <c r="G3072" i="2"/>
  <c r="E3072" i="2"/>
  <c r="B3072" i="2"/>
  <c r="S3071" i="2"/>
  <c r="M3071" i="2"/>
  <c r="L3071" i="2"/>
  <c r="K3071" i="2"/>
  <c r="G3071" i="2"/>
  <c r="E3071" i="2"/>
  <c r="B3071" i="2"/>
  <c r="S3070" i="2"/>
  <c r="M3070" i="2"/>
  <c r="L3070" i="2"/>
  <c r="K3070" i="2"/>
  <c r="G3070" i="2"/>
  <c r="E3070" i="2"/>
  <c r="B3070" i="2"/>
  <c r="S3069" i="2"/>
  <c r="M3069" i="2"/>
  <c r="L3069" i="2"/>
  <c r="K3069" i="2"/>
  <c r="G3069" i="2"/>
  <c r="E3069" i="2"/>
  <c r="B3069" i="2"/>
  <c r="S3068" i="2"/>
  <c r="M3068" i="2"/>
  <c r="L3068" i="2"/>
  <c r="K3068" i="2"/>
  <c r="G3068" i="2"/>
  <c r="E3068" i="2"/>
  <c r="B3068" i="2"/>
  <c r="S3067" i="2"/>
  <c r="M3067" i="2"/>
  <c r="L3067" i="2"/>
  <c r="K3067" i="2"/>
  <c r="G3067" i="2"/>
  <c r="E3067" i="2"/>
  <c r="B3067" i="2"/>
  <c r="S3066" i="2"/>
  <c r="M3066" i="2"/>
  <c r="L3066" i="2"/>
  <c r="K3066" i="2"/>
  <c r="G3066" i="2"/>
  <c r="E3066" i="2"/>
  <c r="B3066" i="2"/>
  <c r="S3065" i="2"/>
  <c r="M3065" i="2"/>
  <c r="L3065" i="2"/>
  <c r="K3065" i="2"/>
  <c r="G3065" i="2"/>
  <c r="E3065" i="2"/>
  <c r="B3065" i="2"/>
  <c r="S3064" i="2"/>
  <c r="M3064" i="2"/>
  <c r="L3064" i="2"/>
  <c r="K3064" i="2"/>
  <c r="G3064" i="2"/>
  <c r="E3064" i="2"/>
  <c r="B3064" i="2"/>
  <c r="S3063" i="2"/>
  <c r="M3063" i="2"/>
  <c r="L3063" i="2"/>
  <c r="K3063" i="2"/>
  <c r="G3063" i="2"/>
  <c r="E3063" i="2"/>
  <c r="B3063" i="2"/>
  <c r="S3062" i="2"/>
  <c r="M3062" i="2"/>
  <c r="L3062" i="2"/>
  <c r="K3062" i="2"/>
  <c r="G3062" i="2"/>
  <c r="E3062" i="2"/>
  <c r="B3062" i="2"/>
  <c r="S3061" i="2"/>
  <c r="M3061" i="2"/>
  <c r="L3061" i="2"/>
  <c r="K3061" i="2"/>
  <c r="G3061" i="2"/>
  <c r="E3061" i="2"/>
  <c r="B3061" i="2"/>
  <c r="S3060" i="2"/>
  <c r="M3060" i="2"/>
  <c r="L3060" i="2"/>
  <c r="K3060" i="2"/>
  <c r="G3060" i="2"/>
  <c r="E3060" i="2"/>
  <c r="B3060" i="2"/>
  <c r="S3059" i="2"/>
  <c r="M3059" i="2"/>
  <c r="L3059" i="2"/>
  <c r="K3059" i="2"/>
  <c r="G3059" i="2"/>
  <c r="E3059" i="2"/>
  <c r="B3059" i="2"/>
  <c r="S3058" i="2"/>
  <c r="M3058" i="2"/>
  <c r="L3058" i="2"/>
  <c r="K3058" i="2"/>
  <c r="G3058" i="2"/>
  <c r="E3058" i="2"/>
  <c r="B3058" i="2"/>
  <c r="S3057" i="2"/>
  <c r="M3057" i="2"/>
  <c r="L3057" i="2"/>
  <c r="K3057" i="2"/>
  <c r="G3057" i="2"/>
  <c r="E3057" i="2"/>
  <c r="B3057" i="2"/>
  <c r="S3056" i="2"/>
  <c r="M3056" i="2"/>
  <c r="L3056" i="2"/>
  <c r="K3056" i="2"/>
  <c r="G3056" i="2"/>
  <c r="E3056" i="2"/>
  <c r="B3056" i="2"/>
  <c r="S3055" i="2"/>
  <c r="M3055" i="2"/>
  <c r="L3055" i="2"/>
  <c r="K3055" i="2"/>
  <c r="G3055" i="2"/>
  <c r="E3055" i="2"/>
  <c r="B3055" i="2"/>
  <c r="S3054" i="2"/>
  <c r="M3054" i="2"/>
  <c r="L3054" i="2"/>
  <c r="K3054" i="2"/>
  <c r="G3054" i="2"/>
  <c r="E3054" i="2"/>
  <c r="B3054" i="2"/>
  <c r="S3053" i="2"/>
  <c r="M3053" i="2"/>
  <c r="L3053" i="2"/>
  <c r="K3053" i="2"/>
  <c r="G3053" i="2"/>
  <c r="E3053" i="2"/>
  <c r="B3053" i="2"/>
  <c r="S3052" i="2"/>
  <c r="M3052" i="2"/>
  <c r="L3052" i="2"/>
  <c r="K3052" i="2"/>
  <c r="G3052" i="2"/>
  <c r="E3052" i="2"/>
  <c r="B3052" i="2"/>
  <c r="S3051" i="2"/>
  <c r="M3051" i="2"/>
  <c r="L3051" i="2"/>
  <c r="K3051" i="2"/>
  <c r="G3051" i="2"/>
  <c r="E3051" i="2"/>
  <c r="B3051" i="2"/>
  <c r="S3050" i="2"/>
  <c r="M3050" i="2"/>
  <c r="L3050" i="2"/>
  <c r="K3050" i="2"/>
  <c r="G3050" i="2"/>
  <c r="E3050" i="2"/>
  <c r="B3050" i="2"/>
  <c r="S3049" i="2"/>
  <c r="M3049" i="2"/>
  <c r="L3049" i="2"/>
  <c r="K3049" i="2"/>
  <c r="G3049" i="2"/>
  <c r="E3049" i="2"/>
  <c r="B3049" i="2"/>
  <c r="S3048" i="2"/>
  <c r="M3048" i="2"/>
  <c r="L3048" i="2"/>
  <c r="K3048" i="2"/>
  <c r="G3048" i="2"/>
  <c r="E3048" i="2"/>
  <c r="B3048" i="2"/>
  <c r="S3047" i="2"/>
  <c r="M3047" i="2"/>
  <c r="L3047" i="2"/>
  <c r="K3047" i="2"/>
  <c r="G3047" i="2"/>
  <c r="E3047" i="2"/>
  <c r="B3047" i="2"/>
  <c r="S3046" i="2"/>
  <c r="M3046" i="2"/>
  <c r="L3046" i="2"/>
  <c r="K3046" i="2"/>
  <c r="G3046" i="2"/>
  <c r="E3046" i="2"/>
  <c r="B3046" i="2"/>
  <c r="S3045" i="2"/>
  <c r="M3045" i="2"/>
  <c r="L3045" i="2"/>
  <c r="K3045" i="2"/>
  <c r="G3045" i="2"/>
  <c r="E3045" i="2"/>
  <c r="B3045" i="2"/>
  <c r="S3044" i="2"/>
  <c r="M3044" i="2"/>
  <c r="L3044" i="2"/>
  <c r="K3044" i="2"/>
  <c r="G3044" i="2"/>
  <c r="E3044" i="2"/>
  <c r="B3044" i="2"/>
  <c r="S3043" i="2"/>
  <c r="M3043" i="2"/>
  <c r="L3043" i="2"/>
  <c r="K3043" i="2"/>
  <c r="G3043" i="2"/>
  <c r="E3043" i="2"/>
  <c r="B3043" i="2"/>
  <c r="S3042" i="2"/>
  <c r="M3042" i="2"/>
  <c r="L3042" i="2"/>
  <c r="K3042" i="2"/>
  <c r="G3042" i="2"/>
  <c r="E3042" i="2"/>
  <c r="B3042" i="2"/>
  <c r="S3041" i="2"/>
  <c r="M3041" i="2"/>
  <c r="L3041" i="2"/>
  <c r="K3041" i="2"/>
  <c r="G3041" i="2"/>
  <c r="E3041" i="2"/>
  <c r="B3041" i="2"/>
  <c r="S3040" i="2"/>
  <c r="M3040" i="2"/>
  <c r="L3040" i="2"/>
  <c r="K3040" i="2"/>
  <c r="G3040" i="2"/>
  <c r="E3040" i="2"/>
  <c r="B3040" i="2"/>
  <c r="S3039" i="2"/>
  <c r="M3039" i="2"/>
  <c r="L3039" i="2"/>
  <c r="K3039" i="2"/>
  <c r="G3039" i="2"/>
  <c r="E3039" i="2"/>
  <c r="B3039" i="2"/>
  <c r="S3038" i="2"/>
  <c r="M3038" i="2"/>
  <c r="L3038" i="2"/>
  <c r="K3038" i="2"/>
  <c r="G3038" i="2"/>
  <c r="E3038" i="2"/>
  <c r="B3038" i="2"/>
  <c r="S3037" i="2"/>
  <c r="M3037" i="2"/>
  <c r="L3037" i="2"/>
  <c r="K3037" i="2"/>
  <c r="G3037" i="2"/>
  <c r="E3037" i="2"/>
  <c r="B3037" i="2"/>
  <c r="S3036" i="2"/>
  <c r="M3036" i="2"/>
  <c r="L3036" i="2"/>
  <c r="K3036" i="2"/>
  <c r="G3036" i="2"/>
  <c r="E3036" i="2"/>
  <c r="B3036" i="2"/>
  <c r="S3035" i="2"/>
  <c r="M3035" i="2"/>
  <c r="L3035" i="2"/>
  <c r="K3035" i="2"/>
  <c r="G3035" i="2"/>
  <c r="E3035" i="2"/>
  <c r="B3035" i="2"/>
  <c r="S3034" i="2"/>
  <c r="M3034" i="2"/>
  <c r="L3034" i="2"/>
  <c r="K3034" i="2"/>
  <c r="G3034" i="2"/>
  <c r="E3034" i="2"/>
  <c r="B3034" i="2"/>
  <c r="S3033" i="2"/>
  <c r="M3033" i="2"/>
  <c r="L3033" i="2"/>
  <c r="K3033" i="2"/>
  <c r="G3033" i="2"/>
  <c r="E3033" i="2"/>
  <c r="B3033" i="2"/>
  <c r="S3032" i="2"/>
  <c r="M3032" i="2"/>
  <c r="L3032" i="2"/>
  <c r="K3032" i="2"/>
  <c r="G3032" i="2"/>
  <c r="E3032" i="2"/>
  <c r="B3032" i="2"/>
  <c r="S3031" i="2"/>
  <c r="M3031" i="2"/>
  <c r="L3031" i="2"/>
  <c r="K3031" i="2"/>
  <c r="G3031" i="2"/>
  <c r="E3031" i="2"/>
  <c r="B3031" i="2"/>
  <c r="S3030" i="2"/>
  <c r="M3030" i="2"/>
  <c r="L3030" i="2"/>
  <c r="K3030" i="2"/>
  <c r="G3030" i="2"/>
  <c r="E3030" i="2"/>
  <c r="B3030" i="2"/>
  <c r="S3029" i="2"/>
  <c r="M3029" i="2"/>
  <c r="L3029" i="2"/>
  <c r="K3029" i="2"/>
  <c r="G3029" i="2"/>
  <c r="E3029" i="2"/>
  <c r="B3029" i="2"/>
  <c r="S3028" i="2"/>
  <c r="M3028" i="2"/>
  <c r="L3028" i="2"/>
  <c r="K3028" i="2"/>
  <c r="G3028" i="2"/>
  <c r="E3028" i="2"/>
  <c r="B3028" i="2"/>
  <c r="S3027" i="2"/>
  <c r="M3027" i="2"/>
  <c r="L3027" i="2"/>
  <c r="K3027" i="2"/>
  <c r="G3027" i="2"/>
  <c r="E3027" i="2"/>
  <c r="B3027" i="2"/>
  <c r="S3026" i="2"/>
  <c r="M3026" i="2"/>
  <c r="L3026" i="2"/>
  <c r="K3026" i="2"/>
  <c r="G3026" i="2"/>
  <c r="E3026" i="2"/>
  <c r="B3026" i="2"/>
  <c r="S3025" i="2"/>
  <c r="M3025" i="2"/>
  <c r="L3025" i="2"/>
  <c r="K3025" i="2"/>
  <c r="G3025" i="2"/>
  <c r="E3025" i="2"/>
  <c r="B3025" i="2"/>
  <c r="S3024" i="2"/>
  <c r="M3024" i="2"/>
  <c r="L3024" i="2"/>
  <c r="K3024" i="2"/>
  <c r="G3024" i="2"/>
  <c r="E3024" i="2"/>
  <c r="B3024" i="2"/>
  <c r="S3023" i="2"/>
  <c r="M3023" i="2"/>
  <c r="L3023" i="2"/>
  <c r="K3023" i="2"/>
  <c r="G3023" i="2"/>
  <c r="E3023" i="2"/>
  <c r="B3023" i="2"/>
  <c r="S3022" i="2"/>
  <c r="M3022" i="2"/>
  <c r="L3022" i="2"/>
  <c r="K3022" i="2"/>
  <c r="G3022" i="2"/>
  <c r="E3022" i="2"/>
  <c r="B3022" i="2"/>
  <c r="S3021" i="2"/>
  <c r="M3021" i="2"/>
  <c r="L3021" i="2"/>
  <c r="K3021" i="2"/>
  <c r="G3021" i="2"/>
  <c r="E3021" i="2"/>
  <c r="B3021" i="2"/>
  <c r="S3020" i="2"/>
  <c r="M3020" i="2"/>
  <c r="L3020" i="2"/>
  <c r="K3020" i="2"/>
  <c r="G3020" i="2"/>
  <c r="E3020" i="2"/>
  <c r="B3020" i="2"/>
  <c r="S3019" i="2"/>
  <c r="M3019" i="2"/>
  <c r="L3019" i="2"/>
  <c r="K3019" i="2"/>
  <c r="G3019" i="2"/>
  <c r="E3019" i="2"/>
  <c r="B3019" i="2"/>
  <c r="S3018" i="2"/>
  <c r="M3018" i="2"/>
  <c r="L3018" i="2"/>
  <c r="K3018" i="2"/>
  <c r="G3018" i="2"/>
  <c r="E3018" i="2"/>
  <c r="B3018" i="2"/>
  <c r="S3017" i="2"/>
  <c r="M3017" i="2"/>
  <c r="L3017" i="2"/>
  <c r="K3017" i="2"/>
  <c r="G3017" i="2"/>
  <c r="E3017" i="2"/>
  <c r="B3017" i="2"/>
  <c r="S3016" i="2"/>
  <c r="M3016" i="2"/>
  <c r="L3016" i="2"/>
  <c r="K3016" i="2"/>
  <c r="G3016" i="2"/>
  <c r="E3016" i="2"/>
  <c r="B3016" i="2"/>
  <c r="S3015" i="2"/>
  <c r="M3015" i="2"/>
  <c r="L3015" i="2"/>
  <c r="K3015" i="2"/>
  <c r="G3015" i="2"/>
  <c r="E3015" i="2"/>
  <c r="B3015" i="2"/>
  <c r="S3014" i="2"/>
  <c r="M3014" i="2"/>
  <c r="L3014" i="2"/>
  <c r="K3014" i="2"/>
  <c r="G3014" i="2"/>
  <c r="E3014" i="2"/>
  <c r="B3014" i="2"/>
  <c r="S3013" i="2"/>
  <c r="M3013" i="2"/>
  <c r="L3013" i="2"/>
  <c r="K3013" i="2"/>
  <c r="G3013" i="2"/>
  <c r="E3013" i="2"/>
  <c r="B3013" i="2"/>
  <c r="S3012" i="2"/>
  <c r="M3012" i="2"/>
  <c r="L3012" i="2"/>
  <c r="K3012" i="2"/>
  <c r="G3012" i="2"/>
  <c r="E3012" i="2"/>
  <c r="B3012" i="2"/>
  <c r="S3011" i="2"/>
  <c r="M3011" i="2"/>
  <c r="L3011" i="2"/>
  <c r="K3011" i="2"/>
  <c r="G3011" i="2"/>
  <c r="E3011" i="2"/>
  <c r="B3011" i="2"/>
  <c r="S3010" i="2"/>
  <c r="M3010" i="2"/>
  <c r="L3010" i="2"/>
  <c r="K3010" i="2"/>
  <c r="G3010" i="2"/>
  <c r="E3010" i="2"/>
  <c r="B3010" i="2"/>
  <c r="S3009" i="2"/>
  <c r="M3009" i="2"/>
  <c r="L3009" i="2"/>
  <c r="K3009" i="2"/>
  <c r="G3009" i="2"/>
  <c r="E3009" i="2"/>
  <c r="B3009" i="2"/>
  <c r="S3008" i="2"/>
  <c r="M3008" i="2"/>
  <c r="L3008" i="2"/>
  <c r="K3008" i="2"/>
  <c r="G3008" i="2"/>
  <c r="E3008" i="2"/>
  <c r="B3008" i="2"/>
  <c r="S3007" i="2"/>
  <c r="M3007" i="2"/>
  <c r="L3007" i="2"/>
  <c r="K3007" i="2"/>
  <c r="G3007" i="2"/>
  <c r="E3007" i="2"/>
  <c r="B3007" i="2"/>
  <c r="S3006" i="2"/>
  <c r="M3006" i="2"/>
  <c r="L3006" i="2"/>
  <c r="K3006" i="2"/>
  <c r="G3006" i="2"/>
  <c r="E3006" i="2"/>
  <c r="B3006" i="2"/>
  <c r="S3005" i="2"/>
  <c r="M3005" i="2"/>
  <c r="L3005" i="2"/>
  <c r="K3005" i="2"/>
  <c r="G3005" i="2"/>
  <c r="E3005" i="2"/>
  <c r="B3005" i="2"/>
  <c r="S3004" i="2"/>
  <c r="M3004" i="2"/>
  <c r="L3004" i="2"/>
  <c r="K3004" i="2"/>
  <c r="G3004" i="2"/>
  <c r="E3004" i="2"/>
  <c r="B3004" i="2"/>
  <c r="S3003" i="2"/>
  <c r="M3003" i="2"/>
  <c r="L3003" i="2"/>
  <c r="K3003" i="2"/>
  <c r="G3003" i="2"/>
  <c r="E3003" i="2"/>
  <c r="B3003" i="2"/>
  <c r="S3002" i="2"/>
  <c r="M3002" i="2"/>
  <c r="L3002" i="2"/>
  <c r="K3002" i="2"/>
  <c r="G3002" i="2"/>
  <c r="E3002" i="2"/>
  <c r="B3002" i="2"/>
  <c r="S3001" i="2"/>
  <c r="M3001" i="2"/>
  <c r="L3001" i="2"/>
  <c r="K3001" i="2"/>
  <c r="G3001" i="2"/>
  <c r="E3001" i="2"/>
  <c r="B3001" i="2"/>
  <c r="S3000" i="2"/>
  <c r="M3000" i="2"/>
  <c r="L3000" i="2"/>
  <c r="K3000" i="2"/>
  <c r="G3000" i="2"/>
  <c r="E3000" i="2"/>
  <c r="B3000" i="2"/>
  <c r="S2999" i="2"/>
  <c r="M2999" i="2"/>
  <c r="L2999" i="2"/>
  <c r="K2999" i="2"/>
  <c r="G2999" i="2"/>
  <c r="E2999" i="2"/>
  <c r="B2999" i="2"/>
  <c r="S2998" i="2"/>
  <c r="M2998" i="2"/>
  <c r="L2998" i="2"/>
  <c r="K2998" i="2"/>
  <c r="G2998" i="2"/>
  <c r="E2998" i="2"/>
  <c r="B2998" i="2"/>
  <c r="S2997" i="2"/>
  <c r="M2997" i="2"/>
  <c r="L2997" i="2"/>
  <c r="K2997" i="2"/>
  <c r="G2997" i="2"/>
  <c r="E2997" i="2"/>
  <c r="B2997" i="2"/>
  <c r="S2996" i="2"/>
  <c r="M2996" i="2"/>
  <c r="L2996" i="2"/>
  <c r="K2996" i="2"/>
  <c r="G2996" i="2"/>
  <c r="E2996" i="2"/>
  <c r="B2996" i="2"/>
  <c r="S2995" i="2"/>
  <c r="M2995" i="2"/>
  <c r="L2995" i="2"/>
  <c r="K2995" i="2"/>
  <c r="G2995" i="2"/>
  <c r="E2995" i="2"/>
  <c r="B2995" i="2"/>
  <c r="S2994" i="2"/>
  <c r="M2994" i="2"/>
  <c r="L2994" i="2"/>
  <c r="K2994" i="2"/>
  <c r="G2994" i="2"/>
  <c r="E2994" i="2"/>
  <c r="B2994" i="2"/>
  <c r="S2993" i="2"/>
  <c r="M2993" i="2"/>
  <c r="L2993" i="2"/>
  <c r="K2993" i="2"/>
  <c r="G2993" i="2"/>
  <c r="E2993" i="2"/>
  <c r="B2993" i="2"/>
  <c r="S2992" i="2"/>
  <c r="M2992" i="2"/>
  <c r="L2992" i="2"/>
  <c r="K2992" i="2"/>
  <c r="G2992" i="2"/>
  <c r="E2992" i="2"/>
  <c r="B2992" i="2"/>
  <c r="S2991" i="2"/>
  <c r="M2991" i="2"/>
  <c r="L2991" i="2"/>
  <c r="K2991" i="2"/>
  <c r="G2991" i="2"/>
  <c r="E2991" i="2"/>
  <c r="B2991" i="2"/>
  <c r="S2990" i="2"/>
  <c r="M2990" i="2"/>
  <c r="L2990" i="2"/>
  <c r="K2990" i="2"/>
  <c r="G2990" i="2"/>
  <c r="E2990" i="2"/>
  <c r="B2990" i="2"/>
  <c r="S2989" i="2"/>
  <c r="M2989" i="2"/>
  <c r="L2989" i="2"/>
  <c r="K2989" i="2"/>
  <c r="G2989" i="2"/>
  <c r="E2989" i="2"/>
  <c r="B2989" i="2"/>
  <c r="S2988" i="2"/>
  <c r="M2988" i="2"/>
  <c r="L2988" i="2"/>
  <c r="K2988" i="2"/>
  <c r="G2988" i="2"/>
  <c r="E2988" i="2"/>
  <c r="B2988" i="2"/>
  <c r="S2987" i="2"/>
  <c r="M2987" i="2"/>
  <c r="L2987" i="2"/>
  <c r="K2987" i="2"/>
  <c r="G2987" i="2"/>
  <c r="E2987" i="2"/>
  <c r="B2987" i="2"/>
  <c r="S2986" i="2"/>
  <c r="M2986" i="2"/>
  <c r="L2986" i="2"/>
  <c r="K2986" i="2"/>
  <c r="G2986" i="2"/>
  <c r="E2986" i="2"/>
  <c r="B2986" i="2"/>
  <c r="S2985" i="2"/>
  <c r="M2985" i="2"/>
  <c r="L2985" i="2"/>
  <c r="K2985" i="2"/>
  <c r="G2985" i="2"/>
  <c r="E2985" i="2"/>
  <c r="B2985" i="2"/>
  <c r="S2984" i="2"/>
  <c r="M2984" i="2"/>
  <c r="L2984" i="2"/>
  <c r="K2984" i="2"/>
  <c r="G2984" i="2"/>
  <c r="E2984" i="2"/>
  <c r="B2984" i="2"/>
  <c r="S2983" i="2"/>
  <c r="M2983" i="2"/>
  <c r="L2983" i="2"/>
  <c r="K2983" i="2"/>
  <c r="G2983" i="2"/>
  <c r="E2983" i="2"/>
  <c r="B2983" i="2"/>
  <c r="S2982" i="2"/>
  <c r="M2982" i="2"/>
  <c r="L2982" i="2"/>
  <c r="K2982" i="2"/>
  <c r="G2982" i="2"/>
  <c r="E2982" i="2"/>
  <c r="B2982" i="2"/>
  <c r="S2981" i="2"/>
  <c r="M2981" i="2"/>
  <c r="L2981" i="2"/>
  <c r="K2981" i="2"/>
  <c r="G2981" i="2"/>
  <c r="E2981" i="2"/>
  <c r="B2981" i="2"/>
  <c r="S2980" i="2"/>
  <c r="M2980" i="2"/>
  <c r="L2980" i="2"/>
  <c r="K2980" i="2"/>
  <c r="G2980" i="2"/>
  <c r="E2980" i="2"/>
  <c r="B2980" i="2"/>
  <c r="S2979" i="2"/>
  <c r="M2979" i="2"/>
  <c r="L2979" i="2"/>
  <c r="K2979" i="2"/>
  <c r="G2979" i="2"/>
  <c r="E2979" i="2"/>
  <c r="B2979" i="2"/>
  <c r="S2978" i="2"/>
  <c r="M2978" i="2"/>
  <c r="L2978" i="2"/>
  <c r="K2978" i="2"/>
  <c r="G2978" i="2"/>
  <c r="E2978" i="2"/>
  <c r="B2978" i="2"/>
  <c r="S2977" i="2"/>
  <c r="M2977" i="2"/>
  <c r="L2977" i="2"/>
  <c r="K2977" i="2"/>
  <c r="G2977" i="2"/>
  <c r="E2977" i="2"/>
  <c r="B2977" i="2"/>
  <c r="S2976" i="2"/>
  <c r="M2976" i="2"/>
  <c r="L2976" i="2"/>
  <c r="K2976" i="2"/>
  <c r="G2976" i="2"/>
  <c r="E2976" i="2"/>
  <c r="B2976" i="2"/>
  <c r="S2975" i="2"/>
  <c r="M2975" i="2"/>
  <c r="L2975" i="2"/>
  <c r="K2975" i="2"/>
  <c r="G2975" i="2"/>
  <c r="E2975" i="2"/>
  <c r="B2975" i="2"/>
  <c r="S2974" i="2"/>
  <c r="M2974" i="2"/>
  <c r="L2974" i="2"/>
  <c r="K2974" i="2"/>
  <c r="G2974" i="2"/>
  <c r="E2974" i="2"/>
  <c r="B2974" i="2"/>
  <c r="S2973" i="2"/>
  <c r="M2973" i="2"/>
  <c r="L2973" i="2"/>
  <c r="K2973" i="2"/>
  <c r="G2973" i="2"/>
  <c r="E2973" i="2"/>
  <c r="B2973" i="2"/>
  <c r="S2972" i="2"/>
  <c r="M2972" i="2"/>
  <c r="L2972" i="2"/>
  <c r="K2972" i="2"/>
  <c r="G2972" i="2"/>
  <c r="E2972" i="2"/>
  <c r="B2972" i="2"/>
  <c r="S2971" i="2"/>
  <c r="M2971" i="2"/>
  <c r="L2971" i="2"/>
  <c r="K2971" i="2"/>
  <c r="G2971" i="2"/>
  <c r="E2971" i="2"/>
  <c r="B2971" i="2"/>
  <c r="S2970" i="2"/>
  <c r="M2970" i="2"/>
  <c r="L2970" i="2"/>
  <c r="K2970" i="2"/>
  <c r="G2970" i="2"/>
  <c r="E2970" i="2"/>
  <c r="B2970" i="2"/>
  <c r="S2969" i="2"/>
  <c r="M2969" i="2"/>
  <c r="L2969" i="2"/>
  <c r="K2969" i="2"/>
  <c r="G2969" i="2"/>
  <c r="E2969" i="2"/>
  <c r="B2969" i="2"/>
  <c r="S2968" i="2"/>
  <c r="M2968" i="2"/>
  <c r="L2968" i="2"/>
  <c r="K2968" i="2"/>
  <c r="G2968" i="2"/>
  <c r="E2968" i="2"/>
  <c r="B2968" i="2"/>
  <c r="S2967" i="2"/>
  <c r="M2967" i="2"/>
  <c r="L2967" i="2"/>
  <c r="K2967" i="2"/>
  <c r="G2967" i="2"/>
  <c r="E2967" i="2"/>
  <c r="B2967" i="2"/>
  <c r="S2966" i="2"/>
  <c r="M2966" i="2"/>
  <c r="L2966" i="2"/>
  <c r="K2966" i="2"/>
  <c r="G2966" i="2"/>
  <c r="E2966" i="2"/>
  <c r="B2966" i="2"/>
  <c r="S2965" i="2"/>
  <c r="M2965" i="2"/>
  <c r="L2965" i="2"/>
  <c r="K2965" i="2"/>
  <c r="G2965" i="2"/>
  <c r="E2965" i="2"/>
  <c r="B2965" i="2"/>
  <c r="S2964" i="2"/>
  <c r="M2964" i="2"/>
  <c r="L2964" i="2"/>
  <c r="K2964" i="2"/>
  <c r="G2964" i="2"/>
  <c r="E2964" i="2"/>
  <c r="B2964" i="2"/>
  <c r="S2963" i="2"/>
  <c r="M2963" i="2"/>
  <c r="L2963" i="2"/>
  <c r="K2963" i="2"/>
  <c r="G2963" i="2"/>
  <c r="E2963" i="2"/>
  <c r="B2963" i="2"/>
  <c r="S2962" i="2"/>
  <c r="M2962" i="2"/>
  <c r="L2962" i="2"/>
  <c r="K2962" i="2"/>
  <c r="G2962" i="2"/>
  <c r="E2962" i="2"/>
  <c r="B2962" i="2"/>
  <c r="S2961" i="2"/>
  <c r="M2961" i="2"/>
  <c r="L2961" i="2"/>
  <c r="K2961" i="2"/>
  <c r="G2961" i="2"/>
  <c r="E2961" i="2"/>
  <c r="B2961" i="2"/>
  <c r="S2960" i="2"/>
  <c r="M2960" i="2"/>
  <c r="L2960" i="2"/>
  <c r="K2960" i="2"/>
  <c r="G2960" i="2"/>
  <c r="E2960" i="2"/>
  <c r="B2960" i="2"/>
  <c r="S2959" i="2"/>
  <c r="M2959" i="2"/>
  <c r="L2959" i="2"/>
  <c r="K2959" i="2"/>
  <c r="G2959" i="2"/>
  <c r="E2959" i="2"/>
  <c r="B2959" i="2"/>
  <c r="S2958" i="2"/>
  <c r="M2958" i="2"/>
  <c r="L2958" i="2"/>
  <c r="K2958" i="2"/>
  <c r="G2958" i="2"/>
  <c r="E2958" i="2"/>
  <c r="B2958" i="2"/>
  <c r="S2957" i="2"/>
  <c r="M2957" i="2"/>
  <c r="L2957" i="2"/>
  <c r="K2957" i="2"/>
  <c r="G2957" i="2"/>
  <c r="E2957" i="2"/>
  <c r="B2957" i="2"/>
  <c r="S2956" i="2"/>
  <c r="M2956" i="2"/>
  <c r="L2956" i="2"/>
  <c r="K2956" i="2"/>
  <c r="G2956" i="2"/>
  <c r="E2956" i="2"/>
  <c r="B2956" i="2"/>
  <c r="S2955" i="2"/>
  <c r="M2955" i="2"/>
  <c r="L2955" i="2"/>
  <c r="K2955" i="2"/>
  <c r="G2955" i="2"/>
  <c r="E2955" i="2"/>
  <c r="B2955" i="2"/>
  <c r="S2954" i="2"/>
  <c r="M2954" i="2"/>
  <c r="L2954" i="2"/>
  <c r="K2954" i="2"/>
  <c r="G2954" i="2"/>
  <c r="E2954" i="2"/>
  <c r="B2954" i="2"/>
  <c r="S2953" i="2"/>
  <c r="M2953" i="2"/>
  <c r="L2953" i="2"/>
  <c r="K2953" i="2"/>
  <c r="G2953" i="2"/>
  <c r="E2953" i="2"/>
  <c r="B2953" i="2"/>
  <c r="S2952" i="2"/>
  <c r="M2952" i="2"/>
  <c r="L2952" i="2"/>
  <c r="K2952" i="2"/>
  <c r="G2952" i="2"/>
  <c r="E2952" i="2"/>
  <c r="B2952" i="2"/>
  <c r="S2951" i="2"/>
  <c r="M2951" i="2"/>
  <c r="L2951" i="2"/>
  <c r="K2951" i="2"/>
  <c r="G2951" i="2"/>
  <c r="E2951" i="2"/>
  <c r="B2951" i="2"/>
  <c r="S2950" i="2"/>
  <c r="M2950" i="2"/>
  <c r="L2950" i="2"/>
  <c r="K2950" i="2"/>
  <c r="G2950" i="2"/>
  <c r="E2950" i="2"/>
  <c r="B2950" i="2"/>
  <c r="S2949" i="2"/>
  <c r="M2949" i="2"/>
  <c r="L2949" i="2"/>
  <c r="K2949" i="2"/>
  <c r="G2949" i="2"/>
  <c r="E2949" i="2"/>
  <c r="B2949" i="2"/>
  <c r="S2948" i="2"/>
  <c r="M2948" i="2"/>
  <c r="L2948" i="2"/>
  <c r="K2948" i="2"/>
  <c r="G2948" i="2"/>
  <c r="E2948" i="2"/>
  <c r="B2948" i="2"/>
  <c r="S2947" i="2"/>
  <c r="M2947" i="2"/>
  <c r="L2947" i="2"/>
  <c r="K2947" i="2"/>
  <c r="G2947" i="2"/>
  <c r="E2947" i="2"/>
  <c r="B2947" i="2"/>
  <c r="S2946" i="2"/>
  <c r="M2946" i="2"/>
  <c r="L2946" i="2"/>
  <c r="K2946" i="2"/>
  <c r="G2946" i="2"/>
  <c r="E2946" i="2"/>
  <c r="B2946" i="2"/>
  <c r="S2945" i="2"/>
  <c r="M2945" i="2"/>
  <c r="L2945" i="2"/>
  <c r="K2945" i="2"/>
  <c r="G2945" i="2"/>
  <c r="E2945" i="2"/>
  <c r="B2945" i="2"/>
  <c r="S2944" i="2"/>
  <c r="M2944" i="2"/>
  <c r="L2944" i="2"/>
  <c r="K2944" i="2"/>
  <c r="G2944" i="2"/>
  <c r="E2944" i="2"/>
  <c r="B2944" i="2"/>
  <c r="S2943" i="2"/>
  <c r="M2943" i="2"/>
  <c r="L2943" i="2"/>
  <c r="K2943" i="2"/>
  <c r="G2943" i="2"/>
  <c r="E2943" i="2"/>
  <c r="B2943" i="2"/>
  <c r="S2942" i="2"/>
  <c r="M2942" i="2"/>
  <c r="L2942" i="2"/>
  <c r="K2942" i="2"/>
  <c r="G2942" i="2"/>
  <c r="E2942" i="2"/>
  <c r="B2942" i="2"/>
  <c r="S2941" i="2"/>
  <c r="M2941" i="2"/>
  <c r="L2941" i="2"/>
  <c r="K2941" i="2"/>
  <c r="G2941" i="2"/>
  <c r="E2941" i="2"/>
  <c r="B2941" i="2"/>
  <c r="S2940" i="2"/>
  <c r="M2940" i="2"/>
  <c r="L2940" i="2"/>
  <c r="K2940" i="2"/>
  <c r="G2940" i="2"/>
  <c r="E2940" i="2"/>
  <c r="B2940" i="2"/>
  <c r="S2939" i="2"/>
  <c r="M2939" i="2"/>
  <c r="L2939" i="2"/>
  <c r="K2939" i="2"/>
  <c r="G2939" i="2"/>
  <c r="E2939" i="2"/>
  <c r="B2939" i="2"/>
  <c r="S2938" i="2"/>
  <c r="M2938" i="2"/>
  <c r="L2938" i="2"/>
  <c r="K2938" i="2"/>
  <c r="G2938" i="2"/>
  <c r="E2938" i="2"/>
  <c r="B2938" i="2"/>
  <c r="S2937" i="2"/>
  <c r="M2937" i="2"/>
  <c r="L2937" i="2"/>
  <c r="K2937" i="2"/>
  <c r="G2937" i="2"/>
  <c r="E2937" i="2"/>
  <c r="B2937" i="2"/>
  <c r="S2936" i="2"/>
  <c r="M2936" i="2"/>
  <c r="L2936" i="2"/>
  <c r="K2936" i="2"/>
  <c r="G2936" i="2"/>
  <c r="E2936" i="2"/>
  <c r="B2936" i="2"/>
  <c r="S2935" i="2"/>
  <c r="M2935" i="2"/>
  <c r="L2935" i="2"/>
  <c r="K2935" i="2"/>
  <c r="G2935" i="2"/>
  <c r="E2935" i="2"/>
  <c r="B2935" i="2"/>
  <c r="S2934" i="2"/>
  <c r="M2934" i="2"/>
  <c r="L2934" i="2"/>
  <c r="K2934" i="2"/>
  <c r="G2934" i="2"/>
  <c r="E2934" i="2"/>
  <c r="B2934" i="2"/>
  <c r="S2933" i="2"/>
  <c r="M2933" i="2"/>
  <c r="L2933" i="2"/>
  <c r="K2933" i="2"/>
  <c r="G2933" i="2"/>
  <c r="E2933" i="2"/>
  <c r="B2933" i="2"/>
  <c r="S2932" i="2"/>
  <c r="M2932" i="2"/>
  <c r="L2932" i="2"/>
  <c r="K2932" i="2"/>
  <c r="G2932" i="2"/>
  <c r="E2932" i="2"/>
  <c r="B2932" i="2"/>
  <c r="S2931" i="2"/>
  <c r="M2931" i="2"/>
  <c r="L2931" i="2"/>
  <c r="K2931" i="2"/>
  <c r="G2931" i="2"/>
  <c r="E2931" i="2"/>
  <c r="B2931" i="2"/>
  <c r="S2930" i="2"/>
  <c r="M2930" i="2"/>
  <c r="L2930" i="2"/>
  <c r="K2930" i="2"/>
  <c r="G2930" i="2"/>
  <c r="E2930" i="2"/>
  <c r="B2930" i="2"/>
  <c r="S2929" i="2"/>
  <c r="M2929" i="2"/>
  <c r="L2929" i="2"/>
  <c r="K2929" i="2"/>
  <c r="G2929" i="2"/>
  <c r="E2929" i="2"/>
  <c r="B2929" i="2"/>
  <c r="S2928" i="2"/>
  <c r="M2928" i="2"/>
  <c r="L2928" i="2"/>
  <c r="K2928" i="2"/>
  <c r="G2928" i="2"/>
  <c r="E2928" i="2"/>
  <c r="B2928" i="2"/>
  <c r="S2927" i="2"/>
  <c r="M2927" i="2"/>
  <c r="L2927" i="2"/>
  <c r="K2927" i="2"/>
  <c r="G2927" i="2"/>
  <c r="E2927" i="2"/>
  <c r="B2927" i="2"/>
  <c r="S2926" i="2"/>
  <c r="M2926" i="2"/>
  <c r="L2926" i="2"/>
  <c r="K2926" i="2"/>
  <c r="G2926" i="2"/>
  <c r="E2926" i="2"/>
  <c r="B2926" i="2"/>
  <c r="S2925" i="2"/>
  <c r="M2925" i="2"/>
  <c r="L2925" i="2"/>
  <c r="K2925" i="2"/>
  <c r="G2925" i="2"/>
  <c r="E2925" i="2"/>
  <c r="B2925" i="2"/>
  <c r="S2924" i="2"/>
  <c r="M2924" i="2"/>
  <c r="L2924" i="2"/>
  <c r="K2924" i="2"/>
  <c r="G2924" i="2"/>
  <c r="E2924" i="2"/>
  <c r="B2924" i="2"/>
  <c r="S2923" i="2"/>
  <c r="M2923" i="2"/>
  <c r="L2923" i="2"/>
  <c r="K2923" i="2"/>
  <c r="G2923" i="2"/>
  <c r="E2923" i="2"/>
  <c r="B2923" i="2"/>
  <c r="S2922" i="2"/>
  <c r="M2922" i="2"/>
  <c r="L2922" i="2"/>
  <c r="K2922" i="2"/>
  <c r="G2922" i="2"/>
  <c r="E2922" i="2"/>
  <c r="B2922" i="2"/>
  <c r="S2921" i="2"/>
  <c r="M2921" i="2"/>
  <c r="L2921" i="2"/>
  <c r="K2921" i="2"/>
  <c r="G2921" i="2"/>
  <c r="E2921" i="2"/>
  <c r="B2921" i="2"/>
  <c r="S2920" i="2"/>
  <c r="M2920" i="2"/>
  <c r="L2920" i="2"/>
  <c r="K2920" i="2"/>
  <c r="G2920" i="2"/>
  <c r="E2920" i="2"/>
  <c r="B2920" i="2"/>
  <c r="S2919" i="2"/>
  <c r="M2919" i="2"/>
  <c r="L2919" i="2"/>
  <c r="K2919" i="2"/>
  <c r="G2919" i="2"/>
  <c r="E2919" i="2"/>
  <c r="B2919" i="2"/>
  <c r="S2918" i="2"/>
  <c r="M2918" i="2"/>
  <c r="L2918" i="2"/>
  <c r="K2918" i="2"/>
  <c r="G2918" i="2"/>
  <c r="E2918" i="2"/>
  <c r="B2918" i="2"/>
  <c r="S2917" i="2"/>
  <c r="M2917" i="2"/>
  <c r="L2917" i="2"/>
  <c r="K2917" i="2"/>
  <c r="G2917" i="2"/>
  <c r="E2917" i="2"/>
  <c r="B2917" i="2"/>
  <c r="S2916" i="2"/>
  <c r="M2916" i="2"/>
  <c r="L2916" i="2"/>
  <c r="K2916" i="2"/>
  <c r="G2916" i="2"/>
  <c r="E2916" i="2"/>
  <c r="B2916" i="2"/>
  <c r="S2915" i="2"/>
  <c r="M2915" i="2"/>
  <c r="L2915" i="2"/>
  <c r="K2915" i="2"/>
  <c r="G2915" i="2"/>
  <c r="E2915" i="2"/>
  <c r="B2915" i="2"/>
  <c r="S2914" i="2"/>
  <c r="M2914" i="2"/>
  <c r="L2914" i="2"/>
  <c r="K2914" i="2"/>
  <c r="G2914" i="2"/>
  <c r="E2914" i="2"/>
  <c r="B2914" i="2"/>
  <c r="S2913" i="2"/>
  <c r="M2913" i="2"/>
  <c r="L2913" i="2"/>
  <c r="K2913" i="2"/>
  <c r="G2913" i="2"/>
  <c r="E2913" i="2"/>
  <c r="B2913" i="2"/>
  <c r="S2912" i="2"/>
  <c r="M2912" i="2"/>
  <c r="L2912" i="2"/>
  <c r="K2912" i="2"/>
  <c r="G2912" i="2"/>
  <c r="E2912" i="2"/>
  <c r="B2912" i="2"/>
  <c r="S2911" i="2"/>
  <c r="M2911" i="2"/>
  <c r="L2911" i="2"/>
  <c r="K2911" i="2"/>
  <c r="G2911" i="2"/>
  <c r="E2911" i="2"/>
  <c r="B2911" i="2"/>
  <c r="S2910" i="2"/>
  <c r="M2910" i="2"/>
  <c r="L2910" i="2"/>
  <c r="K2910" i="2"/>
  <c r="G2910" i="2"/>
  <c r="E2910" i="2"/>
  <c r="B2910" i="2"/>
  <c r="S2909" i="2"/>
  <c r="M2909" i="2"/>
  <c r="L2909" i="2"/>
  <c r="K2909" i="2"/>
  <c r="G2909" i="2"/>
  <c r="E2909" i="2"/>
  <c r="B2909" i="2"/>
  <c r="S2908" i="2"/>
  <c r="M2908" i="2"/>
  <c r="L2908" i="2"/>
  <c r="K2908" i="2"/>
  <c r="G2908" i="2"/>
  <c r="E2908" i="2"/>
  <c r="B2908" i="2"/>
  <c r="S2907" i="2"/>
  <c r="M2907" i="2"/>
  <c r="L2907" i="2"/>
  <c r="K2907" i="2"/>
  <c r="G2907" i="2"/>
  <c r="E2907" i="2"/>
  <c r="B2907" i="2"/>
  <c r="S2906" i="2"/>
  <c r="M2906" i="2"/>
  <c r="L2906" i="2"/>
  <c r="K2906" i="2"/>
  <c r="G2906" i="2"/>
  <c r="E2906" i="2"/>
  <c r="B2906" i="2"/>
  <c r="S2905" i="2"/>
  <c r="M2905" i="2"/>
  <c r="L2905" i="2"/>
  <c r="K2905" i="2"/>
  <c r="G2905" i="2"/>
  <c r="E2905" i="2"/>
  <c r="B2905" i="2"/>
  <c r="S2904" i="2"/>
  <c r="M2904" i="2"/>
  <c r="L2904" i="2"/>
  <c r="K2904" i="2"/>
  <c r="G2904" i="2"/>
  <c r="E2904" i="2"/>
  <c r="B2904" i="2"/>
  <c r="S2903" i="2"/>
  <c r="M2903" i="2"/>
  <c r="L2903" i="2"/>
  <c r="K2903" i="2"/>
  <c r="G2903" i="2"/>
  <c r="E2903" i="2"/>
  <c r="B2903" i="2"/>
  <c r="S2902" i="2"/>
  <c r="M2902" i="2"/>
  <c r="L2902" i="2"/>
  <c r="K2902" i="2"/>
  <c r="G2902" i="2"/>
  <c r="E2902" i="2"/>
  <c r="B2902" i="2"/>
  <c r="S2901" i="2"/>
  <c r="M2901" i="2"/>
  <c r="L2901" i="2"/>
  <c r="K2901" i="2"/>
  <c r="G2901" i="2"/>
  <c r="E2901" i="2"/>
  <c r="B2901" i="2"/>
  <c r="S2900" i="2"/>
  <c r="M2900" i="2"/>
  <c r="L2900" i="2"/>
  <c r="K2900" i="2"/>
  <c r="G2900" i="2"/>
  <c r="E2900" i="2"/>
  <c r="B2900" i="2"/>
  <c r="S2899" i="2"/>
  <c r="M2899" i="2"/>
  <c r="L2899" i="2"/>
  <c r="K2899" i="2"/>
  <c r="G2899" i="2"/>
  <c r="E2899" i="2"/>
  <c r="B2899" i="2"/>
  <c r="S2898" i="2"/>
  <c r="M2898" i="2"/>
  <c r="L2898" i="2"/>
  <c r="K2898" i="2"/>
  <c r="G2898" i="2"/>
  <c r="E2898" i="2"/>
  <c r="B2898" i="2"/>
  <c r="S2897" i="2"/>
  <c r="M2897" i="2"/>
  <c r="L2897" i="2"/>
  <c r="K2897" i="2"/>
  <c r="G2897" i="2"/>
  <c r="E2897" i="2"/>
  <c r="B2897" i="2"/>
  <c r="S2896" i="2"/>
  <c r="M2896" i="2"/>
  <c r="L2896" i="2"/>
  <c r="K2896" i="2"/>
  <c r="G2896" i="2"/>
  <c r="E2896" i="2"/>
  <c r="B2896" i="2"/>
  <c r="S2895" i="2"/>
  <c r="M2895" i="2"/>
  <c r="L2895" i="2"/>
  <c r="K2895" i="2"/>
  <c r="G2895" i="2"/>
  <c r="E2895" i="2"/>
  <c r="B2895" i="2"/>
  <c r="S2894" i="2"/>
  <c r="M2894" i="2"/>
  <c r="L2894" i="2"/>
  <c r="K2894" i="2"/>
  <c r="G2894" i="2"/>
  <c r="E2894" i="2"/>
  <c r="B2894" i="2"/>
  <c r="S2893" i="2"/>
  <c r="M2893" i="2"/>
  <c r="L2893" i="2"/>
  <c r="K2893" i="2"/>
  <c r="G2893" i="2"/>
  <c r="E2893" i="2"/>
  <c r="B2893" i="2"/>
  <c r="S2892" i="2"/>
  <c r="M2892" i="2"/>
  <c r="L2892" i="2"/>
  <c r="K2892" i="2"/>
  <c r="G2892" i="2"/>
  <c r="E2892" i="2"/>
  <c r="B2892" i="2"/>
  <c r="S2891" i="2"/>
  <c r="M2891" i="2"/>
  <c r="L2891" i="2"/>
  <c r="K2891" i="2"/>
  <c r="G2891" i="2"/>
  <c r="E2891" i="2"/>
  <c r="B2891" i="2"/>
  <c r="S2890" i="2"/>
  <c r="M2890" i="2"/>
  <c r="L2890" i="2"/>
  <c r="K2890" i="2"/>
  <c r="G2890" i="2"/>
  <c r="E2890" i="2"/>
  <c r="B2890" i="2"/>
  <c r="S2889" i="2"/>
  <c r="M2889" i="2"/>
  <c r="L2889" i="2"/>
  <c r="K2889" i="2"/>
  <c r="G2889" i="2"/>
  <c r="E2889" i="2"/>
  <c r="B2889" i="2"/>
  <c r="S2888" i="2"/>
  <c r="M2888" i="2"/>
  <c r="L2888" i="2"/>
  <c r="K2888" i="2"/>
  <c r="G2888" i="2"/>
  <c r="E2888" i="2"/>
  <c r="B2888" i="2"/>
  <c r="S2887" i="2"/>
  <c r="M2887" i="2"/>
  <c r="L2887" i="2"/>
  <c r="K2887" i="2"/>
  <c r="G2887" i="2"/>
  <c r="E2887" i="2"/>
  <c r="B2887" i="2"/>
  <c r="S2886" i="2"/>
  <c r="M2886" i="2"/>
  <c r="L2886" i="2"/>
  <c r="K2886" i="2"/>
  <c r="G2886" i="2"/>
  <c r="E2886" i="2"/>
  <c r="B2886" i="2"/>
  <c r="S2885" i="2"/>
  <c r="M2885" i="2"/>
  <c r="L2885" i="2"/>
  <c r="K2885" i="2"/>
  <c r="G2885" i="2"/>
  <c r="E2885" i="2"/>
  <c r="B2885" i="2"/>
  <c r="S2884" i="2"/>
  <c r="M2884" i="2"/>
  <c r="L2884" i="2"/>
  <c r="K2884" i="2"/>
  <c r="G2884" i="2"/>
  <c r="E2884" i="2"/>
  <c r="B2884" i="2"/>
  <c r="S2883" i="2"/>
  <c r="M2883" i="2"/>
  <c r="L2883" i="2"/>
  <c r="K2883" i="2"/>
  <c r="G2883" i="2"/>
  <c r="E2883" i="2"/>
  <c r="B2883" i="2"/>
  <c r="S2882" i="2"/>
  <c r="M2882" i="2"/>
  <c r="L2882" i="2"/>
  <c r="K2882" i="2"/>
  <c r="G2882" i="2"/>
  <c r="E2882" i="2"/>
  <c r="B2882" i="2"/>
  <c r="S2881" i="2"/>
  <c r="M2881" i="2"/>
  <c r="L2881" i="2"/>
  <c r="K2881" i="2"/>
  <c r="G2881" i="2"/>
  <c r="E2881" i="2"/>
  <c r="B2881" i="2"/>
  <c r="S2880" i="2"/>
  <c r="M2880" i="2"/>
  <c r="L2880" i="2"/>
  <c r="K2880" i="2"/>
  <c r="G2880" i="2"/>
  <c r="E2880" i="2"/>
  <c r="B2880" i="2"/>
  <c r="S2879" i="2"/>
  <c r="M2879" i="2"/>
  <c r="L2879" i="2"/>
  <c r="K2879" i="2"/>
  <c r="G2879" i="2"/>
  <c r="E2879" i="2"/>
  <c r="B2879" i="2"/>
  <c r="S2878" i="2"/>
  <c r="M2878" i="2"/>
  <c r="L2878" i="2"/>
  <c r="K2878" i="2"/>
  <c r="G2878" i="2"/>
  <c r="E2878" i="2"/>
  <c r="B2878" i="2"/>
  <c r="S2877" i="2"/>
  <c r="M2877" i="2"/>
  <c r="L2877" i="2"/>
  <c r="K2877" i="2"/>
  <c r="G2877" i="2"/>
  <c r="E2877" i="2"/>
  <c r="B2877" i="2"/>
  <c r="S2876" i="2"/>
  <c r="M2876" i="2"/>
  <c r="L2876" i="2"/>
  <c r="K2876" i="2"/>
  <c r="G2876" i="2"/>
  <c r="E2876" i="2"/>
  <c r="B2876" i="2"/>
  <c r="S2875" i="2"/>
  <c r="M2875" i="2"/>
  <c r="L2875" i="2"/>
  <c r="K2875" i="2"/>
  <c r="G2875" i="2"/>
  <c r="E2875" i="2"/>
  <c r="B2875" i="2"/>
  <c r="S2874" i="2"/>
  <c r="M2874" i="2"/>
  <c r="L2874" i="2"/>
  <c r="K2874" i="2"/>
  <c r="G2874" i="2"/>
  <c r="E2874" i="2"/>
  <c r="B2874" i="2"/>
  <c r="S2873" i="2"/>
  <c r="M2873" i="2"/>
  <c r="L2873" i="2"/>
  <c r="K2873" i="2"/>
  <c r="G2873" i="2"/>
  <c r="E2873" i="2"/>
  <c r="B2873" i="2"/>
  <c r="S2872" i="2"/>
  <c r="M2872" i="2"/>
  <c r="L2872" i="2"/>
  <c r="K2872" i="2"/>
  <c r="G2872" i="2"/>
  <c r="E2872" i="2"/>
  <c r="B2872" i="2"/>
  <c r="S2871" i="2"/>
  <c r="M2871" i="2"/>
  <c r="L2871" i="2"/>
  <c r="K2871" i="2"/>
  <c r="G2871" i="2"/>
  <c r="E2871" i="2"/>
  <c r="B2871" i="2"/>
  <c r="S2870" i="2"/>
  <c r="M2870" i="2"/>
  <c r="L2870" i="2"/>
  <c r="K2870" i="2"/>
  <c r="G2870" i="2"/>
  <c r="E2870" i="2"/>
  <c r="B2870" i="2"/>
  <c r="S2869" i="2"/>
  <c r="M2869" i="2"/>
  <c r="L2869" i="2"/>
  <c r="K2869" i="2"/>
  <c r="G2869" i="2"/>
  <c r="E2869" i="2"/>
  <c r="B2869" i="2"/>
  <c r="S2868" i="2"/>
  <c r="M2868" i="2"/>
  <c r="L2868" i="2"/>
  <c r="K2868" i="2"/>
  <c r="G2868" i="2"/>
  <c r="E2868" i="2"/>
  <c r="B2868" i="2"/>
  <c r="S2867" i="2"/>
  <c r="M2867" i="2"/>
  <c r="L2867" i="2"/>
  <c r="K2867" i="2"/>
  <c r="G2867" i="2"/>
  <c r="E2867" i="2"/>
  <c r="B2867" i="2"/>
  <c r="S2866" i="2"/>
  <c r="M2866" i="2"/>
  <c r="L2866" i="2"/>
  <c r="K2866" i="2"/>
  <c r="G2866" i="2"/>
  <c r="E2866" i="2"/>
  <c r="B2866" i="2"/>
  <c r="S2865" i="2"/>
  <c r="M2865" i="2"/>
  <c r="L2865" i="2"/>
  <c r="K2865" i="2"/>
  <c r="G2865" i="2"/>
  <c r="E2865" i="2"/>
  <c r="B2865" i="2"/>
  <c r="S2864" i="2"/>
  <c r="M2864" i="2"/>
  <c r="L2864" i="2"/>
  <c r="K2864" i="2"/>
  <c r="G2864" i="2"/>
  <c r="E2864" i="2"/>
  <c r="B2864" i="2"/>
  <c r="S2863" i="2"/>
  <c r="M2863" i="2"/>
  <c r="L2863" i="2"/>
  <c r="K2863" i="2"/>
  <c r="G2863" i="2"/>
  <c r="E2863" i="2"/>
  <c r="B2863" i="2"/>
  <c r="S2862" i="2"/>
  <c r="M2862" i="2"/>
  <c r="L2862" i="2"/>
  <c r="K2862" i="2"/>
  <c r="G2862" i="2"/>
  <c r="E2862" i="2"/>
  <c r="B2862" i="2"/>
  <c r="S2861" i="2"/>
  <c r="M2861" i="2"/>
  <c r="L2861" i="2"/>
  <c r="K2861" i="2"/>
  <c r="G2861" i="2"/>
  <c r="E2861" i="2"/>
  <c r="B2861" i="2"/>
  <c r="S2860" i="2"/>
  <c r="M2860" i="2"/>
  <c r="L2860" i="2"/>
  <c r="K2860" i="2"/>
  <c r="G2860" i="2"/>
  <c r="E2860" i="2"/>
  <c r="B2860" i="2"/>
  <c r="S2859" i="2"/>
  <c r="M2859" i="2"/>
  <c r="L2859" i="2"/>
  <c r="K2859" i="2"/>
  <c r="G2859" i="2"/>
  <c r="E2859" i="2"/>
  <c r="B2859" i="2"/>
  <c r="S2858" i="2"/>
  <c r="M2858" i="2"/>
  <c r="L2858" i="2"/>
  <c r="K2858" i="2"/>
  <c r="G2858" i="2"/>
  <c r="E2858" i="2"/>
  <c r="B2858" i="2"/>
  <c r="S2857" i="2"/>
  <c r="M2857" i="2"/>
  <c r="L2857" i="2"/>
  <c r="K2857" i="2"/>
  <c r="G2857" i="2"/>
  <c r="E2857" i="2"/>
  <c r="B2857" i="2"/>
  <c r="S2856" i="2"/>
  <c r="M2856" i="2"/>
  <c r="L2856" i="2"/>
  <c r="K2856" i="2"/>
  <c r="G2856" i="2"/>
  <c r="E2856" i="2"/>
  <c r="B2856" i="2"/>
  <c r="S2855" i="2"/>
  <c r="M2855" i="2"/>
  <c r="L2855" i="2"/>
  <c r="K2855" i="2"/>
  <c r="G2855" i="2"/>
  <c r="E2855" i="2"/>
  <c r="B2855" i="2"/>
  <c r="S2854" i="2"/>
  <c r="M2854" i="2"/>
  <c r="L2854" i="2"/>
  <c r="K2854" i="2"/>
  <c r="G2854" i="2"/>
  <c r="E2854" i="2"/>
  <c r="B2854" i="2"/>
  <c r="S2853" i="2"/>
  <c r="M2853" i="2"/>
  <c r="L2853" i="2"/>
  <c r="K2853" i="2"/>
  <c r="G2853" i="2"/>
  <c r="E2853" i="2"/>
  <c r="B2853" i="2"/>
  <c r="S2852" i="2"/>
  <c r="M2852" i="2"/>
  <c r="L2852" i="2"/>
  <c r="K2852" i="2"/>
  <c r="G2852" i="2"/>
  <c r="E2852" i="2"/>
  <c r="B2852" i="2"/>
  <c r="S2851" i="2"/>
  <c r="M2851" i="2"/>
  <c r="L2851" i="2"/>
  <c r="K2851" i="2"/>
  <c r="G2851" i="2"/>
  <c r="E2851" i="2"/>
  <c r="B2851" i="2"/>
  <c r="S2850" i="2"/>
  <c r="M2850" i="2"/>
  <c r="L2850" i="2"/>
  <c r="K2850" i="2"/>
  <c r="G2850" i="2"/>
  <c r="E2850" i="2"/>
  <c r="B2850" i="2"/>
  <c r="S2849" i="2"/>
  <c r="M2849" i="2"/>
  <c r="L2849" i="2"/>
  <c r="K2849" i="2"/>
  <c r="G2849" i="2"/>
  <c r="E2849" i="2"/>
  <c r="B2849" i="2"/>
  <c r="S2848" i="2"/>
  <c r="M2848" i="2"/>
  <c r="L2848" i="2"/>
  <c r="K2848" i="2"/>
  <c r="G2848" i="2"/>
  <c r="E2848" i="2"/>
  <c r="B2848" i="2"/>
  <c r="S2847" i="2"/>
  <c r="M2847" i="2"/>
  <c r="L2847" i="2"/>
  <c r="K2847" i="2"/>
  <c r="G2847" i="2"/>
  <c r="E2847" i="2"/>
  <c r="B2847" i="2"/>
  <c r="S2846" i="2"/>
  <c r="M2846" i="2"/>
  <c r="L2846" i="2"/>
  <c r="K2846" i="2"/>
  <c r="G2846" i="2"/>
  <c r="E2846" i="2"/>
  <c r="B2846" i="2"/>
  <c r="S2845" i="2"/>
  <c r="M2845" i="2"/>
  <c r="L2845" i="2"/>
  <c r="K2845" i="2"/>
  <c r="G2845" i="2"/>
  <c r="E2845" i="2"/>
  <c r="B2845" i="2"/>
  <c r="S2844" i="2"/>
  <c r="M2844" i="2"/>
  <c r="L2844" i="2"/>
  <c r="K2844" i="2"/>
  <c r="G2844" i="2"/>
  <c r="E2844" i="2"/>
  <c r="B2844" i="2"/>
  <c r="S2843" i="2"/>
  <c r="M2843" i="2"/>
  <c r="L2843" i="2"/>
  <c r="K2843" i="2"/>
  <c r="G2843" i="2"/>
  <c r="E2843" i="2"/>
  <c r="B2843" i="2"/>
  <c r="S2842" i="2"/>
  <c r="M2842" i="2"/>
  <c r="L2842" i="2"/>
  <c r="K2842" i="2"/>
  <c r="G2842" i="2"/>
  <c r="E2842" i="2"/>
  <c r="B2842" i="2"/>
  <c r="S2841" i="2"/>
  <c r="M2841" i="2"/>
  <c r="L2841" i="2"/>
  <c r="K2841" i="2"/>
  <c r="G2841" i="2"/>
  <c r="E2841" i="2"/>
  <c r="B2841" i="2"/>
  <c r="S2840" i="2"/>
  <c r="M2840" i="2"/>
  <c r="L2840" i="2"/>
  <c r="K2840" i="2"/>
  <c r="G2840" i="2"/>
  <c r="E2840" i="2"/>
  <c r="B2840" i="2"/>
  <c r="S2839" i="2"/>
  <c r="M2839" i="2"/>
  <c r="L2839" i="2"/>
  <c r="K2839" i="2"/>
  <c r="G2839" i="2"/>
  <c r="E2839" i="2"/>
  <c r="B2839" i="2"/>
  <c r="S2838" i="2"/>
  <c r="M2838" i="2"/>
  <c r="L2838" i="2"/>
  <c r="K2838" i="2"/>
  <c r="G2838" i="2"/>
  <c r="E2838" i="2"/>
  <c r="B2838" i="2"/>
  <c r="S2837" i="2"/>
  <c r="M2837" i="2"/>
  <c r="L2837" i="2"/>
  <c r="K2837" i="2"/>
  <c r="G2837" i="2"/>
  <c r="E2837" i="2"/>
  <c r="B2837" i="2"/>
  <c r="S2836" i="2"/>
  <c r="M2836" i="2"/>
  <c r="L2836" i="2"/>
  <c r="K2836" i="2"/>
  <c r="G2836" i="2"/>
  <c r="E2836" i="2"/>
  <c r="B2836" i="2"/>
  <c r="S2835" i="2"/>
  <c r="M2835" i="2"/>
  <c r="L2835" i="2"/>
  <c r="K2835" i="2"/>
  <c r="G2835" i="2"/>
  <c r="E2835" i="2"/>
  <c r="B2835" i="2"/>
  <c r="S2834" i="2"/>
  <c r="M2834" i="2"/>
  <c r="L2834" i="2"/>
  <c r="K2834" i="2"/>
  <c r="G2834" i="2"/>
  <c r="E2834" i="2"/>
  <c r="B2834" i="2"/>
  <c r="S2833" i="2"/>
  <c r="M2833" i="2"/>
  <c r="L2833" i="2"/>
  <c r="K2833" i="2"/>
  <c r="G2833" i="2"/>
  <c r="E2833" i="2"/>
  <c r="B2833" i="2"/>
  <c r="S2832" i="2"/>
  <c r="M2832" i="2"/>
  <c r="L2832" i="2"/>
  <c r="K2832" i="2"/>
  <c r="G2832" i="2"/>
  <c r="E2832" i="2"/>
  <c r="B2832" i="2"/>
  <c r="S2831" i="2"/>
  <c r="M2831" i="2"/>
  <c r="L2831" i="2"/>
  <c r="K2831" i="2"/>
  <c r="G2831" i="2"/>
  <c r="E2831" i="2"/>
  <c r="B2831" i="2"/>
  <c r="S2830" i="2"/>
  <c r="M2830" i="2"/>
  <c r="L2830" i="2"/>
  <c r="K2830" i="2"/>
  <c r="G2830" i="2"/>
  <c r="E2830" i="2"/>
  <c r="B2830" i="2"/>
  <c r="S2829" i="2"/>
  <c r="M2829" i="2"/>
  <c r="L2829" i="2"/>
  <c r="K2829" i="2"/>
  <c r="G2829" i="2"/>
  <c r="E2829" i="2"/>
  <c r="B2829" i="2"/>
  <c r="S2828" i="2"/>
  <c r="M2828" i="2"/>
  <c r="L2828" i="2"/>
  <c r="K2828" i="2"/>
  <c r="G2828" i="2"/>
  <c r="E2828" i="2"/>
  <c r="B2828" i="2"/>
  <c r="S2827" i="2"/>
  <c r="M2827" i="2"/>
  <c r="L2827" i="2"/>
  <c r="K2827" i="2"/>
  <c r="G2827" i="2"/>
  <c r="E2827" i="2"/>
  <c r="B2827" i="2"/>
  <c r="S2826" i="2"/>
  <c r="M2826" i="2"/>
  <c r="L2826" i="2"/>
  <c r="K2826" i="2"/>
  <c r="G2826" i="2"/>
  <c r="E2826" i="2"/>
  <c r="B2826" i="2"/>
  <c r="S2825" i="2"/>
  <c r="M2825" i="2"/>
  <c r="L2825" i="2"/>
  <c r="K2825" i="2"/>
  <c r="G2825" i="2"/>
  <c r="E2825" i="2"/>
  <c r="B2825" i="2"/>
  <c r="S2824" i="2"/>
  <c r="M2824" i="2"/>
  <c r="L2824" i="2"/>
  <c r="K2824" i="2"/>
  <c r="G2824" i="2"/>
  <c r="E2824" i="2"/>
  <c r="B2824" i="2"/>
  <c r="S2823" i="2"/>
  <c r="M2823" i="2"/>
  <c r="L2823" i="2"/>
  <c r="K2823" i="2"/>
  <c r="G2823" i="2"/>
  <c r="E2823" i="2"/>
  <c r="B2823" i="2"/>
  <c r="S2822" i="2"/>
  <c r="M2822" i="2"/>
  <c r="L2822" i="2"/>
  <c r="K2822" i="2"/>
  <c r="G2822" i="2"/>
  <c r="E2822" i="2"/>
  <c r="B2822" i="2"/>
  <c r="S2821" i="2"/>
  <c r="M2821" i="2"/>
  <c r="L2821" i="2"/>
  <c r="K2821" i="2"/>
  <c r="G2821" i="2"/>
  <c r="E2821" i="2"/>
  <c r="B2821" i="2"/>
  <c r="S2820" i="2"/>
  <c r="M2820" i="2"/>
  <c r="L2820" i="2"/>
  <c r="K2820" i="2"/>
  <c r="G2820" i="2"/>
  <c r="E2820" i="2"/>
  <c r="B2820" i="2"/>
  <c r="S2819" i="2"/>
  <c r="M2819" i="2"/>
  <c r="L2819" i="2"/>
  <c r="K2819" i="2"/>
  <c r="G2819" i="2"/>
  <c r="E2819" i="2"/>
  <c r="B2819" i="2"/>
  <c r="S2818" i="2"/>
  <c r="M2818" i="2"/>
  <c r="L2818" i="2"/>
  <c r="K2818" i="2"/>
  <c r="G2818" i="2"/>
  <c r="E2818" i="2"/>
  <c r="B2818" i="2"/>
  <c r="S2817" i="2"/>
  <c r="M2817" i="2"/>
  <c r="L2817" i="2"/>
  <c r="K2817" i="2"/>
  <c r="G2817" i="2"/>
  <c r="E2817" i="2"/>
  <c r="B2817" i="2"/>
  <c r="S2816" i="2"/>
  <c r="M2816" i="2"/>
  <c r="L2816" i="2"/>
  <c r="K2816" i="2"/>
  <c r="G2816" i="2"/>
  <c r="E2816" i="2"/>
  <c r="B2816" i="2"/>
  <c r="S2815" i="2"/>
  <c r="M2815" i="2"/>
  <c r="L2815" i="2"/>
  <c r="K2815" i="2"/>
  <c r="G2815" i="2"/>
  <c r="E2815" i="2"/>
  <c r="B2815" i="2"/>
  <c r="S2814" i="2"/>
  <c r="M2814" i="2"/>
  <c r="L2814" i="2"/>
  <c r="K2814" i="2"/>
  <c r="G2814" i="2"/>
  <c r="E2814" i="2"/>
  <c r="B2814" i="2"/>
  <c r="S2813" i="2"/>
  <c r="M2813" i="2"/>
  <c r="L2813" i="2"/>
  <c r="K2813" i="2"/>
  <c r="G2813" i="2"/>
  <c r="E2813" i="2"/>
  <c r="B2813" i="2"/>
  <c r="S2812" i="2"/>
  <c r="M2812" i="2"/>
  <c r="L2812" i="2"/>
  <c r="K2812" i="2"/>
  <c r="G2812" i="2"/>
  <c r="E2812" i="2"/>
  <c r="B2812" i="2"/>
  <c r="S2811" i="2"/>
  <c r="M2811" i="2"/>
  <c r="L2811" i="2"/>
  <c r="K2811" i="2"/>
  <c r="G2811" i="2"/>
  <c r="E2811" i="2"/>
  <c r="B2811" i="2"/>
  <c r="S2810" i="2"/>
  <c r="M2810" i="2"/>
  <c r="L2810" i="2"/>
  <c r="K2810" i="2"/>
  <c r="G2810" i="2"/>
  <c r="E2810" i="2"/>
  <c r="B2810" i="2"/>
  <c r="S2809" i="2"/>
  <c r="M2809" i="2"/>
  <c r="L2809" i="2"/>
  <c r="K2809" i="2"/>
  <c r="G2809" i="2"/>
  <c r="E2809" i="2"/>
  <c r="B2809" i="2"/>
  <c r="S2808" i="2"/>
  <c r="M2808" i="2"/>
  <c r="L2808" i="2"/>
  <c r="K2808" i="2"/>
  <c r="G2808" i="2"/>
  <c r="E2808" i="2"/>
  <c r="B2808" i="2"/>
  <c r="S2807" i="2"/>
  <c r="M2807" i="2"/>
  <c r="L2807" i="2"/>
  <c r="K2807" i="2"/>
  <c r="G2807" i="2"/>
  <c r="E2807" i="2"/>
  <c r="B2807" i="2"/>
  <c r="S2806" i="2"/>
  <c r="M2806" i="2"/>
  <c r="L2806" i="2"/>
  <c r="K2806" i="2"/>
  <c r="G2806" i="2"/>
  <c r="E2806" i="2"/>
  <c r="B2806" i="2"/>
  <c r="S2805" i="2"/>
  <c r="M2805" i="2"/>
  <c r="L2805" i="2"/>
  <c r="K2805" i="2"/>
  <c r="G2805" i="2"/>
  <c r="E2805" i="2"/>
  <c r="B2805" i="2"/>
  <c r="S2804" i="2"/>
  <c r="M2804" i="2"/>
  <c r="L2804" i="2"/>
  <c r="K2804" i="2"/>
  <c r="G2804" i="2"/>
  <c r="E2804" i="2"/>
  <c r="B2804" i="2"/>
  <c r="S2803" i="2"/>
  <c r="M2803" i="2"/>
  <c r="L2803" i="2"/>
  <c r="K2803" i="2"/>
  <c r="G2803" i="2"/>
  <c r="E2803" i="2"/>
  <c r="B2803" i="2"/>
  <c r="S2802" i="2"/>
  <c r="M2802" i="2"/>
  <c r="L2802" i="2"/>
  <c r="K2802" i="2"/>
  <c r="G2802" i="2"/>
  <c r="E2802" i="2"/>
  <c r="B2802" i="2"/>
  <c r="S2801" i="2"/>
  <c r="M2801" i="2"/>
  <c r="L2801" i="2"/>
  <c r="K2801" i="2"/>
  <c r="G2801" i="2"/>
  <c r="E2801" i="2"/>
  <c r="B2801" i="2"/>
  <c r="S2800" i="2"/>
  <c r="M2800" i="2"/>
  <c r="L2800" i="2"/>
  <c r="K2800" i="2"/>
  <c r="G2800" i="2"/>
  <c r="E2800" i="2"/>
  <c r="B2800" i="2"/>
  <c r="S2799" i="2"/>
  <c r="M2799" i="2"/>
  <c r="L2799" i="2"/>
  <c r="K2799" i="2"/>
  <c r="G2799" i="2"/>
  <c r="E2799" i="2"/>
  <c r="B2799" i="2"/>
  <c r="S2798" i="2"/>
  <c r="M2798" i="2"/>
  <c r="L2798" i="2"/>
  <c r="K2798" i="2"/>
  <c r="G2798" i="2"/>
  <c r="E2798" i="2"/>
  <c r="B2798" i="2"/>
  <c r="S2797" i="2"/>
  <c r="M2797" i="2"/>
  <c r="L2797" i="2"/>
  <c r="K2797" i="2"/>
  <c r="G2797" i="2"/>
  <c r="E2797" i="2"/>
  <c r="B2797" i="2"/>
  <c r="S2796" i="2"/>
  <c r="M2796" i="2"/>
  <c r="L2796" i="2"/>
  <c r="K2796" i="2"/>
  <c r="G2796" i="2"/>
  <c r="E2796" i="2"/>
  <c r="B2796" i="2"/>
  <c r="S2795" i="2"/>
  <c r="M2795" i="2"/>
  <c r="L2795" i="2"/>
  <c r="K2795" i="2"/>
  <c r="G2795" i="2"/>
  <c r="E2795" i="2"/>
  <c r="B2795" i="2"/>
  <c r="S2794" i="2"/>
  <c r="M2794" i="2"/>
  <c r="L2794" i="2"/>
  <c r="K2794" i="2"/>
  <c r="G2794" i="2"/>
  <c r="E2794" i="2"/>
  <c r="B2794" i="2"/>
  <c r="S2793" i="2"/>
  <c r="M2793" i="2"/>
  <c r="L2793" i="2"/>
  <c r="K2793" i="2"/>
  <c r="G2793" i="2"/>
  <c r="E2793" i="2"/>
  <c r="B2793" i="2"/>
  <c r="S2792" i="2"/>
  <c r="M2792" i="2"/>
  <c r="L2792" i="2"/>
  <c r="K2792" i="2"/>
  <c r="G2792" i="2"/>
  <c r="E2792" i="2"/>
  <c r="B2792" i="2"/>
  <c r="S2791" i="2"/>
  <c r="M2791" i="2"/>
  <c r="L2791" i="2"/>
  <c r="K2791" i="2"/>
  <c r="G2791" i="2"/>
  <c r="E2791" i="2"/>
  <c r="B2791" i="2"/>
  <c r="S2790" i="2"/>
  <c r="M2790" i="2"/>
  <c r="L2790" i="2"/>
  <c r="K2790" i="2"/>
  <c r="G2790" i="2"/>
  <c r="E2790" i="2"/>
  <c r="B2790" i="2"/>
  <c r="S2789" i="2"/>
  <c r="M2789" i="2"/>
  <c r="L2789" i="2"/>
  <c r="K2789" i="2"/>
  <c r="G2789" i="2"/>
  <c r="E2789" i="2"/>
  <c r="B2789" i="2"/>
  <c r="S2788" i="2"/>
  <c r="M2788" i="2"/>
  <c r="L2788" i="2"/>
  <c r="K2788" i="2"/>
  <c r="G2788" i="2"/>
  <c r="E2788" i="2"/>
  <c r="B2788" i="2"/>
  <c r="S2787" i="2"/>
  <c r="M2787" i="2"/>
  <c r="L2787" i="2"/>
  <c r="K2787" i="2"/>
  <c r="G2787" i="2"/>
  <c r="E2787" i="2"/>
  <c r="B2787" i="2"/>
  <c r="S2786" i="2"/>
  <c r="M2786" i="2"/>
  <c r="L2786" i="2"/>
  <c r="K2786" i="2"/>
  <c r="G2786" i="2"/>
  <c r="E2786" i="2"/>
  <c r="B2786" i="2"/>
  <c r="S2785" i="2"/>
  <c r="M2785" i="2"/>
  <c r="L2785" i="2"/>
  <c r="K2785" i="2"/>
  <c r="G2785" i="2"/>
  <c r="E2785" i="2"/>
  <c r="B2785" i="2"/>
  <c r="S2784" i="2"/>
  <c r="M2784" i="2"/>
  <c r="L2784" i="2"/>
  <c r="K2784" i="2"/>
  <c r="G2784" i="2"/>
  <c r="E2784" i="2"/>
  <c r="B2784" i="2"/>
  <c r="S2783" i="2"/>
  <c r="M2783" i="2"/>
  <c r="L2783" i="2"/>
  <c r="K2783" i="2"/>
  <c r="G2783" i="2"/>
  <c r="E2783" i="2"/>
  <c r="B2783" i="2"/>
  <c r="S2782" i="2"/>
  <c r="M2782" i="2"/>
  <c r="L2782" i="2"/>
  <c r="K2782" i="2"/>
  <c r="G2782" i="2"/>
  <c r="E2782" i="2"/>
  <c r="B2782" i="2"/>
  <c r="S2781" i="2"/>
  <c r="M2781" i="2"/>
  <c r="L2781" i="2"/>
  <c r="K2781" i="2"/>
  <c r="G2781" i="2"/>
  <c r="E2781" i="2"/>
  <c r="B2781" i="2"/>
  <c r="S2780" i="2"/>
  <c r="M2780" i="2"/>
  <c r="L2780" i="2"/>
  <c r="K2780" i="2"/>
  <c r="G2780" i="2"/>
  <c r="E2780" i="2"/>
  <c r="B2780" i="2"/>
  <c r="S2779" i="2"/>
  <c r="M2779" i="2"/>
  <c r="L2779" i="2"/>
  <c r="K2779" i="2"/>
  <c r="G2779" i="2"/>
  <c r="E2779" i="2"/>
  <c r="B2779" i="2"/>
  <c r="S2778" i="2"/>
  <c r="M2778" i="2"/>
  <c r="L2778" i="2"/>
  <c r="K2778" i="2"/>
  <c r="G2778" i="2"/>
  <c r="E2778" i="2"/>
  <c r="B2778" i="2"/>
  <c r="S2777" i="2"/>
  <c r="M2777" i="2"/>
  <c r="L2777" i="2"/>
  <c r="K2777" i="2"/>
  <c r="G2777" i="2"/>
  <c r="E2777" i="2"/>
  <c r="B2777" i="2"/>
  <c r="S2776" i="2"/>
  <c r="M2776" i="2"/>
  <c r="L2776" i="2"/>
  <c r="K2776" i="2"/>
  <c r="G2776" i="2"/>
  <c r="E2776" i="2"/>
  <c r="B2776" i="2"/>
  <c r="S2775" i="2"/>
  <c r="M2775" i="2"/>
  <c r="L2775" i="2"/>
  <c r="K2775" i="2"/>
  <c r="G2775" i="2"/>
  <c r="E2775" i="2"/>
  <c r="B2775" i="2"/>
  <c r="S2774" i="2"/>
  <c r="M2774" i="2"/>
  <c r="L2774" i="2"/>
  <c r="K2774" i="2"/>
  <c r="G2774" i="2"/>
  <c r="E2774" i="2"/>
  <c r="B2774" i="2"/>
  <c r="S2773" i="2"/>
  <c r="M2773" i="2"/>
  <c r="L2773" i="2"/>
  <c r="K2773" i="2"/>
  <c r="G2773" i="2"/>
  <c r="E2773" i="2"/>
  <c r="B2773" i="2"/>
  <c r="S2772" i="2"/>
  <c r="M2772" i="2"/>
  <c r="L2772" i="2"/>
  <c r="K2772" i="2"/>
  <c r="G2772" i="2"/>
  <c r="E2772" i="2"/>
  <c r="B2772" i="2"/>
  <c r="S2771" i="2"/>
  <c r="M2771" i="2"/>
  <c r="L2771" i="2"/>
  <c r="K2771" i="2"/>
  <c r="G2771" i="2"/>
  <c r="E2771" i="2"/>
  <c r="B2771" i="2"/>
  <c r="S2770" i="2"/>
  <c r="M2770" i="2"/>
  <c r="L2770" i="2"/>
  <c r="K2770" i="2"/>
  <c r="G2770" i="2"/>
  <c r="E2770" i="2"/>
  <c r="B2770" i="2"/>
  <c r="S2769" i="2"/>
  <c r="M2769" i="2"/>
  <c r="L2769" i="2"/>
  <c r="K2769" i="2"/>
  <c r="G2769" i="2"/>
  <c r="E2769" i="2"/>
  <c r="B2769" i="2"/>
  <c r="S2768" i="2"/>
  <c r="M2768" i="2"/>
  <c r="L2768" i="2"/>
  <c r="K2768" i="2"/>
  <c r="G2768" i="2"/>
  <c r="E2768" i="2"/>
  <c r="B2768" i="2"/>
  <c r="S2767" i="2"/>
  <c r="M2767" i="2"/>
  <c r="L2767" i="2"/>
  <c r="K2767" i="2"/>
  <c r="G2767" i="2"/>
  <c r="E2767" i="2"/>
  <c r="B2767" i="2"/>
  <c r="S2766" i="2"/>
  <c r="M2766" i="2"/>
  <c r="L2766" i="2"/>
  <c r="K2766" i="2"/>
  <c r="G2766" i="2"/>
  <c r="E2766" i="2"/>
  <c r="B2766" i="2"/>
  <c r="S2765" i="2"/>
  <c r="M2765" i="2"/>
  <c r="L2765" i="2"/>
  <c r="K2765" i="2"/>
  <c r="G2765" i="2"/>
  <c r="E2765" i="2"/>
  <c r="B2765" i="2"/>
  <c r="S2764" i="2"/>
  <c r="M2764" i="2"/>
  <c r="L2764" i="2"/>
  <c r="K2764" i="2"/>
  <c r="G2764" i="2"/>
  <c r="E2764" i="2"/>
  <c r="B2764" i="2"/>
  <c r="S2763" i="2"/>
  <c r="M2763" i="2"/>
  <c r="L2763" i="2"/>
  <c r="K2763" i="2"/>
  <c r="G2763" i="2"/>
  <c r="E2763" i="2"/>
  <c r="B2763" i="2"/>
  <c r="S2762" i="2"/>
  <c r="M2762" i="2"/>
  <c r="L2762" i="2"/>
  <c r="K2762" i="2"/>
  <c r="G2762" i="2"/>
  <c r="E2762" i="2"/>
  <c r="B2762" i="2"/>
  <c r="S2761" i="2"/>
  <c r="M2761" i="2"/>
  <c r="L2761" i="2"/>
  <c r="K2761" i="2"/>
  <c r="G2761" i="2"/>
  <c r="E2761" i="2"/>
  <c r="B2761" i="2"/>
  <c r="S2760" i="2"/>
  <c r="M2760" i="2"/>
  <c r="L2760" i="2"/>
  <c r="K2760" i="2"/>
  <c r="G2760" i="2"/>
  <c r="E2760" i="2"/>
  <c r="B2760" i="2"/>
  <c r="S2759" i="2"/>
  <c r="M2759" i="2"/>
  <c r="L2759" i="2"/>
  <c r="K2759" i="2"/>
  <c r="G2759" i="2"/>
  <c r="E2759" i="2"/>
  <c r="B2759" i="2"/>
  <c r="S2758" i="2"/>
  <c r="M2758" i="2"/>
  <c r="L2758" i="2"/>
  <c r="K2758" i="2"/>
  <c r="G2758" i="2"/>
  <c r="E2758" i="2"/>
  <c r="B2758" i="2"/>
  <c r="S2757" i="2"/>
  <c r="M2757" i="2"/>
  <c r="L2757" i="2"/>
  <c r="K2757" i="2"/>
  <c r="G2757" i="2"/>
  <c r="E2757" i="2"/>
  <c r="B2757" i="2"/>
  <c r="S2756" i="2"/>
  <c r="M2756" i="2"/>
  <c r="L2756" i="2"/>
  <c r="K2756" i="2"/>
  <c r="G2756" i="2"/>
  <c r="E2756" i="2"/>
  <c r="B2756" i="2"/>
  <c r="S2755" i="2"/>
  <c r="M2755" i="2"/>
  <c r="L2755" i="2"/>
  <c r="K2755" i="2"/>
  <c r="G2755" i="2"/>
  <c r="E2755" i="2"/>
  <c r="B2755" i="2"/>
  <c r="S2754" i="2"/>
  <c r="M2754" i="2"/>
  <c r="L2754" i="2"/>
  <c r="K2754" i="2"/>
  <c r="G2754" i="2"/>
  <c r="E2754" i="2"/>
  <c r="B2754" i="2"/>
  <c r="S2753" i="2"/>
  <c r="M2753" i="2"/>
  <c r="L2753" i="2"/>
  <c r="K2753" i="2"/>
  <c r="G2753" i="2"/>
  <c r="E2753" i="2"/>
  <c r="B2753" i="2"/>
  <c r="S2752" i="2"/>
  <c r="M2752" i="2"/>
  <c r="L2752" i="2"/>
  <c r="K2752" i="2"/>
  <c r="G2752" i="2"/>
  <c r="E2752" i="2"/>
  <c r="B2752" i="2"/>
  <c r="S2751" i="2"/>
  <c r="M2751" i="2"/>
  <c r="L2751" i="2"/>
  <c r="K2751" i="2"/>
  <c r="G2751" i="2"/>
  <c r="E2751" i="2"/>
  <c r="B2751" i="2"/>
  <c r="S2750" i="2"/>
  <c r="M2750" i="2"/>
  <c r="L2750" i="2"/>
  <c r="K2750" i="2"/>
  <c r="G2750" i="2"/>
  <c r="E2750" i="2"/>
  <c r="B2750" i="2"/>
  <c r="S2749" i="2"/>
  <c r="M2749" i="2"/>
  <c r="L2749" i="2"/>
  <c r="K2749" i="2"/>
  <c r="G2749" i="2"/>
  <c r="E2749" i="2"/>
  <c r="B2749" i="2"/>
  <c r="S2748" i="2"/>
  <c r="M2748" i="2"/>
  <c r="L2748" i="2"/>
  <c r="K2748" i="2"/>
  <c r="G2748" i="2"/>
  <c r="E2748" i="2"/>
  <c r="B2748" i="2"/>
  <c r="S2747" i="2"/>
  <c r="M2747" i="2"/>
  <c r="L2747" i="2"/>
  <c r="K2747" i="2"/>
  <c r="G2747" i="2"/>
  <c r="E2747" i="2"/>
  <c r="B2747" i="2"/>
  <c r="S2746" i="2"/>
  <c r="M2746" i="2"/>
  <c r="L2746" i="2"/>
  <c r="K2746" i="2"/>
  <c r="G2746" i="2"/>
  <c r="E2746" i="2"/>
  <c r="B2746" i="2"/>
  <c r="S2745" i="2"/>
  <c r="M2745" i="2"/>
  <c r="L2745" i="2"/>
  <c r="K2745" i="2"/>
  <c r="G2745" i="2"/>
  <c r="E2745" i="2"/>
  <c r="B2745" i="2"/>
  <c r="S2744" i="2"/>
  <c r="M2744" i="2"/>
  <c r="L2744" i="2"/>
  <c r="K2744" i="2"/>
  <c r="G2744" i="2"/>
  <c r="E2744" i="2"/>
  <c r="B2744" i="2"/>
  <c r="S2743" i="2"/>
  <c r="M2743" i="2"/>
  <c r="L2743" i="2"/>
  <c r="K2743" i="2"/>
  <c r="G2743" i="2"/>
  <c r="E2743" i="2"/>
  <c r="B2743" i="2"/>
  <c r="S2742" i="2"/>
  <c r="M2742" i="2"/>
  <c r="L2742" i="2"/>
  <c r="K2742" i="2"/>
  <c r="G2742" i="2"/>
  <c r="E2742" i="2"/>
  <c r="B2742" i="2"/>
  <c r="S2741" i="2"/>
  <c r="M2741" i="2"/>
  <c r="L2741" i="2"/>
  <c r="K2741" i="2"/>
  <c r="G2741" i="2"/>
  <c r="E2741" i="2"/>
  <c r="B2741" i="2"/>
  <c r="S2740" i="2"/>
  <c r="M2740" i="2"/>
  <c r="L2740" i="2"/>
  <c r="K2740" i="2"/>
  <c r="G2740" i="2"/>
  <c r="E2740" i="2"/>
  <c r="B2740" i="2"/>
  <c r="S2739" i="2"/>
  <c r="M2739" i="2"/>
  <c r="L2739" i="2"/>
  <c r="K2739" i="2"/>
  <c r="G2739" i="2"/>
  <c r="E2739" i="2"/>
  <c r="B2739" i="2"/>
  <c r="S2738" i="2"/>
  <c r="M2738" i="2"/>
  <c r="L2738" i="2"/>
  <c r="K2738" i="2"/>
  <c r="G2738" i="2"/>
  <c r="E2738" i="2"/>
  <c r="B2738" i="2"/>
  <c r="S2737" i="2"/>
  <c r="M2737" i="2"/>
  <c r="L2737" i="2"/>
  <c r="K2737" i="2"/>
  <c r="G2737" i="2"/>
  <c r="E2737" i="2"/>
  <c r="B2737" i="2"/>
  <c r="S2736" i="2"/>
  <c r="M2736" i="2"/>
  <c r="L2736" i="2"/>
  <c r="K2736" i="2"/>
  <c r="G2736" i="2"/>
  <c r="E2736" i="2"/>
  <c r="B2736" i="2"/>
  <c r="S2735" i="2"/>
  <c r="M2735" i="2"/>
  <c r="L2735" i="2"/>
  <c r="K2735" i="2"/>
  <c r="G2735" i="2"/>
  <c r="E2735" i="2"/>
  <c r="B2735" i="2"/>
  <c r="S2734" i="2"/>
  <c r="M2734" i="2"/>
  <c r="L2734" i="2"/>
  <c r="K2734" i="2"/>
  <c r="G2734" i="2"/>
  <c r="E2734" i="2"/>
  <c r="B2734" i="2"/>
  <c r="S2733" i="2"/>
  <c r="M2733" i="2"/>
  <c r="L2733" i="2"/>
  <c r="K2733" i="2"/>
  <c r="G2733" i="2"/>
  <c r="E2733" i="2"/>
  <c r="B2733" i="2"/>
  <c r="S2732" i="2"/>
  <c r="M2732" i="2"/>
  <c r="L2732" i="2"/>
  <c r="K2732" i="2"/>
  <c r="G2732" i="2"/>
  <c r="E2732" i="2"/>
  <c r="B2732" i="2"/>
  <c r="S2731" i="2"/>
  <c r="M2731" i="2"/>
  <c r="L2731" i="2"/>
  <c r="K2731" i="2"/>
  <c r="G2731" i="2"/>
  <c r="E2731" i="2"/>
  <c r="B2731" i="2"/>
  <c r="S2730" i="2"/>
  <c r="M2730" i="2"/>
  <c r="L2730" i="2"/>
  <c r="K2730" i="2"/>
  <c r="G2730" i="2"/>
  <c r="E2730" i="2"/>
  <c r="B2730" i="2"/>
  <c r="S2729" i="2"/>
  <c r="M2729" i="2"/>
  <c r="L2729" i="2"/>
  <c r="K2729" i="2"/>
  <c r="G2729" i="2"/>
  <c r="E2729" i="2"/>
  <c r="B2729" i="2"/>
  <c r="S2728" i="2"/>
  <c r="M2728" i="2"/>
  <c r="L2728" i="2"/>
  <c r="K2728" i="2"/>
  <c r="G2728" i="2"/>
  <c r="E2728" i="2"/>
  <c r="B2728" i="2"/>
  <c r="S2727" i="2"/>
  <c r="M2727" i="2"/>
  <c r="L2727" i="2"/>
  <c r="K2727" i="2"/>
  <c r="G2727" i="2"/>
  <c r="E2727" i="2"/>
  <c r="B2727" i="2"/>
  <c r="S2726" i="2"/>
  <c r="M2726" i="2"/>
  <c r="L2726" i="2"/>
  <c r="K2726" i="2"/>
  <c r="G2726" i="2"/>
  <c r="E2726" i="2"/>
  <c r="B2726" i="2"/>
  <c r="S2725" i="2"/>
  <c r="M2725" i="2"/>
  <c r="L2725" i="2"/>
  <c r="K2725" i="2"/>
  <c r="G2725" i="2"/>
  <c r="E2725" i="2"/>
  <c r="B2725" i="2"/>
  <c r="S2724" i="2"/>
  <c r="M2724" i="2"/>
  <c r="L2724" i="2"/>
  <c r="K2724" i="2"/>
  <c r="G2724" i="2"/>
  <c r="E2724" i="2"/>
  <c r="B2724" i="2"/>
  <c r="S2723" i="2"/>
  <c r="M2723" i="2"/>
  <c r="L2723" i="2"/>
  <c r="K2723" i="2"/>
  <c r="G2723" i="2"/>
  <c r="E2723" i="2"/>
  <c r="B2723" i="2"/>
  <c r="S2722" i="2"/>
  <c r="M2722" i="2"/>
  <c r="L2722" i="2"/>
  <c r="K2722" i="2"/>
  <c r="G2722" i="2"/>
  <c r="E2722" i="2"/>
  <c r="B2722" i="2"/>
  <c r="S2721" i="2"/>
  <c r="M2721" i="2"/>
  <c r="L2721" i="2"/>
  <c r="K2721" i="2"/>
  <c r="G2721" i="2"/>
  <c r="E2721" i="2"/>
  <c r="B2721" i="2"/>
  <c r="S2720" i="2"/>
  <c r="M2720" i="2"/>
  <c r="L2720" i="2"/>
  <c r="K2720" i="2"/>
  <c r="G2720" i="2"/>
  <c r="E2720" i="2"/>
  <c r="B2720" i="2"/>
  <c r="S2719" i="2"/>
  <c r="M2719" i="2"/>
  <c r="L2719" i="2"/>
  <c r="K2719" i="2"/>
  <c r="G2719" i="2"/>
  <c r="E2719" i="2"/>
  <c r="B2719" i="2"/>
  <c r="S2718" i="2"/>
  <c r="M2718" i="2"/>
  <c r="L2718" i="2"/>
  <c r="K2718" i="2"/>
  <c r="G2718" i="2"/>
  <c r="E2718" i="2"/>
  <c r="B2718" i="2"/>
  <c r="S2717" i="2"/>
  <c r="M2717" i="2"/>
  <c r="L2717" i="2"/>
  <c r="K2717" i="2"/>
  <c r="G2717" i="2"/>
  <c r="E2717" i="2"/>
  <c r="B2717" i="2"/>
  <c r="S2716" i="2"/>
  <c r="M2716" i="2"/>
  <c r="L2716" i="2"/>
  <c r="K2716" i="2"/>
  <c r="G2716" i="2"/>
  <c r="E2716" i="2"/>
  <c r="B2716" i="2"/>
  <c r="S2715" i="2"/>
  <c r="M2715" i="2"/>
  <c r="L2715" i="2"/>
  <c r="K2715" i="2"/>
  <c r="G2715" i="2"/>
  <c r="E2715" i="2"/>
  <c r="B2715" i="2"/>
  <c r="S2714" i="2"/>
  <c r="M2714" i="2"/>
  <c r="L2714" i="2"/>
  <c r="K2714" i="2"/>
  <c r="G2714" i="2"/>
  <c r="E2714" i="2"/>
  <c r="B2714" i="2"/>
  <c r="S2713" i="2"/>
  <c r="M2713" i="2"/>
  <c r="L2713" i="2"/>
  <c r="K2713" i="2"/>
  <c r="G2713" i="2"/>
  <c r="E2713" i="2"/>
  <c r="B2713" i="2"/>
  <c r="S2712" i="2"/>
  <c r="M2712" i="2"/>
  <c r="L2712" i="2"/>
  <c r="K2712" i="2"/>
  <c r="G2712" i="2"/>
  <c r="E2712" i="2"/>
  <c r="B2712" i="2"/>
  <c r="S2711" i="2"/>
  <c r="M2711" i="2"/>
  <c r="L2711" i="2"/>
  <c r="K2711" i="2"/>
  <c r="G2711" i="2"/>
  <c r="E2711" i="2"/>
  <c r="B2711" i="2"/>
  <c r="S2710" i="2"/>
  <c r="M2710" i="2"/>
  <c r="L2710" i="2"/>
  <c r="K2710" i="2"/>
  <c r="G2710" i="2"/>
  <c r="E2710" i="2"/>
  <c r="B2710" i="2"/>
  <c r="S2709" i="2"/>
  <c r="M2709" i="2"/>
  <c r="L2709" i="2"/>
  <c r="K2709" i="2"/>
  <c r="G2709" i="2"/>
  <c r="E2709" i="2"/>
  <c r="B2709" i="2"/>
  <c r="S2708" i="2"/>
  <c r="M2708" i="2"/>
  <c r="L2708" i="2"/>
  <c r="K2708" i="2"/>
  <c r="G2708" i="2"/>
  <c r="E2708" i="2"/>
  <c r="B2708" i="2"/>
  <c r="S2707" i="2"/>
  <c r="M2707" i="2"/>
  <c r="L2707" i="2"/>
  <c r="K2707" i="2"/>
  <c r="G2707" i="2"/>
  <c r="E2707" i="2"/>
  <c r="B2707" i="2"/>
  <c r="S2706" i="2"/>
  <c r="M2706" i="2"/>
  <c r="L2706" i="2"/>
  <c r="K2706" i="2"/>
  <c r="G2706" i="2"/>
  <c r="E2706" i="2"/>
  <c r="B2706" i="2"/>
  <c r="S2705" i="2"/>
  <c r="M2705" i="2"/>
  <c r="L2705" i="2"/>
  <c r="K2705" i="2"/>
  <c r="G2705" i="2"/>
  <c r="E2705" i="2"/>
  <c r="B2705" i="2"/>
  <c r="S2704" i="2"/>
  <c r="M2704" i="2"/>
  <c r="L2704" i="2"/>
  <c r="K2704" i="2"/>
  <c r="G2704" i="2"/>
  <c r="E2704" i="2"/>
  <c r="B2704" i="2"/>
  <c r="S2703" i="2"/>
  <c r="M2703" i="2"/>
  <c r="L2703" i="2"/>
  <c r="K2703" i="2"/>
  <c r="G2703" i="2"/>
  <c r="E2703" i="2"/>
  <c r="B2703" i="2"/>
  <c r="S2702" i="2"/>
  <c r="M2702" i="2"/>
  <c r="L2702" i="2"/>
  <c r="K2702" i="2"/>
  <c r="G2702" i="2"/>
  <c r="E2702" i="2"/>
  <c r="B2702" i="2"/>
  <c r="S2701" i="2"/>
  <c r="M2701" i="2"/>
  <c r="L2701" i="2"/>
  <c r="K2701" i="2"/>
  <c r="G2701" i="2"/>
  <c r="E2701" i="2"/>
  <c r="B2701" i="2"/>
  <c r="S2700" i="2"/>
  <c r="M2700" i="2"/>
  <c r="L2700" i="2"/>
  <c r="K2700" i="2"/>
  <c r="G2700" i="2"/>
  <c r="E2700" i="2"/>
  <c r="B2700" i="2"/>
  <c r="S2699" i="2"/>
  <c r="M2699" i="2"/>
  <c r="L2699" i="2"/>
  <c r="K2699" i="2"/>
  <c r="G2699" i="2"/>
  <c r="E2699" i="2"/>
  <c r="B2699" i="2"/>
  <c r="S2698" i="2"/>
  <c r="M2698" i="2"/>
  <c r="L2698" i="2"/>
  <c r="K2698" i="2"/>
  <c r="G2698" i="2"/>
  <c r="E2698" i="2"/>
  <c r="B2698" i="2"/>
  <c r="S2697" i="2"/>
  <c r="M2697" i="2"/>
  <c r="L2697" i="2"/>
  <c r="K2697" i="2"/>
  <c r="G2697" i="2"/>
  <c r="E2697" i="2"/>
  <c r="B2697" i="2"/>
  <c r="S2696" i="2"/>
  <c r="M2696" i="2"/>
  <c r="L2696" i="2"/>
  <c r="K2696" i="2"/>
  <c r="G2696" i="2"/>
  <c r="E2696" i="2"/>
  <c r="B2696" i="2"/>
  <c r="S2695" i="2"/>
  <c r="M2695" i="2"/>
  <c r="L2695" i="2"/>
  <c r="K2695" i="2"/>
  <c r="G2695" i="2"/>
  <c r="E2695" i="2"/>
  <c r="B2695" i="2"/>
  <c r="S2694" i="2"/>
  <c r="M2694" i="2"/>
  <c r="L2694" i="2"/>
  <c r="K2694" i="2"/>
  <c r="G2694" i="2"/>
  <c r="E2694" i="2"/>
  <c r="B2694" i="2"/>
  <c r="S2693" i="2"/>
  <c r="M2693" i="2"/>
  <c r="L2693" i="2"/>
  <c r="K2693" i="2"/>
  <c r="G2693" i="2"/>
  <c r="E2693" i="2"/>
  <c r="B2693" i="2"/>
  <c r="S2692" i="2"/>
  <c r="M2692" i="2"/>
  <c r="L2692" i="2"/>
  <c r="K2692" i="2"/>
  <c r="G2692" i="2"/>
  <c r="E2692" i="2"/>
  <c r="B2692" i="2"/>
  <c r="S2691" i="2"/>
  <c r="M2691" i="2"/>
  <c r="L2691" i="2"/>
  <c r="K2691" i="2"/>
  <c r="G2691" i="2"/>
  <c r="E2691" i="2"/>
  <c r="B2691" i="2"/>
  <c r="S2690" i="2"/>
  <c r="M2690" i="2"/>
  <c r="L2690" i="2"/>
  <c r="K2690" i="2"/>
  <c r="G2690" i="2"/>
  <c r="E2690" i="2"/>
  <c r="B2690" i="2"/>
  <c r="S2689" i="2"/>
  <c r="M2689" i="2"/>
  <c r="L2689" i="2"/>
  <c r="K2689" i="2"/>
  <c r="G2689" i="2"/>
  <c r="E2689" i="2"/>
  <c r="B2689" i="2"/>
  <c r="S2688" i="2"/>
  <c r="M2688" i="2"/>
  <c r="L2688" i="2"/>
  <c r="K2688" i="2"/>
  <c r="G2688" i="2"/>
  <c r="E2688" i="2"/>
  <c r="B2688" i="2"/>
  <c r="S2687" i="2"/>
  <c r="M2687" i="2"/>
  <c r="L2687" i="2"/>
  <c r="K2687" i="2"/>
  <c r="G2687" i="2"/>
  <c r="E2687" i="2"/>
  <c r="B2687" i="2"/>
  <c r="S2686" i="2"/>
  <c r="M2686" i="2"/>
  <c r="L2686" i="2"/>
  <c r="K2686" i="2"/>
  <c r="G2686" i="2"/>
  <c r="E2686" i="2"/>
  <c r="B2686" i="2"/>
  <c r="S2685" i="2"/>
  <c r="M2685" i="2"/>
  <c r="L2685" i="2"/>
  <c r="K2685" i="2"/>
  <c r="G2685" i="2"/>
  <c r="E2685" i="2"/>
  <c r="B2685" i="2"/>
  <c r="S2684" i="2"/>
  <c r="M2684" i="2"/>
  <c r="L2684" i="2"/>
  <c r="K2684" i="2"/>
  <c r="G2684" i="2"/>
  <c r="E2684" i="2"/>
  <c r="B2684" i="2"/>
  <c r="S2683" i="2"/>
  <c r="M2683" i="2"/>
  <c r="L2683" i="2"/>
  <c r="K2683" i="2"/>
  <c r="G2683" i="2"/>
  <c r="E2683" i="2"/>
  <c r="B2683" i="2"/>
  <c r="S2682" i="2"/>
  <c r="M2682" i="2"/>
  <c r="L2682" i="2"/>
  <c r="K2682" i="2"/>
  <c r="G2682" i="2"/>
  <c r="E2682" i="2"/>
  <c r="B2682" i="2"/>
  <c r="S2681" i="2"/>
  <c r="M2681" i="2"/>
  <c r="L2681" i="2"/>
  <c r="K2681" i="2"/>
  <c r="G2681" i="2"/>
  <c r="E2681" i="2"/>
  <c r="B2681" i="2"/>
  <c r="S2680" i="2"/>
  <c r="M2680" i="2"/>
  <c r="L2680" i="2"/>
  <c r="K2680" i="2"/>
  <c r="G2680" i="2"/>
  <c r="E2680" i="2"/>
  <c r="B2680" i="2"/>
  <c r="S2679" i="2"/>
  <c r="M2679" i="2"/>
  <c r="L2679" i="2"/>
  <c r="K2679" i="2"/>
  <c r="G2679" i="2"/>
  <c r="E2679" i="2"/>
  <c r="B2679" i="2"/>
  <c r="S2678" i="2"/>
  <c r="M2678" i="2"/>
  <c r="L2678" i="2"/>
  <c r="K2678" i="2"/>
  <c r="G2678" i="2"/>
  <c r="E2678" i="2"/>
  <c r="B2678" i="2"/>
  <c r="S2677" i="2"/>
  <c r="M2677" i="2"/>
  <c r="L2677" i="2"/>
  <c r="K2677" i="2"/>
  <c r="G2677" i="2"/>
  <c r="E2677" i="2"/>
  <c r="B2677" i="2"/>
  <c r="S2676" i="2"/>
  <c r="M2676" i="2"/>
  <c r="L2676" i="2"/>
  <c r="K2676" i="2"/>
  <c r="G2676" i="2"/>
  <c r="E2676" i="2"/>
  <c r="B2676" i="2"/>
  <c r="S2675" i="2"/>
  <c r="M2675" i="2"/>
  <c r="L2675" i="2"/>
  <c r="K2675" i="2"/>
  <c r="G2675" i="2"/>
  <c r="E2675" i="2"/>
  <c r="B2675" i="2"/>
  <c r="S2674" i="2"/>
  <c r="M2674" i="2"/>
  <c r="L2674" i="2"/>
  <c r="K2674" i="2"/>
  <c r="G2674" i="2"/>
  <c r="E2674" i="2"/>
  <c r="B2674" i="2"/>
  <c r="S2673" i="2"/>
  <c r="M2673" i="2"/>
  <c r="L2673" i="2"/>
  <c r="K2673" i="2"/>
  <c r="G2673" i="2"/>
  <c r="E2673" i="2"/>
  <c r="B2673" i="2"/>
  <c r="S2672" i="2"/>
  <c r="M2672" i="2"/>
  <c r="L2672" i="2"/>
  <c r="K2672" i="2"/>
  <c r="G2672" i="2"/>
  <c r="E2672" i="2"/>
  <c r="B2672" i="2"/>
  <c r="S2671" i="2"/>
  <c r="M2671" i="2"/>
  <c r="L2671" i="2"/>
  <c r="K2671" i="2"/>
  <c r="G2671" i="2"/>
  <c r="E2671" i="2"/>
  <c r="B2671" i="2"/>
  <c r="S2670" i="2"/>
  <c r="M2670" i="2"/>
  <c r="L2670" i="2"/>
  <c r="K2670" i="2"/>
  <c r="G2670" i="2"/>
  <c r="E2670" i="2"/>
  <c r="B2670" i="2"/>
  <c r="S2669" i="2"/>
  <c r="M2669" i="2"/>
  <c r="L2669" i="2"/>
  <c r="K2669" i="2"/>
  <c r="G2669" i="2"/>
  <c r="E2669" i="2"/>
  <c r="B2669" i="2"/>
  <c r="S2668" i="2"/>
  <c r="M2668" i="2"/>
  <c r="L2668" i="2"/>
  <c r="K2668" i="2"/>
  <c r="G2668" i="2"/>
  <c r="E2668" i="2"/>
  <c r="B2668" i="2"/>
  <c r="S2667" i="2"/>
  <c r="M2667" i="2"/>
  <c r="L2667" i="2"/>
  <c r="K2667" i="2"/>
  <c r="G2667" i="2"/>
  <c r="E2667" i="2"/>
  <c r="B2667" i="2"/>
  <c r="S2666" i="2"/>
  <c r="M2666" i="2"/>
  <c r="L2666" i="2"/>
  <c r="K2666" i="2"/>
  <c r="G2666" i="2"/>
  <c r="E2666" i="2"/>
  <c r="B2666" i="2"/>
  <c r="S2665" i="2"/>
  <c r="M2665" i="2"/>
  <c r="L2665" i="2"/>
  <c r="K2665" i="2"/>
  <c r="G2665" i="2"/>
  <c r="E2665" i="2"/>
  <c r="B2665" i="2"/>
  <c r="S2664" i="2"/>
  <c r="M2664" i="2"/>
  <c r="L2664" i="2"/>
  <c r="K2664" i="2"/>
  <c r="G2664" i="2"/>
  <c r="E2664" i="2"/>
  <c r="B2664" i="2"/>
  <c r="S2663" i="2"/>
  <c r="M2663" i="2"/>
  <c r="L2663" i="2"/>
  <c r="K2663" i="2"/>
  <c r="G2663" i="2"/>
  <c r="E2663" i="2"/>
  <c r="B2663" i="2"/>
  <c r="S2662" i="2"/>
  <c r="M2662" i="2"/>
  <c r="L2662" i="2"/>
  <c r="K2662" i="2"/>
  <c r="G2662" i="2"/>
  <c r="E2662" i="2"/>
  <c r="B2662" i="2"/>
  <c r="S2661" i="2"/>
  <c r="M2661" i="2"/>
  <c r="L2661" i="2"/>
  <c r="K2661" i="2"/>
  <c r="G2661" i="2"/>
  <c r="E2661" i="2"/>
  <c r="B2661" i="2"/>
  <c r="S2660" i="2"/>
  <c r="M2660" i="2"/>
  <c r="L2660" i="2"/>
  <c r="K2660" i="2"/>
  <c r="G2660" i="2"/>
  <c r="E2660" i="2"/>
  <c r="B2660" i="2"/>
  <c r="S2659" i="2"/>
  <c r="M2659" i="2"/>
  <c r="L2659" i="2"/>
  <c r="K2659" i="2"/>
  <c r="G2659" i="2"/>
  <c r="E2659" i="2"/>
  <c r="B2659" i="2"/>
  <c r="S2658" i="2"/>
  <c r="M2658" i="2"/>
  <c r="L2658" i="2"/>
  <c r="K2658" i="2"/>
  <c r="G2658" i="2"/>
  <c r="E2658" i="2"/>
  <c r="B2658" i="2"/>
  <c r="S2657" i="2"/>
  <c r="M2657" i="2"/>
  <c r="L2657" i="2"/>
  <c r="K2657" i="2"/>
  <c r="G2657" i="2"/>
  <c r="E2657" i="2"/>
  <c r="B2657" i="2"/>
  <c r="S2656" i="2"/>
  <c r="M2656" i="2"/>
  <c r="L2656" i="2"/>
  <c r="K2656" i="2"/>
  <c r="G2656" i="2"/>
  <c r="E2656" i="2"/>
  <c r="B2656" i="2"/>
  <c r="S2655" i="2"/>
  <c r="M2655" i="2"/>
  <c r="L2655" i="2"/>
  <c r="K2655" i="2"/>
  <c r="G2655" i="2"/>
  <c r="E2655" i="2"/>
  <c r="B2655" i="2"/>
  <c r="S2654" i="2"/>
  <c r="M2654" i="2"/>
  <c r="L2654" i="2"/>
  <c r="K2654" i="2"/>
  <c r="G2654" i="2"/>
  <c r="E2654" i="2"/>
  <c r="B2654" i="2"/>
  <c r="S2653" i="2"/>
  <c r="M2653" i="2"/>
  <c r="L2653" i="2"/>
  <c r="K2653" i="2"/>
  <c r="G2653" i="2"/>
  <c r="E2653" i="2"/>
  <c r="B2653" i="2"/>
  <c r="S2652" i="2"/>
  <c r="M2652" i="2"/>
  <c r="L2652" i="2"/>
  <c r="K2652" i="2"/>
  <c r="G2652" i="2"/>
  <c r="E2652" i="2"/>
  <c r="B2652" i="2"/>
  <c r="S2651" i="2"/>
  <c r="M2651" i="2"/>
  <c r="L2651" i="2"/>
  <c r="K2651" i="2"/>
  <c r="G2651" i="2"/>
  <c r="E2651" i="2"/>
  <c r="B2651" i="2"/>
  <c r="S2650" i="2"/>
  <c r="M2650" i="2"/>
  <c r="L2650" i="2"/>
  <c r="K2650" i="2"/>
  <c r="G2650" i="2"/>
  <c r="E2650" i="2"/>
  <c r="B2650" i="2"/>
  <c r="S2649" i="2"/>
  <c r="M2649" i="2"/>
  <c r="L2649" i="2"/>
  <c r="K2649" i="2"/>
  <c r="G2649" i="2"/>
  <c r="E2649" i="2"/>
  <c r="B2649" i="2"/>
  <c r="S2648" i="2"/>
  <c r="M2648" i="2"/>
  <c r="L2648" i="2"/>
  <c r="K2648" i="2"/>
  <c r="G2648" i="2"/>
  <c r="E2648" i="2"/>
  <c r="B2648" i="2"/>
  <c r="S2647" i="2"/>
  <c r="M2647" i="2"/>
  <c r="L2647" i="2"/>
  <c r="K2647" i="2"/>
  <c r="G2647" i="2"/>
  <c r="E2647" i="2"/>
  <c r="B2647" i="2"/>
  <c r="S2646" i="2"/>
  <c r="M2646" i="2"/>
  <c r="L2646" i="2"/>
  <c r="K2646" i="2"/>
  <c r="G2646" i="2"/>
  <c r="E2646" i="2"/>
  <c r="B2646" i="2"/>
  <c r="S2645" i="2"/>
  <c r="M2645" i="2"/>
  <c r="L2645" i="2"/>
  <c r="K2645" i="2"/>
  <c r="G2645" i="2"/>
  <c r="E2645" i="2"/>
  <c r="B2645" i="2"/>
  <c r="S2644" i="2"/>
  <c r="M2644" i="2"/>
  <c r="L2644" i="2"/>
  <c r="K2644" i="2"/>
  <c r="G2644" i="2"/>
  <c r="E2644" i="2"/>
  <c r="B2644" i="2"/>
  <c r="S2643" i="2"/>
  <c r="M2643" i="2"/>
  <c r="L2643" i="2"/>
  <c r="K2643" i="2"/>
  <c r="G2643" i="2"/>
  <c r="E2643" i="2"/>
  <c r="B2643" i="2"/>
  <c r="S2642" i="2"/>
  <c r="M2642" i="2"/>
  <c r="L2642" i="2"/>
  <c r="K2642" i="2"/>
  <c r="G2642" i="2"/>
  <c r="E2642" i="2"/>
  <c r="B2642" i="2"/>
  <c r="S2641" i="2"/>
  <c r="M2641" i="2"/>
  <c r="L2641" i="2"/>
  <c r="K2641" i="2"/>
  <c r="G2641" i="2"/>
  <c r="E2641" i="2"/>
  <c r="B2641" i="2"/>
  <c r="S2640" i="2"/>
  <c r="M2640" i="2"/>
  <c r="L2640" i="2"/>
  <c r="K2640" i="2"/>
  <c r="G2640" i="2"/>
  <c r="E2640" i="2"/>
  <c r="B2640" i="2"/>
  <c r="S2639" i="2"/>
  <c r="M2639" i="2"/>
  <c r="L2639" i="2"/>
  <c r="K2639" i="2"/>
  <c r="G2639" i="2"/>
  <c r="E2639" i="2"/>
  <c r="B2639" i="2"/>
  <c r="S2638" i="2"/>
  <c r="M2638" i="2"/>
  <c r="L2638" i="2"/>
  <c r="K2638" i="2"/>
  <c r="G2638" i="2"/>
  <c r="E2638" i="2"/>
  <c r="B2638" i="2"/>
  <c r="S2637" i="2"/>
  <c r="M2637" i="2"/>
  <c r="L2637" i="2"/>
  <c r="K2637" i="2"/>
  <c r="G2637" i="2"/>
  <c r="E2637" i="2"/>
  <c r="B2637" i="2"/>
  <c r="S2636" i="2"/>
  <c r="M2636" i="2"/>
  <c r="L2636" i="2"/>
  <c r="K2636" i="2"/>
  <c r="G2636" i="2"/>
  <c r="E2636" i="2"/>
  <c r="B2636" i="2"/>
  <c r="S2635" i="2"/>
  <c r="M2635" i="2"/>
  <c r="L2635" i="2"/>
  <c r="K2635" i="2"/>
  <c r="G2635" i="2"/>
  <c r="E2635" i="2"/>
  <c r="B2635" i="2"/>
  <c r="S2634" i="2"/>
  <c r="M2634" i="2"/>
  <c r="L2634" i="2"/>
  <c r="K2634" i="2"/>
  <c r="G2634" i="2"/>
  <c r="E2634" i="2"/>
  <c r="B2634" i="2"/>
  <c r="S2633" i="2"/>
  <c r="M2633" i="2"/>
  <c r="L2633" i="2"/>
  <c r="K2633" i="2"/>
  <c r="G2633" i="2"/>
  <c r="E2633" i="2"/>
  <c r="B2633" i="2"/>
  <c r="S2632" i="2"/>
  <c r="M2632" i="2"/>
  <c r="L2632" i="2"/>
  <c r="K2632" i="2"/>
  <c r="G2632" i="2"/>
  <c r="E2632" i="2"/>
  <c r="B2632" i="2"/>
  <c r="S2631" i="2"/>
  <c r="M2631" i="2"/>
  <c r="L2631" i="2"/>
  <c r="K2631" i="2"/>
  <c r="G2631" i="2"/>
  <c r="E2631" i="2"/>
  <c r="B2631" i="2"/>
  <c r="S2630" i="2"/>
  <c r="M2630" i="2"/>
  <c r="L2630" i="2"/>
  <c r="K2630" i="2"/>
  <c r="G2630" i="2"/>
  <c r="E2630" i="2"/>
  <c r="B2630" i="2"/>
  <c r="S2629" i="2"/>
  <c r="M2629" i="2"/>
  <c r="L2629" i="2"/>
  <c r="K2629" i="2"/>
  <c r="G2629" i="2"/>
  <c r="E2629" i="2"/>
  <c r="B2629" i="2"/>
  <c r="S2628" i="2"/>
  <c r="M2628" i="2"/>
  <c r="L2628" i="2"/>
  <c r="K2628" i="2"/>
  <c r="G2628" i="2"/>
  <c r="E2628" i="2"/>
  <c r="B2628" i="2"/>
  <c r="S2627" i="2"/>
  <c r="M2627" i="2"/>
  <c r="L2627" i="2"/>
  <c r="K2627" i="2"/>
  <c r="G2627" i="2"/>
  <c r="E2627" i="2"/>
  <c r="B2627" i="2"/>
  <c r="S2626" i="2"/>
  <c r="M2626" i="2"/>
  <c r="L2626" i="2"/>
  <c r="K2626" i="2"/>
  <c r="G2626" i="2"/>
  <c r="E2626" i="2"/>
  <c r="B2626" i="2"/>
  <c r="S2625" i="2"/>
  <c r="M2625" i="2"/>
  <c r="L2625" i="2"/>
  <c r="K2625" i="2"/>
  <c r="G2625" i="2"/>
  <c r="E2625" i="2"/>
  <c r="B2625" i="2"/>
  <c r="S2624" i="2"/>
  <c r="M2624" i="2"/>
  <c r="L2624" i="2"/>
  <c r="K2624" i="2"/>
  <c r="G2624" i="2"/>
  <c r="E2624" i="2"/>
  <c r="B2624" i="2"/>
  <c r="S2623" i="2"/>
  <c r="M2623" i="2"/>
  <c r="L2623" i="2"/>
  <c r="K2623" i="2"/>
  <c r="G2623" i="2"/>
  <c r="E2623" i="2"/>
  <c r="B2623" i="2"/>
  <c r="S2622" i="2"/>
  <c r="M2622" i="2"/>
  <c r="L2622" i="2"/>
  <c r="K2622" i="2"/>
  <c r="G2622" i="2"/>
  <c r="E2622" i="2"/>
  <c r="B2622" i="2"/>
  <c r="S2621" i="2"/>
  <c r="M2621" i="2"/>
  <c r="L2621" i="2"/>
  <c r="K2621" i="2"/>
  <c r="G2621" i="2"/>
  <c r="E2621" i="2"/>
  <c r="B2621" i="2"/>
  <c r="S2620" i="2"/>
  <c r="M2620" i="2"/>
  <c r="L2620" i="2"/>
  <c r="K2620" i="2"/>
  <c r="G2620" i="2"/>
  <c r="E2620" i="2"/>
  <c r="B2620" i="2"/>
  <c r="S2617" i="2"/>
  <c r="M2617" i="2"/>
  <c r="L2617" i="2"/>
  <c r="K2617" i="2"/>
  <c r="G2617" i="2"/>
  <c r="E2617" i="2"/>
  <c r="B2617" i="2"/>
  <c r="S2616" i="2"/>
  <c r="M2616" i="2"/>
  <c r="L2616" i="2"/>
  <c r="K2616" i="2"/>
  <c r="G2616" i="2"/>
  <c r="E2616" i="2"/>
  <c r="B2616" i="2"/>
  <c r="S2615" i="2"/>
  <c r="M2615" i="2"/>
  <c r="L2615" i="2"/>
  <c r="K2615" i="2"/>
  <c r="G2615" i="2"/>
  <c r="E2615" i="2"/>
  <c r="B2615" i="2"/>
  <c r="S2614" i="2"/>
  <c r="M2614" i="2"/>
  <c r="L2614" i="2"/>
  <c r="K2614" i="2"/>
  <c r="G2614" i="2"/>
  <c r="E2614" i="2"/>
  <c r="B2614" i="2"/>
  <c r="S2613" i="2"/>
  <c r="M2613" i="2"/>
  <c r="L2613" i="2"/>
  <c r="K2613" i="2"/>
  <c r="G2613" i="2"/>
  <c r="E2613" i="2"/>
  <c r="B2613" i="2"/>
  <c r="S2612" i="2"/>
  <c r="M2612" i="2"/>
  <c r="L2612" i="2"/>
  <c r="K2612" i="2"/>
  <c r="G2612" i="2"/>
  <c r="E2612" i="2"/>
  <c r="B2612" i="2"/>
  <c r="S2611" i="2"/>
  <c r="M2611" i="2"/>
  <c r="L2611" i="2"/>
  <c r="K2611" i="2"/>
  <c r="G2611" i="2"/>
  <c r="E2611" i="2"/>
  <c r="B2611" i="2"/>
  <c r="S2610" i="2"/>
  <c r="M2610" i="2"/>
  <c r="L2610" i="2"/>
  <c r="K2610" i="2"/>
  <c r="G2610" i="2"/>
  <c r="E2610" i="2"/>
  <c r="B2610" i="2"/>
  <c r="S2609" i="2"/>
  <c r="M2609" i="2"/>
  <c r="L2609" i="2"/>
  <c r="K2609" i="2"/>
  <c r="G2609" i="2"/>
  <c r="E2609" i="2"/>
  <c r="B2609" i="2"/>
  <c r="S2608" i="2"/>
  <c r="M2608" i="2"/>
  <c r="L2608" i="2"/>
  <c r="K2608" i="2"/>
  <c r="G2608" i="2"/>
  <c r="E2608" i="2"/>
  <c r="B2608" i="2"/>
  <c r="S2607" i="2"/>
  <c r="M2607" i="2"/>
  <c r="L2607" i="2"/>
  <c r="K2607" i="2"/>
  <c r="G2607" i="2"/>
  <c r="E2607" i="2"/>
  <c r="B2607" i="2"/>
  <c r="S2606" i="2"/>
  <c r="M2606" i="2"/>
  <c r="L2606" i="2"/>
  <c r="K2606" i="2"/>
  <c r="G2606" i="2"/>
  <c r="E2606" i="2"/>
  <c r="B2606" i="2"/>
  <c r="S2605" i="2"/>
  <c r="M2605" i="2"/>
  <c r="L2605" i="2"/>
  <c r="K2605" i="2"/>
  <c r="G2605" i="2"/>
  <c r="E2605" i="2"/>
  <c r="B2605" i="2"/>
  <c r="S2604" i="2"/>
  <c r="M2604" i="2"/>
  <c r="L2604" i="2"/>
  <c r="K2604" i="2"/>
  <c r="G2604" i="2"/>
  <c r="E2604" i="2"/>
  <c r="B2604" i="2"/>
  <c r="S2603" i="2"/>
  <c r="M2603" i="2"/>
  <c r="L2603" i="2"/>
  <c r="K2603" i="2"/>
  <c r="G2603" i="2"/>
  <c r="E2603" i="2"/>
  <c r="B2603" i="2"/>
  <c r="S2602" i="2"/>
  <c r="M2602" i="2"/>
  <c r="L2602" i="2"/>
  <c r="K2602" i="2"/>
  <c r="G2602" i="2"/>
  <c r="E2602" i="2"/>
  <c r="B2602" i="2"/>
  <c r="S2601" i="2"/>
  <c r="M2601" i="2"/>
  <c r="L2601" i="2"/>
  <c r="K2601" i="2"/>
  <c r="G2601" i="2"/>
  <c r="E2601" i="2"/>
  <c r="B2601" i="2"/>
  <c r="S2600" i="2"/>
  <c r="M2600" i="2"/>
  <c r="L2600" i="2"/>
  <c r="K2600" i="2"/>
  <c r="G2600" i="2"/>
  <c r="E2600" i="2"/>
  <c r="B2600" i="2"/>
  <c r="S2599" i="2"/>
  <c r="M2599" i="2"/>
  <c r="L2599" i="2"/>
  <c r="K2599" i="2"/>
  <c r="G2599" i="2"/>
  <c r="E2599" i="2"/>
  <c r="B2599" i="2"/>
  <c r="S2598" i="2"/>
  <c r="M2598" i="2"/>
  <c r="L2598" i="2"/>
  <c r="K2598" i="2"/>
  <c r="G2598" i="2"/>
  <c r="E2598" i="2"/>
  <c r="B2598" i="2"/>
  <c r="S2597" i="2"/>
  <c r="M2597" i="2"/>
  <c r="L2597" i="2"/>
  <c r="K2597" i="2"/>
  <c r="G2597" i="2"/>
  <c r="E2597" i="2"/>
  <c r="B2597" i="2"/>
  <c r="S2596" i="2"/>
  <c r="M2596" i="2"/>
  <c r="L2596" i="2"/>
  <c r="K2596" i="2"/>
  <c r="G2596" i="2"/>
  <c r="E2596" i="2"/>
  <c r="B2596" i="2"/>
  <c r="S2595" i="2"/>
  <c r="M2595" i="2"/>
  <c r="L2595" i="2"/>
  <c r="K2595" i="2"/>
  <c r="G2595" i="2"/>
  <c r="E2595" i="2"/>
  <c r="B2595" i="2"/>
  <c r="S2594" i="2"/>
  <c r="M2594" i="2"/>
  <c r="L2594" i="2"/>
  <c r="K2594" i="2"/>
  <c r="G2594" i="2"/>
  <c r="E2594" i="2"/>
  <c r="B2594" i="2"/>
  <c r="S2593" i="2"/>
  <c r="M2593" i="2"/>
  <c r="L2593" i="2"/>
  <c r="K2593" i="2"/>
  <c r="G2593" i="2"/>
  <c r="E2593" i="2"/>
  <c r="B2593" i="2"/>
  <c r="S2592" i="2"/>
  <c r="M2592" i="2"/>
  <c r="L2592" i="2"/>
  <c r="K2592" i="2"/>
  <c r="G2592" i="2"/>
  <c r="E2592" i="2"/>
  <c r="B2592" i="2"/>
  <c r="S2591" i="2"/>
  <c r="M2591" i="2"/>
  <c r="L2591" i="2"/>
  <c r="K2591" i="2"/>
  <c r="G2591" i="2"/>
  <c r="E2591" i="2"/>
  <c r="B2591" i="2"/>
  <c r="S2590" i="2"/>
  <c r="M2590" i="2"/>
  <c r="L2590" i="2"/>
  <c r="K2590" i="2"/>
  <c r="G2590" i="2"/>
  <c r="E2590" i="2"/>
  <c r="B2590" i="2"/>
  <c r="S2589" i="2"/>
  <c r="M2589" i="2"/>
  <c r="L2589" i="2"/>
  <c r="K2589" i="2"/>
  <c r="G2589" i="2"/>
  <c r="E2589" i="2"/>
  <c r="B2589" i="2"/>
  <c r="S2588" i="2"/>
  <c r="M2588" i="2"/>
  <c r="L2588" i="2"/>
  <c r="K2588" i="2"/>
  <c r="G2588" i="2"/>
  <c r="E2588" i="2"/>
  <c r="B2588" i="2"/>
  <c r="S2587" i="2"/>
  <c r="M2587" i="2"/>
  <c r="L2587" i="2"/>
  <c r="K2587" i="2"/>
  <c r="G2587" i="2"/>
  <c r="E2587" i="2"/>
  <c r="B2587" i="2"/>
  <c r="S2586" i="2"/>
  <c r="M2586" i="2"/>
  <c r="L2586" i="2"/>
  <c r="K2586" i="2"/>
  <c r="G2586" i="2"/>
  <c r="E2586" i="2"/>
  <c r="B2586" i="2"/>
  <c r="S2585" i="2"/>
  <c r="M2585" i="2"/>
  <c r="L2585" i="2"/>
  <c r="K2585" i="2"/>
  <c r="G2585" i="2"/>
  <c r="E2585" i="2"/>
  <c r="B2585" i="2"/>
  <c r="S2584" i="2"/>
  <c r="M2584" i="2"/>
  <c r="L2584" i="2"/>
  <c r="K2584" i="2"/>
  <c r="G2584" i="2"/>
  <c r="E2584" i="2"/>
  <c r="B2584" i="2"/>
  <c r="S2583" i="2"/>
  <c r="M2583" i="2"/>
  <c r="L2583" i="2"/>
  <c r="K2583" i="2"/>
  <c r="G2583" i="2"/>
  <c r="E2583" i="2"/>
  <c r="B2583" i="2"/>
  <c r="S2582" i="2"/>
  <c r="M2582" i="2"/>
  <c r="L2582" i="2"/>
  <c r="K2582" i="2"/>
  <c r="G2582" i="2"/>
  <c r="E2582" i="2"/>
  <c r="B2582" i="2"/>
  <c r="S2581" i="2"/>
  <c r="M2581" i="2"/>
  <c r="L2581" i="2"/>
  <c r="K2581" i="2"/>
  <c r="G2581" i="2"/>
  <c r="E2581" i="2"/>
  <c r="B2581" i="2"/>
  <c r="S2580" i="2"/>
  <c r="M2580" i="2"/>
  <c r="L2580" i="2"/>
  <c r="K2580" i="2"/>
  <c r="G2580" i="2"/>
  <c r="E2580" i="2"/>
  <c r="B2580" i="2"/>
  <c r="S2579" i="2"/>
  <c r="M2579" i="2"/>
  <c r="L2579" i="2"/>
  <c r="K2579" i="2"/>
  <c r="G2579" i="2"/>
  <c r="E2579" i="2"/>
  <c r="B2579" i="2"/>
  <c r="S2578" i="2"/>
  <c r="M2578" i="2"/>
  <c r="L2578" i="2"/>
  <c r="K2578" i="2"/>
  <c r="G2578" i="2"/>
  <c r="E2578" i="2"/>
  <c r="B2578" i="2"/>
  <c r="S2577" i="2"/>
  <c r="M2577" i="2"/>
  <c r="L2577" i="2"/>
  <c r="K2577" i="2"/>
  <c r="G2577" i="2"/>
  <c r="E2577" i="2"/>
  <c r="B2577" i="2"/>
  <c r="S2576" i="2"/>
  <c r="M2576" i="2"/>
  <c r="L2576" i="2"/>
  <c r="K2576" i="2"/>
  <c r="G2576" i="2"/>
  <c r="E2576" i="2"/>
  <c r="B2576" i="2"/>
  <c r="S2575" i="2"/>
  <c r="M2575" i="2"/>
  <c r="L2575" i="2"/>
  <c r="K2575" i="2"/>
  <c r="G2575" i="2"/>
  <c r="E2575" i="2"/>
  <c r="B2575" i="2"/>
  <c r="S2574" i="2"/>
  <c r="M2574" i="2"/>
  <c r="L2574" i="2"/>
  <c r="K2574" i="2"/>
  <c r="G2574" i="2"/>
  <c r="E2574" i="2"/>
  <c r="B2574" i="2"/>
  <c r="S2573" i="2"/>
  <c r="M2573" i="2"/>
  <c r="L2573" i="2"/>
  <c r="K2573" i="2"/>
  <c r="G2573" i="2"/>
  <c r="E2573" i="2"/>
  <c r="B2573" i="2"/>
  <c r="S2572" i="2"/>
  <c r="M2572" i="2"/>
  <c r="L2572" i="2"/>
  <c r="K2572" i="2"/>
  <c r="G2572" i="2"/>
  <c r="E2572" i="2"/>
  <c r="B2572" i="2"/>
  <c r="S2571" i="2"/>
  <c r="M2571" i="2"/>
  <c r="L2571" i="2"/>
  <c r="K2571" i="2"/>
  <c r="G2571" i="2"/>
  <c r="E2571" i="2"/>
  <c r="B2571" i="2"/>
  <c r="S2570" i="2"/>
  <c r="M2570" i="2"/>
  <c r="L2570" i="2"/>
  <c r="K2570" i="2"/>
  <c r="G2570" i="2"/>
  <c r="E2570" i="2"/>
  <c r="B2570" i="2"/>
  <c r="S2569" i="2"/>
  <c r="M2569" i="2"/>
  <c r="L2569" i="2"/>
  <c r="K2569" i="2"/>
  <c r="G2569" i="2"/>
  <c r="E2569" i="2"/>
  <c r="B2569" i="2"/>
  <c r="S2568" i="2"/>
  <c r="M2568" i="2"/>
  <c r="L2568" i="2"/>
  <c r="K2568" i="2"/>
  <c r="G2568" i="2"/>
  <c r="E2568" i="2"/>
  <c r="B2568" i="2"/>
  <c r="S2567" i="2"/>
  <c r="M2567" i="2"/>
  <c r="L2567" i="2"/>
  <c r="K2567" i="2"/>
  <c r="G2567" i="2"/>
  <c r="E2567" i="2"/>
  <c r="B2567" i="2"/>
  <c r="S2566" i="2"/>
  <c r="M2566" i="2"/>
  <c r="L2566" i="2"/>
  <c r="K2566" i="2"/>
  <c r="G2566" i="2"/>
  <c r="E2566" i="2"/>
  <c r="B2566" i="2"/>
  <c r="S2565" i="2"/>
  <c r="M2565" i="2"/>
  <c r="L2565" i="2"/>
  <c r="K2565" i="2"/>
  <c r="G2565" i="2"/>
  <c r="E2565" i="2"/>
  <c r="B2565" i="2"/>
  <c r="S2564" i="2"/>
  <c r="M2564" i="2"/>
  <c r="L2564" i="2"/>
  <c r="K2564" i="2"/>
  <c r="G2564" i="2"/>
  <c r="E2564" i="2"/>
  <c r="B2564" i="2"/>
  <c r="S2563" i="2"/>
  <c r="M2563" i="2"/>
  <c r="L2563" i="2"/>
  <c r="K2563" i="2"/>
  <c r="G2563" i="2"/>
  <c r="E2563" i="2"/>
  <c r="B2563" i="2"/>
  <c r="S2562" i="2"/>
  <c r="M2562" i="2"/>
  <c r="L2562" i="2"/>
  <c r="K2562" i="2"/>
  <c r="G2562" i="2"/>
  <c r="E2562" i="2"/>
  <c r="B2562" i="2"/>
  <c r="S2561" i="2"/>
  <c r="M2561" i="2"/>
  <c r="L2561" i="2"/>
  <c r="K2561" i="2"/>
  <c r="G2561" i="2"/>
  <c r="E2561" i="2"/>
  <c r="B2561" i="2"/>
  <c r="S2560" i="2"/>
  <c r="M2560" i="2"/>
  <c r="L2560" i="2"/>
  <c r="K2560" i="2"/>
  <c r="G2560" i="2"/>
  <c r="E2560" i="2"/>
  <c r="B2560" i="2"/>
  <c r="S2559" i="2"/>
  <c r="M2559" i="2"/>
  <c r="L2559" i="2"/>
  <c r="K2559" i="2"/>
  <c r="G2559" i="2"/>
  <c r="E2559" i="2"/>
  <c r="B2559" i="2"/>
  <c r="S2558" i="2"/>
  <c r="M2558" i="2"/>
  <c r="L2558" i="2"/>
  <c r="K2558" i="2"/>
  <c r="G2558" i="2"/>
  <c r="E2558" i="2"/>
  <c r="B2558" i="2"/>
  <c r="S2557" i="2"/>
  <c r="M2557" i="2"/>
  <c r="L2557" i="2"/>
  <c r="K2557" i="2"/>
  <c r="G2557" i="2"/>
  <c r="E2557" i="2"/>
  <c r="B2557" i="2"/>
  <c r="S2556" i="2"/>
  <c r="M2556" i="2"/>
  <c r="L2556" i="2"/>
  <c r="K2556" i="2"/>
  <c r="G2556" i="2"/>
  <c r="E2556" i="2"/>
  <c r="B2556" i="2"/>
  <c r="S2555" i="2"/>
  <c r="M2555" i="2"/>
  <c r="L2555" i="2"/>
  <c r="K2555" i="2"/>
  <c r="G2555" i="2"/>
  <c r="E2555" i="2"/>
  <c r="B2555" i="2"/>
  <c r="S2554" i="2"/>
  <c r="M2554" i="2"/>
  <c r="L2554" i="2"/>
  <c r="K2554" i="2"/>
  <c r="G2554" i="2"/>
  <c r="E2554" i="2"/>
  <c r="B2554" i="2"/>
  <c r="S2553" i="2"/>
  <c r="M2553" i="2"/>
  <c r="L2553" i="2"/>
  <c r="K2553" i="2"/>
  <c r="G2553" i="2"/>
  <c r="E2553" i="2"/>
  <c r="B2553" i="2"/>
  <c r="S2552" i="2"/>
  <c r="M2552" i="2"/>
  <c r="L2552" i="2"/>
  <c r="K2552" i="2"/>
  <c r="G2552" i="2"/>
  <c r="E2552" i="2"/>
  <c r="B2552" i="2"/>
  <c r="S2551" i="2"/>
  <c r="M2551" i="2"/>
  <c r="L2551" i="2"/>
  <c r="K2551" i="2"/>
  <c r="G2551" i="2"/>
  <c r="E2551" i="2"/>
  <c r="B2551" i="2"/>
  <c r="S2550" i="2"/>
  <c r="M2550" i="2"/>
  <c r="L2550" i="2"/>
  <c r="K2550" i="2"/>
  <c r="G2550" i="2"/>
  <c r="E2550" i="2"/>
  <c r="B2550" i="2"/>
  <c r="S2549" i="2"/>
  <c r="M2549" i="2"/>
  <c r="L2549" i="2"/>
  <c r="K2549" i="2"/>
  <c r="G2549" i="2"/>
  <c r="E2549" i="2"/>
  <c r="B2549" i="2"/>
  <c r="S2548" i="2"/>
  <c r="M2548" i="2"/>
  <c r="L2548" i="2"/>
  <c r="K2548" i="2"/>
  <c r="H2548" i="2"/>
  <c r="G2548" i="2"/>
  <c r="E2548" i="2"/>
  <c r="B2548" i="2"/>
  <c r="S2547" i="2"/>
  <c r="M2547" i="2"/>
  <c r="L2547" i="2"/>
  <c r="K2547" i="2"/>
  <c r="H2547" i="2"/>
  <c r="G2547" i="2"/>
  <c r="E2547" i="2"/>
  <c r="B2547" i="2"/>
  <c r="S2546" i="2"/>
  <c r="M2546" i="2"/>
  <c r="L2546" i="2"/>
  <c r="K2546" i="2"/>
  <c r="G2546" i="2"/>
  <c r="E2546" i="2"/>
  <c r="B2546" i="2"/>
  <c r="S2545" i="2"/>
  <c r="M2545" i="2"/>
  <c r="L2545" i="2"/>
  <c r="K2545" i="2"/>
  <c r="G2545" i="2"/>
  <c r="E2545" i="2"/>
  <c r="B2545" i="2"/>
  <c r="S2544" i="2"/>
  <c r="M2544" i="2"/>
  <c r="L2544" i="2"/>
  <c r="K2544" i="2"/>
  <c r="G2544" i="2"/>
  <c r="E2544" i="2"/>
  <c r="B2544" i="2"/>
  <c r="S2543" i="2"/>
  <c r="M2543" i="2"/>
  <c r="L2543" i="2"/>
  <c r="K2543" i="2"/>
  <c r="G2543" i="2"/>
  <c r="E2543" i="2"/>
  <c r="B2543" i="2"/>
  <c r="S2542" i="2"/>
  <c r="M2542" i="2"/>
  <c r="L2542" i="2"/>
  <c r="K2542" i="2"/>
  <c r="G2542" i="2"/>
  <c r="E2542" i="2"/>
  <c r="B2542" i="2"/>
  <c r="S2541" i="2"/>
  <c r="M2541" i="2"/>
  <c r="L2541" i="2"/>
  <c r="K2541" i="2"/>
  <c r="H2541" i="2"/>
  <c r="G2541" i="2"/>
  <c r="E2541" i="2"/>
  <c r="B2541" i="2"/>
  <c r="S2540" i="2"/>
  <c r="M2540" i="2"/>
  <c r="L2540" i="2"/>
  <c r="K2540" i="2"/>
  <c r="G2540" i="2"/>
  <c r="E2540" i="2"/>
  <c r="B2540" i="2"/>
  <c r="S2539" i="2"/>
  <c r="M2539" i="2"/>
  <c r="L2539" i="2"/>
  <c r="K2539" i="2"/>
  <c r="G2539" i="2"/>
  <c r="E2539" i="2"/>
  <c r="B2539" i="2"/>
  <c r="S2538" i="2"/>
  <c r="M2538" i="2"/>
  <c r="L2538" i="2"/>
  <c r="K2538" i="2"/>
  <c r="G2538" i="2"/>
  <c r="E2538" i="2"/>
  <c r="B2538" i="2"/>
  <c r="S2537" i="2"/>
  <c r="M2537" i="2"/>
  <c r="L2537" i="2"/>
  <c r="K2537" i="2"/>
  <c r="G2537" i="2"/>
  <c r="E2537" i="2"/>
  <c r="B2537" i="2"/>
  <c r="S2536" i="2"/>
  <c r="M2536" i="2"/>
  <c r="L2536" i="2"/>
  <c r="K2536" i="2"/>
  <c r="G2536" i="2"/>
  <c r="E2536" i="2"/>
  <c r="B2536" i="2"/>
  <c r="S2535" i="2"/>
  <c r="M2535" i="2"/>
  <c r="L2535" i="2"/>
  <c r="K2535" i="2"/>
  <c r="H2535" i="2"/>
  <c r="G2535" i="2"/>
  <c r="E2535" i="2"/>
  <c r="B2535" i="2"/>
  <c r="S2534" i="2"/>
  <c r="M2534" i="2"/>
  <c r="L2534" i="2"/>
  <c r="K2534" i="2"/>
  <c r="H2534" i="2"/>
  <c r="G2534" i="2"/>
  <c r="E2534" i="2"/>
  <c r="B2534" i="2"/>
  <c r="S2533" i="2"/>
  <c r="M2533" i="2"/>
  <c r="L2533" i="2"/>
  <c r="K2533" i="2"/>
  <c r="G2533" i="2"/>
  <c r="E2533" i="2"/>
  <c r="B2533" i="2"/>
  <c r="S2532" i="2"/>
  <c r="M2532" i="2"/>
  <c r="L2532" i="2"/>
  <c r="K2532" i="2"/>
  <c r="G2532" i="2"/>
  <c r="E2532" i="2"/>
  <c r="B2532" i="2"/>
  <c r="S2531" i="2"/>
  <c r="M2531" i="2"/>
  <c r="L2531" i="2"/>
  <c r="K2531" i="2"/>
  <c r="G2531" i="2"/>
  <c r="E2531" i="2"/>
  <c r="B2531" i="2"/>
  <c r="S2530" i="2"/>
  <c r="M2530" i="2"/>
  <c r="L2530" i="2"/>
  <c r="K2530" i="2"/>
  <c r="G2530" i="2"/>
  <c r="E2530" i="2"/>
  <c r="B2530" i="2"/>
  <c r="S2529" i="2"/>
  <c r="M2529" i="2"/>
  <c r="L2529" i="2"/>
  <c r="K2529" i="2"/>
  <c r="G2529" i="2"/>
  <c r="E2529" i="2"/>
  <c r="B2529" i="2"/>
  <c r="S2528" i="2"/>
  <c r="M2528" i="2"/>
  <c r="L2528" i="2"/>
  <c r="K2528" i="2"/>
  <c r="G2528" i="2"/>
  <c r="E2528" i="2"/>
  <c r="B2528" i="2"/>
  <c r="S2527" i="2"/>
  <c r="M2527" i="2"/>
  <c r="L2527" i="2"/>
  <c r="K2527" i="2"/>
  <c r="G2527" i="2"/>
  <c r="E2527" i="2"/>
  <c r="B2527" i="2"/>
  <c r="S2526" i="2"/>
  <c r="M2526" i="2"/>
  <c r="L2526" i="2"/>
  <c r="K2526" i="2"/>
  <c r="G2526" i="2"/>
  <c r="E2526" i="2"/>
  <c r="B2526" i="2"/>
  <c r="S2525" i="2"/>
  <c r="M2525" i="2"/>
  <c r="L2525" i="2"/>
  <c r="K2525" i="2"/>
  <c r="G2525" i="2"/>
  <c r="E2525" i="2"/>
  <c r="B2525" i="2"/>
  <c r="S2524" i="2"/>
  <c r="M2524" i="2"/>
  <c r="L2524" i="2"/>
  <c r="K2524" i="2"/>
  <c r="G2524" i="2"/>
  <c r="E2524" i="2"/>
  <c r="B2524" i="2"/>
  <c r="S2523" i="2"/>
  <c r="M2523" i="2"/>
  <c r="L2523" i="2"/>
  <c r="K2523" i="2"/>
  <c r="G2523" i="2"/>
  <c r="E2523" i="2"/>
  <c r="B2523" i="2"/>
  <c r="S2522" i="2"/>
  <c r="M2522" i="2"/>
  <c r="L2522" i="2"/>
  <c r="K2522" i="2"/>
  <c r="G2522" i="2"/>
  <c r="E2522" i="2"/>
  <c r="B2522" i="2"/>
  <c r="S2521" i="2"/>
  <c r="M2521" i="2"/>
  <c r="L2521" i="2"/>
  <c r="K2521" i="2"/>
  <c r="G2521" i="2"/>
  <c r="E2521" i="2"/>
  <c r="B2521" i="2"/>
  <c r="S2520" i="2"/>
  <c r="M2520" i="2"/>
  <c r="L2520" i="2"/>
  <c r="K2520" i="2"/>
  <c r="G2520" i="2"/>
  <c r="E2520" i="2"/>
  <c r="B2520" i="2"/>
  <c r="S2519" i="2"/>
  <c r="M2519" i="2"/>
  <c r="L2519" i="2"/>
  <c r="K2519" i="2"/>
  <c r="G2519" i="2"/>
  <c r="E2519" i="2"/>
  <c r="B2519" i="2"/>
  <c r="S2518" i="2"/>
  <c r="M2518" i="2"/>
  <c r="L2518" i="2"/>
  <c r="K2518" i="2"/>
  <c r="G2518" i="2"/>
  <c r="E2518" i="2"/>
  <c r="B2518" i="2"/>
  <c r="S2517" i="2"/>
  <c r="M2517" i="2"/>
  <c r="L2517" i="2"/>
  <c r="K2517" i="2"/>
  <c r="G2517" i="2"/>
  <c r="E2517" i="2"/>
  <c r="B2517" i="2"/>
  <c r="S2516" i="2"/>
  <c r="M2516" i="2"/>
  <c r="L2516" i="2"/>
  <c r="K2516" i="2"/>
  <c r="G2516" i="2"/>
  <c r="E2516" i="2"/>
  <c r="B2516" i="2"/>
  <c r="S2515" i="2"/>
  <c r="M2515" i="2"/>
  <c r="L2515" i="2"/>
  <c r="K2515" i="2"/>
  <c r="G2515" i="2"/>
  <c r="E2515" i="2"/>
  <c r="B2515" i="2"/>
  <c r="S2514" i="2"/>
  <c r="M2514" i="2"/>
  <c r="L2514" i="2"/>
  <c r="K2514" i="2"/>
  <c r="G2514" i="2"/>
  <c r="E2514" i="2"/>
  <c r="B2514" i="2"/>
  <c r="S2513" i="2"/>
  <c r="M2513" i="2"/>
  <c r="L2513" i="2"/>
  <c r="K2513" i="2"/>
  <c r="G2513" i="2"/>
  <c r="E2513" i="2"/>
  <c r="B2513" i="2"/>
  <c r="S2512" i="2"/>
  <c r="M2512" i="2"/>
  <c r="L2512" i="2"/>
  <c r="K2512" i="2"/>
  <c r="G2512" i="2"/>
  <c r="E2512" i="2"/>
  <c r="B2512" i="2"/>
  <c r="S2511" i="2"/>
  <c r="M2511" i="2"/>
  <c r="L2511" i="2"/>
  <c r="K2511" i="2"/>
  <c r="G2511" i="2"/>
  <c r="E2511" i="2"/>
  <c r="B2511" i="2"/>
  <c r="S2510" i="2"/>
  <c r="M2510" i="2"/>
  <c r="L2510" i="2"/>
  <c r="K2510" i="2"/>
  <c r="G2510" i="2"/>
  <c r="E2510" i="2"/>
  <c r="B2510" i="2"/>
  <c r="S2509" i="2"/>
  <c r="M2509" i="2"/>
  <c r="L2509" i="2"/>
  <c r="K2509" i="2"/>
  <c r="G2509" i="2"/>
  <c r="E2509" i="2"/>
  <c r="B2509" i="2"/>
  <c r="S2508" i="2"/>
  <c r="M2508" i="2"/>
  <c r="L2508" i="2"/>
  <c r="K2508" i="2"/>
  <c r="H2508" i="2"/>
  <c r="G2508" i="2"/>
  <c r="E2508" i="2"/>
  <c r="B2508" i="2"/>
  <c r="S2507" i="2"/>
  <c r="M2507" i="2"/>
  <c r="L2507" i="2"/>
  <c r="K2507" i="2"/>
  <c r="G2507" i="2"/>
  <c r="E2507" i="2"/>
  <c r="B2507" i="2"/>
  <c r="S2506" i="2"/>
  <c r="M2506" i="2"/>
  <c r="L2506" i="2"/>
  <c r="K2506" i="2"/>
  <c r="H2506" i="2"/>
  <c r="G2506" i="2"/>
  <c r="E2506" i="2"/>
  <c r="B2506" i="2"/>
  <c r="S2505" i="2"/>
  <c r="M2505" i="2"/>
  <c r="L2505" i="2"/>
  <c r="K2505" i="2"/>
  <c r="H2505" i="2"/>
  <c r="G2505" i="2"/>
  <c r="E2505" i="2"/>
  <c r="B2505" i="2"/>
  <c r="S2504" i="2"/>
  <c r="M2504" i="2"/>
  <c r="L2504" i="2"/>
  <c r="K2504" i="2"/>
  <c r="G2504" i="2"/>
  <c r="E2504" i="2"/>
  <c r="B2504" i="2"/>
  <c r="S2503" i="2"/>
  <c r="M2503" i="2"/>
  <c r="L2503" i="2"/>
  <c r="K2503" i="2"/>
  <c r="G2503" i="2"/>
  <c r="E2503" i="2"/>
  <c r="B2503" i="2"/>
  <c r="S2502" i="2"/>
  <c r="M2502" i="2"/>
  <c r="L2502" i="2"/>
  <c r="K2502" i="2"/>
  <c r="G2502" i="2"/>
  <c r="E2502" i="2"/>
  <c r="B2502" i="2"/>
  <c r="S2501" i="2"/>
  <c r="M2501" i="2"/>
  <c r="L2501" i="2"/>
  <c r="K2501" i="2"/>
  <c r="G2501" i="2"/>
  <c r="E2501" i="2"/>
  <c r="B2501" i="2"/>
  <c r="S2500" i="2"/>
  <c r="M2500" i="2"/>
  <c r="L2500" i="2"/>
  <c r="K2500" i="2"/>
  <c r="G2500" i="2"/>
  <c r="E2500" i="2"/>
  <c r="B2500" i="2"/>
  <c r="S2499" i="2"/>
  <c r="M2499" i="2"/>
  <c r="L2499" i="2"/>
  <c r="K2499" i="2"/>
  <c r="G2499" i="2"/>
  <c r="E2499" i="2"/>
  <c r="B2499" i="2"/>
  <c r="S2498" i="2"/>
  <c r="M2498" i="2"/>
  <c r="L2498" i="2"/>
  <c r="K2498" i="2"/>
  <c r="G2498" i="2"/>
  <c r="E2498" i="2"/>
  <c r="B2498" i="2"/>
  <c r="S2497" i="2"/>
  <c r="M2497" i="2"/>
  <c r="L2497" i="2"/>
  <c r="K2497" i="2"/>
  <c r="G2497" i="2"/>
  <c r="E2497" i="2"/>
  <c r="B2497" i="2"/>
  <c r="S2496" i="2"/>
  <c r="M2496" i="2"/>
  <c r="L2496" i="2"/>
  <c r="K2496" i="2"/>
  <c r="H2496" i="2"/>
  <c r="G2496" i="2"/>
  <c r="E2496" i="2"/>
  <c r="B2496" i="2"/>
  <c r="S2495" i="2"/>
  <c r="M2495" i="2"/>
  <c r="L2495" i="2"/>
  <c r="K2495" i="2"/>
  <c r="H2495" i="2"/>
  <c r="G2495" i="2"/>
  <c r="E2495" i="2"/>
  <c r="B2495" i="2"/>
  <c r="S2494" i="2"/>
  <c r="M2494" i="2"/>
  <c r="L2494" i="2"/>
  <c r="K2494" i="2"/>
  <c r="G2494" i="2"/>
  <c r="E2494" i="2"/>
  <c r="B2494" i="2"/>
  <c r="S2493" i="2"/>
  <c r="M2493" i="2"/>
  <c r="L2493" i="2"/>
  <c r="K2493" i="2"/>
  <c r="G2493" i="2"/>
  <c r="E2493" i="2"/>
  <c r="B2493" i="2"/>
  <c r="S2492" i="2"/>
  <c r="M2492" i="2"/>
  <c r="L2492" i="2"/>
  <c r="K2492" i="2"/>
  <c r="G2492" i="2"/>
  <c r="E2492" i="2"/>
  <c r="B2492" i="2"/>
  <c r="S2491" i="2"/>
  <c r="M2491" i="2"/>
  <c r="L2491" i="2"/>
  <c r="K2491" i="2"/>
  <c r="G2491" i="2"/>
  <c r="E2491" i="2"/>
  <c r="B2491" i="2"/>
  <c r="S2490" i="2"/>
  <c r="M2490" i="2"/>
  <c r="L2490" i="2"/>
  <c r="K2490" i="2"/>
  <c r="G2490" i="2"/>
  <c r="E2490" i="2"/>
  <c r="B2490" i="2"/>
  <c r="S2489" i="2"/>
  <c r="M2489" i="2"/>
  <c r="L2489" i="2"/>
  <c r="K2489" i="2"/>
  <c r="G2489" i="2"/>
  <c r="E2489" i="2"/>
  <c r="B2489" i="2"/>
  <c r="S2488" i="2"/>
  <c r="M2488" i="2"/>
  <c r="L2488" i="2"/>
  <c r="K2488" i="2"/>
  <c r="H2488" i="2"/>
  <c r="G2488" i="2"/>
  <c r="E2488" i="2"/>
  <c r="B2488" i="2"/>
  <c r="S2487" i="2"/>
  <c r="M2487" i="2"/>
  <c r="L2487" i="2"/>
  <c r="K2487" i="2"/>
  <c r="H2487" i="2"/>
  <c r="G2487" i="2"/>
  <c r="E2487" i="2"/>
  <c r="B2487" i="2"/>
  <c r="S2486" i="2"/>
  <c r="M2486" i="2"/>
  <c r="L2486" i="2"/>
  <c r="K2486" i="2"/>
  <c r="G2486" i="2"/>
  <c r="E2486" i="2"/>
  <c r="B2486" i="2"/>
  <c r="S2485" i="2"/>
  <c r="M2485" i="2"/>
  <c r="L2485" i="2"/>
  <c r="K2485" i="2"/>
  <c r="G2485" i="2"/>
  <c r="E2485" i="2"/>
  <c r="B2485" i="2"/>
  <c r="S2484" i="2"/>
  <c r="M2484" i="2"/>
  <c r="L2484" i="2"/>
  <c r="K2484" i="2"/>
  <c r="H2484" i="2"/>
  <c r="G2484" i="2"/>
  <c r="E2484" i="2"/>
  <c r="B2484" i="2"/>
  <c r="S2483" i="2"/>
  <c r="M2483" i="2"/>
  <c r="L2483" i="2"/>
  <c r="K2483" i="2"/>
  <c r="G2483" i="2"/>
  <c r="E2483" i="2"/>
  <c r="B2483" i="2"/>
  <c r="S2482" i="2"/>
  <c r="M2482" i="2"/>
  <c r="L2482" i="2"/>
  <c r="K2482" i="2"/>
  <c r="G2482" i="2"/>
  <c r="E2482" i="2"/>
  <c r="B2482" i="2"/>
  <c r="S2481" i="2"/>
  <c r="M2481" i="2"/>
  <c r="L2481" i="2"/>
  <c r="K2481" i="2"/>
  <c r="H2481" i="2"/>
  <c r="G2481" i="2"/>
  <c r="E2481" i="2"/>
  <c r="B2481" i="2"/>
  <c r="S2480" i="2"/>
  <c r="M2480" i="2"/>
  <c r="L2480" i="2"/>
  <c r="K2480" i="2"/>
  <c r="H2480" i="2"/>
  <c r="G2480" i="2"/>
  <c r="E2480" i="2"/>
  <c r="B2480" i="2"/>
  <c r="S2479" i="2"/>
  <c r="M2479" i="2"/>
  <c r="L2479" i="2"/>
  <c r="K2479" i="2"/>
  <c r="H2479" i="2"/>
  <c r="G2479" i="2"/>
  <c r="E2479" i="2"/>
  <c r="B2479" i="2"/>
  <c r="S2478" i="2"/>
  <c r="M2478" i="2"/>
  <c r="L2478" i="2"/>
  <c r="K2478" i="2"/>
  <c r="G2478" i="2"/>
  <c r="E2478" i="2"/>
  <c r="B2478" i="2"/>
  <c r="S2477" i="2"/>
  <c r="M2477" i="2"/>
  <c r="L2477" i="2"/>
  <c r="K2477" i="2"/>
  <c r="G2477" i="2"/>
  <c r="E2477" i="2"/>
  <c r="B2477" i="2"/>
  <c r="S2476" i="2"/>
  <c r="M2476" i="2"/>
  <c r="L2476" i="2"/>
  <c r="K2476" i="2"/>
  <c r="H2476" i="2"/>
  <c r="G2476" i="2"/>
  <c r="E2476" i="2"/>
  <c r="B2476" i="2"/>
  <c r="S2475" i="2"/>
  <c r="M2475" i="2"/>
  <c r="L2475" i="2"/>
  <c r="K2475" i="2"/>
  <c r="G2475" i="2"/>
  <c r="E2475" i="2"/>
  <c r="B2475" i="2"/>
  <c r="S2474" i="2"/>
  <c r="M2474" i="2"/>
  <c r="L2474" i="2"/>
  <c r="K2474" i="2"/>
  <c r="G2474" i="2"/>
  <c r="E2474" i="2"/>
  <c r="B2474" i="2"/>
  <c r="S2473" i="2"/>
  <c r="M2473" i="2"/>
  <c r="L2473" i="2"/>
  <c r="K2473" i="2"/>
  <c r="H2473" i="2"/>
  <c r="G2473" i="2"/>
  <c r="E2473" i="2"/>
  <c r="B2473" i="2"/>
  <c r="S2472" i="2"/>
  <c r="M2472" i="2"/>
  <c r="L2472" i="2"/>
  <c r="K2472" i="2"/>
  <c r="G2472" i="2"/>
  <c r="E2472" i="2"/>
  <c r="B2472" i="2"/>
  <c r="S2471" i="2"/>
  <c r="M2471" i="2"/>
  <c r="L2471" i="2"/>
  <c r="K2471" i="2"/>
  <c r="G2471" i="2"/>
  <c r="E2471" i="2"/>
  <c r="B2471" i="2"/>
  <c r="S2470" i="2"/>
  <c r="M2470" i="2"/>
  <c r="L2470" i="2"/>
  <c r="K2470" i="2"/>
  <c r="G2470" i="2"/>
  <c r="E2470" i="2"/>
  <c r="B2470" i="2"/>
  <c r="S2469" i="2"/>
  <c r="M2469" i="2"/>
  <c r="L2469" i="2"/>
  <c r="K2469" i="2"/>
  <c r="H2469" i="2"/>
  <c r="G2469" i="2"/>
  <c r="E2469" i="2"/>
  <c r="B2469" i="2"/>
  <c r="S2468" i="2"/>
  <c r="M2468" i="2"/>
  <c r="L2468" i="2"/>
  <c r="K2468" i="2"/>
  <c r="H2468" i="2"/>
  <c r="G2468" i="2"/>
  <c r="E2468" i="2"/>
  <c r="B2468" i="2"/>
  <c r="S2467" i="2"/>
  <c r="M2467" i="2"/>
  <c r="L2467" i="2"/>
  <c r="K2467" i="2"/>
  <c r="H2467" i="2"/>
  <c r="G2467" i="2"/>
  <c r="E2467" i="2"/>
  <c r="B2467" i="2"/>
  <c r="S2466" i="2"/>
  <c r="M2466" i="2"/>
  <c r="L2466" i="2"/>
  <c r="K2466" i="2"/>
  <c r="G2466" i="2"/>
  <c r="E2466" i="2"/>
  <c r="B2466" i="2"/>
  <c r="S2465" i="2"/>
  <c r="M2465" i="2"/>
  <c r="L2465" i="2"/>
  <c r="K2465" i="2"/>
  <c r="H2465" i="2"/>
  <c r="G2465" i="2"/>
  <c r="E2465" i="2"/>
  <c r="B2465" i="2"/>
  <c r="S2464" i="2"/>
  <c r="M2464" i="2"/>
  <c r="L2464" i="2"/>
  <c r="K2464" i="2"/>
  <c r="G2464" i="2"/>
  <c r="E2464" i="2"/>
  <c r="B2464" i="2"/>
  <c r="S2463" i="2"/>
  <c r="M2463" i="2"/>
  <c r="L2463" i="2"/>
  <c r="K2463" i="2"/>
  <c r="H2463" i="2"/>
  <c r="G2463" i="2"/>
  <c r="E2463" i="2"/>
  <c r="B2463" i="2"/>
  <c r="S2462" i="2"/>
  <c r="M2462" i="2"/>
  <c r="L2462" i="2"/>
  <c r="K2462" i="2"/>
  <c r="H2462" i="2"/>
  <c r="G2462" i="2"/>
  <c r="E2462" i="2"/>
  <c r="B2462" i="2"/>
  <c r="S2461" i="2"/>
  <c r="M2461" i="2"/>
  <c r="L2461" i="2"/>
  <c r="K2461" i="2"/>
  <c r="G2461" i="2"/>
  <c r="E2461" i="2"/>
  <c r="B2461" i="2"/>
  <c r="S2460" i="2"/>
  <c r="M2460" i="2"/>
  <c r="L2460" i="2"/>
  <c r="K2460" i="2"/>
  <c r="G2460" i="2"/>
  <c r="E2460" i="2"/>
  <c r="B2460" i="2"/>
  <c r="S2459" i="2"/>
  <c r="M2459" i="2"/>
  <c r="L2459" i="2"/>
  <c r="K2459" i="2"/>
  <c r="H2459" i="2"/>
  <c r="G2459" i="2"/>
  <c r="E2459" i="2"/>
  <c r="B2459" i="2"/>
  <c r="S2458" i="2"/>
  <c r="M2458" i="2"/>
  <c r="L2458" i="2"/>
  <c r="K2458" i="2"/>
  <c r="H2458" i="2"/>
  <c r="G2458" i="2"/>
  <c r="E2458" i="2"/>
  <c r="B2458" i="2"/>
  <c r="S2457" i="2"/>
  <c r="M2457" i="2"/>
  <c r="L2457" i="2"/>
  <c r="K2457" i="2"/>
  <c r="G2457" i="2"/>
  <c r="E2457" i="2"/>
  <c r="B2457" i="2"/>
  <c r="S2456" i="2"/>
  <c r="M2456" i="2"/>
  <c r="L2456" i="2"/>
  <c r="K2456" i="2"/>
  <c r="G2456" i="2"/>
  <c r="E2456" i="2"/>
  <c r="B2456" i="2"/>
  <c r="S2455" i="2"/>
  <c r="M2455" i="2"/>
  <c r="L2455" i="2"/>
  <c r="K2455" i="2"/>
  <c r="G2455" i="2"/>
  <c r="E2455" i="2"/>
  <c r="B2455" i="2"/>
  <c r="S2454" i="2"/>
  <c r="M2454" i="2"/>
  <c r="L2454" i="2"/>
  <c r="K2454" i="2"/>
  <c r="G2454" i="2"/>
  <c r="E2454" i="2"/>
  <c r="B2454" i="2"/>
  <c r="S2453" i="2"/>
  <c r="M2453" i="2"/>
  <c r="L2453" i="2"/>
  <c r="K2453" i="2"/>
  <c r="G2453" i="2"/>
  <c r="E2453" i="2"/>
  <c r="B2453" i="2"/>
  <c r="S2452" i="2"/>
  <c r="M2452" i="2"/>
  <c r="L2452" i="2"/>
  <c r="K2452" i="2"/>
  <c r="H2452" i="2"/>
  <c r="G2452" i="2"/>
  <c r="E2452" i="2"/>
  <c r="B2452" i="2"/>
  <c r="S2451" i="2"/>
  <c r="M2451" i="2"/>
  <c r="L2451" i="2"/>
  <c r="K2451" i="2"/>
  <c r="H2451" i="2"/>
  <c r="G2451" i="2"/>
  <c r="E2451" i="2"/>
  <c r="B2451" i="2"/>
  <c r="S2450" i="2"/>
  <c r="M2450" i="2"/>
  <c r="L2450" i="2"/>
  <c r="K2450" i="2"/>
  <c r="H2450" i="2"/>
  <c r="G2450" i="2"/>
  <c r="E2450" i="2"/>
  <c r="B2450" i="2"/>
  <c r="S2449" i="2"/>
  <c r="M2449" i="2"/>
  <c r="L2449" i="2"/>
  <c r="K2449" i="2"/>
  <c r="H2449" i="2"/>
  <c r="G2449" i="2"/>
  <c r="E2449" i="2"/>
  <c r="B2449" i="2"/>
  <c r="S2448" i="2"/>
  <c r="M2448" i="2"/>
  <c r="L2448" i="2"/>
  <c r="K2448" i="2"/>
  <c r="H2448" i="2"/>
  <c r="G2448" i="2"/>
  <c r="E2448" i="2"/>
  <c r="B2448" i="2"/>
  <c r="S2447" i="2"/>
  <c r="M2447" i="2"/>
  <c r="L2447" i="2"/>
  <c r="K2447" i="2"/>
  <c r="H2447" i="2"/>
  <c r="G2447" i="2"/>
  <c r="E2447" i="2"/>
  <c r="B2447" i="2"/>
  <c r="S2446" i="2"/>
  <c r="M2446" i="2"/>
  <c r="L2446" i="2"/>
  <c r="K2446" i="2"/>
  <c r="G2446" i="2"/>
  <c r="E2446" i="2"/>
  <c r="B2446" i="2"/>
  <c r="S2445" i="2"/>
  <c r="M2445" i="2"/>
  <c r="L2445" i="2"/>
  <c r="K2445" i="2"/>
  <c r="G2445" i="2"/>
  <c r="E2445" i="2"/>
  <c r="B2445" i="2"/>
  <c r="S2444" i="2"/>
  <c r="M2444" i="2"/>
  <c r="L2444" i="2"/>
  <c r="K2444" i="2"/>
  <c r="H2444" i="2"/>
  <c r="G2444" i="2"/>
  <c r="E2444" i="2"/>
  <c r="B2444" i="2"/>
  <c r="S2443" i="2"/>
  <c r="M2443" i="2"/>
  <c r="L2443" i="2"/>
  <c r="K2443" i="2"/>
  <c r="G2443" i="2"/>
  <c r="E2443" i="2"/>
  <c r="B2443" i="2"/>
  <c r="S2442" i="2"/>
  <c r="M2442" i="2"/>
  <c r="L2442" i="2"/>
  <c r="K2442" i="2"/>
  <c r="G2442" i="2"/>
  <c r="E2442" i="2"/>
  <c r="B2442" i="2"/>
  <c r="S2441" i="2"/>
  <c r="M2441" i="2"/>
  <c r="L2441" i="2"/>
  <c r="K2441" i="2"/>
  <c r="H2441" i="2"/>
  <c r="G2441" i="2"/>
  <c r="E2441" i="2"/>
  <c r="B2441" i="2"/>
  <c r="S2440" i="2"/>
  <c r="M2440" i="2"/>
  <c r="L2440" i="2"/>
  <c r="K2440" i="2"/>
  <c r="H2440" i="2"/>
  <c r="G2440" i="2"/>
  <c r="E2440" i="2"/>
  <c r="B2440" i="2"/>
  <c r="S2439" i="2"/>
  <c r="M2439" i="2"/>
  <c r="L2439" i="2"/>
  <c r="K2439" i="2"/>
  <c r="H2439" i="2"/>
  <c r="G2439" i="2"/>
  <c r="E2439" i="2"/>
  <c r="B2439" i="2"/>
  <c r="S2438" i="2"/>
  <c r="M2438" i="2"/>
  <c r="L2438" i="2"/>
  <c r="K2438" i="2"/>
  <c r="G2438" i="2"/>
  <c r="E2438" i="2"/>
  <c r="B2438" i="2"/>
  <c r="S2437" i="2"/>
  <c r="M2437" i="2"/>
  <c r="L2437" i="2"/>
  <c r="K2437" i="2"/>
  <c r="G2437" i="2"/>
  <c r="E2437" i="2"/>
  <c r="B2437" i="2"/>
  <c r="S2436" i="2"/>
  <c r="M2436" i="2"/>
  <c r="L2436" i="2"/>
  <c r="K2436" i="2"/>
  <c r="G2436" i="2"/>
  <c r="E2436" i="2"/>
  <c r="B2436" i="2"/>
  <c r="S2435" i="2"/>
  <c r="M2435" i="2"/>
  <c r="L2435" i="2"/>
  <c r="K2435" i="2"/>
  <c r="G2435" i="2"/>
  <c r="E2435" i="2"/>
  <c r="B2435" i="2"/>
  <c r="S2434" i="2"/>
  <c r="M2434" i="2"/>
  <c r="L2434" i="2"/>
  <c r="K2434" i="2"/>
  <c r="G2434" i="2"/>
  <c r="E2434" i="2"/>
  <c r="B2434" i="2"/>
  <c r="S2433" i="2"/>
  <c r="M2433" i="2"/>
  <c r="L2433" i="2"/>
  <c r="K2433" i="2"/>
  <c r="H2433" i="2"/>
  <c r="G2433" i="2"/>
  <c r="E2433" i="2"/>
  <c r="B2433" i="2"/>
  <c r="S2432" i="2"/>
  <c r="M2432" i="2"/>
  <c r="L2432" i="2"/>
  <c r="K2432" i="2"/>
  <c r="H2432" i="2"/>
  <c r="G2432" i="2"/>
  <c r="E2432" i="2"/>
  <c r="B2432" i="2"/>
  <c r="S2431" i="2"/>
  <c r="M2431" i="2"/>
  <c r="L2431" i="2"/>
  <c r="K2431" i="2"/>
  <c r="G2431" i="2"/>
  <c r="E2431" i="2"/>
  <c r="B2431" i="2"/>
  <c r="S2430" i="2"/>
  <c r="M2430" i="2"/>
  <c r="L2430" i="2"/>
  <c r="K2430" i="2"/>
  <c r="G2430" i="2"/>
  <c r="E2430" i="2"/>
  <c r="B2430" i="2"/>
  <c r="S2429" i="2"/>
  <c r="M2429" i="2"/>
  <c r="L2429" i="2"/>
  <c r="K2429" i="2"/>
  <c r="H2429" i="2"/>
  <c r="G2429" i="2"/>
  <c r="E2429" i="2"/>
  <c r="B2429" i="2"/>
  <c r="S2428" i="2"/>
  <c r="M2428" i="2"/>
  <c r="L2428" i="2"/>
  <c r="K2428" i="2"/>
  <c r="H2428" i="2"/>
  <c r="G2428" i="2"/>
  <c r="E2428" i="2"/>
  <c r="B2428" i="2"/>
  <c r="S2427" i="2"/>
  <c r="M2427" i="2"/>
  <c r="L2427" i="2"/>
  <c r="K2427" i="2"/>
  <c r="G2427" i="2"/>
  <c r="E2427" i="2"/>
  <c r="B2427" i="2"/>
  <c r="S2426" i="2"/>
  <c r="M2426" i="2"/>
  <c r="L2426" i="2"/>
  <c r="K2426" i="2"/>
  <c r="G2426" i="2"/>
  <c r="E2426" i="2"/>
  <c r="B2426" i="2"/>
  <c r="S2425" i="2"/>
  <c r="M2425" i="2"/>
  <c r="L2425" i="2"/>
  <c r="K2425" i="2"/>
  <c r="H2425" i="2"/>
  <c r="G2425" i="2"/>
  <c r="E2425" i="2"/>
  <c r="B2425" i="2"/>
  <c r="S2424" i="2"/>
  <c r="M2424" i="2"/>
  <c r="L2424" i="2"/>
  <c r="K2424" i="2"/>
  <c r="H2424" i="2"/>
  <c r="G2424" i="2"/>
  <c r="E2424" i="2"/>
  <c r="B2424" i="2"/>
  <c r="S2423" i="2"/>
  <c r="M2423" i="2"/>
  <c r="L2423" i="2"/>
  <c r="K2423" i="2"/>
  <c r="G2423" i="2"/>
  <c r="E2423" i="2"/>
  <c r="B2423" i="2"/>
  <c r="S2422" i="2"/>
  <c r="M2422" i="2"/>
  <c r="L2422" i="2"/>
  <c r="K2422" i="2"/>
  <c r="G2422" i="2"/>
  <c r="E2422" i="2"/>
  <c r="B2422" i="2"/>
  <c r="S2421" i="2"/>
  <c r="M2421" i="2"/>
  <c r="L2421" i="2"/>
  <c r="K2421" i="2"/>
  <c r="G2421" i="2"/>
  <c r="E2421" i="2"/>
  <c r="B2421" i="2"/>
  <c r="S2420" i="2"/>
  <c r="M2420" i="2"/>
  <c r="L2420" i="2"/>
  <c r="K2420" i="2"/>
  <c r="H2420" i="2"/>
  <c r="G2420" i="2"/>
  <c r="E2420" i="2"/>
  <c r="B2420" i="2"/>
  <c r="S2419" i="2"/>
  <c r="M2419" i="2"/>
  <c r="L2419" i="2"/>
  <c r="K2419" i="2"/>
  <c r="H2419" i="2"/>
  <c r="G2419" i="2"/>
  <c r="E2419" i="2"/>
  <c r="B2419" i="2"/>
  <c r="S2418" i="2"/>
  <c r="M2418" i="2"/>
  <c r="L2418" i="2"/>
  <c r="K2418" i="2"/>
  <c r="H2418" i="2"/>
  <c r="G2418" i="2"/>
  <c r="E2418" i="2"/>
  <c r="B2418" i="2"/>
  <c r="S2417" i="2"/>
  <c r="M2417" i="2"/>
  <c r="L2417" i="2"/>
  <c r="K2417" i="2"/>
  <c r="G2417" i="2"/>
  <c r="E2417" i="2"/>
  <c r="B2417" i="2"/>
  <c r="S2416" i="2"/>
  <c r="M2416" i="2"/>
  <c r="L2416" i="2"/>
  <c r="K2416" i="2"/>
  <c r="G2416" i="2"/>
  <c r="E2416" i="2"/>
  <c r="B2416" i="2"/>
  <c r="S2415" i="2"/>
  <c r="M2415" i="2"/>
  <c r="L2415" i="2"/>
  <c r="K2415" i="2"/>
  <c r="H2415" i="2"/>
  <c r="G2415" i="2"/>
  <c r="E2415" i="2"/>
  <c r="B2415" i="2"/>
  <c r="S2414" i="2"/>
  <c r="M2414" i="2"/>
  <c r="L2414" i="2"/>
  <c r="K2414" i="2"/>
  <c r="G2414" i="2"/>
  <c r="E2414" i="2"/>
  <c r="B2414" i="2"/>
  <c r="S2413" i="2"/>
  <c r="M2413" i="2"/>
  <c r="L2413" i="2"/>
  <c r="K2413" i="2"/>
  <c r="G2413" i="2"/>
  <c r="E2413" i="2"/>
  <c r="B2413" i="2"/>
  <c r="S2412" i="2"/>
  <c r="M2412" i="2"/>
  <c r="L2412" i="2"/>
  <c r="K2412" i="2"/>
  <c r="G2412" i="2"/>
  <c r="E2412" i="2"/>
  <c r="B2412" i="2"/>
  <c r="S2411" i="2"/>
  <c r="M2411" i="2"/>
  <c r="L2411" i="2"/>
  <c r="K2411" i="2"/>
  <c r="H2411" i="2"/>
  <c r="G2411" i="2"/>
  <c r="E2411" i="2"/>
  <c r="B2411" i="2"/>
  <c r="S2410" i="2"/>
  <c r="M2410" i="2"/>
  <c r="L2410" i="2"/>
  <c r="K2410" i="2"/>
  <c r="G2410" i="2"/>
  <c r="E2410" i="2"/>
  <c r="B2410" i="2"/>
  <c r="S2409" i="2"/>
  <c r="M2409" i="2"/>
  <c r="L2409" i="2"/>
  <c r="K2409" i="2"/>
  <c r="G2409" i="2"/>
  <c r="E2409" i="2"/>
  <c r="B2409" i="2"/>
  <c r="S2408" i="2"/>
  <c r="M2408" i="2"/>
  <c r="L2408" i="2"/>
  <c r="K2408" i="2"/>
  <c r="G2408" i="2"/>
  <c r="E2408" i="2"/>
  <c r="B2408" i="2"/>
  <c r="S2407" i="2"/>
  <c r="M2407" i="2"/>
  <c r="L2407" i="2"/>
  <c r="K2407" i="2"/>
  <c r="G2407" i="2"/>
  <c r="E2407" i="2"/>
  <c r="B2407" i="2"/>
  <c r="S2406" i="2"/>
  <c r="M2406" i="2"/>
  <c r="L2406" i="2"/>
  <c r="K2406" i="2"/>
  <c r="G2406" i="2"/>
  <c r="E2406" i="2"/>
  <c r="B2406" i="2"/>
  <c r="S2405" i="2"/>
  <c r="M2405" i="2"/>
  <c r="L2405" i="2"/>
  <c r="K2405" i="2"/>
  <c r="G2405" i="2"/>
  <c r="E2405" i="2"/>
  <c r="B2405" i="2"/>
  <c r="S2404" i="2"/>
  <c r="M2404" i="2"/>
  <c r="L2404" i="2"/>
  <c r="K2404" i="2"/>
  <c r="G2404" i="2"/>
  <c r="E2404" i="2"/>
  <c r="B2404" i="2"/>
  <c r="S2403" i="2"/>
  <c r="M2403" i="2"/>
  <c r="L2403" i="2"/>
  <c r="K2403" i="2"/>
  <c r="G2403" i="2"/>
  <c r="E2403" i="2"/>
  <c r="B2403" i="2"/>
  <c r="S2402" i="2"/>
  <c r="M2402" i="2"/>
  <c r="L2402" i="2"/>
  <c r="K2402" i="2"/>
  <c r="G2402" i="2"/>
  <c r="E2402" i="2"/>
  <c r="B2402" i="2"/>
  <c r="S2401" i="2"/>
  <c r="M2401" i="2"/>
  <c r="L2401" i="2"/>
  <c r="K2401" i="2"/>
  <c r="G2401" i="2"/>
  <c r="E2401" i="2"/>
  <c r="B2401" i="2"/>
  <c r="S2400" i="2"/>
  <c r="M2400" i="2"/>
  <c r="L2400" i="2"/>
  <c r="K2400" i="2"/>
  <c r="G2400" i="2"/>
  <c r="E2400" i="2"/>
  <c r="B2400" i="2"/>
  <c r="S2399" i="2"/>
  <c r="M2399" i="2"/>
  <c r="L2399" i="2"/>
  <c r="K2399" i="2"/>
  <c r="G2399" i="2"/>
  <c r="E2399" i="2"/>
  <c r="B2399" i="2"/>
  <c r="S2398" i="2"/>
  <c r="M2398" i="2"/>
  <c r="L2398" i="2"/>
  <c r="K2398" i="2"/>
  <c r="G2398" i="2"/>
  <c r="E2398" i="2"/>
  <c r="B2398" i="2"/>
  <c r="S2397" i="2"/>
  <c r="M2397" i="2"/>
  <c r="L2397" i="2"/>
  <c r="K2397" i="2"/>
  <c r="G2397" i="2"/>
  <c r="E2397" i="2"/>
  <c r="B2397" i="2"/>
  <c r="S2396" i="2"/>
  <c r="M2396" i="2"/>
  <c r="L2396" i="2"/>
  <c r="K2396" i="2"/>
  <c r="H2396" i="2"/>
  <c r="G2396" i="2"/>
  <c r="E2396" i="2"/>
  <c r="B2396" i="2"/>
  <c r="S2395" i="2"/>
  <c r="M2395" i="2"/>
  <c r="L2395" i="2"/>
  <c r="K2395" i="2"/>
  <c r="H2395" i="2"/>
  <c r="G2395" i="2"/>
  <c r="E2395" i="2"/>
  <c r="B2395" i="2"/>
  <c r="S2394" i="2"/>
  <c r="M2394" i="2"/>
  <c r="L2394" i="2"/>
  <c r="K2394" i="2"/>
  <c r="H2394" i="2"/>
  <c r="G2394" i="2"/>
  <c r="E2394" i="2"/>
  <c r="B2394" i="2"/>
  <c r="S2393" i="2"/>
  <c r="M2393" i="2"/>
  <c r="L2393" i="2"/>
  <c r="K2393" i="2"/>
  <c r="G2393" i="2"/>
  <c r="E2393" i="2"/>
  <c r="B2393" i="2"/>
  <c r="S2392" i="2"/>
  <c r="M2392" i="2"/>
  <c r="L2392" i="2"/>
  <c r="K2392" i="2"/>
  <c r="G2392" i="2"/>
  <c r="E2392" i="2"/>
  <c r="B2392" i="2"/>
  <c r="S2391" i="2"/>
  <c r="M2391" i="2"/>
  <c r="L2391" i="2"/>
  <c r="K2391" i="2"/>
  <c r="G2391" i="2"/>
  <c r="E2391" i="2"/>
  <c r="B2391" i="2"/>
  <c r="S2390" i="2"/>
  <c r="M2390" i="2"/>
  <c r="L2390" i="2"/>
  <c r="K2390" i="2"/>
  <c r="G2390" i="2"/>
  <c r="E2390" i="2"/>
  <c r="B2390" i="2"/>
  <c r="S2389" i="2"/>
  <c r="M2389" i="2"/>
  <c r="L2389" i="2"/>
  <c r="K2389" i="2"/>
  <c r="G2389" i="2"/>
  <c r="E2389" i="2"/>
  <c r="B2389" i="2"/>
  <c r="S2388" i="2"/>
  <c r="M2388" i="2"/>
  <c r="L2388" i="2"/>
  <c r="K2388" i="2"/>
  <c r="G2388" i="2"/>
  <c r="E2388" i="2"/>
  <c r="B2388" i="2"/>
  <c r="S2387" i="2"/>
  <c r="M2387" i="2"/>
  <c r="L2387" i="2"/>
  <c r="K2387" i="2"/>
  <c r="G2387" i="2"/>
  <c r="E2387" i="2"/>
  <c r="B2387" i="2"/>
  <c r="S2386" i="2"/>
  <c r="M2386" i="2"/>
  <c r="L2386" i="2"/>
  <c r="K2386" i="2"/>
  <c r="G2386" i="2"/>
  <c r="E2386" i="2"/>
  <c r="B2386" i="2"/>
  <c r="S2385" i="2"/>
  <c r="M2385" i="2"/>
  <c r="L2385" i="2"/>
  <c r="K2385" i="2"/>
  <c r="G2385" i="2"/>
  <c r="E2385" i="2"/>
  <c r="B2385" i="2"/>
  <c r="S2384" i="2"/>
  <c r="M2384" i="2"/>
  <c r="L2384" i="2"/>
  <c r="K2384" i="2"/>
  <c r="G2384" i="2"/>
  <c r="E2384" i="2"/>
  <c r="B2384" i="2"/>
  <c r="S2383" i="2"/>
  <c r="M2383" i="2"/>
  <c r="L2383" i="2"/>
  <c r="K2383" i="2"/>
  <c r="G2383" i="2"/>
  <c r="E2383" i="2"/>
  <c r="B2383" i="2"/>
  <c r="S2382" i="2"/>
  <c r="M2382" i="2"/>
  <c r="L2382" i="2"/>
  <c r="K2382" i="2"/>
  <c r="G2382" i="2"/>
  <c r="E2382" i="2"/>
  <c r="B2382" i="2"/>
  <c r="S2381" i="2"/>
  <c r="M2381" i="2"/>
  <c r="L2381" i="2"/>
  <c r="K2381" i="2"/>
  <c r="G2381" i="2"/>
  <c r="E2381" i="2"/>
  <c r="B2381" i="2"/>
  <c r="S2380" i="2"/>
  <c r="M2380" i="2"/>
  <c r="L2380" i="2"/>
  <c r="K2380" i="2"/>
  <c r="G2380" i="2"/>
  <c r="E2380" i="2"/>
  <c r="B2380" i="2"/>
  <c r="S2379" i="2"/>
  <c r="M2379" i="2"/>
  <c r="L2379" i="2"/>
  <c r="K2379" i="2"/>
  <c r="G2379" i="2"/>
  <c r="E2379" i="2"/>
  <c r="B2379" i="2"/>
  <c r="S2378" i="2"/>
  <c r="M2378" i="2"/>
  <c r="L2378" i="2"/>
  <c r="K2378" i="2"/>
  <c r="G2378" i="2"/>
  <c r="E2378" i="2"/>
  <c r="B2378" i="2"/>
  <c r="S2377" i="2"/>
  <c r="M2377" i="2"/>
  <c r="L2377" i="2"/>
  <c r="K2377" i="2"/>
  <c r="G2377" i="2"/>
  <c r="E2377" i="2"/>
  <c r="B2377" i="2"/>
  <c r="S2376" i="2"/>
  <c r="M2376" i="2"/>
  <c r="L2376" i="2"/>
  <c r="K2376" i="2"/>
  <c r="G2376" i="2"/>
  <c r="E2376" i="2"/>
  <c r="B2376" i="2"/>
  <c r="S2375" i="2"/>
  <c r="M2375" i="2"/>
  <c r="L2375" i="2"/>
  <c r="K2375" i="2"/>
  <c r="H2375" i="2"/>
  <c r="G2375" i="2"/>
  <c r="E2375" i="2"/>
  <c r="B2375" i="2"/>
  <c r="S2374" i="2"/>
  <c r="M2374" i="2"/>
  <c r="L2374" i="2"/>
  <c r="K2374" i="2"/>
  <c r="H2374" i="2"/>
  <c r="G2374" i="2"/>
  <c r="E2374" i="2"/>
  <c r="B2374" i="2"/>
  <c r="S2373" i="2"/>
  <c r="M2373" i="2"/>
  <c r="L2373" i="2"/>
  <c r="K2373" i="2"/>
  <c r="H2373" i="2"/>
  <c r="G2373" i="2"/>
  <c r="E2373" i="2"/>
  <c r="B2373" i="2"/>
  <c r="S2372" i="2"/>
  <c r="M2372" i="2"/>
  <c r="L2372" i="2"/>
  <c r="K2372" i="2"/>
  <c r="H2372" i="2"/>
  <c r="G2372" i="2"/>
  <c r="E2372" i="2"/>
  <c r="B2372" i="2"/>
  <c r="S2371" i="2"/>
  <c r="M2371" i="2"/>
  <c r="L2371" i="2"/>
  <c r="K2371" i="2"/>
  <c r="H2371" i="2"/>
  <c r="G2371" i="2"/>
  <c r="E2371" i="2"/>
  <c r="B2371" i="2"/>
  <c r="S2370" i="2"/>
  <c r="M2370" i="2"/>
  <c r="L2370" i="2"/>
  <c r="K2370" i="2"/>
  <c r="G2370" i="2"/>
  <c r="E2370" i="2"/>
  <c r="B2370" i="2"/>
  <c r="S2369" i="2"/>
  <c r="M2369" i="2"/>
  <c r="L2369" i="2"/>
  <c r="K2369" i="2"/>
  <c r="G2369" i="2"/>
  <c r="E2369" i="2"/>
  <c r="B2369" i="2"/>
  <c r="S2368" i="2"/>
  <c r="M2368" i="2"/>
  <c r="L2368" i="2"/>
  <c r="K2368" i="2"/>
  <c r="G2368" i="2"/>
  <c r="E2368" i="2"/>
  <c r="B2368" i="2"/>
  <c r="S2367" i="2"/>
  <c r="M2367" i="2"/>
  <c r="L2367" i="2"/>
  <c r="K2367" i="2"/>
  <c r="G2367" i="2"/>
  <c r="E2367" i="2"/>
  <c r="B2367" i="2"/>
  <c r="S2366" i="2"/>
  <c r="M2366" i="2"/>
  <c r="L2366" i="2"/>
  <c r="K2366" i="2"/>
  <c r="G2366" i="2"/>
  <c r="E2366" i="2"/>
  <c r="B2366" i="2"/>
  <c r="S2365" i="2"/>
  <c r="M2365" i="2"/>
  <c r="L2365" i="2"/>
  <c r="K2365" i="2"/>
  <c r="G2365" i="2"/>
  <c r="E2365" i="2"/>
  <c r="B2365" i="2"/>
  <c r="S2364" i="2"/>
  <c r="M2364" i="2"/>
  <c r="L2364" i="2"/>
  <c r="K2364" i="2"/>
  <c r="G2364" i="2"/>
  <c r="E2364" i="2"/>
  <c r="B2364" i="2"/>
  <c r="S2363" i="2"/>
  <c r="M2363" i="2"/>
  <c r="L2363" i="2"/>
  <c r="K2363" i="2"/>
  <c r="G2363" i="2"/>
  <c r="E2363" i="2"/>
  <c r="B2363" i="2"/>
  <c r="S2362" i="2"/>
  <c r="M2362" i="2"/>
  <c r="L2362" i="2"/>
  <c r="K2362" i="2"/>
  <c r="G2362" i="2"/>
  <c r="E2362" i="2"/>
  <c r="B2362" i="2"/>
  <c r="S2361" i="2"/>
  <c r="M2361" i="2"/>
  <c r="L2361" i="2"/>
  <c r="K2361" i="2"/>
  <c r="G2361" i="2"/>
  <c r="E2361" i="2"/>
  <c r="B2361" i="2"/>
  <c r="S2360" i="2"/>
  <c r="M2360" i="2"/>
  <c r="L2360" i="2"/>
  <c r="K2360" i="2"/>
  <c r="G2360" i="2"/>
  <c r="E2360" i="2"/>
  <c r="B2360" i="2"/>
  <c r="S2359" i="2"/>
  <c r="M2359" i="2"/>
  <c r="L2359" i="2"/>
  <c r="K2359" i="2"/>
  <c r="G2359" i="2"/>
  <c r="E2359" i="2"/>
  <c r="B2359" i="2"/>
  <c r="S2358" i="2"/>
  <c r="M2358" i="2"/>
  <c r="L2358" i="2"/>
  <c r="K2358" i="2"/>
  <c r="G2358" i="2"/>
  <c r="E2358" i="2"/>
  <c r="B2358" i="2"/>
  <c r="S2357" i="2"/>
  <c r="M2357" i="2"/>
  <c r="L2357" i="2"/>
  <c r="K2357" i="2"/>
  <c r="G2357" i="2"/>
  <c r="E2357" i="2"/>
  <c r="B2357" i="2"/>
  <c r="S2356" i="2"/>
  <c r="M2356" i="2"/>
  <c r="L2356" i="2"/>
  <c r="K2356" i="2"/>
  <c r="G2356" i="2"/>
  <c r="E2356" i="2"/>
  <c r="B2356" i="2"/>
  <c r="S2355" i="2"/>
  <c r="M2355" i="2"/>
  <c r="L2355" i="2"/>
  <c r="K2355" i="2"/>
  <c r="G2355" i="2"/>
  <c r="E2355" i="2"/>
  <c r="B2355" i="2"/>
  <c r="S2354" i="2"/>
  <c r="M2354" i="2"/>
  <c r="L2354" i="2"/>
  <c r="K2354" i="2"/>
  <c r="G2354" i="2"/>
  <c r="E2354" i="2"/>
  <c r="B2354" i="2"/>
  <c r="S2353" i="2"/>
  <c r="M2353" i="2"/>
  <c r="L2353" i="2"/>
  <c r="K2353" i="2"/>
  <c r="G2353" i="2"/>
  <c r="E2353" i="2"/>
  <c r="B2353" i="2"/>
  <c r="S2352" i="2"/>
  <c r="M2352" i="2"/>
  <c r="L2352" i="2"/>
  <c r="K2352" i="2"/>
  <c r="G2352" i="2"/>
  <c r="E2352" i="2"/>
  <c r="B2352" i="2"/>
  <c r="S2351" i="2"/>
  <c r="M2351" i="2"/>
  <c r="L2351" i="2"/>
  <c r="K2351" i="2"/>
  <c r="G2351" i="2"/>
  <c r="E2351" i="2"/>
  <c r="B2351" i="2"/>
  <c r="S2350" i="2"/>
  <c r="M2350" i="2"/>
  <c r="L2350" i="2"/>
  <c r="K2350" i="2"/>
  <c r="G2350" i="2"/>
  <c r="E2350" i="2"/>
  <c r="B2350" i="2"/>
  <c r="S2349" i="2"/>
  <c r="M2349" i="2"/>
  <c r="L2349" i="2"/>
  <c r="K2349" i="2"/>
  <c r="G2349" i="2"/>
  <c r="E2349" i="2"/>
  <c r="B2349" i="2"/>
  <c r="S2348" i="2"/>
  <c r="M2348" i="2"/>
  <c r="L2348" i="2"/>
  <c r="K2348" i="2"/>
  <c r="G2348" i="2"/>
  <c r="E2348" i="2"/>
  <c r="B2348" i="2"/>
  <c r="S2347" i="2"/>
  <c r="M2347" i="2"/>
  <c r="L2347" i="2"/>
  <c r="K2347" i="2"/>
  <c r="G2347" i="2"/>
  <c r="E2347" i="2"/>
  <c r="B2347" i="2"/>
  <c r="S2346" i="2"/>
  <c r="M2346" i="2"/>
  <c r="L2346" i="2"/>
  <c r="K2346" i="2"/>
  <c r="G2346" i="2"/>
  <c r="E2346" i="2"/>
  <c r="B2346" i="2"/>
  <c r="S2345" i="2"/>
  <c r="M2345" i="2"/>
  <c r="L2345" i="2"/>
  <c r="K2345" i="2"/>
  <c r="G2345" i="2"/>
  <c r="E2345" i="2"/>
  <c r="B2345" i="2"/>
  <c r="S2344" i="2"/>
  <c r="M2344" i="2"/>
  <c r="L2344" i="2"/>
  <c r="K2344" i="2"/>
  <c r="G2344" i="2"/>
  <c r="E2344" i="2"/>
  <c r="B2344" i="2"/>
  <c r="S2343" i="2"/>
  <c r="M2343" i="2"/>
  <c r="L2343" i="2"/>
  <c r="K2343" i="2"/>
  <c r="G2343" i="2"/>
  <c r="E2343" i="2"/>
  <c r="B2343" i="2"/>
  <c r="S2342" i="2"/>
  <c r="M2342" i="2"/>
  <c r="L2342" i="2"/>
  <c r="K2342" i="2"/>
  <c r="G2342" i="2"/>
  <c r="E2342" i="2"/>
  <c r="B2342" i="2"/>
  <c r="S2341" i="2"/>
  <c r="M2341" i="2"/>
  <c r="L2341" i="2"/>
  <c r="K2341" i="2"/>
  <c r="G2341" i="2"/>
  <c r="E2341" i="2"/>
  <c r="B2341" i="2"/>
  <c r="S2340" i="2"/>
  <c r="M2340" i="2"/>
  <c r="L2340" i="2"/>
  <c r="K2340" i="2"/>
  <c r="G2340" i="2"/>
  <c r="E2340" i="2"/>
  <c r="B2340" i="2"/>
  <c r="S2339" i="2"/>
  <c r="M2339" i="2"/>
  <c r="L2339" i="2"/>
  <c r="K2339" i="2"/>
  <c r="H2339" i="2"/>
  <c r="G2339" i="2"/>
  <c r="E2339" i="2"/>
  <c r="B2339" i="2"/>
  <c r="S2338" i="2"/>
  <c r="M2338" i="2"/>
  <c r="L2338" i="2"/>
  <c r="K2338" i="2"/>
  <c r="G2338" i="2"/>
  <c r="E2338" i="2"/>
  <c r="B2338" i="2"/>
  <c r="S2337" i="2"/>
  <c r="M2337" i="2"/>
  <c r="L2337" i="2"/>
  <c r="K2337" i="2"/>
  <c r="G2337" i="2"/>
  <c r="E2337" i="2"/>
  <c r="B2337" i="2"/>
  <c r="S2336" i="2"/>
  <c r="M2336" i="2"/>
  <c r="L2336" i="2"/>
  <c r="K2336" i="2"/>
  <c r="G2336" i="2"/>
  <c r="E2336" i="2"/>
  <c r="B2336" i="2"/>
  <c r="S2335" i="2"/>
  <c r="M2335" i="2"/>
  <c r="L2335" i="2"/>
  <c r="K2335" i="2"/>
  <c r="G2335" i="2"/>
  <c r="E2335" i="2"/>
  <c r="B2335" i="2"/>
  <c r="S2334" i="2"/>
  <c r="M2334" i="2"/>
  <c r="L2334" i="2"/>
  <c r="K2334" i="2"/>
  <c r="G2334" i="2"/>
  <c r="E2334" i="2"/>
  <c r="B2334" i="2"/>
  <c r="S2333" i="2"/>
  <c r="M2333" i="2"/>
  <c r="L2333" i="2"/>
  <c r="K2333" i="2"/>
  <c r="G2333" i="2"/>
  <c r="E2333" i="2"/>
  <c r="B2333" i="2"/>
  <c r="S2332" i="2"/>
  <c r="M2332" i="2"/>
  <c r="L2332" i="2"/>
  <c r="K2332" i="2"/>
  <c r="G2332" i="2"/>
  <c r="E2332" i="2"/>
  <c r="B2332" i="2"/>
  <c r="S2331" i="2"/>
  <c r="M2331" i="2"/>
  <c r="L2331" i="2"/>
  <c r="K2331" i="2"/>
  <c r="G2331" i="2"/>
  <c r="E2331" i="2"/>
  <c r="B2331" i="2"/>
  <c r="S2330" i="2"/>
  <c r="M2330" i="2"/>
  <c r="L2330" i="2"/>
  <c r="K2330" i="2"/>
  <c r="G2330" i="2"/>
  <c r="E2330" i="2"/>
  <c r="B2330" i="2"/>
  <c r="S2329" i="2"/>
  <c r="M2329" i="2"/>
  <c r="L2329" i="2"/>
  <c r="K2329" i="2"/>
  <c r="G2329" i="2"/>
  <c r="E2329" i="2"/>
  <c r="B2329" i="2"/>
  <c r="S2328" i="2"/>
  <c r="M2328" i="2"/>
  <c r="L2328" i="2"/>
  <c r="K2328" i="2"/>
  <c r="G2328" i="2"/>
  <c r="E2328" i="2"/>
  <c r="B2328" i="2"/>
  <c r="S2327" i="2"/>
  <c r="M2327" i="2"/>
  <c r="L2327" i="2"/>
  <c r="K2327" i="2"/>
  <c r="H2327" i="2"/>
  <c r="G2327" i="2"/>
  <c r="E2327" i="2"/>
  <c r="B2327" i="2"/>
  <c r="S2326" i="2"/>
  <c r="M2326" i="2"/>
  <c r="L2326" i="2"/>
  <c r="K2326" i="2"/>
  <c r="G2326" i="2"/>
  <c r="E2326" i="2"/>
  <c r="B2326" i="2"/>
  <c r="S2325" i="2"/>
  <c r="M2325" i="2"/>
  <c r="L2325" i="2"/>
  <c r="K2325" i="2"/>
  <c r="G2325" i="2"/>
  <c r="E2325" i="2"/>
  <c r="B2325" i="2"/>
  <c r="S2324" i="2"/>
  <c r="M2324" i="2"/>
  <c r="L2324" i="2"/>
  <c r="K2324" i="2"/>
  <c r="G2324" i="2"/>
  <c r="E2324" i="2"/>
  <c r="B2324" i="2"/>
  <c r="S2323" i="2"/>
  <c r="M2323" i="2"/>
  <c r="L2323" i="2"/>
  <c r="K2323" i="2"/>
  <c r="G2323" i="2"/>
  <c r="E2323" i="2"/>
  <c r="B2323" i="2"/>
  <c r="S2322" i="2"/>
  <c r="M2322" i="2"/>
  <c r="L2322" i="2"/>
  <c r="K2322" i="2"/>
  <c r="G2322" i="2"/>
  <c r="E2322" i="2"/>
  <c r="B2322" i="2"/>
  <c r="S2321" i="2"/>
  <c r="M2321" i="2"/>
  <c r="L2321" i="2"/>
  <c r="K2321" i="2"/>
  <c r="G2321" i="2"/>
  <c r="E2321" i="2"/>
  <c r="B2321" i="2"/>
  <c r="S2320" i="2"/>
  <c r="M2320" i="2"/>
  <c r="L2320" i="2"/>
  <c r="K2320" i="2"/>
  <c r="G2320" i="2"/>
  <c r="E2320" i="2"/>
  <c r="B2320" i="2"/>
  <c r="S2319" i="2"/>
  <c r="M2319" i="2"/>
  <c r="L2319" i="2"/>
  <c r="K2319" i="2"/>
  <c r="G2319" i="2"/>
  <c r="E2319" i="2"/>
  <c r="B2319" i="2"/>
  <c r="S2318" i="2"/>
  <c r="M2318" i="2"/>
  <c r="L2318" i="2"/>
  <c r="K2318" i="2"/>
  <c r="G2318" i="2"/>
  <c r="E2318" i="2"/>
  <c r="B2318" i="2"/>
  <c r="S2317" i="2"/>
  <c r="M2317" i="2"/>
  <c r="L2317" i="2"/>
  <c r="K2317" i="2"/>
  <c r="G2317" i="2"/>
  <c r="E2317" i="2"/>
  <c r="B2317" i="2"/>
  <c r="S2316" i="2"/>
  <c r="M2316" i="2"/>
  <c r="L2316" i="2"/>
  <c r="K2316" i="2"/>
  <c r="G2316" i="2"/>
  <c r="E2316" i="2"/>
  <c r="B2316" i="2"/>
  <c r="S2315" i="2"/>
  <c r="M2315" i="2"/>
  <c r="L2315" i="2"/>
  <c r="K2315" i="2"/>
  <c r="G2315" i="2"/>
  <c r="E2315" i="2"/>
  <c r="B2315" i="2"/>
  <c r="S2314" i="2"/>
  <c r="M2314" i="2"/>
  <c r="L2314" i="2"/>
  <c r="K2314" i="2"/>
  <c r="G2314" i="2"/>
  <c r="E2314" i="2"/>
  <c r="B2314" i="2"/>
  <c r="S2313" i="2"/>
  <c r="M2313" i="2"/>
  <c r="L2313" i="2"/>
  <c r="K2313" i="2"/>
  <c r="G2313" i="2"/>
  <c r="E2313" i="2"/>
  <c r="B2313" i="2"/>
  <c r="S2312" i="2"/>
  <c r="M2312" i="2"/>
  <c r="L2312" i="2"/>
  <c r="K2312" i="2"/>
  <c r="G2312" i="2"/>
  <c r="E2312" i="2"/>
  <c r="B2312" i="2"/>
  <c r="S2311" i="2"/>
  <c r="M2311" i="2"/>
  <c r="L2311" i="2"/>
  <c r="K2311" i="2"/>
  <c r="G2311" i="2"/>
  <c r="E2311" i="2"/>
  <c r="B2311" i="2"/>
  <c r="S2310" i="2"/>
  <c r="M2310" i="2"/>
  <c r="L2310" i="2"/>
  <c r="K2310" i="2"/>
  <c r="G2310" i="2"/>
  <c r="E2310" i="2"/>
  <c r="B2310" i="2"/>
  <c r="S2309" i="2"/>
  <c r="M2309" i="2"/>
  <c r="L2309" i="2"/>
  <c r="K2309" i="2"/>
  <c r="G2309" i="2"/>
  <c r="E2309" i="2"/>
  <c r="B2309" i="2"/>
  <c r="S2308" i="2"/>
  <c r="M2308" i="2"/>
  <c r="L2308" i="2"/>
  <c r="K2308" i="2"/>
  <c r="G2308" i="2"/>
  <c r="E2308" i="2"/>
  <c r="B2308" i="2"/>
  <c r="S2307" i="2"/>
  <c r="M2307" i="2"/>
  <c r="L2307" i="2"/>
  <c r="K2307" i="2"/>
  <c r="G2307" i="2"/>
  <c r="E2307" i="2"/>
  <c r="B2307" i="2"/>
  <c r="S2306" i="2"/>
  <c r="M2306" i="2"/>
  <c r="L2306" i="2"/>
  <c r="K2306" i="2"/>
  <c r="G2306" i="2"/>
  <c r="E2306" i="2"/>
  <c r="B2306" i="2"/>
  <c r="S2305" i="2"/>
  <c r="M2305" i="2"/>
  <c r="L2305" i="2"/>
  <c r="K2305" i="2"/>
  <c r="G2305" i="2"/>
  <c r="E2305" i="2"/>
  <c r="B2305" i="2"/>
  <c r="S2304" i="2"/>
  <c r="M2304" i="2"/>
  <c r="L2304" i="2"/>
  <c r="K2304" i="2"/>
  <c r="G2304" i="2"/>
  <c r="E2304" i="2"/>
  <c r="B2304" i="2"/>
  <c r="S2303" i="2"/>
  <c r="M2303" i="2"/>
  <c r="L2303" i="2"/>
  <c r="K2303" i="2"/>
  <c r="G2303" i="2"/>
  <c r="E2303" i="2"/>
  <c r="B2303" i="2"/>
  <c r="S2302" i="2"/>
  <c r="M2302" i="2"/>
  <c r="L2302" i="2"/>
  <c r="K2302" i="2"/>
  <c r="G2302" i="2"/>
  <c r="E2302" i="2"/>
  <c r="B2302" i="2"/>
  <c r="S2301" i="2"/>
  <c r="M2301" i="2"/>
  <c r="L2301" i="2"/>
  <c r="K2301" i="2"/>
  <c r="G2301" i="2"/>
  <c r="E2301" i="2"/>
  <c r="B2301" i="2"/>
  <c r="S2300" i="2"/>
  <c r="M2300" i="2"/>
  <c r="L2300" i="2"/>
  <c r="K2300" i="2"/>
  <c r="G2300" i="2"/>
  <c r="E2300" i="2"/>
  <c r="B2300" i="2"/>
  <c r="S2299" i="2"/>
  <c r="M2299" i="2"/>
  <c r="L2299" i="2"/>
  <c r="K2299" i="2"/>
  <c r="G2299" i="2"/>
  <c r="E2299" i="2"/>
  <c r="B2299" i="2"/>
  <c r="S2298" i="2"/>
  <c r="M2298" i="2"/>
  <c r="L2298" i="2"/>
  <c r="K2298" i="2"/>
  <c r="G2298" i="2"/>
  <c r="E2298" i="2"/>
  <c r="B2298" i="2"/>
  <c r="S2297" i="2"/>
  <c r="M2297" i="2"/>
  <c r="L2297" i="2"/>
  <c r="K2297" i="2"/>
  <c r="G2297" i="2"/>
  <c r="E2297" i="2"/>
  <c r="B2297" i="2"/>
  <c r="S2296" i="2"/>
  <c r="M2296" i="2"/>
  <c r="L2296" i="2"/>
  <c r="K2296" i="2"/>
  <c r="G2296" i="2"/>
  <c r="E2296" i="2"/>
  <c r="B2296" i="2"/>
  <c r="S2295" i="2"/>
  <c r="M2295" i="2"/>
  <c r="L2295" i="2"/>
  <c r="K2295" i="2"/>
  <c r="G2295" i="2"/>
  <c r="E2295" i="2"/>
  <c r="B2295" i="2"/>
  <c r="S2294" i="2"/>
  <c r="M2294" i="2"/>
  <c r="L2294" i="2"/>
  <c r="K2294" i="2"/>
  <c r="G2294" i="2"/>
  <c r="E2294" i="2"/>
  <c r="B2294" i="2"/>
  <c r="S2293" i="2"/>
  <c r="M2293" i="2"/>
  <c r="L2293" i="2"/>
  <c r="K2293" i="2"/>
  <c r="G2293" i="2"/>
  <c r="E2293" i="2"/>
  <c r="B2293" i="2"/>
  <c r="S2292" i="2"/>
  <c r="M2292" i="2"/>
  <c r="L2292" i="2"/>
  <c r="K2292" i="2"/>
  <c r="G2292" i="2"/>
  <c r="E2292" i="2"/>
  <c r="B2292" i="2"/>
  <c r="S2291" i="2"/>
  <c r="M2291" i="2"/>
  <c r="L2291" i="2"/>
  <c r="K2291" i="2"/>
  <c r="G2291" i="2"/>
  <c r="E2291" i="2"/>
  <c r="B2291" i="2"/>
  <c r="S2290" i="2"/>
  <c r="M2290" i="2"/>
  <c r="L2290" i="2"/>
  <c r="K2290" i="2"/>
  <c r="G2290" i="2"/>
  <c r="E2290" i="2"/>
  <c r="B2290" i="2"/>
  <c r="S2289" i="2"/>
  <c r="M2289" i="2"/>
  <c r="L2289" i="2"/>
  <c r="K2289" i="2"/>
  <c r="G2289" i="2"/>
  <c r="E2289" i="2"/>
  <c r="B2289" i="2"/>
  <c r="S2288" i="2"/>
  <c r="M2288" i="2"/>
  <c r="L2288" i="2"/>
  <c r="K2288" i="2"/>
  <c r="G2288" i="2"/>
  <c r="E2288" i="2"/>
  <c r="B2288" i="2"/>
  <c r="S2287" i="2"/>
  <c r="M2287" i="2"/>
  <c r="L2287" i="2"/>
  <c r="K2287" i="2"/>
  <c r="G2287" i="2"/>
  <c r="E2287" i="2"/>
  <c r="B2287" i="2"/>
  <c r="S2286" i="2"/>
  <c r="M2286" i="2"/>
  <c r="L2286" i="2"/>
  <c r="K2286" i="2"/>
  <c r="G2286" i="2"/>
  <c r="E2286" i="2"/>
  <c r="B2286" i="2"/>
  <c r="S2285" i="2"/>
  <c r="M2285" i="2"/>
  <c r="L2285" i="2"/>
  <c r="K2285" i="2"/>
  <c r="G2285" i="2"/>
  <c r="E2285" i="2"/>
  <c r="B2285" i="2"/>
  <c r="S2284" i="2"/>
  <c r="M2284" i="2"/>
  <c r="L2284" i="2"/>
  <c r="K2284" i="2"/>
  <c r="G2284" i="2"/>
  <c r="E2284" i="2"/>
  <c r="B2284" i="2"/>
  <c r="S2283" i="2"/>
  <c r="M2283" i="2"/>
  <c r="L2283" i="2"/>
  <c r="K2283" i="2"/>
  <c r="G2283" i="2"/>
  <c r="E2283" i="2"/>
  <c r="B2283" i="2"/>
  <c r="S2282" i="2"/>
  <c r="M2282" i="2"/>
  <c r="L2282" i="2"/>
  <c r="K2282" i="2"/>
  <c r="G2282" i="2"/>
  <c r="E2282" i="2"/>
  <c r="B2282" i="2"/>
  <c r="S2281" i="2"/>
  <c r="M2281" i="2"/>
  <c r="L2281" i="2"/>
  <c r="K2281" i="2"/>
  <c r="G2281" i="2"/>
  <c r="E2281" i="2"/>
  <c r="B2281" i="2"/>
  <c r="S2280" i="2"/>
  <c r="M2280" i="2"/>
  <c r="L2280" i="2"/>
  <c r="K2280" i="2"/>
  <c r="H2280" i="2"/>
  <c r="G2280" i="2"/>
  <c r="E2280" i="2"/>
  <c r="B2280" i="2"/>
  <c r="S2279" i="2"/>
  <c r="M2279" i="2"/>
  <c r="L2279" i="2"/>
  <c r="K2279" i="2"/>
  <c r="H2279" i="2"/>
  <c r="G2279" i="2"/>
  <c r="E2279" i="2"/>
  <c r="B2279" i="2"/>
  <c r="S2278" i="2"/>
  <c r="M2278" i="2"/>
  <c r="L2278" i="2"/>
  <c r="K2278" i="2"/>
  <c r="G2278" i="2"/>
  <c r="E2278" i="2"/>
  <c r="B2278" i="2"/>
  <c r="S2277" i="2"/>
  <c r="M2277" i="2"/>
  <c r="L2277" i="2"/>
  <c r="K2277" i="2"/>
  <c r="G2277" i="2"/>
  <c r="E2277" i="2"/>
  <c r="B2277" i="2"/>
  <c r="S2276" i="2"/>
  <c r="M2276" i="2"/>
  <c r="L2276" i="2"/>
  <c r="K2276" i="2"/>
  <c r="G2276" i="2"/>
  <c r="E2276" i="2"/>
  <c r="B2276" i="2"/>
  <c r="S2275" i="2"/>
  <c r="M2275" i="2"/>
  <c r="L2275" i="2"/>
  <c r="K2275" i="2"/>
  <c r="G2275" i="2"/>
  <c r="E2275" i="2"/>
  <c r="B2275" i="2"/>
  <c r="S2274" i="2"/>
  <c r="M2274" i="2"/>
  <c r="L2274" i="2"/>
  <c r="K2274" i="2"/>
  <c r="G2274" i="2"/>
  <c r="E2274" i="2"/>
  <c r="B2274" i="2"/>
  <c r="S2273" i="2"/>
  <c r="M2273" i="2"/>
  <c r="L2273" i="2"/>
  <c r="K2273" i="2"/>
  <c r="G2273" i="2"/>
  <c r="E2273" i="2"/>
  <c r="B2273" i="2"/>
  <c r="S2272" i="2"/>
  <c r="M2272" i="2"/>
  <c r="L2272" i="2"/>
  <c r="K2272" i="2"/>
  <c r="G2272" i="2"/>
  <c r="E2272" i="2"/>
  <c r="B2272" i="2"/>
  <c r="S2271" i="2"/>
  <c r="M2271" i="2"/>
  <c r="L2271" i="2"/>
  <c r="K2271" i="2"/>
  <c r="G2271" i="2"/>
  <c r="E2271" i="2"/>
  <c r="B2271" i="2"/>
  <c r="S2270" i="2"/>
  <c r="M2270" i="2"/>
  <c r="L2270" i="2"/>
  <c r="K2270" i="2"/>
  <c r="G2270" i="2"/>
  <c r="E2270" i="2"/>
  <c r="B2270" i="2"/>
  <c r="S2269" i="2"/>
  <c r="M2269" i="2"/>
  <c r="L2269" i="2"/>
  <c r="K2269" i="2"/>
  <c r="G2269" i="2"/>
  <c r="E2269" i="2"/>
  <c r="B2269" i="2"/>
  <c r="S2268" i="2"/>
  <c r="M2268" i="2"/>
  <c r="L2268" i="2"/>
  <c r="K2268" i="2"/>
  <c r="G2268" i="2"/>
  <c r="E2268" i="2"/>
  <c r="B2268" i="2"/>
  <c r="S2267" i="2"/>
  <c r="M2267" i="2"/>
  <c r="L2267" i="2"/>
  <c r="K2267" i="2"/>
  <c r="G2267" i="2"/>
  <c r="E2267" i="2"/>
  <c r="B2267" i="2"/>
  <c r="S2266" i="2"/>
  <c r="M2266" i="2"/>
  <c r="L2266" i="2"/>
  <c r="K2266" i="2"/>
  <c r="G2266" i="2"/>
  <c r="E2266" i="2"/>
  <c r="B2266" i="2"/>
  <c r="S2265" i="2"/>
  <c r="M2265" i="2"/>
  <c r="L2265" i="2"/>
  <c r="K2265" i="2"/>
  <c r="G2265" i="2"/>
  <c r="E2265" i="2"/>
  <c r="B2265" i="2"/>
  <c r="S2264" i="2"/>
  <c r="M2264" i="2"/>
  <c r="L2264" i="2"/>
  <c r="K2264" i="2"/>
  <c r="G2264" i="2"/>
  <c r="E2264" i="2"/>
  <c r="B2264" i="2"/>
  <c r="S2263" i="2"/>
  <c r="M2263" i="2"/>
  <c r="L2263" i="2"/>
  <c r="K2263" i="2"/>
  <c r="G2263" i="2"/>
  <c r="E2263" i="2"/>
  <c r="B2263" i="2"/>
  <c r="S2262" i="2"/>
  <c r="M2262" i="2"/>
  <c r="L2262" i="2"/>
  <c r="K2262" i="2"/>
  <c r="G2262" i="2"/>
  <c r="E2262" i="2"/>
  <c r="B2262" i="2"/>
  <c r="S2261" i="2"/>
  <c r="M2261" i="2"/>
  <c r="L2261" i="2"/>
  <c r="K2261" i="2"/>
  <c r="G2261" i="2"/>
  <c r="E2261" i="2"/>
  <c r="B2261" i="2"/>
  <c r="S2260" i="2"/>
  <c r="M2260" i="2"/>
  <c r="L2260" i="2"/>
  <c r="K2260" i="2"/>
  <c r="G2260" i="2"/>
  <c r="E2260" i="2"/>
  <c r="B2260" i="2"/>
  <c r="S2259" i="2"/>
  <c r="M2259" i="2"/>
  <c r="L2259" i="2"/>
  <c r="K2259" i="2"/>
  <c r="G2259" i="2"/>
  <c r="E2259" i="2"/>
  <c r="B2259" i="2"/>
  <c r="S2258" i="2"/>
  <c r="M2258" i="2"/>
  <c r="L2258" i="2"/>
  <c r="K2258" i="2"/>
  <c r="G2258" i="2"/>
  <c r="E2258" i="2"/>
  <c r="B2258" i="2"/>
  <c r="S2257" i="2"/>
  <c r="M2257" i="2"/>
  <c r="L2257" i="2"/>
  <c r="K2257" i="2"/>
  <c r="G2257" i="2"/>
  <c r="E2257" i="2"/>
  <c r="B2257" i="2"/>
  <c r="S2256" i="2"/>
  <c r="M2256" i="2"/>
  <c r="L2256" i="2"/>
  <c r="K2256" i="2"/>
  <c r="G2256" i="2"/>
  <c r="E2256" i="2"/>
  <c r="B2256" i="2"/>
  <c r="S2255" i="2"/>
  <c r="M2255" i="2"/>
  <c r="L2255" i="2"/>
  <c r="K2255" i="2"/>
  <c r="G2255" i="2"/>
  <c r="E2255" i="2"/>
  <c r="B2255" i="2"/>
  <c r="S2254" i="2"/>
  <c r="M2254" i="2"/>
  <c r="L2254" i="2"/>
  <c r="K2254" i="2"/>
  <c r="G2254" i="2"/>
  <c r="E2254" i="2"/>
  <c r="B2254" i="2"/>
  <c r="S2253" i="2"/>
  <c r="M2253" i="2"/>
  <c r="L2253" i="2"/>
  <c r="K2253" i="2"/>
  <c r="G2253" i="2"/>
  <c r="E2253" i="2"/>
  <c r="B2253" i="2"/>
  <c r="S2252" i="2"/>
  <c r="M2252" i="2"/>
  <c r="L2252" i="2"/>
  <c r="K2252" i="2"/>
  <c r="G2252" i="2"/>
  <c r="E2252" i="2"/>
  <c r="B2252" i="2"/>
  <c r="S2251" i="2"/>
  <c r="M2251" i="2"/>
  <c r="L2251" i="2"/>
  <c r="K2251" i="2"/>
  <c r="G2251" i="2"/>
  <c r="E2251" i="2"/>
  <c r="B2251" i="2"/>
  <c r="S2250" i="2"/>
  <c r="M2250" i="2"/>
  <c r="L2250" i="2"/>
  <c r="K2250" i="2"/>
  <c r="G2250" i="2"/>
  <c r="E2250" i="2"/>
  <c r="B2250" i="2"/>
  <c r="S2249" i="2"/>
  <c r="M2249" i="2"/>
  <c r="L2249" i="2"/>
  <c r="K2249" i="2"/>
  <c r="G2249" i="2"/>
  <c r="E2249" i="2"/>
  <c r="B2249" i="2"/>
  <c r="S2248" i="2"/>
  <c r="M2248" i="2"/>
  <c r="L2248" i="2"/>
  <c r="K2248" i="2"/>
  <c r="G2248" i="2"/>
  <c r="E2248" i="2"/>
  <c r="B2248" i="2"/>
  <c r="S2247" i="2"/>
  <c r="M2247" i="2"/>
  <c r="L2247" i="2"/>
  <c r="K2247" i="2"/>
  <c r="G2247" i="2"/>
  <c r="E2247" i="2"/>
  <c r="B2247" i="2"/>
  <c r="S2246" i="2"/>
  <c r="M2246" i="2"/>
  <c r="L2246" i="2"/>
  <c r="K2246" i="2"/>
  <c r="G2246" i="2"/>
  <c r="E2246" i="2"/>
  <c r="B2246" i="2"/>
  <c r="S2245" i="2"/>
  <c r="M2245" i="2"/>
  <c r="L2245" i="2"/>
  <c r="K2245" i="2"/>
  <c r="G2245" i="2"/>
  <c r="E2245" i="2"/>
  <c r="B2245" i="2"/>
  <c r="S2244" i="2"/>
  <c r="M2244" i="2"/>
  <c r="L2244" i="2"/>
  <c r="K2244" i="2"/>
  <c r="G2244" i="2"/>
  <c r="E2244" i="2"/>
  <c r="B2244" i="2"/>
  <c r="S2243" i="2"/>
  <c r="M2243" i="2"/>
  <c r="L2243" i="2"/>
  <c r="K2243" i="2"/>
  <c r="G2243" i="2"/>
  <c r="E2243" i="2"/>
  <c r="B2243" i="2"/>
  <c r="S2242" i="2"/>
  <c r="M2242" i="2"/>
  <c r="L2242" i="2"/>
  <c r="K2242" i="2"/>
  <c r="G2242" i="2"/>
  <c r="E2242" i="2"/>
  <c r="B2242" i="2"/>
  <c r="S2241" i="2"/>
  <c r="M2241" i="2"/>
  <c r="L2241" i="2"/>
  <c r="K2241" i="2"/>
  <c r="G2241" i="2"/>
  <c r="E2241" i="2"/>
  <c r="B2241" i="2"/>
  <c r="S2240" i="2"/>
  <c r="M2240" i="2"/>
  <c r="L2240" i="2"/>
  <c r="K2240" i="2"/>
  <c r="G2240" i="2"/>
  <c r="E2240" i="2"/>
  <c r="B2240" i="2"/>
  <c r="S2239" i="2"/>
  <c r="M2239" i="2"/>
  <c r="L2239" i="2"/>
  <c r="K2239" i="2"/>
  <c r="G2239" i="2"/>
  <c r="E2239" i="2"/>
  <c r="B2239" i="2"/>
  <c r="S2238" i="2"/>
  <c r="M2238" i="2"/>
  <c r="L2238" i="2"/>
  <c r="K2238" i="2"/>
  <c r="G2238" i="2"/>
  <c r="E2238" i="2"/>
  <c r="B2238" i="2"/>
  <c r="S2237" i="2"/>
  <c r="M2237" i="2"/>
  <c r="L2237" i="2"/>
  <c r="K2237" i="2"/>
  <c r="G2237" i="2"/>
  <c r="E2237" i="2"/>
  <c r="B2237" i="2"/>
  <c r="S2236" i="2"/>
  <c r="M2236" i="2"/>
  <c r="L2236" i="2"/>
  <c r="K2236" i="2"/>
  <c r="G2236" i="2"/>
  <c r="E2236" i="2"/>
  <c r="B2236" i="2"/>
  <c r="S2235" i="2"/>
  <c r="M2235" i="2"/>
  <c r="L2235" i="2"/>
  <c r="K2235" i="2"/>
  <c r="G2235" i="2"/>
  <c r="E2235" i="2"/>
  <c r="B2235" i="2"/>
  <c r="S2234" i="2"/>
  <c r="M2234" i="2"/>
  <c r="L2234" i="2"/>
  <c r="K2234" i="2"/>
  <c r="G2234" i="2"/>
  <c r="E2234" i="2"/>
  <c r="B2234" i="2"/>
  <c r="S2233" i="2"/>
  <c r="M2233" i="2"/>
  <c r="L2233" i="2"/>
  <c r="K2233" i="2"/>
  <c r="G2233" i="2"/>
  <c r="E2233" i="2"/>
  <c r="B2233" i="2"/>
  <c r="S2232" i="2"/>
  <c r="M2232" i="2"/>
  <c r="L2232" i="2"/>
  <c r="K2232" i="2"/>
  <c r="G2232" i="2"/>
  <c r="E2232" i="2"/>
  <c r="B2232" i="2"/>
  <c r="S2231" i="2"/>
  <c r="M2231" i="2"/>
  <c r="L2231" i="2"/>
  <c r="K2231" i="2"/>
  <c r="G2231" i="2"/>
  <c r="E2231" i="2"/>
  <c r="B2231" i="2"/>
  <c r="S2230" i="2"/>
  <c r="M2230" i="2"/>
  <c r="L2230" i="2"/>
  <c r="K2230" i="2"/>
  <c r="G2230" i="2"/>
  <c r="E2230" i="2"/>
  <c r="B2230" i="2"/>
  <c r="S2229" i="2"/>
  <c r="M2229" i="2"/>
  <c r="L2229" i="2"/>
  <c r="K2229" i="2"/>
  <c r="G2229" i="2"/>
  <c r="E2229" i="2"/>
  <c r="B2229" i="2"/>
  <c r="S2228" i="2"/>
  <c r="M2228" i="2"/>
  <c r="L2228" i="2"/>
  <c r="K2228" i="2"/>
  <c r="G2228" i="2"/>
  <c r="E2228" i="2"/>
  <c r="B2228" i="2"/>
  <c r="S2227" i="2"/>
  <c r="M2227" i="2"/>
  <c r="L2227" i="2"/>
  <c r="K2227" i="2"/>
  <c r="G2227" i="2"/>
  <c r="E2227" i="2"/>
  <c r="B2227" i="2"/>
  <c r="S2226" i="2"/>
  <c r="M2226" i="2"/>
  <c r="L2226" i="2"/>
  <c r="K2226" i="2"/>
  <c r="G2226" i="2"/>
  <c r="E2226" i="2"/>
  <c r="B2226" i="2"/>
  <c r="S2225" i="2"/>
  <c r="M2225" i="2"/>
  <c r="L2225" i="2"/>
  <c r="K2225" i="2"/>
  <c r="G2225" i="2"/>
  <c r="E2225" i="2"/>
  <c r="B2225" i="2"/>
  <c r="S2224" i="2"/>
  <c r="M2224" i="2"/>
  <c r="L2224" i="2"/>
  <c r="K2224" i="2"/>
  <c r="G2224" i="2"/>
  <c r="E2224" i="2"/>
  <c r="B2224" i="2"/>
  <c r="S2223" i="2"/>
  <c r="M2223" i="2"/>
  <c r="L2223" i="2"/>
  <c r="K2223" i="2"/>
  <c r="G2223" i="2"/>
  <c r="E2223" i="2"/>
  <c r="B2223" i="2"/>
  <c r="S2222" i="2"/>
  <c r="M2222" i="2"/>
  <c r="L2222" i="2"/>
  <c r="K2222" i="2"/>
  <c r="G2222" i="2"/>
  <c r="E2222" i="2"/>
  <c r="B2222" i="2"/>
  <c r="S2221" i="2"/>
  <c r="M2221" i="2"/>
  <c r="L2221" i="2"/>
  <c r="K2221" i="2"/>
  <c r="G2221" i="2"/>
  <c r="E2221" i="2"/>
  <c r="B2221" i="2"/>
  <c r="S2220" i="2"/>
  <c r="M2220" i="2"/>
  <c r="L2220" i="2"/>
  <c r="K2220" i="2"/>
  <c r="G2220" i="2"/>
  <c r="E2220" i="2"/>
  <c r="B2220" i="2"/>
  <c r="S2219" i="2"/>
  <c r="M2219" i="2"/>
  <c r="L2219" i="2"/>
  <c r="K2219" i="2"/>
  <c r="G2219" i="2"/>
  <c r="E2219" i="2"/>
  <c r="B2219" i="2"/>
  <c r="S2218" i="2"/>
  <c r="M2218" i="2"/>
  <c r="L2218" i="2"/>
  <c r="K2218" i="2"/>
  <c r="G2218" i="2"/>
  <c r="E2218" i="2"/>
  <c r="B2218" i="2"/>
  <c r="S2217" i="2"/>
  <c r="M2217" i="2"/>
  <c r="L2217" i="2"/>
  <c r="K2217" i="2"/>
  <c r="G2217" i="2"/>
  <c r="E2217" i="2"/>
  <c r="B2217" i="2"/>
  <c r="S2216" i="2"/>
  <c r="M2216" i="2"/>
  <c r="L2216" i="2"/>
  <c r="K2216" i="2"/>
  <c r="G2216" i="2"/>
  <c r="E2216" i="2"/>
  <c r="B2216" i="2"/>
  <c r="S2215" i="2"/>
  <c r="M2215" i="2"/>
  <c r="L2215" i="2"/>
  <c r="K2215" i="2"/>
  <c r="G2215" i="2"/>
  <c r="E2215" i="2"/>
  <c r="B2215" i="2"/>
  <c r="S2214" i="2"/>
  <c r="M2214" i="2"/>
  <c r="L2214" i="2"/>
  <c r="K2214" i="2"/>
  <c r="G2214" i="2"/>
  <c r="E2214" i="2"/>
  <c r="B2214" i="2"/>
  <c r="S2213" i="2"/>
  <c r="M2213" i="2"/>
  <c r="L2213" i="2"/>
  <c r="K2213" i="2"/>
  <c r="G2213" i="2"/>
  <c r="E2213" i="2"/>
  <c r="B2213" i="2"/>
  <c r="S2212" i="2"/>
  <c r="M2212" i="2"/>
  <c r="L2212" i="2"/>
  <c r="K2212" i="2"/>
  <c r="G2212" i="2"/>
  <c r="E2212" i="2"/>
  <c r="B2212" i="2"/>
  <c r="S2211" i="2"/>
  <c r="M2211" i="2"/>
  <c r="L2211" i="2"/>
  <c r="K2211" i="2"/>
  <c r="G2211" i="2"/>
  <c r="E2211" i="2"/>
  <c r="B2211" i="2"/>
  <c r="S2210" i="2"/>
  <c r="M2210" i="2"/>
  <c r="L2210" i="2"/>
  <c r="K2210" i="2"/>
  <c r="G2210" i="2"/>
  <c r="E2210" i="2"/>
  <c r="B2210" i="2"/>
  <c r="S2209" i="2"/>
  <c r="M2209" i="2"/>
  <c r="L2209" i="2"/>
  <c r="K2209" i="2"/>
  <c r="G2209" i="2"/>
  <c r="E2209" i="2"/>
  <c r="B2209" i="2"/>
  <c r="S2208" i="2"/>
  <c r="M2208" i="2"/>
  <c r="L2208" i="2"/>
  <c r="K2208" i="2"/>
  <c r="G2208" i="2"/>
  <c r="E2208" i="2"/>
  <c r="B2208" i="2"/>
  <c r="S2207" i="2"/>
  <c r="M2207" i="2"/>
  <c r="L2207" i="2"/>
  <c r="K2207" i="2"/>
  <c r="G2207" i="2"/>
  <c r="E2207" i="2"/>
  <c r="B2207" i="2"/>
  <c r="S2206" i="2"/>
  <c r="M2206" i="2"/>
  <c r="L2206" i="2"/>
  <c r="K2206" i="2"/>
  <c r="G2206" i="2"/>
  <c r="E2206" i="2"/>
  <c r="B2206" i="2"/>
  <c r="S2205" i="2"/>
  <c r="M2205" i="2"/>
  <c r="L2205" i="2"/>
  <c r="K2205" i="2"/>
  <c r="G2205" i="2"/>
  <c r="E2205" i="2"/>
  <c r="B2205" i="2"/>
  <c r="S2204" i="2"/>
  <c r="M2204" i="2"/>
  <c r="L2204" i="2"/>
  <c r="K2204" i="2"/>
  <c r="G2204" i="2"/>
  <c r="E2204" i="2"/>
  <c r="B2204" i="2"/>
  <c r="S2203" i="2"/>
  <c r="M2203" i="2"/>
  <c r="L2203" i="2"/>
  <c r="K2203" i="2"/>
  <c r="G2203" i="2"/>
  <c r="E2203" i="2"/>
  <c r="B2203" i="2"/>
  <c r="S2202" i="2"/>
  <c r="M2202" i="2"/>
  <c r="L2202" i="2"/>
  <c r="K2202" i="2"/>
  <c r="G2202" i="2"/>
  <c r="E2202" i="2"/>
  <c r="B2202" i="2"/>
  <c r="S2201" i="2"/>
  <c r="M2201" i="2"/>
  <c r="L2201" i="2"/>
  <c r="K2201" i="2"/>
  <c r="H2201" i="2"/>
  <c r="G2201" i="2"/>
  <c r="E2201" i="2"/>
  <c r="B2201" i="2"/>
  <c r="S2200" i="2"/>
  <c r="M2200" i="2"/>
  <c r="L2200" i="2"/>
  <c r="K2200" i="2"/>
  <c r="H2200" i="2"/>
  <c r="G2200" i="2"/>
  <c r="E2200" i="2"/>
  <c r="B2200" i="2"/>
  <c r="S2199" i="2"/>
  <c r="M2199" i="2"/>
  <c r="L2199" i="2"/>
  <c r="K2199" i="2"/>
  <c r="H2199" i="2"/>
  <c r="G2199" i="2"/>
  <c r="E2199" i="2"/>
  <c r="B2199" i="2"/>
  <c r="S2198" i="2"/>
  <c r="M2198" i="2"/>
  <c r="L2198" i="2"/>
  <c r="K2198" i="2"/>
  <c r="H2198" i="2"/>
  <c r="G2198" i="2"/>
  <c r="E2198" i="2"/>
  <c r="B2198" i="2"/>
  <c r="S2197" i="2"/>
  <c r="M2197" i="2"/>
  <c r="L2197" i="2"/>
  <c r="K2197" i="2"/>
  <c r="H2197" i="2"/>
  <c r="G2197" i="2"/>
  <c r="E2197" i="2"/>
  <c r="B2197" i="2"/>
  <c r="S2196" i="2"/>
  <c r="M2196" i="2"/>
  <c r="L2196" i="2"/>
  <c r="K2196" i="2"/>
  <c r="G2196" i="2"/>
  <c r="E2196" i="2"/>
  <c r="B2196" i="2"/>
  <c r="S2195" i="2"/>
  <c r="M2195" i="2"/>
  <c r="L2195" i="2"/>
  <c r="K2195" i="2"/>
  <c r="G2195" i="2"/>
  <c r="E2195" i="2"/>
  <c r="B2195" i="2"/>
  <c r="S2194" i="2"/>
  <c r="M2194" i="2"/>
  <c r="L2194" i="2"/>
  <c r="K2194" i="2"/>
  <c r="G2194" i="2"/>
  <c r="E2194" i="2"/>
  <c r="B2194" i="2"/>
  <c r="S2193" i="2"/>
  <c r="M2193" i="2"/>
  <c r="L2193" i="2"/>
  <c r="K2193" i="2"/>
  <c r="G2193" i="2"/>
  <c r="E2193" i="2"/>
  <c r="B2193" i="2"/>
  <c r="S2192" i="2"/>
  <c r="M2192" i="2"/>
  <c r="L2192" i="2"/>
  <c r="K2192" i="2"/>
  <c r="G2192" i="2"/>
  <c r="E2192" i="2"/>
  <c r="B2192" i="2"/>
  <c r="S2191" i="2"/>
  <c r="M2191" i="2"/>
  <c r="L2191" i="2"/>
  <c r="K2191" i="2"/>
  <c r="G2191" i="2"/>
  <c r="E2191" i="2"/>
  <c r="B2191" i="2"/>
  <c r="S2190" i="2"/>
  <c r="M2190" i="2"/>
  <c r="L2190" i="2"/>
  <c r="K2190" i="2"/>
  <c r="G2190" i="2"/>
  <c r="E2190" i="2"/>
  <c r="B2190" i="2"/>
  <c r="S2189" i="2"/>
  <c r="M2189" i="2"/>
  <c r="L2189" i="2"/>
  <c r="K2189" i="2"/>
  <c r="G2189" i="2"/>
  <c r="E2189" i="2"/>
  <c r="B2189" i="2"/>
  <c r="S2188" i="2"/>
  <c r="M2188" i="2"/>
  <c r="L2188" i="2"/>
  <c r="K2188" i="2"/>
  <c r="G2188" i="2"/>
  <c r="E2188" i="2"/>
  <c r="B2188" i="2"/>
  <c r="S2187" i="2"/>
  <c r="M2187" i="2"/>
  <c r="L2187" i="2"/>
  <c r="K2187" i="2"/>
  <c r="G2187" i="2"/>
  <c r="E2187" i="2"/>
  <c r="B2187" i="2"/>
  <c r="S2186" i="2"/>
  <c r="M2186" i="2"/>
  <c r="L2186" i="2"/>
  <c r="K2186" i="2"/>
  <c r="G2186" i="2"/>
  <c r="E2186" i="2"/>
  <c r="B2186" i="2"/>
  <c r="S2185" i="2"/>
  <c r="M2185" i="2"/>
  <c r="L2185" i="2"/>
  <c r="K2185" i="2"/>
  <c r="G2185" i="2"/>
  <c r="E2185" i="2"/>
  <c r="B2185" i="2"/>
  <c r="S2184" i="2"/>
  <c r="M2184" i="2"/>
  <c r="L2184" i="2"/>
  <c r="K2184" i="2"/>
  <c r="G2184" i="2"/>
  <c r="E2184" i="2"/>
  <c r="B2184" i="2"/>
  <c r="S2183" i="2"/>
  <c r="M2183" i="2"/>
  <c r="L2183" i="2"/>
  <c r="K2183" i="2"/>
  <c r="G2183" i="2"/>
  <c r="E2183" i="2"/>
  <c r="B2183" i="2"/>
  <c r="S2182" i="2"/>
  <c r="M2182" i="2"/>
  <c r="L2182" i="2"/>
  <c r="K2182" i="2"/>
  <c r="G2182" i="2"/>
  <c r="E2182" i="2"/>
  <c r="B2182" i="2"/>
  <c r="S2181" i="2"/>
  <c r="M2181" i="2"/>
  <c r="L2181" i="2"/>
  <c r="K2181" i="2"/>
  <c r="G2181" i="2"/>
  <c r="E2181" i="2"/>
  <c r="B2181" i="2"/>
  <c r="S2180" i="2"/>
  <c r="M2180" i="2"/>
  <c r="L2180" i="2"/>
  <c r="K2180" i="2"/>
  <c r="G2180" i="2"/>
  <c r="E2180" i="2"/>
  <c r="B2180" i="2"/>
  <c r="S2179" i="2"/>
  <c r="M2179" i="2"/>
  <c r="L2179" i="2"/>
  <c r="K2179" i="2"/>
  <c r="G2179" i="2"/>
  <c r="E2179" i="2"/>
  <c r="B2179" i="2"/>
  <c r="S2178" i="2"/>
  <c r="M2178" i="2"/>
  <c r="L2178" i="2"/>
  <c r="K2178" i="2"/>
  <c r="G2178" i="2"/>
  <c r="E2178" i="2"/>
  <c r="B2178" i="2"/>
  <c r="S2177" i="2"/>
  <c r="M2177" i="2"/>
  <c r="L2177" i="2"/>
  <c r="K2177" i="2"/>
  <c r="G2177" i="2"/>
  <c r="E2177" i="2"/>
  <c r="B2177" i="2"/>
  <c r="S2176" i="2"/>
  <c r="M2176" i="2"/>
  <c r="L2176" i="2"/>
  <c r="K2176" i="2"/>
  <c r="G2176" i="2"/>
  <c r="E2176" i="2"/>
  <c r="B2176" i="2"/>
  <c r="S2175" i="2"/>
  <c r="M2175" i="2"/>
  <c r="L2175" i="2"/>
  <c r="K2175" i="2"/>
  <c r="G2175" i="2"/>
  <c r="E2175" i="2"/>
  <c r="B2175" i="2"/>
  <c r="S2174" i="2"/>
  <c r="M2174" i="2"/>
  <c r="L2174" i="2"/>
  <c r="K2174" i="2"/>
  <c r="G2174" i="2"/>
  <c r="E2174" i="2"/>
  <c r="B2174" i="2"/>
  <c r="S2173" i="2"/>
  <c r="M2173" i="2"/>
  <c r="L2173" i="2"/>
  <c r="K2173" i="2"/>
  <c r="G2173" i="2"/>
  <c r="E2173" i="2"/>
  <c r="B2173" i="2"/>
  <c r="S2172" i="2"/>
  <c r="M2172" i="2"/>
  <c r="L2172" i="2"/>
  <c r="K2172" i="2"/>
  <c r="G2172" i="2"/>
  <c r="E2172" i="2"/>
  <c r="B2172" i="2"/>
  <c r="S2171" i="2"/>
  <c r="M2171" i="2"/>
  <c r="L2171" i="2"/>
  <c r="K2171" i="2"/>
  <c r="G2171" i="2"/>
  <c r="E2171" i="2"/>
  <c r="B2171" i="2"/>
  <c r="S2170" i="2"/>
  <c r="M2170" i="2"/>
  <c r="L2170" i="2"/>
  <c r="K2170" i="2"/>
  <c r="G2170" i="2"/>
  <c r="E2170" i="2"/>
  <c r="B2170" i="2"/>
  <c r="S2169" i="2"/>
  <c r="M2169" i="2"/>
  <c r="L2169" i="2"/>
  <c r="K2169" i="2"/>
  <c r="G2169" i="2"/>
  <c r="E2169" i="2"/>
  <c r="B2169" i="2"/>
  <c r="S2168" i="2"/>
  <c r="M2168" i="2"/>
  <c r="L2168" i="2"/>
  <c r="K2168" i="2"/>
  <c r="G2168" i="2"/>
  <c r="E2168" i="2"/>
  <c r="B2168" i="2"/>
  <c r="S2167" i="2"/>
  <c r="M2167" i="2"/>
  <c r="L2167" i="2"/>
  <c r="K2167" i="2"/>
  <c r="G2167" i="2"/>
  <c r="E2167" i="2"/>
  <c r="B2167" i="2"/>
  <c r="S2166" i="2"/>
  <c r="M2166" i="2"/>
  <c r="L2166" i="2"/>
  <c r="K2166" i="2"/>
  <c r="G2166" i="2"/>
  <c r="E2166" i="2"/>
  <c r="B2166" i="2"/>
  <c r="S2165" i="2"/>
  <c r="M2165" i="2"/>
  <c r="L2165" i="2"/>
  <c r="K2165" i="2"/>
  <c r="G2165" i="2"/>
  <c r="E2165" i="2"/>
  <c r="B2165" i="2"/>
  <c r="S2164" i="2"/>
  <c r="M2164" i="2"/>
  <c r="L2164" i="2"/>
  <c r="K2164" i="2"/>
  <c r="G2164" i="2"/>
  <c r="E2164" i="2"/>
  <c r="B2164" i="2"/>
  <c r="S2163" i="2"/>
  <c r="M2163" i="2"/>
  <c r="L2163" i="2"/>
  <c r="K2163" i="2"/>
  <c r="G2163" i="2"/>
  <c r="E2163" i="2"/>
  <c r="B2163" i="2"/>
  <c r="S2162" i="2"/>
  <c r="M2162" i="2"/>
  <c r="L2162" i="2"/>
  <c r="K2162" i="2"/>
  <c r="G2162" i="2"/>
  <c r="E2162" i="2"/>
  <c r="B2162" i="2"/>
  <c r="S2161" i="2"/>
  <c r="M2161" i="2"/>
  <c r="L2161" i="2"/>
  <c r="K2161" i="2"/>
  <c r="G2161" i="2"/>
  <c r="E2161" i="2"/>
  <c r="B2161" i="2"/>
  <c r="S2160" i="2"/>
  <c r="M2160" i="2"/>
  <c r="L2160" i="2"/>
  <c r="K2160" i="2"/>
  <c r="G2160" i="2"/>
  <c r="E2160" i="2"/>
  <c r="B2160" i="2"/>
  <c r="S2159" i="2"/>
  <c r="M2159" i="2"/>
  <c r="L2159" i="2"/>
  <c r="K2159" i="2"/>
  <c r="G2159" i="2"/>
  <c r="E2159" i="2"/>
  <c r="B2159" i="2"/>
  <c r="S2158" i="2"/>
  <c r="M2158" i="2"/>
  <c r="L2158" i="2"/>
  <c r="K2158" i="2"/>
  <c r="G2158" i="2"/>
  <c r="E2158" i="2"/>
  <c r="B2158" i="2"/>
  <c r="S2157" i="2"/>
  <c r="M2157" i="2"/>
  <c r="L2157" i="2"/>
  <c r="K2157" i="2"/>
  <c r="G2157" i="2"/>
  <c r="E2157" i="2"/>
  <c r="B2157" i="2"/>
  <c r="S2156" i="2"/>
  <c r="M2156" i="2"/>
  <c r="L2156" i="2"/>
  <c r="K2156" i="2"/>
  <c r="G2156" i="2"/>
  <c r="E2156" i="2"/>
  <c r="B2156" i="2"/>
  <c r="S2155" i="2"/>
  <c r="M2155" i="2"/>
  <c r="L2155" i="2"/>
  <c r="K2155" i="2"/>
  <c r="G2155" i="2"/>
  <c r="E2155" i="2"/>
  <c r="B2155" i="2"/>
  <c r="S2154" i="2"/>
  <c r="M2154" i="2"/>
  <c r="L2154" i="2"/>
  <c r="K2154" i="2"/>
  <c r="G2154" i="2"/>
  <c r="E2154" i="2"/>
  <c r="B2154" i="2"/>
  <c r="S2153" i="2"/>
  <c r="M2153" i="2"/>
  <c r="L2153" i="2"/>
  <c r="K2153" i="2"/>
  <c r="G2153" i="2"/>
  <c r="E2153" i="2"/>
  <c r="B2153" i="2"/>
  <c r="S2152" i="2"/>
  <c r="M2152" i="2"/>
  <c r="L2152" i="2"/>
  <c r="K2152" i="2"/>
  <c r="G2152" i="2"/>
  <c r="E2152" i="2"/>
  <c r="B2152" i="2"/>
  <c r="S2151" i="2"/>
  <c r="M2151" i="2"/>
  <c r="L2151" i="2"/>
  <c r="K2151" i="2"/>
  <c r="G2151" i="2"/>
  <c r="E2151" i="2"/>
  <c r="B2151" i="2"/>
  <c r="S2150" i="2"/>
  <c r="M2150" i="2"/>
  <c r="L2150" i="2"/>
  <c r="K2150" i="2"/>
  <c r="G2150" i="2"/>
  <c r="E2150" i="2"/>
  <c r="B2150" i="2"/>
  <c r="S2149" i="2"/>
  <c r="M2149" i="2"/>
  <c r="L2149" i="2"/>
  <c r="K2149" i="2"/>
  <c r="G2149" i="2"/>
  <c r="E2149" i="2"/>
  <c r="B2149" i="2"/>
  <c r="S2148" i="2"/>
  <c r="M2148" i="2"/>
  <c r="L2148" i="2"/>
  <c r="K2148" i="2"/>
  <c r="G2148" i="2"/>
  <c r="E2148" i="2"/>
  <c r="B2148" i="2"/>
  <c r="S2147" i="2"/>
  <c r="M2147" i="2"/>
  <c r="L2147" i="2"/>
  <c r="K2147" i="2"/>
  <c r="G2147" i="2"/>
  <c r="E2147" i="2"/>
  <c r="B2147" i="2"/>
  <c r="S2146" i="2"/>
  <c r="M2146" i="2"/>
  <c r="L2146" i="2"/>
  <c r="K2146" i="2"/>
  <c r="G2146" i="2"/>
  <c r="E2146" i="2"/>
  <c r="B2146" i="2"/>
  <c r="S2145" i="2"/>
  <c r="M2145" i="2"/>
  <c r="L2145" i="2"/>
  <c r="K2145" i="2"/>
  <c r="G2145" i="2"/>
  <c r="E2145" i="2"/>
  <c r="B2145" i="2"/>
  <c r="S2144" i="2"/>
  <c r="M2144" i="2"/>
  <c r="L2144" i="2"/>
  <c r="K2144" i="2"/>
  <c r="G2144" i="2"/>
  <c r="E2144" i="2"/>
  <c r="B2144" i="2"/>
  <c r="S2143" i="2"/>
  <c r="M2143" i="2"/>
  <c r="L2143" i="2"/>
  <c r="K2143" i="2"/>
  <c r="G2143" i="2"/>
  <c r="E2143" i="2"/>
  <c r="B2143" i="2"/>
  <c r="S2142" i="2"/>
  <c r="M2142" i="2"/>
  <c r="L2142" i="2"/>
  <c r="K2142" i="2"/>
  <c r="G2142" i="2"/>
  <c r="E2142" i="2"/>
  <c r="B2142" i="2"/>
  <c r="S2141" i="2"/>
  <c r="M2141" i="2"/>
  <c r="L2141" i="2"/>
  <c r="K2141" i="2"/>
  <c r="G2141" i="2"/>
  <c r="E2141" i="2"/>
  <c r="B2141" i="2"/>
  <c r="S2140" i="2"/>
  <c r="M2140" i="2"/>
  <c r="L2140" i="2"/>
  <c r="K2140" i="2"/>
  <c r="G2140" i="2"/>
  <c r="E2140" i="2"/>
  <c r="B2140" i="2"/>
  <c r="S2139" i="2"/>
  <c r="M2139" i="2"/>
  <c r="L2139" i="2"/>
  <c r="K2139" i="2"/>
  <c r="G2139" i="2"/>
  <c r="E2139" i="2"/>
  <c r="B2139" i="2"/>
  <c r="S2138" i="2"/>
  <c r="M2138" i="2"/>
  <c r="L2138" i="2"/>
  <c r="K2138" i="2"/>
  <c r="G2138" i="2"/>
  <c r="E2138" i="2"/>
  <c r="B2138" i="2"/>
  <c r="S2137" i="2"/>
  <c r="M2137" i="2"/>
  <c r="L2137" i="2"/>
  <c r="K2137" i="2"/>
  <c r="G2137" i="2"/>
  <c r="E2137" i="2"/>
  <c r="B2137" i="2"/>
  <c r="S2136" i="2"/>
  <c r="M2136" i="2"/>
  <c r="L2136" i="2"/>
  <c r="K2136" i="2"/>
  <c r="G2136" i="2"/>
  <c r="E2136" i="2"/>
  <c r="B2136" i="2"/>
  <c r="S2135" i="2"/>
  <c r="M2135" i="2"/>
  <c r="L2135" i="2"/>
  <c r="K2135" i="2"/>
  <c r="G2135" i="2"/>
  <c r="E2135" i="2"/>
  <c r="B2135" i="2"/>
  <c r="S2134" i="2"/>
  <c r="M2134" i="2"/>
  <c r="L2134" i="2"/>
  <c r="K2134" i="2"/>
  <c r="G2134" i="2"/>
  <c r="E2134" i="2"/>
  <c r="B2134" i="2"/>
  <c r="S2133" i="2"/>
  <c r="M2133" i="2"/>
  <c r="L2133" i="2"/>
  <c r="K2133" i="2"/>
  <c r="G2133" i="2"/>
  <c r="E2133" i="2"/>
  <c r="B2133" i="2"/>
  <c r="S2132" i="2"/>
  <c r="M2132" i="2"/>
  <c r="L2132" i="2"/>
  <c r="K2132" i="2"/>
  <c r="G2132" i="2"/>
  <c r="E2132" i="2"/>
  <c r="B2132" i="2"/>
  <c r="S2131" i="2"/>
  <c r="M2131" i="2"/>
  <c r="L2131" i="2"/>
  <c r="K2131" i="2"/>
  <c r="G2131" i="2"/>
  <c r="E2131" i="2"/>
  <c r="B2131" i="2"/>
  <c r="S2130" i="2"/>
  <c r="M2130" i="2"/>
  <c r="L2130" i="2"/>
  <c r="K2130" i="2"/>
  <c r="G2130" i="2"/>
  <c r="E2130" i="2"/>
  <c r="B2130" i="2"/>
  <c r="S2129" i="2"/>
  <c r="M2129" i="2"/>
  <c r="L2129" i="2"/>
  <c r="K2129" i="2"/>
  <c r="G2129" i="2"/>
  <c r="E2129" i="2"/>
  <c r="B2129" i="2"/>
  <c r="S2128" i="2"/>
  <c r="M2128" i="2"/>
  <c r="L2128" i="2"/>
  <c r="K2128" i="2"/>
  <c r="G2128" i="2"/>
  <c r="E2128" i="2"/>
  <c r="B2128" i="2"/>
  <c r="S2127" i="2"/>
  <c r="M2127" i="2"/>
  <c r="L2127" i="2"/>
  <c r="K2127" i="2"/>
  <c r="G2127" i="2"/>
  <c r="E2127" i="2"/>
  <c r="B2127" i="2"/>
  <c r="S2126" i="2"/>
  <c r="M2126" i="2"/>
  <c r="L2126" i="2"/>
  <c r="K2126" i="2"/>
  <c r="G2126" i="2"/>
  <c r="E2126" i="2"/>
  <c r="B2126" i="2"/>
  <c r="S2125" i="2"/>
  <c r="M2125" i="2"/>
  <c r="L2125" i="2"/>
  <c r="K2125" i="2"/>
  <c r="G2125" i="2"/>
  <c r="E2125" i="2"/>
  <c r="B2125" i="2"/>
  <c r="S2124" i="2"/>
  <c r="M2124" i="2"/>
  <c r="L2124" i="2"/>
  <c r="K2124" i="2"/>
  <c r="G2124" i="2"/>
  <c r="E2124" i="2"/>
  <c r="B2124" i="2"/>
  <c r="S2123" i="2"/>
  <c r="M2123" i="2"/>
  <c r="L2123" i="2"/>
  <c r="K2123" i="2"/>
  <c r="G2123" i="2"/>
  <c r="E2123" i="2"/>
  <c r="B2123" i="2"/>
  <c r="S2122" i="2"/>
  <c r="M2122" i="2"/>
  <c r="L2122" i="2"/>
  <c r="K2122" i="2"/>
  <c r="G2122" i="2"/>
  <c r="E2122" i="2"/>
  <c r="B2122" i="2"/>
  <c r="S2121" i="2"/>
  <c r="M2121" i="2"/>
  <c r="L2121" i="2"/>
  <c r="K2121" i="2"/>
  <c r="G2121" i="2"/>
  <c r="E2121" i="2"/>
  <c r="B2121" i="2"/>
  <c r="S2120" i="2"/>
  <c r="M2120" i="2"/>
  <c r="L2120" i="2"/>
  <c r="K2120" i="2"/>
  <c r="G2120" i="2"/>
  <c r="E2120" i="2"/>
  <c r="B2120" i="2"/>
  <c r="S2119" i="2"/>
  <c r="M2119" i="2"/>
  <c r="L2119" i="2"/>
  <c r="K2119" i="2"/>
  <c r="G2119" i="2"/>
  <c r="E2119" i="2"/>
  <c r="B2119" i="2"/>
  <c r="S2118" i="2"/>
  <c r="M2118" i="2"/>
  <c r="L2118" i="2"/>
  <c r="K2118" i="2"/>
  <c r="G2118" i="2"/>
  <c r="E2118" i="2"/>
  <c r="B2118" i="2"/>
  <c r="S2117" i="2"/>
  <c r="M2117" i="2"/>
  <c r="L2117" i="2"/>
  <c r="K2117" i="2"/>
  <c r="G2117" i="2"/>
  <c r="E2117" i="2"/>
  <c r="B2117" i="2"/>
  <c r="S2116" i="2"/>
  <c r="M2116" i="2"/>
  <c r="L2116" i="2"/>
  <c r="K2116" i="2"/>
  <c r="G2116" i="2"/>
  <c r="E2116" i="2"/>
  <c r="B2116" i="2"/>
  <c r="S2115" i="2"/>
  <c r="M2115" i="2"/>
  <c r="L2115" i="2"/>
  <c r="K2115" i="2"/>
  <c r="G2115" i="2"/>
  <c r="E2115" i="2"/>
  <c r="B2115" i="2"/>
  <c r="S2114" i="2"/>
  <c r="M2114" i="2"/>
  <c r="L2114" i="2"/>
  <c r="K2114" i="2"/>
  <c r="G2114" i="2"/>
  <c r="E2114" i="2"/>
  <c r="B2114" i="2"/>
  <c r="S2113" i="2"/>
  <c r="M2113" i="2"/>
  <c r="L2113" i="2"/>
  <c r="K2113" i="2"/>
  <c r="G2113" i="2"/>
  <c r="E2113" i="2"/>
  <c r="B2113" i="2"/>
  <c r="S2112" i="2"/>
  <c r="M2112" i="2"/>
  <c r="L2112" i="2"/>
  <c r="K2112" i="2"/>
  <c r="G2112" i="2"/>
  <c r="E2112" i="2"/>
  <c r="B2112" i="2"/>
  <c r="S2111" i="2"/>
  <c r="M2111" i="2"/>
  <c r="L2111" i="2"/>
  <c r="K2111" i="2"/>
  <c r="G2111" i="2"/>
  <c r="E2111" i="2"/>
  <c r="B2111" i="2"/>
  <c r="S2110" i="2"/>
  <c r="M2110" i="2"/>
  <c r="L2110" i="2"/>
  <c r="K2110" i="2"/>
  <c r="G2110" i="2"/>
  <c r="E2110" i="2"/>
  <c r="B2110" i="2"/>
  <c r="S2109" i="2"/>
  <c r="M2109" i="2"/>
  <c r="L2109" i="2"/>
  <c r="K2109" i="2"/>
  <c r="G2109" i="2"/>
  <c r="E2109" i="2"/>
  <c r="B2109" i="2"/>
  <c r="S2108" i="2"/>
  <c r="M2108" i="2"/>
  <c r="L2108" i="2"/>
  <c r="K2108" i="2"/>
  <c r="G2108" i="2"/>
  <c r="E2108" i="2"/>
  <c r="B2108" i="2"/>
  <c r="S2107" i="2"/>
  <c r="M2107" i="2"/>
  <c r="L2107" i="2"/>
  <c r="K2107" i="2"/>
  <c r="G2107" i="2"/>
  <c r="E2107" i="2"/>
  <c r="B2107" i="2"/>
  <c r="S2106" i="2"/>
  <c r="M2106" i="2"/>
  <c r="L2106" i="2"/>
  <c r="K2106" i="2"/>
  <c r="G2106" i="2"/>
  <c r="E2106" i="2"/>
  <c r="B2106" i="2"/>
  <c r="S2105" i="2"/>
  <c r="M2105" i="2"/>
  <c r="L2105" i="2"/>
  <c r="K2105" i="2"/>
  <c r="G2105" i="2"/>
  <c r="E2105" i="2"/>
  <c r="B2105" i="2"/>
  <c r="S2104" i="2"/>
  <c r="M2104" i="2"/>
  <c r="L2104" i="2"/>
  <c r="K2104" i="2"/>
  <c r="G2104" i="2"/>
  <c r="E2104" i="2"/>
  <c r="B2104" i="2"/>
  <c r="S2103" i="2"/>
  <c r="M2103" i="2"/>
  <c r="L2103" i="2"/>
  <c r="K2103" i="2"/>
  <c r="G2103" i="2"/>
  <c r="E2103" i="2"/>
  <c r="B2103" i="2"/>
  <c r="S2102" i="2"/>
  <c r="M2102" i="2"/>
  <c r="L2102" i="2"/>
  <c r="K2102" i="2"/>
  <c r="G2102" i="2"/>
  <c r="E2102" i="2"/>
  <c r="B2102" i="2"/>
  <c r="S2101" i="2"/>
  <c r="M2101" i="2"/>
  <c r="L2101" i="2"/>
  <c r="K2101" i="2"/>
  <c r="G2101" i="2"/>
  <c r="E2101" i="2"/>
  <c r="B2101" i="2"/>
  <c r="S2100" i="2"/>
  <c r="M2100" i="2"/>
  <c r="L2100" i="2"/>
  <c r="K2100" i="2"/>
  <c r="G2100" i="2"/>
  <c r="E2100" i="2"/>
  <c r="B2100" i="2"/>
  <c r="S2099" i="2"/>
  <c r="M2099" i="2"/>
  <c r="L2099" i="2"/>
  <c r="K2099" i="2"/>
  <c r="G2099" i="2"/>
  <c r="E2099" i="2"/>
  <c r="B2099" i="2"/>
  <c r="S2098" i="2"/>
  <c r="M2098" i="2"/>
  <c r="L2098" i="2"/>
  <c r="K2098" i="2"/>
  <c r="G2098" i="2"/>
  <c r="E2098" i="2"/>
  <c r="B2098" i="2"/>
  <c r="S2097" i="2"/>
  <c r="M2097" i="2"/>
  <c r="L2097" i="2"/>
  <c r="K2097" i="2"/>
  <c r="G2097" i="2"/>
  <c r="E2097" i="2"/>
  <c r="B2097" i="2"/>
  <c r="S2096" i="2"/>
  <c r="M2096" i="2"/>
  <c r="L2096" i="2"/>
  <c r="K2096" i="2"/>
  <c r="G2096" i="2"/>
  <c r="E2096" i="2"/>
  <c r="B2096" i="2"/>
  <c r="S2095" i="2"/>
  <c r="M2095" i="2"/>
  <c r="L2095" i="2"/>
  <c r="K2095" i="2"/>
  <c r="G2095" i="2"/>
  <c r="E2095" i="2"/>
  <c r="B2095" i="2"/>
  <c r="S2094" i="2"/>
  <c r="M2094" i="2"/>
  <c r="L2094" i="2"/>
  <c r="K2094" i="2"/>
  <c r="G2094" i="2"/>
  <c r="E2094" i="2"/>
  <c r="B2094" i="2"/>
  <c r="S2093" i="2"/>
  <c r="M2093" i="2"/>
  <c r="L2093" i="2"/>
  <c r="K2093" i="2"/>
  <c r="G2093" i="2"/>
  <c r="E2093" i="2"/>
  <c r="B2093" i="2"/>
  <c r="S2092" i="2"/>
  <c r="M2092" i="2"/>
  <c r="L2092" i="2"/>
  <c r="K2092" i="2"/>
  <c r="G2092" i="2"/>
  <c r="E2092" i="2"/>
  <c r="B2092" i="2"/>
  <c r="S2091" i="2"/>
  <c r="M2091" i="2"/>
  <c r="L2091" i="2"/>
  <c r="K2091" i="2"/>
  <c r="G2091" i="2"/>
  <c r="E2091" i="2"/>
  <c r="B2091" i="2"/>
  <c r="S2090" i="2"/>
  <c r="M2090" i="2"/>
  <c r="L2090" i="2"/>
  <c r="K2090" i="2"/>
  <c r="G2090" i="2"/>
  <c r="E2090" i="2"/>
  <c r="B2090" i="2"/>
  <c r="S2089" i="2"/>
  <c r="M2089" i="2"/>
  <c r="L2089" i="2"/>
  <c r="K2089" i="2"/>
  <c r="G2089" i="2"/>
  <c r="E2089" i="2"/>
  <c r="B2089" i="2"/>
  <c r="S2088" i="2"/>
  <c r="M2088" i="2"/>
  <c r="L2088" i="2"/>
  <c r="K2088" i="2"/>
  <c r="G2088" i="2"/>
  <c r="E2088" i="2"/>
  <c r="B2088" i="2"/>
  <c r="S2087" i="2"/>
  <c r="M2087" i="2"/>
  <c r="L2087" i="2"/>
  <c r="K2087" i="2"/>
  <c r="G2087" i="2"/>
  <c r="E2087" i="2"/>
  <c r="B2087" i="2"/>
  <c r="S2086" i="2"/>
  <c r="M2086" i="2"/>
  <c r="L2086" i="2"/>
  <c r="K2086" i="2"/>
  <c r="G2086" i="2"/>
  <c r="E2086" i="2"/>
  <c r="B2086" i="2"/>
  <c r="S2085" i="2"/>
  <c r="M2085" i="2"/>
  <c r="L2085" i="2"/>
  <c r="K2085" i="2"/>
  <c r="G2085" i="2"/>
  <c r="E2085" i="2"/>
  <c r="B2085" i="2"/>
  <c r="S2084" i="2"/>
  <c r="M2084" i="2"/>
  <c r="L2084" i="2"/>
  <c r="K2084" i="2"/>
  <c r="G2084" i="2"/>
  <c r="E2084" i="2"/>
  <c r="B2084" i="2"/>
  <c r="S2083" i="2"/>
  <c r="M2083" i="2"/>
  <c r="L2083" i="2"/>
  <c r="K2083" i="2"/>
  <c r="G2083" i="2"/>
  <c r="E2083" i="2"/>
  <c r="B2083" i="2"/>
  <c r="S2082" i="2"/>
  <c r="M2082" i="2"/>
  <c r="L2082" i="2"/>
  <c r="K2082" i="2"/>
  <c r="G2082" i="2"/>
  <c r="E2082" i="2"/>
  <c r="B2082" i="2"/>
  <c r="S2081" i="2"/>
  <c r="M2081" i="2"/>
  <c r="L2081" i="2"/>
  <c r="K2081" i="2"/>
  <c r="G2081" i="2"/>
  <c r="E2081" i="2"/>
  <c r="B2081" i="2"/>
  <c r="S2080" i="2"/>
  <c r="M2080" i="2"/>
  <c r="L2080" i="2"/>
  <c r="K2080" i="2"/>
  <c r="G2080" i="2"/>
  <c r="E2080" i="2"/>
  <c r="B2080" i="2"/>
  <c r="S2079" i="2"/>
  <c r="M2079" i="2"/>
  <c r="L2079" i="2"/>
  <c r="K2079" i="2"/>
  <c r="G2079" i="2"/>
  <c r="E2079" i="2"/>
  <c r="B2079" i="2"/>
  <c r="S2078" i="2"/>
  <c r="M2078" i="2"/>
  <c r="L2078" i="2"/>
  <c r="K2078" i="2"/>
  <c r="G2078" i="2"/>
  <c r="E2078" i="2"/>
  <c r="B2078" i="2"/>
  <c r="S2077" i="2"/>
  <c r="M2077" i="2"/>
  <c r="L2077" i="2"/>
  <c r="K2077" i="2"/>
  <c r="G2077" i="2"/>
  <c r="E2077" i="2"/>
  <c r="B2077" i="2"/>
  <c r="S2076" i="2"/>
  <c r="M2076" i="2"/>
  <c r="L2076" i="2"/>
  <c r="K2076" i="2"/>
  <c r="G2076" i="2"/>
  <c r="E2076" i="2"/>
  <c r="B2076" i="2"/>
  <c r="S2075" i="2"/>
  <c r="M2075" i="2"/>
  <c r="L2075" i="2"/>
  <c r="K2075" i="2"/>
  <c r="G2075" i="2"/>
  <c r="E2075" i="2"/>
  <c r="B2075" i="2"/>
  <c r="S2074" i="2"/>
  <c r="M2074" i="2"/>
  <c r="L2074" i="2"/>
  <c r="K2074" i="2"/>
  <c r="G2074" i="2"/>
  <c r="E2074" i="2"/>
  <c r="B2074" i="2"/>
  <c r="S2073" i="2"/>
  <c r="M2073" i="2"/>
  <c r="L2073" i="2"/>
  <c r="K2073" i="2"/>
  <c r="G2073" i="2"/>
  <c r="E2073" i="2"/>
  <c r="B2073" i="2"/>
  <c r="S2072" i="2"/>
  <c r="M2072" i="2"/>
  <c r="L2072" i="2"/>
  <c r="K2072" i="2"/>
  <c r="G2072" i="2"/>
  <c r="E2072" i="2"/>
  <c r="B2072" i="2"/>
  <c r="S2071" i="2"/>
  <c r="M2071" i="2"/>
  <c r="L2071" i="2"/>
  <c r="K2071" i="2"/>
  <c r="G2071" i="2"/>
  <c r="E2071" i="2"/>
  <c r="B2071" i="2"/>
  <c r="S2070" i="2"/>
  <c r="M2070" i="2"/>
  <c r="L2070" i="2"/>
  <c r="K2070" i="2"/>
  <c r="G2070" i="2"/>
  <c r="E2070" i="2"/>
  <c r="B2070" i="2"/>
  <c r="S2069" i="2"/>
  <c r="M2069" i="2"/>
  <c r="L2069" i="2"/>
  <c r="K2069" i="2"/>
  <c r="G2069" i="2"/>
  <c r="E2069" i="2"/>
  <c r="B2069" i="2"/>
  <c r="S2068" i="2"/>
  <c r="M2068" i="2"/>
  <c r="L2068" i="2"/>
  <c r="K2068" i="2"/>
  <c r="G2068" i="2"/>
  <c r="E2068" i="2"/>
  <c r="B2068" i="2"/>
  <c r="S2067" i="2"/>
  <c r="M2067" i="2"/>
  <c r="L2067" i="2"/>
  <c r="K2067" i="2"/>
  <c r="G2067" i="2"/>
  <c r="E2067" i="2"/>
  <c r="B2067" i="2"/>
  <c r="S2066" i="2"/>
  <c r="M2066" i="2"/>
  <c r="L2066" i="2"/>
  <c r="K2066" i="2"/>
  <c r="G2066" i="2"/>
  <c r="E2066" i="2"/>
  <c r="B2066" i="2"/>
  <c r="S2065" i="2"/>
  <c r="M2065" i="2"/>
  <c r="L2065" i="2"/>
  <c r="K2065" i="2"/>
  <c r="G2065" i="2"/>
  <c r="E2065" i="2"/>
  <c r="B2065" i="2"/>
  <c r="S2064" i="2"/>
  <c r="M2064" i="2"/>
  <c r="L2064" i="2"/>
  <c r="K2064" i="2"/>
  <c r="G2064" i="2"/>
  <c r="E2064" i="2"/>
  <c r="B2064" i="2"/>
  <c r="S2063" i="2"/>
  <c r="M2063" i="2"/>
  <c r="L2063" i="2"/>
  <c r="K2063" i="2"/>
  <c r="G2063" i="2"/>
  <c r="E2063" i="2"/>
  <c r="B2063" i="2"/>
  <c r="S2062" i="2"/>
  <c r="M2062" i="2"/>
  <c r="L2062" i="2"/>
  <c r="K2062" i="2"/>
  <c r="G2062" i="2"/>
  <c r="E2062" i="2"/>
  <c r="B2062" i="2"/>
  <c r="S2061" i="2"/>
  <c r="M2061" i="2"/>
  <c r="L2061" i="2"/>
  <c r="K2061" i="2"/>
  <c r="G2061" i="2"/>
  <c r="E2061" i="2"/>
  <c r="B2061" i="2"/>
  <c r="S2060" i="2"/>
  <c r="M2060" i="2"/>
  <c r="L2060" i="2"/>
  <c r="K2060" i="2"/>
  <c r="G2060" i="2"/>
  <c r="E2060" i="2"/>
  <c r="B2060" i="2"/>
  <c r="S2059" i="2"/>
  <c r="M2059" i="2"/>
  <c r="L2059" i="2"/>
  <c r="K2059" i="2"/>
  <c r="G2059" i="2"/>
  <c r="E2059" i="2"/>
  <c r="B2059" i="2"/>
  <c r="S2058" i="2"/>
  <c r="M2058" i="2"/>
  <c r="L2058" i="2"/>
  <c r="K2058" i="2"/>
  <c r="G2058" i="2"/>
  <c r="E2058" i="2"/>
  <c r="B2058" i="2"/>
  <c r="S2057" i="2"/>
  <c r="M2057" i="2"/>
  <c r="L2057" i="2"/>
  <c r="K2057" i="2"/>
  <c r="G2057" i="2"/>
  <c r="E2057" i="2"/>
  <c r="B2057" i="2"/>
  <c r="S2056" i="2"/>
  <c r="M2056" i="2"/>
  <c r="L2056" i="2"/>
  <c r="K2056" i="2"/>
  <c r="G2056" i="2"/>
  <c r="E2056" i="2"/>
  <c r="B2056" i="2"/>
  <c r="S2055" i="2"/>
  <c r="M2055" i="2"/>
  <c r="L2055" i="2"/>
  <c r="K2055" i="2"/>
  <c r="G2055" i="2"/>
  <c r="E2055" i="2"/>
  <c r="B2055" i="2"/>
  <c r="S2054" i="2"/>
  <c r="M2054" i="2"/>
  <c r="L2054" i="2"/>
  <c r="K2054" i="2"/>
  <c r="G2054" i="2"/>
  <c r="E2054" i="2"/>
  <c r="B2054" i="2"/>
  <c r="S2053" i="2"/>
  <c r="M2053" i="2"/>
  <c r="L2053" i="2"/>
  <c r="K2053" i="2"/>
  <c r="G2053" i="2"/>
  <c r="E2053" i="2"/>
  <c r="B2053" i="2"/>
  <c r="S2052" i="2"/>
  <c r="M2052" i="2"/>
  <c r="L2052" i="2"/>
  <c r="K2052" i="2"/>
  <c r="G2052" i="2"/>
  <c r="E2052" i="2"/>
  <c r="B2052" i="2"/>
  <c r="S2051" i="2"/>
  <c r="M2051" i="2"/>
  <c r="L2051" i="2"/>
  <c r="K2051" i="2"/>
  <c r="G2051" i="2"/>
  <c r="E2051" i="2"/>
  <c r="B2051" i="2"/>
  <c r="S2050" i="2"/>
  <c r="M2050" i="2"/>
  <c r="L2050" i="2"/>
  <c r="K2050" i="2"/>
  <c r="G2050" i="2"/>
  <c r="E2050" i="2"/>
  <c r="B2050" i="2"/>
  <c r="S2049" i="2"/>
  <c r="M2049" i="2"/>
  <c r="L2049" i="2"/>
  <c r="K2049" i="2"/>
  <c r="G2049" i="2"/>
  <c r="E2049" i="2"/>
  <c r="B2049" i="2"/>
  <c r="S2048" i="2"/>
  <c r="M2048" i="2"/>
  <c r="L2048" i="2"/>
  <c r="K2048" i="2"/>
  <c r="G2048" i="2"/>
  <c r="E2048" i="2"/>
  <c r="B2048" i="2"/>
  <c r="S2047" i="2"/>
  <c r="M2047" i="2"/>
  <c r="L2047" i="2"/>
  <c r="K2047" i="2"/>
  <c r="G2047" i="2"/>
  <c r="E2047" i="2"/>
  <c r="B2047" i="2"/>
  <c r="S2046" i="2"/>
  <c r="M2046" i="2"/>
  <c r="L2046" i="2"/>
  <c r="K2046" i="2"/>
  <c r="G2046" i="2"/>
  <c r="E2046" i="2"/>
  <c r="B2046" i="2"/>
  <c r="S2045" i="2"/>
  <c r="M2045" i="2"/>
  <c r="L2045" i="2"/>
  <c r="K2045" i="2"/>
  <c r="G2045" i="2"/>
  <c r="E2045" i="2"/>
  <c r="B2045" i="2"/>
  <c r="S2044" i="2"/>
  <c r="M2044" i="2"/>
  <c r="L2044" i="2"/>
  <c r="K2044" i="2"/>
  <c r="G2044" i="2"/>
  <c r="E2044" i="2"/>
  <c r="B2044" i="2"/>
  <c r="S2043" i="2"/>
  <c r="M2043" i="2"/>
  <c r="L2043" i="2"/>
  <c r="K2043" i="2"/>
  <c r="G2043" i="2"/>
  <c r="E2043" i="2"/>
  <c r="B2043" i="2"/>
  <c r="S2042" i="2"/>
  <c r="M2042" i="2"/>
  <c r="L2042" i="2"/>
  <c r="K2042" i="2"/>
  <c r="G2042" i="2"/>
  <c r="E2042" i="2"/>
  <c r="B2042" i="2"/>
  <c r="S2041" i="2"/>
  <c r="M2041" i="2"/>
  <c r="L2041" i="2"/>
  <c r="K2041" i="2"/>
  <c r="G2041" i="2"/>
  <c r="E2041" i="2"/>
  <c r="B2041" i="2"/>
  <c r="S2040" i="2"/>
  <c r="M2040" i="2"/>
  <c r="L2040" i="2"/>
  <c r="K2040" i="2"/>
  <c r="G2040" i="2"/>
  <c r="E2040" i="2"/>
  <c r="B2040" i="2"/>
  <c r="S2039" i="2"/>
  <c r="M2039" i="2"/>
  <c r="L2039" i="2"/>
  <c r="K2039" i="2"/>
  <c r="G2039" i="2"/>
  <c r="E2039" i="2"/>
  <c r="B2039" i="2"/>
  <c r="S2038" i="2"/>
  <c r="M2038" i="2"/>
  <c r="L2038" i="2"/>
  <c r="K2038" i="2"/>
  <c r="G2038" i="2"/>
  <c r="E2038" i="2"/>
  <c r="B2038" i="2"/>
  <c r="S2037" i="2"/>
  <c r="M2037" i="2"/>
  <c r="L2037" i="2"/>
  <c r="K2037" i="2"/>
  <c r="G2037" i="2"/>
  <c r="E2037" i="2"/>
  <c r="B2037" i="2"/>
  <c r="S2036" i="2"/>
  <c r="M2036" i="2"/>
  <c r="L2036" i="2"/>
  <c r="K2036" i="2"/>
  <c r="G2036" i="2"/>
  <c r="E2036" i="2"/>
  <c r="B2036" i="2"/>
  <c r="S2035" i="2"/>
  <c r="M2035" i="2"/>
  <c r="L2035" i="2"/>
  <c r="K2035" i="2"/>
  <c r="G2035" i="2"/>
  <c r="E2035" i="2"/>
  <c r="B2035" i="2"/>
  <c r="S2034" i="2"/>
  <c r="M2034" i="2"/>
  <c r="L2034" i="2"/>
  <c r="K2034" i="2"/>
  <c r="G2034" i="2"/>
  <c r="E2034" i="2"/>
  <c r="B2034" i="2"/>
  <c r="S2033" i="2"/>
  <c r="M2033" i="2"/>
  <c r="L2033" i="2"/>
  <c r="K2033" i="2"/>
  <c r="G2033" i="2"/>
  <c r="E2033" i="2"/>
  <c r="B2033" i="2"/>
  <c r="S2032" i="2"/>
  <c r="M2032" i="2"/>
  <c r="L2032" i="2"/>
  <c r="K2032" i="2"/>
  <c r="G2032" i="2"/>
  <c r="E2032" i="2"/>
  <c r="B2032" i="2"/>
  <c r="S2031" i="2"/>
  <c r="M2031" i="2"/>
  <c r="L2031" i="2"/>
  <c r="K2031" i="2"/>
  <c r="G2031" i="2"/>
  <c r="E2031" i="2"/>
  <c r="B2031" i="2"/>
  <c r="S2030" i="2"/>
  <c r="M2030" i="2"/>
  <c r="L2030" i="2"/>
  <c r="K2030" i="2"/>
  <c r="G2030" i="2"/>
  <c r="E2030" i="2"/>
  <c r="B2030" i="2"/>
  <c r="S2029" i="2"/>
  <c r="M2029" i="2"/>
  <c r="L2029" i="2"/>
  <c r="K2029" i="2"/>
  <c r="G2029" i="2"/>
  <c r="E2029" i="2"/>
  <c r="B2029" i="2"/>
  <c r="S2028" i="2"/>
  <c r="M2028" i="2"/>
  <c r="L2028" i="2"/>
  <c r="K2028" i="2"/>
  <c r="G2028" i="2"/>
  <c r="E2028" i="2"/>
  <c r="B2028" i="2"/>
  <c r="S2027" i="2"/>
  <c r="M2027" i="2"/>
  <c r="L2027" i="2"/>
  <c r="K2027" i="2"/>
  <c r="G2027" i="2"/>
  <c r="E2027" i="2"/>
  <c r="B2027" i="2"/>
  <c r="S2026" i="2"/>
  <c r="M2026" i="2"/>
  <c r="L2026" i="2"/>
  <c r="K2026" i="2"/>
  <c r="G2026" i="2"/>
  <c r="E2026" i="2"/>
  <c r="B2026" i="2"/>
  <c r="S2025" i="2"/>
  <c r="M2025" i="2"/>
  <c r="L2025" i="2"/>
  <c r="K2025" i="2"/>
  <c r="G2025" i="2"/>
  <c r="E2025" i="2"/>
  <c r="B2025" i="2"/>
  <c r="S2024" i="2"/>
  <c r="M2024" i="2"/>
  <c r="L2024" i="2"/>
  <c r="K2024" i="2"/>
  <c r="G2024" i="2"/>
  <c r="E2024" i="2"/>
  <c r="B2024" i="2"/>
  <c r="S2023" i="2"/>
  <c r="M2023" i="2"/>
  <c r="L2023" i="2"/>
  <c r="K2023" i="2"/>
  <c r="G2023" i="2"/>
  <c r="E2023" i="2"/>
  <c r="B2023" i="2"/>
  <c r="S2022" i="2"/>
  <c r="M2022" i="2"/>
  <c r="L2022" i="2"/>
  <c r="K2022" i="2"/>
  <c r="G2022" i="2"/>
  <c r="E2022" i="2"/>
  <c r="B2022" i="2"/>
  <c r="S2021" i="2"/>
  <c r="M2021" i="2"/>
  <c r="L2021" i="2"/>
  <c r="K2021" i="2"/>
  <c r="G2021" i="2"/>
  <c r="E2021" i="2"/>
  <c r="B2021" i="2"/>
  <c r="S2020" i="2"/>
  <c r="M2020" i="2"/>
  <c r="L2020" i="2"/>
  <c r="K2020" i="2"/>
  <c r="G2020" i="2"/>
  <c r="E2020" i="2"/>
  <c r="B2020" i="2"/>
  <c r="S2019" i="2"/>
  <c r="M2019" i="2"/>
  <c r="L2019" i="2"/>
  <c r="K2019" i="2"/>
  <c r="G2019" i="2"/>
  <c r="E2019" i="2"/>
  <c r="B2019" i="2"/>
  <c r="S2018" i="2"/>
  <c r="M2018" i="2"/>
  <c r="L2018" i="2"/>
  <c r="K2018" i="2"/>
  <c r="G2018" i="2"/>
  <c r="E2018" i="2"/>
  <c r="B2018" i="2"/>
  <c r="S2017" i="2"/>
  <c r="M2017" i="2"/>
  <c r="L2017" i="2"/>
  <c r="K2017" i="2"/>
  <c r="G2017" i="2"/>
  <c r="E2017" i="2"/>
  <c r="B2017" i="2"/>
  <c r="S2016" i="2"/>
  <c r="M2016" i="2"/>
  <c r="L2016" i="2"/>
  <c r="K2016" i="2"/>
  <c r="G2016" i="2"/>
  <c r="E2016" i="2"/>
  <c r="B2016" i="2"/>
  <c r="S2015" i="2"/>
  <c r="M2015" i="2"/>
  <c r="L2015" i="2"/>
  <c r="K2015" i="2"/>
  <c r="G2015" i="2"/>
  <c r="E2015" i="2"/>
  <c r="B2015" i="2"/>
  <c r="S2014" i="2"/>
  <c r="M2014" i="2"/>
  <c r="L2014" i="2"/>
  <c r="K2014" i="2"/>
  <c r="G2014" i="2"/>
  <c r="E2014" i="2"/>
  <c r="B2014" i="2"/>
  <c r="S2013" i="2"/>
  <c r="M2013" i="2"/>
  <c r="L2013" i="2"/>
  <c r="K2013" i="2"/>
  <c r="G2013" i="2"/>
  <c r="E2013" i="2"/>
  <c r="B2013" i="2"/>
  <c r="S2012" i="2"/>
  <c r="M2012" i="2"/>
  <c r="L2012" i="2"/>
  <c r="K2012" i="2"/>
  <c r="G2012" i="2"/>
  <c r="E2012" i="2"/>
  <c r="B2012" i="2"/>
  <c r="S2011" i="2"/>
  <c r="M2011" i="2"/>
  <c r="L2011" i="2"/>
  <c r="K2011" i="2"/>
  <c r="G2011" i="2"/>
  <c r="E2011" i="2"/>
  <c r="B2011" i="2"/>
  <c r="S2010" i="2"/>
  <c r="M2010" i="2"/>
  <c r="L2010" i="2"/>
  <c r="K2010" i="2"/>
  <c r="G2010" i="2"/>
  <c r="E2010" i="2"/>
  <c r="B2010" i="2"/>
  <c r="S2009" i="2"/>
  <c r="M2009" i="2"/>
  <c r="L2009" i="2"/>
  <c r="K2009" i="2"/>
  <c r="G2009" i="2"/>
  <c r="E2009" i="2"/>
  <c r="B2009" i="2"/>
  <c r="S2008" i="2"/>
  <c r="M2008" i="2"/>
  <c r="L2008" i="2"/>
  <c r="K2008" i="2"/>
  <c r="G2008" i="2"/>
  <c r="E2008" i="2"/>
  <c r="B2008" i="2"/>
  <c r="S2007" i="2"/>
  <c r="M2007" i="2"/>
  <c r="L2007" i="2"/>
  <c r="K2007" i="2"/>
  <c r="G2007" i="2"/>
  <c r="E2007" i="2"/>
  <c r="B2007" i="2"/>
  <c r="S2006" i="2"/>
  <c r="M2006" i="2"/>
  <c r="L2006" i="2"/>
  <c r="K2006" i="2"/>
  <c r="G2006" i="2"/>
  <c r="E2006" i="2"/>
  <c r="B2006" i="2"/>
  <c r="S2005" i="2"/>
  <c r="M2005" i="2"/>
  <c r="L2005" i="2"/>
  <c r="K2005" i="2"/>
  <c r="G2005" i="2"/>
  <c r="E2005" i="2"/>
  <c r="B2005" i="2"/>
  <c r="S2004" i="2"/>
  <c r="M2004" i="2"/>
  <c r="L2004" i="2"/>
  <c r="K2004" i="2"/>
  <c r="G2004" i="2"/>
  <c r="E2004" i="2"/>
  <c r="B2004" i="2"/>
  <c r="S2003" i="2"/>
  <c r="M2003" i="2"/>
  <c r="L2003" i="2"/>
  <c r="K2003" i="2"/>
  <c r="G2003" i="2"/>
  <c r="E2003" i="2"/>
  <c r="B2003" i="2"/>
  <c r="S2002" i="2"/>
  <c r="M2002" i="2"/>
  <c r="L2002" i="2"/>
  <c r="K2002" i="2"/>
  <c r="G2002" i="2"/>
  <c r="E2002" i="2"/>
  <c r="B2002" i="2"/>
  <c r="S2001" i="2"/>
  <c r="M2001" i="2"/>
  <c r="L2001" i="2"/>
  <c r="K2001" i="2"/>
  <c r="G2001" i="2"/>
  <c r="E2001" i="2"/>
  <c r="B2001" i="2"/>
  <c r="S2000" i="2"/>
  <c r="M2000" i="2"/>
  <c r="L2000" i="2"/>
  <c r="K2000" i="2"/>
  <c r="G2000" i="2"/>
  <c r="E2000" i="2"/>
  <c r="B2000" i="2"/>
  <c r="S1999" i="2"/>
  <c r="M1999" i="2"/>
  <c r="L1999" i="2"/>
  <c r="K1999" i="2"/>
  <c r="G1999" i="2"/>
  <c r="E1999" i="2"/>
  <c r="B1999" i="2"/>
  <c r="S1998" i="2"/>
  <c r="M1998" i="2"/>
  <c r="L1998" i="2"/>
  <c r="K1998" i="2"/>
  <c r="G1998" i="2"/>
  <c r="E1998" i="2"/>
  <c r="B1998" i="2"/>
  <c r="S1997" i="2"/>
  <c r="M1997" i="2"/>
  <c r="L1997" i="2"/>
  <c r="K1997" i="2"/>
  <c r="G1997" i="2"/>
  <c r="E1997" i="2"/>
  <c r="B1997" i="2"/>
  <c r="S1996" i="2"/>
  <c r="M1996" i="2"/>
  <c r="L1996" i="2"/>
  <c r="K1996" i="2"/>
  <c r="G1996" i="2"/>
  <c r="E1996" i="2"/>
  <c r="B1996" i="2"/>
  <c r="S1995" i="2"/>
  <c r="M1995" i="2"/>
  <c r="L1995" i="2"/>
  <c r="K1995" i="2"/>
  <c r="G1995" i="2"/>
  <c r="E1995" i="2"/>
  <c r="B1995" i="2"/>
  <c r="S1994" i="2"/>
  <c r="M1994" i="2"/>
  <c r="L1994" i="2"/>
  <c r="K1994" i="2"/>
  <c r="G1994" i="2"/>
  <c r="E1994" i="2"/>
  <c r="B1994" i="2"/>
  <c r="S1993" i="2"/>
  <c r="M1993" i="2"/>
  <c r="L1993" i="2"/>
  <c r="K1993" i="2"/>
  <c r="G1993" i="2"/>
  <c r="E1993" i="2"/>
  <c r="B1993" i="2"/>
  <c r="S1992" i="2"/>
  <c r="M1992" i="2"/>
  <c r="L1992" i="2"/>
  <c r="K1992" i="2"/>
  <c r="G1992" i="2"/>
  <c r="E1992" i="2"/>
  <c r="B1992" i="2"/>
  <c r="S1991" i="2"/>
  <c r="M1991" i="2"/>
  <c r="L1991" i="2"/>
  <c r="K1991" i="2"/>
  <c r="G1991" i="2"/>
  <c r="E1991" i="2"/>
  <c r="B1991" i="2"/>
  <c r="S1990" i="2"/>
  <c r="M1990" i="2"/>
  <c r="L1990" i="2"/>
  <c r="K1990" i="2"/>
  <c r="G1990" i="2"/>
  <c r="E1990" i="2"/>
  <c r="B1990" i="2"/>
  <c r="S1989" i="2"/>
  <c r="M1989" i="2"/>
  <c r="L1989" i="2"/>
  <c r="K1989" i="2"/>
  <c r="G1989" i="2"/>
  <c r="E1989" i="2"/>
  <c r="B1989" i="2"/>
  <c r="S1988" i="2"/>
  <c r="M1988" i="2"/>
  <c r="L1988" i="2"/>
  <c r="K1988" i="2"/>
  <c r="G1988" i="2"/>
  <c r="E1988" i="2"/>
  <c r="B1988" i="2"/>
  <c r="S1987" i="2"/>
  <c r="M1987" i="2"/>
  <c r="L1987" i="2"/>
  <c r="K1987" i="2"/>
  <c r="G1987" i="2"/>
  <c r="E1987" i="2"/>
  <c r="B1987" i="2"/>
  <c r="S1986" i="2"/>
  <c r="M1986" i="2"/>
  <c r="L1986" i="2"/>
  <c r="K1986" i="2"/>
  <c r="G1986" i="2"/>
  <c r="E1986" i="2"/>
  <c r="B1986" i="2"/>
  <c r="S1985" i="2"/>
  <c r="M1985" i="2"/>
  <c r="L1985" i="2"/>
  <c r="K1985" i="2"/>
  <c r="G1985" i="2"/>
  <c r="E1985" i="2"/>
  <c r="B1985" i="2"/>
  <c r="S1984" i="2"/>
  <c r="M1984" i="2"/>
  <c r="L1984" i="2"/>
  <c r="K1984" i="2"/>
  <c r="G1984" i="2"/>
  <c r="E1984" i="2"/>
  <c r="B1984" i="2"/>
  <c r="S1983" i="2"/>
  <c r="M1983" i="2"/>
  <c r="L1983" i="2"/>
  <c r="K1983" i="2"/>
  <c r="G1983" i="2"/>
  <c r="E1983" i="2"/>
  <c r="B1983" i="2"/>
  <c r="S1982" i="2"/>
  <c r="M1982" i="2"/>
  <c r="L1982" i="2"/>
  <c r="K1982" i="2"/>
  <c r="G1982" i="2"/>
  <c r="E1982" i="2"/>
  <c r="B1982" i="2"/>
  <c r="S1981" i="2"/>
  <c r="M1981" i="2"/>
  <c r="L1981" i="2"/>
  <c r="K1981" i="2"/>
  <c r="G1981" i="2"/>
  <c r="E1981" i="2"/>
  <c r="B1981" i="2"/>
  <c r="S1980" i="2"/>
  <c r="M1980" i="2"/>
  <c r="L1980" i="2"/>
  <c r="K1980" i="2"/>
  <c r="G1980" i="2"/>
  <c r="E1980" i="2"/>
  <c r="B1980" i="2"/>
  <c r="S1979" i="2"/>
  <c r="M1979" i="2"/>
  <c r="L1979" i="2"/>
  <c r="K1979" i="2"/>
  <c r="G1979" i="2"/>
  <c r="E1979" i="2"/>
  <c r="B1979" i="2"/>
  <c r="S1978" i="2"/>
  <c r="M1978" i="2"/>
  <c r="L1978" i="2"/>
  <c r="K1978" i="2"/>
  <c r="G1978" i="2"/>
  <c r="E1978" i="2"/>
  <c r="B1978" i="2"/>
  <c r="S1977" i="2"/>
  <c r="M1977" i="2"/>
  <c r="L1977" i="2"/>
  <c r="K1977" i="2"/>
  <c r="G1977" i="2"/>
  <c r="E1977" i="2"/>
  <c r="B1977" i="2"/>
  <c r="S1976" i="2"/>
  <c r="M1976" i="2"/>
  <c r="L1976" i="2"/>
  <c r="K1976" i="2"/>
  <c r="G1976" i="2"/>
  <c r="E1976" i="2"/>
  <c r="B1976" i="2"/>
  <c r="S1975" i="2"/>
  <c r="M1975" i="2"/>
  <c r="L1975" i="2"/>
  <c r="K1975" i="2"/>
  <c r="G1975" i="2"/>
  <c r="E1975" i="2"/>
  <c r="B1975" i="2"/>
  <c r="S1974" i="2"/>
  <c r="M1974" i="2"/>
  <c r="L1974" i="2"/>
  <c r="K1974" i="2"/>
  <c r="G1974" i="2"/>
  <c r="E1974" i="2"/>
  <c r="B1974" i="2"/>
  <c r="S1973" i="2"/>
  <c r="M1973" i="2"/>
  <c r="L1973" i="2"/>
  <c r="K1973" i="2"/>
  <c r="G1973" i="2"/>
  <c r="E1973" i="2"/>
  <c r="B1973" i="2"/>
  <c r="S1972" i="2"/>
  <c r="M1972" i="2"/>
  <c r="L1972" i="2"/>
  <c r="K1972" i="2"/>
  <c r="G1972" i="2"/>
  <c r="E1972" i="2"/>
  <c r="B1972" i="2"/>
  <c r="S1971" i="2"/>
  <c r="M1971" i="2"/>
  <c r="L1971" i="2"/>
  <c r="K1971" i="2"/>
  <c r="G1971" i="2"/>
  <c r="E1971" i="2"/>
  <c r="B1971" i="2"/>
  <c r="S1970" i="2"/>
  <c r="M1970" i="2"/>
  <c r="L1970" i="2"/>
  <c r="K1970" i="2"/>
  <c r="G1970" i="2"/>
  <c r="E1970" i="2"/>
  <c r="B1970" i="2"/>
  <c r="S1969" i="2"/>
  <c r="M1969" i="2"/>
  <c r="L1969" i="2"/>
  <c r="K1969" i="2"/>
  <c r="G1969" i="2"/>
  <c r="E1969" i="2"/>
  <c r="B1969" i="2"/>
  <c r="S1968" i="2"/>
  <c r="M1968" i="2"/>
  <c r="L1968" i="2"/>
  <c r="K1968" i="2"/>
  <c r="G1968" i="2"/>
  <c r="E1968" i="2"/>
  <c r="B1968" i="2"/>
  <c r="S1967" i="2"/>
  <c r="M1967" i="2"/>
  <c r="L1967" i="2"/>
  <c r="K1967" i="2"/>
  <c r="G1967" i="2"/>
  <c r="E1967" i="2"/>
  <c r="B1967" i="2"/>
  <c r="S1966" i="2"/>
  <c r="M1966" i="2"/>
  <c r="L1966" i="2"/>
  <c r="K1966" i="2"/>
  <c r="G1966" i="2"/>
  <c r="E1966" i="2"/>
  <c r="B1966" i="2"/>
  <c r="S1965" i="2"/>
  <c r="M1965" i="2"/>
  <c r="L1965" i="2"/>
  <c r="K1965" i="2"/>
  <c r="G1965" i="2"/>
  <c r="E1965" i="2"/>
  <c r="B1965" i="2"/>
  <c r="S1964" i="2"/>
  <c r="M1964" i="2"/>
  <c r="L1964" i="2"/>
  <c r="K1964" i="2"/>
  <c r="G1964" i="2"/>
  <c r="E1964" i="2"/>
  <c r="B1964" i="2"/>
  <c r="S1963" i="2"/>
  <c r="M1963" i="2"/>
  <c r="L1963" i="2"/>
  <c r="K1963" i="2"/>
  <c r="G1963" i="2"/>
  <c r="E1963" i="2"/>
  <c r="B1963" i="2"/>
  <c r="S1962" i="2"/>
  <c r="M1962" i="2"/>
  <c r="L1962" i="2"/>
  <c r="K1962" i="2"/>
  <c r="G1962" i="2"/>
  <c r="E1962" i="2"/>
  <c r="B1962" i="2"/>
  <c r="S1961" i="2"/>
  <c r="M1961" i="2"/>
  <c r="L1961" i="2"/>
  <c r="K1961" i="2"/>
  <c r="G1961" i="2"/>
  <c r="E1961" i="2"/>
  <c r="B1961" i="2"/>
  <c r="S1960" i="2"/>
  <c r="M1960" i="2"/>
  <c r="L1960" i="2"/>
  <c r="K1960" i="2"/>
  <c r="G1960" i="2"/>
  <c r="E1960" i="2"/>
  <c r="B1960" i="2"/>
  <c r="S1959" i="2"/>
  <c r="M1959" i="2"/>
  <c r="L1959" i="2"/>
  <c r="K1959" i="2"/>
  <c r="G1959" i="2"/>
  <c r="E1959" i="2"/>
  <c r="B1959" i="2"/>
  <c r="S1958" i="2"/>
  <c r="M1958" i="2"/>
  <c r="L1958" i="2"/>
  <c r="K1958" i="2"/>
  <c r="G1958" i="2"/>
  <c r="E1958" i="2"/>
  <c r="B1958" i="2"/>
  <c r="S1957" i="2"/>
  <c r="M1957" i="2"/>
  <c r="L1957" i="2"/>
  <c r="K1957" i="2"/>
  <c r="G1957" i="2"/>
  <c r="E1957" i="2"/>
  <c r="B1957" i="2"/>
  <c r="S1956" i="2"/>
  <c r="M1956" i="2"/>
  <c r="L1956" i="2"/>
  <c r="K1956" i="2"/>
  <c r="G1956" i="2"/>
  <c r="E1956" i="2"/>
  <c r="B1956" i="2"/>
  <c r="S1955" i="2"/>
  <c r="M1955" i="2"/>
  <c r="L1955" i="2"/>
  <c r="K1955" i="2"/>
  <c r="G1955" i="2"/>
  <c r="E1955" i="2"/>
  <c r="B1955" i="2"/>
  <c r="S1954" i="2"/>
  <c r="M1954" i="2"/>
  <c r="L1954" i="2"/>
  <c r="K1954" i="2"/>
  <c r="G1954" i="2"/>
  <c r="E1954" i="2"/>
  <c r="B1954" i="2"/>
  <c r="S1953" i="2"/>
  <c r="M1953" i="2"/>
  <c r="L1953" i="2"/>
  <c r="K1953" i="2"/>
  <c r="G1953" i="2"/>
  <c r="E1953" i="2"/>
  <c r="B1953" i="2"/>
  <c r="S1952" i="2"/>
  <c r="M1952" i="2"/>
  <c r="L1952" i="2"/>
  <c r="K1952" i="2"/>
  <c r="G1952" i="2"/>
  <c r="E1952" i="2"/>
  <c r="B1952" i="2"/>
  <c r="S1951" i="2"/>
  <c r="M1951" i="2"/>
  <c r="L1951" i="2"/>
  <c r="K1951" i="2"/>
  <c r="G1951" i="2"/>
  <c r="E1951" i="2"/>
  <c r="B1951" i="2"/>
  <c r="S1950" i="2"/>
  <c r="M1950" i="2"/>
  <c r="L1950" i="2"/>
  <c r="K1950" i="2"/>
  <c r="G1950" i="2"/>
  <c r="E1950" i="2"/>
  <c r="B1950" i="2"/>
  <c r="S1949" i="2"/>
  <c r="M1949" i="2"/>
  <c r="L1949" i="2"/>
  <c r="K1949" i="2"/>
  <c r="G1949" i="2"/>
  <c r="E1949" i="2"/>
  <c r="B1949" i="2"/>
  <c r="S1948" i="2"/>
  <c r="M1948" i="2"/>
  <c r="L1948" i="2"/>
  <c r="K1948" i="2"/>
  <c r="G1948" i="2"/>
  <c r="E1948" i="2"/>
  <c r="B1948" i="2"/>
  <c r="S1947" i="2"/>
  <c r="M1947" i="2"/>
  <c r="L1947" i="2"/>
  <c r="K1947" i="2"/>
  <c r="G1947" i="2"/>
  <c r="E1947" i="2"/>
  <c r="B1947" i="2"/>
  <c r="S1946" i="2"/>
  <c r="M1946" i="2"/>
  <c r="L1946" i="2"/>
  <c r="K1946" i="2"/>
  <c r="G1946" i="2"/>
  <c r="E1946" i="2"/>
  <c r="B1946" i="2"/>
  <c r="S1945" i="2"/>
  <c r="M1945" i="2"/>
  <c r="L1945" i="2"/>
  <c r="K1945" i="2"/>
  <c r="G1945" i="2"/>
  <c r="E1945" i="2"/>
  <c r="B1945" i="2"/>
  <c r="S1944" i="2"/>
  <c r="M1944" i="2"/>
  <c r="L1944" i="2"/>
  <c r="K1944" i="2"/>
  <c r="G1944" i="2"/>
  <c r="E1944" i="2"/>
  <c r="B1944" i="2"/>
  <c r="S1943" i="2"/>
  <c r="M1943" i="2"/>
  <c r="L1943" i="2"/>
  <c r="K1943" i="2"/>
  <c r="G1943" i="2"/>
  <c r="E1943" i="2"/>
  <c r="B1943" i="2"/>
  <c r="S1942" i="2"/>
  <c r="M1942" i="2"/>
  <c r="L1942" i="2"/>
  <c r="K1942" i="2"/>
  <c r="G1942" i="2"/>
  <c r="E1942" i="2"/>
  <c r="B1942" i="2"/>
  <c r="S1941" i="2"/>
  <c r="M1941" i="2"/>
  <c r="L1941" i="2"/>
  <c r="K1941" i="2"/>
  <c r="G1941" i="2"/>
  <c r="E1941" i="2"/>
  <c r="B1941" i="2"/>
  <c r="S1940" i="2"/>
  <c r="M1940" i="2"/>
  <c r="L1940" i="2"/>
  <c r="K1940" i="2"/>
  <c r="G1940" i="2"/>
  <c r="E1940" i="2"/>
  <c r="B1940" i="2"/>
  <c r="S1939" i="2"/>
  <c r="M1939" i="2"/>
  <c r="L1939" i="2"/>
  <c r="K1939" i="2"/>
  <c r="G1939" i="2"/>
  <c r="E1939" i="2"/>
  <c r="B1939" i="2"/>
  <c r="S1938" i="2"/>
  <c r="M1938" i="2"/>
  <c r="L1938" i="2"/>
  <c r="K1938" i="2"/>
  <c r="G1938" i="2"/>
  <c r="E1938" i="2"/>
  <c r="B1938" i="2"/>
  <c r="S1937" i="2"/>
  <c r="M1937" i="2"/>
  <c r="L1937" i="2"/>
  <c r="K1937" i="2"/>
  <c r="G1937" i="2"/>
  <c r="E1937" i="2"/>
  <c r="B1937" i="2"/>
  <c r="S1936" i="2"/>
  <c r="M1936" i="2"/>
  <c r="L1936" i="2"/>
  <c r="K1936" i="2"/>
  <c r="G1936" i="2"/>
  <c r="E1936" i="2"/>
  <c r="B1936" i="2"/>
  <c r="S1935" i="2"/>
  <c r="M1935" i="2"/>
  <c r="L1935" i="2"/>
  <c r="K1935" i="2"/>
  <c r="G1935" i="2"/>
  <c r="E1935" i="2"/>
  <c r="B1935" i="2"/>
  <c r="S1934" i="2"/>
  <c r="M1934" i="2"/>
  <c r="L1934" i="2"/>
  <c r="K1934" i="2"/>
  <c r="G1934" i="2"/>
  <c r="E1934" i="2"/>
  <c r="B1934" i="2"/>
  <c r="S1933" i="2"/>
  <c r="M1933" i="2"/>
  <c r="L1933" i="2"/>
  <c r="K1933" i="2"/>
  <c r="G1933" i="2"/>
  <c r="E1933" i="2"/>
  <c r="B1933" i="2"/>
  <c r="S1932" i="2"/>
  <c r="M1932" i="2"/>
  <c r="L1932" i="2"/>
  <c r="K1932" i="2"/>
  <c r="G1932" i="2"/>
  <c r="E1932" i="2"/>
  <c r="B1932" i="2"/>
  <c r="S1931" i="2"/>
  <c r="M1931" i="2"/>
  <c r="L1931" i="2"/>
  <c r="K1931" i="2"/>
  <c r="G1931" i="2"/>
  <c r="E1931" i="2"/>
  <c r="B1931" i="2"/>
  <c r="S1930" i="2"/>
  <c r="M1930" i="2"/>
  <c r="L1930" i="2"/>
  <c r="K1930" i="2"/>
  <c r="G1930" i="2"/>
  <c r="E1930" i="2"/>
  <c r="B1930" i="2"/>
  <c r="S1929" i="2"/>
  <c r="M1929" i="2"/>
  <c r="L1929" i="2"/>
  <c r="K1929" i="2"/>
  <c r="G1929" i="2"/>
  <c r="E1929" i="2"/>
  <c r="B1929" i="2"/>
  <c r="S1928" i="2"/>
  <c r="M1928" i="2"/>
  <c r="L1928" i="2"/>
  <c r="K1928" i="2"/>
  <c r="G1928" i="2"/>
  <c r="E1928" i="2"/>
  <c r="B1928" i="2"/>
  <c r="S1927" i="2"/>
  <c r="M1927" i="2"/>
  <c r="L1927" i="2"/>
  <c r="K1927" i="2"/>
  <c r="G1927" i="2"/>
  <c r="E1927" i="2"/>
  <c r="B1927" i="2"/>
  <c r="S1926" i="2"/>
  <c r="M1926" i="2"/>
  <c r="L1926" i="2"/>
  <c r="K1926" i="2"/>
  <c r="G1926" i="2"/>
  <c r="E1926" i="2"/>
  <c r="B1926" i="2"/>
  <c r="S1925" i="2"/>
  <c r="M1925" i="2"/>
  <c r="L1925" i="2"/>
  <c r="K1925" i="2"/>
  <c r="G1925" i="2"/>
  <c r="E1925" i="2"/>
  <c r="B1925" i="2"/>
  <c r="S1924" i="2"/>
  <c r="M1924" i="2"/>
  <c r="L1924" i="2"/>
  <c r="K1924" i="2"/>
  <c r="G1924" i="2"/>
  <c r="E1924" i="2"/>
  <c r="B1924" i="2"/>
  <c r="S1923" i="2"/>
  <c r="M1923" i="2"/>
  <c r="L1923" i="2"/>
  <c r="K1923" i="2"/>
  <c r="G1923" i="2"/>
  <c r="E1923" i="2"/>
  <c r="B1923" i="2"/>
  <c r="S1922" i="2"/>
  <c r="M1922" i="2"/>
  <c r="L1922" i="2"/>
  <c r="K1922" i="2"/>
  <c r="G1922" i="2"/>
  <c r="E1922" i="2"/>
  <c r="B1922" i="2"/>
  <c r="S1921" i="2"/>
  <c r="M1921" i="2"/>
  <c r="L1921" i="2"/>
  <c r="K1921" i="2"/>
  <c r="G1921" i="2"/>
  <c r="E1921" i="2"/>
  <c r="B1921" i="2"/>
  <c r="S1920" i="2"/>
  <c r="M1920" i="2"/>
  <c r="L1920" i="2"/>
  <c r="K1920" i="2"/>
  <c r="G1920" i="2"/>
  <c r="E1920" i="2"/>
  <c r="B1920" i="2"/>
  <c r="S1919" i="2"/>
  <c r="M1919" i="2"/>
  <c r="L1919" i="2"/>
  <c r="K1919" i="2"/>
  <c r="G1919" i="2"/>
  <c r="E1919" i="2"/>
  <c r="B1919" i="2"/>
  <c r="S1918" i="2"/>
  <c r="M1918" i="2"/>
  <c r="L1918" i="2"/>
  <c r="K1918" i="2"/>
  <c r="G1918" i="2"/>
  <c r="E1918" i="2"/>
  <c r="B1918" i="2"/>
  <c r="S1917" i="2"/>
  <c r="M1917" i="2"/>
  <c r="L1917" i="2"/>
  <c r="K1917" i="2"/>
  <c r="G1917" i="2"/>
  <c r="E1917" i="2"/>
  <c r="B1917" i="2"/>
  <c r="S1916" i="2"/>
  <c r="M1916" i="2"/>
  <c r="L1916" i="2"/>
  <c r="K1916" i="2"/>
  <c r="G1916" i="2"/>
  <c r="E1916" i="2"/>
  <c r="B1916" i="2"/>
  <c r="S1915" i="2"/>
  <c r="M1915" i="2"/>
  <c r="L1915" i="2"/>
  <c r="K1915" i="2"/>
  <c r="G1915" i="2"/>
  <c r="E1915" i="2"/>
  <c r="B1915" i="2"/>
  <c r="S1914" i="2"/>
  <c r="M1914" i="2"/>
  <c r="L1914" i="2"/>
  <c r="K1914" i="2"/>
  <c r="G1914" i="2"/>
  <c r="E1914" i="2"/>
  <c r="B1914" i="2"/>
  <c r="S1913" i="2"/>
  <c r="M1913" i="2"/>
  <c r="L1913" i="2"/>
  <c r="K1913" i="2"/>
  <c r="G1913" i="2"/>
  <c r="E1913" i="2"/>
  <c r="B1913" i="2"/>
  <c r="S1912" i="2"/>
  <c r="M1912" i="2"/>
  <c r="L1912" i="2"/>
  <c r="K1912" i="2"/>
  <c r="G1912" i="2"/>
  <c r="E1912" i="2"/>
  <c r="B1912" i="2"/>
  <c r="S1911" i="2"/>
  <c r="M1911" i="2"/>
  <c r="L1911" i="2"/>
  <c r="K1911" i="2"/>
  <c r="G1911" i="2"/>
  <c r="E1911" i="2"/>
  <c r="B1911" i="2"/>
  <c r="S1910" i="2"/>
  <c r="M1910" i="2"/>
  <c r="L1910" i="2"/>
  <c r="K1910" i="2"/>
  <c r="G1910" i="2"/>
  <c r="E1910" i="2"/>
  <c r="B1910" i="2"/>
  <c r="S1909" i="2"/>
  <c r="M1909" i="2"/>
  <c r="L1909" i="2"/>
  <c r="K1909" i="2"/>
  <c r="G1909" i="2"/>
  <c r="E1909" i="2"/>
  <c r="B1909" i="2"/>
  <c r="S1908" i="2"/>
  <c r="M1908" i="2"/>
  <c r="L1908" i="2"/>
  <c r="K1908" i="2"/>
  <c r="G1908" i="2"/>
  <c r="E1908" i="2"/>
  <c r="B1908" i="2"/>
  <c r="S1907" i="2"/>
  <c r="M1907" i="2"/>
  <c r="L1907" i="2"/>
  <c r="K1907" i="2"/>
  <c r="G1907" i="2"/>
  <c r="E1907" i="2"/>
  <c r="B1907" i="2"/>
  <c r="S1906" i="2"/>
  <c r="M1906" i="2"/>
  <c r="L1906" i="2"/>
  <c r="K1906" i="2"/>
  <c r="G1906" i="2"/>
  <c r="E1906" i="2"/>
  <c r="B1906" i="2"/>
  <c r="S1905" i="2"/>
  <c r="M1905" i="2"/>
  <c r="L1905" i="2"/>
  <c r="K1905" i="2"/>
  <c r="G1905" i="2"/>
  <c r="E1905" i="2"/>
  <c r="B1905" i="2"/>
  <c r="S1904" i="2"/>
  <c r="M1904" i="2"/>
  <c r="L1904" i="2"/>
  <c r="K1904" i="2"/>
  <c r="G1904" i="2"/>
  <c r="E1904" i="2"/>
  <c r="B1904" i="2"/>
  <c r="S1903" i="2"/>
  <c r="M1903" i="2"/>
  <c r="L1903" i="2"/>
  <c r="K1903" i="2"/>
  <c r="G1903" i="2"/>
  <c r="E1903" i="2"/>
  <c r="B1903" i="2"/>
  <c r="S1902" i="2"/>
  <c r="M1902" i="2"/>
  <c r="L1902" i="2"/>
  <c r="K1902" i="2"/>
  <c r="G1902" i="2"/>
  <c r="E1902" i="2"/>
  <c r="B1902" i="2"/>
  <c r="S1901" i="2"/>
  <c r="M1901" i="2"/>
  <c r="L1901" i="2"/>
  <c r="K1901" i="2"/>
  <c r="G1901" i="2"/>
  <c r="E1901" i="2"/>
  <c r="B1901" i="2"/>
  <c r="S1900" i="2"/>
  <c r="M1900" i="2"/>
  <c r="L1900" i="2"/>
  <c r="K1900" i="2"/>
  <c r="G1900" i="2"/>
  <c r="E1900" i="2"/>
  <c r="B1900" i="2"/>
  <c r="S1899" i="2"/>
  <c r="M1899" i="2"/>
  <c r="L1899" i="2"/>
  <c r="K1899" i="2"/>
  <c r="G1899" i="2"/>
  <c r="E1899" i="2"/>
  <c r="B1899" i="2"/>
  <c r="S1898" i="2"/>
  <c r="M1898" i="2"/>
  <c r="L1898" i="2"/>
  <c r="K1898" i="2"/>
  <c r="G1898" i="2"/>
  <c r="E1898" i="2"/>
  <c r="B1898" i="2"/>
  <c r="S1897" i="2"/>
  <c r="M1897" i="2"/>
  <c r="L1897" i="2"/>
  <c r="K1897" i="2"/>
  <c r="G1897" i="2"/>
  <c r="E1897" i="2"/>
  <c r="B1897" i="2"/>
  <c r="S1896" i="2"/>
  <c r="M1896" i="2"/>
  <c r="L1896" i="2"/>
  <c r="K1896" i="2"/>
  <c r="G1896" i="2"/>
  <c r="E1896" i="2"/>
  <c r="B1896" i="2"/>
  <c r="S1895" i="2"/>
  <c r="M1895" i="2"/>
  <c r="L1895" i="2"/>
  <c r="K1895" i="2"/>
  <c r="G1895" i="2"/>
  <c r="E1895" i="2"/>
  <c r="B1895" i="2"/>
  <c r="S1894" i="2"/>
  <c r="M1894" i="2"/>
  <c r="L1894" i="2"/>
  <c r="K1894" i="2"/>
  <c r="G1894" i="2"/>
  <c r="E1894" i="2"/>
  <c r="B1894" i="2"/>
  <c r="S1893" i="2"/>
  <c r="M1893" i="2"/>
  <c r="L1893" i="2"/>
  <c r="K1893" i="2"/>
  <c r="G1893" i="2"/>
  <c r="E1893" i="2"/>
  <c r="B1893" i="2"/>
  <c r="S1892" i="2"/>
  <c r="M1892" i="2"/>
  <c r="L1892" i="2"/>
  <c r="K1892" i="2"/>
  <c r="G1892" i="2"/>
  <c r="E1892" i="2"/>
  <c r="B1892" i="2"/>
  <c r="S1891" i="2"/>
  <c r="M1891" i="2"/>
  <c r="L1891" i="2"/>
  <c r="K1891" i="2"/>
  <c r="G1891" i="2"/>
  <c r="E1891" i="2"/>
  <c r="B1891" i="2"/>
  <c r="S1890" i="2"/>
  <c r="M1890" i="2"/>
  <c r="L1890" i="2"/>
  <c r="K1890" i="2"/>
  <c r="G1890" i="2"/>
  <c r="E1890" i="2"/>
  <c r="B1890" i="2"/>
  <c r="S1889" i="2"/>
  <c r="M1889" i="2"/>
  <c r="L1889" i="2"/>
  <c r="K1889" i="2"/>
  <c r="G1889" i="2"/>
  <c r="E1889" i="2"/>
  <c r="B1889" i="2"/>
  <c r="S1888" i="2"/>
  <c r="M1888" i="2"/>
  <c r="L1888" i="2"/>
  <c r="K1888" i="2"/>
  <c r="G1888" i="2"/>
  <c r="E1888" i="2"/>
  <c r="B1888" i="2"/>
  <c r="S1887" i="2"/>
  <c r="M1887" i="2"/>
  <c r="L1887" i="2"/>
  <c r="K1887" i="2"/>
  <c r="G1887" i="2"/>
  <c r="E1887" i="2"/>
  <c r="B1887" i="2"/>
  <c r="S1886" i="2"/>
  <c r="M1886" i="2"/>
  <c r="L1886" i="2"/>
  <c r="K1886" i="2"/>
  <c r="G1886" i="2"/>
  <c r="E1886" i="2"/>
  <c r="B1886" i="2"/>
  <c r="S1885" i="2"/>
  <c r="M1885" i="2"/>
  <c r="L1885" i="2"/>
  <c r="K1885" i="2"/>
  <c r="G1885" i="2"/>
  <c r="E1885" i="2"/>
  <c r="B1885" i="2"/>
  <c r="S1884" i="2"/>
  <c r="M1884" i="2"/>
  <c r="L1884" i="2"/>
  <c r="K1884" i="2"/>
  <c r="G1884" i="2"/>
  <c r="E1884" i="2"/>
  <c r="B1884" i="2"/>
  <c r="S1883" i="2"/>
  <c r="M1883" i="2"/>
  <c r="L1883" i="2"/>
  <c r="K1883" i="2"/>
  <c r="G1883" i="2"/>
  <c r="E1883" i="2"/>
  <c r="B1883" i="2"/>
  <c r="S1882" i="2"/>
  <c r="M1882" i="2"/>
  <c r="L1882" i="2"/>
  <c r="K1882" i="2"/>
  <c r="G1882" i="2"/>
  <c r="E1882" i="2"/>
  <c r="B1882" i="2"/>
  <c r="S1881" i="2"/>
  <c r="M1881" i="2"/>
  <c r="L1881" i="2"/>
  <c r="K1881" i="2"/>
  <c r="G1881" i="2"/>
  <c r="E1881" i="2"/>
  <c r="B1881" i="2"/>
  <c r="S1880" i="2"/>
  <c r="M1880" i="2"/>
  <c r="L1880" i="2"/>
  <c r="K1880" i="2"/>
  <c r="G1880" i="2"/>
  <c r="E1880" i="2"/>
  <c r="B1880" i="2"/>
  <c r="S1879" i="2"/>
  <c r="M1879" i="2"/>
  <c r="L1879" i="2"/>
  <c r="K1879" i="2"/>
  <c r="G1879" i="2"/>
  <c r="E1879" i="2"/>
  <c r="B1879" i="2"/>
  <c r="S1878" i="2"/>
  <c r="M1878" i="2"/>
  <c r="L1878" i="2"/>
  <c r="K1878" i="2"/>
  <c r="G1878" i="2"/>
  <c r="E1878" i="2"/>
  <c r="B1878" i="2"/>
  <c r="S1877" i="2"/>
  <c r="M1877" i="2"/>
  <c r="L1877" i="2"/>
  <c r="K1877" i="2"/>
  <c r="G1877" i="2"/>
  <c r="E1877" i="2"/>
  <c r="B1877" i="2"/>
  <c r="S1876" i="2"/>
  <c r="M1876" i="2"/>
  <c r="L1876" i="2"/>
  <c r="K1876" i="2"/>
  <c r="G1876" i="2"/>
  <c r="E1876" i="2"/>
  <c r="B1876" i="2"/>
  <c r="S1875" i="2"/>
  <c r="M1875" i="2"/>
  <c r="L1875" i="2"/>
  <c r="K1875" i="2"/>
  <c r="G1875" i="2"/>
  <c r="E1875" i="2"/>
  <c r="B1875" i="2"/>
  <c r="S1874" i="2"/>
  <c r="M1874" i="2"/>
  <c r="L1874" i="2"/>
  <c r="K1874" i="2"/>
  <c r="G1874" i="2"/>
  <c r="E1874" i="2"/>
  <c r="B1874" i="2"/>
  <c r="S1873" i="2"/>
  <c r="M1873" i="2"/>
  <c r="L1873" i="2"/>
  <c r="K1873" i="2"/>
  <c r="G1873" i="2"/>
  <c r="E1873" i="2"/>
  <c r="B1873" i="2"/>
  <c r="S1872" i="2"/>
  <c r="M1872" i="2"/>
  <c r="L1872" i="2"/>
  <c r="K1872" i="2"/>
  <c r="G1872" i="2"/>
  <c r="E1872" i="2"/>
  <c r="B1872" i="2"/>
  <c r="S1871" i="2"/>
  <c r="M1871" i="2"/>
  <c r="L1871" i="2"/>
  <c r="K1871" i="2"/>
  <c r="G1871" i="2"/>
  <c r="E1871" i="2"/>
  <c r="B1871" i="2"/>
  <c r="S1870" i="2"/>
  <c r="M1870" i="2"/>
  <c r="L1870" i="2"/>
  <c r="K1870" i="2"/>
  <c r="G1870" i="2"/>
  <c r="E1870" i="2"/>
  <c r="B1870" i="2"/>
  <c r="S1869" i="2"/>
  <c r="M1869" i="2"/>
  <c r="L1869" i="2"/>
  <c r="K1869" i="2"/>
  <c r="G1869" i="2"/>
  <c r="E1869" i="2"/>
  <c r="B1869" i="2"/>
  <c r="S1868" i="2"/>
  <c r="M1868" i="2"/>
  <c r="L1868" i="2"/>
  <c r="K1868" i="2"/>
  <c r="G1868" i="2"/>
  <c r="E1868" i="2"/>
  <c r="B1868" i="2"/>
  <c r="S1867" i="2"/>
  <c r="M1867" i="2"/>
  <c r="L1867" i="2"/>
  <c r="K1867" i="2"/>
  <c r="G1867" i="2"/>
  <c r="E1867" i="2"/>
  <c r="B1867" i="2"/>
  <c r="S1866" i="2"/>
  <c r="M1866" i="2"/>
  <c r="L1866" i="2"/>
  <c r="K1866" i="2"/>
  <c r="G1866" i="2"/>
  <c r="E1866" i="2"/>
  <c r="B1866" i="2"/>
  <c r="S1865" i="2"/>
  <c r="M1865" i="2"/>
  <c r="L1865" i="2"/>
  <c r="K1865" i="2"/>
  <c r="G1865" i="2"/>
  <c r="E1865" i="2"/>
  <c r="B1865" i="2"/>
  <c r="S1864" i="2"/>
  <c r="M1864" i="2"/>
  <c r="L1864" i="2"/>
  <c r="K1864" i="2"/>
  <c r="G1864" i="2"/>
  <c r="E1864" i="2"/>
  <c r="B1864" i="2"/>
  <c r="S1863" i="2"/>
  <c r="M1863" i="2"/>
  <c r="L1863" i="2"/>
  <c r="K1863" i="2"/>
  <c r="G1863" i="2"/>
  <c r="E1863" i="2"/>
  <c r="B1863" i="2"/>
  <c r="S1862" i="2"/>
  <c r="M1862" i="2"/>
  <c r="L1862" i="2"/>
  <c r="K1862" i="2"/>
  <c r="G1862" i="2"/>
  <c r="E1862" i="2"/>
  <c r="B1862" i="2"/>
  <c r="S1861" i="2"/>
  <c r="M1861" i="2"/>
  <c r="L1861" i="2"/>
  <c r="K1861" i="2"/>
  <c r="G1861" i="2"/>
  <c r="E1861" i="2"/>
  <c r="B1861" i="2"/>
  <c r="S1860" i="2"/>
  <c r="M1860" i="2"/>
  <c r="L1860" i="2"/>
  <c r="K1860" i="2"/>
  <c r="G1860" i="2"/>
  <c r="E1860" i="2"/>
  <c r="B1860" i="2"/>
  <c r="S1859" i="2"/>
  <c r="M1859" i="2"/>
  <c r="L1859" i="2"/>
  <c r="K1859" i="2"/>
  <c r="G1859" i="2"/>
  <c r="E1859" i="2"/>
  <c r="B1859" i="2"/>
  <c r="S1858" i="2"/>
  <c r="M1858" i="2"/>
  <c r="L1858" i="2"/>
  <c r="K1858" i="2"/>
  <c r="G1858" i="2"/>
  <c r="E1858" i="2"/>
  <c r="B1858" i="2"/>
  <c r="S1857" i="2"/>
  <c r="M1857" i="2"/>
  <c r="L1857" i="2"/>
  <c r="K1857" i="2"/>
  <c r="G1857" i="2"/>
  <c r="E1857" i="2"/>
  <c r="B1857" i="2"/>
  <c r="S1856" i="2"/>
  <c r="M1856" i="2"/>
  <c r="L1856" i="2"/>
  <c r="K1856" i="2"/>
  <c r="G1856" i="2"/>
  <c r="E1856" i="2"/>
  <c r="B1856" i="2"/>
  <c r="S1855" i="2"/>
  <c r="M1855" i="2"/>
  <c r="L1855" i="2"/>
  <c r="K1855" i="2"/>
  <c r="G1855" i="2"/>
  <c r="E1855" i="2"/>
  <c r="B1855" i="2"/>
  <c r="S1854" i="2"/>
  <c r="M1854" i="2"/>
  <c r="L1854" i="2"/>
  <c r="K1854" i="2"/>
  <c r="G1854" i="2"/>
  <c r="E1854" i="2"/>
  <c r="B1854" i="2"/>
  <c r="S1853" i="2"/>
  <c r="M1853" i="2"/>
  <c r="L1853" i="2"/>
  <c r="K1853" i="2"/>
  <c r="G1853" i="2"/>
  <c r="E1853" i="2"/>
  <c r="B1853" i="2"/>
  <c r="S1852" i="2"/>
  <c r="M1852" i="2"/>
  <c r="L1852" i="2"/>
  <c r="K1852" i="2"/>
  <c r="H1852" i="2"/>
  <c r="G1852" i="2"/>
  <c r="E1852" i="2"/>
  <c r="B1852" i="2"/>
  <c r="S1851" i="2"/>
  <c r="M1851" i="2"/>
  <c r="L1851" i="2"/>
  <c r="K1851" i="2"/>
  <c r="G1851" i="2"/>
  <c r="E1851" i="2"/>
  <c r="B1851" i="2"/>
  <c r="S1850" i="2"/>
  <c r="M1850" i="2"/>
  <c r="L1850" i="2"/>
  <c r="K1850" i="2"/>
  <c r="G1850" i="2"/>
  <c r="E1850" i="2"/>
  <c r="B1850" i="2"/>
  <c r="S1849" i="2"/>
  <c r="M1849" i="2"/>
  <c r="L1849" i="2"/>
  <c r="K1849" i="2"/>
  <c r="G1849" i="2"/>
  <c r="E1849" i="2"/>
  <c r="B1849" i="2"/>
  <c r="S1848" i="2"/>
  <c r="M1848" i="2"/>
  <c r="L1848" i="2"/>
  <c r="K1848" i="2"/>
  <c r="G1848" i="2"/>
  <c r="E1848" i="2"/>
  <c r="B1848" i="2"/>
  <c r="S1847" i="2"/>
  <c r="M1847" i="2"/>
  <c r="L1847" i="2"/>
  <c r="K1847" i="2"/>
  <c r="G1847" i="2"/>
  <c r="E1847" i="2"/>
  <c r="B1847" i="2"/>
  <c r="S1846" i="2"/>
  <c r="M1846" i="2"/>
  <c r="L1846" i="2"/>
  <c r="K1846" i="2"/>
  <c r="G1846" i="2"/>
  <c r="E1846" i="2"/>
  <c r="B1846" i="2"/>
  <c r="S1845" i="2"/>
  <c r="M1845" i="2"/>
  <c r="L1845" i="2"/>
  <c r="K1845" i="2"/>
  <c r="G1845" i="2"/>
  <c r="E1845" i="2"/>
  <c r="B1845" i="2"/>
  <c r="S1844" i="2"/>
  <c r="M1844" i="2"/>
  <c r="L1844" i="2"/>
  <c r="K1844" i="2"/>
  <c r="G1844" i="2"/>
  <c r="E1844" i="2"/>
  <c r="B1844" i="2"/>
  <c r="S1843" i="2"/>
  <c r="M1843" i="2"/>
  <c r="L1843" i="2"/>
  <c r="K1843" i="2"/>
  <c r="G1843" i="2"/>
  <c r="E1843" i="2"/>
  <c r="B1843" i="2"/>
  <c r="S1842" i="2"/>
  <c r="M1842" i="2"/>
  <c r="L1842" i="2"/>
  <c r="K1842" i="2"/>
  <c r="G1842" i="2"/>
  <c r="E1842" i="2"/>
  <c r="B1842" i="2"/>
  <c r="S1841" i="2"/>
  <c r="M1841" i="2"/>
  <c r="L1841" i="2"/>
  <c r="K1841" i="2"/>
  <c r="G1841" i="2"/>
  <c r="E1841" i="2"/>
  <c r="B1841" i="2"/>
  <c r="S1840" i="2"/>
  <c r="M1840" i="2"/>
  <c r="L1840" i="2"/>
  <c r="K1840" i="2"/>
  <c r="G1840" i="2"/>
  <c r="E1840" i="2"/>
  <c r="B1840" i="2"/>
  <c r="S1839" i="2"/>
  <c r="M1839" i="2"/>
  <c r="L1839" i="2"/>
  <c r="K1839" i="2"/>
  <c r="G1839" i="2"/>
  <c r="E1839" i="2"/>
  <c r="B1839" i="2"/>
  <c r="S1838" i="2"/>
  <c r="M1838" i="2"/>
  <c r="L1838" i="2"/>
  <c r="K1838" i="2"/>
  <c r="G1838" i="2"/>
  <c r="E1838" i="2"/>
  <c r="B1838" i="2"/>
  <c r="S1837" i="2"/>
  <c r="M1837" i="2"/>
  <c r="L1837" i="2"/>
  <c r="K1837" i="2"/>
  <c r="G1837" i="2"/>
  <c r="E1837" i="2"/>
  <c r="B1837" i="2"/>
  <c r="S1836" i="2"/>
  <c r="M1836" i="2"/>
  <c r="L1836" i="2"/>
  <c r="K1836" i="2"/>
  <c r="G1836" i="2"/>
  <c r="E1836" i="2"/>
  <c r="B1836" i="2"/>
  <c r="S1835" i="2"/>
  <c r="M1835" i="2"/>
  <c r="L1835" i="2"/>
  <c r="K1835" i="2"/>
  <c r="G1835" i="2"/>
  <c r="E1835" i="2"/>
  <c r="B1835" i="2"/>
  <c r="S1834" i="2"/>
  <c r="M1834" i="2"/>
  <c r="L1834" i="2"/>
  <c r="K1834" i="2"/>
  <c r="G1834" i="2"/>
  <c r="E1834" i="2"/>
  <c r="B1834" i="2"/>
  <c r="S1833" i="2"/>
  <c r="M1833" i="2"/>
  <c r="L1833" i="2"/>
  <c r="K1833" i="2"/>
  <c r="G1833" i="2"/>
  <c r="E1833" i="2"/>
  <c r="B1833" i="2"/>
  <c r="S1832" i="2"/>
  <c r="M1832" i="2"/>
  <c r="L1832" i="2"/>
  <c r="K1832" i="2"/>
  <c r="G1832" i="2"/>
  <c r="E1832" i="2"/>
  <c r="B1832" i="2"/>
  <c r="S1831" i="2"/>
  <c r="M1831" i="2"/>
  <c r="L1831" i="2"/>
  <c r="K1831" i="2"/>
  <c r="G1831" i="2"/>
  <c r="E1831" i="2"/>
  <c r="B1831" i="2"/>
  <c r="S1830" i="2"/>
  <c r="M1830" i="2"/>
  <c r="L1830" i="2"/>
  <c r="K1830" i="2"/>
  <c r="G1830" i="2"/>
  <c r="E1830" i="2"/>
  <c r="B1830" i="2"/>
  <c r="S1829" i="2"/>
  <c r="M1829" i="2"/>
  <c r="L1829" i="2"/>
  <c r="K1829" i="2"/>
  <c r="G1829" i="2"/>
  <c r="E1829" i="2"/>
  <c r="B1829" i="2"/>
  <c r="S1828" i="2"/>
  <c r="M1828" i="2"/>
  <c r="L1828" i="2"/>
  <c r="K1828" i="2"/>
  <c r="H1828" i="2"/>
  <c r="G1828" i="2"/>
  <c r="E1828" i="2"/>
  <c r="B1828" i="2"/>
  <c r="S1827" i="2"/>
  <c r="M1827" i="2"/>
  <c r="L1827" i="2"/>
  <c r="K1827" i="2"/>
  <c r="H1827" i="2"/>
  <c r="G1827" i="2"/>
  <c r="E1827" i="2"/>
  <c r="B1827" i="2"/>
  <c r="S1826" i="2"/>
  <c r="M1826" i="2"/>
  <c r="L1826" i="2"/>
  <c r="K1826" i="2"/>
  <c r="G1826" i="2"/>
  <c r="E1826" i="2"/>
  <c r="B1826" i="2"/>
  <c r="S1825" i="2"/>
  <c r="M1825" i="2"/>
  <c r="L1825" i="2"/>
  <c r="K1825" i="2"/>
  <c r="G1825" i="2"/>
  <c r="E1825" i="2"/>
  <c r="B1825" i="2"/>
  <c r="S1824" i="2"/>
  <c r="M1824" i="2"/>
  <c r="L1824" i="2"/>
  <c r="K1824" i="2"/>
  <c r="G1824" i="2"/>
  <c r="E1824" i="2"/>
  <c r="B1824" i="2"/>
  <c r="S1823" i="2"/>
  <c r="M1823" i="2"/>
  <c r="L1823" i="2"/>
  <c r="K1823" i="2"/>
  <c r="G1823" i="2"/>
  <c r="E1823" i="2"/>
  <c r="B1823" i="2"/>
  <c r="S1822" i="2"/>
  <c r="M1822" i="2"/>
  <c r="L1822" i="2"/>
  <c r="K1822" i="2"/>
  <c r="G1822" i="2"/>
  <c r="E1822" i="2"/>
  <c r="B1822" i="2"/>
  <c r="S1821" i="2"/>
  <c r="M1821" i="2"/>
  <c r="L1821" i="2"/>
  <c r="K1821" i="2"/>
  <c r="G1821" i="2"/>
  <c r="E1821" i="2"/>
  <c r="B1821" i="2"/>
  <c r="S1820" i="2"/>
  <c r="M1820" i="2"/>
  <c r="L1820" i="2"/>
  <c r="K1820" i="2"/>
  <c r="G1820" i="2"/>
  <c r="E1820" i="2"/>
  <c r="B1820" i="2"/>
  <c r="S1819" i="2"/>
  <c r="M1819" i="2"/>
  <c r="L1819" i="2"/>
  <c r="K1819" i="2"/>
  <c r="G1819" i="2"/>
  <c r="E1819" i="2"/>
  <c r="B1819" i="2"/>
  <c r="S1818" i="2"/>
  <c r="M1818" i="2"/>
  <c r="L1818" i="2"/>
  <c r="K1818" i="2"/>
  <c r="G1818" i="2"/>
  <c r="E1818" i="2"/>
  <c r="B1818" i="2"/>
  <c r="S1817" i="2"/>
  <c r="M1817" i="2"/>
  <c r="L1817" i="2"/>
  <c r="K1817" i="2"/>
  <c r="G1817" i="2"/>
  <c r="E1817" i="2"/>
  <c r="B1817" i="2"/>
  <c r="S1816" i="2"/>
  <c r="M1816" i="2"/>
  <c r="L1816" i="2"/>
  <c r="K1816" i="2"/>
  <c r="G1816" i="2"/>
  <c r="E1816" i="2"/>
  <c r="B1816" i="2"/>
  <c r="S1815" i="2"/>
  <c r="M1815" i="2"/>
  <c r="L1815" i="2"/>
  <c r="K1815" i="2"/>
  <c r="G1815" i="2"/>
  <c r="E1815" i="2"/>
  <c r="B1815" i="2"/>
  <c r="S1814" i="2"/>
  <c r="M1814" i="2"/>
  <c r="L1814" i="2"/>
  <c r="K1814" i="2"/>
  <c r="G1814" i="2"/>
  <c r="E1814" i="2"/>
  <c r="B1814" i="2"/>
  <c r="S1813" i="2"/>
  <c r="M1813" i="2"/>
  <c r="L1813" i="2"/>
  <c r="K1813" i="2"/>
  <c r="G1813" i="2"/>
  <c r="E1813" i="2"/>
  <c r="B1813" i="2"/>
  <c r="S1812" i="2"/>
  <c r="M1812" i="2"/>
  <c r="L1812" i="2"/>
  <c r="K1812" i="2"/>
  <c r="G1812" i="2"/>
  <c r="E1812" i="2"/>
  <c r="B1812" i="2"/>
  <c r="S1811" i="2"/>
  <c r="M1811" i="2"/>
  <c r="L1811" i="2"/>
  <c r="K1811" i="2"/>
  <c r="G1811" i="2"/>
  <c r="E1811" i="2"/>
  <c r="B1811" i="2"/>
  <c r="S1810" i="2"/>
  <c r="M1810" i="2"/>
  <c r="L1810" i="2"/>
  <c r="K1810" i="2"/>
  <c r="G1810" i="2"/>
  <c r="E1810" i="2"/>
  <c r="B1810" i="2"/>
  <c r="S1809" i="2"/>
  <c r="M1809" i="2"/>
  <c r="L1809" i="2"/>
  <c r="K1809" i="2"/>
  <c r="G1809" i="2"/>
  <c r="E1809" i="2"/>
  <c r="B1809" i="2"/>
  <c r="S1808" i="2"/>
  <c r="M1808" i="2"/>
  <c r="L1808" i="2"/>
  <c r="K1808" i="2"/>
  <c r="G1808" i="2"/>
  <c r="E1808" i="2"/>
  <c r="B1808" i="2"/>
  <c r="S1807" i="2"/>
  <c r="M1807" i="2"/>
  <c r="L1807" i="2"/>
  <c r="K1807" i="2"/>
  <c r="G1807" i="2"/>
  <c r="E1807" i="2"/>
  <c r="B1807" i="2"/>
  <c r="S1806" i="2"/>
  <c r="M1806" i="2"/>
  <c r="L1806" i="2"/>
  <c r="K1806" i="2"/>
  <c r="G1806" i="2"/>
  <c r="E1806" i="2"/>
  <c r="B1806" i="2"/>
  <c r="S1805" i="2"/>
  <c r="M1805" i="2"/>
  <c r="L1805" i="2"/>
  <c r="K1805" i="2"/>
  <c r="G1805" i="2"/>
  <c r="E1805" i="2"/>
  <c r="B1805" i="2"/>
  <c r="S1804" i="2"/>
  <c r="M1804" i="2"/>
  <c r="L1804" i="2"/>
  <c r="K1804" i="2"/>
  <c r="G1804" i="2"/>
  <c r="E1804" i="2"/>
  <c r="B1804" i="2"/>
  <c r="S1803" i="2"/>
  <c r="M1803" i="2"/>
  <c r="L1803" i="2"/>
  <c r="K1803" i="2"/>
  <c r="G1803" i="2"/>
  <c r="E1803" i="2"/>
  <c r="B1803" i="2"/>
  <c r="S1802" i="2"/>
  <c r="M1802" i="2"/>
  <c r="L1802" i="2"/>
  <c r="K1802" i="2"/>
  <c r="G1802" i="2"/>
  <c r="E1802" i="2"/>
  <c r="B1802" i="2"/>
  <c r="S1801" i="2"/>
  <c r="M1801" i="2"/>
  <c r="L1801" i="2"/>
  <c r="K1801" i="2"/>
  <c r="G1801" i="2"/>
  <c r="E1801" i="2"/>
  <c r="B1801" i="2"/>
  <c r="S1800" i="2"/>
  <c r="M1800" i="2"/>
  <c r="L1800" i="2"/>
  <c r="K1800" i="2"/>
  <c r="G1800" i="2"/>
  <c r="E1800" i="2"/>
  <c r="B1800" i="2"/>
  <c r="S1799" i="2"/>
  <c r="M1799" i="2"/>
  <c r="L1799" i="2"/>
  <c r="K1799" i="2"/>
  <c r="G1799" i="2"/>
  <c r="E1799" i="2"/>
  <c r="B1799" i="2"/>
  <c r="S1798" i="2"/>
  <c r="M1798" i="2"/>
  <c r="L1798" i="2"/>
  <c r="K1798" i="2"/>
  <c r="G1798" i="2"/>
  <c r="E1798" i="2"/>
  <c r="B1798" i="2"/>
  <c r="S1797" i="2"/>
  <c r="M1797" i="2"/>
  <c r="L1797" i="2"/>
  <c r="K1797" i="2"/>
  <c r="G1797" i="2"/>
  <c r="E1797" i="2"/>
  <c r="B1797" i="2"/>
  <c r="S1796" i="2"/>
  <c r="M1796" i="2"/>
  <c r="L1796" i="2"/>
  <c r="K1796" i="2"/>
  <c r="G1796" i="2"/>
  <c r="E1796" i="2"/>
  <c r="B1796" i="2"/>
  <c r="S1795" i="2"/>
  <c r="M1795" i="2"/>
  <c r="L1795" i="2"/>
  <c r="K1795" i="2"/>
  <c r="G1795" i="2"/>
  <c r="E1795" i="2"/>
  <c r="B1795" i="2"/>
  <c r="S1794" i="2"/>
  <c r="M1794" i="2"/>
  <c r="L1794" i="2"/>
  <c r="K1794" i="2"/>
  <c r="G1794" i="2"/>
  <c r="E1794" i="2"/>
  <c r="B1794" i="2"/>
  <c r="S1793" i="2"/>
  <c r="M1793" i="2"/>
  <c r="L1793" i="2"/>
  <c r="K1793" i="2"/>
  <c r="G1793" i="2"/>
  <c r="E1793" i="2"/>
  <c r="B1793" i="2"/>
  <c r="S1792" i="2"/>
  <c r="M1792" i="2"/>
  <c r="L1792" i="2"/>
  <c r="K1792" i="2"/>
  <c r="G1792" i="2"/>
  <c r="E1792" i="2"/>
  <c r="B1792" i="2"/>
  <c r="S1791" i="2"/>
  <c r="M1791" i="2"/>
  <c r="L1791" i="2"/>
  <c r="K1791" i="2"/>
  <c r="G1791" i="2"/>
  <c r="E1791" i="2"/>
  <c r="B1791" i="2"/>
  <c r="S1790" i="2"/>
  <c r="M1790" i="2"/>
  <c r="L1790" i="2"/>
  <c r="K1790" i="2"/>
  <c r="G1790" i="2"/>
  <c r="E1790" i="2"/>
  <c r="B1790" i="2"/>
  <c r="S1789" i="2"/>
  <c r="M1789" i="2"/>
  <c r="L1789" i="2"/>
  <c r="K1789" i="2"/>
  <c r="G1789" i="2"/>
  <c r="E1789" i="2"/>
  <c r="B1789" i="2"/>
  <c r="S1788" i="2"/>
  <c r="M1788" i="2"/>
  <c r="L1788" i="2"/>
  <c r="K1788" i="2"/>
  <c r="G1788" i="2"/>
  <c r="E1788" i="2"/>
  <c r="B1788" i="2"/>
  <c r="S1787" i="2"/>
  <c r="M1787" i="2"/>
  <c r="L1787" i="2"/>
  <c r="K1787" i="2"/>
  <c r="G1787" i="2"/>
  <c r="E1787" i="2"/>
  <c r="B1787" i="2"/>
  <c r="S1786" i="2"/>
  <c r="M1786" i="2"/>
  <c r="L1786" i="2"/>
  <c r="K1786" i="2"/>
  <c r="G1786" i="2"/>
  <c r="E1786" i="2"/>
  <c r="B1786" i="2"/>
  <c r="S1785" i="2"/>
  <c r="M1785" i="2"/>
  <c r="L1785" i="2"/>
  <c r="K1785" i="2"/>
  <c r="G1785" i="2"/>
  <c r="E1785" i="2"/>
  <c r="B1785" i="2"/>
  <c r="S1784" i="2"/>
  <c r="M1784" i="2"/>
  <c r="L1784" i="2"/>
  <c r="K1784" i="2"/>
  <c r="G1784" i="2"/>
  <c r="E1784" i="2"/>
  <c r="B1784" i="2"/>
  <c r="S1783" i="2"/>
  <c r="M1783" i="2"/>
  <c r="L1783" i="2"/>
  <c r="K1783" i="2"/>
  <c r="G1783" i="2"/>
  <c r="E1783" i="2"/>
  <c r="B1783" i="2"/>
  <c r="S1782" i="2"/>
  <c r="M1782" i="2"/>
  <c r="L1782" i="2"/>
  <c r="K1782" i="2"/>
  <c r="G1782" i="2"/>
  <c r="E1782" i="2"/>
  <c r="B1782" i="2"/>
  <c r="S1781" i="2"/>
  <c r="M1781" i="2"/>
  <c r="L1781" i="2"/>
  <c r="K1781" i="2"/>
  <c r="G1781" i="2"/>
  <c r="E1781" i="2"/>
  <c r="B1781" i="2"/>
  <c r="S1780" i="2"/>
  <c r="M1780" i="2"/>
  <c r="L1780" i="2"/>
  <c r="K1780" i="2"/>
  <c r="G1780" i="2"/>
  <c r="E1780" i="2"/>
  <c r="B1780" i="2"/>
  <c r="S1779" i="2"/>
  <c r="M1779" i="2"/>
  <c r="L1779" i="2"/>
  <c r="K1779" i="2"/>
  <c r="G1779" i="2"/>
  <c r="E1779" i="2"/>
  <c r="B1779" i="2"/>
  <c r="S1778" i="2"/>
  <c r="M1778" i="2"/>
  <c r="L1778" i="2"/>
  <c r="K1778" i="2"/>
  <c r="G1778" i="2"/>
  <c r="E1778" i="2"/>
  <c r="B1778" i="2"/>
  <c r="S1777" i="2"/>
  <c r="M1777" i="2"/>
  <c r="L1777" i="2"/>
  <c r="K1777" i="2"/>
  <c r="G1777" i="2"/>
  <c r="E1777" i="2"/>
  <c r="B1777" i="2"/>
  <c r="S1776" i="2"/>
  <c r="M1776" i="2"/>
  <c r="L1776" i="2"/>
  <c r="K1776" i="2"/>
  <c r="G1776" i="2"/>
  <c r="E1776" i="2"/>
  <c r="B1776" i="2"/>
  <c r="S1775" i="2"/>
  <c r="M1775" i="2"/>
  <c r="L1775" i="2"/>
  <c r="K1775" i="2"/>
  <c r="G1775" i="2"/>
  <c r="E1775" i="2"/>
  <c r="B1775" i="2"/>
  <c r="S1774" i="2"/>
  <c r="M1774" i="2"/>
  <c r="L1774" i="2"/>
  <c r="K1774" i="2"/>
  <c r="G1774" i="2"/>
  <c r="E1774" i="2"/>
  <c r="B1774" i="2"/>
  <c r="S1773" i="2"/>
  <c r="M1773" i="2"/>
  <c r="L1773" i="2"/>
  <c r="K1773" i="2"/>
  <c r="G1773" i="2"/>
  <c r="E1773" i="2"/>
  <c r="B1773" i="2"/>
  <c r="S1772" i="2"/>
  <c r="M1772" i="2"/>
  <c r="L1772" i="2"/>
  <c r="K1772" i="2"/>
  <c r="G1772" i="2"/>
  <c r="E1772" i="2"/>
  <c r="B1772" i="2"/>
  <c r="S1771" i="2"/>
  <c r="M1771" i="2"/>
  <c r="L1771" i="2"/>
  <c r="K1771" i="2"/>
  <c r="G1771" i="2"/>
  <c r="E1771" i="2"/>
  <c r="B1771" i="2"/>
  <c r="S1770" i="2"/>
  <c r="M1770" i="2"/>
  <c r="L1770" i="2"/>
  <c r="K1770" i="2"/>
  <c r="G1770" i="2"/>
  <c r="E1770" i="2"/>
  <c r="B1770" i="2"/>
  <c r="S1769" i="2"/>
  <c r="M1769" i="2"/>
  <c r="L1769" i="2"/>
  <c r="K1769" i="2"/>
  <c r="G1769" i="2"/>
  <c r="E1769" i="2"/>
  <c r="B1769" i="2"/>
  <c r="S1768" i="2"/>
  <c r="M1768" i="2"/>
  <c r="L1768" i="2"/>
  <c r="K1768" i="2"/>
  <c r="G1768" i="2"/>
  <c r="E1768" i="2"/>
  <c r="B1768" i="2"/>
  <c r="S1767" i="2"/>
  <c r="M1767" i="2"/>
  <c r="L1767" i="2"/>
  <c r="K1767" i="2"/>
  <c r="G1767" i="2"/>
  <c r="E1767" i="2"/>
  <c r="B1767" i="2"/>
  <c r="S1766" i="2"/>
  <c r="M1766" i="2"/>
  <c r="L1766" i="2"/>
  <c r="K1766" i="2"/>
  <c r="G1766" i="2"/>
  <c r="E1766" i="2"/>
  <c r="B1766" i="2"/>
  <c r="S1765" i="2"/>
  <c r="M1765" i="2"/>
  <c r="L1765" i="2"/>
  <c r="K1765" i="2"/>
  <c r="G1765" i="2"/>
  <c r="E1765" i="2"/>
  <c r="B1765" i="2"/>
  <c r="S1764" i="2"/>
  <c r="M1764" i="2"/>
  <c r="L1764" i="2"/>
  <c r="K1764" i="2"/>
  <c r="G1764" i="2"/>
  <c r="E1764" i="2"/>
  <c r="B1764" i="2"/>
  <c r="S1763" i="2"/>
  <c r="M1763" i="2"/>
  <c r="L1763" i="2"/>
  <c r="K1763" i="2"/>
  <c r="G1763" i="2"/>
  <c r="E1763" i="2"/>
  <c r="B1763" i="2"/>
  <c r="S1762" i="2"/>
  <c r="M1762" i="2"/>
  <c r="L1762" i="2"/>
  <c r="K1762" i="2"/>
  <c r="G1762" i="2"/>
  <c r="E1762" i="2"/>
  <c r="B1762" i="2"/>
  <c r="S1761" i="2"/>
  <c r="M1761" i="2"/>
  <c r="L1761" i="2"/>
  <c r="K1761" i="2"/>
  <c r="G1761" i="2"/>
  <c r="E1761" i="2"/>
  <c r="B1761" i="2"/>
  <c r="S1760" i="2"/>
  <c r="M1760" i="2"/>
  <c r="L1760" i="2"/>
  <c r="K1760" i="2"/>
  <c r="G1760" i="2"/>
  <c r="E1760" i="2"/>
  <c r="B1760" i="2"/>
  <c r="S1759" i="2"/>
  <c r="M1759" i="2"/>
  <c r="L1759" i="2"/>
  <c r="K1759" i="2"/>
  <c r="G1759" i="2"/>
  <c r="E1759" i="2"/>
  <c r="B1759" i="2"/>
  <c r="S1758" i="2"/>
  <c r="M1758" i="2"/>
  <c r="L1758" i="2"/>
  <c r="K1758" i="2"/>
  <c r="G1758" i="2"/>
  <c r="E1758" i="2"/>
  <c r="B1758" i="2"/>
  <c r="S1757" i="2"/>
  <c r="M1757" i="2"/>
  <c r="L1757" i="2"/>
  <c r="K1757" i="2"/>
  <c r="G1757" i="2"/>
  <c r="E1757" i="2"/>
  <c r="B1757" i="2"/>
  <c r="S1756" i="2"/>
  <c r="M1756" i="2"/>
  <c r="L1756" i="2"/>
  <c r="K1756" i="2"/>
  <c r="G1756" i="2"/>
  <c r="E1756" i="2"/>
  <c r="B1756" i="2"/>
  <c r="S1755" i="2"/>
  <c r="M1755" i="2"/>
  <c r="L1755" i="2"/>
  <c r="K1755" i="2"/>
  <c r="G1755" i="2"/>
  <c r="E1755" i="2"/>
  <c r="B1755" i="2"/>
  <c r="S1754" i="2"/>
  <c r="M1754" i="2"/>
  <c r="L1754" i="2"/>
  <c r="K1754" i="2"/>
  <c r="G1754" i="2"/>
  <c r="E1754" i="2"/>
  <c r="B1754" i="2"/>
  <c r="S1753" i="2"/>
  <c r="M1753" i="2"/>
  <c r="L1753" i="2"/>
  <c r="K1753" i="2"/>
  <c r="G1753" i="2"/>
  <c r="E1753" i="2"/>
  <c r="B1753" i="2"/>
  <c r="S1752" i="2"/>
  <c r="M1752" i="2"/>
  <c r="L1752" i="2"/>
  <c r="K1752" i="2"/>
  <c r="G1752" i="2"/>
  <c r="E1752" i="2"/>
  <c r="B1752" i="2"/>
  <c r="S1751" i="2"/>
  <c r="M1751" i="2"/>
  <c r="L1751" i="2"/>
  <c r="K1751" i="2"/>
  <c r="G1751" i="2"/>
  <c r="E1751" i="2"/>
  <c r="B1751" i="2"/>
  <c r="S1750" i="2"/>
  <c r="M1750" i="2"/>
  <c r="L1750" i="2"/>
  <c r="K1750" i="2"/>
  <c r="G1750" i="2"/>
  <c r="E1750" i="2"/>
  <c r="B1750" i="2"/>
  <c r="S1749" i="2"/>
  <c r="M1749" i="2"/>
  <c r="L1749" i="2"/>
  <c r="K1749" i="2"/>
  <c r="G1749" i="2"/>
  <c r="E1749" i="2"/>
  <c r="B1749" i="2"/>
  <c r="S1748" i="2"/>
  <c r="M1748" i="2"/>
  <c r="L1748" i="2"/>
  <c r="K1748" i="2"/>
  <c r="G1748" i="2"/>
  <c r="E1748" i="2"/>
  <c r="B1748" i="2"/>
  <c r="S1747" i="2"/>
  <c r="M1747" i="2"/>
  <c r="L1747" i="2"/>
  <c r="K1747" i="2"/>
  <c r="G1747" i="2"/>
  <c r="E1747" i="2"/>
  <c r="B1747" i="2"/>
  <c r="S1746" i="2"/>
  <c r="M1746" i="2"/>
  <c r="L1746" i="2"/>
  <c r="K1746" i="2"/>
  <c r="G1746" i="2"/>
  <c r="E1746" i="2"/>
  <c r="B1746" i="2"/>
  <c r="S1745" i="2"/>
  <c r="M1745" i="2"/>
  <c r="L1745" i="2"/>
  <c r="K1745" i="2"/>
  <c r="G1745" i="2"/>
  <c r="E1745" i="2"/>
  <c r="B1745" i="2"/>
  <c r="S1744" i="2"/>
  <c r="M1744" i="2"/>
  <c r="L1744" i="2"/>
  <c r="K1744" i="2"/>
  <c r="G1744" i="2"/>
  <c r="E1744" i="2"/>
  <c r="B1744" i="2"/>
  <c r="S1743" i="2"/>
  <c r="M1743" i="2"/>
  <c r="L1743" i="2"/>
  <c r="K1743" i="2"/>
  <c r="G1743" i="2"/>
  <c r="E1743" i="2"/>
  <c r="B1743" i="2"/>
  <c r="S1742" i="2"/>
  <c r="M1742" i="2"/>
  <c r="L1742" i="2"/>
  <c r="K1742" i="2"/>
  <c r="G1742" i="2"/>
  <c r="E1742" i="2"/>
  <c r="B1742" i="2"/>
  <c r="S1741" i="2"/>
  <c r="M1741" i="2"/>
  <c r="L1741" i="2"/>
  <c r="K1741" i="2"/>
  <c r="G1741" i="2"/>
  <c r="E1741" i="2"/>
  <c r="B1741" i="2"/>
  <c r="S1740" i="2"/>
  <c r="M1740" i="2"/>
  <c r="L1740" i="2"/>
  <c r="K1740" i="2"/>
  <c r="G1740" i="2"/>
  <c r="E1740" i="2"/>
  <c r="B1740" i="2"/>
  <c r="S1739" i="2"/>
  <c r="M1739" i="2"/>
  <c r="L1739" i="2"/>
  <c r="K1739" i="2"/>
  <c r="G1739" i="2"/>
  <c r="E1739" i="2"/>
  <c r="B1739" i="2"/>
  <c r="S1738" i="2"/>
  <c r="M1738" i="2"/>
  <c r="L1738" i="2"/>
  <c r="K1738" i="2"/>
  <c r="G1738" i="2"/>
  <c r="E1738" i="2"/>
  <c r="B1738" i="2"/>
  <c r="S1737" i="2"/>
  <c r="M1737" i="2"/>
  <c r="L1737" i="2"/>
  <c r="K1737" i="2"/>
  <c r="G1737" i="2"/>
  <c r="E1737" i="2"/>
  <c r="B1737" i="2"/>
  <c r="S1736" i="2"/>
  <c r="M1736" i="2"/>
  <c r="L1736" i="2"/>
  <c r="K1736" i="2"/>
  <c r="G1736" i="2"/>
  <c r="E1736" i="2"/>
  <c r="B1736" i="2"/>
  <c r="S1735" i="2"/>
  <c r="M1735" i="2"/>
  <c r="L1735" i="2"/>
  <c r="K1735" i="2"/>
  <c r="G1735" i="2"/>
  <c r="E1735" i="2"/>
  <c r="B1735" i="2"/>
  <c r="S1734" i="2"/>
  <c r="M1734" i="2"/>
  <c r="L1734" i="2"/>
  <c r="K1734" i="2"/>
  <c r="G1734" i="2"/>
  <c r="E1734" i="2"/>
  <c r="B1734" i="2"/>
  <c r="S1733" i="2"/>
  <c r="M1733" i="2"/>
  <c r="L1733" i="2"/>
  <c r="K1733" i="2"/>
  <c r="G1733" i="2"/>
  <c r="E1733" i="2"/>
  <c r="B1733" i="2"/>
  <c r="S1732" i="2"/>
  <c r="M1732" i="2"/>
  <c r="L1732" i="2"/>
  <c r="K1732" i="2"/>
  <c r="G1732" i="2"/>
  <c r="E1732" i="2"/>
  <c r="B1732" i="2"/>
  <c r="S1731" i="2"/>
  <c r="M1731" i="2"/>
  <c r="L1731" i="2"/>
  <c r="K1731" i="2"/>
  <c r="G1731" i="2"/>
  <c r="E1731" i="2"/>
  <c r="B1731" i="2"/>
  <c r="S1730" i="2"/>
  <c r="M1730" i="2"/>
  <c r="L1730" i="2"/>
  <c r="K1730" i="2"/>
  <c r="G1730" i="2"/>
  <c r="E1730" i="2"/>
  <c r="B1730" i="2"/>
  <c r="S1729" i="2"/>
  <c r="M1729" i="2"/>
  <c r="L1729" i="2"/>
  <c r="K1729" i="2"/>
  <c r="G1729" i="2"/>
  <c r="E1729" i="2"/>
  <c r="B1729" i="2"/>
  <c r="S1728" i="2"/>
  <c r="M1728" i="2"/>
  <c r="L1728" i="2"/>
  <c r="K1728" i="2"/>
  <c r="G1728" i="2"/>
  <c r="E1728" i="2"/>
  <c r="B1728" i="2"/>
  <c r="S1727" i="2"/>
  <c r="M1727" i="2"/>
  <c r="L1727" i="2"/>
  <c r="K1727" i="2"/>
  <c r="G1727" i="2"/>
  <c r="E1727" i="2"/>
  <c r="B1727" i="2"/>
  <c r="S1726" i="2"/>
  <c r="M1726" i="2"/>
  <c r="L1726" i="2"/>
  <c r="K1726" i="2"/>
  <c r="G1726" i="2"/>
  <c r="E1726" i="2"/>
  <c r="B1726" i="2"/>
  <c r="S1725" i="2"/>
  <c r="M1725" i="2"/>
  <c r="L1725" i="2"/>
  <c r="K1725" i="2"/>
  <c r="G1725" i="2"/>
  <c r="E1725" i="2"/>
  <c r="B1725" i="2"/>
  <c r="S1724" i="2"/>
  <c r="M1724" i="2"/>
  <c r="L1724" i="2"/>
  <c r="K1724" i="2"/>
  <c r="G1724" i="2"/>
  <c r="E1724" i="2"/>
  <c r="B1724" i="2"/>
  <c r="S1723" i="2"/>
  <c r="M1723" i="2"/>
  <c r="L1723" i="2"/>
  <c r="K1723" i="2"/>
  <c r="G1723" i="2"/>
  <c r="E1723" i="2"/>
  <c r="B1723" i="2"/>
  <c r="S1722" i="2"/>
  <c r="M1722" i="2"/>
  <c r="L1722" i="2"/>
  <c r="K1722" i="2"/>
  <c r="G1722" i="2"/>
  <c r="E1722" i="2"/>
  <c r="B1722" i="2"/>
  <c r="S1721" i="2"/>
  <c r="M1721" i="2"/>
  <c r="L1721" i="2"/>
  <c r="K1721" i="2"/>
  <c r="G1721" i="2"/>
  <c r="E1721" i="2"/>
  <c r="B1721" i="2"/>
  <c r="S1720" i="2"/>
  <c r="M1720" i="2"/>
  <c r="L1720" i="2"/>
  <c r="K1720" i="2"/>
  <c r="G1720" i="2"/>
  <c r="E1720" i="2"/>
  <c r="B1720" i="2"/>
  <c r="S1719" i="2"/>
  <c r="M1719" i="2"/>
  <c r="L1719" i="2"/>
  <c r="K1719" i="2"/>
  <c r="G1719" i="2"/>
  <c r="E1719" i="2"/>
  <c r="B1719" i="2"/>
  <c r="S1718" i="2"/>
  <c r="M1718" i="2"/>
  <c r="L1718" i="2"/>
  <c r="K1718" i="2"/>
  <c r="G1718" i="2"/>
  <c r="E1718" i="2"/>
  <c r="B1718" i="2"/>
  <c r="S1717" i="2"/>
  <c r="M1717" i="2"/>
  <c r="L1717" i="2"/>
  <c r="K1717" i="2"/>
  <c r="G1717" i="2"/>
  <c r="E1717" i="2"/>
  <c r="B1717" i="2"/>
  <c r="S1716" i="2"/>
  <c r="M1716" i="2"/>
  <c r="L1716" i="2"/>
  <c r="K1716" i="2"/>
  <c r="G1716" i="2"/>
  <c r="E1716" i="2"/>
  <c r="B1716" i="2"/>
  <c r="S1715" i="2"/>
  <c r="M1715" i="2"/>
  <c r="L1715" i="2"/>
  <c r="K1715" i="2"/>
  <c r="G1715" i="2"/>
  <c r="E1715" i="2"/>
  <c r="B1715" i="2"/>
  <c r="S1714" i="2"/>
  <c r="M1714" i="2"/>
  <c r="L1714" i="2"/>
  <c r="K1714" i="2"/>
  <c r="G1714" i="2"/>
  <c r="E1714" i="2"/>
  <c r="B1714" i="2"/>
  <c r="S1713" i="2"/>
  <c r="M1713" i="2"/>
  <c r="L1713" i="2"/>
  <c r="K1713" i="2"/>
  <c r="G1713" i="2"/>
  <c r="E1713" i="2"/>
  <c r="B1713" i="2"/>
  <c r="S1712" i="2"/>
  <c r="M1712" i="2"/>
  <c r="L1712" i="2"/>
  <c r="K1712" i="2"/>
  <c r="G1712" i="2"/>
  <c r="E1712" i="2"/>
  <c r="B1712" i="2"/>
  <c r="S1711" i="2"/>
  <c r="M1711" i="2"/>
  <c r="L1711" i="2"/>
  <c r="K1711" i="2"/>
  <c r="G1711" i="2"/>
  <c r="E1711" i="2"/>
  <c r="B1711" i="2"/>
  <c r="S1710" i="2"/>
  <c r="M1710" i="2"/>
  <c r="L1710" i="2"/>
  <c r="K1710" i="2"/>
  <c r="G1710" i="2"/>
  <c r="E1710" i="2"/>
  <c r="B1710" i="2"/>
  <c r="S1709" i="2"/>
  <c r="M1709" i="2"/>
  <c r="L1709" i="2"/>
  <c r="K1709" i="2"/>
  <c r="G1709" i="2"/>
  <c r="E1709" i="2"/>
  <c r="B1709" i="2"/>
  <c r="S1708" i="2"/>
  <c r="M1708" i="2"/>
  <c r="L1708" i="2"/>
  <c r="K1708" i="2"/>
  <c r="G1708" i="2"/>
  <c r="E1708" i="2"/>
  <c r="B1708" i="2"/>
  <c r="S1707" i="2"/>
  <c r="M1707" i="2"/>
  <c r="L1707" i="2"/>
  <c r="K1707" i="2"/>
  <c r="G1707" i="2"/>
  <c r="E1707" i="2"/>
  <c r="B1707" i="2"/>
  <c r="S1706" i="2"/>
  <c r="M1706" i="2"/>
  <c r="L1706" i="2"/>
  <c r="K1706" i="2"/>
  <c r="G1706" i="2"/>
  <c r="E1706" i="2"/>
  <c r="B1706" i="2"/>
  <c r="S1705" i="2"/>
  <c r="M1705" i="2"/>
  <c r="L1705" i="2"/>
  <c r="K1705" i="2"/>
  <c r="G1705" i="2"/>
  <c r="E1705" i="2"/>
  <c r="B1705" i="2"/>
  <c r="S1704" i="2"/>
  <c r="M1704" i="2"/>
  <c r="L1704" i="2"/>
  <c r="K1704" i="2"/>
  <c r="G1704" i="2"/>
  <c r="E1704" i="2"/>
  <c r="B1704" i="2"/>
  <c r="S1703" i="2"/>
  <c r="M1703" i="2"/>
  <c r="L1703" i="2"/>
  <c r="K1703" i="2"/>
  <c r="G1703" i="2"/>
  <c r="E1703" i="2"/>
  <c r="B1703" i="2"/>
  <c r="S1702" i="2"/>
  <c r="M1702" i="2"/>
  <c r="L1702" i="2"/>
  <c r="K1702" i="2"/>
  <c r="G1702" i="2"/>
  <c r="E1702" i="2"/>
  <c r="B1702" i="2"/>
  <c r="S1701" i="2"/>
  <c r="M1701" i="2"/>
  <c r="L1701" i="2"/>
  <c r="K1701" i="2"/>
  <c r="G1701" i="2"/>
  <c r="E1701" i="2"/>
  <c r="B1701" i="2"/>
  <c r="S1700" i="2"/>
  <c r="M1700" i="2"/>
  <c r="L1700" i="2"/>
  <c r="K1700" i="2"/>
  <c r="G1700" i="2"/>
  <c r="E1700" i="2"/>
  <c r="B1700" i="2"/>
  <c r="S1699" i="2"/>
  <c r="M1699" i="2"/>
  <c r="L1699" i="2"/>
  <c r="K1699" i="2"/>
  <c r="G1699" i="2"/>
  <c r="E1699" i="2"/>
  <c r="B1699" i="2"/>
  <c r="S1698" i="2"/>
  <c r="M1698" i="2"/>
  <c r="L1698" i="2"/>
  <c r="K1698" i="2"/>
  <c r="G1698" i="2"/>
  <c r="E1698" i="2"/>
  <c r="B1698" i="2"/>
  <c r="S1697" i="2"/>
  <c r="M1697" i="2"/>
  <c r="L1697" i="2"/>
  <c r="K1697" i="2"/>
  <c r="G1697" i="2"/>
  <c r="E1697" i="2"/>
  <c r="B1697" i="2"/>
  <c r="S1696" i="2"/>
  <c r="M1696" i="2"/>
  <c r="L1696" i="2"/>
  <c r="K1696" i="2"/>
  <c r="G1696" i="2"/>
  <c r="E1696" i="2"/>
  <c r="B1696" i="2"/>
  <c r="S1695" i="2"/>
  <c r="M1695" i="2"/>
  <c r="L1695" i="2"/>
  <c r="K1695" i="2"/>
  <c r="G1695" i="2"/>
  <c r="E1695" i="2"/>
  <c r="B1695" i="2"/>
  <c r="S1694" i="2"/>
  <c r="M1694" i="2"/>
  <c r="L1694" i="2"/>
  <c r="K1694" i="2"/>
  <c r="G1694" i="2"/>
  <c r="E1694" i="2"/>
  <c r="B1694" i="2"/>
  <c r="S1693" i="2"/>
  <c r="M1693" i="2"/>
  <c r="L1693" i="2"/>
  <c r="K1693" i="2"/>
  <c r="G1693" i="2"/>
  <c r="E1693" i="2"/>
  <c r="B1693" i="2"/>
  <c r="S1692" i="2"/>
  <c r="M1692" i="2"/>
  <c r="L1692" i="2"/>
  <c r="K1692" i="2"/>
  <c r="G1692" i="2"/>
  <c r="E1692" i="2"/>
  <c r="B1692" i="2"/>
  <c r="S1691" i="2"/>
  <c r="M1691" i="2"/>
  <c r="L1691" i="2"/>
  <c r="K1691" i="2"/>
  <c r="G1691" i="2"/>
  <c r="E1691" i="2"/>
  <c r="B1691" i="2"/>
  <c r="S1690" i="2"/>
  <c r="M1690" i="2"/>
  <c r="L1690" i="2"/>
  <c r="K1690" i="2"/>
  <c r="G1690" i="2"/>
  <c r="E1690" i="2"/>
  <c r="B1690" i="2"/>
  <c r="S1689" i="2"/>
  <c r="M1689" i="2"/>
  <c r="L1689" i="2"/>
  <c r="K1689" i="2"/>
  <c r="G1689" i="2"/>
  <c r="E1689" i="2"/>
  <c r="B1689" i="2"/>
  <c r="S1688" i="2"/>
  <c r="M1688" i="2"/>
  <c r="L1688" i="2"/>
  <c r="K1688" i="2"/>
  <c r="G1688" i="2"/>
  <c r="E1688" i="2"/>
  <c r="B1688" i="2"/>
  <c r="S1687" i="2"/>
  <c r="M1687" i="2"/>
  <c r="L1687" i="2"/>
  <c r="K1687" i="2"/>
  <c r="G1687" i="2"/>
  <c r="E1687" i="2"/>
  <c r="B1687" i="2"/>
  <c r="S1686" i="2"/>
  <c r="M1686" i="2"/>
  <c r="L1686" i="2"/>
  <c r="K1686" i="2"/>
  <c r="G1686" i="2"/>
  <c r="E1686" i="2"/>
  <c r="B1686" i="2"/>
  <c r="S1685" i="2"/>
  <c r="M1685" i="2"/>
  <c r="L1685" i="2"/>
  <c r="K1685" i="2"/>
  <c r="G1685" i="2"/>
  <c r="E1685" i="2"/>
  <c r="B1685" i="2"/>
  <c r="S1684" i="2"/>
  <c r="M1684" i="2"/>
  <c r="L1684" i="2"/>
  <c r="K1684" i="2"/>
  <c r="G1684" i="2"/>
  <c r="E1684" i="2"/>
  <c r="B1684" i="2"/>
  <c r="S1683" i="2"/>
  <c r="M1683" i="2"/>
  <c r="L1683" i="2"/>
  <c r="K1683" i="2"/>
  <c r="G1683" i="2"/>
  <c r="E1683" i="2"/>
  <c r="B1683" i="2"/>
  <c r="S1682" i="2"/>
  <c r="M1682" i="2"/>
  <c r="L1682" i="2"/>
  <c r="K1682" i="2"/>
  <c r="G1682" i="2"/>
  <c r="E1682" i="2"/>
  <c r="B1682" i="2"/>
  <c r="S1681" i="2"/>
  <c r="M1681" i="2"/>
  <c r="L1681" i="2"/>
  <c r="K1681" i="2"/>
  <c r="G1681" i="2"/>
  <c r="E1681" i="2"/>
  <c r="B1681" i="2"/>
  <c r="S1680" i="2"/>
  <c r="M1680" i="2"/>
  <c r="L1680" i="2"/>
  <c r="K1680" i="2"/>
  <c r="G1680" i="2"/>
  <c r="E1680" i="2"/>
  <c r="B1680" i="2"/>
  <c r="S1679" i="2"/>
  <c r="M1679" i="2"/>
  <c r="L1679" i="2"/>
  <c r="K1679" i="2"/>
  <c r="G1679" i="2"/>
  <c r="E1679" i="2"/>
  <c r="B1679" i="2"/>
  <c r="S1678" i="2"/>
  <c r="M1678" i="2"/>
  <c r="L1678" i="2"/>
  <c r="K1678" i="2"/>
  <c r="G1678" i="2"/>
  <c r="E1678" i="2"/>
  <c r="B1678" i="2"/>
  <c r="S1677" i="2"/>
  <c r="M1677" i="2"/>
  <c r="L1677" i="2"/>
  <c r="K1677" i="2"/>
  <c r="G1677" i="2"/>
  <c r="E1677" i="2"/>
  <c r="B1677" i="2"/>
  <c r="S1676" i="2"/>
  <c r="M1676" i="2"/>
  <c r="L1676" i="2"/>
  <c r="K1676" i="2"/>
  <c r="G1676" i="2"/>
  <c r="E1676" i="2"/>
  <c r="B1676" i="2"/>
  <c r="S1675" i="2"/>
  <c r="M1675" i="2"/>
  <c r="L1675" i="2"/>
  <c r="K1675" i="2"/>
  <c r="G1675" i="2"/>
  <c r="E1675" i="2"/>
  <c r="B1675" i="2"/>
  <c r="S1674" i="2"/>
  <c r="M1674" i="2"/>
  <c r="L1674" i="2"/>
  <c r="K1674" i="2"/>
  <c r="G1674" i="2"/>
  <c r="E1674" i="2"/>
  <c r="B1674" i="2"/>
  <c r="S1673" i="2"/>
  <c r="M1673" i="2"/>
  <c r="L1673" i="2"/>
  <c r="K1673" i="2"/>
  <c r="G1673" i="2"/>
  <c r="E1673" i="2"/>
  <c r="B1673" i="2"/>
  <c r="S1672" i="2"/>
  <c r="M1672" i="2"/>
  <c r="L1672" i="2"/>
  <c r="K1672" i="2"/>
  <c r="G1672" i="2"/>
  <c r="E1672" i="2"/>
  <c r="B1672" i="2"/>
  <c r="S1671" i="2"/>
  <c r="M1671" i="2"/>
  <c r="L1671" i="2"/>
  <c r="K1671" i="2"/>
  <c r="G1671" i="2"/>
  <c r="E1671" i="2"/>
  <c r="B1671" i="2"/>
  <c r="S1670" i="2"/>
  <c r="M1670" i="2"/>
  <c r="L1670" i="2"/>
  <c r="K1670" i="2"/>
  <c r="G1670" i="2"/>
  <c r="E1670" i="2"/>
  <c r="B1670" i="2"/>
  <c r="S1669" i="2"/>
  <c r="M1669" i="2"/>
  <c r="L1669" i="2"/>
  <c r="K1669" i="2"/>
  <c r="G1669" i="2"/>
  <c r="E1669" i="2"/>
  <c r="B1669" i="2"/>
  <c r="S1668" i="2"/>
  <c r="M1668" i="2"/>
  <c r="L1668" i="2"/>
  <c r="K1668" i="2"/>
  <c r="G1668" i="2"/>
  <c r="E1668" i="2"/>
  <c r="B1668" i="2"/>
  <c r="S1667" i="2"/>
  <c r="M1667" i="2"/>
  <c r="L1667" i="2"/>
  <c r="K1667" i="2"/>
  <c r="G1667" i="2"/>
  <c r="E1667" i="2"/>
  <c r="B1667" i="2"/>
  <c r="S1666" i="2"/>
  <c r="M1666" i="2"/>
  <c r="L1666" i="2"/>
  <c r="K1666" i="2"/>
  <c r="G1666" i="2"/>
  <c r="E1666" i="2"/>
  <c r="B1666" i="2"/>
  <c r="S1665" i="2"/>
  <c r="M1665" i="2"/>
  <c r="L1665" i="2"/>
  <c r="K1665" i="2"/>
  <c r="G1665" i="2"/>
  <c r="E1665" i="2"/>
  <c r="B1665" i="2"/>
  <c r="S1664" i="2"/>
  <c r="M1664" i="2"/>
  <c r="L1664" i="2"/>
  <c r="K1664" i="2"/>
  <c r="G1664" i="2"/>
  <c r="E1664" i="2"/>
  <c r="B1664" i="2"/>
  <c r="S1663" i="2"/>
  <c r="M1663" i="2"/>
  <c r="L1663" i="2"/>
  <c r="K1663" i="2"/>
  <c r="G1663" i="2"/>
  <c r="E1663" i="2"/>
  <c r="B1663" i="2"/>
  <c r="S1662" i="2"/>
  <c r="M1662" i="2"/>
  <c r="L1662" i="2"/>
  <c r="K1662" i="2"/>
  <c r="G1662" i="2"/>
  <c r="E1662" i="2"/>
  <c r="B1662" i="2"/>
  <c r="S1661" i="2"/>
  <c r="M1661" i="2"/>
  <c r="L1661" i="2"/>
  <c r="K1661" i="2"/>
  <c r="G1661" i="2"/>
  <c r="E1661" i="2"/>
  <c r="B1661" i="2"/>
  <c r="S1660" i="2"/>
  <c r="M1660" i="2"/>
  <c r="L1660" i="2"/>
  <c r="K1660" i="2"/>
  <c r="G1660" i="2"/>
  <c r="E1660" i="2"/>
  <c r="B1660" i="2"/>
  <c r="S1659" i="2"/>
  <c r="M1659" i="2"/>
  <c r="L1659" i="2"/>
  <c r="K1659" i="2"/>
  <c r="G1659" i="2"/>
  <c r="E1659" i="2"/>
  <c r="B1659" i="2"/>
  <c r="S1658" i="2"/>
  <c r="M1658" i="2"/>
  <c r="L1658" i="2"/>
  <c r="K1658" i="2"/>
  <c r="G1658" i="2"/>
  <c r="E1658" i="2"/>
  <c r="B1658" i="2"/>
  <c r="S1657" i="2"/>
  <c r="M1657" i="2"/>
  <c r="L1657" i="2"/>
  <c r="K1657" i="2"/>
  <c r="G1657" i="2"/>
  <c r="E1657" i="2"/>
  <c r="B1657" i="2"/>
  <c r="S1656" i="2"/>
  <c r="M1656" i="2"/>
  <c r="L1656" i="2"/>
  <c r="K1656" i="2"/>
  <c r="G1656" i="2"/>
  <c r="E1656" i="2"/>
  <c r="B1656" i="2"/>
  <c r="S1655" i="2"/>
  <c r="M1655" i="2"/>
  <c r="L1655" i="2"/>
  <c r="K1655" i="2"/>
  <c r="G1655" i="2"/>
  <c r="E1655" i="2"/>
  <c r="B1655" i="2"/>
  <c r="S1654" i="2"/>
  <c r="M1654" i="2"/>
  <c r="L1654" i="2"/>
  <c r="K1654" i="2"/>
  <c r="G1654" i="2"/>
  <c r="E1654" i="2"/>
  <c r="B1654" i="2"/>
  <c r="S1653" i="2"/>
  <c r="M1653" i="2"/>
  <c r="L1653" i="2"/>
  <c r="K1653" i="2"/>
  <c r="G1653" i="2"/>
  <c r="E1653" i="2"/>
  <c r="B1653" i="2"/>
  <c r="S1652" i="2"/>
  <c r="M1652" i="2"/>
  <c r="L1652" i="2"/>
  <c r="K1652" i="2"/>
  <c r="G1652" i="2"/>
  <c r="E1652" i="2"/>
  <c r="B1652" i="2"/>
  <c r="S1651" i="2"/>
  <c r="M1651" i="2"/>
  <c r="L1651" i="2"/>
  <c r="K1651" i="2"/>
  <c r="G1651" i="2"/>
  <c r="E1651" i="2"/>
  <c r="B1651" i="2"/>
  <c r="S1650" i="2"/>
  <c r="M1650" i="2"/>
  <c r="L1650" i="2"/>
  <c r="K1650" i="2"/>
  <c r="G1650" i="2"/>
  <c r="E1650" i="2"/>
  <c r="B1650" i="2"/>
  <c r="S1649" i="2"/>
  <c r="M1649" i="2"/>
  <c r="L1649" i="2"/>
  <c r="K1649" i="2"/>
  <c r="G1649" i="2"/>
  <c r="E1649" i="2"/>
  <c r="B1649" i="2"/>
  <c r="S1648" i="2"/>
  <c r="M1648" i="2"/>
  <c r="L1648" i="2"/>
  <c r="K1648" i="2"/>
  <c r="G1648" i="2"/>
  <c r="E1648" i="2"/>
  <c r="B1648" i="2"/>
  <c r="S1647" i="2"/>
  <c r="M1647" i="2"/>
  <c r="L1647" i="2"/>
  <c r="K1647" i="2"/>
  <c r="G1647" i="2"/>
  <c r="E1647" i="2"/>
  <c r="B1647" i="2"/>
  <c r="S1646" i="2"/>
  <c r="M1646" i="2"/>
  <c r="L1646" i="2"/>
  <c r="K1646" i="2"/>
  <c r="G1646" i="2"/>
  <c r="E1646" i="2"/>
  <c r="B1646" i="2"/>
  <c r="S1645" i="2"/>
  <c r="M1645" i="2"/>
  <c r="L1645" i="2"/>
  <c r="K1645" i="2"/>
  <c r="G1645" i="2"/>
  <c r="E1645" i="2"/>
  <c r="B1645" i="2"/>
  <c r="S1644" i="2"/>
  <c r="M1644" i="2"/>
  <c r="L1644" i="2"/>
  <c r="K1644" i="2"/>
  <c r="G1644" i="2"/>
  <c r="E1644" i="2"/>
  <c r="B1644" i="2"/>
  <c r="S1643" i="2"/>
  <c r="M1643" i="2"/>
  <c r="L1643" i="2"/>
  <c r="K1643" i="2"/>
  <c r="G1643" i="2"/>
  <c r="E1643" i="2"/>
  <c r="B1643" i="2"/>
  <c r="S1642" i="2"/>
  <c r="M1642" i="2"/>
  <c r="L1642" i="2"/>
  <c r="K1642" i="2"/>
  <c r="G1642" i="2"/>
  <c r="E1642" i="2"/>
  <c r="B1642" i="2"/>
  <c r="S1641" i="2"/>
  <c r="M1641" i="2"/>
  <c r="L1641" i="2"/>
  <c r="K1641" i="2"/>
  <c r="G1641" i="2"/>
  <c r="E1641" i="2"/>
  <c r="B1641" i="2"/>
  <c r="S1640" i="2"/>
  <c r="M1640" i="2"/>
  <c r="L1640" i="2"/>
  <c r="K1640" i="2"/>
  <c r="G1640" i="2"/>
  <c r="E1640" i="2"/>
  <c r="B1640" i="2"/>
  <c r="S1639" i="2"/>
  <c r="M1639" i="2"/>
  <c r="L1639" i="2"/>
  <c r="K1639" i="2"/>
  <c r="G1639" i="2"/>
  <c r="E1639" i="2"/>
  <c r="B1639" i="2"/>
  <c r="S1638" i="2"/>
  <c r="M1638" i="2"/>
  <c r="L1638" i="2"/>
  <c r="K1638" i="2"/>
  <c r="G1638" i="2"/>
  <c r="E1638" i="2"/>
  <c r="B1638" i="2"/>
  <c r="S1637" i="2"/>
  <c r="M1637" i="2"/>
  <c r="L1637" i="2"/>
  <c r="K1637" i="2"/>
  <c r="G1637" i="2"/>
  <c r="E1637" i="2"/>
  <c r="B1637" i="2"/>
  <c r="S1636" i="2"/>
  <c r="M1636" i="2"/>
  <c r="L1636" i="2"/>
  <c r="K1636" i="2"/>
  <c r="G1636" i="2"/>
  <c r="E1636" i="2"/>
  <c r="B1636" i="2"/>
  <c r="S1635" i="2"/>
  <c r="M1635" i="2"/>
  <c r="L1635" i="2"/>
  <c r="K1635" i="2"/>
  <c r="G1635" i="2"/>
  <c r="E1635" i="2"/>
  <c r="B1635" i="2"/>
  <c r="S1634" i="2"/>
  <c r="M1634" i="2"/>
  <c r="L1634" i="2"/>
  <c r="K1634" i="2"/>
  <c r="G1634" i="2"/>
  <c r="E1634" i="2"/>
  <c r="B1634" i="2"/>
  <c r="S1633" i="2"/>
  <c r="M1633" i="2"/>
  <c r="L1633" i="2"/>
  <c r="K1633" i="2"/>
  <c r="G1633" i="2"/>
  <c r="E1633" i="2"/>
  <c r="B1633" i="2"/>
  <c r="S1632" i="2"/>
  <c r="M1632" i="2"/>
  <c r="L1632" i="2"/>
  <c r="K1632" i="2"/>
  <c r="G1632" i="2"/>
  <c r="E1632" i="2"/>
  <c r="B1632" i="2"/>
  <c r="S1631" i="2"/>
  <c r="M1631" i="2"/>
  <c r="L1631" i="2"/>
  <c r="K1631" i="2"/>
  <c r="G1631" i="2"/>
  <c r="E1631" i="2"/>
  <c r="B1631" i="2"/>
  <c r="S1630" i="2"/>
  <c r="M1630" i="2"/>
  <c r="L1630" i="2"/>
  <c r="K1630" i="2"/>
  <c r="G1630" i="2"/>
  <c r="E1630" i="2"/>
  <c r="B1630" i="2"/>
  <c r="S1629" i="2"/>
  <c r="M1629" i="2"/>
  <c r="L1629" i="2"/>
  <c r="K1629" i="2"/>
  <c r="G1629" i="2"/>
  <c r="E1629" i="2"/>
  <c r="B1629" i="2"/>
  <c r="S1628" i="2"/>
  <c r="M1628" i="2"/>
  <c r="L1628" i="2"/>
  <c r="K1628" i="2"/>
  <c r="G1628" i="2"/>
  <c r="E1628" i="2"/>
  <c r="B1628" i="2"/>
  <c r="S1627" i="2"/>
  <c r="M1627" i="2"/>
  <c r="L1627" i="2"/>
  <c r="K1627" i="2"/>
  <c r="G1627" i="2"/>
  <c r="E1627" i="2"/>
  <c r="B1627" i="2"/>
  <c r="S1626" i="2"/>
  <c r="M1626" i="2"/>
  <c r="L1626" i="2"/>
  <c r="K1626" i="2"/>
  <c r="G1626" i="2"/>
  <c r="E1626" i="2"/>
  <c r="B1626" i="2"/>
  <c r="S1625" i="2"/>
  <c r="M1625" i="2"/>
  <c r="L1625" i="2"/>
  <c r="K1625" i="2"/>
  <c r="G1625" i="2"/>
  <c r="E1625" i="2"/>
  <c r="B1625" i="2"/>
  <c r="S1624" i="2"/>
  <c r="M1624" i="2"/>
  <c r="L1624" i="2"/>
  <c r="K1624" i="2"/>
  <c r="G1624" i="2"/>
  <c r="E1624" i="2"/>
  <c r="B1624" i="2"/>
  <c r="S1623" i="2"/>
  <c r="M1623" i="2"/>
  <c r="L1623" i="2"/>
  <c r="K1623" i="2"/>
  <c r="G1623" i="2"/>
  <c r="E1623" i="2"/>
  <c r="B1623" i="2"/>
  <c r="S1622" i="2"/>
  <c r="M1622" i="2"/>
  <c r="L1622" i="2"/>
  <c r="K1622" i="2"/>
  <c r="G1622" i="2"/>
  <c r="E1622" i="2"/>
  <c r="B1622" i="2"/>
  <c r="S1621" i="2"/>
  <c r="M1621" i="2"/>
  <c r="L1621" i="2"/>
  <c r="K1621" i="2"/>
  <c r="G1621" i="2"/>
  <c r="E1621" i="2"/>
  <c r="B1621" i="2"/>
  <c r="S1620" i="2"/>
  <c r="M1620" i="2"/>
  <c r="L1620" i="2"/>
  <c r="K1620" i="2"/>
  <c r="H1620" i="2"/>
  <c r="G1620" i="2"/>
  <c r="E1620" i="2"/>
  <c r="B1620" i="2"/>
  <c r="S1619" i="2"/>
  <c r="M1619" i="2"/>
  <c r="L1619" i="2"/>
  <c r="K1619" i="2"/>
  <c r="G1619" i="2"/>
  <c r="E1619" i="2"/>
  <c r="B1619" i="2"/>
  <c r="S1618" i="2"/>
  <c r="M1618" i="2"/>
  <c r="L1618" i="2"/>
  <c r="K1618" i="2"/>
  <c r="G1618" i="2"/>
  <c r="E1618" i="2"/>
  <c r="B1618" i="2"/>
  <c r="S1617" i="2"/>
  <c r="M1617" i="2"/>
  <c r="L1617" i="2"/>
  <c r="K1617" i="2"/>
  <c r="G1617" i="2"/>
  <c r="E1617" i="2"/>
  <c r="B1617" i="2"/>
  <c r="S1616" i="2"/>
  <c r="M1616" i="2"/>
  <c r="L1616" i="2"/>
  <c r="K1616" i="2"/>
  <c r="G1616" i="2"/>
  <c r="E1616" i="2"/>
  <c r="B1616" i="2"/>
  <c r="S1615" i="2"/>
  <c r="M1615" i="2"/>
  <c r="L1615" i="2"/>
  <c r="K1615" i="2"/>
  <c r="G1615" i="2"/>
  <c r="E1615" i="2"/>
  <c r="B1615" i="2"/>
  <c r="S1614" i="2"/>
  <c r="M1614" i="2"/>
  <c r="L1614" i="2"/>
  <c r="K1614" i="2"/>
  <c r="G1614" i="2"/>
  <c r="E1614" i="2"/>
  <c r="B1614" i="2"/>
  <c r="S1613" i="2"/>
  <c r="M1613" i="2"/>
  <c r="L1613" i="2"/>
  <c r="K1613" i="2"/>
  <c r="G1613" i="2"/>
  <c r="E1613" i="2"/>
  <c r="B1613" i="2"/>
  <c r="S1612" i="2"/>
  <c r="M1612" i="2"/>
  <c r="L1612" i="2"/>
  <c r="K1612" i="2"/>
  <c r="G1612" i="2"/>
  <c r="E1612" i="2"/>
  <c r="B1612" i="2"/>
  <c r="S1611" i="2"/>
  <c r="M1611" i="2"/>
  <c r="L1611" i="2"/>
  <c r="K1611" i="2"/>
  <c r="G1611" i="2"/>
  <c r="E1611" i="2"/>
  <c r="B1611" i="2"/>
  <c r="S1610" i="2"/>
  <c r="M1610" i="2"/>
  <c r="L1610" i="2"/>
  <c r="K1610" i="2"/>
  <c r="H1610" i="2"/>
  <c r="G1610" i="2"/>
  <c r="E1610" i="2"/>
  <c r="B1610" i="2"/>
  <c r="S1609" i="2"/>
  <c r="M1609" i="2"/>
  <c r="L1609" i="2"/>
  <c r="K1609" i="2"/>
  <c r="G1609" i="2"/>
  <c r="E1609" i="2"/>
  <c r="B1609" i="2"/>
  <c r="S1608" i="2"/>
  <c r="M1608" i="2"/>
  <c r="L1608" i="2"/>
  <c r="K1608" i="2"/>
  <c r="G1608" i="2"/>
  <c r="E1608" i="2"/>
  <c r="B1608" i="2"/>
  <c r="S1607" i="2"/>
  <c r="M1607" i="2"/>
  <c r="L1607" i="2"/>
  <c r="K1607" i="2"/>
  <c r="G1607" i="2"/>
  <c r="E1607" i="2"/>
  <c r="B1607" i="2"/>
  <c r="S1606" i="2"/>
  <c r="M1606" i="2"/>
  <c r="L1606" i="2"/>
  <c r="K1606" i="2"/>
  <c r="G1606" i="2"/>
  <c r="E1606" i="2"/>
  <c r="B1606" i="2"/>
  <c r="S1605" i="2"/>
  <c r="M1605" i="2"/>
  <c r="L1605" i="2"/>
  <c r="K1605" i="2"/>
  <c r="G1605" i="2"/>
  <c r="E1605" i="2"/>
  <c r="B1605" i="2"/>
  <c r="S1604" i="2"/>
  <c r="M1604" i="2"/>
  <c r="L1604" i="2"/>
  <c r="K1604" i="2"/>
  <c r="G1604" i="2"/>
  <c r="E1604" i="2"/>
  <c r="B1604" i="2"/>
  <c r="S1603" i="2"/>
  <c r="M1603" i="2"/>
  <c r="L1603" i="2"/>
  <c r="K1603" i="2"/>
  <c r="G1603" i="2"/>
  <c r="E1603" i="2"/>
  <c r="B1603" i="2"/>
  <c r="S1602" i="2"/>
  <c r="M1602" i="2"/>
  <c r="L1602" i="2"/>
  <c r="K1602" i="2"/>
  <c r="G1602" i="2"/>
  <c r="E1602" i="2"/>
  <c r="B1602" i="2"/>
  <c r="S1601" i="2"/>
  <c r="M1601" i="2"/>
  <c r="L1601" i="2"/>
  <c r="K1601" i="2"/>
  <c r="G1601" i="2"/>
  <c r="E1601" i="2"/>
  <c r="B1601" i="2"/>
  <c r="S1600" i="2"/>
  <c r="M1600" i="2"/>
  <c r="L1600" i="2"/>
  <c r="K1600" i="2"/>
  <c r="G1600" i="2"/>
  <c r="E1600" i="2"/>
  <c r="B1600" i="2"/>
  <c r="S1599" i="2"/>
  <c r="M1599" i="2"/>
  <c r="L1599" i="2"/>
  <c r="K1599" i="2"/>
  <c r="G1599" i="2"/>
  <c r="E1599" i="2"/>
  <c r="B1599" i="2"/>
  <c r="S1598" i="2"/>
  <c r="M1598" i="2"/>
  <c r="L1598" i="2"/>
  <c r="K1598" i="2"/>
  <c r="G1598" i="2"/>
  <c r="E1598" i="2"/>
  <c r="B1598" i="2"/>
  <c r="S1597" i="2"/>
  <c r="M1597" i="2"/>
  <c r="L1597" i="2"/>
  <c r="K1597" i="2"/>
  <c r="G1597" i="2"/>
  <c r="E1597" i="2"/>
  <c r="B1597" i="2"/>
  <c r="S1596" i="2"/>
  <c r="M1596" i="2"/>
  <c r="L1596" i="2"/>
  <c r="K1596" i="2"/>
  <c r="G1596" i="2"/>
  <c r="E1596" i="2"/>
  <c r="B1596" i="2"/>
  <c r="S1595" i="2"/>
  <c r="M1595" i="2"/>
  <c r="L1595" i="2"/>
  <c r="K1595" i="2"/>
  <c r="G1595" i="2"/>
  <c r="E1595" i="2"/>
  <c r="B1595" i="2"/>
  <c r="S1594" i="2"/>
  <c r="M1594" i="2"/>
  <c r="L1594" i="2"/>
  <c r="K1594" i="2"/>
  <c r="G1594" i="2"/>
  <c r="E1594" i="2"/>
  <c r="B1594" i="2"/>
  <c r="S1593" i="2"/>
  <c r="M1593" i="2"/>
  <c r="L1593" i="2"/>
  <c r="K1593" i="2"/>
  <c r="G1593" i="2"/>
  <c r="E1593" i="2"/>
  <c r="B1593" i="2"/>
  <c r="S1592" i="2"/>
  <c r="M1592" i="2"/>
  <c r="L1592" i="2"/>
  <c r="K1592" i="2"/>
  <c r="G1592" i="2"/>
  <c r="E1592" i="2"/>
  <c r="B1592" i="2"/>
  <c r="S1591" i="2"/>
  <c r="M1591" i="2"/>
  <c r="L1591" i="2"/>
  <c r="K1591" i="2"/>
  <c r="G1591" i="2"/>
  <c r="E1591" i="2"/>
  <c r="B1591" i="2"/>
  <c r="S1590" i="2"/>
  <c r="M1590" i="2"/>
  <c r="L1590" i="2"/>
  <c r="K1590" i="2"/>
  <c r="G1590" i="2"/>
  <c r="E1590" i="2"/>
  <c r="B1590" i="2"/>
  <c r="S1589" i="2"/>
  <c r="M1589" i="2"/>
  <c r="L1589" i="2"/>
  <c r="K1589" i="2"/>
  <c r="G1589" i="2"/>
  <c r="E1589" i="2"/>
  <c r="B1589" i="2"/>
  <c r="S1588" i="2"/>
  <c r="M1588" i="2"/>
  <c r="L1588" i="2"/>
  <c r="K1588" i="2"/>
  <c r="G1588" i="2"/>
  <c r="E1588" i="2"/>
  <c r="B1588" i="2"/>
  <c r="S1587" i="2"/>
  <c r="M1587" i="2"/>
  <c r="L1587" i="2"/>
  <c r="K1587" i="2"/>
  <c r="G1587" i="2"/>
  <c r="E1587" i="2"/>
  <c r="B1587" i="2"/>
  <c r="S1586" i="2"/>
  <c r="M1586" i="2"/>
  <c r="L1586" i="2"/>
  <c r="K1586" i="2"/>
  <c r="G1586" i="2"/>
  <c r="E1586" i="2"/>
  <c r="B1586" i="2"/>
  <c r="S1585" i="2"/>
  <c r="M1585" i="2"/>
  <c r="L1585" i="2"/>
  <c r="K1585" i="2"/>
  <c r="G1585" i="2"/>
  <c r="E1585" i="2"/>
  <c r="B1585" i="2"/>
  <c r="S1584" i="2"/>
  <c r="M1584" i="2"/>
  <c r="L1584" i="2"/>
  <c r="K1584" i="2"/>
  <c r="G1584" i="2"/>
  <c r="E1584" i="2"/>
  <c r="B1584" i="2"/>
  <c r="S1583" i="2"/>
  <c r="M1583" i="2"/>
  <c r="L1583" i="2"/>
  <c r="K1583" i="2"/>
  <c r="G1583" i="2"/>
  <c r="E1583" i="2"/>
  <c r="B1583" i="2"/>
  <c r="S1582" i="2"/>
  <c r="M1582" i="2"/>
  <c r="L1582" i="2"/>
  <c r="K1582" i="2"/>
  <c r="G1582" i="2"/>
  <c r="E1582" i="2"/>
  <c r="B1582" i="2"/>
  <c r="S1581" i="2"/>
  <c r="M1581" i="2"/>
  <c r="L1581" i="2"/>
  <c r="K1581" i="2"/>
  <c r="G1581" i="2"/>
  <c r="E1581" i="2"/>
  <c r="B1581" i="2"/>
  <c r="S1580" i="2"/>
  <c r="M1580" i="2"/>
  <c r="L1580" i="2"/>
  <c r="K1580" i="2"/>
  <c r="G1580" i="2"/>
  <c r="E1580" i="2"/>
  <c r="B1580" i="2"/>
  <c r="S1579" i="2"/>
  <c r="M1579" i="2"/>
  <c r="L1579" i="2"/>
  <c r="K1579" i="2"/>
  <c r="G1579" i="2"/>
  <c r="E1579" i="2"/>
  <c r="B1579" i="2"/>
  <c r="S1578" i="2"/>
  <c r="M1578" i="2"/>
  <c r="L1578" i="2"/>
  <c r="K1578" i="2"/>
  <c r="G1578" i="2"/>
  <c r="E1578" i="2"/>
  <c r="B1578" i="2"/>
  <c r="S1577" i="2"/>
  <c r="M1577" i="2"/>
  <c r="L1577" i="2"/>
  <c r="K1577" i="2"/>
  <c r="G1577" i="2"/>
  <c r="E1577" i="2"/>
  <c r="B1577" i="2"/>
  <c r="S1576" i="2"/>
  <c r="M1576" i="2"/>
  <c r="L1576" i="2"/>
  <c r="K1576" i="2"/>
  <c r="G1576" i="2"/>
  <c r="E1576" i="2"/>
  <c r="B1576" i="2"/>
  <c r="S1575" i="2"/>
  <c r="M1575" i="2"/>
  <c r="L1575" i="2"/>
  <c r="K1575" i="2"/>
  <c r="G1575" i="2"/>
  <c r="E1575" i="2"/>
  <c r="B1575" i="2"/>
  <c r="S1574" i="2"/>
  <c r="M1574" i="2"/>
  <c r="L1574" i="2"/>
  <c r="K1574" i="2"/>
  <c r="G1574" i="2"/>
  <c r="E1574" i="2"/>
  <c r="B1574" i="2"/>
  <c r="S1573" i="2"/>
  <c r="M1573" i="2"/>
  <c r="L1573" i="2"/>
  <c r="K1573" i="2"/>
  <c r="G1573" i="2"/>
  <c r="E1573" i="2"/>
  <c r="B1573" i="2"/>
  <c r="S1572" i="2"/>
  <c r="M1572" i="2"/>
  <c r="L1572" i="2"/>
  <c r="K1572" i="2"/>
  <c r="G1572" i="2"/>
  <c r="E1572" i="2"/>
  <c r="B1572" i="2"/>
  <c r="S1571" i="2"/>
  <c r="M1571" i="2"/>
  <c r="L1571" i="2"/>
  <c r="K1571" i="2"/>
  <c r="G1571" i="2"/>
  <c r="E1571" i="2"/>
  <c r="B1571" i="2"/>
  <c r="S1570" i="2"/>
  <c r="M1570" i="2"/>
  <c r="L1570" i="2"/>
  <c r="K1570" i="2"/>
  <c r="G1570" i="2"/>
  <c r="E1570" i="2"/>
  <c r="B1570" i="2"/>
  <c r="S1569" i="2"/>
  <c r="M1569" i="2"/>
  <c r="L1569" i="2"/>
  <c r="K1569" i="2"/>
  <c r="G1569" i="2"/>
  <c r="E1569" i="2"/>
  <c r="B1569" i="2"/>
  <c r="S1568" i="2"/>
  <c r="M1568" i="2"/>
  <c r="L1568" i="2"/>
  <c r="K1568" i="2"/>
  <c r="G1568" i="2"/>
  <c r="E1568" i="2"/>
  <c r="B1568" i="2"/>
  <c r="S1567" i="2"/>
  <c r="M1567" i="2"/>
  <c r="L1567" i="2"/>
  <c r="K1567" i="2"/>
  <c r="G1567" i="2"/>
  <c r="E1567" i="2"/>
  <c r="B1567" i="2"/>
  <c r="S1566" i="2"/>
  <c r="M1566" i="2"/>
  <c r="L1566" i="2"/>
  <c r="K1566" i="2"/>
  <c r="G1566" i="2"/>
  <c r="E1566" i="2"/>
  <c r="B1566" i="2"/>
  <c r="S1565" i="2"/>
  <c r="M1565" i="2"/>
  <c r="L1565" i="2"/>
  <c r="K1565" i="2"/>
  <c r="G1565" i="2"/>
  <c r="E1565" i="2"/>
  <c r="B1565" i="2"/>
  <c r="S1564" i="2"/>
  <c r="M1564" i="2"/>
  <c r="L1564" i="2"/>
  <c r="K1564" i="2"/>
  <c r="G1564" i="2"/>
  <c r="E1564" i="2"/>
  <c r="B1564" i="2"/>
  <c r="S1563" i="2"/>
  <c r="M1563" i="2"/>
  <c r="L1563" i="2"/>
  <c r="K1563" i="2"/>
  <c r="G1563" i="2"/>
  <c r="E1563" i="2"/>
  <c r="B1563" i="2"/>
  <c r="S1562" i="2"/>
  <c r="M1562" i="2"/>
  <c r="L1562" i="2"/>
  <c r="K1562" i="2"/>
  <c r="G1562" i="2"/>
  <c r="E1562" i="2"/>
  <c r="B1562" i="2"/>
  <c r="S1561" i="2"/>
  <c r="M1561" i="2"/>
  <c r="L1561" i="2"/>
  <c r="K1561" i="2"/>
  <c r="G1561" i="2"/>
  <c r="E1561" i="2"/>
  <c r="B1561" i="2"/>
  <c r="S1560" i="2"/>
  <c r="M1560" i="2"/>
  <c r="L1560" i="2"/>
  <c r="K1560" i="2"/>
  <c r="G1560" i="2"/>
  <c r="E1560" i="2"/>
  <c r="B1560" i="2"/>
  <c r="S1559" i="2"/>
  <c r="M1559" i="2"/>
  <c r="L1559" i="2"/>
  <c r="K1559" i="2"/>
  <c r="G1559" i="2"/>
  <c r="E1559" i="2"/>
  <c r="B1559" i="2"/>
  <c r="S1558" i="2"/>
  <c r="M1558" i="2"/>
  <c r="L1558" i="2"/>
  <c r="K1558" i="2"/>
  <c r="G1558" i="2"/>
  <c r="E1558" i="2"/>
  <c r="B1558" i="2"/>
  <c r="S1557" i="2"/>
  <c r="M1557" i="2"/>
  <c r="L1557" i="2"/>
  <c r="K1557" i="2"/>
  <c r="G1557" i="2"/>
  <c r="E1557" i="2"/>
  <c r="B1557" i="2"/>
  <c r="S1556" i="2"/>
  <c r="M1556" i="2"/>
  <c r="L1556" i="2"/>
  <c r="K1556" i="2"/>
  <c r="G1556" i="2"/>
  <c r="E1556" i="2"/>
  <c r="B1556" i="2"/>
  <c r="S1555" i="2"/>
  <c r="M1555" i="2"/>
  <c r="L1555" i="2"/>
  <c r="K1555" i="2"/>
  <c r="G1555" i="2"/>
  <c r="E1555" i="2"/>
  <c r="B1555" i="2"/>
  <c r="S1554" i="2"/>
  <c r="M1554" i="2"/>
  <c r="L1554" i="2"/>
  <c r="K1554" i="2"/>
  <c r="G1554" i="2"/>
  <c r="E1554" i="2"/>
  <c r="B1554" i="2"/>
  <c r="S1553" i="2"/>
  <c r="M1553" i="2"/>
  <c r="L1553" i="2"/>
  <c r="K1553" i="2"/>
  <c r="G1553" i="2"/>
  <c r="E1553" i="2"/>
  <c r="B1553" i="2"/>
  <c r="S1552" i="2"/>
  <c r="M1552" i="2"/>
  <c r="L1552" i="2"/>
  <c r="K1552" i="2"/>
  <c r="G1552" i="2"/>
  <c r="E1552" i="2"/>
  <c r="B1552" i="2"/>
  <c r="S1551" i="2"/>
  <c r="M1551" i="2"/>
  <c r="L1551" i="2"/>
  <c r="K1551" i="2"/>
  <c r="G1551" i="2"/>
  <c r="E1551" i="2"/>
  <c r="B1551" i="2"/>
  <c r="S1550" i="2"/>
  <c r="M1550" i="2"/>
  <c r="L1550" i="2"/>
  <c r="K1550" i="2"/>
  <c r="G1550" i="2"/>
  <c r="E1550" i="2"/>
  <c r="B1550" i="2"/>
  <c r="S1549" i="2"/>
  <c r="M1549" i="2"/>
  <c r="L1549" i="2"/>
  <c r="K1549" i="2"/>
  <c r="G1549" i="2"/>
  <c r="E1549" i="2"/>
  <c r="B1549" i="2"/>
  <c r="S1548" i="2"/>
  <c r="M1548" i="2"/>
  <c r="L1548" i="2"/>
  <c r="K1548" i="2"/>
  <c r="G1548" i="2"/>
  <c r="E1548" i="2"/>
  <c r="B1548" i="2"/>
  <c r="S1547" i="2"/>
  <c r="M1547" i="2"/>
  <c r="L1547" i="2"/>
  <c r="K1547" i="2"/>
  <c r="G1547" i="2"/>
  <c r="E1547" i="2"/>
  <c r="B1547" i="2"/>
  <c r="S1546" i="2"/>
  <c r="M1546" i="2"/>
  <c r="L1546" i="2"/>
  <c r="K1546" i="2"/>
  <c r="G1546" i="2"/>
  <c r="E1546" i="2"/>
  <c r="B1546" i="2"/>
  <c r="S1545" i="2"/>
  <c r="M1545" i="2"/>
  <c r="L1545" i="2"/>
  <c r="K1545" i="2"/>
  <c r="G1545" i="2"/>
  <c r="E1545" i="2"/>
  <c r="B1545" i="2"/>
  <c r="S1544" i="2"/>
  <c r="M1544" i="2"/>
  <c r="L1544" i="2"/>
  <c r="K1544" i="2"/>
  <c r="G1544" i="2"/>
  <c r="E1544" i="2"/>
  <c r="B1544" i="2"/>
  <c r="S1543" i="2"/>
  <c r="M1543" i="2"/>
  <c r="L1543" i="2"/>
  <c r="K1543" i="2"/>
  <c r="G1543" i="2"/>
  <c r="E1543" i="2"/>
  <c r="B1543" i="2"/>
  <c r="S1542" i="2"/>
  <c r="M1542" i="2"/>
  <c r="L1542" i="2"/>
  <c r="K1542" i="2"/>
  <c r="G1542" i="2"/>
  <c r="E1542" i="2"/>
  <c r="B1542" i="2"/>
  <c r="S1541" i="2"/>
  <c r="M1541" i="2"/>
  <c r="L1541" i="2"/>
  <c r="K1541" i="2"/>
  <c r="G1541" i="2"/>
  <c r="E1541" i="2"/>
  <c r="B1541" i="2"/>
  <c r="S1540" i="2"/>
  <c r="M1540" i="2"/>
  <c r="L1540" i="2"/>
  <c r="K1540" i="2"/>
  <c r="G1540" i="2"/>
  <c r="E1540" i="2"/>
  <c r="B1540" i="2"/>
  <c r="S1539" i="2"/>
  <c r="M1539" i="2"/>
  <c r="L1539" i="2"/>
  <c r="K1539" i="2"/>
  <c r="G1539" i="2"/>
  <c r="E1539" i="2"/>
  <c r="B1539" i="2"/>
  <c r="S1538" i="2"/>
  <c r="M1538" i="2"/>
  <c r="L1538" i="2"/>
  <c r="K1538" i="2"/>
  <c r="G1538" i="2"/>
  <c r="E1538" i="2"/>
  <c r="B1538" i="2"/>
  <c r="S1537" i="2"/>
  <c r="M1537" i="2"/>
  <c r="L1537" i="2"/>
  <c r="K1537" i="2"/>
  <c r="G1537" i="2"/>
  <c r="E1537" i="2"/>
  <c r="B1537" i="2"/>
  <c r="S1535" i="2"/>
  <c r="M1535" i="2"/>
  <c r="L1535" i="2"/>
  <c r="K1535" i="2"/>
  <c r="G1535" i="2"/>
  <c r="E1535" i="2"/>
  <c r="B1535" i="2"/>
  <c r="S1534" i="2"/>
  <c r="M1534" i="2"/>
  <c r="L1534" i="2"/>
  <c r="K1534" i="2"/>
  <c r="G1534" i="2"/>
  <c r="E1534" i="2"/>
  <c r="B1534" i="2"/>
  <c r="S1533" i="2"/>
  <c r="M1533" i="2"/>
  <c r="L1533" i="2"/>
  <c r="K1533" i="2"/>
  <c r="G1533" i="2"/>
  <c r="E1533" i="2"/>
  <c r="B1533" i="2"/>
  <c r="S1532" i="2"/>
  <c r="M1532" i="2"/>
  <c r="L1532" i="2"/>
  <c r="K1532" i="2"/>
  <c r="G1532" i="2"/>
  <c r="E1532" i="2"/>
  <c r="B1532" i="2"/>
  <c r="S1531" i="2"/>
  <c r="M1531" i="2"/>
  <c r="L1531" i="2"/>
  <c r="K1531" i="2"/>
  <c r="G1531" i="2"/>
  <c r="E1531" i="2"/>
  <c r="B1531" i="2"/>
  <c r="S1530" i="2"/>
  <c r="M1530" i="2"/>
  <c r="L1530" i="2"/>
  <c r="K1530" i="2"/>
  <c r="G1530" i="2"/>
  <c r="E1530" i="2"/>
  <c r="B1530" i="2"/>
  <c r="S1529" i="2"/>
  <c r="M1529" i="2"/>
  <c r="L1529" i="2"/>
  <c r="K1529" i="2"/>
  <c r="G1529" i="2"/>
  <c r="E1529" i="2"/>
  <c r="B1529" i="2"/>
  <c r="S1528" i="2"/>
  <c r="M1528" i="2"/>
  <c r="L1528" i="2"/>
  <c r="K1528" i="2"/>
  <c r="G1528" i="2"/>
  <c r="E1528" i="2"/>
  <c r="B1528" i="2"/>
  <c r="S1527" i="2"/>
  <c r="M1527" i="2"/>
  <c r="L1527" i="2"/>
  <c r="K1527" i="2"/>
  <c r="G1527" i="2"/>
  <c r="E1527" i="2"/>
  <c r="B1527" i="2"/>
  <c r="S1526" i="2"/>
  <c r="M1526" i="2"/>
  <c r="L1526" i="2"/>
  <c r="K1526" i="2"/>
  <c r="G1526" i="2"/>
  <c r="E1526" i="2"/>
  <c r="B1526" i="2"/>
  <c r="S1525" i="2"/>
  <c r="M1525" i="2"/>
  <c r="L1525" i="2"/>
  <c r="K1525" i="2"/>
  <c r="G1525" i="2"/>
  <c r="E1525" i="2"/>
  <c r="B1525" i="2"/>
  <c r="S1524" i="2"/>
  <c r="M1524" i="2"/>
  <c r="L1524" i="2"/>
  <c r="K1524" i="2"/>
  <c r="G1524" i="2"/>
  <c r="E1524" i="2"/>
  <c r="B1524" i="2"/>
  <c r="S1523" i="2"/>
  <c r="M1523" i="2"/>
  <c r="L1523" i="2"/>
  <c r="K1523" i="2"/>
  <c r="G1523" i="2"/>
  <c r="E1523" i="2"/>
  <c r="B1523" i="2"/>
  <c r="S1522" i="2"/>
  <c r="M1522" i="2"/>
  <c r="L1522" i="2"/>
  <c r="K1522" i="2"/>
  <c r="G1522" i="2"/>
  <c r="E1522" i="2"/>
  <c r="B1522" i="2"/>
  <c r="S1521" i="2"/>
  <c r="M1521" i="2"/>
  <c r="L1521" i="2"/>
  <c r="K1521" i="2"/>
  <c r="G1521" i="2"/>
  <c r="E1521" i="2"/>
  <c r="B1521" i="2"/>
  <c r="S1520" i="2"/>
  <c r="M1520" i="2"/>
  <c r="L1520" i="2"/>
  <c r="K1520" i="2"/>
  <c r="G1520" i="2"/>
  <c r="E1520" i="2"/>
  <c r="B1520" i="2"/>
  <c r="S1519" i="2"/>
  <c r="M1519" i="2"/>
  <c r="L1519" i="2"/>
  <c r="K1519" i="2"/>
  <c r="G1519" i="2"/>
  <c r="E1519" i="2"/>
  <c r="B1519" i="2"/>
  <c r="S1518" i="2"/>
  <c r="M1518" i="2"/>
  <c r="L1518" i="2"/>
  <c r="K1518" i="2"/>
  <c r="G1518" i="2"/>
  <c r="E1518" i="2"/>
  <c r="B1518" i="2"/>
  <c r="S1517" i="2"/>
  <c r="M1517" i="2"/>
  <c r="L1517" i="2"/>
  <c r="K1517" i="2"/>
  <c r="G1517" i="2"/>
  <c r="E1517" i="2"/>
  <c r="B1517" i="2"/>
  <c r="S1516" i="2"/>
  <c r="M1516" i="2"/>
  <c r="L1516" i="2"/>
  <c r="K1516" i="2"/>
  <c r="G1516" i="2"/>
  <c r="E1516" i="2"/>
  <c r="B1516" i="2"/>
  <c r="S1515" i="2"/>
  <c r="M1515" i="2"/>
  <c r="L1515" i="2"/>
  <c r="K1515" i="2"/>
  <c r="G1515" i="2"/>
  <c r="E1515" i="2"/>
  <c r="B1515" i="2"/>
  <c r="S1514" i="2"/>
  <c r="M1514" i="2"/>
  <c r="L1514" i="2"/>
  <c r="K1514" i="2"/>
  <c r="G1514" i="2"/>
  <c r="E1514" i="2"/>
  <c r="B1514" i="2"/>
  <c r="S1513" i="2"/>
  <c r="M1513" i="2"/>
  <c r="L1513" i="2"/>
  <c r="K1513" i="2"/>
  <c r="G1513" i="2"/>
  <c r="E1513" i="2"/>
  <c r="B1513" i="2"/>
  <c r="S1512" i="2"/>
  <c r="M1512" i="2"/>
  <c r="L1512" i="2"/>
  <c r="K1512" i="2"/>
  <c r="G1512" i="2"/>
  <c r="E1512" i="2"/>
  <c r="B1512" i="2"/>
  <c r="S1511" i="2"/>
  <c r="M1511" i="2"/>
  <c r="L1511" i="2"/>
  <c r="K1511" i="2"/>
  <c r="G1511" i="2"/>
  <c r="E1511" i="2"/>
  <c r="B1511" i="2"/>
  <c r="S1510" i="2"/>
  <c r="M1510" i="2"/>
  <c r="L1510" i="2"/>
  <c r="K1510" i="2"/>
  <c r="G1510" i="2"/>
  <c r="E1510" i="2"/>
  <c r="B1510" i="2"/>
  <c r="S1509" i="2"/>
  <c r="M1509" i="2"/>
  <c r="L1509" i="2"/>
  <c r="K1509" i="2"/>
  <c r="G1509" i="2"/>
  <c r="E1509" i="2"/>
  <c r="B1509" i="2"/>
  <c r="S1508" i="2"/>
  <c r="M1508" i="2"/>
  <c r="L1508" i="2"/>
  <c r="K1508" i="2"/>
  <c r="G1508" i="2"/>
  <c r="E1508" i="2"/>
  <c r="B1508" i="2"/>
  <c r="S1507" i="2"/>
  <c r="M1507" i="2"/>
  <c r="L1507" i="2"/>
  <c r="K1507" i="2"/>
  <c r="G1507" i="2"/>
  <c r="E1507" i="2"/>
  <c r="B1507" i="2"/>
  <c r="S1506" i="2"/>
  <c r="M1506" i="2"/>
  <c r="L1506" i="2"/>
  <c r="K1506" i="2"/>
  <c r="G1506" i="2"/>
  <c r="E1506" i="2"/>
  <c r="B1506" i="2"/>
  <c r="S1505" i="2"/>
  <c r="M1505" i="2"/>
  <c r="L1505" i="2"/>
  <c r="K1505" i="2"/>
  <c r="G1505" i="2"/>
  <c r="E1505" i="2"/>
  <c r="B1505" i="2"/>
  <c r="S1504" i="2"/>
  <c r="M1504" i="2"/>
  <c r="L1504" i="2"/>
  <c r="K1504" i="2"/>
  <c r="G1504" i="2"/>
  <c r="E1504" i="2"/>
  <c r="B1504" i="2"/>
  <c r="S1503" i="2"/>
  <c r="M1503" i="2"/>
  <c r="L1503" i="2"/>
  <c r="K1503" i="2"/>
  <c r="G1503" i="2"/>
  <c r="E1503" i="2"/>
  <c r="B1503" i="2"/>
  <c r="S1502" i="2"/>
  <c r="M1502" i="2"/>
  <c r="L1502" i="2"/>
  <c r="K1502" i="2"/>
  <c r="G1502" i="2"/>
  <c r="E1502" i="2"/>
  <c r="B1502" i="2"/>
  <c r="S1501" i="2"/>
  <c r="M1501" i="2"/>
  <c r="L1501" i="2"/>
  <c r="K1501" i="2"/>
  <c r="G1501" i="2"/>
  <c r="E1501" i="2"/>
  <c r="B1501" i="2"/>
  <c r="S1500" i="2"/>
  <c r="M1500" i="2"/>
  <c r="L1500" i="2"/>
  <c r="K1500" i="2"/>
  <c r="G1500" i="2"/>
  <c r="E1500" i="2"/>
  <c r="B1500" i="2"/>
  <c r="S1499" i="2"/>
  <c r="M1499" i="2"/>
  <c r="L1499" i="2"/>
  <c r="K1499" i="2"/>
  <c r="G1499" i="2"/>
  <c r="E1499" i="2"/>
  <c r="B1499" i="2"/>
  <c r="S1498" i="2"/>
  <c r="M1498" i="2"/>
  <c r="L1498" i="2"/>
  <c r="K1498" i="2"/>
  <c r="G1498" i="2"/>
  <c r="E1498" i="2"/>
  <c r="B1498" i="2"/>
  <c r="S1497" i="2"/>
  <c r="M1497" i="2"/>
  <c r="L1497" i="2"/>
  <c r="K1497" i="2"/>
  <c r="G1497" i="2"/>
  <c r="E1497" i="2"/>
  <c r="B1497" i="2"/>
  <c r="S1496" i="2"/>
  <c r="M1496" i="2"/>
  <c r="L1496" i="2"/>
  <c r="K1496" i="2"/>
  <c r="G1496" i="2"/>
  <c r="E1496" i="2"/>
  <c r="B1496" i="2"/>
  <c r="S1495" i="2"/>
  <c r="M1495" i="2"/>
  <c r="L1495" i="2"/>
  <c r="K1495" i="2"/>
  <c r="G1495" i="2"/>
  <c r="E1495" i="2"/>
  <c r="B1495" i="2"/>
  <c r="S1494" i="2"/>
  <c r="M1494" i="2"/>
  <c r="L1494" i="2"/>
  <c r="K1494" i="2"/>
  <c r="G1494" i="2"/>
  <c r="E1494" i="2"/>
  <c r="B1494" i="2"/>
  <c r="S1493" i="2"/>
  <c r="M1493" i="2"/>
  <c r="L1493" i="2"/>
  <c r="K1493" i="2"/>
  <c r="G1493" i="2"/>
  <c r="E1493" i="2"/>
  <c r="B1493" i="2"/>
  <c r="S1492" i="2"/>
  <c r="M1492" i="2"/>
  <c r="L1492" i="2"/>
  <c r="K1492" i="2"/>
  <c r="G1492" i="2"/>
  <c r="E1492" i="2"/>
  <c r="B1492" i="2"/>
  <c r="S1491" i="2"/>
  <c r="M1491" i="2"/>
  <c r="L1491" i="2"/>
  <c r="K1491" i="2"/>
  <c r="G1491" i="2"/>
  <c r="E1491" i="2"/>
  <c r="B1491" i="2"/>
  <c r="S1490" i="2"/>
  <c r="M1490" i="2"/>
  <c r="L1490" i="2"/>
  <c r="K1490" i="2"/>
  <c r="G1490" i="2"/>
  <c r="E1490" i="2"/>
  <c r="B1490" i="2"/>
  <c r="S1489" i="2"/>
  <c r="M1489" i="2"/>
  <c r="L1489" i="2"/>
  <c r="K1489" i="2"/>
  <c r="G1489" i="2"/>
  <c r="E1489" i="2"/>
  <c r="B1489" i="2"/>
  <c r="S1488" i="2"/>
  <c r="M1488" i="2"/>
  <c r="L1488" i="2"/>
  <c r="K1488" i="2"/>
  <c r="G1488" i="2"/>
  <c r="E1488" i="2"/>
  <c r="B1488" i="2"/>
  <c r="S1487" i="2"/>
  <c r="M1487" i="2"/>
  <c r="L1487" i="2"/>
  <c r="K1487" i="2"/>
  <c r="G1487" i="2"/>
  <c r="E1487" i="2"/>
  <c r="B1487" i="2"/>
  <c r="S1486" i="2"/>
  <c r="M1486" i="2"/>
  <c r="L1486" i="2"/>
  <c r="K1486" i="2"/>
  <c r="G1486" i="2"/>
  <c r="E1486" i="2"/>
  <c r="B1486" i="2"/>
  <c r="S1485" i="2"/>
  <c r="M1485" i="2"/>
  <c r="L1485" i="2"/>
  <c r="K1485" i="2"/>
  <c r="G1485" i="2"/>
  <c r="E1485" i="2"/>
  <c r="B1485" i="2"/>
  <c r="S1484" i="2"/>
  <c r="M1484" i="2"/>
  <c r="L1484" i="2"/>
  <c r="K1484" i="2"/>
  <c r="G1484" i="2"/>
  <c r="E1484" i="2"/>
  <c r="B1484" i="2"/>
  <c r="S1483" i="2"/>
  <c r="M1483" i="2"/>
  <c r="L1483" i="2"/>
  <c r="K1483" i="2"/>
  <c r="G1483" i="2"/>
  <c r="E1483" i="2"/>
  <c r="B1483" i="2"/>
  <c r="S1482" i="2"/>
  <c r="M1482" i="2"/>
  <c r="L1482" i="2"/>
  <c r="K1482" i="2"/>
  <c r="G1482" i="2"/>
  <c r="E1482" i="2"/>
  <c r="B1482" i="2"/>
  <c r="S1481" i="2"/>
  <c r="M1481" i="2"/>
  <c r="L1481" i="2"/>
  <c r="K1481" i="2"/>
  <c r="G1481" i="2"/>
  <c r="E1481" i="2"/>
  <c r="B1481" i="2"/>
  <c r="S1480" i="2"/>
  <c r="M1480" i="2"/>
  <c r="L1480" i="2"/>
  <c r="K1480" i="2"/>
  <c r="G1480" i="2"/>
  <c r="E1480" i="2"/>
  <c r="B1480" i="2"/>
  <c r="S1479" i="2"/>
  <c r="M1479" i="2"/>
  <c r="L1479" i="2"/>
  <c r="K1479" i="2"/>
  <c r="G1479" i="2"/>
  <c r="E1479" i="2"/>
  <c r="B1479" i="2"/>
  <c r="S1478" i="2"/>
  <c r="M1478" i="2"/>
  <c r="L1478" i="2"/>
  <c r="K1478" i="2"/>
  <c r="G1478" i="2"/>
  <c r="E1478" i="2"/>
  <c r="B1478" i="2"/>
  <c r="S1477" i="2"/>
  <c r="M1477" i="2"/>
  <c r="L1477" i="2"/>
  <c r="K1477" i="2"/>
  <c r="G1477" i="2"/>
  <c r="E1477" i="2"/>
  <c r="B1477" i="2"/>
  <c r="S1476" i="2"/>
  <c r="M1476" i="2"/>
  <c r="L1476" i="2"/>
  <c r="K1476" i="2"/>
  <c r="G1476" i="2"/>
  <c r="E1476" i="2"/>
  <c r="B1476" i="2"/>
  <c r="S1475" i="2"/>
  <c r="M1475" i="2"/>
  <c r="L1475" i="2"/>
  <c r="K1475" i="2"/>
  <c r="G1475" i="2"/>
  <c r="E1475" i="2"/>
  <c r="B1475" i="2"/>
  <c r="S1474" i="2"/>
  <c r="M1474" i="2"/>
  <c r="L1474" i="2"/>
  <c r="K1474" i="2"/>
  <c r="G1474" i="2"/>
  <c r="E1474" i="2"/>
  <c r="B1474" i="2"/>
  <c r="S1473" i="2"/>
  <c r="M1473" i="2"/>
  <c r="L1473" i="2"/>
  <c r="K1473" i="2"/>
  <c r="G1473" i="2"/>
  <c r="E1473" i="2"/>
  <c r="B1473" i="2"/>
  <c r="S1472" i="2"/>
  <c r="M1472" i="2"/>
  <c r="L1472" i="2"/>
  <c r="K1472" i="2"/>
  <c r="G1472" i="2"/>
  <c r="E1472" i="2"/>
  <c r="B1472" i="2"/>
  <c r="S1471" i="2"/>
  <c r="M1471" i="2"/>
  <c r="L1471" i="2"/>
  <c r="K1471" i="2"/>
  <c r="G1471" i="2"/>
  <c r="E1471" i="2"/>
  <c r="B1471" i="2"/>
  <c r="S1470" i="2"/>
  <c r="M1470" i="2"/>
  <c r="L1470" i="2"/>
  <c r="K1470" i="2"/>
  <c r="G1470" i="2"/>
  <c r="E1470" i="2"/>
  <c r="B1470" i="2"/>
  <c r="S1469" i="2"/>
  <c r="M1469" i="2"/>
  <c r="L1469" i="2"/>
  <c r="K1469" i="2"/>
  <c r="G1469" i="2"/>
  <c r="E1469" i="2"/>
  <c r="B1469" i="2"/>
  <c r="S1468" i="2"/>
  <c r="M1468" i="2"/>
  <c r="L1468" i="2"/>
  <c r="K1468" i="2"/>
  <c r="G1468" i="2"/>
  <c r="E1468" i="2"/>
  <c r="B1468" i="2"/>
  <c r="S1467" i="2"/>
  <c r="M1467" i="2"/>
  <c r="L1467" i="2"/>
  <c r="K1467" i="2"/>
  <c r="G1467" i="2"/>
  <c r="E1467" i="2"/>
  <c r="B1467" i="2"/>
  <c r="S1466" i="2"/>
  <c r="M1466" i="2"/>
  <c r="L1466" i="2"/>
  <c r="K1466" i="2"/>
  <c r="G1466" i="2"/>
  <c r="E1466" i="2"/>
  <c r="B1466" i="2"/>
  <c r="S1465" i="2"/>
  <c r="M1465" i="2"/>
  <c r="L1465" i="2"/>
  <c r="K1465" i="2"/>
  <c r="G1465" i="2"/>
  <c r="E1465" i="2"/>
  <c r="B1465" i="2"/>
  <c r="S1464" i="2"/>
  <c r="M1464" i="2"/>
  <c r="L1464" i="2"/>
  <c r="K1464" i="2"/>
  <c r="G1464" i="2"/>
  <c r="E1464" i="2"/>
  <c r="B1464" i="2"/>
  <c r="S1463" i="2"/>
  <c r="M1463" i="2"/>
  <c r="L1463" i="2"/>
  <c r="K1463" i="2"/>
  <c r="G1463" i="2"/>
  <c r="E1463" i="2"/>
  <c r="B1463" i="2"/>
  <c r="S1462" i="2"/>
  <c r="M1462" i="2"/>
  <c r="L1462" i="2"/>
  <c r="K1462" i="2"/>
  <c r="G1462" i="2"/>
  <c r="E1462" i="2"/>
  <c r="B1462" i="2"/>
  <c r="S1461" i="2"/>
  <c r="M1461" i="2"/>
  <c r="L1461" i="2"/>
  <c r="K1461" i="2"/>
  <c r="G1461" i="2"/>
  <c r="E1461" i="2"/>
  <c r="B1461" i="2"/>
  <c r="S1460" i="2"/>
  <c r="M1460" i="2"/>
  <c r="L1460" i="2"/>
  <c r="K1460" i="2"/>
  <c r="G1460" i="2"/>
  <c r="E1460" i="2"/>
  <c r="B1460" i="2"/>
  <c r="S1459" i="2"/>
  <c r="M1459" i="2"/>
  <c r="L1459" i="2"/>
  <c r="K1459" i="2"/>
  <c r="G1459" i="2"/>
  <c r="E1459" i="2"/>
  <c r="B1459" i="2"/>
  <c r="S1458" i="2"/>
  <c r="M1458" i="2"/>
  <c r="L1458" i="2"/>
  <c r="K1458" i="2"/>
  <c r="G1458" i="2"/>
  <c r="E1458" i="2"/>
  <c r="B1458" i="2"/>
  <c r="S1457" i="2"/>
  <c r="M1457" i="2"/>
  <c r="L1457" i="2"/>
  <c r="K1457" i="2"/>
  <c r="G1457" i="2"/>
  <c r="E1457" i="2"/>
  <c r="B1457" i="2"/>
  <c r="S1456" i="2"/>
  <c r="M1456" i="2"/>
  <c r="L1456" i="2"/>
  <c r="K1456" i="2"/>
  <c r="G1456" i="2"/>
  <c r="E1456" i="2"/>
  <c r="B1456" i="2"/>
  <c r="S1455" i="2"/>
  <c r="M1455" i="2"/>
  <c r="L1455" i="2"/>
  <c r="K1455" i="2"/>
  <c r="G1455" i="2"/>
  <c r="E1455" i="2"/>
  <c r="B1455" i="2"/>
  <c r="S1454" i="2"/>
  <c r="M1454" i="2"/>
  <c r="L1454" i="2"/>
  <c r="K1454" i="2"/>
  <c r="G1454" i="2"/>
  <c r="E1454" i="2"/>
  <c r="B1454" i="2"/>
  <c r="S1453" i="2"/>
  <c r="M1453" i="2"/>
  <c r="L1453" i="2"/>
  <c r="K1453" i="2"/>
  <c r="G1453" i="2"/>
  <c r="E1453" i="2"/>
  <c r="B1453" i="2"/>
  <c r="S1452" i="2"/>
  <c r="M1452" i="2"/>
  <c r="L1452" i="2"/>
  <c r="K1452" i="2"/>
  <c r="G1452" i="2"/>
  <c r="E1452" i="2"/>
  <c r="B1452" i="2"/>
  <c r="S1451" i="2"/>
  <c r="M1451" i="2"/>
  <c r="L1451" i="2"/>
  <c r="K1451" i="2"/>
  <c r="G1451" i="2"/>
  <c r="E1451" i="2"/>
  <c r="B1451" i="2"/>
  <c r="S1450" i="2"/>
  <c r="M1450" i="2"/>
  <c r="L1450" i="2"/>
  <c r="K1450" i="2"/>
  <c r="G1450" i="2"/>
  <c r="E1450" i="2"/>
  <c r="B1450" i="2"/>
  <c r="S1449" i="2"/>
  <c r="M1449" i="2"/>
  <c r="L1449" i="2"/>
  <c r="K1449" i="2"/>
  <c r="G1449" i="2"/>
  <c r="E1449" i="2"/>
  <c r="B1449" i="2"/>
  <c r="S1448" i="2"/>
  <c r="M1448" i="2"/>
  <c r="L1448" i="2"/>
  <c r="K1448" i="2"/>
  <c r="G1448" i="2"/>
  <c r="E1448" i="2"/>
  <c r="B1448" i="2"/>
  <c r="S1447" i="2"/>
  <c r="M1447" i="2"/>
  <c r="L1447" i="2"/>
  <c r="K1447" i="2"/>
  <c r="G1447" i="2"/>
  <c r="E1447" i="2"/>
  <c r="B1447" i="2"/>
  <c r="S1446" i="2"/>
  <c r="M1446" i="2"/>
  <c r="L1446" i="2"/>
  <c r="K1446" i="2"/>
  <c r="G1446" i="2"/>
  <c r="E1446" i="2"/>
  <c r="B1446" i="2"/>
  <c r="S1445" i="2"/>
  <c r="M1445" i="2"/>
  <c r="L1445" i="2"/>
  <c r="K1445" i="2"/>
  <c r="G1445" i="2"/>
  <c r="E1445" i="2"/>
  <c r="B1445" i="2"/>
  <c r="S1444" i="2"/>
  <c r="M1444" i="2"/>
  <c r="L1444" i="2"/>
  <c r="K1444" i="2"/>
  <c r="G1444" i="2"/>
  <c r="E1444" i="2"/>
  <c r="B1444" i="2"/>
  <c r="S1443" i="2"/>
  <c r="M1443" i="2"/>
  <c r="L1443" i="2"/>
  <c r="K1443" i="2"/>
  <c r="G1443" i="2"/>
  <c r="E1443" i="2"/>
  <c r="B1443" i="2"/>
  <c r="S1442" i="2"/>
  <c r="M1442" i="2"/>
  <c r="L1442" i="2"/>
  <c r="K1442" i="2"/>
  <c r="G1442" i="2"/>
  <c r="E1442" i="2"/>
  <c r="B1442" i="2"/>
  <c r="S1441" i="2"/>
  <c r="M1441" i="2"/>
  <c r="L1441" i="2"/>
  <c r="K1441" i="2"/>
  <c r="G1441" i="2"/>
  <c r="E1441" i="2"/>
  <c r="B1441" i="2"/>
  <c r="S1440" i="2"/>
  <c r="M1440" i="2"/>
  <c r="L1440" i="2"/>
  <c r="K1440" i="2"/>
  <c r="G1440" i="2"/>
  <c r="E1440" i="2"/>
  <c r="B1440" i="2"/>
  <c r="S1439" i="2"/>
  <c r="M1439" i="2"/>
  <c r="L1439" i="2"/>
  <c r="K1439" i="2"/>
  <c r="G1439" i="2"/>
  <c r="E1439" i="2"/>
  <c r="B1439" i="2"/>
  <c r="S1438" i="2"/>
  <c r="M1438" i="2"/>
  <c r="L1438" i="2"/>
  <c r="K1438" i="2"/>
  <c r="G1438" i="2"/>
  <c r="E1438" i="2"/>
  <c r="B1438" i="2"/>
  <c r="S1437" i="2"/>
  <c r="M1437" i="2"/>
  <c r="L1437" i="2"/>
  <c r="K1437" i="2"/>
  <c r="G1437" i="2"/>
  <c r="E1437" i="2"/>
  <c r="B1437" i="2"/>
  <c r="S1436" i="2"/>
  <c r="M1436" i="2"/>
  <c r="L1436" i="2"/>
  <c r="K1436" i="2"/>
  <c r="G1436" i="2"/>
  <c r="E1436" i="2"/>
  <c r="B1436" i="2"/>
  <c r="S1435" i="2"/>
  <c r="M1435" i="2"/>
  <c r="L1435" i="2"/>
  <c r="K1435" i="2"/>
  <c r="G1435" i="2"/>
  <c r="E1435" i="2"/>
  <c r="B1435" i="2"/>
  <c r="S1434" i="2"/>
  <c r="M1434" i="2"/>
  <c r="L1434" i="2"/>
  <c r="K1434" i="2"/>
  <c r="G1434" i="2"/>
  <c r="E1434" i="2"/>
  <c r="B1434" i="2"/>
  <c r="S1433" i="2"/>
  <c r="M1433" i="2"/>
  <c r="L1433" i="2"/>
  <c r="K1433" i="2"/>
  <c r="G1433" i="2"/>
  <c r="E1433" i="2"/>
  <c r="B1433" i="2"/>
  <c r="S1432" i="2"/>
  <c r="M1432" i="2"/>
  <c r="L1432" i="2"/>
  <c r="K1432" i="2"/>
  <c r="G1432" i="2"/>
  <c r="E1432" i="2"/>
  <c r="B1432" i="2"/>
  <c r="S1431" i="2"/>
  <c r="M1431" i="2"/>
  <c r="L1431" i="2"/>
  <c r="K1431" i="2"/>
  <c r="G1431" i="2"/>
  <c r="E1431" i="2"/>
  <c r="B1431" i="2"/>
  <c r="S1430" i="2"/>
  <c r="M1430" i="2"/>
  <c r="L1430" i="2"/>
  <c r="K1430" i="2"/>
  <c r="G1430" i="2"/>
  <c r="E1430" i="2"/>
  <c r="B1430" i="2"/>
  <c r="S1429" i="2"/>
  <c r="M1429" i="2"/>
  <c r="L1429" i="2"/>
  <c r="K1429" i="2"/>
  <c r="G1429" i="2"/>
  <c r="E1429" i="2"/>
  <c r="B1429" i="2"/>
  <c r="S1428" i="2"/>
  <c r="M1428" i="2"/>
  <c r="L1428" i="2"/>
  <c r="K1428" i="2"/>
  <c r="G1428" i="2"/>
  <c r="E1428" i="2"/>
  <c r="B1428" i="2"/>
  <c r="S1427" i="2"/>
  <c r="M1427" i="2"/>
  <c r="L1427" i="2"/>
  <c r="K1427" i="2"/>
  <c r="G1427" i="2"/>
  <c r="E1427" i="2"/>
  <c r="B1427" i="2"/>
  <c r="S1426" i="2"/>
  <c r="M1426" i="2"/>
  <c r="L1426" i="2"/>
  <c r="K1426" i="2"/>
  <c r="G1426" i="2"/>
  <c r="E1426" i="2"/>
  <c r="B1426" i="2"/>
  <c r="S1425" i="2"/>
  <c r="M1425" i="2"/>
  <c r="L1425" i="2"/>
  <c r="K1425" i="2"/>
  <c r="G1425" i="2"/>
  <c r="E1425" i="2"/>
  <c r="B1425" i="2"/>
  <c r="S1424" i="2"/>
  <c r="M1424" i="2"/>
  <c r="L1424" i="2"/>
  <c r="K1424" i="2"/>
  <c r="G1424" i="2"/>
  <c r="E1424" i="2"/>
  <c r="B1424" i="2"/>
  <c r="S1423" i="2"/>
  <c r="M1423" i="2"/>
  <c r="L1423" i="2"/>
  <c r="K1423" i="2"/>
  <c r="G1423" i="2"/>
  <c r="E1423" i="2"/>
  <c r="B1423" i="2"/>
  <c r="S1422" i="2"/>
  <c r="M1422" i="2"/>
  <c r="L1422" i="2"/>
  <c r="K1422" i="2"/>
  <c r="G1422" i="2"/>
  <c r="E1422" i="2"/>
  <c r="B1422" i="2"/>
  <c r="S1421" i="2"/>
  <c r="M1421" i="2"/>
  <c r="L1421" i="2"/>
  <c r="K1421" i="2"/>
  <c r="G1421" i="2"/>
  <c r="E1421" i="2"/>
  <c r="B1421" i="2"/>
  <c r="S1420" i="2"/>
  <c r="M1420" i="2"/>
  <c r="L1420" i="2"/>
  <c r="K1420" i="2"/>
  <c r="G1420" i="2"/>
  <c r="E1420" i="2"/>
  <c r="B1420" i="2"/>
  <c r="S1419" i="2"/>
  <c r="M1419" i="2"/>
  <c r="L1419" i="2"/>
  <c r="K1419" i="2"/>
  <c r="G1419" i="2"/>
  <c r="E1419" i="2"/>
  <c r="B1419" i="2"/>
  <c r="S1418" i="2"/>
  <c r="M1418" i="2"/>
  <c r="L1418" i="2"/>
  <c r="K1418" i="2"/>
  <c r="G1418" i="2"/>
  <c r="E1418" i="2"/>
  <c r="B1418" i="2"/>
  <c r="S1417" i="2"/>
  <c r="M1417" i="2"/>
  <c r="L1417" i="2"/>
  <c r="K1417" i="2"/>
  <c r="G1417" i="2"/>
  <c r="E1417" i="2"/>
  <c r="B1417" i="2"/>
  <c r="S1416" i="2"/>
  <c r="M1416" i="2"/>
  <c r="L1416" i="2"/>
  <c r="K1416" i="2"/>
  <c r="G1416" i="2"/>
  <c r="E1416" i="2"/>
  <c r="B1416" i="2"/>
  <c r="S1415" i="2"/>
  <c r="M1415" i="2"/>
  <c r="L1415" i="2"/>
  <c r="K1415" i="2"/>
  <c r="G1415" i="2"/>
  <c r="E1415" i="2"/>
  <c r="B1415" i="2"/>
  <c r="S1414" i="2"/>
  <c r="M1414" i="2"/>
  <c r="L1414" i="2"/>
  <c r="K1414" i="2"/>
  <c r="G1414" i="2"/>
  <c r="E1414" i="2"/>
  <c r="B1414" i="2"/>
  <c r="S1413" i="2"/>
  <c r="M1413" i="2"/>
  <c r="L1413" i="2"/>
  <c r="K1413" i="2"/>
  <c r="G1413" i="2"/>
  <c r="E1413" i="2"/>
  <c r="B1413" i="2"/>
  <c r="S1412" i="2"/>
  <c r="M1412" i="2"/>
  <c r="L1412" i="2"/>
  <c r="K1412" i="2"/>
  <c r="G1412" i="2"/>
  <c r="E1412" i="2"/>
  <c r="B1412" i="2"/>
  <c r="S1411" i="2"/>
  <c r="M1411" i="2"/>
  <c r="L1411" i="2"/>
  <c r="K1411" i="2"/>
  <c r="G1411" i="2"/>
  <c r="E1411" i="2"/>
  <c r="B1411" i="2"/>
  <c r="S1410" i="2"/>
  <c r="M1410" i="2"/>
  <c r="L1410" i="2"/>
  <c r="K1410" i="2"/>
  <c r="G1410" i="2"/>
  <c r="E1410" i="2"/>
  <c r="B1410" i="2"/>
  <c r="S1409" i="2"/>
  <c r="M1409" i="2"/>
  <c r="L1409" i="2"/>
  <c r="K1409" i="2"/>
  <c r="G1409" i="2"/>
  <c r="E1409" i="2"/>
  <c r="B1409" i="2"/>
  <c r="S1408" i="2"/>
  <c r="M1408" i="2"/>
  <c r="L1408" i="2"/>
  <c r="K1408" i="2"/>
  <c r="G1408" i="2"/>
  <c r="E1408" i="2"/>
  <c r="B1408" i="2"/>
  <c r="S1407" i="2"/>
  <c r="M1407" i="2"/>
  <c r="L1407" i="2"/>
  <c r="K1407" i="2"/>
  <c r="G1407" i="2"/>
  <c r="E1407" i="2"/>
  <c r="B1407" i="2"/>
  <c r="S1406" i="2"/>
  <c r="M1406" i="2"/>
  <c r="L1406" i="2"/>
  <c r="K1406" i="2"/>
  <c r="G1406" i="2"/>
  <c r="E1406" i="2"/>
  <c r="B1406" i="2"/>
  <c r="S1405" i="2"/>
  <c r="M1405" i="2"/>
  <c r="L1405" i="2"/>
  <c r="K1405" i="2"/>
  <c r="G1405" i="2"/>
  <c r="E1405" i="2"/>
  <c r="B1405" i="2"/>
  <c r="S1404" i="2"/>
  <c r="M1404" i="2"/>
  <c r="L1404" i="2"/>
  <c r="K1404" i="2"/>
  <c r="G1404" i="2"/>
  <c r="E1404" i="2"/>
  <c r="B1404" i="2"/>
  <c r="S1403" i="2"/>
  <c r="M1403" i="2"/>
  <c r="L1403" i="2"/>
  <c r="K1403" i="2"/>
  <c r="G1403" i="2"/>
  <c r="E1403" i="2"/>
  <c r="B1403" i="2"/>
  <c r="S1402" i="2"/>
  <c r="M1402" i="2"/>
  <c r="L1402" i="2"/>
  <c r="K1402" i="2"/>
  <c r="G1402" i="2"/>
  <c r="E1402" i="2"/>
  <c r="B1402" i="2"/>
  <c r="S1401" i="2"/>
  <c r="M1401" i="2"/>
  <c r="L1401" i="2"/>
  <c r="K1401" i="2"/>
  <c r="G1401" i="2"/>
  <c r="E1401" i="2"/>
  <c r="B1401" i="2"/>
  <c r="S1400" i="2"/>
  <c r="M1400" i="2"/>
  <c r="L1400" i="2"/>
  <c r="K1400" i="2"/>
  <c r="G1400" i="2"/>
  <c r="E1400" i="2"/>
  <c r="B1400" i="2"/>
  <c r="S1399" i="2"/>
  <c r="M1399" i="2"/>
  <c r="L1399" i="2"/>
  <c r="K1399" i="2"/>
  <c r="G1399" i="2"/>
  <c r="E1399" i="2"/>
  <c r="B1399" i="2"/>
  <c r="S1398" i="2"/>
  <c r="M1398" i="2"/>
  <c r="L1398" i="2"/>
  <c r="K1398" i="2"/>
  <c r="G1398" i="2"/>
  <c r="E1398" i="2"/>
  <c r="B1398" i="2"/>
  <c r="S1397" i="2"/>
  <c r="M1397" i="2"/>
  <c r="L1397" i="2"/>
  <c r="K1397" i="2"/>
  <c r="G1397" i="2"/>
  <c r="E1397" i="2"/>
  <c r="B1397" i="2"/>
  <c r="S1396" i="2"/>
  <c r="M1396" i="2"/>
  <c r="L1396" i="2"/>
  <c r="K1396" i="2"/>
  <c r="G1396" i="2"/>
  <c r="E1396" i="2"/>
  <c r="B1396" i="2"/>
  <c r="S1395" i="2"/>
  <c r="M1395" i="2"/>
  <c r="L1395" i="2"/>
  <c r="K1395" i="2"/>
  <c r="G1395" i="2"/>
  <c r="E1395" i="2"/>
  <c r="B1395" i="2"/>
  <c r="S1394" i="2"/>
  <c r="M1394" i="2"/>
  <c r="L1394" i="2"/>
  <c r="K1394" i="2"/>
  <c r="G1394" i="2"/>
  <c r="E1394" i="2"/>
  <c r="B1394" i="2"/>
  <c r="S1393" i="2"/>
  <c r="M1393" i="2"/>
  <c r="L1393" i="2"/>
  <c r="K1393" i="2"/>
  <c r="G1393" i="2"/>
  <c r="E1393" i="2"/>
  <c r="B1393" i="2"/>
  <c r="S1392" i="2"/>
  <c r="M1392" i="2"/>
  <c r="L1392" i="2"/>
  <c r="K1392" i="2"/>
  <c r="G1392" i="2"/>
  <c r="E1392" i="2"/>
  <c r="B1392" i="2"/>
  <c r="S1391" i="2"/>
  <c r="M1391" i="2"/>
  <c r="L1391" i="2"/>
  <c r="K1391" i="2"/>
  <c r="G1391" i="2"/>
  <c r="E1391" i="2"/>
  <c r="B1391" i="2"/>
  <c r="S1390" i="2"/>
  <c r="M1390" i="2"/>
  <c r="L1390" i="2"/>
  <c r="K1390" i="2"/>
  <c r="G1390" i="2"/>
  <c r="E1390" i="2"/>
  <c r="B1390" i="2"/>
  <c r="S1389" i="2"/>
  <c r="M1389" i="2"/>
  <c r="L1389" i="2"/>
  <c r="K1389" i="2"/>
  <c r="G1389" i="2"/>
  <c r="E1389" i="2"/>
  <c r="B1389" i="2"/>
  <c r="S1388" i="2"/>
  <c r="M1388" i="2"/>
  <c r="L1388" i="2"/>
  <c r="K1388" i="2"/>
  <c r="G1388" i="2"/>
  <c r="E1388" i="2"/>
  <c r="B1388" i="2"/>
  <c r="S1387" i="2"/>
  <c r="M1387" i="2"/>
  <c r="L1387" i="2"/>
  <c r="K1387" i="2"/>
  <c r="G1387" i="2"/>
  <c r="E1387" i="2"/>
  <c r="B1387" i="2"/>
  <c r="S1386" i="2"/>
  <c r="M1386" i="2"/>
  <c r="L1386" i="2"/>
  <c r="K1386" i="2"/>
  <c r="G1386" i="2"/>
  <c r="E1386" i="2"/>
  <c r="B1386" i="2"/>
  <c r="S1385" i="2"/>
  <c r="M1385" i="2"/>
  <c r="L1385" i="2"/>
  <c r="K1385" i="2"/>
  <c r="G1385" i="2"/>
  <c r="E1385" i="2"/>
  <c r="B1385" i="2"/>
  <c r="S1384" i="2"/>
  <c r="M1384" i="2"/>
  <c r="L1384" i="2"/>
  <c r="K1384" i="2"/>
  <c r="G1384" i="2"/>
  <c r="E1384" i="2"/>
  <c r="B1384" i="2"/>
  <c r="S1383" i="2"/>
  <c r="M1383" i="2"/>
  <c r="L1383" i="2"/>
  <c r="K1383" i="2"/>
  <c r="G1383" i="2"/>
  <c r="E1383" i="2"/>
  <c r="B1383" i="2"/>
  <c r="S1382" i="2"/>
  <c r="M1382" i="2"/>
  <c r="L1382" i="2"/>
  <c r="K1382" i="2"/>
  <c r="G1382" i="2"/>
  <c r="E1382" i="2"/>
  <c r="B1382" i="2"/>
  <c r="S1381" i="2"/>
  <c r="M1381" i="2"/>
  <c r="L1381" i="2"/>
  <c r="K1381" i="2"/>
  <c r="G1381" i="2"/>
  <c r="E1381" i="2"/>
  <c r="B1381" i="2"/>
  <c r="S1380" i="2"/>
  <c r="M1380" i="2"/>
  <c r="L1380" i="2"/>
  <c r="K1380" i="2"/>
  <c r="G1380" i="2"/>
  <c r="E1380" i="2"/>
  <c r="B1380" i="2"/>
  <c r="S1379" i="2"/>
  <c r="M1379" i="2"/>
  <c r="L1379" i="2"/>
  <c r="K1379" i="2"/>
  <c r="G1379" i="2"/>
  <c r="E1379" i="2"/>
  <c r="B1379" i="2"/>
  <c r="S1378" i="2"/>
  <c r="M1378" i="2"/>
  <c r="L1378" i="2"/>
  <c r="K1378" i="2"/>
  <c r="G1378" i="2"/>
  <c r="E1378" i="2"/>
  <c r="B1378" i="2"/>
  <c r="S1377" i="2"/>
  <c r="M1377" i="2"/>
  <c r="L1377" i="2"/>
  <c r="K1377" i="2"/>
  <c r="G1377" i="2"/>
  <c r="E1377" i="2"/>
  <c r="B1377" i="2"/>
  <c r="S1376" i="2"/>
  <c r="M1376" i="2"/>
  <c r="L1376" i="2"/>
  <c r="K1376" i="2"/>
  <c r="G1376" i="2"/>
  <c r="E1376" i="2"/>
  <c r="B1376" i="2"/>
  <c r="S1375" i="2"/>
  <c r="M1375" i="2"/>
  <c r="L1375" i="2"/>
  <c r="K1375" i="2"/>
  <c r="G1375" i="2"/>
  <c r="E1375" i="2"/>
  <c r="B1375" i="2"/>
  <c r="S1374" i="2"/>
  <c r="M1374" i="2"/>
  <c r="L1374" i="2"/>
  <c r="K1374" i="2"/>
  <c r="G1374" i="2"/>
  <c r="E1374" i="2"/>
  <c r="B1374" i="2"/>
  <c r="S1373" i="2"/>
  <c r="M1373" i="2"/>
  <c r="L1373" i="2"/>
  <c r="K1373" i="2"/>
  <c r="G1373" i="2"/>
  <c r="E1373" i="2"/>
  <c r="B1373" i="2"/>
  <c r="S1372" i="2"/>
  <c r="M1372" i="2"/>
  <c r="L1372" i="2"/>
  <c r="K1372" i="2"/>
  <c r="G1372" i="2"/>
  <c r="E1372" i="2"/>
  <c r="B1372" i="2"/>
  <c r="S1371" i="2"/>
  <c r="M1371" i="2"/>
  <c r="L1371" i="2"/>
  <c r="K1371" i="2"/>
  <c r="G1371" i="2"/>
  <c r="E1371" i="2"/>
  <c r="B1371" i="2"/>
  <c r="S1370" i="2"/>
  <c r="M1370" i="2"/>
  <c r="L1370" i="2"/>
  <c r="K1370" i="2"/>
  <c r="G1370" i="2"/>
  <c r="E1370" i="2"/>
  <c r="B1370" i="2"/>
  <c r="S1369" i="2"/>
  <c r="M1369" i="2"/>
  <c r="L1369" i="2"/>
  <c r="K1369" i="2"/>
  <c r="G1369" i="2"/>
  <c r="E1369" i="2"/>
  <c r="B1369" i="2"/>
  <c r="S1368" i="2"/>
  <c r="M1368" i="2"/>
  <c r="L1368" i="2"/>
  <c r="K1368" i="2"/>
  <c r="G1368" i="2"/>
  <c r="E1368" i="2"/>
  <c r="B1368" i="2"/>
  <c r="S1367" i="2"/>
  <c r="M1367" i="2"/>
  <c r="L1367" i="2"/>
  <c r="K1367" i="2"/>
  <c r="G1367" i="2"/>
  <c r="E1367" i="2"/>
  <c r="B1367" i="2"/>
  <c r="S1366" i="2"/>
  <c r="M1366" i="2"/>
  <c r="L1366" i="2"/>
  <c r="K1366" i="2"/>
  <c r="G1366" i="2"/>
  <c r="E1366" i="2"/>
  <c r="B1366" i="2"/>
  <c r="S1365" i="2"/>
  <c r="M1365" i="2"/>
  <c r="L1365" i="2"/>
  <c r="K1365" i="2"/>
  <c r="G1365" i="2"/>
  <c r="E1365" i="2"/>
  <c r="B1365" i="2"/>
  <c r="S1364" i="2"/>
  <c r="M1364" i="2"/>
  <c r="L1364" i="2"/>
  <c r="K1364" i="2"/>
  <c r="G1364" i="2"/>
  <c r="E1364" i="2"/>
  <c r="B1364" i="2"/>
  <c r="S1363" i="2"/>
  <c r="M1363" i="2"/>
  <c r="L1363" i="2"/>
  <c r="K1363" i="2"/>
  <c r="G1363" i="2"/>
  <c r="E1363" i="2"/>
  <c r="B1363" i="2"/>
  <c r="S1362" i="2"/>
  <c r="M1362" i="2"/>
  <c r="L1362" i="2"/>
  <c r="K1362" i="2"/>
  <c r="G1362" i="2"/>
  <c r="E1362" i="2"/>
  <c r="B1362" i="2"/>
  <c r="S1361" i="2"/>
  <c r="M1361" i="2"/>
  <c r="L1361" i="2"/>
  <c r="K1361" i="2"/>
  <c r="G1361" i="2"/>
  <c r="E1361" i="2"/>
  <c r="B1361" i="2"/>
  <c r="S1360" i="2"/>
  <c r="M1360" i="2"/>
  <c r="L1360" i="2"/>
  <c r="K1360" i="2"/>
  <c r="G1360" i="2"/>
  <c r="E1360" i="2"/>
  <c r="B1360" i="2"/>
  <c r="S1359" i="2"/>
  <c r="M1359" i="2"/>
  <c r="L1359" i="2"/>
  <c r="K1359" i="2"/>
  <c r="G1359" i="2"/>
  <c r="E1359" i="2"/>
  <c r="B1359" i="2"/>
  <c r="S1358" i="2"/>
  <c r="M1358" i="2"/>
  <c r="L1358" i="2"/>
  <c r="K1358" i="2"/>
  <c r="G1358" i="2"/>
  <c r="E1358" i="2"/>
  <c r="B1358" i="2"/>
  <c r="S1357" i="2"/>
  <c r="M1357" i="2"/>
  <c r="L1357" i="2"/>
  <c r="K1357" i="2"/>
  <c r="G1357" i="2"/>
  <c r="E1357" i="2"/>
  <c r="B1357" i="2"/>
  <c r="S1356" i="2"/>
  <c r="M1356" i="2"/>
  <c r="L1356" i="2"/>
  <c r="K1356" i="2"/>
  <c r="G1356" i="2"/>
  <c r="E1356" i="2"/>
  <c r="B1356" i="2"/>
  <c r="S1355" i="2"/>
  <c r="M1355" i="2"/>
  <c r="L1355" i="2"/>
  <c r="K1355" i="2"/>
  <c r="G1355" i="2"/>
  <c r="E1355" i="2"/>
  <c r="B1355" i="2"/>
  <c r="S1354" i="2"/>
  <c r="M1354" i="2"/>
  <c r="L1354" i="2"/>
  <c r="K1354" i="2"/>
  <c r="G1354" i="2"/>
  <c r="E1354" i="2"/>
  <c r="B1354" i="2"/>
  <c r="S1353" i="2"/>
  <c r="M1353" i="2"/>
  <c r="L1353" i="2"/>
  <c r="K1353" i="2"/>
  <c r="G1353" i="2"/>
  <c r="E1353" i="2"/>
  <c r="B1353" i="2"/>
  <c r="S1352" i="2"/>
  <c r="M1352" i="2"/>
  <c r="L1352" i="2"/>
  <c r="K1352" i="2"/>
  <c r="G1352" i="2"/>
  <c r="E1352" i="2"/>
  <c r="B1352" i="2"/>
  <c r="S1351" i="2"/>
  <c r="M1351" i="2"/>
  <c r="L1351" i="2"/>
  <c r="K1351" i="2"/>
  <c r="H1351" i="2"/>
  <c r="G1351" i="2"/>
  <c r="E1351" i="2"/>
  <c r="B1351" i="2"/>
  <c r="S1350" i="2"/>
  <c r="M1350" i="2"/>
  <c r="L1350" i="2"/>
  <c r="K1350" i="2"/>
  <c r="G1350" i="2"/>
  <c r="E1350" i="2"/>
  <c r="B1350" i="2"/>
  <c r="S1349" i="2"/>
  <c r="M1349" i="2"/>
  <c r="L1349" i="2"/>
  <c r="K1349" i="2"/>
  <c r="G1349" i="2"/>
  <c r="E1349" i="2"/>
  <c r="B1349" i="2"/>
  <c r="S1348" i="2"/>
  <c r="M1348" i="2"/>
  <c r="L1348" i="2"/>
  <c r="K1348" i="2"/>
  <c r="G1348" i="2"/>
  <c r="E1348" i="2"/>
  <c r="B1348" i="2"/>
  <c r="S1347" i="2"/>
  <c r="M1347" i="2"/>
  <c r="L1347" i="2"/>
  <c r="K1347" i="2"/>
  <c r="G1347" i="2"/>
  <c r="E1347" i="2"/>
  <c r="B1347" i="2"/>
  <c r="S1346" i="2"/>
  <c r="M1346" i="2"/>
  <c r="L1346" i="2"/>
  <c r="K1346" i="2"/>
  <c r="G1346" i="2"/>
  <c r="E1346" i="2"/>
  <c r="B1346" i="2"/>
  <c r="S1345" i="2"/>
  <c r="M1345" i="2"/>
  <c r="L1345" i="2"/>
  <c r="K1345" i="2"/>
  <c r="G1345" i="2"/>
  <c r="E1345" i="2"/>
  <c r="B1345" i="2"/>
  <c r="S1344" i="2"/>
  <c r="M1344" i="2"/>
  <c r="L1344" i="2"/>
  <c r="K1344" i="2"/>
  <c r="G1344" i="2"/>
  <c r="E1344" i="2"/>
  <c r="B1344" i="2"/>
  <c r="S1343" i="2"/>
  <c r="M1343" i="2"/>
  <c r="L1343" i="2"/>
  <c r="K1343" i="2"/>
  <c r="G1343" i="2"/>
  <c r="E1343" i="2"/>
  <c r="B1343" i="2"/>
  <c r="S1342" i="2"/>
  <c r="M1342" i="2"/>
  <c r="L1342" i="2"/>
  <c r="K1342" i="2"/>
  <c r="G1342" i="2"/>
  <c r="E1342" i="2"/>
  <c r="B1342" i="2"/>
  <c r="S1341" i="2"/>
  <c r="M1341" i="2"/>
  <c r="L1341" i="2"/>
  <c r="K1341" i="2"/>
  <c r="G1341" i="2"/>
  <c r="E1341" i="2"/>
  <c r="B1341" i="2"/>
  <c r="S1340" i="2"/>
  <c r="M1340" i="2"/>
  <c r="L1340" i="2"/>
  <c r="K1340" i="2"/>
  <c r="G1340" i="2"/>
  <c r="E1340" i="2"/>
  <c r="B1340" i="2"/>
  <c r="S1339" i="2"/>
  <c r="M1339" i="2"/>
  <c r="L1339" i="2"/>
  <c r="K1339" i="2"/>
  <c r="G1339" i="2"/>
  <c r="E1339" i="2"/>
  <c r="B1339" i="2"/>
  <c r="S1338" i="2"/>
  <c r="M1338" i="2"/>
  <c r="L1338" i="2"/>
  <c r="K1338" i="2"/>
  <c r="G1338" i="2"/>
  <c r="E1338" i="2"/>
  <c r="B1338" i="2"/>
  <c r="S1337" i="2"/>
  <c r="M1337" i="2"/>
  <c r="L1337" i="2"/>
  <c r="K1337" i="2"/>
  <c r="G1337" i="2"/>
  <c r="E1337" i="2"/>
  <c r="B1337" i="2"/>
  <c r="S1336" i="2"/>
  <c r="M1336" i="2"/>
  <c r="L1336" i="2"/>
  <c r="K1336" i="2"/>
  <c r="G1336" i="2"/>
  <c r="E1336" i="2"/>
  <c r="B1336" i="2"/>
  <c r="S1335" i="2"/>
  <c r="M1335" i="2"/>
  <c r="L1335" i="2"/>
  <c r="K1335" i="2"/>
  <c r="G1335" i="2"/>
  <c r="E1335" i="2"/>
  <c r="B1335" i="2"/>
  <c r="S1334" i="2"/>
  <c r="M1334" i="2"/>
  <c r="L1334" i="2"/>
  <c r="K1334" i="2"/>
  <c r="G1334" i="2"/>
  <c r="E1334" i="2"/>
  <c r="B1334" i="2"/>
  <c r="S1333" i="2"/>
  <c r="M1333" i="2"/>
  <c r="L1333" i="2"/>
  <c r="K1333" i="2"/>
  <c r="G1333" i="2"/>
  <c r="E1333" i="2"/>
  <c r="B1333" i="2"/>
  <c r="S1332" i="2"/>
  <c r="M1332" i="2"/>
  <c r="L1332" i="2"/>
  <c r="K1332" i="2"/>
  <c r="G1332" i="2"/>
  <c r="E1332" i="2"/>
  <c r="B1332" i="2"/>
  <c r="S1331" i="2"/>
  <c r="M1331" i="2"/>
  <c r="L1331" i="2"/>
  <c r="K1331" i="2"/>
  <c r="G1331" i="2"/>
  <c r="E1331" i="2"/>
  <c r="B1331" i="2"/>
  <c r="S1330" i="2"/>
  <c r="M1330" i="2"/>
  <c r="L1330" i="2"/>
  <c r="K1330" i="2"/>
  <c r="G1330" i="2"/>
  <c r="E1330" i="2"/>
  <c r="B1330" i="2"/>
  <c r="S1329" i="2"/>
  <c r="M1329" i="2"/>
  <c r="L1329" i="2"/>
  <c r="K1329" i="2"/>
  <c r="G1329" i="2"/>
  <c r="E1329" i="2"/>
  <c r="B1329" i="2"/>
  <c r="S1328" i="2"/>
  <c r="M1328" i="2"/>
  <c r="L1328" i="2"/>
  <c r="K1328" i="2"/>
  <c r="G1328" i="2"/>
  <c r="E1328" i="2"/>
  <c r="B1328" i="2"/>
  <c r="S1327" i="2"/>
  <c r="M1327" i="2"/>
  <c r="L1327" i="2"/>
  <c r="K1327" i="2"/>
  <c r="G1327" i="2"/>
  <c r="E1327" i="2"/>
  <c r="B1327" i="2"/>
  <c r="S1326" i="2"/>
  <c r="M1326" i="2"/>
  <c r="L1326" i="2"/>
  <c r="K1326" i="2"/>
  <c r="G1326" i="2"/>
  <c r="E1326" i="2"/>
  <c r="B1326" i="2"/>
  <c r="S1325" i="2"/>
  <c r="M1325" i="2"/>
  <c r="L1325" i="2"/>
  <c r="K1325" i="2"/>
  <c r="G1325" i="2"/>
  <c r="E1325" i="2"/>
  <c r="B1325" i="2"/>
  <c r="S1324" i="2"/>
  <c r="M1324" i="2"/>
  <c r="L1324" i="2"/>
  <c r="K1324" i="2"/>
  <c r="G1324" i="2"/>
  <c r="E1324" i="2"/>
  <c r="B1324" i="2"/>
  <c r="S1323" i="2"/>
  <c r="M1323" i="2"/>
  <c r="L1323" i="2"/>
  <c r="K1323" i="2"/>
  <c r="G1323" i="2"/>
  <c r="E1323" i="2"/>
  <c r="B1323" i="2"/>
  <c r="S1322" i="2"/>
  <c r="M1322" i="2"/>
  <c r="L1322" i="2"/>
  <c r="K1322" i="2"/>
  <c r="G1322" i="2"/>
  <c r="E1322" i="2"/>
  <c r="B1322" i="2"/>
  <c r="S1321" i="2"/>
  <c r="M1321" i="2"/>
  <c r="L1321" i="2"/>
  <c r="K1321" i="2"/>
  <c r="G1321" i="2"/>
  <c r="E1321" i="2"/>
  <c r="B1321" i="2"/>
  <c r="S1320" i="2"/>
  <c r="M1320" i="2"/>
  <c r="L1320" i="2"/>
  <c r="K1320" i="2"/>
  <c r="G1320" i="2"/>
  <c r="E1320" i="2"/>
  <c r="B1320" i="2"/>
  <c r="S1319" i="2"/>
  <c r="M1319" i="2"/>
  <c r="L1319" i="2"/>
  <c r="K1319" i="2"/>
  <c r="G1319" i="2"/>
  <c r="E1319" i="2"/>
  <c r="B1319" i="2"/>
  <c r="S1318" i="2"/>
  <c r="M1318" i="2"/>
  <c r="L1318" i="2"/>
  <c r="K1318" i="2"/>
  <c r="G1318" i="2"/>
  <c r="E1318" i="2"/>
  <c r="B1318" i="2"/>
  <c r="S1317" i="2"/>
  <c r="M1317" i="2"/>
  <c r="L1317" i="2"/>
  <c r="K1317" i="2"/>
  <c r="G1317" i="2"/>
  <c r="E1317" i="2"/>
  <c r="B1317" i="2"/>
  <c r="S1316" i="2"/>
  <c r="M1316" i="2"/>
  <c r="L1316" i="2"/>
  <c r="K1316" i="2"/>
  <c r="G1316" i="2"/>
  <c r="E1316" i="2"/>
  <c r="B1316" i="2"/>
  <c r="S1315" i="2"/>
  <c r="M1315" i="2"/>
  <c r="L1315" i="2"/>
  <c r="K1315" i="2"/>
  <c r="G1315" i="2"/>
  <c r="E1315" i="2"/>
  <c r="B1315" i="2"/>
  <c r="S1314" i="2"/>
  <c r="M1314" i="2"/>
  <c r="L1314" i="2"/>
  <c r="K1314" i="2"/>
  <c r="G1314" i="2"/>
  <c r="E1314" i="2"/>
  <c r="B1314" i="2"/>
  <c r="S1313" i="2"/>
  <c r="M1313" i="2"/>
  <c r="L1313" i="2"/>
  <c r="K1313" i="2"/>
  <c r="G1313" i="2"/>
  <c r="E1313" i="2"/>
  <c r="B1313" i="2"/>
  <c r="S1312" i="2"/>
  <c r="M1312" i="2"/>
  <c r="L1312" i="2"/>
  <c r="K1312" i="2"/>
  <c r="G1312" i="2"/>
  <c r="E1312" i="2"/>
  <c r="B1312" i="2"/>
  <c r="S1311" i="2"/>
  <c r="M1311" i="2"/>
  <c r="L1311" i="2"/>
  <c r="K1311" i="2"/>
  <c r="G1311" i="2"/>
  <c r="E1311" i="2"/>
  <c r="B1311" i="2"/>
  <c r="S1310" i="2"/>
  <c r="M1310" i="2"/>
  <c r="L1310" i="2"/>
  <c r="K1310" i="2"/>
  <c r="G1310" i="2"/>
  <c r="E1310" i="2"/>
  <c r="B1310" i="2"/>
  <c r="S1309" i="2"/>
  <c r="M1309" i="2"/>
  <c r="L1309" i="2"/>
  <c r="K1309" i="2"/>
  <c r="G1309" i="2"/>
  <c r="E1309" i="2"/>
  <c r="B1309" i="2"/>
  <c r="S1308" i="2"/>
  <c r="M1308" i="2"/>
  <c r="L1308" i="2"/>
  <c r="K1308" i="2"/>
  <c r="G1308" i="2"/>
  <c r="E1308" i="2"/>
  <c r="B1308" i="2"/>
  <c r="S1307" i="2"/>
  <c r="M1307" i="2"/>
  <c r="L1307" i="2"/>
  <c r="K1307" i="2"/>
  <c r="G1307" i="2"/>
  <c r="E1307" i="2"/>
  <c r="B1307" i="2"/>
  <c r="S1306" i="2"/>
  <c r="M1306" i="2"/>
  <c r="L1306" i="2"/>
  <c r="K1306" i="2"/>
  <c r="G1306" i="2"/>
  <c r="E1306" i="2"/>
  <c r="B1306" i="2"/>
  <c r="S1305" i="2"/>
  <c r="M1305" i="2"/>
  <c r="L1305" i="2"/>
  <c r="K1305" i="2"/>
  <c r="G1305" i="2"/>
  <c r="E1305" i="2"/>
  <c r="B1305" i="2"/>
  <c r="S1304" i="2"/>
  <c r="M1304" i="2"/>
  <c r="L1304" i="2"/>
  <c r="K1304" i="2"/>
  <c r="G1304" i="2"/>
  <c r="E1304" i="2"/>
  <c r="B1304" i="2"/>
  <c r="S1303" i="2"/>
  <c r="M1303" i="2"/>
  <c r="L1303" i="2"/>
  <c r="K1303" i="2"/>
  <c r="G1303" i="2"/>
  <c r="E1303" i="2"/>
  <c r="B1303" i="2"/>
  <c r="S1302" i="2"/>
  <c r="M1302" i="2"/>
  <c r="L1302" i="2"/>
  <c r="K1302" i="2"/>
  <c r="G1302" i="2"/>
  <c r="E1302" i="2"/>
  <c r="B1302" i="2"/>
  <c r="S1301" i="2"/>
  <c r="M1301" i="2"/>
  <c r="L1301" i="2"/>
  <c r="K1301" i="2"/>
  <c r="G1301" i="2"/>
  <c r="E1301" i="2"/>
  <c r="B1301" i="2"/>
  <c r="S1300" i="2"/>
  <c r="M1300" i="2"/>
  <c r="L1300" i="2"/>
  <c r="K1300" i="2"/>
  <c r="G1300" i="2"/>
  <c r="E1300" i="2"/>
  <c r="B1300" i="2"/>
  <c r="S1299" i="2"/>
  <c r="M1299" i="2"/>
  <c r="L1299" i="2"/>
  <c r="K1299" i="2"/>
  <c r="G1299" i="2"/>
  <c r="E1299" i="2"/>
  <c r="B1299" i="2"/>
  <c r="S1298" i="2"/>
  <c r="M1298" i="2"/>
  <c r="L1298" i="2"/>
  <c r="K1298" i="2"/>
  <c r="G1298" i="2"/>
  <c r="E1298" i="2"/>
  <c r="B1298" i="2"/>
  <c r="S1297" i="2"/>
  <c r="M1297" i="2"/>
  <c r="L1297" i="2"/>
  <c r="K1297" i="2"/>
  <c r="G1297" i="2"/>
  <c r="E1297" i="2"/>
  <c r="B1297" i="2"/>
  <c r="S1296" i="2"/>
  <c r="M1296" i="2"/>
  <c r="L1296" i="2"/>
  <c r="K1296" i="2"/>
  <c r="G1296" i="2"/>
  <c r="E1296" i="2"/>
  <c r="B1296" i="2"/>
  <c r="S1295" i="2"/>
  <c r="M1295" i="2"/>
  <c r="L1295" i="2"/>
  <c r="K1295" i="2"/>
  <c r="G1295" i="2"/>
  <c r="E1295" i="2"/>
  <c r="B1295" i="2"/>
  <c r="S1294" i="2"/>
  <c r="M1294" i="2"/>
  <c r="L1294" i="2"/>
  <c r="K1294" i="2"/>
  <c r="G1294" i="2"/>
  <c r="E1294" i="2"/>
  <c r="B1294" i="2"/>
  <c r="S1293" i="2"/>
  <c r="M1293" i="2"/>
  <c r="L1293" i="2"/>
  <c r="K1293" i="2"/>
  <c r="G1293" i="2"/>
  <c r="E1293" i="2"/>
  <c r="B1293" i="2"/>
  <c r="S1292" i="2"/>
  <c r="M1292" i="2"/>
  <c r="L1292" i="2"/>
  <c r="K1292" i="2"/>
  <c r="G1292" i="2"/>
  <c r="E1292" i="2"/>
  <c r="B1292" i="2"/>
  <c r="S1291" i="2"/>
  <c r="M1291" i="2"/>
  <c r="L1291" i="2"/>
  <c r="K1291" i="2"/>
  <c r="G1291" i="2"/>
  <c r="E1291" i="2"/>
  <c r="B1291" i="2"/>
  <c r="S1290" i="2"/>
  <c r="M1290" i="2"/>
  <c r="L1290" i="2"/>
  <c r="K1290" i="2"/>
  <c r="G1290" i="2"/>
  <c r="E1290" i="2"/>
  <c r="B1290" i="2"/>
  <c r="S1289" i="2"/>
  <c r="M1289" i="2"/>
  <c r="L1289" i="2"/>
  <c r="K1289" i="2"/>
  <c r="G1289" i="2"/>
  <c r="E1289" i="2"/>
  <c r="B1289" i="2"/>
  <c r="S1288" i="2"/>
  <c r="M1288" i="2"/>
  <c r="L1288" i="2"/>
  <c r="K1288" i="2"/>
  <c r="G1288" i="2"/>
  <c r="E1288" i="2"/>
  <c r="B1288" i="2"/>
  <c r="S1287" i="2"/>
  <c r="M1287" i="2"/>
  <c r="L1287" i="2"/>
  <c r="K1287" i="2"/>
  <c r="G1287" i="2"/>
  <c r="E1287" i="2"/>
  <c r="B1287" i="2"/>
  <c r="S1286" i="2"/>
  <c r="M1286" i="2"/>
  <c r="L1286" i="2"/>
  <c r="K1286" i="2"/>
  <c r="G1286" i="2"/>
  <c r="E1286" i="2"/>
  <c r="B1286" i="2"/>
  <c r="S1285" i="2"/>
  <c r="M1285" i="2"/>
  <c r="L1285" i="2"/>
  <c r="K1285" i="2"/>
  <c r="G1285" i="2"/>
  <c r="E1285" i="2"/>
  <c r="B1285" i="2"/>
  <c r="S1284" i="2"/>
  <c r="M1284" i="2"/>
  <c r="L1284" i="2"/>
  <c r="K1284" i="2"/>
  <c r="G1284" i="2"/>
  <c r="E1284" i="2"/>
  <c r="B1284" i="2"/>
  <c r="S1283" i="2"/>
  <c r="M1283" i="2"/>
  <c r="L1283" i="2"/>
  <c r="K1283" i="2"/>
  <c r="G1283" i="2"/>
  <c r="E1283" i="2"/>
  <c r="B1283" i="2"/>
  <c r="S1282" i="2"/>
  <c r="M1282" i="2"/>
  <c r="L1282" i="2"/>
  <c r="K1282" i="2"/>
  <c r="G1282" i="2"/>
  <c r="E1282" i="2"/>
  <c r="B1282" i="2"/>
  <c r="S1281" i="2"/>
  <c r="M1281" i="2"/>
  <c r="L1281" i="2"/>
  <c r="K1281" i="2"/>
  <c r="G1281" i="2"/>
  <c r="E1281" i="2"/>
  <c r="B1281" i="2"/>
  <c r="S1280" i="2"/>
  <c r="M1280" i="2"/>
  <c r="L1280" i="2"/>
  <c r="K1280" i="2"/>
  <c r="G1280" i="2"/>
  <c r="E1280" i="2"/>
  <c r="B1280" i="2"/>
  <c r="S1279" i="2"/>
  <c r="M1279" i="2"/>
  <c r="L1279" i="2"/>
  <c r="K1279" i="2"/>
  <c r="G1279" i="2"/>
  <c r="E1279" i="2"/>
  <c r="B1279" i="2"/>
  <c r="S1278" i="2"/>
  <c r="M1278" i="2"/>
  <c r="L1278" i="2"/>
  <c r="K1278" i="2"/>
  <c r="G1278" i="2"/>
  <c r="E1278" i="2"/>
  <c r="B1278" i="2"/>
  <c r="S1277" i="2"/>
  <c r="M1277" i="2"/>
  <c r="L1277" i="2"/>
  <c r="K1277" i="2"/>
  <c r="G1277" i="2"/>
  <c r="E1277" i="2"/>
  <c r="B1277" i="2"/>
  <c r="S1276" i="2"/>
  <c r="M1276" i="2"/>
  <c r="L1276" i="2"/>
  <c r="K1276" i="2"/>
  <c r="G1276" i="2"/>
  <c r="E1276" i="2"/>
  <c r="B1276" i="2"/>
  <c r="S1275" i="2"/>
  <c r="M1275" i="2"/>
  <c r="L1275" i="2"/>
  <c r="K1275" i="2"/>
  <c r="G1275" i="2"/>
  <c r="E1275" i="2"/>
  <c r="B1275" i="2"/>
  <c r="S1274" i="2"/>
  <c r="M1274" i="2"/>
  <c r="L1274" i="2"/>
  <c r="K1274" i="2"/>
  <c r="G1274" i="2"/>
  <c r="E1274" i="2"/>
  <c r="B1274" i="2"/>
  <c r="S1273" i="2"/>
  <c r="M1273" i="2"/>
  <c r="L1273" i="2"/>
  <c r="K1273" i="2"/>
  <c r="G1273" i="2"/>
  <c r="E1273" i="2"/>
  <c r="B1273" i="2"/>
  <c r="S1272" i="2"/>
  <c r="M1272" i="2"/>
  <c r="L1272" i="2"/>
  <c r="K1272" i="2"/>
  <c r="G1272" i="2"/>
  <c r="E1272" i="2"/>
  <c r="B1272" i="2"/>
  <c r="S1271" i="2"/>
  <c r="M1271" i="2"/>
  <c r="L1271" i="2"/>
  <c r="K1271" i="2"/>
  <c r="G1271" i="2"/>
  <c r="E1271" i="2"/>
  <c r="B1271" i="2"/>
  <c r="S1270" i="2"/>
  <c r="M1270" i="2"/>
  <c r="L1270" i="2"/>
  <c r="K1270" i="2"/>
  <c r="G1270" i="2"/>
  <c r="E1270" i="2"/>
  <c r="B1270" i="2"/>
  <c r="S1269" i="2"/>
  <c r="M1269" i="2"/>
  <c r="L1269" i="2"/>
  <c r="K1269" i="2"/>
  <c r="G1269" i="2"/>
  <c r="E1269" i="2"/>
  <c r="B1269" i="2"/>
  <c r="S1268" i="2"/>
  <c r="M1268" i="2"/>
  <c r="L1268" i="2"/>
  <c r="K1268" i="2"/>
  <c r="G1268" i="2"/>
  <c r="E1268" i="2"/>
  <c r="B1268" i="2"/>
  <c r="S1267" i="2"/>
  <c r="M1267" i="2"/>
  <c r="L1267" i="2"/>
  <c r="K1267" i="2"/>
  <c r="G1267" i="2"/>
  <c r="E1267" i="2"/>
  <c r="B1267" i="2"/>
  <c r="S1266" i="2"/>
  <c r="M1266" i="2"/>
  <c r="L1266" i="2"/>
  <c r="K1266" i="2"/>
  <c r="G1266" i="2"/>
  <c r="E1266" i="2"/>
  <c r="B1266" i="2"/>
  <c r="S1265" i="2"/>
  <c r="M1265" i="2"/>
  <c r="L1265" i="2"/>
  <c r="K1265" i="2"/>
  <c r="G1265" i="2"/>
  <c r="E1265" i="2"/>
  <c r="B1265" i="2"/>
  <c r="S1264" i="2"/>
  <c r="M1264" i="2"/>
  <c r="L1264" i="2"/>
  <c r="K1264" i="2"/>
  <c r="G1264" i="2"/>
  <c r="E1264" i="2"/>
  <c r="B1264" i="2"/>
  <c r="S1263" i="2"/>
  <c r="M1263" i="2"/>
  <c r="L1263" i="2"/>
  <c r="K1263" i="2"/>
  <c r="G1263" i="2"/>
  <c r="E1263" i="2"/>
  <c r="B1263" i="2"/>
  <c r="S1262" i="2"/>
  <c r="M1262" i="2"/>
  <c r="L1262" i="2"/>
  <c r="K1262" i="2"/>
  <c r="G1262" i="2"/>
  <c r="E1262" i="2"/>
  <c r="B1262" i="2"/>
  <c r="S1261" i="2"/>
  <c r="M1261" i="2"/>
  <c r="L1261" i="2"/>
  <c r="K1261" i="2"/>
  <c r="G1261" i="2"/>
  <c r="E1261" i="2"/>
  <c r="B1261" i="2"/>
  <c r="S1260" i="2"/>
  <c r="M1260" i="2"/>
  <c r="L1260" i="2"/>
  <c r="K1260" i="2"/>
  <c r="G1260" i="2"/>
  <c r="E1260" i="2"/>
  <c r="B1260" i="2"/>
  <c r="S1259" i="2"/>
  <c r="M1259" i="2"/>
  <c r="L1259" i="2"/>
  <c r="K1259" i="2"/>
  <c r="G1259" i="2"/>
  <c r="E1259" i="2"/>
  <c r="B1259" i="2"/>
  <c r="S1258" i="2"/>
  <c r="M1258" i="2"/>
  <c r="L1258" i="2"/>
  <c r="K1258" i="2"/>
  <c r="G1258" i="2"/>
  <c r="E1258" i="2"/>
  <c r="B1258" i="2"/>
  <c r="S1257" i="2"/>
  <c r="M1257" i="2"/>
  <c r="L1257" i="2"/>
  <c r="K1257" i="2"/>
  <c r="G1257" i="2"/>
  <c r="E1257" i="2"/>
  <c r="B1257" i="2"/>
  <c r="S1256" i="2"/>
  <c r="M1256" i="2"/>
  <c r="L1256" i="2"/>
  <c r="K1256" i="2"/>
  <c r="G1256" i="2"/>
  <c r="E1256" i="2"/>
  <c r="B1256" i="2"/>
  <c r="S1255" i="2"/>
  <c r="M1255" i="2"/>
  <c r="L1255" i="2"/>
  <c r="K1255" i="2"/>
  <c r="G1255" i="2"/>
  <c r="E1255" i="2"/>
  <c r="B1255" i="2"/>
  <c r="S1254" i="2"/>
  <c r="M1254" i="2"/>
  <c r="L1254" i="2"/>
  <c r="K1254" i="2"/>
  <c r="G1254" i="2"/>
  <c r="E1254" i="2"/>
  <c r="B1254" i="2"/>
  <c r="S1253" i="2"/>
  <c r="M1253" i="2"/>
  <c r="L1253" i="2"/>
  <c r="K1253" i="2"/>
  <c r="G1253" i="2"/>
  <c r="E1253" i="2"/>
  <c r="B1253" i="2"/>
  <c r="S1252" i="2"/>
  <c r="M1252" i="2"/>
  <c r="L1252" i="2"/>
  <c r="K1252" i="2"/>
  <c r="G1252" i="2"/>
  <c r="E1252" i="2"/>
  <c r="B1252" i="2"/>
  <c r="S1251" i="2"/>
  <c r="M1251" i="2"/>
  <c r="L1251" i="2"/>
  <c r="K1251" i="2"/>
  <c r="G1251" i="2"/>
  <c r="E1251" i="2"/>
  <c r="B1251" i="2"/>
  <c r="S1250" i="2"/>
  <c r="M1250" i="2"/>
  <c r="L1250" i="2"/>
  <c r="K1250" i="2"/>
  <c r="G1250" i="2"/>
  <c r="E1250" i="2"/>
  <c r="B1250" i="2"/>
  <c r="S1249" i="2"/>
  <c r="M1249" i="2"/>
  <c r="L1249" i="2"/>
  <c r="K1249" i="2"/>
  <c r="G1249" i="2"/>
  <c r="E1249" i="2"/>
  <c r="B1249" i="2"/>
  <c r="S1248" i="2"/>
  <c r="M1248" i="2"/>
  <c r="L1248" i="2"/>
  <c r="K1248" i="2"/>
  <c r="G1248" i="2"/>
  <c r="E1248" i="2"/>
  <c r="B1248" i="2"/>
  <c r="S1247" i="2"/>
  <c r="M1247" i="2"/>
  <c r="L1247" i="2"/>
  <c r="K1247" i="2"/>
  <c r="G1247" i="2"/>
  <c r="E1247" i="2"/>
  <c r="B1247" i="2"/>
  <c r="S1246" i="2"/>
  <c r="M1246" i="2"/>
  <c r="L1246" i="2"/>
  <c r="K1246" i="2"/>
  <c r="G1246" i="2"/>
  <c r="E1246" i="2"/>
  <c r="B1246" i="2"/>
  <c r="S1245" i="2"/>
  <c r="M1245" i="2"/>
  <c r="L1245" i="2"/>
  <c r="K1245" i="2"/>
  <c r="G1245" i="2"/>
  <c r="E1245" i="2"/>
  <c r="B1245" i="2"/>
  <c r="S1244" i="2"/>
  <c r="M1244" i="2"/>
  <c r="L1244" i="2"/>
  <c r="K1244" i="2"/>
  <c r="G1244" i="2"/>
  <c r="E1244" i="2"/>
  <c r="B1244" i="2"/>
  <c r="S1243" i="2"/>
  <c r="M1243" i="2"/>
  <c r="L1243" i="2"/>
  <c r="K1243" i="2"/>
  <c r="G1243" i="2"/>
  <c r="E1243" i="2"/>
  <c r="B1243" i="2"/>
  <c r="S1242" i="2"/>
  <c r="M1242" i="2"/>
  <c r="L1242" i="2"/>
  <c r="K1242" i="2"/>
  <c r="G1242" i="2"/>
  <c r="E1242" i="2"/>
  <c r="B1242" i="2"/>
  <c r="S1241" i="2"/>
  <c r="M1241" i="2"/>
  <c r="L1241" i="2"/>
  <c r="K1241" i="2"/>
  <c r="G1241" i="2"/>
  <c r="E1241" i="2"/>
  <c r="B1241" i="2"/>
  <c r="S1240" i="2"/>
  <c r="M1240" i="2"/>
  <c r="L1240" i="2"/>
  <c r="K1240" i="2"/>
  <c r="G1240" i="2"/>
  <c r="E1240" i="2"/>
  <c r="B1240" i="2"/>
  <c r="S1239" i="2"/>
  <c r="M1239" i="2"/>
  <c r="L1239" i="2"/>
  <c r="K1239" i="2"/>
  <c r="G1239" i="2"/>
  <c r="E1239" i="2"/>
  <c r="B1239" i="2"/>
  <c r="S1238" i="2"/>
  <c r="M1238" i="2"/>
  <c r="L1238" i="2"/>
  <c r="K1238" i="2"/>
  <c r="G1238" i="2"/>
  <c r="E1238" i="2"/>
  <c r="B1238" i="2"/>
  <c r="S1237" i="2"/>
  <c r="M1237" i="2"/>
  <c r="L1237" i="2"/>
  <c r="K1237" i="2"/>
  <c r="G1237" i="2"/>
  <c r="E1237" i="2"/>
  <c r="B1237" i="2"/>
  <c r="S1236" i="2"/>
  <c r="M1236" i="2"/>
  <c r="L1236" i="2"/>
  <c r="K1236" i="2"/>
  <c r="G1236" i="2"/>
  <c r="E1236" i="2"/>
  <c r="B1236" i="2"/>
  <c r="S1235" i="2"/>
  <c r="M1235" i="2"/>
  <c r="L1235" i="2"/>
  <c r="K1235" i="2"/>
  <c r="G1235" i="2"/>
  <c r="E1235" i="2"/>
  <c r="B1235" i="2"/>
  <c r="S1234" i="2"/>
  <c r="M1234" i="2"/>
  <c r="L1234" i="2"/>
  <c r="K1234" i="2"/>
  <c r="G1234" i="2"/>
  <c r="E1234" i="2"/>
  <c r="B1234" i="2"/>
  <c r="S1233" i="2"/>
  <c r="M1233" i="2"/>
  <c r="L1233" i="2"/>
  <c r="K1233" i="2"/>
  <c r="G1233" i="2"/>
  <c r="E1233" i="2"/>
  <c r="B1233" i="2"/>
  <c r="S1232" i="2"/>
  <c r="M1232" i="2"/>
  <c r="L1232" i="2"/>
  <c r="K1232" i="2"/>
  <c r="G1232" i="2"/>
  <c r="E1232" i="2"/>
  <c r="B1232" i="2"/>
  <c r="S1231" i="2"/>
  <c r="M1231" i="2"/>
  <c r="L1231" i="2"/>
  <c r="K1231" i="2"/>
  <c r="G1231" i="2"/>
  <c r="E1231" i="2"/>
  <c r="B1231" i="2"/>
  <c r="S1230" i="2"/>
  <c r="M1230" i="2"/>
  <c r="L1230" i="2"/>
  <c r="K1230" i="2"/>
  <c r="G1230" i="2"/>
  <c r="E1230" i="2"/>
  <c r="B1230" i="2"/>
  <c r="S1229" i="2"/>
  <c r="M1229" i="2"/>
  <c r="L1229" i="2"/>
  <c r="K1229" i="2"/>
  <c r="G1229" i="2"/>
  <c r="E1229" i="2"/>
  <c r="B1229" i="2"/>
  <c r="S1228" i="2"/>
  <c r="M1228" i="2"/>
  <c r="L1228" i="2"/>
  <c r="K1228" i="2"/>
  <c r="G1228" i="2"/>
  <c r="E1228" i="2"/>
  <c r="B1228" i="2"/>
  <c r="S1227" i="2"/>
  <c r="M1227" i="2"/>
  <c r="L1227" i="2"/>
  <c r="K1227" i="2"/>
  <c r="G1227" i="2"/>
  <c r="E1227" i="2"/>
  <c r="B1227" i="2"/>
  <c r="S1226" i="2"/>
  <c r="M1226" i="2"/>
  <c r="L1226" i="2"/>
  <c r="K1226" i="2"/>
  <c r="G1226" i="2"/>
  <c r="E1226" i="2"/>
  <c r="B1226" i="2"/>
  <c r="S1225" i="2"/>
  <c r="M1225" i="2"/>
  <c r="L1225" i="2"/>
  <c r="K1225" i="2"/>
  <c r="G1225" i="2"/>
  <c r="E1225" i="2"/>
  <c r="B1225" i="2"/>
  <c r="S1224" i="2"/>
  <c r="M1224" i="2"/>
  <c r="L1224" i="2"/>
  <c r="K1224" i="2"/>
  <c r="G1224" i="2"/>
  <c r="E1224" i="2"/>
  <c r="B1224" i="2"/>
  <c r="S1223" i="2"/>
  <c r="M1223" i="2"/>
  <c r="L1223" i="2"/>
  <c r="K1223" i="2"/>
  <c r="G1223" i="2"/>
  <c r="E1223" i="2"/>
  <c r="B1223" i="2"/>
  <c r="S1222" i="2"/>
  <c r="M1222" i="2"/>
  <c r="L1222" i="2"/>
  <c r="K1222" i="2"/>
  <c r="G1222" i="2"/>
  <c r="E1222" i="2"/>
  <c r="B1222" i="2"/>
  <c r="S1221" i="2"/>
  <c r="M1221" i="2"/>
  <c r="L1221" i="2"/>
  <c r="K1221" i="2"/>
  <c r="G1221" i="2"/>
  <c r="E1221" i="2"/>
  <c r="B1221" i="2"/>
  <c r="S1220" i="2"/>
  <c r="M1220" i="2"/>
  <c r="L1220" i="2"/>
  <c r="K1220" i="2"/>
  <c r="G1220" i="2"/>
  <c r="E1220" i="2"/>
  <c r="B1220" i="2"/>
  <c r="S1219" i="2"/>
  <c r="M1219" i="2"/>
  <c r="L1219" i="2"/>
  <c r="K1219" i="2"/>
  <c r="G1219" i="2"/>
  <c r="E1219" i="2"/>
  <c r="B1219" i="2"/>
  <c r="S1218" i="2"/>
  <c r="M1218" i="2"/>
  <c r="L1218" i="2"/>
  <c r="K1218" i="2"/>
  <c r="G1218" i="2"/>
  <c r="E1218" i="2"/>
  <c r="B1218" i="2"/>
  <c r="S1217" i="2"/>
  <c r="M1217" i="2"/>
  <c r="L1217" i="2"/>
  <c r="K1217" i="2"/>
  <c r="G1217" i="2"/>
  <c r="E1217" i="2"/>
  <c r="B1217" i="2"/>
  <c r="S1216" i="2"/>
  <c r="M1216" i="2"/>
  <c r="L1216" i="2"/>
  <c r="K1216" i="2"/>
  <c r="G1216" i="2"/>
  <c r="E1216" i="2"/>
  <c r="B1216" i="2"/>
  <c r="S1215" i="2"/>
  <c r="M1215" i="2"/>
  <c r="L1215" i="2"/>
  <c r="K1215" i="2"/>
  <c r="G1215" i="2"/>
  <c r="E1215" i="2"/>
  <c r="B1215" i="2"/>
  <c r="S1214" i="2"/>
  <c r="M1214" i="2"/>
  <c r="L1214" i="2"/>
  <c r="K1214" i="2"/>
  <c r="G1214" i="2"/>
  <c r="E1214" i="2"/>
  <c r="B1214" i="2"/>
  <c r="S1213" i="2"/>
  <c r="M1213" i="2"/>
  <c r="L1213" i="2"/>
  <c r="K1213" i="2"/>
  <c r="G1213" i="2"/>
  <c r="E1213" i="2"/>
  <c r="B1213" i="2"/>
  <c r="S1212" i="2"/>
  <c r="M1212" i="2"/>
  <c r="L1212" i="2"/>
  <c r="K1212" i="2"/>
  <c r="G1212" i="2"/>
  <c r="E1212" i="2"/>
  <c r="B1212" i="2"/>
  <c r="S1211" i="2"/>
  <c r="M1211" i="2"/>
  <c r="L1211" i="2"/>
  <c r="K1211" i="2"/>
  <c r="G1211" i="2"/>
  <c r="E1211" i="2"/>
  <c r="B1211" i="2"/>
  <c r="S1210" i="2"/>
  <c r="M1210" i="2"/>
  <c r="L1210" i="2"/>
  <c r="K1210" i="2"/>
  <c r="G1210" i="2"/>
  <c r="E1210" i="2"/>
  <c r="B1210" i="2"/>
  <c r="S1209" i="2"/>
  <c r="M1209" i="2"/>
  <c r="L1209" i="2"/>
  <c r="K1209" i="2"/>
  <c r="G1209" i="2"/>
  <c r="E1209" i="2"/>
  <c r="B1209" i="2"/>
  <c r="S1208" i="2"/>
  <c r="M1208" i="2"/>
  <c r="L1208" i="2"/>
  <c r="K1208" i="2"/>
  <c r="G1208" i="2"/>
  <c r="E1208" i="2"/>
  <c r="B1208" i="2"/>
  <c r="S1207" i="2"/>
  <c r="M1207" i="2"/>
  <c r="L1207" i="2"/>
  <c r="K1207" i="2"/>
  <c r="G1207" i="2"/>
  <c r="E1207" i="2"/>
  <c r="B1207" i="2"/>
  <c r="S1206" i="2"/>
  <c r="M1206" i="2"/>
  <c r="L1206" i="2"/>
  <c r="K1206" i="2"/>
  <c r="G1206" i="2"/>
  <c r="E1206" i="2"/>
  <c r="B1206" i="2"/>
  <c r="S1205" i="2"/>
  <c r="M1205" i="2"/>
  <c r="L1205" i="2"/>
  <c r="K1205" i="2"/>
  <c r="G1205" i="2"/>
  <c r="E1205" i="2"/>
  <c r="B1205" i="2"/>
  <c r="S1204" i="2"/>
  <c r="M1204" i="2"/>
  <c r="L1204" i="2"/>
  <c r="K1204" i="2"/>
  <c r="G1204" i="2"/>
  <c r="E1204" i="2"/>
  <c r="B1204" i="2"/>
  <c r="S1203" i="2"/>
  <c r="M1203" i="2"/>
  <c r="L1203" i="2"/>
  <c r="K1203" i="2"/>
  <c r="G1203" i="2"/>
  <c r="E1203" i="2"/>
  <c r="B1203" i="2"/>
  <c r="S1202" i="2"/>
  <c r="M1202" i="2"/>
  <c r="L1202" i="2"/>
  <c r="K1202" i="2"/>
  <c r="G1202" i="2"/>
  <c r="E1202" i="2"/>
  <c r="B1202" i="2"/>
  <c r="S1201" i="2"/>
  <c r="M1201" i="2"/>
  <c r="L1201" i="2"/>
  <c r="K1201" i="2"/>
  <c r="G1201" i="2"/>
  <c r="E1201" i="2"/>
  <c r="B1201" i="2"/>
  <c r="S1200" i="2"/>
  <c r="M1200" i="2"/>
  <c r="L1200" i="2"/>
  <c r="K1200" i="2"/>
  <c r="G1200" i="2"/>
  <c r="E1200" i="2"/>
  <c r="B1200" i="2"/>
  <c r="S1199" i="2"/>
  <c r="M1199" i="2"/>
  <c r="L1199" i="2"/>
  <c r="K1199" i="2"/>
  <c r="G1199" i="2"/>
  <c r="E1199" i="2"/>
  <c r="B1199" i="2"/>
  <c r="S1198" i="2"/>
  <c r="M1198" i="2"/>
  <c r="L1198" i="2"/>
  <c r="K1198" i="2"/>
  <c r="G1198" i="2"/>
  <c r="E1198" i="2"/>
  <c r="B1198" i="2"/>
  <c r="S1197" i="2"/>
  <c r="M1197" i="2"/>
  <c r="L1197" i="2"/>
  <c r="K1197" i="2"/>
  <c r="G1197" i="2"/>
  <c r="E1197" i="2"/>
  <c r="B1197" i="2"/>
  <c r="S1196" i="2"/>
  <c r="M1196" i="2"/>
  <c r="L1196" i="2"/>
  <c r="K1196" i="2"/>
  <c r="G1196" i="2"/>
  <c r="E1196" i="2"/>
  <c r="B1196" i="2"/>
  <c r="S1195" i="2"/>
  <c r="M1195" i="2"/>
  <c r="L1195" i="2"/>
  <c r="K1195" i="2"/>
  <c r="G1195" i="2"/>
  <c r="E1195" i="2"/>
  <c r="B1195" i="2"/>
  <c r="S1194" i="2"/>
  <c r="M1194" i="2"/>
  <c r="L1194" i="2"/>
  <c r="K1194" i="2"/>
  <c r="G1194" i="2"/>
  <c r="E1194" i="2"/>
  <c r="B1194" i="2"/>
  <c r="S1193" i="2"/>
  <c r="M1193" i="2"/>
  <c r="L1193" i="2"/>
  <c r="K1193" i="2"/>
  <c r="G1193" i="2"/>
  <c r="E1193" i="2"/>
  <c r="B1193" i="2"/>
  <c r="S1192" i="2"/>
  <c r="M1192" i="2"/>
  <c r="L1192" i="2"/>
  <c r="K1192" i="2"/>
  <c r="G1192" i="2"/>
  <c r="E1192" i="2"/>
  <c r="B1192" i="2"/>
  <c r="S1191" i="2"/>
  <c r="M1191" i="2"/>
  <c r="L1191" i="2"/>
  <c r="K1191" i="2"/>
  <c r="G1191" i="2"/>
  <c r="E1191" i="2"/>
  <c r="B1191" i="2"/>
  <c r="S1190" i="2"/>
  <c r="M1190" i="2"/>
  <c r="L1190" i="2"/>
  <c r="K1190" i="2"/>
  <c r="G1190" i="2"/>
  <c r="E1190" i="2"/>
  <c r="B1190" i="2"/>
  <c r="S1189" i="2"/>
  <c r="M1189" i="2"/>
  <c r="L1189" i="2"/>
  <c r="K1189" i="2"/>
  <c r="G1189" i="2"/>
  <c r="E1189" i="2"/>
  <c r="B1189" i="2"/>
  <c r="S1188" i="2"/>
  <c r="M1188" i="2"/>
  <c r="L1188" i="2"/>
  <c r="K1188" i="2"/>
  <c r="G1188" i="2"/>
  <c r="E1188" i="2"/>
  <c r="B1188" i="2"/>
  <c r="S1187" i="2"/>
  <c r="M1187" i="2"/>
  <c r="L1187" i="2"/>
  <c r="K1187" i="2"/>
  <c r="G1187" i="2"/>
  <c r="E1187" i="2"/>
  <c r="B1187" i="2"/>
  <c r="S1186" i="2"/>
  <c r="M1186" i="2"/>
  <c r="L1186" i="2"/>
  <c r="K1186" i="2"/>
  <c r="G1186" i="2"/>
  <c r="E1186" i="2"/>
  <c r="B1186" i="2"/>
  <c r="S1185" i="2"/>
  <c r="M1185" i="2"/>
  <c r="L1185" i="2"/>
  <c r="K1185" i="2"/>
  <c r="G1185" i="2"/>
  <c r="E1185" i="2"/>
  <c r="B1185" i="2"/>
  <c r="S1184" i="2"/>
  <c r="M1184" i="2"/>
  <c r="L1184" i="2"/>
  <c r="K1184" i="2"/>
  <c r="G1184" i="2"/>
  <c r="E1184" i="2"/>
  <c r="B1184" i="2"/>
  <c r="S1183" i="2"/>
  <c r="M1183" i="2"/>
  <c r="L1183" i="2"/>
  <c r="K1183" i="2"/>
  <c r="G1183" i="2"/>
  <c r="E1183" i="2"/>
  <c r="B1183" i="2"/>
  <c r="S1182" i="2"/>
  <c r="M1182" i="2"/>
  <c r="L1182" i="2"/>
  <c r="K1182" i="2"/>
  <c r="G1182" i="2"/>
  <c r="E1182" i="2"/>
  <c r="B1182" i="2"/>
  <c r="S1181" i="2"/>
  <c r="M1181" i="2"/>
  <c r="L1181" i="2"/>
  <c r="K1181" i="2"/>
  <c r="G1181" i="2"/>
  <c r="E1181" i="2"/>
  <c r="B1181" i="2"/>
  <c r="S1180" i="2"/>
  <c r="M1180" i="2"/>
  <c r="L1180" i="2"/>
  <c r="K1180" i="2"/>
  <c r="G1180" i="2"/>
  <c r="E1180" i="2"/>
  <c r="B1180" i="2"/>
  <c r="S1179" i="2"/>
  <c r="M1179" i="2"/>
  <c r="L1179" i="2"/>
  <c r="K1179" i="2"/>
  <c r="G1179" i="2"/>
  <c r="E1179" i="2"/>
  <c r="B1179" i="2"/>
  <c r="S1178" i="2"/>
  <c r="M1178" i="2"/>
  <c r="L1178" i="2"/>
  <c r="K1178" i="2"/>
  <c r="G1178" i="2"/>
  <c r="E1178" i="2"/>
  <c r="B1178" i="2"/>
  <c r="S1177" i="2"/>
  <c r="M1177" i="2"/>
  <c r="L1177" i="2"/>
  <c r="K1177" i="2"/>
  <c r="G1177" i="2"/>
  <c r="E1177" i="2"/>
  <c r="B1177" i="2"/>
  <c r="S1176" i="2"/>
  <c r="M1176" i="2"/>
  <c r="L1176" i="2"/>
  <c r="K1176" i="2"/>
  <c r="G1176" i="2"/>
  <c r="E1176" i="2"/>
  <c r="B1176" i="2"/>
  <c r="S1175" i="2"/>
  <c r="M1175" i="2"/>
  <c r="L1175" i="2"/>
  <c r="K1175" i="2"/>
  <c r="G1175" i="2"/>
  <c r="E1175" i="2"/>
  <c r="B1175" i="2"/>
  <c r="S1174" i="2"/>
  <c r="M1174" i="2"/>
  <c r="L1174" i="2"/>
  <c r="K1174" i="2"/>
  <c r="G1174" i="2"/>
  <c r="E1174" i="2"/>
  <c r="B1174" i="2"/>
  <c r="S1173" i="2"/>
  <c r="M1173" i="2"/>
  <c r="L1173" i="2"/>
  <c r="K1173" i="2"/>
  <c r="G1173" i="2"/>
  <c r="E1173" i="2"/>
  <c r="B1173" i="2"/>
  <c r="S1172" i="2"/>
  <c r="M1172" i="2"/>
  <c r="L1172" i="2"/>
  <c r="K1172" i="2"/>
  <c r="G1172" i="2"/>
  <c r="E1172" i="2"/>
  <c r="B1172" i="2"/>
  <c r="S1171" i="2"/>
  <c r="M1171" i="2"/>
  <c r="L1171" i="2"/>
  <c r="K1171" i="2"/>
  <c r="G1171" i="2"/>
  <c r="E1171" i="2"/>
  <c r="B1171" i="2"/>
  <c r="S1170" i="2"/>
  <c r="M1170" i="2"/>
  <c r="L1170" i="2"/>
  <c r="K1170" i="2"/>
  <c r="G1170" i="2"/>
  <c r="E1170" i="2"/>
  <c r="B1170" i="2"/>
  <c r="S1169" i="2"/>
  <c r="M1169" i="2"/>
  <c r="L1169" i="2"/>
  <c r="K1169" i="2"/>
  <c r="G1169" i="2"/>
  <c r="E1169" i="2"/>
  <c r="B1169" i="2"/>
  <c r="S1168" i="2"/>
  <c r="M1168" i="2"/>
  <c r="L1168" i="2"/>
  <c r="K1168" i="2"/>
  <c r="G1168" i="2"/>
  <c r="E1168" i="2"/>
  <c r="B1168" i="2"/>
  <c r="S1167" i="2"/>
  <c r="M1167" i="2"/>
  <c r="L1167" i="2"/>
  <c r="K1167" i="2"/>
  <c r="G1167" i="2"/>
  <c r="E1167" i="2"/>
  <c r="B1167" i="2"/>
  <c r="S1166" i="2"/>
  <c r="M1166" i="2"/>
  <c r="L1166" i="2"/>
  <c r="K1166" i="2"/>
  <c r="G1166" i="2"/>
  <c r="E1166" i="2"/>
  <c r="B1166" i="2"/>
  <c r="S1165" i="2"/>
  <c r="M1165" i="2"/>
  <c r="L1165" i="2"/>
  <c r="K1165" i="2"/>
  <c r="G1165" i="2"/>
  <c r="E1165" i="2"/>
  <c r="B1165" i="2"/>
  <c r="S1164" i="2"/>
  <c r="M1164" i="2"/>
  <c r="L1164" i="2"/>
  <c r="K1164" i="2"/>
  <c r="G1164" i="2"/>
  <c r="E1164" i="2"/>
  <c r="B1164" i="2"/>
  <c r="S1163" i="2"/>
  <c r="M1163" i="2"/>
  <c r="L1163" i="2"/>
  <c r="K1163" i="2"/>
  <c r="G1163" i="2"/>
  <c r="E1163" i="2"/>
  <c r="B1163" i="2"/>
  <c r="S1162" i="2"/>
  <c r="M1162" i="2"/>
  <c r="L1162" i="2"/>
  <c r="K1162" i="2"/>
  <c r="G1162" i="2"/>
  <c r="E1162" i="2"/>
  <c r="B1162" i="2"/>
  <c r="S1161" i="2"/>
  <c r="M1161" i="2"/>
  <c r="L1161" i="2"/>
  <c r="K1161" i="2"/>
  <c r="G1161" i="2"/>
  <c r="E1161" i="2"/>
  <c r="B1161" i="2"/>
  <c r="S1160" i="2"/>
  <c r="M1160" i="2"/>
  <c r="L1160" i="2"/>
  <c r="K1160" i="2"/>
  <c r="G1160" i="2"/>
  <c r="E1160" i="2"/>
  <c r="B1160" i="2"/>
  <c r="S1159" i="2"/>
  <c r="M1159" i="2"/>
  <c r="L1159" i="2"/>
  <c r="K1159" i="2"/>
  <c r="G1159" i="2"/>
  <c r="E1159" i="2"/>
  <c r="B1159" i="2"/>
  <c r="S1158" i="2"/>
  <c r="M1158" i="2"/>
  <c r="L1158" i="2"/>
  <c r="K1158" i="2"/>
  <c r="G1158" i="2"/>
  <c r="E1158" i="2"/>
  <c r="B1158" i="2"/>
  <c r="S1157" i="2"/>
  <c r="M1157" i="2"/>
  <c r="L1157" i="2"/>
  <c r="K1157" i="2"/>
  <c r="G1157" i="2"/>
  <c r="E1157" i="2"/>
  <c r="B1157" i="2"/>
  <c r="S1156" i="2"/>
  <c r="M1156" i="2"/>
  <c r="L1156" i="2"/>
  <c r="K1156" i="2"/>
  <c r="G1156" i="2"/>
  <c r="E1156" i="2"/>
  <c r="B1156" i="2"/>
  <c r="S1155" i="2"/>
  <c r="M1155" i="2"/>
  <c r="L1155" i="2"/>
  <c r="K1155" i="2"/>
  <c r="G1155" i="2"/>
  <c r="E1155" i="2"/>
  <c r="B1155" i="2"/>
  <c r="S1154" i="2"/>
  <c r="M1154" i="2"/>
  <c r="L1154" i="2"/>
  <c r="K1154" i="2"/>
  <c r="G1154" i="2"/>
  <c r="E1154" i="2"/>
  <c r="B1154" i="2"/>
  <c r="S1153" i="2"/>
  <c r="M1153" i="2"/>
  <c r="L1153" i="2"/>
  <c r="K1153" i="2"/>
  <c r="G1153" i="2"/>
  <c r="E1153" i="2"/>
  <c r="B1153" i="2"/>
  <c r="S1152" i="2"/>
  <c r="M1152" i="2"/>
  <c r="L1152" i="2"/>
  <c r="K1152" i="2"/>
  <c r="G1152" i="2"/>
  <c r="E1152" i="2"/>
  <c r="B1152" i="2"/>
  <c r="S1151" i="2"/>
  <c r="M1151" i="2"/>
  <c r="L1151" i="2"/>
  <c r="K1151" i="2"/>
  <c r="G1151" i="2"/>
  <c r="E1151" i="2"/>
  <c r="B1151" i="2"/>
  <c r="S1150" i="2"/>
  <c r="M1150" i="2"/>
  <c r="L1150" i="2"/>
  <c r="K1150" i="2"/>
  <c r="G1150" i="2"/>
  <c r="E1150" i="2"/>
  <c r="B1150" i="2"/>
  <c r="S1149" i="2"/>
  <c r="M1149" i="2"/>
  <c r="L1149" i="2"/>
  <c r="K1149" i="2"/>
  <c r="G1149" i="2"/>
  <c r="E1149" i="2"/>
  <c r="B1149" i="2"/>
  <c r="S1148" i="2"/>
  <c r="M1148" i="2"/>
  <c r="L1148" i="2"/>
  <c r="K1148" i="2"/>
  <c r="G1148" i="2"/>
  <c r="E1148" i="2"/>
  <c r="B1148" i="2"/>
  <c r="S1147" i="2"/>
  <c r="M1147" i="2"/>
  <c r="L1147" i="2"/>
  <c r="K1147" i="2"/>
  <c r="G1147" i="2"/>
  <c r="E1147" i="2"/>
  <c r="B1147" i="2"/>
  <c r="S1146" i="2"/>
  <c r="M1146" i="2"/>
  <c r="L1146" i="2"/>
  <c r="K1146" i="2"/>
  <c r="G1146" i="2"/>
  <c r="E1146" i="2"/>
  <c r="B1146" i="2"/>
  <c r="S1145" i="2"/>
  <c r="M1145" i="2"/>
  <c r="L1145" i="2"/>
  <c r="K1145" i="2"/>
  <c r="G1145" i="2"/>
  <c r="E1145" i="2"/>
  <c r="B1145" i="2"/>
  <c r="S1144" i="2"/>
  <c r="M1144" i="2"/>
  <c r="L1144" i="2"/>
  <c r="K1144" i="2"/>
  <c r="G1144" i="2"/>
  <c r="E1144" i="2"/>
  <c r="B1144" i="2"/>
  <c r="S1143" i="2"/>
  <c r="M1143" i="2"/>
  <c r="L1143" i="2"/>
  <c r="K1143" i="2"/>
  <c r="G1143" i="2"/>
  <c r="E1143" i="2"/>
  <c r="B1143" i="2"/>
  <c r="S1142" i="2"/>
  <c r="M1142" i="2"/>
  <c r="L1142" i="2"/>
  <c r="K1142" i="2"/>
  <c r="G1142" i="2"/>
  <c r="E1142" i="2"/>
  <c r="B1142" i="2"/>
  <c r="S1141" i="2"/>
  <c r="M1141" i="2"/>
  <c r="L1141" i="2"/>
  <c r="K1141" i="2"/>
  <c r="G1141" i="2"/>
  <c r="E1141" i="2"/>
  <c r="B1141" i="2"/>
  <c r="S1140" i="2"/>
  <c r="M1140" i="2"/>
  <c r="L1140" i="2"/>
  <c r="K1140" i="2"/>
  <c r="G1140" i="2"/>
  <c r="E1140" i="2"/>
  <c r="B1140" i="2"/>
  <c r="S1139" i="2"/>
  <c r="M1139" i="2"/>
  <c r="L1139" i="2"/>
  <c r="K1139" i="2"/>
  <c r="G1139" i="2"/>
  <c r="E1139" i="2"/>
  <c r="B1139" i="2"/>
  <c r="S1138" i="2"/>
  <c r="M1138" i="2"/>
  <c r="L1138" i="2"/>
  <c r="K1138" i="2"/>
  <c r="G1138" i="2"/>
  <c r="E1138" i="2"/>
  <c r="B1138" i="2"/>
  <c r="S1137" i="2"/>
  <c r="M1137" i="2"/>
  <c r="L1137" i="2"/>
  <c r="K1137" i="2"/>
  <c r="G1137" i="2"/>
  <c r="E1137" i="2"/>
  <c r="B1137" i="2"/>
  <c r="S1136" i="2"/>
  <c r="M1136" i="2"/>
  <c r="L1136" i="2"/>
  <c r="K1136" i="2"/>
  <c r="G1136" i="2"/>
  <c r="E1136" i="2"/>
  <c r="B1136" i="2"/>
  <c r="S1135" i="2"/>
  <c r="M1135" i="2"/>
  <c r="L1135" i="2"/>
  <c r="K1135" i="2"/>
  <c r="G1135" i="2"/>
  <c r="E1135" i="2"/>
  <c r="B1135" i="2"/>
  <c r="S1134" i="2"/>
  <c r="M1134" i="2"/>
  <c r="L1134" i="2"/>
  <c r="K1134" i="2"/>
  <c r="G1134" i="2"/>
  <c r="E1134" i="2"/>
  <c r="B1134" i="2"/>
  <c r="S1133" i="2"/>
  <c r="M1133" i="2"/>
  <c r="L1133" i="2"/>
  <c r="K1133" i="2"/>
  <c r="G1133" i="2"/>
  <c r="E1133" i="2"/>
  <c r="B1133" i="2"/>
  <c r="S1132" i="2"/>
  <c r="M1132" i="2"/>
  <c r="L1132" i="2"/>
  <c r="K1132" i="2"/>
  <c r="G1132" i="2"/>
  <c r="E1132" i="2"/>
  <c r="B1132" i="2"/>
  <c r="S1131" i="2"/>
  <c r="M1131" i="2"/>
  <c r="L1131" i="2"/>
  <c r="K1131" i="2"/>
  <c r="G1131" i="2"/>
  <c r="E1131" i="2"/>
  <c r="B1131" i="2"/>
  <c r="S1130" i="2"/>
  <c r="M1130" i="2"/>
  <c r="L1130" i="2"/>
  <c r="K1130" i="2"/>
  <c r="G1130" i="2"/>
  <c r="E1130" i="2"/>
  <c r="B1130" i="2"/>
  <c r="S1129" i="2"/>
  <c r="M1129" i="2"/>
  <c r="L1129" i="2"/>
  <c r="K1129" i="2"/>
  <c r="G1129" i="2"/>
  <c r="E1129" i="2"/>
  <c r="B1129" i="2"/>
  <c r="S1128" i="2"/>
  <c r="M1128" i="2"/>
  <c r="L1128" i="2"/>
  <c r="K1128" i="2"/>
  <c r="G1128" i="2"/>
  <c r="E1128" i="2"/>
  <c r="B1128" i="2"/>
  <c r="S1127" i="2"/>
  <c r="M1127" i="2"/>
  <c r="L1127" i="2"/>
  <c r="K1127" i="2"/>
  <c r="G1127" i="2"/>
  <c r="E1127" i="2"/>
  <c r="B1127" i="2"/>
  <c r="S1126" i="2"/>
  <c r="M1126" i="2"/>
  <c r="L1126" i="2"/>
  <c r="K1126" i="2"/>
  <c r="G1126" i="2"/>
  <c r="E1126" i="2"/>
  <c r="B1126" i="2"/>
  <c r="S1125" i="2"/>
  <c r="M1125" i="2"/>
  <c r="L1125" i="2"/>
  <c r="K1125" i="2"/>
  <c r="G1125" i="2"/>
  <c r="E1125" i="2"/>
  <c r="B1125" i="2"/>
  <c r="S1124" i="2"/>
  <c r="M1124" i="2"/>
  <c r="L1124" i="2"/>
  <c r="K1124" i="2"/>
  <c r="G1124" i="2"/>
  <c r="E1124" i="2"/>
  <c r="B1124" i="2"/>
  <c r="S1123" i="2"/>
  <c r="M1123" i="2"/>
  <c r="L1123" i="2"/>
  <c r="K1123" i="2"/>
  <c r="G1123" i="2"/>
  <c r="E1123" i="2"/>
  <c r="B1123" i="2"/>
  <c r="S1122" i="2"/>
  <c r="M1122" i="2"/>
  <c r="L1122" i="2"/>
  <c r="K1122" i="2"/>
  <c r="G1122" i="2"/>
  <c r="E1122" i="2"/>
  <c r="B1122" i="2"/>
  <c r="S1121" i="2"/>
  <c r="M1121" i="2"/>
  <c r="L1121" i="2"/>
  <c r="K1121" i="2"/>
  <c r="G1121" i="2"/>
  <c r="E1121" i="2"/>
  <c r="B1121" i="2"/>
  <c r="S1120" i="2"/>
  <c r="M1120" i="2"/>
  <c r="L1120" i="2"/>
  <c r="K1120" i="2"/>
  <c r="G1120" i="2"/>
  <c r="E1120" i="2"/>
  <c r="B1120" i="2"/>
  <c r="S1119" i="2"/>
  <c r="M1119" i="2"/>
  <c r="L1119" i="2"/>
  <c r="K1119" i="2"/>
  <c r="G1119" i="2"/>
  <c r="E1119" i="2"/>
  <c r="B1119" i="2"/>
  <c r="S1118" i="2"/>
  <c r="M1118" i="2"/>
  <c r="L1118" i="2"/>
  <c r="K1118" i="2"/>
  <c r="G1118" i="2"/>
  <c r="E1118" i="2"/>
  <c r="B1118" i="2"/>
  <c r="S1117" i="2"/>
  <c r="M1117" i="2"/>
  <c r="L1117" i="2"/>
  <c r="K1117" i="2"/>
  <c r="G1117" i="2"/>
  <c r="E1117" i="2"/>
  <c r="B1117" i="2"/>
  <c r="S1116" i="2"/>
  <c r="M1116" i="2"/>
  <c r="L1116" i="2"/>
  <c r="K1116" i="2"/>
  <c r="G1116" i="2"/>
  <c r="E1116" i="2"/>
  <c r="B1116" i="2"/>
  <c r="S1115" i="2"/>
  <c r="M1115" i="2"/>
  <c r="L1115" i="2"/>
  <c r="K1115" i="2"/>
  <c r="G1115" i="2"/>
  <c r="E1115" i="2"/>
  <c r="B1115" i="2"/>
  <c r="S1114" i="2"/>
  <c r="M1114" i="2"/>
  <c r="L1114" i="2"/>
  <c r="K1114" i="2"/>
  <c r="G1114" i="2"/>
  <c r="E1114" i="2"/>
  <c r="B1114" i="2"/>
  <c r="S1113" i="2"/>
  <c r="M1113" i="2"/>
  <c r="L1113" i="2"/>
  <c r="K1113" i="2"/>
  <c r="H1113" i="2"/>
  <c r="G1113" i="2"/>
  <c r="E1113" i="2"/>
  <c r="B1113" i="2"/>
  <c r="S1112" i="2"/>
  <c r="M1112" i="2"/>
  <c r="L1112" i="2"/>
  <c r="K1112" i="2"/>
  <c r="H1112" i="2"/>
  <c r="G1112" i="2"/>
  <c r="E1112" i="2"/>
  <c r="B1112" i="2"/>
  <c r="S1111" i="2"/>
  <c r="M1111" i="2"/>
  <c r="L1111" i="2"/>
  <c r="K1111" i="2"/>
  <c r="H1111" i="2"/>
  <c r="G1111" i="2"/>
  <c r="E1111" i="2"/>
  <c r="B1111" i="2"/>
  <c r="S1110" i="2"/>
  <c r="M1110" i="2"/>
  <c r="L1110" i="2"/>
  <c r="K1110" i="2"/>
  <c r="H1110" i="2"/>
  <c r="G1110" i="2"/>
  <c r="E1110" i="2"/>
  <c r="B1110" i="2"/>
  <c r="S1109" i="2"/>
  <c r="M1109" i="2"/>
  <c r="L1109" i="2"/>
  <c r="K1109" i="2"/>
  <c r="H1109" i="2"/>
  <c r="G1109" i="2"/>
  <c r="E1109" i="2"/>
  <c r="B1109" i="2"/>
  <c r="S1108" i="2"/>
  <c r="M1108" i="2"/>
  <c r="L1108" i="2"/>
  <c r="K1108" i="2"/>
  <c r="H1108" i="2"/>
  <c r="G1108" i="2"/>
  <c r="E1108" i="2"/>
  <c r="B1108" i="2"/>
  <c r="S1107" i="2"/>
  <c r="M1107" i="2"/>
  <c r="L1107" i="2"/>
  <c r="K1107" i="2"/>
  <c r="G1107" i="2"/>
  <c r="E1107" i="2"/>
  <c r="B1107" i="2"/>
  <c r="S1106" i="2"/>
  <c r="M1106" i="2"/>
  <c r="L1106" i="2"/>
  <c r="K1106" i="2"/>
  <c r="H1106" i="2"/>
  <c r="G1106" i="2"/>
  <c r="E1106" i="2"/>
  <c r="B1106" i="2"/>
  <c r="S1105" i="2"/>
  <c r="M1105" i="2"/>
  <c r="L1105" i="2"/>
  <c r="K1105" i="2"/>
  <c r="G1105" i="2"/>
  <c r="E1105" i="2"/>
  <c r="B1105" i="2"/>
  <c r="S1104" i="2"/>
  <c r="M1104" i="2"/>
  <c r="L1104" i="2"/>
  <c r="K1104" i="2"/>
  <c r="G1104" i="2"/>
  <c r="E1104" i="2"/>
  <c r="B1104" i="2"/>
  <c r="S1103" i="2"/>
  <c r="M1103" i="2"/>
  <c r="L1103" i="2"/>
  <c r="K1103" i="2"/>
  <c r="G1103" i="2"/>
  <c r="E1103" i="2"/>
  <c r="B1103" i="2"/>
  <c r="S1102" i="2"/>
  <c r="M1102" i="2"/>
  <c r="L1102" i="2"/>
  <c r="K1102" i="2"/>
  <c r="G1102" i="2"/>
  <c r="E1102" i="2"/>
  <c r="B1102" i="2"/>
  <c r="S1101" i="2"/>
  <c r="M1101" i="2"/>
  <c r="L1101" i="2"/>
  <c r="K1101" i="2"/>
  <c r="G1101" i="2"/>
  <c r="E1101" i="2"/>
  <c r="B1101" i="2"/>
  <c r="S1100" i="2"/>
  <c r="M1100" i="2"/>
  <c r="L1100" i="2"/>
  <c r="K1100" i="2"/>
  <c r="G1100" i="2"/>
  <c r="E1100" i="2"/>
  <c r="B1100" i="2"/>
  <c r="S1099" i="2"/>
  <c r="M1099" i="2"/>
  <c r="L1099" i="2"/>
  <c r="K1099" i="2"/>
  <c r="G1099" i="2"/>
  <c r="E1099" i="2"/>
  <c r="B1099" i="2"/>
  <c r="S1098" i="2"/>
  <c r="M1098" i="2"/>
  <c r="L1098" i="2"/>
  <c r="K1098" i="2"/>
  <c r="G1098" i="2"/>
  <c r="E1098" i="2"/>
  <c r="B1098" i="2"/>
  <c r="S1097" i="2"/>
  <c r="M1097" i="2"/>
  <c r="L1097" i="2"/>
  <c r="K1097" i="2"/>
  <c r="G1097" i="2"/>
  <c r="E1097" i="2"/>
  <c r="B1097" i="2"/>
  <c r="S1096" i="2"/>
  <c r="M1096" i="2"/>
  <c r="L1096" i="2"/>
  <c r="K1096" i="2"/>
  <c r="G1096" i="2"/>
  <c r="E1096" i="2"/>
  <c r="B1096" i="2"/>
  <c r="S1095" i="2"/>
  <c r="M1095" i="2"/>
  <c r="L1095" i="2"/>
  <c r="K1095" i="2"/>
  <c r="G1095" i="2"/>
  <c r="E1095" i="2"/>
  <c r="B1095" i="2"/>
  <c r="S1094" i="2"/>
  <c r="M1094" i="2"/>
  <c r="L1094" i="2"/>
  <c r="K1094" i="2"/>
  <c r="G1094" i="2"/>
  <c r="E1094" i="2"/>
  <c r="B1094" i="2"/>
  <c r="S1093" i="2"/>
  <c r="M1093" i="2"/>
  <c r="L1093" i="2"/>
  <c r="K1093" i="2"/>
  <c r="G1093" i="2"/>
  <c r="E1093" i="2"/>
  <c r="B1093" i="2"/>
  <c r="S1092" i="2"/>
  <c r="M1092" i="2"/>
  <c r="L1092" i="2"/>
  <c r="K1092" i="2"/>
  <c r="G1092" i="2"/>
  <c r="E1092" i="2"/>
  <c r="B1092" i="2"/>
  <c r="S1091" i="2"/>
  <c r="M1091" i="2"/>
  <c r="L1091" i="2"/>
  <c r="K1091" i="2"/>
  <c r="G1091" i="2"/>
  <c r="E1091" i="2"/>
  <c r="B1091" i="2"/>
  <c r="S1090" i="2"/>
  <c r="M1090" i="2"/>
  <c r="L1090" i="2"/>
  <c r="K1090" i="2"/>
  <c r="G1090" i="2"/>
  <c r="E1090" i="2"/>
  <c r="B1090" i="2"/>
  <c r="S1089" i="2"/>
  <c r="M1089" i="2"/>
  <c r="L1089" i="2"/>
  <c r="K1089" i="2"/>
  <c r="G1089" i="2"/>
  <c r="E1089" i="2"/>
  <c r="B1089" i="2"/>
  <c r="S1088" i="2"/>
  <c r="M1088" i="2"/>
  <c r="L1088" i="2"/>
  <c r="K1088" i="2"/>
  <c r="G1088" i="2"/>
  <c r="E1088" i="2"/>
  <c r="B1088" i="2"/>
  <c r="S1087" i="2"/>
  <c r="M1087" i="2"/>
  <c r="L1087" i="2"/>
  <c r="K1087" i="2"/>
  <c r="G1087" i="2"/>
  <c r="E1087" i="2"/>
  <c r="B1087" i="2"/>
  <c r="S1086" i="2"/>
  <c r="M1086" i="2"/>
  <c r="L1086" i="2"/>
  <c r="K1086" i="2"/>
  <c r="G1086" i="2"/>
  <c r="E1086" i="2"/>
  <c r="B1086" i="2"/>
  <c r="S1085" i="2"/>
  <c r="M1085" i="2"/>
  <c r="L1085" i="2"/>
  <c r="K1085" i="2"/>
  <c r="G1085" i="2"/>
  <c r="E1085" i="2"/>
  <c r="B1085" i="2"/>
  <c r="S1084" i="2"/>
  <c r="M1084" i="2"/>
  <c r="L1084" i="2"/>
  <c r="K1084" i="2"/>
  <c r="G1084" i="2"/>
  <c r="E1084" i="2"/>
  <c r="B1084" i="2"/>
  <c r="S1083" i="2"/>
  <c r="M1083" i="2"/>
  <c r="L1083" i="2"/>
  <c r="K1083" i="2"/>
  <c r="G1083" i="2"/>
  <c r="E1083" i="2"/>
  <c r="B1083" i="2"/>
  <c r="S1082" i="2"/>
  <c r="M1082" i="2"/>
  <c r="L1082" i="2"/>
  <c r="K1082" i="2"/>
  <c r="G1082" i="2"/>
  <c r="E1082" i="2"/>
  <c r="B1082" i="2"/>
  <c r="S1081" i="2"/>
  <c r="M1081" i="2"/>
  <c r="L1081" i="2"/>
  <c r="K1081" i="2"/>
  <c r="G1081" i="2"/>
  <c r="E1081" i="2"/>
  <c r="B1081" i="2"/>
  <c r="S1080" i="2"/>
  <c r="M1080" i="2"/>
  <c r="L1080" i="2"/>
  <c r="K1080" i="2"/>
  <c r="G1080" i="2"/>
  <c r="E1080" i="2"/>
  <c r="B1080" i="2"/>
  <c r="S1079" i="2"/>
  <c r="M1079" i="2"/>
  <c r="L1079" i="2"/>
  <c r="K1079" i="2"/>
  <c r="G1079" i="2"/>
  <c r="E1079" i="2"/>
  <c r="B1079" i="2"/>
  <c r="S1078" i="2"/>
  <c r="M1078" i="2"/>
  <c r="L1078" i="2"/>
  <c r="K1078" i="2"/>
  <c r="G1078" i="2"/>
  <c r="E1078" i="2"/>
  <c r="B1078" i="2"/>
  <c r="S1077" i="2"/>
  <c r="M1077" i="2"/>
  <c r="L1077" i="2"/>
  <c r="K1077" i="2"/>
  <c r="G1077" i="2"/>
  <c r="E1077" i="2"/>
  <c r="B1077" i="2"/>
  <c r="S1076" i="2"/>
  <c r="M1076" i="2"/>
  <c r="L1076" i="2"/>
  <c r="K1076" i="2"/>
  <c r="G1076" i="2"/>
  <c r="E1076" i="2"/>
  <c r="B1076" i="2"/>
  <c r="S1075" i="2"/>
  <c r="M1075" i="2"/>
  <c r="L1075" i="2"/>
  <c r="K1075" i="2"/>
  <c r="G1075" i="2"/>
  <c r="E1075" i="2"/>
  <c r="B1075" i="2"/>
  <c r="S1074" i="2"/>
  <c r="M1074" i="2"/>
  <c r="L1074" i="2"/>
  <c r="K1074" i="2"/>
  <c r="G1074" i="2"/>
  <c r="E1074" i="2"/>
  <c r="B1074" i="2"/>
  <c r="S1073" i="2"/>
  <c r="M1073" i="2"/>
  <c r="L1073" i="2"/>
  <c r="K1073" i="2"/>
  <c r="G1073" i="2"/>
  <c r="E1073" i="2"/>
  <c r="B1073" i="2"/>
  <c r="S1072" i="2"/>
  <c r="M1072" i="2"/>
  <c r="L1072" i="2"/>
  <c r="K1072" i="2"/>
  <c r="G1072" i="2"/>
  <c r="E1072" i="2"/>
  <c r="B1072" i="2"/>
  <c r="S1071" i="2"/>
  <c r="M1071" i="2"/>
  <c r="L1071" i="2"/>
  <c r="K1071" i="2"/>
  <c r="G1071" i="2"/>
  <c r="E1071" i="2"/>
  <c r="B1071" i="2"/>
  <c r="S1070" i="2"/>
  <c r="M1070" i="2"/>
  <c r="L1070" i="2"/>
  <c r="K1070" i="2"/>
  <c r="G1070" i="2"/>
  <c r="E1070" i="2"/>
  <c r="B1070" i="2"/>
  <c r="S1069" i="2"/>
  <c r="M1069" i="2"/>
  <c r="L1069" i="2"/>
  <c r="K1069" i="2"/>
  <c r="G1069" i="2"/>
  <c r="E1069" i="2"/>
  <c r="B1069" i="2"/>
  <c r="S1068" i="2"/>
  <c r="M1068" i="2"/>
  <c r="L1068" i="2"/>
  <c r="K1068" i="2"/>
  <c r="G1068" i="2"/>
  <c r="E1068" i="2"/>
  <c r="B1068" i="2"/>
  <c r="S1067" i="2"/>
  <c r="M1067" i="2"/>
  <c r="L1067" i="2"/>
  <c r="K1067" i="2"/>
  <c r="G1067" i="2"/>
  <c r="E1067" i="2"/>
  <c r="B1067" i="2"/>
  <c r="S1066" i="2"/>
  <c r="M1066" i="2"/>
  <c r="L1066" i="2"/>
  <c r="K1066" i="2"/>
  <c r="G1066" i="2"/>
  <c r="E1066" i="2"/>
  <c r="B1066" i="2"/>
  <c r="S1065" i="2"/>
  <c r="M1065" i="2"/>
  <c r="L1065" i="2"/>
  <c r="K1065" i="2"/>
  <c r="G1065" i="2"/>
  <c r="E1065" i="2"/>
  <c r="B1065" i="2"/>
  <c r="S1064" i="2"/>
  <c r="M1064" i="2"/>
  <c r="L1064" i="2"/>
  <c r="K1064" i="2"/>
  <c r="G1064" i="2"/>
  <c r="E1064" i="2"/>
  <c r="B1064" i="2"/>
  <c r="S1063" i="2"/>
  <c r="M1063" i="2"/>
  <c r="L1063" i="2"/>
  <c r="K1063" i="2"/>
  <c r="G1063" i="2"/>
  <c r="E1063" i="2"/>
  <c r="B1063" i="2"/>
  <c r="S1062" i="2"/>
  <c r="M1062" i="2"/>
  <c r="L1062" i="2"/>
  <c r="K1062" i="2"/>
  <c r="G1062" i="2"/>
  <c r="E1062" i="2"/>
  <c r="B1062" i="2"/>
  <c r="S1061" i="2"/>
  <c r="M1061" i="2"/>
  <c r="L1061" i="2"/>
  <c r="K1061" i="2"/>
  <c r="G1061" i="2"/>
  <c r="E1061" i="2"/>
  <c r="B1061" i="2"/>
  <c r="S1060" i="2"/>
  <c r="M1060" i="2"/>
  <c r="L1060" i="2"/>
  <c r="K1060" i="2"/>
  <c r="G1060" i="2"/>
  <c r="E1060" i="2"/>
  <c r="B1060" i="2"/>
  <c r="S1059" i="2"/>
  <c r="M1059" i="2"/>
  <c r="L1059" i="2"/>
  <c r="K1059" i="2"/>
  <c r="G1059" i="2"/>
  <c r="E1059" i="2"/>
  <c r="B1059" i="2"/>
  <c r="S1058" i="2"/>
  <c r="M1058" i="2"/>
  <c r="L1058" i="2"/>
  <c r="K1058" i="2"/>
  <c r="G1058" i="2"/>
  <c r="E1058" i="2"/>
  <c r="B1058" i="2"/>
  <c r="S1057" i="2"/>
  <c r="M1057" i="2"/>
  <c r="L1057" i="2"/>
  <c r="K1057" i="2"/>
  <c r="G1057" i="2"/>
  <c r="E1057" i="2"/>
  <c r="B1057" i="2"/>
  <c r="S1056" i="2"/>
  <c r="M1056" i="2"/>
  <c r="L1056" i="2"/>
  <c r="K1056" i="2"/>
  <c r="G1056" i="2"/>
  <c r="E1056" i="2"/>
  <c r="B1056" i="2"/>
  <c r="S1055" i="2"/>
  <c r="M1055" i="2"/>
  <c r="L1055" i="2"/>
  <c r="K1055" i="2"/>
  <c r="G1055" i="2"/>
  <c r="E1055" i="2"/>
  <c r="B1055" i="2"/>
  <c r="S1054" i="2"/>
  <c r="M1054" i="2"/>
  <c r="L1054" i="2"/>
  <c r="K1054" i="2"/>
  <c r="G1054" i="2"/>
  <c r="E1054" i="2"/>
  <c r="B1054" i="2"/>
  <c r="S1053" i="2"/>
  <c r="M1053" i="2"/>
  <c r="L1053" i="2"/>
  <c r="K1053" i="2"/>
  <c r="G1053" i="2"/>
  <c r="E1053" i="2"/>
  <c r="B1053" i="2"/>
  <c r="S1052" i="2"/>
  <c r="M1052" i="2"/>
  <c r="L1052" i="2"/>
  <c r="K1052" i="2"/>
  <c r="G1052" i="2"/>
  <c r="E1052" i="2"/>
  <c r="B1052" i="2"/>
  <c r="S1051" i="2"/>
  <c r="M1051" i="2"/>
  <c r="L1051" i="2"/>
  <c r="K1051" i="2"/>
  <c r="G1051" i="2"/>
  <c r="E1051" i="2"/>
  <c r="B1051" i="2"/>
  <c r="S1050" i="2"/>
  <c r="M1050" i="2"/>
  <c r="L1050" i="2"/>
  <c r="K1050" i="2"/>
  <c r="G1050" i="2"/>
  <c r="E1050" i="2"/>
  <c r="B1050" i="2"/>
  <c r="S1049" i="2"/>
  <c r="M1049" i="2"/>
  <c r="L1049" i="2"/>
  <c r="K1049" i="2"/>
  <c r="G1049" i="2"/>
  <c r="E1049" i="2"/>
  <c r="B1049" i="2"/>
  <c r="S1048" i="2"/>
  <c r="M1048" i="2"/>
  <c r="L1048" i="2"/>
  <c r="K1048" i="2"/>
  <c r="G1048" i="2"/>
  <c r="E1048" i="2"/>
  <c r="B1048" i="2"/>
  <c r="S1047" i="2"/>
  <c r="M1047" i="2"/>
  <c r="L1047" i="2"/>
  <c r="K1047" i="2"/>
  <c r="G1047" i="2"/>
  <c r="E1047" i="2"/>
  <c r="B1047" i="2"/>
  <c r="S1046" i="2"/>
  <c r="M1046" i="2"/>
  <c r="L1046" i="2"/>
  <c r="K1046" i="2"/>
  <c r="G1046" i="2"/>
  <c r="E1046" i="2"/>
  <c r="B1046" i="2"/>
  <c r="S1045" i="2"/>
  <c r="M1045" i="2"/>
  <c r="L1045" i="2"/>
  <c r="K1045" i="2"/>
  <c r="G1045" i="2"/>
  <c r="E1045" i="2"/>
  <c r="B1045" i="2"/>
  <c r="S1044" i="2"/>
  <c r="M1044" i="2"/>
  <c r="L1044" i="2"/>
  <c r="K1044" i="2"/>
  <c r="G1044" i="2"/>
  <c r="E1044" i="2"/>
  <c r="B1044" i="2"/>
  <c r="S1043" i="2"/>
  <c r="M1043" i="2"/>
  <c r="L1043" i="2"/>
  <c r="K1043" i="2"/>
  <c r="G1043" i="2"/>
  <c r="E1043" i="2"/>
  <c r="B1043" i="2"/>
  <c r="S1042" i="2"/>
  <c r="M1042" i="2"/>
  <c r="L1042" i="2"/>
  <c r="K1042" i="2"/>
  <c r="G1042" i="2"/>
  <c r="E1042" i="2"/>
  <c r="B1042" i="2"/>
  <c r="S1041" i="2"/>
  <c r="M1041" i="2"/>
  <c r="L1041" i="2"/>
  <c r="K1041" i="2"/>
  <c r="G1041" i="2"/>
  <c r="E1041" i="2"/>
  <c r="B1041" i="2"/>
  <c r="S1040" i="2"/>
  <c r="M1040" i="2"/>
  <c r="L1040" i="2"/>
  <c r="K1040" i="2"/>
  <c r="G1040" i="2"/>
  <c r="E1040" i="2"/>
  <c r="B1040" i="2"/>
  <c r="S1039" i="2"/>
  <c r="M1039" i="2"/>
  <c r="L1039" i="2"/>
  <c r="K1039" i="2"/>
  <c r="G1039" i="2"/>
  <c r="E1039" i="2"/>
  <c r="B1039" i="2"/>
  <c r="S1038" i="2"/>
  <c r="M1038" i="2"/>
  <c r="L1038" i="2"/>
  <c r="K1038" i="2"/>
  <c r="G1038" i="2"/>
  <c r="E1038" i="2"/>
  <c r="B1038" i="2"/>
  <c r="S1037" i="2"/>
  <c r="M1037" i="2"/>
  <c r="L1037" i="2"/>
  <c r="K1037" i="2"/>
  <c r="G1037" i="2"/>
  <c r="E1037" i="2"/>
  <c r="B1037" i="2"/>
  <c r="S1036" i="2"/>
  <c r="M1036" i="2"/>
  <c r="L1036" i="2"/>
  <c r="K1036" i="2"/>
  <c r="G1036" i="2"/>
  <c r="E1036" i="2"/>
  <c r="B1036" i="2"/>
  <c r="S1035" i="2"/>
  <c r="M1035" i="2"/>
  <c r="L1035" i="2"/>
  <c r="K1035" i="2"/>
  <c r="G1035" i="2"/>
  <c r="E1035" i="2"/>
  <c r="B1035" i="2"/>
  <c r="S1034" i="2"/>
  <c r="M1034" i="2"/>
  <c r="L1034" i="2"/>
  <c r="K1034" i="2"/>
  <c r="G1034" i="2"/>
  <c r="E1034" i="2"/>
  <c r="B1034" i="2"/>
  <c r="S1033" i="2"/>
  <c r="M1033" i="2"/>
  <c r="L1033" i="2"/>
  <c r="K1033" i="2"/>
  <c r="G1033" i="2"/>
  <c r="E1033" i="2"/>
  <c r="B1033" i="2"/>
  <c r="S1032" i="2"/>
  <c r="M1032" i="2"/>
  <c r="L1032" i="2"/>
  <c r="K1032" i="2"/>
  <c r="G1032" i="2"/>
  <c r="E1032" i="2"/>
  <c r="B1032" i="2"/>
  <c r="S1031" i="2"/>
  <c r="M1031" i="2"/>
  <c r="L1031" i="2"/>
  <c r="K1031" i="2"/>
  <c r="G1031" i="2"/>
  <c r="E1031" i="2"/>
  <c r="B1031" i="2"/>
  <c r="S1030" i="2"/>
  <c r="M1030" i="2"/>
  <c r="L1030" i="2"/>
  <c r="K1030" i="2"/>
  <c r="G1030" i="2"/>
  <c r="E1030" i="2"/>
  <c r="B1030" i="2"/>
  <c r="S1029" i="2"/>
  <c r="M1029" i="2"/>
  <c r="L1029" i="2"/>
  <c r="K1029" i="2"/>
  <c r="G1029" i="2"/>
  <c r="E1029" i="2"/>
  <c r="B1029" i="2"/>
  <c r="S1028" i="2"/>
  <c r="M1028" i="2"/>
  <c r="L1028" i="2"/>
  <c r="K1028" i="2"/>
  <c r="G1028" i="2"/>
  <c r="E1028" i="2"/>
  <c r="B1028" i="2"/>
  <c r="S1027" i="2"/>
  <c r="M1027" i="2"/>
  <c r="L1027" i="2"/>
  <c r="K1027" i="2"/>
  <c r="G1027" i="2"/>
  <c r="E1027" i="2"/>
  <c r="B1027" i="2"/>
  <c r="S1026" i="2"/>
  <c r="M1026" i="2"/>
  <c r="L1026" i="2"/>
  <c r="K1026" i="2"/>
  <c r="G1026" i="2"/>
  <c r="E1026" i="2"/>
  <c r="B1026" i="2"/>
  <c r="S1025" i="2"/>
  <c r="M1025" i="2"/>
  <c r="L1025" i="2"/>
  <c r="K1025" i="2"/>
  <c r="G1025" i="2"/>
  <c r="E1025" i="2"/>
  <c r="B1025" i="2"/>
  <c r="S1024" i="2"/>
  <c r="M1024" i="2"/>
  <c r="L1024" i="2"/>
  <c r="K1024" i="2"/>
  <c r="G1024" i="2"/>
  <c r="E1024" i="2"/>
  <c r="B1024" i="2"/>
  <c r="S1023" i="2"/>
  <c r="M1023" i="2"/>
  <c r="L1023" i="2"/>
  <c r="K1023" i="2"/>
  <c r="G1023" i="2"/>
  <c r="E1023" i="2"/>
  <c r="B1023" i="2"/>
  <c r="S1022" i="2"/>
  <c r="M1022" i="2"/>
  <c r="L1022" i="2"/>
  <c r="K1022" i="2"/>
  <c r="G1022" i="2"/>
  <c r="E1022" i="2"/>
  <c r="B1022" i="2"/>
  <c r="S1021" i="2"/>
  <c r="M1021" i="2"/>
  <c r="L1021" i="2"/>
  <c r="K1021" i="2"/>
  <c r="G1021" i="2"/>
  <c r="E1021" i="2"/>
  <c r="B1021" i="2"/>
  <c r="S1020" i="2"/>
  <c r="M1020" i="2"/>
  <c r="L1020" i="2"/>
  <c r="K1020" i="2"/>
  <c r="G1020" i="2"/>
  <c r="E1020" i="2"/>
  <c r="B1020" i="2"/>
  <c r="S1019" i="2"/>
  <c r="M1019" i="2"/>
  <c r="L1019" i="2"/>
  <c r="K1019" i="2"/>
  <c r="G1019" i="2"/>
  <c r="E1019" i="2"/>
  <c r="B1019" i="2"/>
  <c r="S1018" i="2"/>
  <c r="M1018" i="2"/>
  <c r="L1018" i="2"/>
  <c r="K1018" i="2"/>
  <c r="G1018" i="2"/>
  <c r="E1018" i="2"/>
  <c r="B1018" i="2"/>
  <c r="S1017" i="2"/>
  <c r="M1017" i="2"/>
  <c r="L1017" i="2"/>
  <c r="K1017" i="2"/>
  <c r="G1017" i="2"/>
  <c r="E1017" i="2"/>
  <c r="B1017" i="2"/>
  <c r="S1016" i="2"/>
  <c r="M1016" i="2"/>
  <c r="L1016" i="2"/>
  <c r="K1016" i="2"/>
  <c r="G1016" i="2"/>
  <c r="E1016" i="2"/>
  <c r="B1016" i="2"/>
  <c r="S1015" i="2"/>
  <c r="M1015" i="2"/>
  <c r="L1015" i="2"/>
  <c r="K1015" i="2"/>
  <c r="G1015" i="2"/>
  <c r="E1015" i="2"/>
  <c r="B1015" i="2"/>
  <c r="S1014" i="2"/>
  <c r="M1014" i="2"/>
  <c r="L1014" i="2"/>
  <c r="K1014" i="2"/>
  <c r="G1014" i="2"/>
  <c r="E1014" i="2"/>
  <c r="B1014" i="2"/>
  <c r="S1013" i="2"/>
  <c r="M1013" i="2"/>
  <c r="L1013" i="2"/>
  <c r="K1013" i="2"/>
  <c r="G1013" i="2"/>
  <c r="E1013" i="2"/>
  <c r="B1013" i="2"/>
  <c r="S1012" i="2"/>
  <c r="M1012" i="2"/>
  <c r="L1012" i="2"/>
  <c r="K1012" i="2"/>
  <c r="G1012" i="2"/>
  <c r="E1012" i="2"/>
  <c r="B1012" i="2"/>
  <c r="S1011" i="2"/>
  <c r="M1011" i="2"/>
  <c r="L1011" i="2"/>
  <c r="K1011" i="2"/>
  <c r="G1011" i="2"/>
  <c r="E1011" i="2"/>
  <c r="B1011" i="2"/>
  <c r="S1010" i="2"/>
  <c r="M1010" i="2"/>
  <c r="L1010" i="2"/>
  <c r="K1010" i="2"/>
  <c r="G1010" i="2"/>
  <c r="E1010" i="2"/>
  <c r="B1010" i="2"/>
  <c r="S1009" i="2"/>
  <c r="M1009" i="2"/>
  <c r="L1009" i="2"/>
  <c r="K1009" i="2"/>
  <c r="G1009" i="2"/>
  <c r="E1009" i="2"/>
  <c r="B1009" i="2"/>
  <c r="S1008" i="2"/>
  <c r="M1008" i="2"/>
  <c r="L1008" i="2"/>
  <c r="K1008" i="2"/>
  <c r="G1008" i="2"/>
  <c r="E1008" i="2"/>
  <c r="B1008" i="2"/>
  <c r="S1007" i="2"/>
  <c r="M1007" i="2"/>
  <c r="L1007" i="2"/>
  <c r="K1007" i="2"/>
  <c r="G1007" i="2"/>
  <c r="E1007" i="2"/>
  <c r="B1007" i="2"/>
  <c r="S1006" i="2"/>
  <c r="M1006" i="2"/>
  <c r="L1006" i="2"/>
  <c r="K1006" i="2"/>
  <c r="G1006" i="2"/>
  <c r="E1006" i="2"/>
  <c r="B1006" i="2"/>
  <c r="S1005" i="2"/>
  <c r="M1005" i="2"/>
  <c r="L1005" i="2"/>
  <c r="K1005" i="2"/>
  <c r="G1005" i="2"/>
  <c r="E1005" i="2"/>
  <c r="B1005" i="2"/>
  <c r="S1004" i="2"/>
  <c r="M1004" i="2"/>
  <c r="L1004" i="2"/>
  <c r="K1004" i="2"/>
  <c r="G1004" i="2"/>
  <c r="E1004" i="2"/>
  <c r="B1004" i="2"/>
  <c r="S1003" i="2"/>
  <c r="M1003" i="2"/>
  <c r="L1003" i="2"/>
  <c r="K1003" i="2"/>
  <c r="G1003" i="2"/>
  <c r="E1003" i="2"/>
  <c r="B1003" i="2"/>
  <c r="S1002" i="2"/>
  <c r="M1002" i="2"/>
  <c r="L1002" i="2"/>
  <c r="K1002" i="2"/>
  <c r="G1002" i="2"/>
  <c r="E1002" i="2"/>
  <c r="B1002" i="2"/>
  <c r="S1001" i="2"/>
  <c r="M1001" i="2"/>
  <c r="L1001" i="2"/>
  <c r="K1001" i="2"/>
  <c r="G1001" i="2"/>
  <c r="E1001" i="2"/>
  <c r="B1001" i="2"/>
  <c r="S1000" i="2"/>
  <c r="M1000" i="2"/>
  <c r="L1000" i="2"/>
  <c r="K1000" i="2"/>
  <c r="G1000" i="2"/>
  <c r="E1000" i="2"/>
  <c r="B1000" i="2"/>
  <c r="S999" i="2"/>
  <c r="M999" i="2"/>
  <c r="L999" i="2"/>
  <c r="K999" i="2"/>
  <c r="G999" i="2"/>
  <c r="E999" i="2"/>
  <c r="B999" i="2"/>
  <c r="S998" i="2"/>
  <c r="M998" i="2"/>
  <c r="L998" i="2"/>
  <c r="K998" i="2"/>
  <c r="G998" i="2"/>
  <c r="E998" i="2"/>
  <c r="B998" i="2"/>
  <c r="S997" i="2"/>
  <c r="M997" i="2"/>
  <c r="L997" i="2"/>
  <c r="K997" i="2"/>
  <c r="G997" i="2"/>
  <c r="E997" i="2"/>
  <c r="B997" i="2"/>
  <c r="S996" i="2"/>
  <c r="M996" i="2"/>
  <c r="L996" i="2"/>
  <c r="K996" i="2"/>
  <c r="G996" i="2"/>
  <c r="E996" i="2"/>
  <c r="B996" i="2"/>
  <c r="S995" i="2"/>
  <c r="M995" i="2"/>
  <c r="L995" i="2"/>
  <c r="K995" i="2"/>
  <c r="G995" i="2"/>
  <c r="E995" i="2"/>
  <c r="B995" i="2"/>
  <c r="S994" i="2"/>
  <c r="M994" i="2"/>
  <c r="L994" i="2"/>
  <c r="K994" i="2"/>
  <c r="G994" i="2"/>
  <c r="E994" i="2"/>
  <c r="B994" i="2"/>
  <c r="S993" i="2"/>
  <c r="M993" i="2"/>
  <c r="L993" i="2"/>
  <c r="K993" i="2"/>
  <c r="G993" i="2"/>
  <c r="E993" i="2"/>
  <c r="B993" i="2"/>
  <c r="S992" i="2"/>
  <c r="M992" i="2"/>
  <c r="L992" i="2"/>
  <c r="K992" i="2"/>
  <c r="G992" i="2"/>
  <c r="E992" i="2"/>
  <c r="B992" i="2"/>
  <c r="S991" i="2"/>
  <c r="M991" i="2"/>
  <c r="L991" i="2"/>
  <c r="K991" i="2"/>
  <c r="G991" i="2"/>
  <c r="E991" i="2"/>
  <c r="B991" i="2"/>
  <c r="S990" i="2"/>
  <c r="M990" i="2"/>
  <c r="L990" i="2"/>
  <c r="K990" i="2"/>
  <c r="G990" i="2"/>
  <c r="E990" i="2"/>
  <c r="B990" i="2"/>
  <c r="S989" i="2"/>
  <c r="M989" i="2"/>
  <c r="L989" i="2"/>
  <c r="K989" i="2"/>
  <c r="G989" i="2"/>
  <c r="E989" i="2"/>
  <c r="B989" i="2"/>
  <c r="S988" i="2"/>
  <c r="M988" i="2"/>
  <c r="L988" i="2"/>
  <c r="K988" i="2"/>
  <c r="G988" i="2"/>
  <c r="E988" i="2"/>
  <c r="B988" i="2"/>
  <c r="S987" i="2"/>
  <c r="M987" i="2"/>
  <c r="L987" i="2"/>
  <c r="K987" i="2"/>
  <c r="G987" i="2"/>
  <c r="E987" i="2"/>
  <c r="B987" i="2"/>
  <c r="S986" i="2"/>
  <c r="M986" i="2"/>
  <c r="L986" i="2"/>
  <c r="K986" i="2"/>
  <c r="G986" i="2"/>
  <c r="E986" i="2"/>
  <c r="B986" i="2"/>
  <c r="S985" i="2"/>
  <c r="M985" i="2"/>
  <c r="L985" i="2"/>
  <c r="K985" i="2"/>
  <c r="G985" i="2"/>
  <c r="E985" i="2"/>
  <c r="B985" i="2"/>
  <c r="S984" i="2"/>
  <c r="M984" i="2"/>
  <c r="L984" i="2"/>
  <c r="K984" i="2"/>
  <c r="G984" i="2"/>
  <c r="E984" i="2"/>
  <c r="B984" i="2"/>
  <c r="S983" i="2"/>
  <c r="M983" i="2"/>
  <c r="L983" i="2"/>
  <c r="K983" i="2"/>
  <c r="G983" i="2"/>
  <c r="E983" i="2"/>
  <c r="B983" i="2"/>
  <c r="S982" i="2"/>
  <c r="M982" i="2"/>
  <c r="L982" i="2"/>
  <c r="K982" i="2"/>
  <c r="G982" i="2"/>
  <c r="E982" i="2"/>
  <c r="B982" i="2"/>
  <c r="S981" i="2"/>
  <c r="M981" i="2"/>
  <c r="L981" i="2"/>
  <c r="K981" i="2"/>
  <c r="G981" i="2"/>
  <c r="E981" i="2"/>
  <c r="B981" i="2"/>
  <c r="S980" i="2"/>
  <c r="M980" i="2"/>
  <c r="L980" i="2"/>
  <c r="K980" i="2"/>
  <c r="G980" i="2"/>
  <c r="E980" i="2"/>
  <c r="B980" i="2"/>
  <c r="S979" i="2"/>
  <c r="M979" i="2"/>
  <c r="L979" i="2"/>
  <c r="K979" i="2"/>
  <c r="G979" i="2"/>
  <c r="E979" i="2"/>
  <c r="B979" i="2"/>
  <c r="S978" i="2"/>
  <c r="M978" i="2"/>
  <c r="L978" i="2"/>
  <c r="K978" i="2"/>
  <c r="G978" i="2"/>
  <c r="E978" i="2"/>
  <c r="B978" i="2"/>
  <c r="S977" i="2"/>
  <c r="M977" i="2"/>
  <c r="L977" i="2"/>
  <c r="K977" i="2"/>
  <c r="G977" i="2"/>
  <c r="E977" i="2"/>
  <c r="B977" i="2"/>
  <c r="S976" i="2"/>
  <c r="M976" i="2"/>
  <c r="L976" i="2"/>
  <c r="K976" i="2"/>
  <c r="G976" i="2"/>
  <c r="E976" i="2"/>
  <c r="B976" i="2"/>
  <c r="S975" i="2"/>
  <c r="M975" i="2"/>
  <c r="L975" i="2"/>
  <c r="K975" i="2"/>
  <c r="G975" i="2"/>
  <c r="E975" i="2"/>
  <c r="B975" i="2"/>
  <c r="S974" i="2"/>
  <c r="M974" i="2"/>
  <c r="L974" i="2"/>
  <c r="K974" i="2"/>
  <c r="G974" i="2"/>
  <c r="E974" i="2"/>
  <c r="B974" i="2"/>
  <c r="S973" i="2"/>
  <c r="M973" i="2"/>
  <c r="L973" i="2"/>
  <c r="K973" i="2"/>
  <c r="G973" i="2"/>
  <c r="E973" i="2"/>
  <c r="B973" i="2"/>
  <c r="S972" i="2"/>
  <c r="M972" i="2"/>
  <c r="L972" i="2"/>
  <c r="K972" i="2"/>
  <c r="G972" i="2"/>
  <c r="E972" i="2"/>
  <c r="B972" i="2"/>
  <c r="S971" i="2"/>
  <c r="M971" i="2"/>
  <c r="L971" i="2"/>
  <c r="K971" i="2"/>
  <c r="G971" i="2"/>
  <c r="E971" i="2"/>
  <c r="B971" i="2"/>
  <c r="S970" i="2"/>
  <c r="M970" i="2"/>
  <c r="L970" i="2"/>
  <c r="K970" i="2"/>
  <c r="G970" i="2"/>
  <c r="E970" i="2"/>
  <c r="B970" i="2"/>
  <c r="S969" i="2"/>
  <c r="M969" i="2"/>
  <c r="L969" i="2"/>
  <c r="K969" i="2"/>
  <c r="G969" i="2"/>
  <c r="E969" i="2"/>
  <c r="B969" i="2"/>
  <c r="S968" i="2"/>
  <c r="M968" i="2"/>
  <c r="L968" i="2"/>
  <c r="K968" i="2"/>
  <c r="G968" i="2"/>
  <c r="E968" i="2"/>
  <c r="B968" i="2"/>
  <c r="S967" i="2"/>
  <c r="M967" i="2"/>
  <c r="L967" i="2"/>
  <c r="K967" i="2"/>
  <c r="H967" i="2"/>
  <c r="G967" i="2"/>
  <c r="E967" i="2"/>
  <c r="B967" i="2"/>
  <c r="S966" i="2"/>
  <c r="M966" i="2"/>
  <c r="L966" i="2"/>
  <c r="K966" i="2"/>
  <c r="G966" i="2"/>
  <c r="E966" i="2"/>
  <c r="B966" i="2"/>
  <c r="S965" i="2"/>
  <c r="M965" i="2"/>
  <c r="L965" i="2"/>
  <c r="K965" i="2"/>
  <c r="G965" i="2"/>
  <c r="E965" i="2"/>
  <c r="B965" i="2"/>
  <c r="S964" i="2"/>
  <c r="M964" i="2"/>
  <c r="L964" i="2"/>
  <c r="K964" i="2"/>
  <c r="G964" i="2"/>
  <c r="E964" i="2"/>
  <c r="B964" i="2"/>
  <c r="S963" i="2"/>
  <c r="M963" i="2"/>
  <c r="L963" i="2"/>
  <c r="K963" i="2"/>
  <c r="G963" i="2"/>
  <c r="E963" i="2"/>
  <c r="B963" i="2"/>
  <c r="S962" i="2"/>
  <c r="M962" i="2"/>
  <c r="L962" i="2"/>
  <c r="K962" i="2"/>
  <c r="G962" i="2"/>
  <c r="E962" i="2"/>
  <c r="B962" i="2"/>
  <c r="S961" i="2"/>
  <c r="M961" i="2"/>
  <c r="L961" i="2"/>
  <c r="K961" i="2"/>
  <c r="G961" i="2"/>
  <c r="E961" i="2"/>
  <c r="B961" i="2"/>
  <c r="S960" i="2"/>
  <c r="M960" i="2"/>
  <c r="L960" i="2"/>
  <c r="K960" i="2"/>
  <c r="G960" i="2"/>
  <c r="E960" i="2"/>
  <c r="B960" i="2"/>
  <c r="S959" i="2"/>
  <c r="M959" i="2"/>
  <c r="L959" i="2"/>
  <c r="K959" i="2"/>
  <c r="G959" i="2"/>
  <c r="E959" i="2"/>
  <c r="B959" i="2"/>
  <c r="S958" i="2"/>
  <c r="M958" i="2"/>
  <c r="L958" i="2"/>
  <c r="K958" i="2"/>
  <c r="G958" i="2"/>
  <c r="E958" i="2"/>
  <c r="B958" i="2"/>
  <c r="S957" i="2"/>
  <c r="M957" i="2"/>
  <c r="L957" i="2"/>
  <c r="K957" i="2"/>
  <c r="G957" i="2"/>
  <c r="E957" i="2"/>
  <c r="B957" i="2"/>
  <c r="S956" i="2"/>
  <c r="M956" i="2"/>
  <c r="L956" i="2"/>
  <c r="K956" i="2"/>
  <c r="G956" i="2"/>
  <c r="E956" i="2"/>
  <c r="B956" i="2"/>
  <c r="S955" i="2"/>
  <c r="M955" i="2"/>
  <c r="L955" i="2"/>
  <c r="K955" i="2"/>
  <c r="G955" i="2"/>
  <c r="E955" i="2"/>
  <c r="B955" i="2"/>
  <c r="S954" i="2"/>
  <c r="M954" i="2"/>
  <c r="L954" i="2"/>
  <c r="K954" i="2"/>
  <c r="G954" i="2"/>
  <c r="E954" i="2"/>
  <c r="B954" i="2"/>
  <c r="S953" i="2"/>
  <c r="M953" i="2"/>
  <c r="L953" i="2"/>
  <c r="K953" i="2"/>
  <c r="G953" i="2"/>
  <c r="E953" i="2"/>
  <c r="B953" i="2"/>
  <c r="S952" i="2"/>
  <c r="M952" i="2"/>
  <c r="L952" i="2"/>
  <c r="K952" i="2"/>
  <c r="G952" i="2"/>
  <c r="E952" i="2"/>
  <c r="B952" i="2"/>
  <c r="S951" i="2"/>
  <c r="M951" i="2"/>
  <c r="L951" i="2"/>
  <c r="K951" i="2"/>
  <c r="G951" i="2"/>
  <c r="E951" i="2"/>
  <c r="B951" i="2"/>
  <c r="S950" i="2"/>
  <c r="M950" i="2"/>
  <c r="L950" i="2"/>
  <c r="K950" i="2"/>
  <c r="G950" i="2"/>
  <c r="E950" i="2"/>
  <c r="B950" i="2"/>
  <c r="S949" i="2"/>
  <c r="M949" i="2"/>
  <c r="L949" i="2"/>
  <c r="K949" i="2"/>
  <c r="G949" i="2"/>
  <c r="E949" i="2"/>
  <c r="B949" i="2"/>
  <c r="S948" i="2"/>
  <c r="M948" i="2"/>
  <c r="L948" i="2"/>
  <c r="K948" i="2"/>
  <c r="G948" i="2"/>
  <c r="E948" i="2"/>
  <c r="B948" i="2"/>
  <c r="S947" i="2"/>
  <c r="M947" i="2"/>
  <c r="L947" i="2"/>
  <c r="K947" i="2"/>
  <c r="G947" i="2"/>
  <c r="E947" i="2"/>
  <c r="B947" i="2"/>
  <c r="S946" i="2"/>
  <c r="M946" i="2"/>
  <c r="L946" i="2"/>
  <c r="K946" i="2"/>
  <c r="G946" i="2"/>
  <c r="E946" i="2"/>
  <c r="B946" i="2"/>
  <c r="S945" i="2"/>
  <c r="M945" i="2"/>
  <c r="L945" i="2"/>
  <c r="K945" i="2"/>
  <c r="G945" i="2"/>
  <c r="E945" i="2"/>
  <c r="B945" i="2"/>
  <c r="S944" i="2"/>
  <c r="M944" i="2"/>
  <c r="L944" i="2"/>
  <c r="K944" i="2"/>
  <c r="G944" i="2"/>
  <c r="E944" i="2"/>
  <c r="B944" i="2"/>
  <c r="S943" i="2"/>
  <c r="M943" i="2"/>
  <c r="L943" i="2"/>
  <c r="K943" i="2"/>
  <c r="G943" i="2"/>
  <c r="E943" i="2"/>
  <c r="B943" i="2"/>
  <c r="S942" i="2"/>
  <c r="M942" i="2"/>
  <c r="L942" i="2"/>
  <c r="K942" i="2"/>
  <c r="G942" i="2"/>
  <c r="E942" i="2"/>
  <c r="B942" i="2"/>
  <c r="S941" i="2"/>
  <c r="M941" i="2"/>
  <c r="L941" i="2"/>
  <c r="K941" i="2"/>
  <c r="G941" i="2"/>
  <c r="E941" i="2"/>
  <c r="B941" i="2"/>
  <c r="S940" i="2"/>
  <c r="M940" i="2"/>
  <c r="L940" i="2"/>
  <c r="K940" i="2"/>
  <c r="G940" i="2"/>
  <c r="E940" i="2"/>
  <c r="B940" i="2"/>
  <c r="S939" i="2"/>
  <c r="M939" i="2"/>
  <c r="L939" i="2"/>
  <c r="K939" i="2"/>
  <c r="G939" i="2"/>
  <c r="E939" i="2"/>
  <c r="B939" i="2"/>
  <c r="S938" i="2"/>
  <c r="M938" i="2"/>
  <c r="L938" i="2"/>
  <c r="K938" i="2"/>
  <c r="G938" i="2"/>
  <c r="E938" i="2"/>
  <c r="B938" i="2"/>
  <c r="S937" i="2"/>
  <c r="M937" i="2"/>
  <c r="L937" i="2"/>
  <c r="K937" i="2"/>
  <c r="G937" i="2"/>
  <c r="E937" i="2"/>
  <c r="B937" i="2"/>
  <c r="S936" i="2"/>
  <c r="M936" i="2"/>
  <c r="L936" i="2"/>
  <c r="K936" i="2"/>
  <c r="G936" i="2"/>
  <c r="E936" i="2"/>
  <c r="B936" i="2"/>
  <c r="S935" i="2"/>
  <c r="M935" i="2"/>
  <c r="L935" i="2"/>
  <c r="K935" i="2"/>
  <c r="G935" i="2"/>
  <c r="E935" i="2"/>
  <c r="B935" i="2"/>
  <c r="S934" i="2"/>
  <c r="M934" i="2"/>
  <c r="L934" i="2"/>
  <c r="K934" i="2"/>
  <c r="G934" i="2"/>
  <c r="E934" i="2"/>
  <c r="B934" i="2"/>
  <c r="S933" i="2"/>
  <c r="M933" i="2"/>
  <c r="L933" i="2"/>
  <c r="K933" i="2"/>
  <c r="G933" i="2"/>
  <c r="E933" i="2"/>
  <c r="B933" i="2"/>
  <c r="S932" i="2"/>
  <c r="M932" i="2"/>
  <c r="L932" i="2"/>
  <c r="K932" i="2"/>
  <c r="G932" i="2"/>
  <c r="E932" i="2"/>
  <c r="B932" i="2"/>
  <c r="S931" i="2"/>
  <c r="M931" i="2"/>
  <c r="L931" i="2"/>
  <c r="K931" i="2"/>
  <c r="G931" i="2"/>
  <c r="E931" i="2"/>
  <c r="B931" i="2"/>
  <c r="S930" i="2"/>
  <c r="M930" i="2"/>
  <c r="L930" i="2"/>
  <c r="K930" i="2"/>
  <c r="G930" i="2"/>
  <c r="E930" i="2"/>
  <c r="B930" i="2"/>
  <c r="S929" i="2"/>
  <c r="M929" i="2"/>
  <c r="L929" i="2"/>
  <c r="K929" i="2"/>
  <c r="G929" i="2"/>
  <c r="E929" i="2"/>
  <c r="B929" i="2"/>
  <c r="S928" i="2"/>
  <c r="M928" i="2"/>
  <c r="L928" i="2"/>
  <c r="K928" i="2"/>
  <c r="G928" i="2"/>
  <c r="E928" i="2"/>
  <c r="B928" i="2"/>
  <c r="S927" i="2"/>
  <c r="M927" i="2"/>
  <c r="L927" i="2"/>
  <c r="K927" i="2"/>
  <c r="G927" i="2"/>
  <c r="E927" i="2"/>
  <c r="B927" i="2"/>
  <c r="S926" i="2"/>
  <c r="M926" i="2"/>
  <c r="L926" i="2"/>
  <c r="K926" i="2"/>
  <c r="G926" i="2"/>
  <c r="E926" i="2"/>
  <c r="B926" i="2"/>
  <c r="S925" i="2"/>
  <c r="M925" i="2"/>
  <c r="L925" i="2"/>
  <c r="K925" i="2"/>
  <c r="G925" i="2"/>
  <c r="E925" i="2"/>
  <c r="B925" i="2"/>
  <c r="S924" i="2"/>
  <c r="M924" i="2"/>
  <c r="L924" i="2"/>
  <c r="K924" i="2"/>
  <c r="G924" i="2"/>
  <c r="E924" i="2"/>
  <c r="B924" i="2"/>
  <c r="S923" i="2"/>
  <c r="M923" i="2"/>
  <c r="L923" i="2"/>
  <c r="K923" i="2"/>
  <c r="G923" i="2"/>
  <c r="E923" i="2"/>
  <c r="B923" i="2"/>
  <c r="S922" i="2"/>
  <c r="M922" i="2"/>
  <c r="L922" i="2"/>
  <c r="K922" i="2"/>
  <c r="G922" i="2"/>
  <c r="E922" i="2"/>
  <c r="B922" i="2"/>
  <c r="S921" i="2"/>
  <c r="M921" i="2"/>
  <c r="L921" i="2"/>
  <c r="K921" i="2"/>
  <c r="G921" i="2"/>
  <c r="E921" i="2"/>
  <c r="B921" i="2"/>
  <c r="S920" i="2"/>
  <c r="M920" i="2"/>
  <c r="L920" i="2"/>
  <c r="K920" i="2"/>
  <c r="G920" i="2"/>
  <c r="E920" i="2"/>
  <c r="B920" i="2"/>
  <c r="S919" i="2"/>
  <c r="M919" i="2"/>
  <c r="L919" i="2"/>
  <c r="K919" i="2"/>
  <c r="G919" i="2"/>
  <c r="E919" i="2"/>
  <c r="B919" i="2"/>
  <c r="S918" i="2"/>
  <c r="M918" i="2"/>
  <c r="L918" i="2"/>
  <c r="K918" i="2"/>
  <c r="G918" i="2"/>
  <c r="E918" i="2"/>
  <c r="B918" i="2"/>
  <c r="S917" i="2"/>
  <c r="M917" i="2"/>
  <c r="L917" i="2"/>
  <c r="K917" i="2"/>
  <c r="G917" i="2"/>
  <c r="E917" i="2"/>
  <c r="B917" i="2"/>
  <c r="S916" i="2"/>
  <c r="M916" i="2"/>
  <c r="L916" i="2"/>
  <c r="K916" i="2"/>
  <c r="G916" i="2"/>
  <c r="E916" i="2"/>
  <c r="B916" i="2"/>
  <c r="S915" i="2"/>
  <c r="M915" i="2"/>
  <c r="L915" i="2"/>
  <c r="K915" i="2"/>
  <c r="G915" i="2"/>
  <c r="E915" i="2"/>
  <c r="B915" i="2"/>
  <c r="S914" i="2"/>
  <c r="M914" i="2"/>
  <c r="L914" i="2"/>
  <c r="K914" i="2"/>
  <c r="G914" i="2"/>
  <c r="E914" i="2"/>
  <c r="B914" i="2"/>
  <c r="S913" i="2"/>
  <c r="M913" i="2"/>
  <c r="L913" i="2"/>
  <c r="K913" i="2"/>
  <c r="G913" i="2"/>
  <c r="E913" i="2"/>
  <c r="B913" i="2"/>
  <c r="S912" i="2"/>
  <c r="M912" i="2"/>
  <c r="L912" i="2"/>
  <c r="K912" i="2"/>
  <c r="G912" i="2"/>
  <c r="E912" i="2"/>
  <c r="B912" i="2"/>
  <c r="S911" i="2"/>
  <c r="M911" i="2"/>
  <c r="L911" i="2"/>
  <c r="K911" i="2"/>
  <c r="G911" i="2"/>
  <c r="E911" i="2"/>
  <c r="B911" i="2"/>
  <c r="S910" i="2"/>
  <c r="M910" i="2"/>
  <c r="L910" i="2"/>
  <c r="K910" i="2"/>
  <c r="G910" i="2"/>
  <c r="E910" i="2"/>
  <c r="B910" i="2"/>
  <c r="S909" i="2"/>
  <c r="M909" i="2"/>
  <c r="L909" i="2"/>
  <c r="K909" i="2"/>
  <c r="G909" i="2"/>
  <c r="E909" i="2"/>
  <c r="B909" i="2"/>
  <c r="S908" i="2"/>
  <c r="M908" i="2"/>
  <c r="L908" i="2"/>
  <c r="K908" i="2"/>
  <c r="G908" i="2"/>
  <c r="E908" i="2"/>
  <c r="B908" i="2"/>
  <c r="S907" i="2"/>
  <c r="M907" i="2"/>
  <c r="L907" i="2"/>
  <c r="K907" i="2"/>
  <c r="G907" i="2"/>
  <c r="E907" i="2"/>
  <c r="B907" i="2"/>
  <c r="S906" i="2"/>
  <c r="M906" i="2"/>
  <c r="L906" i="2"/>
  <c r="K906" i="2"/>
  <c r="G906" i="2"/>
  <c r="E906" i="2"/>
  <c r="B906" i="2"/>
  <c r="S905" i="2"/>
  <c r="M905" i="2"/>
  <c r="L905" i="2"/>
  <c r="K905" i="2"/>
  <c r="G905" i="2"/>
  <c r="E905" i="2"/>
  <c r="B905" i="2"/>
  <c r="S904" i="2"/>
  <c r="M904" i="2"/>
  <c r="L904" i="2"/>
  <c r="K904" i="2"/>
  <c r="G904" i="2"/>
  <c r="E904" i="2"/>
  <c r="B904" i="2"/>
  <c r="S903" i="2"/>
  <c r="M903" i="2"/>
  <c r="L903" i="2"/>
  <c r="K903" i="2"/>
  <c r="G903" i="2"/>
  <c r="E903" i="2"/>
  <c r="B903" i="2"/>
  <c r="S902" i="2"/>
  <c r="M902" i="2"/>
  <c r="L902" i="2"/>
  <c r="K902" i="2"/>
  <c r="G902" i="2"/>
  <c r="E902" i="2"/>
  <c r="B902" i="2"/>
  <c r="S901" i="2"/>
  <c r="M901" i="2"/>
  <c r="L901" i="2"/>
  <c r="K901" i="2"/>
  <c r="G901" i="2"/>
  <c r="E901" i="2"/>
  <c r="B901" i="2"/>
  <c r="S900" i="2"/>
  <c r="M900" i="2"/>
  <c r="L900" i="2"/>
  <c r="K900" i="2"/>
  <c r="G900" i="2"/>
  <c r="E900" i="2"/>
  <c r="B900" i="2"/>
  <c r="S899" i="2"/>
  <c r="M899" i="2"/>
  <c r="L899" i="2"/>
  <c r="K899" i="2"/>
  <c r="G899" i="2"/>
  <c r="E899" i="2"/>
  <c r="B899" i="2"/>
  <c r="S898" i="2"/>
  <c r="M898" i="2"/>
  <c r="L898" i="2"/>
  <c r="K898" i="2"/>
  <c r="G898" i="2"/>
  <c r="E898" i="2"/>
  <c r="B898" i="2"/>
  <c r="S897" i="2"/>
  <c r="M897" i="2"/>
  <c r="L897" i="2"/>
  <c r="K897" i="2"/>
  <c r="G897" i="2"/>
  <c r="E897" i="2"/>
  <c r="B897" i="2"/>
  <c r="S896" i="2"/>
  <c r="M896" i="2"/>
  <c r="L896" i="2"/>
  <c r="K896" i="2"/>
  <c r="G896" i="2"/>
  <c r="E896" i="2"/>
  <c r="B896" i="2"/>
  <c r="S895" i="2"/>
  <c r="M895" i="2"/>
  <c r="L895" i="2"/>
  <c r="K895" i="2"/>
  <c r="G895" i="2"/>
  <c r="E895" i="2"/>
  <c r="B895" i="2"/>
  <c r="S894" i="2"/>
  <c r="M894" i="2"/>
  <c r="L894" i="2"/>
  <c r="K894" i="2"/>
  <c r="G894" i="2"/>
  <c r="E894" i="2"/>
  <c r="B894" i="2"/>
  <c r="S893" i="2"/>
  <c r="M893" i="2"/>
  <c r="L893" i="2"/>
  <c r="K893" i="2"/>
  <c r="G893" i="2"/>
  <c r="E893" i="2"/>
  <c r="B893" i="2"/>
  <c r="S892" i="2"/>
  <c r="M892" i="2"/>
  <c r="L892" i="2"/>
  <c r="K892" i="2"/>
  <c r="G892" i="2"/>
  <c r="E892" i="2"/>
  <c r="B892" i="2"/>
  <c r="S891" i="2"/>
  <c r="M891" i="2"/>
  <c r="L891" i="2"/>
  <c r="K891" i="2"/>
  <c r="G891" i="2"/>
  <c r="E891" i="2"/>
  <c r="B891" i="2"/>
  <c r="S890" i="2"/>
  <c r="M890" i="2"/>
  <c r="L890" i="2"/>
  <c r="K890" i="2"/>
  <c r="G890" i="2"/>
  <c r="E890" i="2"/>
  <c r="B890" i="2"/>
  <c r="S889" i="2"/>
  <c r="M889" i="2"/>
  <c r="L889" i="2"/>
  <c r="K889" i="2"/>
  <c r="G889" i="2"/>
  <c r="E889" i="2"/>
  <c r="B889" i="2"/>
  <c r="S888" i="2"/>
  <c r="M888" i="2"/>
  <c r="L888" i="2"/>
  <c r="K888" i="2"/>
  <c r="G888" i="2"/>
  <c r="E888" i="2"/>
  <c r="B888" i="2"/>
  <c r="S887" i="2"/>
  <c r="M887" i="2"/>
  <c r="L887" i="2"/>
  <c r="K887" i="2"/>
  <c r="G887" i="2"/>
  <c r="E887" i="2"/>
  <c r="B887" i="2"/>
  <c r="S886" i="2"/>
  <c r="M886" i="2"/>
  <c r="L886" i="2"/>
  <c r="K886" i="2"/>
  <c r="G886" i="2"/>
  <c r="E886" i="2"/>
  <c r="B886" i="2"/>
  <c r="S885" i="2"/>
  <c r="M885" i="2"/>
  <c r="L885" i="2"/>
  <c r="K885" i="2"/>
  <c r="G885" i="2"/>
  <c r="E885" i="2"/>
  <c r="B885" i="2"/>
  <c r="S884" i="2"/>
  <c r="M884" i="2"/>
  <c r="L884" i="2"/>
  <c r="K884" i="2"/>
  <c r="G884" i="2"/>
  <c r="E884" i="2"/>
  <c r="B884" i="2"/>
  <c r="S883" i="2"/>
  <c r="M883" i="2"/>
  <c r="L883" i="2"/>
  <c r="K883" i="2"/>
  <c r="G883" i="2"/>
  <c r="E883" i="2"/>
  <c r="B883" i="2"/>
  <c r="S882" i="2"/>
  <c r="M882" i="2"/>
  <c r="L882" i="2"/>
  <c r="K882" i="2"/>
  <c r="G882" i="2"/>
  <c r="E882" i="2"/>
  <c r="B882" i="2"/>
  <c r="S881" i="2"/>
  <c r="M881" i="2"/>
  <c r="L881" i="2"/>
  <c r="K881" i="2"/>
  <c r="G881" i="2"/>
  <c r="E881" i="2"/>
  <c r="B881" i="2"/>
  <c r="S880" i="2"/>
  <c r="M880" i="2"/>
  <c r="L880" i="2"/>
  <c r="K880" i="2"/>
  <c r="G880" i="2"/>
  <c r="E880" i="2"/>
  <c r="B880" i="2"/>
  <c r="S879" i="2"/>
  <c r="M879" i="2"/>
  <c r="L879" i="2"/>
  <c r="K879" i="2"/>
  <c r="G879" i="2"/>
  <c r="E879" i="2"/>
  <c r="B879" i="2"/>
  <c r="S878" i="2"/>
  <c r="M878" i="2"/>
  <c r="L878" i="2"/>
  <c r="K878" i="2"/>
  <c r="G878" i="2"/>
  <c r="E878" i="2"/>
  <c r="B878" i="2"/>
  <c r="S877" i="2"/>
  <c r="M877" i="2"/>
  <c r="L877" i="2"/>
  <c r="K877" i="2"/>
  <c r="G877" i="2"/>
  <c r="E877" i="2"/>
  <c r="B877" i="2"/>
  <c r="S876" i="2"/>
  <c r="M876" i="2"/>
  <c r="L876" i="2"/>
  <c r="K876" i="2"/>
  <c r="G876" i="2"/>
  <c r="E876" i="2"/>
  <c r="B876" i="2"/>
  <c r="S875" i="2"/>
  <c r="M875" i="2"/>
  <c r="L875" i="2"/>
  <c r="K875" i="2"/>
  <c r="G875" i="2"/>
  <c r="E875" i="2"/>
  <c r="B875" i="2"/>
  <c r="S874" i="2"/>
  <c r="M874" i="2"/>
  <c r="L874" i="2"/>
  <c r="K874" i="2"/>
  <c r="G874" i="2"/>
  <c r="E874" i="2"/>
  <c r="B874" i="2"/>
  <c r="S873" i="2"/>
  <c r="M873" i="2"/>
  <c r="L873" i="2"/>
  <c r="K873" i="2"/>
  <c r="G873" i="2"/>
  <c r="E873" i="2"/>
  <c r="B873" i="2"/>
  <c r="S872" i="2"/>
  <c r="M872" i="2"/>
  <c r="L872" i="2"/>
  <c r="K872" i="2"/>
  <c r="G872" i="2"/>
  <c r="E872" i="2"/>
  <c r="B872" i="2"/>
  <c r="S871" i="2"/>
  <c r="M871" i="2"/>
  <c r="L871" i="2"/>
  <c r="K871" i="2"/>
  <c r="G871" i="2"/>
  <c r="E871" i="2"/>
  <c r="B871" i="2"/>
  <c r="S870" i="2"/>
  <c r="M870" i="2"/>
  <c r="L870" i="2"/>
  <c r="K870" i="2"/>
  <c r="G870" i="2"/>
  <c r="E870" i="2"/>
  <c r="B870" i="2"/>
  <c r="S869" i="2"/>
  <c r="M869" i="2"/>
  <c r="L869" i="2"/>
  <c r="K869" i="2"/>
  <c r="G869" i="2"/>
  <c r="E869" i="2"/>
  <c r="B869" i="2"/>
  <c r="S868" i="2"/>
  <c r="M868" i="2"/>
  <c r="L868" i="2"/>
  <c r="K868" i="2"/>
  <c r="G868" i="2"/>
  <c r="E868" i="2"/>
  <c r="B868" i="2"/>
  <c r="S867" i="2"/>
  <c r="M867" i="2"/>
  <c r="L867" i="2"/>
  <c r="K867" i="2"/>
  <c r="G867" i="2"/>
  <c r="E867" i="2"/>
  <c r="B867" i="2"/>
  <c r="S866" i="2"/>
  <c r="M866" i="2"/>
  <c r="L866" i="2"/>
  <c r="K866" i="2"/>
  <c r="G866" i="2"/>
  <c r="E866" i="2"/>
  <c r="B866" i="2"/>
  <c r="S865" i="2"/>
  <c r="M865" i="2"/>
  <c r="L865" i="2"/>
  <c r="K865" i="2"/>
  <c r="G865" i="2"/>
  <c r="E865" i="2"/>
  <c r="B865" i="2"/>
  <c r="S864" i="2"/>
  <c r="M864" i="2"/>
  <c r="L864" i="2"/>
  <c r="K864" i="2"/>
  <c r="G864" i="2"/>
  <c r="E864" i="2"/>
  <c r="B864" i="2"/>
  <c r="S863" i="2"/>
  <c r="M863" i="2"/>
  <c r="L863" i="2"/>
  <c r="K863" i="2"/>
  <c r="G863" i="2"/>
  <c r="E863" i="2"/>
  <c r="B863" i="2"/>
  <c r="S862" i="2"/>
  <c r="M862" i="2"/>
  <c r="L862" i="2"/>
  <c r="K862" i="2"/>
  <c r="G862" i="2"/>
  <c r="E862" i="2"/>
  <c r="B862" i="2"/>
  <c r="S861" i="2"/>
  <c r="M861" i="2"/>
  <c r="L861" i="2"/>
  <c r="K861" i="2"/>
  <c r="G861" i="2"/>
  <c r="E861" i="2"/>
  <c r="B861" i="2"/>
  <c r="S860" i="2"/>
  <c r="M860" i="2"/>
  <c r="L860" i="2"/>
  <c r="K860" i="2"/>
  <c r="G860" i="2"/>
  <c r="E860" i="2"/>
  <c r="B860" i="2"/>
  <c r="S859" i="2"/>
  <c r="M859" i="2"/>
  <c r="L859" i="2"/>
  <c r="K859" i="2"/>
  <c r="G859" i="2"/>
  <c r="E859" i="2"/>
  <c r="B859" i="2"/>
  <c r="S858" i="2"/>
  <c r="M858" i="2"/>
  <c r="L858" i="2"/>
  <c r="K858" i="2"/>
  <c r="G858" i="2"/>
  <c r="E858" i="2"/>
  <c r="B858" i="2"/>
  <c r="S857" i="2"/>
  <c r="M857" i="2"/>
  <c r="L857" i="2"/>
  <c r="K857" i="2"/>
  <c r="G857" i="2"/>
  <c r="E857" i="2"/>
  <c r="B857" i="2"/>
  <c r="S856" i="2"/>
  <c r="M856" i="2"/>
  <c r="L856" i="2"/>
  <c r="K856" i="2"/>
  <c r="G856" i="2"/>
  <c r="E856" i="2"/>
  <c r="B856" i="2"/>
  <c r="S855" i="2"/>
  <c r="M855" i="2"/>
  <c r="L855" i="2"/>
  <c r="K855" i="2"/>
  <c r="G855" i="2"/>
  <c r="E855" i="2"/>
  <c r="B855" i="2"/>
  <c r="S854" i="2"/>
  <c r="M854" i="2"/>
  <c r="L854" i="2"/>
  <c r="K854" i="2"/>
  <c r="G854" i="2"/>
  <c r="E854" i="2"/>
  <c r="B854" i="2"/>
  <c r="S853" i="2"/>
  <c r="M853" i="2"/>
  <c r="L853" i="2"/>
  <c r="K853" i="2"/>
  <c r="G853" i="2"/>
  <c r="E853" i="2"/>
  <c r="B853" i="2"/>
  <c r="S852" i="2"/>
  <c r="M852" i="2"/>
  <c r="L852" i="2"/>
  <c r="K852" i="2"/>
  <c r="G852" i="2"/>
  <c r="E852" i="2"/>
  <c r="B852" i="2"/>
  <c r="S851" i="2"/>
  <c r="M851" i="2"/>
  <c r="L851" i="2"/>
  <c r="K851" i="2"/>
  <c r="G851" i="2"/>
  <c r="E851" i="2"/>
  <c r="B851" i="2"/>
  <c r="S850" i="2"/>
  <c r="M850" i="2"/>
  <c r="L850" i="2"/>
  <c r="K850" i="2"/>
  <c r="G850" i="2"/>
  <c r="E850" i="2"/>
  <c r="B850" i="2"/>
  <c r="S849" i="2"/>
  <c r="M849" i="2"/>
  <c r="L849" i="2"/>
  <c r="K849" i="2"/>
  <c r="G849" i="2"/>
  <c r="E849" i="2"/>
  <c r="B849" i="2"/>
  <c r="S848" i="2"/>
  <c r="M848" i="2"/>
  <c r="L848" i="2"/>
  <c r="K848" i="2"/>
  <c r="G848" i="2"/>
  <c r="E848" i="2"/>
  <c r="B848" i="2"/>
  <c r="S847" i="2"/>
  <c r="M847" i="2"/>
  <c r="L847" i="2"/>
  <c r="K847" i="2"/>
  <c r="G847" i="2"/>
  <c r="E847" i="2"/>
  <c r="B847" i="2"/>
  <c r="S846" i="2"/>
  <c r="M846" i="2"/>
  <c r="L846" i="2"/>
  <c r="K846" i="2"/>
  <c r="G846" i="2"/>
  <c r="E846" i="2"/>
  <c r="B846" i="2"/>
  <c r="S845" i="2"/>
  <c r="M845" i="2"/>
  <c r="L845" i="2"/>
  <c r="K845" i="2"/>
  <c r="G845" i="2"/>
  <c r="E845" i="2"/>
  <c r="B845" i="2"/>
  <c r="S844" i="2"/>
  <c r="M844" i="2"/>
  <c r="L844" i="2"/>
  <c r="K844" i="2"/>
  <c r="G844" i="2"/>
  <c r="E844" i="2"/>
  <c r="B844" i="2"/>
  <c r="S843" i="2"/>
  <c r="M843" i="2"/>
  <c r="L843" i="2"/>
  <c r="K843" i="2"/>
  <c r="G843" i="2"/>
  <c r="E843" i="2"/>
  <c r="B843" i="2"/>
  <c r="S842" i="2"/>
  <c r="M842" i="2"/>
  <c r="L842" i="2"/>
  <c r="K842" i="2"/>
  <c r="G842" i="2"/>
  <c r="E842" i="2"/>
  <c r="B842" i="2"/>
  <c r="S841" i="2"/>
  <c r="M841" i="2"/>
  <c r="L841" i="2"/>
  <c r="K841" i="2"/>
  <c r="G841" i="2"/>
  <c r="E841" i="2"/>
  <c r="B841" i="2"/>
  <c r="S840" i="2"/>
  <c r="M840" i="2"/>
  <c r="L840" i="2"/>
  <c r="K840" i="2"/>
  <c r="G840" i="2"/>
  <c r="E840" i="2"/>
  <c r="B840" i="2"/>
  <c r="S839" i="2"/>
  <c r="M839" i="2"/>
  <c r="L839" i="2"/>
  <c r="K839" i="2"/>
  <c r="G839" i="2"/>
  <c r="E839" i="2"/>
  <c r="B839" i="2"/>
  <c r="S838" i="2"/>
  <c r="M838" i="2"/>
  <c r="L838" i="2"/>
  <c r="K838" i="2"/>
  <c r="G838" i="2"/>
  <c r="E838" i="2"/>
  <c r="B838" i="2"/>
  <c r="S837" i="2"/>
  <c r="M837" i="2"/>
  <c r="L837" i="2"/>
  <c r="K837" i="2"/>
  <c r="G837" i="2"/>
  <c r="E837" i="2"/>
  <c r="B837" i="2"/>
  <c r="S836" i="2"/>
  <c r="M836" i="2"/>
  <c r="L836" i="2"/>
  <c r="K836" i="2"/>
  <c r="G836" i="2"/>
  <c r="E836" i="2"/>
  <c r="B836" i="2"/>
  <c r="S835" i="2"/>
  <c r="M835" i="2"/>
  <c r="L835" i="2"/>
  <c r="K835" i="2"/>
  <c r="G835" i="2"/>
  <c r="E835" i="2"/>
  <c r="B835" i="2"/>
  <c r="S834" i="2"/>
  <c r="M834" i="2"/>
  <c r="L834" i="2"/>
  <c r="K834" i="2"/>
  <c r="G834" i="2"/>
  <c r="E834" i="2"/>
  <c r="B834" i="2"/>
  <c r="S833" i="2"/>
  <c r="M833" i="2"/>
  <c r="L833" i="2"/>
  <c r="K833" i="2"/>
  <c r="G833" i="2"/>
  <c r="E833" i="2"/>
  <c r="B833" i="2"/>
  <c r="S832" i="2"/>
  <c r="M832" i="2"/>
  <c r="L832" i="2"/>
  <c r="K832" i="2"/>
  <c r="G832" i="2"/>
  <c r="E832" i="2"/>
  <c r="B832" i="2"/>
  <c r="S831" i="2"/>
  <c r="M831" i="2"/>
  <c r="L831" i="2"/>
  <c r="K831" i="2"/>
  <c r="G831" i="2"/>
  <c r="E831" i="2"/>
  <c r="B831" i="2"/>
  <c r="S830" i="2"/>
  <c r="M830" i="2"/>
  <c r="L830" i="2"/>
  <c r="K830" i="2"/>
  <c r="G830" i="2"/>
  <c r="E830" i="2"/>
  <c r="B830" i="2"/>
  <c r="S829" i="2"/>
  <c r="M829" i="2"/>
  <c r="L829" i="2"/>
  <c r="K829" i="2"/>
  <c r="G829" i="2"/>
  <c r="E829" i="2"/>
  <c r="B829" i="2"/>
  <c r="S828" i="2"/>
  <c r="M828" i="2"/>
  <c r="L828" i="2"/>
  <c r="K828" i="2"/>
  <c r="G828" i="2"/>
  <c r="E828" i="2"/>
  <c r="B828" i="2"/>
  <c r="S827" i="2"/>
  <c r="M827" i="2"/>
  <c r="L827" i="2"/>
  <c r="K827" i="2"/>
  <c r="G827" i="2"/>
  <c r="E827" i="2"/>
  <c r="B827" i="2"/>
  <c r="S826" i="2"/>
  <c r="M826" i="2"/>
  <c r="L826" i="2"/>
  <c r="K826" i="2"/>
  <c r="G826" i="2"/>
  <c r="E826" i="2"/>
  <c r="B826" i="2"/>
  <c r="S825" i="2"/>
  <c r="M825" i="2"/>
  <c r="L825" i="2"/>
  <c r="K825" i="2"/>
  <c r="G825" i="2"/>
  <c r="E825" i="2"/>
  <c r="B825" i="2"/>
  <c r="S824" i="2"/>
  <c r="M824" i="2"/>
  <c r="L824" i="2"/>
  <c r="K824" i="2"/>
  <c r="G824" i="2"/>
  <c r="E824" i="2"/>
  <c r="B824" i="2"/>
  <c r="S823" i="2"/>
  <c r="M823" i="2"/>
  <c r="L823" i="2"/>
  <c r="K823" i="2"/>
  <c r="G823" i="2"/>
  <c r="E823" i="2"/>
  <c r="B823" i="2"/>
  <c r="S822" i="2"/>
  <c r="M822" i="2"/>
  <c r="L822" i="2"/>
  <c r="K822" i="2"/>
  <c r="G822" i="2"/>
  <c r="E822" i="2"/>
  <c r="B822" i="2"/>
  <c r="S821" i="2"/>
  <c r="M821" i="2"/>
  <c r="L821" i="2"/>
  <c r="K821" i="2"/>
  <c r="G821" i="2"/>
  <c r="E821" i="2"/>
  <c r="B821" i="2"/>
  <c r="S820" i="2"/>
  <c r="M820" i="2"/>
  <c r="L820" i="2"/>
  <c r="K820" i="2"/>
  <c r="G820" i="2"/>
  <c r="E820" i="2"/>
  <c r="B820" i="2"/>
  <c r="S819" i="2"/>
  <c r="M819" i="2"/>
  <c r="L819" i="2"/>
  <c r="K819" i="2"/>
  <c r="G819" i="2"/>
  <c r="E819" i="2"/>
  <c r="B819" i="2"/>
  <c r="S818" i="2"/>
  <c r="M818" i="2"/>
  <c r="L818" i="2"/>
  <c r="K818" i="2"/>
  <c r="G818" i="2"/>
  <c r="E818" i="2"/>
  <c r="B818" i="2"/>
  <c r="S817" i="2"/>
  <c r="M817" i="2"/>
  <c r="L817" i="2"/>
  <c r="K817" i="2"/>
  <c r="G817" i="2"/>
  <c r="E817" i="2"/>
  <c r="B817" i="2"/>
  <c r="S816" i="2"/>
  <c r="M816" i="2"/>
  <c r="L816" i="2"/>
  <c r="K816" i="2"/>
  <c r="G816" i="2"/>
  <c r="E816" i="2"/>
  <c r="B816" i="2"/>
  <c r="S815" i="2"/>
  <c r="M815" i="2"/>
  <c r="L815" i="2"/>
  <c r="K815" i="2"/>
  <c r="G815" i="2"/>
  <c r="E815" i="2"/>
  <c r="B815" i="2"/>
  <c r="S814" i="2"/>
  <c r="M814" i="2"/>
  <c r="L814" i="2"/>
  <c r="K814" i="2"/>
  <c r="G814" i="2"/>
  <c r="E814" i="2"/>
  <c r="B814" i="2"/>
  <c r="S813" i="2"/>
  <c r="M813" i="2"/>
  <c r="L813" i="2"/>
  <c r="K813" i="2"/>
  <c r="G813" i="2"/>
  <c r="E813" i="2"/>
  <c r="B813" i="2"/>
  <c r="S812" i="2"/>
  <c r="M812" i="2"/>
  <c r="L812" i="2"/>
  <c r="K812" i="2"/>
  <c r="G812" i="2"/>
  <c r="E812" i="2"/>
  <c r="B812" i="2"/>
  <c r="S811" i="2"/>
  <c r="M811" i="2"/>
  <c r="L811" i="2"/>
  <c r="K811" i="2"/>
  <c r="G811" i="2"/>
  <c r="E811" i="2"/>
  <c r="B811" i="2"/>
  <c r="S810" i="2"/>
  <c r="M810" i="2"/>
  <c r="L810" i="2"/>
  <c r="K810" i="2"/>
  <c r="G810" i="2"/>
  <c r="E810" i="2"/>
  <c r="B810" i="2"/>
  <c r="S809" i="2"/>
  <c r="M809" i="2"/>
  <c r="L809" i="2"/>
  <c r="K809" i="2"/>
  <c r="G809" i="2"/>
  <c r="E809" i="2"/>
  <c r="B809" i="2"/>
  <c r="S808" i="2"/>
  <c r="M808" i="2"/>
  <c r="L808" i="2"/>
  <c r="K808" i="2"/>
  <c r="G808" i="2"/>
  <c r="E808" i="2"/>
  <c r="B808" i="2"/>
  <c r="S807" i="2"/>
  <c r="M807" i="2"/>
  <c r="L807" i="2"/>
  <c r="K807" i="2"/>
  <c r="G807" i="2"/>
  <c r="E807" i="2"/>
  <c r="B807" i="2"/>
  <c r="S806" i="2"/>
  <c r="M806" i="2"/>
  <c r="L806" i="2"/>
  <c r="K806" i="2"/>
  <c r="G806" i="2"/>
  <c r="E806" i="2"/>
  <c r="B806" i="2"/>
  <c r="S805" i="2"/>
  <c r="M805" i="2"/>
  <c r="L805" i="2"/>
  <c r="K805" i="2"/>
  <c r="G805" i="2"/>
  <c r="E805" i="2"/>
  <c r="B805" i="2"/>
  <c r="S804" i="2"/>
  <c r="M804" i="2"/>
  <c r="L804" i="2"/>
  <c r="K804" i="2"/>
  <c r="G804" i="2"/>
  <c r="E804" i="2"/>
  <c r="B804" i="2"/>
  <c r="S803" i="2"/>
  <c r="M803" i="2"/>
  <c r="L803" i="2"/>
  <c r="K803" i="2"/>
  <c r="G803" i="2"/>
  <c r="E803" i="2"/>
  <c r="B803" i="2"/>
  <c r="S802" i="2"/>
  <c r="M802" i="2"/>
  <c r="L802" i="2"/>
  <c r="K802" i="2"/>
  <c r="G802" i="2"/>
  <c r="E802" i="2"/>
  <c r="B802" i="2"/>
  <c r="S801" i="2"/>
  <c r="M801" i="2"/>
  <c r="L801" i="2"/>
  <c r="K801" i="2"/>
  <c r="G801" i="2"/>
  <c r="E801" i="2"/>
  <c r="B801" i="2"/>
  <c r="S800" i="2"/>
  <c r="M800" i="2"/>
  <c r="L800" i="2"/>
  <c r="K800" i="2"/>
  <c r="G800" i="2"/>
  <c r="E800" i="2"/>
  <c r="B800" i="2"/>
  <c r="S799" i="2"/>
  <c r="M799" i="2"/>
  <c r="L799" i="2"/>
  <c r="K799" i="2"/>
  <c r="G799" i="2"/>
  <c r="E799" i="2"/>
  <c r="B799" i="2"/>
  <c r="S798" i="2"/>
  <c r="M798" i="2"/>
  <c r="L798" i="2"/>
  <c r="K798" i="2"/>
  <c r="G798" i="2"/>
  <c r="E798" i="2"/>
  <c r="B798" i="2"/>
  <c r="S797" i="2"/>
  <c r="M797" i="2"/>
  <c r="L797" i="2"/>
  <c r="K797" i="2"/>
  <c r="G797" i="2"/>
  <c r="E797" i="2"/>
  <c r="B797" i="2"/>
  <c r="S796" i="2"/>
  <c r="M796" i="2"/>
  <c r="L796" i="2"/>
  <c r="K796" i="2"/>
  <c r="G796" i="2"/>
  <c r="E796" i="2"/>
  <c r="B796" i="2"/>
  <c r="S795" i="2"/>
  <c r="M795" i="2"/>
  <c r="L795" i="2"/>
  <c r="K795" i="2"/>
  <c r="G795" i="2"/>
  <c r="E795" i="2"/>
  <c r="B795" i="2"/>
  <c r="S794" i="2"/>
  <c r="M794" i="2"/>
  <c r="L794" i="2"/>
  <c r="K794" i="2"/>
  <c r="G794" i="2"/>
  <c r="E794" i="2"/>
  <c r="B794" i="2"/>
  <c r="S793" i="2"/>
  <c r="M793" i="2"/>
  <c r="L793" i="2"/>
  <c r="K793" i="2"/>
  <c r="G793" i="2"/>
  <c r="E793" i="2"/>
  <c r="B793" i="2"/>
  <c r="S792" i="2"/>
  <c r="M792" i="2"/>
  <c r="L792" i="2"/>
  <c r="K792" i="2"/>
  <c r="G792" i="2"/>
  <c r="E792" i="2"/>
  <c r="B792" i="2"/>
  <c r="S791" i="2"/>
  <c r="M791" i="2"/>
  <c r="L791" i="2"/>
  <c r="K791" i="2"/>
  <c r="G791" i="2"/>
  <c r="E791" i="2"/>
  <c r="B791" i="2"/>
  <c r="S790" i="2"/>
  <c r="M790" i="2"/>
  <c r="L790" i="2"/>
  <c r="K790" i="2"/>
  <c r="G790" i="2"/>
  <c r="E790" i="2"/>
  <c r="B790" i="2"/>
  <c r="S789" i="2"/>
  <c r="M789" i="2"/>
  <c r="L789" i="2"/>
  <c r="K789" i="2"/>
  <c r="G789" i="2"/>
  <c r="E789" i="2"/>
  <c r="B789" i="2"/>
  <c r="S788" i="2"/>
  <c r="M788" i="2"/>
  <c r="L788" i="2"/>
  <c r="K788" i="2"/>
  <c r="G788" i="2"/>
  <c r="E788" i="2"/>
  <c r="B788" i="2"/>
  <c r="S787" i="2"/>
  <c r="M787" i="2"/>
  <c r="L787" i="2"/>
  <c r="K787" i="2"/>
  <c r="G787" i="2"/>
  <c r="E787" i="2"/>
  <c r="B787" i="2"/>
  <c r="S786" i="2"/>
  <c r="M786" i="2"/>
  <c r="L786" i="2"/>
  <c r="K786" i="2"/>
  <c r="G786" i="2"/>
  <c r="E786" i="2"/>
  <c r="B786" i="2"/>
  <c r="S785" i="2"/>
  <c r="M785" i="2"/>
  <c r="L785" i="2"/>
  <c r="K785" i="2"/>
  <c r="G785" i="2"/>
  <c r="E785" i="2"/>
  <c r="B785" i="2"/>
  <c r="S784" i="2"/>
  <c r="M784" i="2"/>
  <c r="L784" i="2"/>
  <c r="K784" i="2"/>
  <c r="G784" i="2"/>
  <c r="E784" i="2"/>
  <c r="B784" i="2"/>
  <c r="S783" i="2"/>
  <c r="M783" i="2"/>
  <c r="L783" i="2"/>
  <c r="K783" i="2"/>
  <c r="G783" i="2"/>
  <c r="E783" i="2"/>
  <c r="B783" i="2"/>
  <c r="S782" i="2"/>
  <c r="M782" i="2"/>
  <c r="L782" i="2"/>
  <c r="K782" i="2"/>
  <c r="G782" i="2"/>
  <c r="E782" i="2"/>
  <c r="B782" i="2"/>
  <c r="S781" i="2"/>
  <c r="M781" i="2"/>
  <c r="L781" i="2"/>
  <c r="K781" i="2"/>
  <c r="G781" i="2"/>
  <c r="E781" i="2"/>
  <c r="B781" i="2"/>
  <c r="S780" i="2"/>
  <c r="M780" i="2"/>
  <c r="L780" i="2"/>
  <c r="K780" i="2"/>
  <c r="G780" i="2"/>
  <c r="E780" i="2"/>
  <c r="B780" i="2"/>
  <c r="S779" i="2"/>
  <c r="M779" i="2"/>
  <c r="L779" i="2"/>
  <c r="K779" i="2"/>
  <c r="G779" i="2"/>
  <c r="E779" i="2"/>
  <c r="B779" i="2"/>
  <c r="S778" i="2"/>
  <c r="M778" i="2"/>
  <c r="L778" i="2"/>
  <c r="K778" i="2"/>
  <c r="G778" i="2"/>
  <c r="E778" i="2"/>
  <c r="B778" i="2"/>
  <c r="S777" i="2"/>
  <c r="M777" i="2"/>
  <c r="L777" i="2"/>
  <c r="K777" i="2"/>
  <c r="G777" i="2"/>
  <c r="E777" i="2"/>
  <c r="B777" i="2"/>
  <c r="S776" i="2"/>
  <c r="M776" i="2"/>
  <c r="L776" i="2"/>
  <c r="K776" i="2"/>
  <c r="G776" i="2"/>
  <c r="E776" i="2"/>
  <c r="B776" i="2"/>
  <c r="S775" i="2"/>
  <c r="M775" i="2"/>
  <c r="L775" i="2"/>
  <c r="K775" i="2"/>
  <c r="G775" i="2"/>
  <c r="E775" i="2"/>
  <c r="B775" i="2"/>
  <c r="S774" i="2"/>
  <c r="M774" i="2"/>
  <c r="L774" i="2"/>
  <c r="K774" i="2"/>
  <c r="G774" i="2"/>
  <c r="E774" i="2"/>
  <c r="B774" i="2"/>
  <c r="S773" i="2"/>
  <c r="M773" i="2"/>
  <c r="L773" i="2"/>
  <c r="K773" i="2"/>
  <c r="G773" i="2"/>
  <c r="E773" i="2"/>
  <c r="B773" i="2"/>
  <c r="S772" i="2"/>
  <c r="M772" i="2"/>
  <c r="L772" i="2"/>
  <c r="K772" i="2"/>
  <c r="G772" i="2"/>
  <c r="E772" i="2"/>
  <c r="B772" i="2"/>
  <c r="S771" i="2"/>
  <c r="M771" i="2"/>
  <c r="L771" i="2"/>
  <c r="K771" i="2"/>
  <c r="G771" i="2"/>
  <c r="E771" i="2"/>
  <c r="B771" i="2"/>
  <c r="S770" i="2"/>
  <c r="M770" i="2"/>
  <c r="L770" i="2"/>
  <c r="K770" i="2"/>
  <c r="G770" i="2"/>
  <c r="E770" i="2"/>
  <c r="B770" i="2"/>
  <c r="S769" i="2"/>
  <c r="M769" i="2"/>
  <c r="L769" i="2"/>
  <c r="K769" i="2"/>
  <c r="G769" i="2"/>
  <c r="E769" i="2"/>
  <c r="B769" i="2"/>
  <c r="S768" i="2"/>
  <c r="M768" i="2"/>
  <c r="L768" i="2"/>
  <c r="K768" i="2"/>
  <c r="G768" i="2"/>
  <c r="E768" i="2"/>
  <c r="B768" i="2"/>
  <c r="S767" i="2"/>
  <c r="M767" i="2"/>
  <c r="L767" i="2"/>
  <c r="K767" i="2"/>
  <c r="G767" i="2"/>
  <c r="E767" i="2"/>
  <c r="B767" i="2"/>
  <c r="S766" i="2"/>
  <c r="M766" i="2"/>
  <c r="L766" i="2"/>
  <c r="K766" i="2"/>
  <c r="G766" i="2"/>
  <c r="E766" i="2"/>
  <c r="B766" i="2"/>
  <c r="S765" i="2"/>
  <c r="M765" i="2"/>
  <c r="L765" i="2"/>
  <c r="K765" i="2"/>
  <c r="G765" i="2"/>
  <c r="E765" i="2"/>
  <c r="B765" i="2"/>
  <c r="S764" i="2"/>
  <c r="M764" i="2"/>
  <c r="L764" i="2"/>
  <c r="K764" i="2"/>
  <c r="G764" i="2"/>
  <c r="E764" i="2"/>
  <c r="B764" i="2"/>
  <c r="S763" i="2"/>
  <c r="M763" i="2"/>
  <c r="L763" i="2"/>
  <c r="K763" i="2"/>
  <c r="G763" i="2"/>
  <c r="E763" i="2"/>
  <c r="B763" i="2"/>
  <c r="S762" i="2"/>
  <c r="M762" i="2"/>
  <c r="L762" i="2"/>
  <c r="K762" i="2"/>
  <c r="G762" i="2"/>
  <c r="E762" i="2"/>
  <c r="B762" i="2"/>
  <c r="S761" i="2"/>
  <c r="M761" i="2"/>
  <c r="L761" i="2"/>
  <c r="K761" i="2"/>
  <c r="G761" i="2"/>
  <c r="E761" i="2"/>
  <c r="B761" i="2"/>
  <c r="S760" i="2"/>
  <c r="M760" i="2"/>
  <c r="L760" i="2"/>
  <c r="K760" i="2"/>
  <c r="G760" i="2"/>
  <c r="E760" i="2"/>
  <c r="B760" i="2"/>
  <c r="S759" i="2"/>
  <c r="M759" i="2"/>
  <c r="L759" i="2"/>
  <c r="K759" i="2"/>
  <c r="G759" i="2"/>
  <c r="E759" i="2"/>
  <c r="B759" i="2"/>
  <c r="S758" i="2"/>
  <c r="M758" i="2"/>
  <c r="L758" i="2"/>
  <c r="K758" i="2"/>
  <c r="G758" i="2"/>
  <c r="E758" i="2"/>
  <c r="B758" i="2"/>
  <c r="S757" i="2"/>
  <c r="M757" i="2"/>
  <c r="L757" i="2"/>
  <c r="K757" i="2"/>
  <c r="G757" i="2"/>
  <c r="E757" i="2"/>
  <c r="B757" i="2"/>
  <c r="S756" i="2"/>
  <c r="M756" i="2"/>
  <c r="L756" i="2"/>
  <c r="K756" i="2"/>
  <c r="G756" i="2"/>
  <c r="E756" i="2"/>
  <c r="B756" i="2"/>
  <c r="S755" i="2"/>
  <c r="M755" i="2"/>
  <c r="L755" i="2"/>
  <c r="K755" i="2"/>
  <c r="G755" i="2"/>
  <c r="E755" i="2"/>
  <c r="B755" i="2"/>
  <c r="S754" i="2"/>
  <c r="M754" i="2"/>
  <c r="L754" i="2"/>
  <c r="K754" i="2"/>
  <c r="G754" i="2"/>
  <c r="E754" i="2"/>
  <c r="B754" i="2"/>
  <c r="S753" i="2"/>
  <c r="M753" i="2"/>
  <c r="L753" i="2"/>
  <c r="K753" i="2"/>
  <c r="G753" i="2"/>
  <c r="E753" i="2"/>
  <c r="B753" i="2"/>
  <c r="S752" i="2"/>
  <c r="M752" i="2"/>
  <c r="L752" i="2"/>
  <c r="K752" i="2"/>
  <c r="G752" i="2"/>
  <c r="E752" i="2"/>
  <c r="B752" i="2"/>
  <c r="S751" i="2"/>
  <c r="M751" i="2"/>
  <c r="L751" i="2"/>
  <c r="K751" i="2"/>
  <c r="G751" i="2"/>
  <c r="E751" i="2"/>
  <c r="B751" i="2"/>
  <c r="S750" i="2"/>
  <c r="M750" i="2"/>
  <c r="L750" i="2"/>
  <c r="K750" i="2"/>
  <c r="G750" i="2"/>
  <c r="E750" i="2"/>
  <c r="B750" i="2"/>
  <c r="S749" i="2"/>
  <c r="M749" i="2"/>
  <c r="L749" i="2"/>
  <c r="K749" i="2"/>
  <c r="G749" i="2"/>
  <c r="E749" i="2"/>
  <c r="B749" i="2"/>
  <c r="S748" i="2"/>
  <c r="M748" i="2"/>
  <c r="L748" i="2"/>
  <c r="K748" i="2"/>
  <c r="G748" i="2"/>
  <c r="E748" i="2"/>
  <c r="B748" i="2"/>
  <c r="S747" i="2"/>
  <c r="M747" i="2"/>
  <c r="L747" i="2"/>
  <c r="K747" i="2"/>
  <c r="G747" i="2"/>
  <c r="E747" i="2"/>
  <c r="B747" i="2"/>
  <c r="S746" i="2"/>
  <c r="M746" i="2"/>
  <c r="L746" i="2"/>
  <c r="K746" i="2"/>
  <c r="G746" i="2"/>
  <c r="E746" i="2"/>
  <c r="B746" i="2"/>
  <c r="S745" i="2"/>
  <c r="M745" i="2"/>
  <c r="L745" i="2"/>
  <c r="K745" i="2"/>
  <c r="G745" i="2"/>
  <c r="E745" i="2"/>
  <c r="B745" i="2"/>
  <c r="S744" i="2"/>
  <c r="M744" i="2"/>
  <c r="L744" i="2"/>
  <c r="K744" i="2"/>
  <c r="G744" i="2"/>
  <c r="E744" i="2"/>
  <c r="B744" i="2"/>
  <c r="S743" i="2"/>
  <c r="M743" i="2"/>
  <c r="L743" i="2"/>
  <c r="K743" i="2"/>
  <c r="G743" i="2"/>
  <c r="E743" i="2"/>
  <c r="B743" i="2"/>
  <c r="S742" i="2"/>
  <c r="M742" i="2"/>
  <c r="L742" i="2"/>
  <c r="K742" i="2"/>
  <c r="G742" i="2"/>
  <c r="E742" i="2"/>
  <c r="B742" i="2"/>
  <c r="S741" i="2"/>
  <c r="M741" i="2"/>
  <c r="L741" i="2"/>
  <c r="K741" i="2"/>
  <c r="G741" i="2"/>
  <c r="E741" i="2"/>
  <c r="B741" i="2"/>
  <c r="S740" i="2"/>
  <c r="M740" i="2"/>
  <c r="L740" i="2"/>
  <c r="K740" i="2"/>
  <c r="G740" i="2"/>
  <c r="E740" i="2"/>
  <c r="B740" i="2"/>
  <c r="S739" i="2"/>
  <c r="M739" i="2"/>
  <c r="L739" i="2"/>
  <c r="K739" i="2"/>
  <c r="G739" i="2"/>
  <c r="E739" i="2"/>
  <c r="B739" i="2"/>
  <c r="S738" i="2"/>
  <c r="M738" i="2"/>
  <c r="L738" i="2"/>
  <c r="K738" i="2"/>
  <c r="G738" i="2"/>
  <c r="E738" i="2"/>
  <c r="B738" i="2"/>
  <c r="S737" i="2"/>
  <c r="M737" i="2"/>
  <c r="L737" i="2"/>
  <c r="K737" i="2"/>
  <c r="G737" i="2"/>
  <c r="E737" i="2"/>
  <c r="B737" i="2"/>
  <c r="S736" i="2"/>
  <c r="M736" i="2"/>
  <c r="L736" i="2"/>
  <c r="K736" i="2"/>
  <c r="G736" i="2"/>
  <c r="E736" i="2"/>
  <c r="B736" i="2"/>
  <c r="S735" i="2"/>
  <c r="M735" i="2"/>
  <c r="L735" i="2"/>
  <c r="K735" i="2"/>
  <c r="G735" i="2"/>
  <c r="E735" i="2"/>
  <c r="B735" i="2"/>
  <c r="S734" i="2"/>
  <c r="M734" i="2"/>
  <c r="L734" i="2"/>
  <c r="K734" i="2"/>
  <c r="G734" i="2"/>
  <c r="E734" i="2"/>
  <c r="B734" i="2"/>
  <c r="S733" i="2"/>
  <c r="M733" i="2"/>
  <c r="L733" i="2"/>
  <c r="K733" i="2"/>
  <c r="G733" i="2"/>
  <c r="E733" i="2"/>
  <c r="B733" i="2"/>
  <c r="S732" i="2"/>
  <c r="M732" i="2"/>
  <c r="L732" i="2"/>
  <c r="K732" i="2"/>
  <c r="G732" i="2"/>
  <c r="E732" i="2"/>
  <c r="B732" i="2"/>
  <c r="S731" i="2"/>
  <c r="M731" i="2"/>
  <c r="L731" i="2"/>
  <c r="K731" i="2"/>
  <c r="G731" i="2"/>
  <c r="E731" i="2"/>
  <c r="B731" i="2"/>
  <c r="S730" i="2"/>
  <c r="M730" i="2"/>
  <c r="L730" i="2"/>
  <c r="K730" i="2"/>
  <c r="G730" i="2"/>
  <c r="E730" i="2"/>
  <c r="B730" i="2"/>
  <c r="S729" i="2"/>
  <c r="M729" i="2"/>
  <c r="L729" i="2"/>
  <c r="K729" i="2"/>
  <c r="G729" i="2"/>
  <c r="E729" i="2"/>
  <c r="B729" i="2"/>
  <c r="S728" i="2"/>
  <c r="M728" i="2"/>
  <c r="L728" i="2"/>
  <c r="K728" i="2"/>
  <c r="G728" i="2"/>
  <c r="E728" i="2"/>
  <c r="B728" i="2"/>
  <c r="S727" i="2"/>
  <c r="M727" i="2"/>
  <c r="L727" i="2"/>
  <c r="K727" i="2"/>
  <c r="G727" i="2"/>
  <c r="E727" i="2"/>
  <c r="B727" i="2"/>
  <c r="S726" i="2"/>
  <c r="M726" i="2"/>
  <c r="L726" i="2"/>
  <c r="K726" i="2"/>
  <c r="G726" i="2"/>
  <c r="E726" i="2"/>
  <c r="B726" i="2"/>
  <c r="S725" i="2"/>
  <c r="M725" i="2"/>
  <c r="L725" i="2"/>
  <c r="K725" i="2"/>
  <c r="G725" i="2"/>
  <c r="E725" i="2"/>
  <c r="B725" i="2"/>
  <c r="S724" i="2"/>
  <c r="M724" i="2"/>
  <c r="L724" i="2"/>
  <c r="K724" i="2"/>
  <c r="G724" i="2"/>
  <c r="E724" i="2"/>
  <c r="B724" i="2"/>
  <c r="S723" i="2"/>
  <c r="M723" i="2"/>
  <c r="L723" i="2"/>
  <c r="K723" i="2"/>
  <c r="G723" i="2"/>
  <c r="E723" i="2"/>
  <c r="B723" i="2"/>
  <c r="S722" i="2"/>
  <c r="M722" i="2"/>
  <c r="L722" i="2"/>
  <c r="K722" i="2"/>
  <c r="G722" i="2"/>
  <c r="E722" i="2"/>
  <c r="B722" i="2"/>
  <c r="S721" i="2"/>
  <c r="M721" i="2"/>
  <c r="L721" i="2"/>
  <c r="K721" i="2"/>
  <c r="G721" i="2"/>
  <c r="E721" i="2"/>
  <c r="B721" i="2"/>
  <c r="S720" i="2"/>
  <c r="M720" i="2"/>
  <c r="L720" i="2"/>
  <c r="K720" i="2"/>
  <c r="G720" i="2"/>
  <c r="E720" i="2"/>
  <c r="B720" i="2"/>
  <c r="S719" i="2"/>
  <c r="M719" i="2"/>
  <c r="L719" i="2"/>
  <c r="K719" i="2"/>
  <c r="G719" i="2"/>
  <c r="E719" i="2"/>
  <c r="B719" i="2"/>
  <c r="S718" i="2"/>
  <c r="M718" i="2"/>
  <c r="L718" i="2"/>
  <c r="K718" i="2"/>
  <c r="G718" i="2"/>
  <c r="E718" i="2"/>
  <c r="B718" i="2"/>
  <c r="S717" i="2"/>
  <c r="M717" i="2"/>
  <c r="L717" i="2"/>
  <c r="K717" i="2"/>
  <c r="G717" i="2"/>
  <c r="E717" i="2"/>
  <c r="B717" i="2"/>
  <c r="S716" i="2"/>
  <c r="M716" i="2"/>
  <c r="L716" i="2"/>
  <c r="K716" i="2"/>
  <c r="G716" i="2"/>
  <c r="E716" i="2"/>
  <c r="B716" i="2"/>
  <c r="S715" i="2"/>
  <c r="M715" i="2"/>
  <c r="L715" i="2"/>
  <c r="K715" i="2"/>
  <c r="G715" i="2"/>
  <c r="E715" i="2"/>
  <c r="B715" i="2"/>
  <c r="S714" i="2"/>
  <c r="M714" i="2"/>
  <c r="L714" i="2"/>
  <c r="K714" i="2"/>
  <c r="G714" i="2"/>
  <c r="E714" i="2"/>
  <c r="B714" i="2"/>
  <c r="S713" i="2"/>
  <c r="M713" i="2"/>
  <c r="L713" i="2"/>
  <c r="K713" i="2"/>
  <c r="G713" i="2"/>
  <c r="E713" i="2"/>
  <c r="B713" i="2"/>
  <c r="S712" i="2"/>
  <c r="M712" i="2"/>
  <c r="L712" i="2"/>
  <c r="K712" i="2"/>
  <c r="G712" i="2"/>
  <c r="E712" i="2"/>
  <c r="B712" i="2"/>
  <c r="S711" i="2"/>
  <c r="M711" i="2"/>
  <c r="L711" i="2"/>
  <c r="K711" i="2"/>
  <c r="G711" i="2"/>
  <c r="E711" i="2"/>
  <c r="B711" i="2"/>
  <c r="S710" i="2"/>
  <c r="M710" i="2"/>
  <c r="L710" i="2"/>
  <c r="K710" i="2"/>
  <c r="G710" i="2"/>
  <c r="E710" i="2"/>
  <c r="B710" i="2"/>
  <c r="S709" i="2"/>
  <c r="M709" i="2"/>
  <c r="L709" i="2"/>
  <c r="K709" i="2"/>
  <c r="G709" i="2"/>
  <c r="E709" i="2"/>
  <c r="B709" i="2"/>
  <c r="S708" i="2"/>
  <c r="M708" i="2"/>
  <c r="L708" i="2"/>
  <c r="K708" i="2"/>
  <c r="G708" i="2"/>
  <c r="E708" i="2"/>
  <c r="B708" i="2"/>
  <c r="S707" i="2"/>
  <c r="M707" i="2"/>
  <c r="L707" i="2"/>
  <c r="K707" i="2"/>
  <c r="G707" i="2"/>
  <c r="E707" i="2"/>
  <c r="B707" i="2"/>
  <c r="S706" i="2"/>
  <c r="M706" i="2"/>
  <c r="L706" i="2"/>
  <c r="K706" i="2"/>
  <c r="G706" i="2"/>
  <c r="E706" i="2"/>
  <c r="B706" i="2"/>
  <c r="S705" i="2"/>
  <c r="M705" i="2"/>
  <c r="L705" i="2"/>
  <c r="K705" i="2"/>
  <c r="G705" i="2"/>
  <c r="E705" i="2"/>
  <c r="B705" i="2"/>
  <c r="S704" i="2"/>
  <c r="M704" i="2"/>
  <c r="L704" i="2"/>
  <c r="K704" i="2"/>
  <c r="G704" i="2"/>
  <c r="E704" i="2"/>
  <c r="B704" i="2"/>
  <c r="S703" i="2"/>
  <c r="M703" i="2"/>
  <c r="L703" i="2"/>
  <c r="K703" i="2"/>
  <c r="G703" i="2"/>
  <c r="E703" i="2"/>
  <c r="B703" i="2"/>
  <c r="S702" i="2"/>
  <c r="M702" i="2"/>
  <c r="L702" i="2"/>
  <c r="K702" i="2"/>
  <c r="G702" i="2"/>
  <c r="E702" i="2"/>
  <c r="B702" i="2"/>
  <c r="S701" i="2"/>
  <c r="M701" i="2"/>
  <c r="L701" i="2"/>
  <c r="K701" i="2"/>
  <c r="G701" i="2"/>
  <c r="E701" i="2"/>
  <c r="B701" i="2"/>
  <c r="S700" i="2"/>
  <c r="M700" i="2"/>
  <c r="L700" i="2"/>
  <c r="K700" i="2"/>
  <c r="G700" i="2"/>
  <c r="E700" i="2"/>
  <c r="B700" i="2"/>
  <c r="S699" i="2"/>
  <c r="M699" i="2"/>
  <c r="L699" i="2"/>
  <c r="K699" i="2"/>
  <c r="G699" i="2"/>
  <c r="E699" i="2"/>
  <c r="B699" i="2"/>
  <c r="S698" i="2"/>
  <c r="M698" i="2"/>
  <c r="L698" i="2"/>
  <c r="K698" i="2"/>
  <c r="G698" i="2"/>
  <c r="E698" i="2"/>
  <c r="B698" i="2"/>
  <c r="S697" i="2"/>
  <c r="M697" i="2"/>
  <c r="L697" i="2"/>
  <c r="K697" i="2"/>
  <c r="G697" i="2"/>
  <c r="E697" i="2"/>
  <c r="B697" i="2"/>
  <c r="S696" i="2"/>
  <c r="M696" i="2"/>
  <c r="L696" i="2"/>
  <c r="K696" i="2"/>
  <c r="G696" i="2"/>
  <c r="E696" i="2"/>
  <c r="B696" i="2"/>
  <c r="S695" i="2"/>
  <c r="M695" i="2"/>
  <c r="L695" i="2"/>
  <c r="K695" i="2"/>
  <c r="G695" i="2"/>
  <c r="E695" i="2"/>
  <c r="B695" i="2"/>
  <c r="S694" i="2"/>
  <c r="M694" i="2"/>
  <c r="L694" i="2"/>
  <c r="K694" i="2"/>
  <c r="G694" i="2"/>
  <c r="E694" i="2"/>
  <c r="B694" i="2"/>
  <c r="S693" i="2"/>
  <c r="M693" i="2"/>
  <c r="L693" i="2"/>
  <c r="K693" i="2"/>
  <c r="G693" i="2"/>
  <c r="E693" i="2"/>
  <c r="B693" i="2"/>
  <c r="S692" i="2"/>
  <c r="M692" i="2"/>
  <c r="L692" i="2"/>
  <c r="K692" i="2"/>
  <c r="G692" i="2"/>
  <c r="E692" i="2"/>
  <c r="B692" i="2"/>
  <c r="S691" i="2"/>
  <c r="M691" i="2"/>
  <c r="L691" i="2"/>
  <c r="K691" i="2"/>
  <c r="G691" i="2"/>
  <c r="E691" i="2"/>
  <c r="B691" i="2"/>
  <c r="S690" i="2"/>
  <c r="M690" i="2"/>
  <c r="L690" i="2"/>
  <c r="K690" i="2"/>
  <c r="G690" i="2"/>
  <c r="E690" i="2"/>
  <c r="B690" i="2"/>
  <c r="S689" i="2"/>
  <c r="M689" i="2"/>
  <c r="L689" i="2"/>
  <c r="K689" i="2"/>
  <c r="G689" i="2"/>
  <c r="E689" i="2"/>
  <c r="B689" i="2"/>
  <c r="S688" i="2"/>
  <c r="M688" i="2"/>
  <c r="L688" i="2"/>
  <c r="K688" i="2"/>
  <c r="G688" i="2"/>
  <c r="E688" i="2"/>
  <c r="B688" i="2"/>
  <c r="S687" i="2"/>
  <c r="M687" i="2"/>
  <c r="L687" i="2"/>
  <c r="K687" i="2"/>
  <c r="G687" i="2"/>
  <c r="E687" i="2"/>
  <c r="B687" i="2"/>
  <c r="S686" i="2"/>
  <c r="M686" i="2"/>
  <c r="L686" i="2"/>
  <c r="K686" i="2"/>
  <c r="G686" i="2"/>
  <c r="E686" i="2"/>
  <c r="B686" i="2"/>
  <c r="S685" i="2"/>
  <c r="M685" i="2"/>
  <c r="L685" i="2"/>
  <c r="K685" i="2"/>
  <c r="G685" i="2"/>
  <c r="E685" i="2"/>
  <c r="B685" i="2"/>
  <c r="S684" i="2"/>
  <c r="M684" i="2"/>
  <c r="L684" i="2"/>
  <c r="K684" i="2"/>
  <c r="G684" i="2"/>
  <c r="E684" i="2"/>
  <c r="B684" i="2"/>
  <c r="S683" i="2"/>
  <c r="M683" i="2"/>
  <c r="L683" i="2"/>
  <c r="K683" i="2"/>
  <c r="G683" i="2"/>
  <c r="E683" i="2"/>
  <c r="B683" i="2"/>
  <c r="S682" i="2"/>
  <c r="M682" i="2"/>
  <c r="L682" i="2"/>
  <c r="K682" i="2"/>
  <c r="G682" i="2"/>
  <c r="E682" i="2"/>
  <c r="B682" i="2"/>
  <c r="S681" i="2"/>
  <c r="M681" i="2"/>
  <c r="L681" i="2"/>
  <c r="K681" i="2"/>
  <c r="G681" i="2"/>
  <c r="E681" i="2"/>
  <c r="B681" i="2"/>
  <c r="S680" i="2"/>
  <c r="M680" i="2"/>
  <c r="L680" i="2"/>
  <c r="K680" i="2"/>
  <c r="G680" i="2"/>
  <c r="E680" i="2"/>
  <c r="B680" i="2"/>
  <c r="S679" i="2"/>
  <c r="M679" i="2"/>
  <c r="L679" i="2"/>
  <c r="K679" i="2"/>
  <c r="G679" i="2"/>
  <c r="E679" i="2"/>
  <c r="B679" i="2"/>
  <c r="S678" i="2"/>
  <c r="M678" i="2"/>
  <c r="L678" i="2"/>
  <c r="K678" i="2"/>
  <c r="G678" i="2"/>
  <c r="E678" i="2"/>
  <c r="B678" i="2"/>
  <c r="S677" i="2"/>
  <c r="M677" i="2"/>
  <c r="L677" i="2"/>
  <c r="K677" i="2"/>
  <c r="G677" i="2"/>
  <c r="E677" i="2"/>
  <c r="B677" i="2"/>
  <c r="S676" i="2"/>
  <c r="M676" i="2"/>
  <c r="L676" i="2"/>
  <c r="K676" i="2"/>
  <c r="G676" i="2"/>
  <c r="E676" i="2"/>
  <c r="B676" i="2"/>
  <c r="S675" i="2"/>
  <c r="M675" i="2"/>
  <c r="L675" i="2"/>
  <c r="K675" i="2"/>
  <c r="G675" i="2"/>
  <c r="E675" i="2"/>
  <c r="B675" i="2"/>
  <c r="S674" i="2"/>
  <c r="M674" i="2"/>
  <c r="L674" i="2"/>
  <c r="K674" i="2"/>
  <c r="G674" i="2"/>
  <c r="E674" i="2"/>
  <c r="B674" i="2"/>
  <c r="S673" i="2"/>
  <c r="M673" i="2"/>
  <c r="L673" i="2"/>
  <c r="K673" i="2"/>
  <c r="G673" i="2"/>
  <c r="E673" i="2"/>
  <c r="B673" i="2"/>
  <c r="S672" i="2"/>
  <c r="M672" i="2"/>
  <c r="L672" i="2"/>
  <c r="K672" i="2"/>
  <c r="G672" i="2"/>
  <c r="E672" i="2"/>
  <c r="B672" i="2"/>
  <c r="S671" i="2"/>
  <c r="M671" i="2"/>
  <c r="L671" i="2"/>
  <c r="K671" i="2"/>
  <c r="G671" i="2"/>
  <c r="E671" i="2"/>
  <c r="B671" i="2"/>
  <c r="S670" i="2"/>
  <c r="M670" i="2"/>
  <c r="L670" i="2"/>
  <c r="K670" i="2"/>
  <c r="G670" i="2"/>
  <c r="E670" i="2"/>
  <c r="B670" i="2"/>
  <c r="S669" i="2"/>
  <c r="M669" i="2"/>
  <c r="L669" i="2"/>
  <c r="K669" i="2"/>
  <c r="G669" i="2"/>
  <c r="E669" i="2"/>
  <c r="B669" i="2"/>
  <c r="S668" i="2"/>
  <c r="M668" i="2"/>
  <c r="L668" i="2"/>
  <c r="K668" i="2"/>
  <c r="G668" i="2"/>
  <c r="E668" i="2"/>
  <c r="B668" i="2"/>
  <c r="S667" i="2"/>
  <c r="M667" i="2"/>
  <c r="L667" i="2"/>
  <c r="K667" i="2"/>
  <c r="G667" i="2"/>
  <c r="E667" i="2"/>
  <c r="B667" i="2"/>
  <c r="S666" i="2"/>
  <c r="M666" i="2"/>
  <c r="L666" i="2"/>
  <c r="K666" i="2"/>
  <c r="G666" i="2"/>
  <c r="E666" i="2"/>
  <c r="B666" i="2"/>
  <c r="S665" i="2"/>
  <c r="M665" i="2"/>
  <c r="L665" i="2"/>
  <c r="K665" i="2"/>
  <c r="G665" i="2"/>
  <c r="E665" i="2"/>
  <c r="B665" i="2"/>
  <c r="S664" i="2"/>
  <c r="M664" i="2"/>
  <c r="L664" i="2"/>
  <c r="K664" i="2"/>
  <c r="G664" i="2"/>
  <c r="E664" i="2"/>
  <c r="B664" i="2"/>
  <c r="S663" i="2"/>
  <c r="M663" i="2"/>
  <c r="L663" i="2"/>
  <c r="K663" i="2"/>
  <c r="G663" i="2"/>
  <c r="E663" i="2"/>
  <c r="B663" i="2"/>
  <c r="S662" i="2"/>
  <c r="M662" i="2"/>
  <c r="L662" i="2"/>
  <c r="K662" i="2"/>
  <c r="G662" i="2"/>
  <c r="E662" i="2"/>
  <c r="B662" i="2"/>
  <c r="S661" i="2"/>
  <c r="M661" i="2"/>
  <c r="L661" i="2"/>
  <c r="K661" i="2"/>
  <c r="G661" i="2"/>
  <c r="E661" i="2"/>
  <c r="B661" i="2"/>
  <c r="S660" i="2"/>
  <c r="M660" i="2"/>
  <c r="L660" i="2"/>
  <c r="K660" i="2"/>
  <c r="G660" i="2"/>
  <c r="E660" i="2"/>
  <c r="B660" i="2"/>
  <c r="S659" i="2"/>
  <c r="M659" i="2"/>
  <c r="L659" i="2"/>
  <c r="K659" i="2"/>
  <c r="G659" i="2"/>
  <c r="E659" i="2"/>
  <c r="B659" i="2"/>
  <c r="S658" i="2"/>
  <c r="M658" i="2"/>
  <c r="L658" i="2"/>
  <c r="K658" i="2"/>
  <c r="G658" i="2"/>
  <c r="E658" i="2"/>
  <c r="B658" i="2"/>
  <c r="S657" i="2"/>
  <c r="M657" i="2"/>
  <c r="L657" i="2"/>
  <c r="K657" i="2"/>
  <c r="G657" i="2"/>
  <c r="E657" i="2"/>
  <c r="B657" i="2"/>
  <c r="S656" i="2"/>
  <c r="M656" i="2"/>
  <c r="L656" i="2"/>
  <c r="K656" i="2"/>
  <c r="G656" i="2"/>
  <c r="E656" i="2"/>
  <c r="B656" i="2"/>
  <c r="S655" i="2"/>
  <c r="M655" i="2"/>
  <c r="L655" i="2"/>
  <c r="K655" i="2"/>
  <c r="G655" i="2"/>
  <c r="E655" i="2"/>
  <c r="B655" i="2"/>
  <c r="S654" i="2"/>
  <c r="M654" i="2"/>
  <c r="L654" i="2"/>
  <c r="K654" i="2"/>
  <c r="G654" i="2"/>
  <c r="E654" i="2"/>
  <c r="B654" i="2"/>
  <c r="S653" i="2"/>
  <c r="M653" i="2"/>
  <c r="L653" i="2"/>
  <c r="K653" i="2"/>
  <c r="G653" i="2"/>
  <c r="E653" i="2"/>
  <c r="B653" i="2"/>
  <c r="S652" i="2"/>
  <c r="M652" i="2"/>
  <c r="L652" i="2"/>
  <c r="K652" i="2"/>
  <c r="G652" i="2"/>
  <c r="E652" i="2"/>
  <c r="B652" i="2"/>
  <c r="S651" i="2"/>
  <c r="M651" i="2"/>
  <c r="L651" i="2"/>
  <c r="K651" i="2"/>
  <c r="G651" i="2"/>
  <c r="E651" i="2"/>
  <c r="B651" i="2"/>
  <c r="S650" i="2"/>
  <c r="M650" i="2"/>
  <c r="L650" i="2"/>
  <c r="K650" i="2"/>
  <c r="G650" i="2"/>
  <c r="E650" i="2"/>
  <c r="B650" i="2"/>
  <c r="S649" i="2"/>
  <c r="M649" i="2"/>
  <c r="L649" i="2"/>
  <c r="K649" i="2"/>
  <c r="G649" i="2"/>
  <c r="E649" i="2"/>
  <c r="B649" i="2"/>
  <c r="S648" i="2"/>
  <c r="M648" i="2"/>
  <c r="L648" i="2"/>
  <c r="K648" i="2"/>
  <c r="G648" i="2"/>
  <c r="E648" i="2"/>
  <c r="B648" i="2"/>
  <c r="S647" i="2"/>
  <c r="M647" i="2"/>
  <c r="L647" i="2"/>
  <c r="K647" i="2"/>
  <c r="G647" i="2"/>
  <c r="E647" i="2"/>
  <c r="B647" i="2"/>
  <c r="S646" i="2"/>
  <c r="M646" i="2"/>
  <c r="L646" i="2"/>
  <c r="K646" i="2"/>
  <c r="G646" i="2"/>
  <c r="E646" i="2"/>
  <c r="B646" i="2"/>
  <c r="S645" i="2"/>
  <c r="M645" i="2"/>
  <c r="L645" i="2"/>
  <c r="K645" i="2"/>
  <c r="G645" i="2"/>
  <c r="E645" i="2"/>
  <c r="B645" i="2"/>
  <c r="S644" i="2"/>
  <c r="M644" i="2"/>
  <c r="L644" i="2"/>
  <c r="K644" i="2"/>
  <c r="G644" i="2"/>
  <c r="E644" i="2"/>
  <c r="B644" i="2"/>
  <c r="S643" i="2"/>
  <c r="M643" i="2"/>
  <c r="L643" i="2"/>
  <c r="K643" i="2"/>
  <c r="G643" i="2"/>
  <c r="E643" i="2"/>
  <c r="B643" i="2"/>
  <c r="S642" i="2"/>
  <c r="M642" i="2"/>
  <c r="L642" i="2"/>
  <c r="K642" i="2"/>
  <c r="G642" i="2"/>
  <c r="E642" i="2"/>
  <c r="B642" i="2"/>
  <c r="S641" i="2"/>
  <c r="M641" i="2"/>
  <c r="L641" i="2"/>
  <c r="K641" i="2"/>
  <c r="G641" i="2"/>
  <c r="E641" i="2"/>
  <c r="B641" i="2"/>
  <c r="S640" i="2"/>
  <c r="M640" i="2"/>
  <c r="L640" i="2"/>
  <c r="K640" i="2"/>
  <c r="G640" i="2"/>
  <c r="E640" i="2"/>
  <c r="B640" i="2"/>
  <c r="S639" i="2"/>
  <c r="M639" i="2"/>
  <c r="L639" i="2"/>
  <c r="K639" i="2"/>
  <c r="G639" i="2"/>
  <c r="E639" i="2"/>
  <c r="B639" i="2"/>
  <c r="S638" i="2"/>
  <c r="M638" i="2"/>
  <c r="L638" i="2"/>
  <c r="K638" i="2"/>
  <c r="G638" i="2"/>
  <c r="E638" i="2"/>
  <c r="B638" i="2"/>
  <c r="S637" i="2"/>
  <c r="M637" i="2"/>
  <c r="L637" i="2"/>
  <c r="K637" i="2"/>
  <c r="G637" i="2"/>
  <c r="E637" i="2"/>
  <c r="B637" i="2"/>
  <c r="S636" i="2"/>
  <c r="M636" i="2"/>
  <c r="L636" i="2"/>
  <c r="K636" i="2"/>
  <c r="G636" i="2"/>
  <c r="E636" i="2"/>
  <c r="B636" i="2"/>
  <c r="S635" i="2"/>
  <c r="M635" i="2"/>
  <c r="L635" i="2"/>
  <c r="K635" i="2"/>
  <c r="G635" i="2"/>
  <c r="E635" i="2"/>
  <c r="B635" i="2"/>
  <c r="S634" i="2"/>
  <c r="M634" i="2"/>
  <c r="L634" i="2"/>
  <c r="K634" i="2"/>
  <c r="G634" i="2"/>
  <c r="E634" i="2"/>
  <c r="B634" i="2"/>
  <c r="S633" i="2"/>
  <c r="M633" i="2"/>
  <c r="L633" i="2"/>
  <c r="K633" i="2"/>
  <c r="G633" i="2"/>
  <c r="E633" i="2"/>
  <c r="B633" i="2"/>
  <c r="S632" i="2"/>
  <c r="M632" i="2"/>
  <c r="L632" i="2"/>
  <c r="K632" i="2"/>
  <c r="G632" i="2"/>
  <c r="E632" i="2"/>
  <c r="B632" i="2"/>
  <c r="S631" i="2"/>
  <c r="M631" i="2"/>
  <c r="L631" i="2"/>
  <c r="K631" i="2"/>
  <c r="G631" i="2"/>
  <c r="E631" i="2"/>
  <c r="B631" i="2"/>
  <c r="S630" i="2"/>
  <c r="M630" i="2"/>
  <c r="L630" i="2"/>
  <c r="K630" i="2"/>
  <c r="G630" i="2"/>
  <c r="E630" i="2"/>
  <c r="B630" i="2"/>
  <c r="S629" i="2"/>
  <c r="M629" i="2"/>
  <c r="L629" i="2"/>
  <c r="K629" i="2"/>
  <c r="G629" i="2"/>
  <c r="E629" i="2"/>
  <c r="B629" i="2"/>
  <c r="S628" i="2"/>
  <c r="M628" i="2"/>
  <c r="L628" i="2"/>
  <c r="K628" i="2"/>
  <c r="G628" i="2"/>
  <c r="E628" i="2"/>
  <c r="B628" i="2"/>
  <c r="S627" i="2"/>
  <c r="M627" i="2"/>
  <c r="L627" i="2"/>
  <c r="K627" i="2"/>
  <c r="G627" i="2"/>
  <c r="E627" i="2"/>
  <c r="B627" i="2"/>
  <c r="S626" i="2"/>
  <c r="M626" i="2"/>
  <c r="L626" i="2"/>
  <c r="K626" i="2"/>
  <c r="G626" i="2"/>
  <c r="E626" i="2"/>
  <c r="B626" i="2"/>
  <c r="S625" i="2"/>
  <c r="M625" i="2"/>
  <c r="L625" i="2"/>
  <c r="K625" i="2"/>
  <c r="G625" i="2"/>
  <c r="E625" i="2"/>
  <c r="B625" i="2"/>
  <c r="S624" i="2"/>
  <c r="M624" i="2"/>
  <c r="L624" i="2"/>
  <c r="K624" i="2"/>
  <c r="G624" i="2"/>
  <c r="E624" i="2"/>
  <c r="B624" i="2"/>
  <c r="S623" i="2"/>
  <c r="M623" i="2"/>
  <c r="L623" i="2"/>
  <c r="K623" i="2"/>
  <c r="G623" i="2"/>
  <c r="E623" i="2"/>
  <c r="B623" i="2"/>
  <c r="S622" i="2"/>
  <c r="M622" i="2"/>
  <c r="L622" i="2"/>
  <c r="K622" i="2"/>
  <c r="G622" i="2"/>
  <c r="E622" i="2"/>
  <c r="B622" i="2"/>
  <c r="S621" i="2"/>
  <c r="M621" i="2"/>
  <c r="L621" i="2"/>
  <c r="K621" i="2"/>
  <c r="G621" i="2"/>
  <c r="E621" i="2"/>
  <c r="B621" i="2"/>
  <c r="S620" i="2"/>
  <c r="M620" i="2"/>
  <c r="L620" i="2"/>
  <c r="K620" i="2"/>
  <c r="G620" i="2"/>
  <c r="E620" i="2"/>
  <c r="B620" i="2"/>
  <c r="S619" i="2"/>
  <c r="M619" i="2"/>
  <c r="L619" i="2"/>
  <c r="K619" i="2"/>
  <c r="G619" i="2"/>
  <c r="E619" i="2"/>
  <c r="B619" i="2"/>
  <c r="S618" i="2"/>
  <c r="M618" i="2"/>
  <c r="L618" i="2"/>
  <c r="K618" i="2"/>
  <c r="G618" i="2"/>
  <c r="E618" i="2"/>
  <c r="B618" i="2"/>
  <c r="S617" i="2"/>
  <c r="M617" i="2"/>
  <c r="L617" i="2"/>
  <c r="K617" i="2"/>
  <c r="G617" i="2"/>
  <c r="E617" i="2"/>
  <c r="B617" i="2"/>
  <c r="S616" i="2"/>
  <c r="M616" i="2"/>
  <c r="L616" i="2"/>
  <c r="K616" i="2"/>
  <c r="G616" i="2"/>
  <c r="E616" i="2"/>
  <c r="B616" i="2"/>
  <c r="S615" i="2"/>
  <c r="M615" i="2"/>
  <c r="L615" i="2"/>
  <c r="K615" i="2"/>
  <c r="G615" i="2"/>
  <c r="E615" i="2"/>
  <c r="B615" i="2"/>
  <c r="S614" i="2"/>
  <c r="M614" i="2"/>
  <c r="L614" i="2"/>
  <c r="K614" i="2"/>
  <c r="G614" i="2"/>
  <c r="E614" i="2"/>
  <c r="B614" i="2"/>
  <c r="S613" i="2"/>
  <c r="M613" i="2"/>
  <c r="L613" i="2"/>
  <c r="K613" i="2"/>
  <c r="G613" i="2"/>
  <c r="E613" i="2"/>
  <c r="B613" i="2"/>
  <c r="S612" i="2"/>
  <c r="M612" i="2"/>
  <c r="L612" i="2"/>
  <c r="K612" i="2"/>
  <c r="G612" i="2"/>
  <c r="E612" i="2"/>
  <c r="B612" i="2"/>
  <c r="S611" i="2"/>
  <c r="M611" i="2"/>
  <c r="L611" i="2"/>
  <c r="K611" i="2"/>
  <c r="G611" i="2"/>
  <c r="E611" i="2"/>
  <c r="B611" i="2"/>
  <c r="S610" i="2"/>
  <c r="M610" i="2"/>
  <c r="L610" i="2"/>
  <c r="K610" i="2"/>
  <c r="G610" i="2"/>
  <c r="E610" i="2"/>
  <c r="B610" i="2"/>
  <c r="S609" i="2"/>
  <c r="M609" i="2"/>
  <c r="L609" i="2"/>
  <c r="K609" i="2"/>
  <c r="G609" i="2"/>
  <c r="E609" i="2"/>
  <c r="B609" i="2"/>
  <c r="S608" i="2"/>
  <c r="M608" i="2"/>
  <c r="L608" i="2"/>
  <c r="K608" i="2"/>
  <c r="G608" i="2"/>
  <c r="E608" i="2"/>
  <c r="B608" i="2"/>
  <c r="S607" i="2"/>
  <c r="M607" i="2"/>
  <c r="L607" i="2"/>
  <c r="K607" i="2"/>
  <c r="G607" i="2"/>
  <c r="E607" i="2"/>
  <c r="B607" i="2"/>
  <c r="S606" i="2"/>
  <c r="M606" i="2"/>
  <c r="L606" i="2"/>
  <c r="K606" i="2"/>
  <c r="G606" i="2"/>
  <c r="E606" i="2"/>
  <c r="B606" i="2"/>
  <c r="S605" i="2"/>
  <c r="M605" i="2"/>
  <c r="L605" i="2"/>
  <c r="K605" i="2"/>
  <c r="G605" i="2"/>
  <c r="E605" i="2"/>
  <c r="B605" i="2"/>
  <c r="S604" i="2"/>
  <c r="M604" i="2"/>
  <c r="L604" i="2"/>
  <c r="K604" i="2"/>
  <c r="G604" i="2"/>
  <c r="E604" i="2"/>
  <c r="B604" i="2"/>
  <c r="S603" i="2"/>
  <c r="M603" i="2"/>
  <c r="L603" i="2"/>
  <c r="K603" i="2"/>
  <c r="G603" i="2"/>
  <c r="E603" i="2"/>
  <c r="B603" i="2"/>
  <c r="S602" i="2"/>
  <c r="M602" i="2"/>
  <c r="L602" i="2"/>
  <c r="K602" i="2"/>
  <c r="G602" i="2"/>
  <c r="E602" i="2"/>
  <c r="B602" i="2"/>
  <c r="S601" i="2"/>
  <c r="M601" i="2"/>
  <c r="L601" i="2"/>
  <c r="K601" i="2"/>
  <c r="G601" i="2"/>
  <c r="E601" i="2"/>
  <c r="B601" i="2"/>
  <c r="S600" i="2"/>
  <c r="M600" i="2"/>
  <c r="L600" i="2"/>
  <c r="K600" i="2"/>
  <c r="G600" i="2"/>
  <c r="E600" i="2"/>
  <c r="B600" i="2"/>
  <c r="S599" i="2"/>
  <c r="M599" i="2"/>
  <c r="L599" i="2"/>
  <c r="K599" i="2"/>
  <c r="G599" i="2"/>
  <c r="E599" i="2"/>
  <c r="B599" i="2"/>
  <c r="S598" i="2"/>
  <c r="M598" i="2"/>
  <c r="L598" i="2"/>
  <c r="K598" i="2"/>
  <c r="G598" i="2"/>
  <c r="E598" i="2"/>
  <c r="B598" i="2"/>
  <c r="S597" i="2"/>
  <c r="M597" i="2"/>
  <c r="L597" i="2"/>
  <c r="K597" i="2"/>
  <c r="G597" i="2"/>
  <c r="E597" i="2"/>
  <c r="B597" i="2"/>
  <c r="S596" i="2"/>
  <c r="M596" i="2"/>
  <c r="L596" i="2"/>
  <c r="K596" i="2"/>
  <c r="G596" i="2"/>
  <c r="E596" i="2"/>
  <c r="B596" i="2"/>
  <c r="S595" i="2"/>
  <c r="M595" i="2"/>
  <c r="L595" i="2"/>
  <c r="K595" i="2"/>
  <c r="G595" i="2"/>
  <c r="E595" i="2"/>
  <c r="B595" i="2"/>
  <c r="S594" i="2"/>
  <c r="M594" i="2"/>
  <c r="L594" i="2"/>
  <c r="K594" i="2"/>
  <c r="G594" i="2"/>
  <c r="E594" i="2"/>
  <c r="B594" i="2"/>
  <c r="S593" i="2"/>
  <c r="M593" i="2"/>
  <c r="L593" i="2"/>
  <c r="K593" i="2"/>
  <c r="G593" i="2"/>
  <c r="E593" i="2"/>
  <c r="B593" i="2"/>
  <c r="S592" i="2"/>
  <c r="M592" i="2"/>
  <c r="L592" i="2"/>
  <c r="K592" i="2"/>
  <c r="G592" i="2"/>
  <c r="E592" i="2"/>
  <c r="B592" i="2"/>
  <c r="S591" i="2"/>
  <c r="M591" i="2"/>
  <c r="L591" i="2"/>
  <c r="K591" i="2"/>
  <c r="H591" i="2"/>
  <c r="G591" i="2"/>
  <c r="E591" i="2"/>
  <c r="B591" i="2"/>
  <c r="S590" i="2"/>
  <c r="M590" i="2"/>
  <c r="L590" i="2"/>
  <c r="K590" i="2"/>
  <c r="G590" i="2"/>
  <c r="E590" i="2"/>
  <c r="B590" i="2"/>
  <c r="S589" i="2"/>
  <c r="M589" i="2"/>
  <c r="L589" i="2"/>
  <c r="K589" i="2"/>
  <c r="G589" i="2"/>
  <c r="E589" i="2"/>
  <c r="B589" i="2"/>
  <c r="S588" i="2"/>
  <c r="M588" i="2"/>
  <c r="L588" i="2"/>
  <c r="K588" i="2"/>
  <c r="G588" i="2"/>
  <c r="E588" i="2"/>
  <c r="B588" i="2"/>
  <c r="S587" i="2"/>
  <c r="M587" i="2"/>
  <c r="L587" i="2"/>
  <c r="K587" i="2"/>
  <c r="G587" i="2"/>
  <c r="E587" i="2"/>
  <c r="B587" i="2"/>
  <c r="S586" i="2"/>
  <c r="M586" i="2"/>
  <c r="L586" i="2"/>
  <c r="K586" i="2"/>
  <c r="G586" i="2"/>
  <c r="E586" i="2"/>
  <c r="B586" i="2"/>
  <c r="S585" i="2"/>
  <c r="M585" i="2"/>
  <c r="L585" i="2"/>
  <c r="K585" i="2"/>
  <c r="G585" i="2"/>
  <c r="E585" i="2"/>
  <c r="B585" i="2"/>
  <c r="S584" i="2"/>
  <c r="M584" i="2"/>
  <c r="L584" i="2"/>
  <c r="K584" i="2"/>
  <c r="G584" i="2"/>
  <c r="E584" i="2"/>
  <c r="B584" i="2"/>
  <c r="S583" i="2"/>
  <c r="M583" i="2"/>
  <c r="L583" i="2"/>
  <c r="K583" i="2"/>
  <c r="G583" i="2"/>
  <c r="E583" i="2"/>
  <c r="B583" i="2"/>
  <c r="S582" i="2"/>
  <c r="M582" i="2"/>
  <c r="L582" i="2"/>
  <c r="K582" i="2"/>
  <c r="G582" i="2"/>
  <c r="E582" i="2"/>
  <c r="B582" i="2"/>
  <c r="S581" i="2"/>
  <c r="M581" i="2"/>
  <c r="L581" i="2"/>
  <c r="K581" i="2"/>
  <c r="G581" i="2"/>
  <c r="E581" i="2"/>
  <c r="B581" i="2"/>
  <c r="S580" i="2"/>
  <c r="M580" i="2"/>
  <c r="L580" i="2"/>
  <c r="K580" i="2"/>
  <c r="G580" i="2"/>
  <c r="E580" i="2"/>
  <c r="B580" i="2"/>
  <c r="S579" i="2"/>
  <c r="M579" i="2"/>
  <c r="L579" i="2"/>
  <c r="K579" i="2"/>
  <c r="G579" i="2"/>
  <c r="E579" i="2"/>
  <c r="B579" i="2"/>
  <c r="S578" i="2"/>
  <c r="M578" i="2"/>
  <c r="L578" i="2"/>
  <c r="K578" i="2"/>
  <c r="G578" i="2"/>
  <c r="E578" i="2"/>
  <c r="B578" i="2"/>
  <c r="S577" i="2"/>
  <c r="M577" i="2"/>
  <c r="L577" i="2"/>
  <c r="K577" i="2"/>
  <c r="G577" i="2"/>
  <c r="E577" i="2"/>
  <c r="B577" i="2"/>
  <c r="S576" i="2"/>
  <c r="M576" i="2"/>
  <c r="L576" i="2"/>
  <c r="K576" i="2"/>
  <c r="G576" i="2"/>
  <c r="E576" i="2"/>
  <c r="B576" i="2"/>
  <c r="S575" i="2"/>
  <c r="M575" i="2"/>
  <c r="L575" i="2"/>
  <c r="K575" i="2"/>
  <c r="G575" i="2"/>
  <c r="E575" i="2"/>
  <c r="B575" i="2"/>
  <c r="S574" i="2"/>
  <c r="M574" i="2"/>
  <c r="L574" i="2"/>
  <c r="K574" i="2"/>
  <c r="G574" i="2"/>
  <c r="E574" i="2"/>
  <c r="B574" i="2"/>
  <c r="S573" i="2"/>
  <c r="M573" i="2"/>
  <c r="L573" i="2"/>
  <c r="K573" i="2"/>
  <c r="G573" i="2"/>
  <c r="E573" i="2"/>
  <c r="B573" i="2"/>
  <c r="S572" i="2"/>
  <c r="M572" i="2"/>
  <c r="L572" i="2"/>
  <c r="K572" i="2"/>
  <c r="G572" i="2"/>
  <c r="E572" i="2"/>
  <c r="B572" i="2"/>
  <c r="S571" i="2"/>
  <c r="M571" i="2"/>
  <c r="L571" i="2"/>
  <c r="K571" i="2"/>
  <c r="G571" i="2"/>
  <c r="E571" i="2"/>
  <c r="B571" i="2"/>
  <c r="S570" i="2"/>
  <c r="M570" i="2"/>
  <c r="L570" i="2"/>
  <c r="K570" i="2"/>
  <c r="G570" i="2"/>
  <c r="E570" i="2"/>
  <c r="B570" i="2"/>
  <c r="S569" i="2"/>
  <c r="M569" i="2"/>
  <c r="L569" i="2"/>
  <c r="K569" i="2"/>
  <c r="G569" i="2"/>
  <c r="E569" i="2"/>
  <c r="B569" i="2"/>
  <c r="S568" i="2"/>
  <c r="M568" i="2"/>
  <c r="L568" i="2"/>
  <c r="K568" i="2"/>
  <c r="G568" i="2"/>
  <c r="E568" i="2"/>
  <c r="B568" i="2"/>
  <c r="S567" i="2"/>
  <c r="M567" i="2"/>
  <c r="L567" i="2"/>
  <c r="K567" i="2"/>
  <c r="G567" i="2"/>
  <c r="E567" i="2"/>
  <c r="B567" i="2"/>
  <c r="S566" i="2"/>
  <c r="M566" i="2"/>
  <c r="L566" i="2"/>
  <c r="K566" i="2"/>
  <c r="G566" i="2"/>
  <c r="E566" i="2"/>
  <c r="B566" i="2"/>
  <c r="S565" i="2"/>
  <c r="M565" i="2"/>
  <c r="L565" i="2"/>
  <c r="K565" i="2"/>
  <c r="G565" i="2"/>
  <c r="E565" i="2"/>
  <c r="B565" i="2"/>
  <c r="S564" i="2"/>
  <c r="M564" i="2"/>
  <c r="L564" i="2"/>
  <c r="K564" i="2"/>
  <c r="G564" i="2"/>
  <c r="E564" i="2"/>
  <c r="B564" i="2"/>
  <c r="S563" i="2"/>
  <c r="M563" i="2"/>
  <c r="L563" i="2"/>
  <c r="K563" i="2"/>
  <c r="G563" i="2"/>
  <c r="E563" i="2"/>
  <c r="B563" i="2"/>
  <c r="S562" i="2"/>
  <c r="M562" i="2"/>
  <c r="L562" i="2"/>
  <c r="K562" i="2"/>
  <c r="G562" i="2"/>
  <c r="E562" i="2"/>
  <c r="B562" i="2"/>
  <c r="S561" i="2"/>
  <c r="M561" i="2"/>
  <c r="L561" i="2"/>
  <c r="K561" i="2"/>
  <c r="G561" i="2"/>
  <c r="E561" i="2"/>
  <c r="B561" i="2"/>
  <c r="S560" i="2"/>
  <c r="M560" i="2"/>
  <c r="L560" i="2"/>
  <c r="K560" i="2"/>
  <c r="G560" i="2"/>
  <c r="E560" i="2"/>
  <c r="B560" i="2"/>
  <c r="S559" i="2"/>
  <c r="M559" i="2"/>
  <c r="L559" i="2"/>
  <c r="K559" i="2"/>
  <c r="G559" i="2"/>
  <c r="E559" i="2"/>
  <c r="B559" i="2"/>
  <c r="S558" i="2"/>
  <c r="M558" i="2"/>
  <c r="L558" i="2"/>
  <c r="K558" i="2"/>
  <c r="G558" i="2"/>
  <c r="E558" i="2"/>
  <c r="B558" i="2"/>
  <c r="S557" i="2"/>
  <c r="M557" i="2"/>
  <c r="L557" i="2"/>
  <c r="K557" i="2"/>
  <c r="G557" i="2"/>
  <c r="E557" i="2"/>
  <c r="B557" i="2"/>
  <c r="S556" i="2"/>
  <c r="M556" i="2"/>
  <c r="L556" i="2"/>
  <c r="K556" i="2"/>
  <c r="G556" i="2"/>
  <c r="E556" i="2"/>
  <c r="B556" i="2"/>
  <c r="S555" i="2"/>
  <c r="M555" i="2"/>
  <c r="L555" i="2"/>
  <c r="K555" i="2"/>
  <c r="G555" i="2"/>
  <c r="E555" i="2"/>
  <c r="B555" i="2"/>
  <c r="S554" i="2"/>
  <c r="M554" i="2"/>
  <c r="L554" i="2"/>
  <c r="K554" i="2"/>
  <c r="G554" i="2"/>
  <c r="E554" i="2"/>
  <c r="B554" i="2"/>
  <c r="S553" i="2"/>
  <c r="M553" i="2"/>
  <c r="L553" i="2"/>
  <c r="K553" i="2"/>
  <c r="G553" i="2"/>
  <c r="E553" i="2"/>
  <c r="B553" i="2"/>
  <c r="S552" i="2"/>
  <c r="M552" i="2"/>
  <c r="L552" i="2"/>
  <c r="K552" i="2"/>
  <c r="G552" i="2"/>
  <c r="E552" i="2"/>
  <c r="B552" i="2"/>
  <c r="S551" i="2"/>
  <c r="M551" i="2"/>
  <c r="L551" i="2"/>
  <c r="K551" i="2"/>
  <c r="G551" i="2"/>
  <c r="E551" i="2"/>
  <c r="B551" i="2"/>
  <c r="S550" i="2"/>
  <c r="M550" i="2"/>
  <c r="L550" i="2"/>
  <c r="K550" i="2"/>
  <c r="G550" i="2"/>
  <c r="E550" i="2"/>
  <c r="B550" i="2"/>
  <c r="S549" i="2"/>
  <c r="M549" i="2"/>
  <c r="L549" i="2"/>
  <c r="K549" i="2"/>
  <c r="G549" i="2"/>
  <c r="E549" i="2"/>
  <c r="B549" i="2"/>
  <c r="S548" i="2"/>
  <c r="M548" i="2"/>
  <c r="L548" i="2"/>
  <c r="K548" i="2"/>
  <c r="G548" i="2"/>
  <c r="E548" i="2"/>
  <c r="B548" i="2"/>
  <c r="S547" i="2"/>
  <c r="M547" i="2"/>
  <c r="L547" i="2"/>
  <c r="K547" i="2"/>
  <c r="G547" i="2"/>
  <c r="E547" i="2"/>
  <c r="B547" i="2"/>
  <c r="S546" i="2"/>
  <c r="M546" i="2"/>
  <c r="L546" i="2"/>
  <c r="K546" i="2"/>
  <c r="G546" i="2"/>
  <c r="E546" i="2"/>
  <c r="B546" i="2"/>
  <c r="S545" i="2"/>
  <c r="M545" i="2"/>
  <c r="L545" i="2"/>
  <c r="K545" i="2"/>
  <c r="G545" i="2"/>
  <c r="E545" i="2"/>
  <c r="B545" i="2"/>
  <c r="S544" i="2"/>
  <c r="M544" i="2"/>
  <c r="L544" i="2"/>
  <c r="K544" i="2"/>
  <c r="G544" i="2"/>
  <c r="E544" i="2"/>
  <c r="B544" i="2"/>
  <c r="S543" i="2"/>
  <c r="M543" i="2"/>
  <c r="L543" i="2"/>
  <c r="K543" i="2"/>
  <c r="G543" i="2"/>
  <c r="E543" i="2"/>
  <c r="B543" i="2"/>
  <c r="S542" i="2"/>
  <c r="M542" i="2"/>
  <c r="L542" i="2"/>
  <c r="K542" i="2"/>
  <c r="G542" i="2"/>
  <c r="E542" i="2"/>
  <c r="B542" i="2"/>
  <c r="S541" i="2"/>
  <c r="M541" i="2"/>
  <c r="L541" i="2"/>
  <c r="K541" i="2"/>
  <c r="G541" i="2"/>
  <c r="E541" i="2"/>
  <c r="B541" i="2"/>
  <c r="S540" i="2"/>
  <c r="M540" i="2"/>
  <c r="L540" i="2"/>
  <c r="K540" i="2"/>
  <c r="G540" i="2"/>
  <c r="E540" i="2"/>
  <c r="B540" i="2"/>
  <c r="S539" i="2"/>
  <c r="M539" i="2"/>
  <c r="L539" i="2"/>
  <c r="K539" i="2"/>
  <c r="G539" i="2"/>
  <c r="E539" i="2"/>
  <c r="B539" i="2"/>
  <c r="S538" i="2"/>
  <c r="M538" i="2"/>
  <c r="L538" i="2"/>
  <c r="K538" i="2"/>
  <c r="G538" i="2"/>
  <c r="E538" i="2"/>
  <c r="B538" i="2"/>
  <c r="S537" i="2"/>
  <c r="M537" i="2"/>
  <c r="L537" i="2"/>
  <c r="K537" i="2"/>
  <c r="G537" i="2"/>
  <c r="E537" i="2"/>
  <c r="B537" i="2"/>
  <c r="S536" i="2"/>
  <c r="M536" i="2"/>
  <c r="L536" i="2"/>
  <c r="K536" i="2"/>
  <c r="G536" i="2"/>
  <c r="E536" i="2"/>
  <c r="B536" i="2"/>
  <c r="S535" i="2"/>
  <c r="M535" i="2"/>
  <c r="L535" i="2"/>
  <c r="K535" i="2"/>
  <c r="G535" i="2"/>
  <c r="E535" i="2"/>
  <c r="B535" i="2"/>
  <c r="S534" i="2"/>
  <c r="M534" i="2"/>
  <c r="L534" i="2"/>
  <c r="K534" i="2"/>
  <c r="G534" i="2"/>
  <c r="E534" i="2"/>
  <c r="B534" i="2"/>
  <c r="S533" i="2"/>
  <c r="M533" i="2"/>
  <c r="L533" i="2"/>
  <c r="K533" i="2"/>
  <c r="G533" i="2"/>
  <c r="E533" i="2"/>
  <c r="B533" i="2"/>
  <c r="S532" i="2"/>
  <c r="M532" i="2"/>
  <c r="L532" i="2"/>
  <c r="K532" i="2"/>
  <c r="G532" i="2"/>
  <c r="E532" i="2"/>
  <c r="B532" i="2"/>
  <c r="S531" i="2"/>
  <c r="M531" i="2"/>
  <c r="L531" i="2"/>
  <c r="K531" i="2"/>
  <c r="G531" i="2"/>
  <c r="E531" i="2"/>
  <c r="B531" i="2"/>
  <c r="S530" i="2"/>
  <c r="M530" i="2"/>
  <c r="L530" i="2"/>
  <c r="K530" i="2"/>
  <c r="G530" i="2"/>
  <c r="E530" i="2"/>
  <c r="B530" i="2"/>
  <c r="S529" i="2"/>
  <c r="M529" i="2"/>
  <c r="L529" i="2"/>
  <c r="K529" i="2"/>
  <c r="G529" i="2"/>
  <c r="E529" i="2"/>
  <c r="B529" i="2"/>
  <c r="S528" i="2"/>
  <c r="M528" i="2"/>
  <c r="L528" i="2"/>
  <c r="K528" i="2"/>
  <c r="G528" i="2"/>
  <c r="E528" i="2"/>
  <c r="B528" i="2"/>
  <c r="S527" i="2"/>
  <c r="M527" i="2"/>
  <c r="L527" i="2"/>
  <c r="K527" i="2"/>
  <c r="G527" i="2"/>
  <c r="E527" i="2"/>
  <c r="B527" i="2"/>
  <c r="S526" i="2"/>
  <c r="M526" i="2"/>
  <c r="L526" i="2"/>
  <c r="K526" i="2"/>
  <c r="G526" i="2"/>
  <c r="E526" i="2"/>
  <c r="B526" i="2"/>
  <c r="S525" i="2"/>
  <c r="M525" i="2"/>
  <c r="L525" i="2"/>
  <c r="K525" i="2"/>
  <c r="G525" i="2"/>
  <c r="E525" i="2"/>
  <c r="B525" i="2"/>
  <c r="S524" i="2"/>
  <c r="M524" i="2"/>
  <c r="L524" i="2"/>
  <c r="K524" i="2"/>
  <c r="G524" i="2"/>
  <c r="E524" i="2"/>
  <c r="B524" i="2"/>
  <c r="S523" i="2"/>
  <c r="M523" i="2"/>
  <c r="L523" i="2"/>
  <c r="K523" i="2"/>
  <c r="G523" i="2"/>
  <c r="E523" i="2"/>
  <c r="B523" i="2"/>
  <c r="S522" i="2"/>
  <c r="M522" i="2"/>
  <c r="L522" i="2"/>
  <c r="K522" i="2"/>
  <c r="G522" i="2"/>
  <c r="E522" i="2"/>
  <c r="B522" i="2"/>
  <c r="S521" i="2"/>
  <c r="M521" i="2"/>
  <c r="L521" i="2"/>
  <c r="K521" i="2"/>
  <c r="G521" i="2"/>
  <c r="E521" i="2"/>
  <c r="B521" i="2"/>
  <c r="S520" i="2"/>
  <c r="M520" i="2"/>
  <c r="L520" i="2"/>
  <c r="K520" i="2"/>
  <c r="G520" i="2"/>
  <c r="E520" i="2"/>
  <c r="B520" i="2"/>
  <c r="S519" i="2"/>
  <c r="M519" i="2"/>
  <c r="L519" i="2"/>
  <c r="K519" i="2"/>
  <c r="G519" i="2"/>
  <c r="E519" i="2"/>
  <c r="B519" i="2"/>
  <c r="S518" i="2"/>
  <c r="M518" i="2"/>
  <c r="L518" i="2"/>
  <c r="K518" i="2"/>
  <c r="G518" i="2"/>
  <c r="E518" i="2"/>
  <c r="B518" i="2"/>
  <c r="S517" i="2"/>
  <c r="M517" i="2"/>
  <c r="L517" i="2"/>
  <c r="K517" i="2"/>
  <c r="G517" i="2"/>
  <c r="E517" i="2"/>
  <c r="B517" i="2"/>
  <c r="S516" i="2"/>
  <c r="M516" i="2"/>
  <c r="L516" i="2"/>
  <c r="K516" i="2"/>
  <c r="G516" i="2"/>
  <c r="E516" i="2"/>
  <c r="B516" i="2"/>
  <c r="S515" i="2"/>
  <c r="M515" i="2"/>
  <c r="L515" i="2"/>
  <c r="K515" i="2"/>
  <c r="H515" i="2"/>
  <c r="G515" i="2"/>
  <c r="E515" i="2"/>
  <c r="B515" i="2"/>
  <c r="S514" i="2"/>
  <c r="M514" i="2"/>
  <c r="L514" i="2"/>
  <c r="K514" i="2"/>
  <c r="G514" i="2"/>
  <c r="E514" i="2"/>
  <c r="B514" i="2"/>
  <c r="S513" i="2"/>
  <c r="M513" i="2"/>
  <c r="L513" i="2"/>
  <c r="K513" i="2"/>
  <c r="G513" i="2"/>
  <c r="E513" i="2"/>
  <c r="B513" i="2"/>
  <c r="S512" i="2"/>
  <c r="M512" i="2"/>
  <c r="L512" i="2"/>
  <c r="K512" i="2"/>
  <c r="G512" i="2"/>
  <c r="E512" i="2"/>
  <c r="B512" i="2"/>
  <c r="S511" i="2"/>
  <c r="M511" i="2"/>
  <c r="L511" i="2"/>
  <c r="K511" i="2"/>
  <c r="G511" i="2"/>
  <c r="E511" i="2"/>
  <c r="B511" i="2"/>
  <c r="S510" i="2"/>
  <c r="M510" i="2"/>
  <c r="L510" i="2"/>
  <c r="K510" i="2"/>
  <c r="G510" i="2"/>
  <c r="E510" i="2"/>
  <c r="B510" i="2"/>
  <c r="S509" i="2"/>
  <c r="M509" i="2"/>
  <c r="L509" i="2"/>
  <c r="K509" i="2"/>
  <c r="G509" i="2"/>
  <c r="E509" i="2"/>
  <c r="B509" i="2"/>
  <c r="S508" i="2"/>
  <c r="M508" i="2"/>
  <c r="L508" i="2"/>
  <c r="K508" i="2"/>
  <c r="G508" i="2"/>
  <c r="E508" i="2"/>
  <c r="B508" i="2"/>
  <c r="S507" i="2"/>
  <c r="M507" i="2"/>
  <c r="L507" i="2"/>
  <c r="K507" i="2"/>
  <c r="G507" i="2"/>
  <c r="E507" i="2"/>
  <c r="B507" i="2"/>
  <c r="S506" i="2"/>
  <c r="M506" i="2"/>
  <c r="L506" i="2"/>
  <c r="K506" i="2"/>
  <c r="G506" i="2"/>
  <c r="E506" i="2"/>
  <c r="B506" i="2"/>
  <c r="S505" i="2"/>
  <c r="M505" i="2"/>
  <c r="L505" i="2"/>
  <c r="K505" i="2"/>
  <c r="G505" i="2"/>
  <c r="E505" i="2"/>
  <c r="B505" i="2"/>
  <c r="S504" i="2"/>
  <c r="M504" i="2"/>
  <c r="L504" i="2"/>
  <c r="K504" i="2"/>
  <c r="G504" i="2"/>
  <c r="E504" i="2"/>
  <c r="B504" i="2"/>
  <c r="S503" i="2"/>
  <c r="M503" i="2"/>
  <c r="L503" i="2"/>
  <c r="K503" i="2"/>
  <c r="G503" i="2"/>
  <c r="E503" i="2"/>
  <c r="B503" i="2"/>
  <c r="S502" i="2"/>
  <c r="M502" i="2"/>
  <c r="L502" i="2"/>
  <c r="K502" i="2"/>
  <c r="G502" i="2"/>
  <c r="E502" i="2"/>
  <c r="B502" i="2"/>
  <c r="S501" i="2"/>
  <c r="M501" i="2"/>
  <c r="L501" i="2"/>
  <c r="K501" i="2"/>
  <c r="G501" i="2"/>
  <c r="E501" i="2"/>
  <c r="B501" i="2"/>
  <c r="S500" i="2"/>
  <c r="M500" i="2"/>
  <c r="L500" i="2"/>
  <c r="K500" i="2"/>
  <c r="G500" i="2"/>
  <c r="E500" i="2"/>
  <c r="B500" i="2"/>
  <c r="S499" i="2"/>
  <c r="M499" i="2"/>
  <c r="L499" i="2"/>
  <c r="K499" i="2"/>
  <c r="G499" i="2"/>
  <c r="E499" i="2"/>
  <c r="B499" i="2"/>
  <c r="S498" i="2"/>
  <c r="M498" i="2"/>
  <c r="L498" i="2"/>
  <c r="K498" i="2"/>
  <c r="G498" i="2"/>
  <c r="E498" i="2"/>
  <c r="B498" i="2"/>
  <c r="S497" i="2"/>
  <c r="M497" i="2"/>
  <c r="L497" i="2"/>
  <c r="K497" i="2"/>
  <c r="G497" i="2"/>
  <c r="E497" i="2"/>
  <c r="B497" i="2"/>
  <c r="S496" i="2"/>
  <c r="M496" i="2"/>
  <c r="L496" i="2"/>
  <c r="K496" i="2"/>
  <c r="G496" i="2"/>
  <c r="E496" i="2"/>
  <c r="B496" i="2"/>
  <c r="S495" i="2"/>
  <c r="M495" i="2"/>
  <c r="L495" i="2"/>
  <c r="K495" i="2"/>
  <c r="G495" i="2"/>
  <c r="E495" i="2"/>
  <c r="B495" i="2"/>
  <c r="S494" i="2"/>
  <c r="M494" i="2"/>
  <c r="L494" i="2"/>
  <c r="K494" i="2"/>
  <c r="G494" i="2"/>
  <c r="E494" i="2"/>
  <c r="B494" i="2"/>
  <c r="S493" i="2"/>
  <c r="M493" i="2"/>
  <c r="L493" i="2"/>
  <c r="K493" i="2"/>
  <c r="G493" i="2"/>
  <c r="E493" i="2"/>
  <c r="B493" i="2"/>
  <c r="S492" i="2"/>
  <c r="M492" i="2"/>
  <c r="L492" i="2"/>
  <c r="K492" i="2"/>
  <c r="G492" i="2"/>
  <c r="E492" i="2"/>
  <c r="B492" i="2"/>
  <c r="S491" i="2"/>
  <c r="M491" i="2"/>
  <c r="L491" i="2"/>
  <c r="K491" i="2"/>
  <c r="G491" i="2"/>
  <c r="E491" i="2"/>
  <c r="B491" i="2"/>
  <c r="S490" i="2"/>
  <c r="M490" i="2"/>
  <c r="L490" i="2"/>
  <c r="K490" i="2"/>
  <c r="G490" i="2"/>
  <c r="E490" i="2"/>
  <c r="B490" i="2"/>
  <c r="S489" i="2"/>
  <c r="M489" i="2"/>
  <c r="L489" i="2"/>
  <c r="K489" i="2"/>
  <c r="G489" i="2"/>
  <c r="E489" i="2"/>
  <c r="B489" i="2"/>
  <c r="S488" i="2"/>
  <c r="M488" i="2"/>
  <c r="L488" i="2"/>
  <c r="K488" i="2"/>
  <c r="G488" i="2"/>
  <c r="E488" i="2"/>
  <c r="B488" i="2"/>
  <c r="S487" i="2"/>
  <c r="M487" i="2"/>
  <c r="L487" i="2"/>
  <c r="K487" i="2"/>
  <c r="G487" i="2"/>
  <c r="E487" i="2"/>
  <c r="B487" i="2"/>
  <c r="S486" i="2"/>
  <c r="M486" i="2"/>
  <c r="L486" i="2"/>
  <c r="K486" i="2"/>
  <c r="G486" i="2"/>
  <c r="E486" i="2"/>
  <c r="B486" i="2"/>
  <c r="S485" i="2"/>
  <c r="M485" i="2"/>
  <c r="L485" i="2"/>
  <c r="K485" i="2"/>
  <c r="G485" i="2"/>
  <c r="E485" i="2"/>
  <c r="B485" i="2"/>
  <c r="S484" i="2"/>
  <c r="M484" i="2"/>
  <c r="L484" i="2"/>
  <c r="K484" i="2"/>
  <c r="G484" i="2"/>
  <c r="E484" i="2"/>
  <c r="B484" i="2"/>
  <c r="S483" i="2"/>
  <c r="M483" i="2"/>
  <c r="L483" i="2"/>
  <c r="K483" i="2"/>
  <c r="G483" i="2"/>
  <c r="E483" i="2"/>
  <c r="B483" i="2"/>
  <c r="S482" i="2"/>
  <c r="M482" i="2"/>
  <c r="L482" i="2"/>
  <c r="K482" i="2"/>
  <c r="G482" i="2"/>
  <c r="E482" i="2"/>
  <c r="B482" i="2"/>
  <c r="S481" i="2"/>
  <c r="M481" i="2"/>
  <c r="L481" i="2"/>
  <c r="K481" i="2"/>
  <c r="G481" i="2"/>
  <c r="E481" i="2"/>
  <c r="B481" i="2"/>
  <c r="S480" i="2"/>
  <c r="M480" i="2"/>
  <c r="L480" i="2"/>
  <c r="K480" i="2"/>
  <c r="G480" i="2"/>
  <c r="E480" i="2"/>
  <c r="B480" i="2"/>
  <c r="S479" i="2"/>
  <c r="M479" i="2"/>
  <c r="L479" i="2"/>
  <c r="K479" i="2"/>
  <c r="G479" i="2"/>
  <c r="E479" i="2"/>
  <c r="B479" i="2"/>
  <c r="S478" i="2"/>
  <c r="M478" i="2"/>
  <c r="L478" i="2"/>
  <c r="K478" i="2"/>
  <c r="G478" i="2"/>
  <c r="E478" i="2"/>
  <c r="B478" i="2"/>
  <c r="S477" i="2"/>
  <c r="M477" i="2"/>
  <c r="L477" i="2"/>
  <c r="K477" i="2"/>
  <c r="G477" i="2"/>
  <c r="E477" i="2"/>
  <c r="B477" i="2"/>
  <c r="S476" i="2"/>
  <c r="M476" i="2"/>
  <c r="L476" i="2"/>
  <c r="K476" i="2"/>
  <c r="G476" i="2"/>
  <c r="E476" i="2"/>
  <c r="B476" i="2"/>
  <c r="S475" i="2"/>
  <c r="M475" i="2"/>
  <c r="L475" i="2"/>
  <c r="K475" i="2"/>
  <c r="H475" i="2"/>
  <c r="G475" i="2"/>
  <c r="E475" i="2"/>
  <c r="B475" i="2"/>
  <c r="S474" i="2"/>
  <c r="M474" i="2"/>
  <c r="L474" i="2"/>
  <c r="K474" i="2"/>
  <c r="G474" i="2"/>
  <c r="E474" i="2"/>
  <c r="B474" i="2"/>
  <c r="S473" i="2"/>
  <c r="M473" i="2"/>
  <c r="L473" i="2"/>
  <c r="K473" i="2"/>
  <c r="G473" i="2"/>
  <c r="E473" i="2"/>
  <c r="B473" i="2"/>
  <c r="S472" i="2"/>
  <c r="M472" i="2"/>
  <c r="L472" i="2"/>
  <c r="K472" i="2"/>
  <c r="G472" i="2"/>
  <c r="E472" i="2"/>
  <c r="B472" i="2"/>
  <c r="S471" i="2"/>
  <c r="M471" i="2"/>
  <c r="L471" i="2"/>
  <c r="K471" i="2"/>
  <c r="G471" i="2"/>
  <c r="E471" i="2"/>
  <c r="B471" i="2"/>
  <c r="S470" i="2"/>
  <c r="M470" i="2"/>
  <c r="L470" i="2"/>
  <c r="K470" i="2"/>
  <c r="G470" i="2"/>
  <c r="E470" i="2"/>
  <c r="B470" i="2"/>
  <c r="S469" i="2"/>
  <c r="M469" i="2"/>
  <c r="L469" i="2"/>
  <c r="K469" i="2"/>
  <c r="G469" i="2"/>
  <c r="E469" i="2"/>
  <c r="B469" i="2"/>
  <c r="S468" i="2"/>
  <c r="M468" i="2"/>
  <c r="L468" i="2"/>
  <c r="K468" i="2"/>
  <c r="G468" i="2"/>
  <c r="E468" i="2"/>
  <c r="B468" i="2"/>
  <c r="S467" i="2"/>
  <c r="M467" i="2"/>
  <c r="L467" i="2"/>
  <c r="K467" i="2"/>
  <c r="G467" i="2"/>
  <c r="E467" i="2"/>
  <c r="B467" i="2"/>
  <c r="S466" i="2"/>
  <c r="M466" i="2"/>
  <c r="L466" i="2"/>
  <c r="K466" i="2"/>
  <c r="G466" i="2"/>
  <c r="E466" i="2"/>
  <c r="B466" i="2"/>
  <c r="S465" i="2"/>
  <c r="M465" i="2"/>
  <c r="L465" i="2"/>
  <c r="K465" i="2"/>
  <c r="G465" i="2"/>
  <c r="E465" i="2"/>
  <c r="B465" i="2"/>
  <c r="S464" i="2"/>
  <c r="M464" i="2"/>
  <c r="L464" i="2"/>
  <c r="K464" i="2"/>
  <c r="G464" i="2"/>
  <c r="E464" i="2"/>
  <c r="B464" i="2"/>
  <c r="S463" i="2"/>
  <c r="M463" i="2"/>
  <c r="L463" i="2"/>
  <c r="K463" i="2"/>
  <c r="G463" i="2"/>
  <c r="E463" i="2"/>
  <c r="B463" i="2"/>
  <c r="S462" i="2"/>
  <c r="M462" i="2"/>
  <c r="L462" i="2"/>
  <c r="K462" i="2"/>
  <c r="G462" i="2"/>
  <c r="E462" i="2"/>
  <c r="B462" i="2"/>
  <c r="S461" i="2"/>
  <c r="M461" i="2"/>
  <c r="L461" i="2"/>
  <c r="K461" i="2"/>
  <c r="G461" i="2"/>
  <c r="E461" i="2"/>
  <c r="B461" i="2"/>
  <c r="S460" i="2"/>
  <c r="M460" i="2"/>
  <c r="L460" i="2"/>
  <c r="K460" i="2"/>
  <c r="G460" i="2"/>
  <c r="E460" i="2"/>
  <c r="B460" i="2"/>
  <c r="S459" i="2"/>
  <c r="M459" i="2"/>
  <c r="L459" i="2"/>
  <c r="K459" i="2"/>
  <c r="G459" i="2"/>
  <c r="E459" i="2"/>
  <c r="B459" i="2"/>
  <c r="S458" i="2"/>
  <c r="M458" i="2"/>
  <c r="L458" i="2"/>
  <c r="K458" i="2"/>
  <c r="G458" i="2"/>
  <c r="E458" i="2"/>
  <c r="B458" i="2"/>
  <c r="S457" i="2"/>
  <c r="M457" i="2"/>
  <c r="L457" i="2"/>
  <c r="K457" i="2"/>
  <c r="G457" i="2"/>
  <c r="E457" i="2"/>
  <c r="B457" i="2"/>
  <c r="S456" i="2"/>
  <c r="M456" i="2"/>
  <c r="L456" i="2"/>
  <c r="K456" i="2"/>
  <c r="G456" i="2"/>
  <c r="E456" i="2"/>
  <c r="B456" i="2"/>
  <c r="S455" i="2"/>
  <c r="M455" i="2"/>
  <c r="L455" i="2"/>
  <c r="K455" i="2"/>
  <c r="G455" i="2"/>
  <c r="E455" i="2"/>
  <c r="B455" i="2"/>
  <c r="S454" i="2"/>
  <c r="M454" i="2"/>
  <c r="L454" i="2"/>
  <c r="K454" i="2"/>
  <c r="G454" i="2"/>
  <c r="E454" i="2"/>
  <c r="B454" i="2"/>
  <c r="S453" i="2"/>
  <c r="M453" i="2"/>
  <c r="L453" i="2"/>
  <c r="K453" i="2"/>
  <c r="G453" i="2"/>
  <c r="E453" i="2"/>
  <c r="B453" i="2"/>
  <c r="S452" i="2"/>
  <c r="M452" i="2"/>
  <c r="L452" i="2"/>
  <c r="K452" i="2"/>
  <c r="G452" i="2"/>
  <c r="E452" i="2"/>
  <c r="B452" i="2"/>
  <c r="S451" i="2"/>
  <c r="M451" i="2"/>
  <c r="L451" i="2"/>
  <c r="K451" i="2"/>
  <c r="G451" i="2"/>
  <c r="E451" i="2"/>
  <c r="B451" i="2"/>
  <c r="S450" i="2"/>
  <c r="M450" i="2"/>
  <c r="L450" i="2"/>
  <c r="K450" i="2"/>
  <c r="G450" i="2"/>
  <c r="E450" i="2"/>
  <c r="B450" i="2"/>
  <c r="S449" i="2"/>
  <c r="M449" i="2"/>
  <c r="L449" i="2"/>
  <c r="K449" i="2"/>
  <c r="G449" i="2"/>
  <c r="E449" i="2"/>
  <c r="B449" i="2"/>
  <c r="S448" i="2"/>
  <c r="M448" i="2"/>
  <c r="L448" i="2"/>
  <c r="K448" i="2"/>
  <c r="G448" i="2"/>
  <c r="E448" i="2"/>
  <c r="B448" i="2"/>
  <c r="S447" i="2"/>
  <c r="M447" i="2"/>
  <c r="L447" i="2"/>
  <c r="K447" i="2"/>
  <c r="G447" i="2"/>
  <c r="E447" i="2"/>
  <c r="B447" i="2"/>
  <c r="S446" i="2"/>
  <c r="M446" i="2"/>
  <c r="L446" i="2"/>
  <c r="K446" i="2"/>
  <c r="G446" i="2"/>
  <c r="E446" i="2"/>
  <c r="B446" i="2"/>
  <c r="S445" i="2"/>
  <c r="M445" i="2"/>
  <c r="L445" i="2"/>
  <c r="K445" i="2"/>
  <c r="G445" i="2"/>
  <c r="E445" i="2"/>
  <c r="B445" i="2"/>
  <c r="S444" i="2"/>
  <c r="M444" i="2"/>
  <c r="L444" i="2"/>
  <c r="K444" i="2"/>
  <c r="G444" i="2"/>
  <c r="E444" i="2"/>
  <c r="B444" i="2"/>
  <c r="S443" i="2"/>
  <c r="M443" i="2"/>
  <c r="L443" i="2"/>
  <c r="K443" i="2"/>
  <c r="G443" i="2"/>
  <c r="E443" i="2"/>
  <c r="B443" i="2"/>
  <c r="S442" i="2"/>
  <c r="M442" i="2"/>
  <c r="L442" i="2"/>
  <c r="K442" i="2"/>
  <c r="G442" i="2"/>
  <c r="E442" i="2"/>
  <c r="B442" i="2"/>
  <c r="S441" i="2"/>
  <c r="M441" i="2"/>
  <c r="L441" i="2"/>
  <c r="K441" i="2"/>
  <c r="G441" i="2"/>
  <c r="E441" i="2"/>
  <c r="B441" i="2"/>
  <c r="S440" i="2"/>
  <c r="M440" i="2"/>
  <c r="L440" i="2"/>
  <c r="K440" i="2"/>
  <c r="G440" i="2"/>
  <c r="E440" i="2"/>
  <c r="B440" i="2"/>
  <c r="S439" i="2"/>
  <c r="M439" i="2"/>
  <c r="L439" i="2"/>
  <c r="K439" i="2"/>
  <c r="G439" i="2"/>
  <c r="E439" i="2"/>
  <c r="B439" i="2"/>
  <c r="S438" i="2"/>
  <c r="M438" i="2"/>
  <c r="L438" i="2"/>
  <c r="K438" i="2"/>
  <c r="G438" i="2"/>
  <c r="E438" i="2"/>
  <c r="B438" i="2"/>
  <c r="S437" i="2"/>
  <c r="M437" i="2"/>
  <c r="L437" i="2"/>
  <c r="K437" i="2"/>
  <c r="G437" i="2"/>
  <c r="E437" i="2"/>
  <c r="B437" i="2"/>
  <c r="M436" i="2"/>
  <c r="L436" i="2"/>
  <c r="K436" i="2"/>
  <c r="G436" i="2"/>
  <c r="E436" i="2"/>
  <c r="B436" i="2"/>
  <c r="S435" i="2"/>
  <c r="M435" i="2"/>
  <c r="L435" i="2"/>
  <c r="K435" i="2"/>
  <c r="G435" i="2"/>
  <c r="E435" i="2"/>
  <c r="B435" i="2"/>
  <c r="S434" i="2"/>
  <c r="M434" i="2"/>
  <c r="L434" i="2"/>
  <c r="K434" i="2"/>
  <c r="G434" i="2"/>
  <c r="E434" i="2"/>
  <c r="B434" i="2"/>
  <c r="S433" i="2"/>
  <c r="M433" i="2"/>
  <c r="L433" i="2"/>
  <c r="K433" i="2"/>
  <c r="G433" i="2"/>
  <c r="E433" i="2"/>
  <c r="B433" i="2"/>
  <c r="S432" i="2"/>
  <c r="M432" i="2"/>
  <c r="L432" i="2"/>
  <c r="K432" i="2"/>
  <c r="G432" i="2"/>
  <c r="E432" i="2"/>
  <c r="B432" i="2"/>
  <c r="S431" i="2"/>
  <c r="M431" i="2"/>
  <c r="L431" i="2"/>
  <c r="K431" i="2"/>
  <c r="G431" i="2"/>
  <c r="E431" i="2"/>
  <c r="B431" i="2"/>
  <c r="S430" i="2"/>
  <c r="M430" i="2"/>
  <c r="L430" i="2"/>
  <c r="K430" i="2"/>
  <c r="G430" i="2"/>
  <c r="E430" i="2"/>
  <c r="B430" i="2"/>
  <c r="S429" i="2"/>
  <c r="M429" i="2"/>
  <c r="L429" i="2"/>
  <c r="K429" i="2"/>
  <c r="G429" i="2"/>
  <c r="E429" i="2"/>
  <c r="B429" i="2"/>
  <c r="S428" i="2"/>
  <c r="M428" i="2"/>
  <c r="L428" i="2"/>
  <c r="K428" i="2"/>
  <c r="G428" i="2"/>
  <c r="E428" i="2"/>
  <c r="B428" i="2"/>
  <c r="S427" i="2"/>
  <c r="M427" i="2"/>
  <c r="L427" i="2"/>
  <c r="K427" i="2"/>
  <c r="G427" i="2"/>
  <c r="E427" i="2"/>
  <c r="B427" i="2"/>
  <c r="S426" i="2"/>
  <c r="M426" i="2"/>
  <c r="L426" i="2"/>
  <c r="K426" i="2"/>
  <c r="G426" i="2"/>
  <c r="E426" i="2"/>
  <c r="B426" i="2"/>
  <c r="S425" i="2"/>
  <c r="M425" i="2"/>
  <c r="L425" i="2"/>
  <c r="K425" i="2"/>
  <c r="G425" i="2"/>
  <c r="E425" i="2"/>
  <c r="B425" i="2"/>
  <c r="S424" i="2"/>
  <c r="M424" i="2"/>
  <c r="L424" i="2"/>
  <c r="K424" i="2"/>
  <c r="G424" i="2"/>
  <c r="E424" i="2"/>
  <c r="B424" i="2"/>
  <c r="S423" i="2"/>
  <c r="M423" i="2"/>
  <c r="L423" i="2"/>
  <c r="K423" i="2"/>
  <c r="G423" i="2"/>
  <c r="E423" i="2"/>
  <c r="B423" i="2"/>
  <c r="S422" i="2"/>
  <c r="M422" i="2"/>
  <c r="L422" i="2"/>
  <c r="K422" i="2"/>
  <c r="G422" i="2"/>
  <c r="E422" i="2"/>
  <c r="B422" i="2"/>
  <c r="S421" i="2"/>
  <c r="M421" i="2"/>
  <c r="L421" i="2"/>
  <c r="K421" i="2"/>
  <c r="G421" i="2"/>
  <c r="E421" i="2"/>
  <c r="B421" i="2"/>
  <c r="S420" i="2"/>
  <c r="M420" i="2"/>
  <c r="L420" i="2"/>
  <c r="K420" i="2"/>
  <c r="G420" i="2"/>
  <c r="E420" i="2"/>
  <c r="B420" i="2"/>
  <c r="S419" i="2"/>
  <c r="M419" i="2"/>
  <c r="L419" i="2"/>
  <c r="K419" i="2"/>
  <c r="G419" i="2"/>
  <c r="E419" i="2"/>
  <c r="B419" i="2"/>
  <c r="S418" i="2"/>
  <c r="M418" i="2"/>
  <c r="L418" i="2"/>
  <c r="K418" i="2"/>
  <c r="G418" i="2"/>
  <c r="E418" i="2"/>
  <c r="B418" i="2"/>
  <c r="S417" i="2"/>
  <c r="M417" i="2"/>
  <c r="L417" i="2"/>
  <c r="K417" i="2"/>
  <c r="G417" i="2"/>
  <c r="E417" i="2"/>
  <c r="B417" i="2"/>
  <c r="S416" i="2"/>
  <c r="M416" i="2"/>
  <c r="L416" i="2"/>
  <c r="K416" i="2"/>
  <c r="G416" i="2"/>
  <c r="E416" i="2"/>
  <c r="B416" i="2"/>
  <c r="S415" i="2"/>
  <c r="M415" i="2"/>
  <c r="L415" i="2"/>
  <c r="K415" i="2"/>
  <c r="G415" i="2"/>
  <c r="E415" i="2"/>
  <c r="B415" i="2"/>
  <c r="S414" i="2"/>
  <c r="M414" i="2"/>
  <c r="L414" i="2"/>
  <c r="K414" i="2"/>
  <c r="G414" i="2"/>
  <c r="E414" i="2"/>
  <c r="B414" i="2"/>
  <c r="S413" i="2"/>
  <c r="M413" i="2"/>
  <c r="L413" i="2"/>
  <c r="K413" i="2"/>
  <c r="G413" i="2"/>
  <c r="E413" i="2"/>
  <c r="B413" i="2"/>
  <c r="S412" i="2"/>
  <c r="M412" i="2"/>
  <c r="L412" i="2"/>
  <c r="K412" i="2"/>
  <c r="G412" i="2"/>
  <c r="E412" i="2"/>
  <c r="B412" i="2"/>
  <c r="S411" i="2"/>
  <c r="M411" i="2"/>
  <c r="L411" i="2"/>
  <c r="K411" i="2"/>
  <c r="G411" i="2"/>
  <c r="E411" i="2"/>
  <c r="B411" i="2"/>
  <c r="S410" i="2"/>
  <c r="M410" i="2"/>
  <c r="L410" i="2"/>
  <c r="K410" i="2"/>
  <c r="G410" i="2"/>
  <c r="E410" i="2"/>
  <c r="B410" i="2"/>
  <c r="S409" i="2"/>
  <c r="M409" i="2"/>
  <c r="L409" i="2"/>
  <c r="K409" i="2"/>
  <c r="G409" i="2"/>
  <c r="E409" i="2"/>
  <c r="B409" i="2"/>
  <c r="S408" i="2"/>
  <c r="M408" i="2"/>
  <c r="L408" i="2"/>
  <c r="K408" i="2"/>
  <c r="G408" i="2"/>
  <c r="E408" i="2"/>
  <c r="B408" i="2"/>
  <c r="S407" i="2"/>
  <c r="M407" i="2"/>
  <c r="L407" i="2"/>
  <c r="K407" i="2"/>
  <c r="G407" i="2"/>
  <c r="E407" i="2"/>
  <c r="B407" i="2"/>
  <c r="S406" i="2"/>
  <c r="M406" i="2"/>
  <c r="L406" i="2"/>
  <c r="K406" i="2"/>
  <c r="G406" i="2"/>
  <c r="E406" i="2"/>
  <c r="B406" i="2"/>
  <c r="S405" i="2"/>
  <c r="M405" i="2"/>
  <c r="L405" i="2"/>
  <c r="K405" i="2"/>
  <c r="G405" i="2"/>
  <c r="E405" i="2"/>
  <c r="B405" i="2"/>
  <c r="S404" i="2"/>
  <c r="M404" i="2"/>
  <c r="L404" i="2"/>
  <c r="K404" i="2"/>
  <c r="G404" i="2"/>
  <c r="E404" i="2"/>
  <c r="B404" i="2"/>
  <c r="S403" i="2"/>
  <c r="M403" i="2"/>
  <c r="L403" i="2"/>
  <c r="K403" i="2"/>
  <c r="G403" i="2"/>
  <c r="E403" i="2"/>
  <c r="B403" i="2"/>
  <c r="S402" i="2"/>
  <c r="M402" i="2"/>
  <c r="L402" i="2"/>
  <c r="K402" i="2"/>
  <c r="G402" i="2"/>
  <c r="E402" i="2"/>
  <c r="B402" i="2"/>
  <c r="S401" i="2"/>
  <c r="M401" i="2"/>
  <c r="L401" i="2"/>
  <c r="K401" i="2"/>
  <c r="G401" i="2"/>
  <c r="E401" i="2"/>
  <c r="B401" i="2"/>
  <c r="S400" i="2"/>
  <c r="M400" i="2"/>
  <c r="L400" i="2"/>
  <c r="K400" i="2"/>
  <c r="G400" i="2"/>
  <c r="E400" i="2"/>
  <c r="B400" i="2"/>
  <c r="S399" i="2"/>
  <c r="M399" i="2"/>
  <c r="L399" i="2"/>
  <c r="K399" i="2"/>
  <c r="G399" i="2"/>
  <c r="E399" i="2"/>
  <c r="B399" i="2"/>
  <c r="S398" i="2"/>
  <c r="M398" i="2"/>
  <c r="L398" i="2"/>
  <c r="K398" i="2"/>
  <c r="G398" i="2"/>
  <c r="E398" i="2"/>
  <c r="B398" i="2"/>
  <c r="S397" i="2"/>
  <c r="M397" i="2"/>
  <c r="L397" i="2"/>
  <c r="K397" i="2"/>
  <c r="G397" i="2"/>
  <c r="E397" i="2"/>
  <c r="B397" i="2"/>
  <c r="S396" i="2"/>
  <c r="M396" i="2"/>
  <c r="L396" i="2"/>
  <c r="K396" i="2"/>
  <c r="G396" i="2"/>
  <c r="E396" i="2"/>
  <c r="B396" i="2"/>
  <c r="S395" i="2"/>
  <c r="M395" i="2"/>
  <c r="L395" i="2"/>
  <c r="K395" i="2"/>
  <c r="G395" i="2"/>
  <c r="E395" i="2"/>
  <c r="B395" i="2"/>
  <c r="S394" i="2"/>
  <c r="M394" i="2"/>
  <c r="L394" i="2"/>
  <c r="K394" i="2"/>
  <c r="G394" i="2"/>
  <c r="E394" i="2"/>
  <c r="B394" i="2"/>
  <c r="S393" i="2"/>
  <c r="M393" i="2"/>
  <c r="L393" i="2"/>
  <c r="K393" i="2"/>
  <c r="G393" i="2"/>
  <c r="E393" i="2"/>
  <c r="B393" i="2"/>
  <c r="S392" i="2"/>
  <c r="M392" i="2"/>
  <c r="L392" i="2"/>
  <c r="K392" i="2"/>
  <c r="G392" i="2"/>
  <c r="E392" i="2"/>
  <c r="B392" i="2"/>
  <c r="S391" i="2"/>
  <c r="M391" i="2"/>
  <c r="L391" i="2"/>
  <c r="K391" i="2"/>
  <c r="G391" i="2"/>
  <c r="E391" i="2"/>
  <c r="B391" i="2"/>
  <c r="S390" i="2"/>
  <c r="M390" i="2"/>
  <c r="L390" i="2"/>
  <c r="K390" i="2"/>
  <c r="G390" i="2"/>
  <c r="E390" i="2"/>
  <c r="B390" i="2"/>
  <c r="S389" i="2"/>
  <c r="M389" i="2"/>
  <c r="L389" i="2"/>
  <c r="K389" i="2"/>
  <c r="G389" i="2"/>
  <c r="E389" i="2"/>
  <c r="B389" i="2"/>
  <c r="S388" i="2"/>
  <c r="M388" i="2"/>
  <c r="L388" i="2"/>
  <c r="K388" i="2"/>
  <c r="G388" i="2"/>
  <c r="E388" i="2"/>
  <c r="B388" i="2"/>
  <c r="S387" i="2"/>
  <c r="M387" i="2"/>
  <c r="L387" i="2"/>
  <c r="K387" i="2"/>
  <c r="G387" i="2"/>
  <c r="E387" i="2"/>
  <c r="B387" i="2"/>
  <c r="S386" i="2"/>
  <c r="M386" i="2"/>
  <c r="L386" i="2"/>
  <c r="K386" i="2"/>
  <c r="G386" i="2"/>
  <c r="E386" i="2"/>
  <c r="B386" i="2"/>
  <c r="S385" i="2"/>
  <c r="M385" i="2"/>
  <c r="L385" i="2"/>
  <c r="K385" i="2"/>
  <c r="G385" i="2"/>
  <c r="E385" i="2"/>
  <c r="B385" i="2"/>
  <c r="S384" i="2"/>
  <c r="M384" i="2"/>
  <c r="L384" i="2"/>
  <c r="K384" i="2"/>
  <c r="G384" i="2"/>
  <c r="E384" i="2"/>
  <c r="B384" i="2"/>
  <c r="S383" i="2"/>
  <c r="M383" i="2"/>
  <c r="L383" i="2"/>
  <c r="K383" i="2"/>
  <c r="G383" i="2"/>
  <c r="E383" i="2"/>
  <c r="B383" i="2"/>
  <c r="S382" i="2"/>
  <c r="M382" i="2"/>
  <c r="L382" i="2"/>
  <c r="K382" i="2"/>
  <c r="G382" i="2"/>
  <c r="E382" i="2"/>
  <c r="B382" i="2"/>
  <c r="S381" i="2"/>
  <c r="M381" i="2"/>
  <c r="L381" i="2"/>
  <c r="K381" i="2"/>
  <c r="G381" i="2"/>
  <c r="E381" i="2"/>
  <c r="B381" i="2"/>
  <c r="S380" i="2"/>
  <c r="M380" i="2"/>
  <c r="L380" i="2"/>
  <c r="K380" i="2"/>
  <c r="G380" i="2"/>
  <c r="E380" i="2"/>
  <c r="B380" i="2"/>
  <c r="S379" i="2"/>
  <c r="M379" i="2"/>
  <c r="L379" i="2"/>
  <c r="K379" i="2"/>
  <c r="G379" i="2"/>
  <c r="E379" i="2"/>
  <c r="B379" i="2"/>
  <c r="S378" i="2"/>
  <c r="M378" i="2"/>
  <c r="L378" i="2"/>
  <c r="K378" i="2"/>
  <c r="G378" i="2"/>
  <c r="E378" i="2"/>
  <c r="B378" i="2"/>
  <c r="S377" i="2"/>
  <c r="M377" i="2"/>
  <c r="L377" i="2"/>
  <c r="K377" i="2"/>
  <c r="G377" i="2"/>
  <c r="E377" i="2"/>
  <c r="B377" i="2"/>
  <c r="S376" i="2"/>
  <c r="M376" i="2"/>
  <c r="L376" i="2"/>
  <c r="K376" i="2"/>
  <c r="G376" i="2"/>
  <c r="E376" i="2"/>
  <c r="B376" i="2"/>
  <c r="S375" i="2"/>
  <c r="M375" i="2"/>
  <c r="L375" i="2"/>
  <c r="K375" i="2"/>
  <c r="G375" i="2"/>
  <c r="E375" i="2"/>
  <c r="B375" i="2"/>
  <c r="S374" i="2"/>
  <c r="M374" i="2"/>
  <c r="L374" i="2"/>
  <c r="K374" i="2"/>
  <c r="G374" i="2"/>
  <c r="E374" i="2"/>
  <c r="B374" i="2"/>
  <c r="S373" i="2"/>
  <c r="M373" i="2"/>
  <c r="L373" i="2"/>
  <c r="K373" i="2"/>
  <c r="G373" i="2"/>
  <c r="E373" i="2"/>
  <c r="B373" i="2"/>
  <c r="S372" i="2"/>
  <c r="M372" i="2"/>
  <c r="L372" i="2"/>
  <c r="K372" i="2"/>
  <c r="G372" i="2"/>
  <c r="E372" i="2"/>
  <c r="B372" i="2"/>
  <c r="S371" i="2"/>
  <c r="M371" i="2"/>
  <c r="L371" i="2"/>
  <c r="K371" i="2"/>
  <c r="G371" i="2"/>
  <c r="E371" i="2"/>
  <c r="B371" i="2"/>
  <c r="S370" i="2"/>
  <c r="M370" i="2"/>
  <c r="L370" i="2"/>
  <c r="K370" i="2"/>
  <c r="G370" i="2"/>
  <c r="E370" i="2"/>
  <c r="B370" i="2"/>
  <c r="S369" i="2"/>
  <c r="M369" i="2"/>
  <c r="L369" i="2"/>
  <c r="K369" i="2"/>
  <c r="G369" i="2"/>
  <c r="E369" i="2"/>
  <c r="B369" i="2"/>
  <c r="S368" i="2"/>
  <c r="M368" i="2"/>
  <c r="L368" i="2"/>
  <c r="K368" i="2"/>
  <c r="G368" i="2"/>
  <c r="E368" i="2"/>
  <c r="B368" i="2"/>
  <c r="S367" i="2"/>
  <c r="M367" i="2"/>
  <c r="L367" i="2"/>
  <c r="K367" i="2"/>
  <c r="G367" i="2"/>
  <c r="E367" i="2"/>
  <c r="B367" i="2"/>
  <c r="S366" i="2"/>
  <c r="M366" i="2"/>
  <c r="L366" i="2"/>
  <c r="K366" i="2"/>
  <c r="G366" i="2"/>
  <c r="E366" i="2"/>
  <c r="B366" i="2"/>
  <c r="S365" i="2"/>
  <c r="M365" i="2"/>
  <c r="L365" i="2"/>
  <c r="K365" i="2"/>
  <c r="G365" i="2"/>
  <c r="E365" i="2"/>
  <c r="B365" i="2"/>
  <c r="S364" i="2"/>
  <c r="M364" i="2"/>
  <c r="L364" i="2"/>
  <c r="K364" i="2"/>
  <c r="G364" i="2"/>
  <c r="E364" i="2"/>
  <c r="B364" i="2"/>
  <c r="S363" i="2"/>
  <c r="M363" i="2"/>
  <c r="L363" i="2"/>
  <c r="K363" i="2"/>
  <c r="G363" i="2"/>
  <c r="E363" i="2"/>
  <c r="B363" i="2"/>
  <c r="S362" i="2"/>
  <c r="M362" i="2"/>
  <c r="L362" i="2"/>
  <c r="K362" i="2"/>
  <c r="G362" i="2"/>
  <c r="E362" i="2"/>
  <c r="B362" i="2"/>
  <c r="S361" i="2"/>
  <c r="M361" i="2"/>
  <c r="L361" i="2"/>
  <c r="K361" i="2"/>
  <c r="G361" i="2"/>
  <c r="E361" i="2"/>
  <c r="B361" i="2"/>
  <c r="S360" i="2"/>
  <c r="M360" i="2"/>
  <c r="L360" i="2"/>
  <c r="K360" i="2"/>
  <c r="G360" i="2"/>
  <c r="E360" i="2"/>
  <c r="B360" i="2"/>
  <c r="S359" i="2"/>
  <c r="M359" i="2"/>
  <c r="L359" i="2"/>
  <c r="K359" i="2"/>
  <c r="G359" i="2"/>
  <c r="E359" i="2"/>
  <c r="B359" i="2"/>
  <c r="S358" i="2"/>
  <c r="M358" i="2"/>
  <c r="L358" i="2"/>
  <c r="K358" i="2"/>
  <c r="G358" i="2"/>
  <c r="E358" i="2"/>
  <c r="B358" i="2"/>
  <c r="S357" i="2"/>
  <c r="M357" i="2"/>
  <c r="L357" i="2"/>
  <c r="K357" i="2"/>
  <c r="G357" i="2"/>
  <c r="E357" i="2"/>
  <c r="B357" i="2"/>
  <c r="S356" i="2"/>
  <c r="M356" i="2"/>
  <c r="L356" i="2"/>
  <c r="K356" i="2"/>
  <c r="G356" i="2"/>
  <c r="E356" i="2"/>
  <c r="B356" i="2"/>
  <c r="S355" i="2"/>
  <c r="M355" i="2"/>
  <c r="L355" i="2"/>
  <c r="K355" i="2"/>
  <c r="G355" i="2"/>
  <c r="E355" i="2"/>
  <c r="B355" i="2"/>
  <c r="S354" i="2"/>
  <c r="M354" i="2"/>
  <c r="L354" i="2"/>
  <c r="K354" i="2"/>
  <c r="G354" i="2"/>
  <c r="E354" i="2"/>
  <c r="B354" i="2"/>
  <c r="S353" i="2"/>
  <c r="M353" i="2"/>
  <c r="L353" i="2"/>
  <c r="K353" i="2"/>
  <c r="G353" i="2"/>
  <c r="E353" i="2"/>
  <c r="B353" i="2"/>
  <c r="S352" i="2"/>
  <c r="M352" i="2"/>
  <c r="L352" i="2"/>
  <c r="K352" i="2"/>
  <c r="G352" i="2"/>
  <c r="E352" i="2"/>
  <c r="B352" i="2"/>
  <c r="S351" i="2"/>
  <c r="M351" i="2"/>
  <c r="L351" i="2"/>
  <c r="K351" i="2"/>
  <c r="G351" i="2"/>
  <c r="E351" i="2"/>
  <c r="B351" i="2"/>
  <c r="S350" i="2"/>
  <c r="M350" i="2"/>
  <c r="L350" i="2"/>
  <c r="K350" i="2"/>
  <c r="G350" i="2"/>
  <c r="E350" i="2"/>
  <c r="B350" i="2"/>
  <c r="S349" i="2"/>
  <c r="M349" i="2"/>
  <c r="L349" i="2"/>
  <c r="K349" i="2"/>
  <c r="G349" i="2"/>
  <c r="E349" i="2"/>
  <c r="B349" i="2"/>
  <c r="S348" i="2"/>
  <c r="M348" i="2"/>
  <c r="L348" i="2"/>
  <c r="K348" i="2"/>
  <c r="G348" i="2"/>
  <c r="E348" i="2"/>
  <c r="B348" i="2"/>
  <c r="S347" i="2"/>
  <c r="M347" i="2"/>
  <c r="L347" i="2"/>
  <c r="K347" i="2"/>
  <c r="G347" i="2"/>
  <c r="E347" i="2"/>
  <c r="B347" i="2"/>
  <c r="S346" i="2"/>
  <c r="M346" i="2"/>
  <c r="L346" i="2"/>
  <c r="K346" i="2"/>
  <c r="G346" i="2"/>
  <c r="E346" i="2"/>
  <c r="B346" i="2"/>
  <c r="S345" i="2"/>
  <c r="M345" i="2"/>
  <c r="L345" i="2"/>
  <c r="K345" i="2"/>
  <c r="G345" i="2"/>
  <c r="E345" i="2"/>
  <c r="B345" i="2"/>
  <c r="S344" i="2"/>
  <c r="M344" i="2"/>
  <c r="L344" i="2"/>
  <c r="K344" i="2"/>
  <c r="G344" i="2"/>
  <c r="E344" i="2"/>
  <c r="B344" i="2"/>
  <c r="S343" i="2"/>
  <c r="M343" i="2"/>
  <c r="L343" i="2"/>
  <c r="K343" i="2"/>
  <c r="G343" i="2"/>
  <c r="E343" i="2"/>
  <c r="B343" i="2"/>
  <c r="S342" i="2"/>
  <c r="M342" i="2"/>
  <c r="L342" i="2"/>
  <c r="K342" i="2"/>
  <c r="G342" i="2"/>
  <c r="E342" i="2"/>
  <c r="B342" i="2"/>
  <c r="S341" i="2"/>
  <c r="M341" i="2"/>
  <c r="L341" i="2"/>
  <c r="K341" i="2"/>
  <c r="G341" i="2"/>
  <c r="E341" i="2"/>
  <c r="B341" i="2"/>
  <c r="S340" i="2"/>
  <c r="M340" i="2"/>
  <c r="L340" i="2"/>
  <c r="K340" i="2"/>
  <c r="G340" i="2"/>
  <c r="E340" i="2"/>
  <c r="B340" i="2"/>
  <c r="S339" i="2"/>
  <c r="M339" i="2"/>
  <c r="L339" i="2"/>
  <c r="K339" i="2"/>
  <c r="G339" i="2"/>
  <c r="E339" i="2"/>
  <c r="B339" i="2"/>
  <c r="S338" i="2"/>
  <c r="M338" i="2"/>
  <c r="L338" i="2"/>
  <c r="K338" i="2"/>
  <c r="G338" i="2"/>
  <c r="E338" i="2"/>
  <c r="B338" i="2"/>
  <c r="S337" i="2"/>
  <c r="M337" i="2"/>
  <c r="L337" i="2"/>
  <c r="K337" i="2"/>
  <c r="G337" i="2"/>
  <c r="E337" i="2"/>
  <c r="B337" i="2"/>
  <c r="S336" i="2"/>
  <c r="M336" i="2"/>
  <c r="L336" i="2"/>
  <c r="K336" i="2"/>
  <c r="G336" i="2"/>
  <c r="E336" i="2"/>
  <c r="B336" i="2"/>
  <c r="S335" i="2"/>
  <c r="M335" i="2"/>
  <c r="L335" i="2"/>
  <c r="K335" i="2"/>
  <c r="G335" i="2"/>
  <c r="E335" i="2"/>
  <c r="B335" i="2"/>
  <c r="S334" i="2"/>
  <c r="M334" i="2"/>
  <c r="L334" i="2"/>
  <c r="K334" i="2"/>
  <c r="G334" i="2"/>
  <c r="E334" i="2"/>
  <c r="B334" i="2"/>
  <c r="S333" i="2"/>
  <c r="M333" i="2"/>
  <c r="L333" i="2"/>
  <c r="K333" i="2"/>
  <c r="G333" i="2"/>
  <c r="E333" i="2"/>
  <c r="B333" i="2"/>
  <c r="S332" i="2"/>
  <c r="M332" i="2"/>
  <c r="L332" i="2"/>
  <c r="K332" i="2"/>
  <c r="G332" i="2"/>
  <c r="E332" i="2"/>
  <c r="B332" i="2"/>
  <c r="S331" i="2"/>
  <c r="M331" i="2"/>
  <c r="L331" i="2"/>
  <c r="K331" i="2"/>
  <c r="G331" i="2"/>
  <c r="E331" i="2"/>
  <c r="B331" i="2"/>
  <c r="S330" i="2"/>
  <c r="M330" i="2"/>
  <c r="L330" i="2"/>
  <c r="K330" i="2"/>
  <c r="G330" i="2"/>
  <c r="E330" i="2"/>
  <c r="B330" i="2"/>
  <c r="S329" i="2"/>
  <c r="M329" i="2"/>
  <c r="L329" i="2"/>
  <c r="K329" i="2"/>
  <c r="G329" i="2"/>
  <c r="E329" i="2"/>
  <c r="B329" i="2"/>
  <c r="S328" i="2"/>
  <c r="M328" i="2"/>
  <c r="L328" i="2"/>
  <c r="K328" i="2"/>
  <c r="G328" i="2"/>
  <c r="E328" i="2"/>
  <c r="B328" i="2"/>
  <c r="S327" i="2"/>
  <c r="M327" i="2"/>
  <c r="L327" i="2"/>
  <c r="K327" i="2"/>
  <c r="G327" i="2"/>
  <c r="E327" i="2"/>
  <c r="B327" i="2"/>
  <c r="S326" i="2"/>
  <c r="M326" i="2"/>
  <c r="L326" i="2"/>
  <c r="K326" i="2"/>
  <c r="G326" i="2"/>
  <c r="E326" i="2"/>
  <c r="B326" i="2"/>
  <c r="S325" i="2"/>
  <c r="M325" i="2"/>
  <c r="L325" i="2"/>
  <c r="K325" i="2"/>
  <c r="G325" i="2"/>
  <c r="E325" i="2"/>
  <c r="B325" i="2"/>
  <c r="S324" i="2"/>
  <c r="M324" i="2"/>
  <c r="L324" i="2"/>
  <c r="K324" i="2"/>
  <c r="G324" i="2"/>
  <c r="E324" i="2"/>
  <c r="B324" i="2"/>
  <c r="S323" i="2"/>
  <c r="M323" i="2"/>
  <c r="L323" i="2"/>
  <c r="K323" i="2"/>
  <c r="G323" i="2"/>
  <c r="E323" i="2"/>
  <c r="B323" i="2"/>
  <c r="S322" i="2"/>
  <c r="M322" i="2"/>
  <c r="L322" i="2"/>
  <c r="K322" i="2"/>
  <c r="G322" i="2"/>
  <c r="E322" i="2"/>
  <c r="B322" i="2"/>
  <c r="S321" i="2"/>
  <c r="M321" i="2"/>
  <c r="L321" i="2"/>
  <c r="K321" i="2"/>
  <c r="G321" i="2"/>
  <c r="E321" i="2"/>
  <c r="B321" i="2"/>
  <c r="S320" i="2"/>
  <c r="M320" i="2"/>
  <c r="L320" i="2"/>
  <c r="K320" i="2"/>
  <c r="G320" i="2"/>
  <c r="E320" i="2"/>
  <c r="B320" i="2"/>
  <c r="S319" i="2"/>
  <c r="M319" i="2"/>
  <c r="L319" i="2"/>
  <c r="K319" i="2"/>
  <c r="G319" i="2"/>
  <c r="E319" i="2"/>
  <c r="B319" i="2"/>
  <c r="S318" i="2"/>
  <c r="M318" i="2"/>
  <c r="L318" i="2"/>
  <c r="K318" i="2"/>
  <c r="G318" i="2"/>
  <c r="E318" i="2"/>
  <c r="B318" i="2"/>
  <c r="S317" i="2"/>
  <c r="M317" i="2"/>
  <c r="L317" i="2"/>
  <c r="K317" i="2"/>
  <c r="G317" i="2"/>
  <c r="E317" i="2"/>
  <c r="B317" i="2"/>
  <c r="S316" i="2"/>
  <c r="M316" i="2"/>
  <c r="L316" i="2"/>
  <c r="K316" i="2"/>
  <c r="G316" i="2"/>
  <c r="E316" i="2"/>
  <c r="B316" i="2"/>
  <c r="S315" i="2"/>
  <c r="M315" i="2"/>
  <c r="L315" i="2"/>
  <c r="K315" i="2"/>
  <c r="G315" i="2"/>
  <c r="E315" i="2"/>
  <c r="B315" i="2"/>
  <c r="S314" i="2"/>
  <c r="M314" i="2"/>
  <c r="L314" i="2"/>
  <c r="K314" i="2"/>
  <c r="G314" i="2"/>
  <c r="E314" i="2"/>
  <c r="B314" i="2"/>
  <c r="S313" i="2"/>
  <c r="M313" i="2"/>
  <c r="L313" i="2"/>
  <c r="K313" i="2"/>
  <c r="G313" i="2"/>
  <c r="E313" i="2"/>
  <c r="B313" i="2"/>
  <c r="S312" i="2"/>
  <c r="M312" i="2"/>
  <c r="L312" i="2"/>
  <c r="K312" i="2"/>
  <c r="G312" i="2"/>
  <c r="E312" i="2"/>
  <c r="B312" i="2"/>
  <c r="S311" i="2"/>
  <c r="M311" i="2"/>
  <c r="L311" i="2"/>
  <c r="K311" i="2"/>
  <c r="G311" i="2"/>
  <c r="E311" i="2"/>
  <c r="B311" i="2"/>
  <c r="S310" i="2"/>
  <c r="M310" i="2"/>
  <c r="L310" i="2"/>
  <c r="K310" i="2"/>
  <c r="G310" i="2"/>
  <c r="E310" i="2"/>
  <c r="B310" i="2"/>
  <c r="S309" i="2"/>
  <c r="M309" i="2"/>
  <c r="L309" i="2"/>
  <c r="K309" i="2"/>
  <c r="G309" i="2"/>
  <c r="E309" i="2"/>
  <c r="B309" i="2"/>
  <c r="S308" i="2"/>
  <c r="M308" i="2"/>
  <c r="L308" i="2"/>
  <c r="K308" i="2"/>
  <c r="G308" i="2"/>
  <c r="E308" i="2"/>
  <c r="B308" i="2"/>
  <c r="S307" i="2"/>
  <c r="M307" i="2"/>
  <c r="L307" i="2"/>
  <c r="K307" i="2"/>
  <c r="G307" i="2"/>
  <c r="E307" i="2"/>
  <c r="B307" i="2"/>
  <c r="S306" i="2"/>
  <c r="M306" i="2"/>
  <c r="L306" i="2"/>
  <c r="K306" i="2"/>
  <c r="G306" i="2"/>
  <c r="E306" i="2"/>
  <c r="B306" i="2"/>
  <c r="S305" i="2"/>
  <c r="M305" i="2"/>
  <c r="L305" i="2"/>
  <c r="K305" i="2"/>
  <c r="G305" i="2"/>
  <c r="E305" i="2"/>
  <c r="B305" i="2"/>
  <c r="S304" i="2"/>
  <c r="M304" i="2"/>
  <c r="L304" i="2"/>
  <c r="K304" i="2"/>
  <c r="G304" i="2"/>
  <c r="E304" i="2"/>
  <c r="B304" i="2"/>
  <c r="S303" i="2"/>
  <c r="M303" i="2"/>
  <c r="L303" i="2"/>
  <c r="K303" i="2"/>
  <c r="G303" i="2"/>
  <c r="E303" i="2"/>
  <c r="B303" i="2"/>
  <c r="S302" i="2"/>
  <c r="M302" i="2"/>
  <c r="L302" i="2"/>
  <c r="K302" i="2"/>
  <c r="G302" i="2"/>
  <c r="E302" i="2"/>
  <c r="B302" i="2"/>
  <c r="S301" i="2"/>
  <c r="M301" i="2"/>
  <c r="L301" i="2"/>
  <c r="K301" i="2"/>
  <c r="G301" i="2"/>
  <c r="E301" i="2"/>
  <c r="B301" i="2"/>
  <c r="S300" i="2"/>
  <c r="M300" i="2"/>
  <c r="L300" i="2"/>
  <c r="K300" i="2"/>
  <c r="G300" i="2"/>
  <c r="E300" i="2"/>
  <c r="B300" i="2"/>
  <c r="S299" i="2"/>
  <c r="M299" i="2"/>
  <c r="L299" i="2"/>
  <c r="K299" i="2"/>
  <c r="G299" i="2"/>
  <c r="E299" i="2"/>
  <c r="B299" i="2"/>
  <c r="S298" i="2"/>
  <c r="M298" i="2"/>
  <c r="L298" i="2"/>
  <c r="K298" i="2"/>
  <c r="G298" i="2"/>
  <c r="E298" i="2"/>
  <c r="B298" i="2"/>
  <c r="S297" i="2"/>
  <c r="M297" i="2"/>
  <c r="L297" i="2"/>
  <c r="K297" i="2"/>
  <c r="G297" i="2"/>
  <c r="E297" i="2"/>
  <c r="B297" i="2"/>
  <c r="S296" i="2"/>
  <c r="M296" i="2"/>
  <c r="L296" i="2"/>
  <c r="K296" i="2"/>
  <c r="G296" i="2"/>
  <c r="E296" i="2"/>
  <c r="B296" i="2"/>
  <c r="S295" i="2"/>
  <c r="M295" i="2"/>
  <c r="L295" i="2"/>
  <c r="K295" i="2"/>
  <c r="G295" i="2"/>
  <c r="E295" i="2"/>
  <c r="B295" i="2"/>
  <c r="S294" i="2"/>
  <c r="M294" i="2"/>
  <c r="L294" i="2"/>
  <c r="K294" i="2"/>
  <c r="G294" i="2"/>
  <c r="E294" i="2"/>
  <c r="B294" i="2"/>
  <c r="S293" i="2"/>
  <c r="M293" i="2"/>
  <c r="L293" i="2"/>
  <c r="K293" i="2"/>
  <c r="G293" i="2"/>
  <c r="E293" i="2"/>
  <c r="B293" i="2"/>
  <c r="S292" i="2"/>
  <c r="M292" i="2"/>
  <c r="L292" i="2"/>
  <c r="K292" i="2"/>
  <c r="G292" i="2"/>
  <c r="E292" i="2"/>
  <c r="B292" i="2"/>
  <c r="S291" i="2"/>
  <c r="M291" i="2"/>
  <c r="L291" i="2"/>
  <c r="K291" i="2"/>
  <c r="G291" i="2"/>
  <c r="E291" i="2"/>
  <c r="B291" i="2"/>
  <c r="S290" i="2"/>
  <c r="M290" i="2"/>
  <c r="L290" i="2"/>
  <c r="K290" i="2"/>
  <c r="G290" i="2"/>
  <c r="E290" i="2"/>
  <c r="B290" i="2"/>
  <c r="S289" i="2"/>
  <c r="M289" i="2"/>
  <c r="L289" i="2"/>
  <c r="K289" i="2"/>
  <c r="G289" i="2"/>
  <c r="E289" i="2"/>
  <c r="B289" i="2"/>
  <c r="S288" i="2"/>
  <c r="M288" i="2"/>
  <c r="L288" i="2"/>
  <c r="K288" i="2"/>
  <c r="G288" i="2"/>
  <c r="E288" i="2"/>
  <c r="B288" i="2"/>
  <c r="S287" i="2"/>
  <c r="M287" i="2"/>
  <c r="L287" i="2"/>
  <c r="K287" i="2"/>
  <c r="G287" i="2"/>
  <c r="E287" i="2"/>
  <c r="B287" i="2"/>
  <c r="S286" i="2"/>
  <c r="M286" i="2"/>
  <c r="L286" i="2"/>
  <c r="K286" i="2"/>
  <c r="G286" i="2"/>
  <c r="E286" i="2"/>
  <c r="B286" i="2"/>
  <c r="S285" i="2"/>
  <c r="M285" i="2"/>
  <c r="L285" i="2"/>
  <c r="K285" i="2"/>
  <c r="G285" i="2"/>
  <c r="E285" i="2"/>
  <c r="B285" i="2"/>
  <c r="S284" i="2"/>
  <c r="M284" i="2"/>
  <c r="L284" i="2"/>
  <c r="K284" i="2"/>
  <c r="G284" i="2"/>
  <c r="E284" i="2"/>
  <c r="B284" i="2"/>
  <c r="S283" i="2"/>
  <c r="M283" i="2"/>
  <c r="L283" i="2"/>
  <c r="K283" i="2"/>
  <c r="G283" i="2"/>
  <c r="E283" i="2"/>
  <c r="B283" i="2"/>
  <c r="S282" i="2"/>
  <c r="M282" i="2"/>
  <c r="L282" i="2"/>
  <c r="K282" i="2"/>
  <c r="G282" i="2"/>
  <c r="E282" i="2"/>
  <c r="B282" i="2"/>
  <c r="S281" i="2"/>
  <c r="M281" i="2"/>
  <c r="L281" i="2"/>
  <c r="K281" i="2"/>
  <c r="G281" i="2"/>
  <c r="E281" i="2"/>
  <c r="B281" i="2"/>
  <c r="S280" i="2"/>
  <c r="M280" i="2"/>
  <c r="L280" i="2"/>
  <c r="K280" i="2"/>
  <c r="G280" i="2"/>
  <c r="E280" i="2"/>
  <c r="B280" i="2"/>
  <c r="S279" i="2"/>
  <c r="M279" i="2"/>
  <c r="L279" i="2"/>
  <c r="K279" i="2"/>
  <c r="G279" i="2"/>
  <c r="E279" i="2"/>
  <c r="B279" i="2"/>
  <c r="S278" i="2"/>
  <c r="M278" i="2"/>
  <c r="L278" i="2"/>
  <c r="K278" i="2"/>
  <c r="G278" i="2"/>
  <c r="E278" i="2"/>
  <c r="B278" i="2"/>
  <c r="S277" i="2"/>
  <c r="M277" i="2"/>
  <c r="L277" i="2"/>
  <c r="K277" i="2"/>
  <c r="G277" i="2"/>
  <c r="E277" i="2"/>
  <c r="B277" i="2"/>
  <c r="S276" i="2"/>
  <c r="M276" i="2"/>
  <c r="L276" i="2"/>
  <c r="K276" i="2"/>
  <c r="G276" i="2"/>
  <c r="E276" i="2"/>
  <c r="B276" i="2"/>
  <c r="S275" i="2"/>
  <c r="M275" i="2"/>
  <c r="L275" i="2"/>
  <c r="K275" i="2"/>
  <c r="G275" i="2"/>
  <c r="E275" i="2"/>
  <c r="B275" i="2"/>
  <c r="S274" i="2"/>
  <c r="M274" i="2"/>
  <c r="L274" i="2"/>
  <c r="K274" i="2"/>
  <c r="G274" i="2"/>
  <c r="E274" i="2"/>
  <c r="B274" i="2"/>
  <c r="S273" i="2"/>
  <c r="M273" i="2"/>
  <c r="L273" i="2"/>
  <c r="K273" i="2"/>
  <c r="H273" i="2"/>
  <c r="G273" i="2"/>
  <c r="E273" i="2"/>
  <c r="B273" i="2"/>
  <c r="S272" i="2"/>
  <c r="M272" i="2"/>
  <c r="L272" i="2"/>
  <c r="K272" i="2"/>
  <c r="H272" i="2"/>
  <c r="G272" i="2"/>
  <c r="E272" i="2"/>
  <c r="B272" i="2"/>
  <c r="S271" i="2"/>
  <c r="M271" i="2"/>
  <c r="L271" i="2"/>
  <c r="K271" i="2"/>
  <c r="H271" i="2"/>
  <c r="G271" i="2"/>
  <c r="E271" i="2"/>
  <c r="B271" i="2"/>
  <c r="S270" i="2"/>
  <c r="M270" i="2"/>
  <c r="L270" i="2"/>
  <c r="K270" i="2"/>
  <c r="H270" i="2"/>
  <c r="G270" i="2"/>
  <c r="E270" i="2"/>
  <c r="B270" i="2"/>
  <c r="S269" i="2"/>
  <c r="M269" i="2"/>
  <c r="L269" i="2"/>
  <c r="K269" i="2"/>
  <c r="H269" i="2"/>
  <c r="G269" i="2"/>
  <c r="E269" i="2"/>
  <c r="B269" i="2"/>
  <c r="S268" i="2"/>
  <c r="M268" i="2"/>
  <c r="L268" i="2"/>
  <c r="K268" i="2"/>
  <c r="H268" i="2"/>
  <c r="G268" i="2"/>
  <c r="E268" i="2"/>
  <c r="B268" i="2"/>
  <c r="S267" i="2"/>
  <c r="M267" i="2"/>
  <c r="L267" i="2"/>
  <c r="K267" i="2"/>
  <c r="H267" i="2"/>
  <c r="G267" i="2"/>
  <c r="E267" i="2"/>
  <c r="B267" i="2"/>
  <c r="S266" i="2"/>
  <c r="M266" i="2"/>
  <c r="L266" i="2"/>
  <c r="K266" i="2"/>
  <c r="H266" i="2"/>
  <c r="G266" i="2"/>
  <c r="E266" i="2"/>
  <c r="B266" i="2"/>
  <c r="S265" i="2"/>
  <c r="M265" i="2"/>
  <c r="L265" i="2"/>
  <c r="K265" i="2"/>
  <c r="H265" i="2"/>
  <c r="G265" i="2"/>
  <c r="E265" i="2"/>
  <c r="B265" i="2"/>
  <c r="S264" i="2"/>
  <c r="M264" i="2"/>
  <c r="L264" i="2"/>
  <c r="K264" i="2"/>
  <c r="H264" i="2"/>
  <c r="G264" i="2"/>
  <c r="E264" i="2"/>
  <c r="B264" i="2"/>
  <c r="S263" i="2"/>
  <c r="M263" i="2"/>
  <c r="L263" i="2"/>
  <c r="K263" i="2"/>
  <c r="H263" i="2"/>
  <c r="G263" i="2"/>
  <c r="E263" i="2"/>
  <c r="B263" i="2"/>
  <c r="S262" i="2"/>
  <c r="M262" i="2"/>
  <c r="L262" i="2"/>
  <c r="K262" i="2"/>
  <c r="H262" i="2"/>
  <c r="G262" i="2"/>
  <c r="E262" i="2"/>
  <c r="B262" i="2"/>
  <c r="S261" i="2"/>
  <c r="M261" i="2"/>
  <c r="L261" i="2"/>
  <c r="K261" i="2"/>
  <c r="H261" i="2"/>
  <c r="G261" i="2"/>
  <c r="E261" i="2"/>
  <c r="B261" i="2"/>
  <c r="S260" i="2"/>
  <c r="M260" i="2"/>
  <c r="L260" i="2"/>
  <c r="K260" i="2"/>
  <c r="H260" i="2"/>
  <c r="G260" i="2"/>
  <c r="E260" i="2"/>
  <c r="B260" i="2"/>
  <c r="S259" i="2"/>
  <c r="M259" i="2"/>
  <c r="L259" i="2"/>
  <c r="K259" i="2"/>
  <c r="H259" i="2"/>
  <c r="G259" i="2"/>
  <c r="E259" i="2"/>
  <c r="B259" i="2"/>
  <c r="S258" i="2"/>
  <c r="M258" i="2"/>
  <c r="L258" i="2"/>
  <c r="K258" i="2"/>
  <c r="G258" i="2"/>
  <c r="E258" i="2"/>
  <c r="B258" i="2"/>
  <c r="S257" i="2"/>
  <c r="M257" i="2"/>
  <c r="L257" i="2"/>
  <c r="K257" i="2"/>
  <c r="G257" i="2"/>
  <c r="E257" i="2"/>
  <c r="B257" i="2"/>
  <c r="S256" i="2"/>
  <c r="M256" i="2"/>
  <c r="L256" i="2"/>
  <c r="K256" i="2"/>
  <c r="G256" i="2"/>
  <c r="E256" i="2"/>
  <c r="B256" i="2"/>
  <c r="S255" i="2"/>
  <c r="M255" i="2"/>
  <c r="L255" i="2"/>
  <c r="K255" i="2"/>
  <c r="G255" i="2"/>
  <c r="E255" i="2"/>
  <c r="B255" i="2"/>
  <c r="S254" i="2"/>
  <c r="M254" i="2"/>
  <c r="L254" i="2"/>
  <c r="K254" i="2"/>
  <c r="G254" i="2"/>
  <c r="E254" i="2"/>
  <c r="B254" i="2"/>
  <c r="S253" i="2"/>
  <c r="M253" i="2"/>
  <c r="L253" i="2"/>
  <c r="K253" i="2"/>
  <c r="G253" i="2"/>
  <c r="E253" i="2"/>
  <c r="B253" i="2"/>
  <c r="S252" i="2"/>
  <c r="M252" i="2"/>
  <c r="L252" i="2"/>
  <c r="K252" i="2"/>
  <c r="G252" i="2"/>
  <c r="E252" i="2"/>
  <c r="B252" i="2"/>
  <c r="S251" i="2"/>
  <c r="M251" i="2"/>
  <c r="L251" i="2"/>
  <c r="K251" i="2"/>
  <c r="G251" i="2"/>
  <c r="E251" i="2"/>
  <c r="B251" i="2"/>
  <c r="S250" i="2"/>
  <c r="M250" i="2"/>
  <c r="L250" i="2"/>
  <c r="K250" i="2"/>
  <c r="G250" i="2"/>
  <c r="E250" i="2"/>
  <c r="B250" i="2"/>
  <c r="S249" i="2"/>
  <c r="M249" i="2"/>
  <c r="L249" i="2"/>
  <c r="K249" i="2"/>
  <c r="G249" i="2"/>
  <c r="E249" i="2"/>
  <c r="B249" i="2"/>
  <c r="S248" i="2"/>
  <c r="M248" i="2"/>
  <c r="L248" i="2"/>
  <c r="K248" i="2"/>
  <c r="G248" i="2"/>
  <c r="E248" i="2"/>
  <c r="B248" i="2"/>
  <c r="S247" i="2"/>
  <c r="M247" i="2"/>
  <c r="L247" i="2"/>
  <c r="K247" i="2"/>
  <c r="G247" i="2"/>
  <c r="E247" i="2"/>
  <c r="B247" i="2"/>
  <c r="S246" i="2"/>
  <c r="M246" i="2"/>
  <c r="L246" i="2"/>
  <c r="K246" i="2"/>
  <c r="G246" i="2"/>
  <c r="E246" i="2"/>
  <c r="B246" i="2"/>
  <c r="S245" i="2"/>
  <c r="M245" i="2"/>
  <c r="L245" i="2"/>
  <c r="K245" i="2"/>
  <c r="G245" i="2"/>
  <c r="E245" i="2"/>
  <c r="B245" i="2"/>
  <c r="S244" i="2"/>
  <c r="M244" i="2"/>
  <c r="L244" i="2"/>
  <c r="K244" i="2"/>
  <c r="G244" i="2"/>
  <c r="E244" i="2"/>
  <c r="B244" i="2"/>
  <c r="S243" i="2"/>
  <c r="M243" i="2"/>
  <c r="L243" i="2"/>
  <c r="K243" i="2"/>
  <c r="H243" i="2"/>
  <c r="G243" i="2"/>
  <c r="E243" i="2"/>
  <c r="B243" i="2"/>
  <c r="S242" i="2"/>
  <c r="M242" i="2"/>
  <c r="L242" i="2"/>
  <c r="K242" i="2"/>
  <c r="H242" i="2"/>
  <c r="G242" i="2"/>
  <c r="E242" i="2"/>
  <c r="B242" i="2"/>
  <c r="S241" i="2"/>
  <c r="M241" i="2"/>
  <c r="L241" i="2"/>
  <c r="K241" i="2"/>
  <c r="H241" i="2"/>
  <c r="G241" i="2"/>
  <c r="E241" i="2"/>
  <c r="B241" i="2"/>
  <c r="S240" i="2"/>
  <c r="M240" i="2"/>
  <c r="L240" i="2"/>
  <c r="K240" i="2"/>
  <c r="G240" i="2"/>
  <c r="E240" i="2"/>
  <c r="B240" i="2"/>
  <c r="S239" i="2"/>
  <c r="M239" i="2"/>
  <c r="L239" i="2"/>
  <c r="K239" i="2"/>
  <c r="G239" i="2"/>
  <c r="E239" i="2"/>
  <c r="B239" i="2"/>
  <c r="S238" i="2"/>
  <c r="M238" i="2"/>
  <c r="L238" i="2"/>
  <c r="K238" i="2"/>
  <c r="H238" i="2"/>
  <c r="G238" i="2"/>
  <c r="E238" i="2"/>
  <c r="B238" i="2"/>
  <c r="S237" i="2"/>
  <c r="M237" i="2"/>
  <c r="L237" i="2"/>
  <c r="K237" i="2"/>
  <c r="G237" i="2"/>
  <c r="E237" i="2"/>
  <c r="B237" i="2"/>
  <c r="S236" i="2"/>
  <c r="M236" i="2"/>
  <c r="L236" i="2"/>
  <c r="K236" i="2"/>
  <c r="G236" i="2"/>
  <c r="E236" i="2"/>
  <c r="B236" i="2"/>
  <c r="S235" i="2"/>
  <c r="M235" i="2"/>
  <c r="L235" i="2"/>
  <c r="K235" i="2"/>
  <c r="G235" i="2"/>
  <c r="E235" i="2"/>
  <c r="B235" i="2"/>
  <c r="S234" i="2"/>
  <c r="M234" i="2"/>
  <c r="L234" i="2"/>
  <c r="K234" i="2"/>
  <c r="G234" i="2"/>
  <c r="E234" i="2"/>
  <c r="B234" i="2"/>
  <c r="S233" i="2"/>
  <c r="M233" i="2"/>
  <c r="L233" i="2"/>
  <c r="K233" i="2"/>
  <c r="G233" i="2"/>
  <c r="E233" i="2"/>
  <c r="B233" i="2"/>
  <c r="S232" i="2"/>
  <c r="M232" i="2"/>
  <c r="L232" i="2"/>
  <c r="K232" i="2"/>
  <c r="G232" i="2"/>
  <c r="E232" i="2"/>
  <c r="B232" i="2"/>
  <c r="S231" i="2"/>
  <c r="M231" i="2"/>
  <c r="L231" i="2"/>
  <c r="K231" i="2"/>
  <c r="G231" i="2"/>
  <c r="E231" i="2"/>
  <c r="B231" i="2"/>
  <c r="S230" i="2"/>
  <c r="M230" i="2"/>
  <c r="L230" i="2"/>
  <c r="K230" i="2"/>
  <c r="G230" i="2"/>
  <c r="E230" i="2"/>
  <c r="B230" i="2"/>
  <c r="S229" i="2"/>
  <c r="M229" i="2"/>
  <c r="L229" i="2"/>
  <c r="K229" i="2"/>
  <c r="G229" i="2"/>
  <c r="E229" i="2"/>
  <c r="B229" i="2"/>
  <c r="S228" i="2"/>
  <c r="M228" i="2"/>
  <c r="L228" i="2"/>
  <c r="K228" i="2"/>
  <c r="G228" i="2"/>
  <c r="E228" i="2"/>
  <c r="B228" i="2"/>
  <c r="S227" i="2"/>
  <c r="M227" i="2"/>
  <c r="L227" i="2"/>
  <c r="K227" i="2"/>
  <c r="G227" i="2"/>
  <c r="E227" i="2"/>
  <c r="B227" i="2"/>
  <c r="S226" i="2"/>
  <c r="M226" i="2"/>
  <c r="L226" i="2"/>
  <c r="K226" i="2"/>
  <c r="G226" i="2"/>
  <c r="E226" i="2"/>
  <c r="B226" i="2"/>
  <c r="S225" i="2"/>
  <c r="M225" i="2"/>
  <c r="L225" i="2"/>
  <c r="K225" i="2"/>
  <c r="G225" i="2"/>
  <c r="E225" i="2"/>
  <c r="B225" i="2"/>
  <c r="S224" i="2"/>
  <c r="M224" i="2"/>
  <c r="L224" i="2"/>
  <c r="K224" i="2"/>
  <c r="G224" i="2"/>
  <c r="E224" i="2"/>
  <c r="B224" i="2"/>
  <c r="S223" i="2"/>
  <c r="M223" i="2"/>
  <c r="L223" i="2"/>
  <c r="K223" i="2"/>
  <c r="G223" i="2"/>
  <c r="E223" i="2"/>
  <c r="B223" i="2"/>
  <c r="S222" i="2"/>
  <c r="M222" i="2"/>
  <c r="L222" i="2"/>
  <c r="K222" i="2"/>
  <c r="G222" i="2"/>
  <c r="E222" i="2"/>
  <c r="B222" i="2"/>
  <c r="S221" i="2"/>
  <c r="M221" i="2"/>
  <c r="L221" i="2"/>
  <c r="K221" i="2"/>
  <c r="G221" i="2"/>
  <c r="E221" i="2"/>
  <c r="B221" i="2"/>
  <c r="S220" i="2"/>
  <c r="M220" i="2"/>
  <c r="L220" i="2"/>
  <c r="K220" i="2"/>
  <c r="G220" i="2"/>
  <c r="E220" i="2"/>
  <c r="B220" i="2"/>
  <c r="S219" i="2"/>
  <c r="M219" i="2"/>
  <c r="L219" i="2"/>
  <c r="K219" i="2"/>
  <c r="G219" i="2"/>
  <c r="E219" i="2"/>
  <c r="B219" i="2"/>
  <c r="S218" i="2"/>
  <c r="M218" i="2"/>
  <c r="L218" i="2"/>
  <c r="K218" i="2"/>
  <c r="G218" i="2"/>
  <c r="E218" i="2"/>
  <c r="B218" i="2"/>
  <c r="S217" i="2"/>
  <c r="M217" i="2"/>
  <c r="L217" i="2"/>
  <c r="K217" i="2"/>
  <c r="G217" i="2"/>
  <c r="E217" i="2"/>
  <c r="B217" i="2"/>
  <c r="S216" i="2"/>
  <c r="M216" i="2"/>
  <c r="L216" i="2"/>
  <c r="K216" i="2"/>
  <c r="G216" i="2"/>
  <c r="E216" i="2"/>
  <c r="B216" i="2"/>
  <c r="S215" i="2"/>
  <c r="M215" i="2"/>
  <c r="L215" i="2"/>
  <c r="K215" i="2"/>
  <c r="G215" i="2"/>
  <c r="E215" i="2"/>
  <c r="B215" i="2"/>
  <c r="S214" i="2"/>
  <c r="M214" i="2"/>
  <c r="L214" i="2"/>
  <c r="K214" i="2"/>
  <c r="G214" i="2"/>
  <c r="E214" i="2"/>
  <c r="B214" i="2"/>
  <c r="S213" i="2"/>
  <c r="M213" i="2"/>
  <c r="L213" i="2"/>
  <c r="K213" i="2"/>
  <c r="G213" i="2"/>
  <c r="E213" i="2"/>
  <c r="B213" i="2"/>
  <c r="S212" i="2"/>
  <c r="M212" i="2"/>
  <c r="L212" i="2"/>
  <c r="K212" i="2"/>
  <c r="G212" i="2"/>
  <c r="E212" i="2"/>
  <c r="B212" i="2"/>
  <c r="S211" i="2"/>
  <c r="M211" i="2"/>
  <c r="L211" i="2"/>
  <c r="K211" i="2"/>
  <c r="G211" i="2"/>
  <c r="E211" i="2"/>
  <c r="B211" i="2"/>
  <c r="S210" i="2"/>
  <c r="M210" i="2"/>
  <c r="L210" i="2"/>
  <c r="K210" i="2"/>
  <c r="G210" i="2"/>
  <c r="E210" i="2"/>
  <c r="B210" i="2"/>
  <c r="S209" i="2"/>
  <c r="M209" i="2"/>
  <c r="L209" i="2"/>
  <c r="K209" i="2"/>
  <c r="G209" i="2"/>
  <c r="E209" i="2"/>
  <c r="B209" i="2"/>
  <c r="S208" i="2"/>
  <c r="M208" i="2"/>
  <c r="L208" i="2"/>
  <c r="K208" i="2"/>
  <c r="G208" i="2"/>
  <c r="E208" i="2"/>
  <c r="B208" i="2"/>
  <c r="S207" i="2"/>
  <c r="M207" i="2"/>
  <c r="L207" i="2"/>
  <c r="K207" i="2"/>
  <c r="G207" i="2"/>
  <c r="E207" i="2"/>
  <c r="B207" i="2"/>
  <c r="S206" i="2"/>
  <c r="M206" i="2"/>
  <c r="L206" i="2"/>
  <c r="K206" i="2"/>
  <c r="G206" i="2"/>
  <c r="E206" i="2"/>
  <c r="B206" i="2"/>
  <c r="S205" i="2"/>
  <c r="M205" i="2"/>
  <c r="L205" i="2"/>
  <c r="K205" i="2"/>
  <c r="G205" i="2"/>
  <c r="E205" i="2"/>
  <c r="B205" i="2"/>
  <c r="S204" i="2"/>
  <c r="M204" i="2"/>
  <c r="L204" i="2"/>
  <c r="K204" i="2"/>
  <c r="G204" i="2"/>
  <c r="E204" i="2"/>
  <c r="B204" i="2"/>
  <c r="S203" i="2"/>
  <c r="M203" i="2"/>
  <c r="L203" i="2"/>
  <c r="K203" i="2"/>
  <c r="G203" i="2"/>
  <c r="E203" i="2"/>
  <c r="B203" i="2"/>
  <c r="S202" i="2"/>
  <c r="M202" i="2"/>
  <c r="L202" i="2"/>
  <c r="K202" i="2"/>
  <c r="G202" i="2"/>
  <c r="E202" i="2"/>
  <c r="B202" i="2"/>
  <c r="S201" i="2"/>
  <c r="M201" i="2"/>
  <c r="L201" i="2"/>
  <c r="K201" i="2"/>
  <c r="G201" i="2"/>
  <c r="E201" i="2"/>
  <c r="B201" i="2"/>
  <c r="S200" i="2"/>
  <c r="M200" i="2"/>
  <c r="L200" i="2"/>
  <c r="K200" i="2"/>
  <c r="G200" i="2"/>
  <c r="E200" i="2"/>
  <c r="B200" i="2"/>
  <c r="S199" i="2"/>
  <c r="M199" i="2"/>
  <c r="L199" i="2"/>
  <c r="K199" i="2"/>
  <c r="G199" i="2"/>
  <c r="E199" i="2"/>
  <c r="B199" i="2"/>
  <c r="S198" i="2"/>
  <c r="M198" i="2"/>
  <c r="L198" i="2"/>
  <c r="K198" i="2"/>
  <c r="G198" i="2"/>
  <c r="E198" i="2"/>
  <c r="B198" i="2"/>
  <c r="S197" i="2"/>
  <c r="M197" i="2"/>
  <c r="L197" i="2"/>
  <c r="K197" i="2"/>
  <c r="G197" i="2"/>
  <c r="E197" i="2"/>
  <c r="B197" i="2"/>
  <c r="S196" i="2"/>
  <c r="M196" i="2"/>
  <c r="L196" i="2"/>
  <c r="K196" i="2"/>
  <c r="G196" i="2"/>
  <c r="E196" i="2"/>
  <c r="B196" i="2"/>
  <c r="S195" i="2"/>
  <c r="M195" i="2"/>
  <c r="L195" i="2"/>
  <c r="K195" i="2"/>
  <c r="G195" i="2"/>
  <c r="E195" i="2"/>
  <c r="B195" i="2"/>
  <c r="S194" i="2"/>
  <c r="M194" i="2"/>
  <c r="L194" i="2"/>
  <c r="K194" i="2"/>
  <c r="G194" i="2"/>
  <c r="E194" i="2"/>
  <c r="B194" i="2"/>
  <c r="S193" i="2"/>
  <c r="M193" i="2"/>
  <c r="L193" i="2"/>
  <c r="K193" i="2"/>
  <c r="G193" i="2"/>
  <c r="E193" i="2"/>
  <c r="B193" i="2"/>
  <c r="S192" i="2"/>
  <c r="M192" i="2"/>
  <c r="L192" i="2"/>
  <c r="K192" i="2"/>
  <c r="G192" i="2"/>
  <c r="E192" i="2"/>
  <c r="B192" i="2"/>
  <c r="S191" i="2"/>
  <c r="M191" i="2"/>
  <c r="L191" i="2"/>
  <c r="K191" i="2"/>
  <c r="G191" i="2"/>
  <c r="E191" i="2"/>
  <c r="B191" i="2"/>
  <c r="S190" i="2"/>
  <c r="M190" i="2"/>
  <c r="L190" i="2"/>
  <c r="K190" i="2"/>
  <c r="G190" i="2"/>
  <c r="E190" i="2"/>
  <c r="B190" i="2"/>
  <c r="S189" i="2"/>
  <c r="M189" i="2"/>
  <c r="L189" i="2"/>
  <c r="K189" i="2"/>
  <c r="G189" i="2"/>
  <c r="E189" i="2"/>
  <c r="B189" i="2"/>
  <c r="S188" i="2"/>
  <c r="M188" i="2"/>
  <c r="L188" i="2"/>
  <c r="K188" i="2"/>
  <c r="G188" i="2"/>
  <c r="E188" i="2"/>
  <c r="B188" i="2"/>
  <c r="S187" i="2"/>
  <c r="M187" i="2"/>
  <c r="L187" i="2"/>
  <c r="K187" i="2"/>
  <c r="G187" i="2"/>
  <c r="E187" i="2"/>
  <c r="B187" i="2"/>
  <c r="S186" i="2"/>
  <c r="M186" i="2"/>
  <c r="L186" i="2"/>
  <c r="K186" i="2"/>
  <c r="G186" i="2"/>
  <c r="E186" i="2"/>
  <c r="B186" i="2"/>
  <c r="S185" i="2"/>
  <c r="M185" i="2"/>
  <c r="L185" i="2"/>
  <c r="K185" i="2"/>
  <c r="G185" i="2"/>
  <c r="E185" i="2"/>
  <c r="B185" i="2"/>
  <c r="S184" i="2"/>
  <c r="M184" i="2"/>
  <c r="L184" i="2"/>
  <c r="K184" i="2"/>
  <c r="G184" i="2"/>
  <c r="E184" i="2"/>
  <c r="B184" i="2"/>
  <c r="S183" i="2"/>
  <c r="M183" i="2"/>
  <c r="L183" i="2"/>
  <c r="K183" i="2"/>
  <c r="G183" i="2"/>
  <c r="E183" i="2"/>
  <c r="B183" i="2"/>
  <c r="S182" i="2"/>
  <c r="M182" i="2"/>
  <c r="L182" i="2"/>
  <c r="K182" i="2"/>
  <c r="G182" i="2"/>
  <c r="E182" i="2"/>
  <c r="B182" i="2"/>
  <c r="S181" i="2"/>
  <c r="M181" i="2"/>
  <c r="L181" i="2"/>
  <c r="K181" i="2"/>
  <c r="G181" i="2"/>
  <c r="E181" i="2"/>
  <c r="B181" i="2"/>
  <c r="S180" i="2"/>
  <c r="M180" i="2"/>
  <c r="L180" i="2"/>
  <c r="K180" i="2"/>
  <c r="H180" i="2"/>
  <c r="G180" i="2"/>
  <c r="E180" i="2"/>
  <c r="B180" i="2"/>
  <c r="S179" i="2"/>
  <c r="M179" i="2"/>
  <c r="L179" i="2"/>
  <c r="K179" i="2"/>
  <c r="H179" i="2"/>
  <c r="G179" i="2"/>
  <c r="E179" i="2"/>
  <c r="B179" i="2"/>
  <c r="S178" i="2"/>
  <c r="M178" i="2"/>
  <c r="L178" i="2"/>
  <c r="K178" i="2"/>
  <c r="G178" i="2"/>
  <c r="E178" i="2"/>
  <c r="B178" i="2"/>
  <c r="S177" i="2"/>
  <c r="M177" i="2"/>
  <c r="L177" i="2"/>
  <c r="K177" i="2"/>
  <c r="G177" i="2"/>
  <c r="E177" i="2"/>
  <c r="B177" i="2"/>
  <c r="S176" i="2"/>
  <c r="M176" i="2"/>
  <c r="L176" i="2"/>
  <c r="K176" i="2"/>
  <c r="H176" i="2"/>
  <c r="G176" i="2"/>
  <c r="E176" i="2"/>
  <c r="B176" i="2"/>
  <c r="S175" i="2"/>
  <c r="M175" i="2"/>
  <c r="L175" i="2"/>
  <c r="K175" i="2"/>
  <c r="G175" i="2"/>
  <c r="E175" i="2"/>
  <c r="B175" i="2"/>
  <c r="S174" i="2"/>
  <c r="M174" i="2"/>
  <c r="L174" i="2"/>
  <c r="K174" i="2"/>
  <c r="G174" i="2"/>
  <c r="E174" i="2"/>
  <c r="B174" i="2"/>
  <c r="S173" i="2"/>
  <c r="M173" i="2"/>
  <c r="L173" i="2"/>
  <c r="K173" i="2"/>
  <c r="G173" i="2"/>
  <c r="E173" i="2"/>
  <c r="B173" i="2"/>
  <c r="S172" i="2"/>
  <c r="M172" i="2"/>
  <c r="L172" i="2"/>
  <c r="K172" i="2"/>
  <c r="G172" i="2"/>
  <c r="E172" i="2"/>
  <c r="B172" i="2"/>
  <c r="S171" i="2"/>
  <c r="M171" i="2"/>
  <c r="L171" i="2"/>
  <c r="K171" i="2"/>
  <c r="G171" i="2"/>
  <c r="E171" i="2"/>
  <c r="B171" i="2"/>
  <c r="S170" i="2"/>
  <c r="M170" i="2"/>
  <c r="L170" i="2"/>
  <c r="K170" i="2"/>
  <c r="G170" i="2"/>
  <c r="E170" i="2"/>
  <c r="B170" i="2"/>
  <c r="S169" i="2"/>
  <c r="M169" i="2"/>
  <c r="L169" i="2"/>
  <c r="K169" i="2"/>
  <c r="G169" i="2"/>
  <c r="E169" i="2"/>
  <c r="B169" i="2"/>
  <c r="S168" i="2"/>
  <c r="M168" i="2"/>
  <c r="L168" i="2"/>
  <c r="K168" i="2"/>
  <c r="G168" i="2"/>
  <c r="E168" i="2"/>
  <c r="B168" i="2"/>
  <c r="S167" i="2"/>
  <c r="M167" i="2"/>
  <c r="L167" i="2"/>
  <c r="K167" i="2"/>
  <c r="G167" i="2"/>
  <c r="E167" i="2"/>
  <c r="B167" i="2"/>
  <c r="S166" i="2"/>
  <c r="M166" i="2"/>
  <c r="L166" i="2"/>
  <c r="K166" i="2"/>
  <c r="H166" i="2"/>
  <c r="G166" i="2"/>
  <c r="E166" i="2"/>
  <c r="B166" i="2"/>
  <c r="S165" i="2"/>
  <c r="M165" i="2"/>
  <c r="L165" i="2"/>
  <c r="K165" i="2"/>
  <c r="G165" i="2"/>
  <c r="E165" i="2"/>
  <c r="B165" i="2"/>
  <c r="S164" i="2"/>
  <c r="M164" i="2"/>
  <c r="L164" i="2"/>
  <c r="K164" i="2"/>
  <c r="G164" i="2"/>
  <c r="E164" i="2"/>
  <c r="B164" i="2"/>
  <c r="S163" i="2"/>
  <c r="M163" i="2"/>
  <c r="L163" i="2"/>
  <c r="K163" i="2"/>
  <c r="H163" i="2"/>
  <c r="G163" i="2"/>
  <c r="E163" i="2"/>
  <c r="B163" i="2"/>
  <c r="S162" i="2"/>
  <c r="M162" i="2"/>
  <c r="L162" i="2"/>
  <c r="K162" i="2"/>
  <c r="G162" i="2"/>
  <c r="E162" i="2"/>
  <c r="B162" i="2"/>
  <c r="S161" i="2"/>
  <c r="M161" i="2"/>
  <c r="L161" i="2"/>
  <c r="K161" i="2"/>
  <c r="G161" i="2"/>
  <c r="E161" i="2"/>
  <c r="B161" i="2"/>
  <c r="S160" i="2"/>
  <c r="M160" i="2"/>
  <c r="L160" i="2"/>
  <c r="K160" i="2"/>
  <c r="H160" i="2"/>
  <c r="G160" i="2"/>
  <c r="E160" i="2"/>
  <c r="B160" i="2"/>
  <c r="S159" i="2"/>
  <c r="M159" i="2"/>
  <c r="L159" i="2"/>
  <c r="K159" i="2"/>
  <c r="G159" i="2"/>
  <c r="E159" i="2"/>
  <c r="B159" i="2"/>
  <c r="S158" i="2"/>
  <c r="M158" i="2"/>
  <c r="L158" i="2"/>
  <c r="K158" i="2"/>
  <c r="G158" i="2"/>
  <c r="E158" i="2"/>
  <c r="B158" i="2"/>
  <c r="S157" i="2"/>
  <c r="M157" i="2"/>
  <c r="L157" i="2"/>
  <c r="K157" i="2"/>
  <c r="H157" i="2"/>
  <c r="G157" i="2"/>
  <c r="E157" i="2"/>
  <c r="B157" i="2"/>
  <c r="S156" i="2"/>
  <c r="M156" i="2"/>
  <c r="L156" i="2"/>
  <c r="K156" i="2"/>
  <c r="G156" i="2"/>
  <c r="E156" i="2"/>
  <c r="B156" i="2"/>
  <c r="S155" i="2"/>
  <c r="M155" i="2"/>
  <c r="L155" i="2"/>
  <c r="K155" i="2"/>
  <c r="G155" i="2"/>
  <c r="E155" i="2"/>
  <c r="B155" i="2"/>
  <c r="S154" i="2"/>
  <c r="M154" i="2"/>
  <c r="L154" i="2"/>
  <c r="K154" i="2"/>
  <c r="H154" i="2"/>
  <c r="G154" i="2"/>
  <c r="E154" i="2"/>
  <c r="B154" i="2"/>
  <c r="S153" i="2"/>
  <c r="M153" i="2"/>
  <c r="L153" i="2"/>
  <c r="K153" i="2"/>
  <c r="G153" i="2"/>
  <c r="E153" i="2"/>
  <c r="B153" i="2"/>
  <c r="S152" i="2"/>
  <c r="M152" i="2"/>
  <c r="L152" i="2"/>
  <c r="K152" i="2"/>
  <c r="G152" i="2"/>
  <c r="E152" i="2"/>
  <c r="B152" i="2"/>
  <c r="S151" i="2"/>
  <c r="M151" i="2"/>
  <c r="L151" i="2"/>
  <c r="K151" i="2"/>
  <c r="G151" i="2"/>
  <c r="E151" i="2"/>
  <c r="B151" i="2"/>
  <c r="S150" i="2"/>
  <c r="M150" i="2"/>
  <c r="L150" i="2"/>
  <c r="K150" i="2"/>
  <c r="G150" i="2"/>
  <c r="E150" i="2"/>
  <c r="B150" i="2"/>
  <c r="S149" i="2"/>
  <c r="M149" i="2"/>
  <c r="L149" i="2"/>
  <c r="K149" i="2"/>
  <c r="H149" i="2"/>
  <c r="G149" i="2"/>
  <c r="E149" i="2"/>
  <c r="B149" i="2"/>
  <c r="S148" i="2"/>
  <c r="M148" i="2"/>
  <c r="L148" i="2"/>
  <c r="K148" i="2"/>
  <c r="G148" i="2"/>
  <c r="E148" i="2"/>
  <c r="B148" i="2"/>
  <c r="S147" i="2"/>
  <c r="M147" i="2"/>
  <c r="L147" i="2"/>
  <c r="K147" i="2"/>
  <c r="G147" i="2"/>
  <c r="E147" i="2"/>
  <c r="B147" i="2"/>
  <c r="S146" i="2"/>
  <c r="M146" i="2"/>
  <c r="L146" i="2"/>
  <c r="K146" i="2"/>
  <c r="G146" i="2"/>
  <c r="E146" i="2"/>
  <c r="B146" i="2"/>
  <c r="S145" i="2"/>
  <c r="M145" i="2"/>
  <c r="L145" i="2"/>
  <c r="K145" i="2"/>
  <c r="G145" i="2"/>
  <c r="E145" i="2"/>
  <c r="B145" i="2"/>
  <c r="S144" i="2"/>
  <c r="M144" i="2"/>
  <c r="L144" i="2"/>
  <c r="K144" i="2"/>
  <c r="H144" i="2"/>
  <c r="G144" i="2"/>
  <c r="E144" i="2"/>
  <c r="B144" i="2"/>
  <c r="S143" i="2"/>
  <c r="M143" i="2"/>
  <c r="L143" i="2"/>
  <c r="K143" i="2"/>
  <c r="G143" i="2"/>
  <c r="E143" i="2"/>
  <c r="B143" i="2"/>
  <c r="S142" i="2"/>
  <c r="M142" i="2"/>
  <c r="L142" i="2"/>
  <c r="K142" i="2"/>
  <c r="G142" i="2"/>
  <c r="E142" i="2"/>
  <c r="B142" i="2"/>
  <c r="S141" i="2"/>
  <c r="M141" i="2"/>
  <c r="L141" i="2"/>
  <c r="K141" i="2"/>
  <c r="H141" i="2"/>
  <c r="G141" i="2"/>
  <c r="E141" i="2"/>
  <c r="B141" i="2"/>
  <c r="S140" i="2"/>
  <c r="M140" i="2"/>
  <c r="L140" i="2"/>
  <c r="K140" i="2"/>
  <c r="G140" i="2"/>
  <c r="E140" i="2"/>
  <c r="B140" i="2"/>
  <c r="S139" i="2"/>
  <c r="M139" i="2"/>
  <c r="L139" i="2"/>
  <c r="K139" i="2"/>
  <c r="G139" i="2"/>
  <c r="E139" i="2"/>
  <c r="B139" i="2"/>
  <c r="S138" i="2"/>
  <c r="M138" i="2"/>
  <c r="L138" i="2"/>
  <c r="K138" i="2"/>
  <c r="H138" i="2"/>
  <c r="G138" i="2"/>
  <c r="E138" i="2"/>
  <c r="B138" i="2"/>
  <c r="S137" i="2"/>
  <c r="M137" i="2"/>
  <c r="L137" i="2"/>
  <c r="K137" i="2"/>
  <c r="G137" i="2"/>
  <c r="E137" i="2"/>
  <c r="B137" i="2"/>
  <c r="S136" i="2"/>
  <c r="M136" i="2"/>
  <c r="L136" i="2"/>
  <c r="K136" i="2"/>
  <c r="G136" i="2"/>
  <c r="E136" i="2"/>
  <c r="B136" i="2"/>
  <c r="S135" i="2"/>
  <c r="M135" i="2"/>
  <c r="L135" i="2"/>
  <c r="K135" i="2"/>
  <c r="G135" i="2"/>
  <c r="E135" i="2"/>
  <c r="B135" i="2"/>
  <c r="S134" i="2"/>
  <c r="M134" i="2"/>
  <c r="L134" i="2"/>
  <c r="K134" i="2"/>
  <c r="G134" i="2"/>
  <c r="E134" i="2"/>
  <c r="B134" i="2"/>
  <c r="S133" i="2"/>
  <c r="M133" i="2"/>
  <c r="L133" i="2"/>
  <c r="K133" i="2"/>
  <c r="H133" i="2"/>
  <c r="G133" i="2"/>
  <c r="E133" i="2"/>
  <c r="B133" i="2"/>
  <c r="S132" i="2"/>
  <c r="M132" i="2"/>
  <c r="L132" i="2"/>
  <c r="K132" i="2"/>
  <c r="G132" i="2"/>
  <c r="E132" i="2"/>
  <c r="B132" i="2"/>
  <c r="S131" i="2"/>
  <c r="M131" i="2"/>
  <c r="L131" i="2"/>
  <c r="K131" i="2"/>
  <c r="G131" i="2"/>
  <c r="E131" i="2"/>
  <c r="B131" i="2"/>
  <c r="S130" i="2"/>
  <c r="M130" i="2"/>
  <c r="L130" i="2"/>
  <c r="K130" i="2"/>
  <c r="H130" i="2"/>
  <c r="G130" i="2"/>
  <c r="E130" i="2"/>
  <c r="B130" i="2"/>
  <c r="S129" i="2"/>
  <c r="M129" i="2"/>
  <c r="L129" i="2"/>
  <c r="K129" i="2"/>
  <c r="G129" i="2"/>
  <c r="E129" i="2"/>
  <c r="B129" i="2"/>
  <c r="S128" i="2"/>
  <c r="M128" i="2"/>
  <c r="L128" i="2"/>
  <c r="K128" i="2"/>
  <c r="G128" i="2"/>
  <c r="E128" i="2"/>
  <c r="B128" i="2"/>
  <c r="S127" i="2"/>
  <c r="M127" i="2"/>
  <c r="L127" i="2"/>
  <c r="K127" i="2"/>
  <c r="H127" i="2"/>
  <c r="G127" i="2"/>
  <c r="E127" i="2"/>
  <c r="B127" i="2"/>
  <c r="S126" i="2"/>
  <c r="M126" i="2"/>
  <c r="L126" i="2"/>
  <c r="K126" i="2"/>
  <c r="G126" i="2"/>
  <c r="E126" i="2"/>
  <c r="B126" i="2"/>
  <c r="S125" i="2"/>
  <c r="M125" i="2"/>
  <c r="L125" i="2"/>
  <c r="K125" i="2"/>
  <c r="G125" i="2"/>
  <c r="E125" i="2"/>
  <c r="B125" i="2"/>
  <c r="S124" i="2"/>
  <c r="M124" i="2"/>
  <c r="L124" i="2"/>
  <c r="K124" i="2"/>
  <c r="G124" i="2"/>
  <c r="E124" i="2"/>
  <c r="B124" i="2"/>
  <c r="S123" i="2"/>
  <c r="M123" i="2"/>
  <c r="L123" i="2"/>
  <c r="K123" i="2"/>
  <c r="G123" i="2"/>
  <c r="E123" i="2"/>
  <c r="B123" i="2"/>
  <c r="S122" i="2"/>
  <c r="M122" i="2"/>
  <c r="L122" i="2"/>
  <c r="K122" i="2"/>
  <c r="H122" i="2"/>
  <c r="G122" i="2"/>
  <c r="E122" i="2"/>
  <c r="B122" i="2"/>
  <c r="S121" i="2"/>
  <c r="M121" i="2"/>
  <c r="L121" i="2"/>
  <c r="K121" i="2"/>
  <c r="G121" i="2"/>
  <c r="E121" i="2"/>
  <c r="B121" i="2"/>
  <c r="S120" i="2"/>
  <c r="M120" i="2"/>
  <c r="L120" i="2"/>
  <c r="K120" i="2"/>
  <c r="G120" i="2"/>
  <c r="E120" i="2"/>
  <c r="B120" i="2"/>
  <c r="S119" i="2"/>
  <c r="M119" i="2"/>
  <c r="L119" i="2"/>
  <c r="K119" i="2"/>
  <c r="H119" i="2"/>
  <c r="G119" i="2"/>
  <c r="E119" i="2"/>
  <c r="B119" i="2"/>
  <c r="S118" i="2"/>
  <c r="M118" i="2"/>
  <c r="L118" i="2"/>
  <c r="K118" i="2"/>
  <c r="G118" i="2"/>
  <c r="E118" i="2"/>
  <c r="B118" i="2"/>
  <c r="S117" i="2"/>
  <c r="M117" i="2"/>
  <c r="L117" i="2"/>
  <c r="K117" i="2"/>
  <c r="G117" i="2"/>
  <c r="E117" i="2"/>
  <c r="B117" i="2"/>
  <c r="S116" i="2"/>
  <c r="M116" i="2"/>
  <c r="L116" i="2"/>
  <c r="K116" i="2"/>
  <c r="H116" i="2"/>
  <c r="G116" i="2"/>
  <c r="E116" i="2"/>
  <c r="B116" i="2"/>
  <c r="S115" i="2"/>
  <c r="M115" i="2"/>
  <c r="L115" i="2"/>
  <c r="K115" i="2"/>
  <c r="G115" i="2"/>
  <c r="E115" i="2"/>
  <c r="B115" i="2"/>
  <c r="S114" i="2"/>
  <c r="M114" i="2"/>
  <c r="L114" i="2"/>
  <c r="K114" i="2"/>
  <c r="G114" i="2"/>
  <c r="E114" i="2"/>
  <c r="B114" i="2"/>
  <c r="S113" i="2"/>
  <c r="M113" i="2"/>
  <c r="L113" i="2"/>
  <c r="K113" i="2"/>
  <c r="G113" i="2"/>
  <c r="E113" i="2"/>
  <c r="B113" i="2"/>
  <c r="S112" i="2"/>
  <c r="M112" i="2"/>
  <c r="L112" i="2"/>
  <c r="K112" i="2"/>
  <c r="G112" i="2"/>
  <c r="E112" i="2"/>
  <c r="B112" i="2"/>
  <c r="S111" i="2"/>
  <c r="M111" i="2"/>
  <c r="L111" i="2"/>
  <c r="K111" i="2"/>
  <c r="G111" i="2"/>
  <c r="E111" i="2"/>
  <c r="B111" i="2"/>
  <c r="S110" i="2"/>
  <c r="M110" i="2"/>
  <c r="L110" i="2"/>
  <c r="K110" i="2"/>
  <c r="G110" i="2"/>
  <c r="E110" i="2"/>
  <c r="B110" i="2"/>
  <c r="S109" i="2"/>
  <c r="M109" i="2"/>
  <c r="L109" i="2"/>
  <c r="K109" i="2"/>
  <c r="G109" i="2"/>
  <c r="E109" i="2"/>
  <c r="B109" i="2"/>
  <c r="S108" i="2"/>
  <c r="M108" i="2"/>
  <c r="L108" i="2"/>
  <c r="K108" i="2"/>
  <c r="G108" i="2"/>
  <c r="E108" i="2"/>
  <c r="B108" i="2"/>
  <c r="S107" i="2"/>
  <c r="M107" i="2"/>
  <c r="L107" i="2"/>
  <c r="K107" i="2"/>
  <c r="G107" i="2"/>
  <c r="E107" i="2"/>
  <c r="B107" i="2"/>
  <c r="S106" i="2"/>
  <c r="M106" i="2"/>
  <c r="L106" i="2"/>
  <c r="K106" i="2"/>
  <c r="G106" i="2"/>
  <c r="E106" i="2"/>
  <c r="B106" i="2"/>
  <c r="S105" i="2"/>
  <c r="M105" i="2"/>
  <c r="L105" i="2"/>
  <c r="K105" i="2"/>
  <c r="G105" i="2"/>
  <c r="E105" i="2"/>
  <c r="B105" i="2"/>
  <c r="S104" i="2"/>
  <c r="M104" i="2"/>
  <c r="L104" i="2"/>
  <c r="K104" i="2"/>
  <c r="G104" i="2"/>
  <c r="E104" i="2"/>
  <c r="B104" i="2"/>
  <c r="S103" i="2"/>
  <c r="M103" i="2"/>
  <c r="L103" i="2"/>
  <c r="K103" i="2"/>
  <c r="G103" i="2"/>
  <c r="E103" i="2"/>
  <c r="B103" i="2"/>
  <c r="S102" i="2"/>
  <c r="M102" i="2"/>
  <c r="L102" i="2"/>
  <c r="K102" i="2"/>
  <c r="G102" i="2"/>
  <c r="E102" i="2"/>
  <c r="B102" i="2"/>
  <c r="S101" i="2"/>
  <c r="M101" i="2"/>
  <c r="L101" i="2"/>
  <c r="K101" i="2"/>
  <c r="G101" i="2"/>
  <c r="E101" i="2"/>
  <c r="B101" i="2"/>
  <c r="S100" i="2"/>
  <c r="M100" i="2"/>
  <c r="L100" i="2"/>
  <c r="K100" i="2"/>
  <c r="G100" i="2"/>
  <c r="E100" i="2"/>
  <c r="B100" i="2"/>
  <c r="S99" i="2"/>
  <c r="M99" i="2"/>
  <c r="L99" i="2"/>
  <c r="K99" i="2"/>
  <c r="G99" i="2"/>
  <c r="E99" i="2"/>
  <c r="B99" i="2"/>
  <c r="S98" i="2"/>
  <c r="M98" i="2"/>
  <c r="L98" i="2"/>
  <c r="K98" i="2"/>
  <c r="G98" i="2"/>
  <c r="E98" i="2"/>
  <c r="B98" i="2"/>
  <c r="S97" i="2"/>
  <c r="M97" i="2"/>
  <c r="L97" i="2"/>
  <c r="K97" i="2"/>
  <c r="G97" i="2"/>
  <c r="E97" i="2"/>
  <c r="B97" i="2"/>
  <c r="S96" i="2"/>
  <c r="M96" i="2"/>
  <c r="L96" i="2"/>
  <c r="K96" i="2"/>
  <c r="G96" i="2"/>
  <c r="E96" i="2"/>
  <c r="B96" i="2"/>
  <c r="S95" i="2"/>
  <c r="M95" i="2"/>
  <c r="L95" i="2"/>
  <c r="K95" i="2"/>
  <c r="G95" i="2"/>
  <c r="E95" i="2"/>
  <c r="B95" i="2"/>
  <c r="S94" i="2"/>
  <c r="M94" i="2"/>
  <c r="L94" i="2"/>
  <c r="K94" i="2"/>
  <c r="G94" i="2"/>
  <c r="E94" i="2"/>
  <c r="B94" i="2"/>
  <c r="S93" i="2"/>
  <c r="M93" i="2"/>
  <c r="L93" i="2"/>
  <c r="K93" i="2"/>
  <c r="G93" i="2"/>
  <c r="E93" i="2"/>
  <c r="B93" i="2"/>
  <c r="S92" i="2"/>
  <c r="M92" i="2"/>
  <c r="L92" i="2"/>
  <c r="K92" i="2"/>
  <c r="G92" i="2"/>
  <c r="E92" i="2"/>
  <c r="B92" i="2"/>
  <c r="S91" i="2"/>
  <c r="M91" i="2"/>
  <c r="L91" i="2"/>
  <c r="K91" i="2"/>
  <c r="G91" i="2"/>
  <c r="E91" i="2"/>
  <c r="B91" i="2"/>
  <c r="S90" i="2"/>
  <c r="M90" i="2"/>
  <c r="L90" i="2"/>
  <c r="K90" i="2"/>
  <c r="G90" i="2"/>
  <c r="E90" i="2"/>
  <c r="B90" i="2"/>
  <c r="S89" i="2"/>
  <c r="M89" i="2"/>
  <c r="L89" i="2"/>
  <c r="K89" i="2"/>
  <c r="G89" i="2"/>
  <c r="E89" i="2"/>
  <c r="B89" i="2"/>
  <c r="S88" i="2"/>
  <c r="M88" i="2"/>
  <c r="L88" i="2"/>
  <c r="K88" i="2"/>
  <c r="G88" i="2"/>
  <c r="E88" i="2"/>
  <c r="B88" i="2"/>
  <c r="S87" i="2"/>
  <c r="M87" i="2"/>
  <c r="L87" i="2"/>
  <c r="K87" i="2"/>
  <c r="G87" i="2"/>
  <c r="E87" i="2"/>
  <c r="B87" i="2"/>
  <c r="S86" i="2"/>
  <c r="M86" i="2"/>
  <c r="L86" i="2"/>
  <c r="K86" i="2"/>
  <c r="G86" i="2"/>
  <c r="E86" i="2"/>
  <c r="B86" i="2"/>
  <c r="S85" i="2"/>
  <c r="M85" i="2"/>
  <c r="L85" i="2"/>
  <c r="K85" i="2"/>
  <c r="G85" i="2"/>
  <c r="E85" i="2"/>
  <c r="B85" i="2"/>
  <c r="S84" i="2"/>
  <c r="M84" i="2"/>
  <c r="L84" i="2"/>
  <c r="K84" i="2"/>
  <c r="G84" i="2"/>
  <c r="E84" i="2"/>
  <c r="B84" i="2"/>
  <c r="S83" i="2"/>
  <c r="M83" i="2"/>
  <c r="L83" i="2"/>
  <c r="K83" i="2"/>
  <c r="G83" i="2"/>
  <c r="E83" i="2"/>
  <c r="B83" i="2"/>
  <c r="S82" i="2"/>
  <c r="M82" i="2"/>
  <c r="L82" i="2"/>
  <c r="K82" i="2"/>
  <c r="G82" i="2"/>
  <c r="E82" i="2"/>
  <c r="B82" i="2"/>
  <c r="S81" i="2"/>
  <c r="M81" i="2"/>
  <c r="L81" i="2"/>
  <c r="K81" i="2"/>
  <c r="G81" i="2"/>
  <c r="E81" i="2"/>
  <c r="B81" i="2"/>
  <c r="S80" i="2"/>
  <c r="M80" i="2"/>
  <c r="L80" i="2"/>
  <c r="K80" i="2"/>
  <c r="G80" i="2"/>
  <c r="E80" i="2"/>
  <c r="B80" i="2"/>
  <c r="S79" i="2"/>
  <c r="M79" i="2"/>
  <c r="L79" i="2"/>
  <c r="K79" i="2"/>
  <c r="G79" i="2"/>
  <c r="E79" i="2"/>
  <c r="B79" i="2"/>
  <c r="S78" i="2"/>
  <c r="M78" i="2"/>
  <c r="L78" i="2"/>
  <c r="K78" i="2"/>
  <c r="G78" i="2"/>
  <c r="E78" i="2"/>
  <c r="B78" i="2"/>
  <c r="S77" i="2"/>
  <c r="M77" i="2"/>
  <c r="L77" i="2"/>
  <c r="K77" i="2"/>
  <c r="G77" i="2"/>
  <c r="E77" i="2"/>
  <c r="B77" i="2"/>
  <c r="S76" i="2"/>
  <c r="M76" i="2"/>
  <c r="L76" i="2"/>
  <c r="K76" i="2"/>
  <c r="G76" i="2"/>
  <c r="E76" i="2"/>
  <c r="B76" i="2"/>
  <c r="S75" i="2"/>
  <c r="M75" i="2"/>
  <c r="L75" i="2"/>
  <c r="K75" i="2"/>
  <c r="G75" i="2"/>
  <c r="E75" i="2"/>
  <c r="B75" i="2"/>
  <c r="S74" i="2"/>
  <c r="M74" i="2"/>
  <c r="L74" i="2"/>
  <c r="K74" i="2"/>
  <c r="G74" i="2"/>
  <c r="E74" i="2"/>
  <c r="B74" i="2"/>
  <c r="S73" i="2"/>
  <c r="M73" i="2"/>
  <c r="L73" i="2"/>
  <c r="K73" i="2"/>
  <c r="G73" i="2"/>
  <c r="E73" i="2"/>
  <c r="B73" i="2"/>
  <c r="S72" i="2"/>
  <c r="M72" i="2"/>
  <c r="L72" i="2"/>
  <c r="K72" i="2"/>
  <c r="H72" i="2"/>
  <c r="G72" i="2"/>
  <c r="E72" i="2"/>
  <c r="B72" i="2"/>
  <c r="S71" i="2"/>
  <c r="M71" i="2"/>
  <c r="L71" i="2"/>
  <c r="K71" i="2"/>
  <c r="G71" i="2"/>
  <c r="E71" i="2"/>
  <c r="B71" i="2"/>
  <c r="S70" i="2"/>
  <c r="M70" i="2"/>
  <c r="L70" i="2"/>
  <c r="K70" i="2"/>
  <c r="G70" i="2"/>
  <c r="E70" i="2"/>
  <c r="B70" i="2"/>
  <c r="S69" i="2"/>
  <c r="M69" i="2"/>
  <c r="L69" i="2"/>
  <c r="K69" i="2"/>
  <c r="G69" i="2"/>
  <c r="E69" i="2"/>
  <c r="B69" i="2"/>
  <c r="S68" i="2"/>
  <c r="M68" i="2"/>
  <c r="L68" i="2"/>
  <c r="K68" i="2"/>
  <c r="G68" i="2"/>
  <c r="E68" i="2"/>
  <c r="B68" i="2"/>
  <c r="S67" i="2"/>
  <c r="M67" i="2"/>
  <c r="L67" i="2"/>
  <c r="K67" i="2"/>
  <c r="G67" i="2"/>
  <c r="E67" i="2"/>
  <c r="B67" i="2"/>
  <c r="S66" i="2"/>
  <c r="M66" i="2"/>
  <c r="L66" i="2"/>
  <c r="K66" i="2"/>
  <c r="G66" i="2"/>
  <c r="E66" i="2"/>
  <c r="B66" i="2"/>
  <c r="S65" i="2"/>
  <c r="M65" i="2"/>
  <c r="L65" i="2"/>
  <c r="K65" i="2"/>
  <c r="G65" i="2"/>
  <c r="E65" i="2"/>
  <c r="B65" i="2"/>
  <c r="S64" i="2"/>
  <c r="M64" i="2"/>
  <c r="L64" i="2"/>
  <c r="K64" i="2"/>
  <c r="G64" i="2"/>
  <c r="E64" i="2"/>
  <c r="B64" i="2"/>
  <c r="S63" i="2"/>
  <c r="M63" i="2"/>
  <c r="L63" i="2"/>
  <c r="K63" i="2"/>
  <c r="G63" i="2"/>
  <c r="E63" i="2"/>
  <c r="B63" i="2"/>
  <c r="S62" i="2"/>
  <c r="M62" i="2"/>
  <c r="L62" i="2"/>
  <c r="K62" i="2"/>
  <c r="G62" i="2"/>
  <c r="E62" i="2"/>
  <c r="B62" i="2"/>
  <c r="S61" i="2"/>
  <c r="M61" i="2"/>
  <c r="L61" i="2"/>
  <c r="K61" i="2"/>
  <c r="H61" i="2"/>
  <c r="G61" i="2"/>
  <c r="E61" i="2"/>
  <c r="B61" i="2"/>
  <c r="S60" i="2"/>
  <c r="M60" i="2"/>
  <c r="L60" i="2"/>
  <c r="K60" i="2"/>
  <c r="G60" i="2"/>
  <c r="E60" i="2"/>
  <c r="B60" i="2"/>
  <c r="S59" i="2"/>
  <c r="M59" i="2"/>
  <c r="L59" i="2"/>
  <c r="K59" i="2"/>
  <c r="H59" i="2"/>
  <c r="G59" i="2"/>
  <c r="E59" i="2"/>
  <c r="B59" i="2"/>
  <c r="S58" i="2"/>
  <c r="M58" i="2"/>
  <c r="L58" i="2"/>
  <c r="K58" i="2"/>
  <c r="G58" i="2"/>
  <c r="E58" i="2"/>
  <c r="B58" i="2"/>
  <c r="S57" i="2"/>
  <c r="M57" i="2"/>
  <c r="L57" i="2"/>
  <c r="K57" i="2"/>
  <c r="H57" i="2"/>
  <c r="G57" i="2"/>
  <c r="E57" i="2"/>
  <c r="B57" i="2"/>
  <c r="S56" i="2"/>
  <c r="M56" i="2"/>
  <c r="L56" i="2"/>
  <c r="K56" i="2"/>
  <c r="G56" i="2"/>
  <c r="E56" i="2"/>
  <c r="B56" i="2"/>
  <c r="S55" i="2"/>
  <c r="M55" i="2"/>
  <c r="L55" i="2"/>
  <c r="K55" i="2"/>
  <c r="G55" i="2"/>
  <c r="E55" i="2"/>
  <c r="B55" i="2"/>
  <c r="S54" i="2"/>
  <c r="M54" i="2"/>
  <c r="L54" i="2"/>
  <c r="K54" i="2"/>
  <c r="G54" i="2"/>
  <c r="E54" i="2"/>
  <c r="B54" i="2"/>
  <c r="S53" i="2"/>
  <c r="M53" i="2"/>
  <c r="L53" i="2"/>
  <c r="K53" i="2"/>
  <c r="G53" i="2"/>
  <c r="E53" i="2"/>
  <c r="B53" i="2"/>
  <c r="S52" i="2"/>
  <c r="M52" i="2"/>
  <c r="L52" i="2"/>
  <c r="K52" i="2"/>
  <c r="G52" i="2"/>
  <c r="E52" i="2"/>
  <c r="B52" i="2"/>
  <c r="S51" i="2"/>
  <c r="M51" i="2"/>
  <c r="L51" i="2"/>
  <c r="K51" i="2"/>
  <c r="G51" i="2"/>
  <c r="E51" i="2"/>
  <c r="B51" i="2"/>
  <c r="S50" i="2"/>
  <c r="M50" i="2"/>
  <c r="L50" i="2"/>
  <c r="K50" i="2"/>
  <c r="G50" i="2"/>
  <c r="E50" i="2"/>
  <c r="B50" i="2"/>
  <c r="S49" i="2"/>
  <c r="M49" i="2"/>
  <c r="L49" i="2"/>
  <c r="K49" i="2"/>
  <c r="G49" i="2"/>
  <c r="E49" i="2"/>
  <c r="B49" i="2"/>
  <c r="S48" i="2"/>
  <c r="M48" i="2"/>
  <c r="L48" i="2"/>
  <c r="K48" i="2"/>
  <c r="G48" i="2"/>
  <c r="E48" i="2"/>
  <c r="B48" i="2"/>
  <c r="S47" i="2"/>
  <c r="M47" i="2"/>
  <c r="L47" i="2"/>
  <c r="K47" i="2"/>
  <c r="G47" i="2"/>
  <c r="E47" i="2"/>
  <c r="B47" i="2"/>
  <c r="S46" i="2"/>
  <c r="M46" i="2"/>
  <c r="L46" i="2"/>
  <c r="K46" i="2"/>
  <c r="G46" i="2"/>
  <c r="E46" i="2"/>
  <c r="B46" i="2"/>
  <c r="S45" i="2"/>
  <c r="M45" i="2"/>
  <c r="L45" i="2"/>
  <c r="K45" i="2"/>
  <c r="G45" i="2"/>
  <c r="E45" i="2"/>
  <c r="B45" i="2"/>
  <c r="S44" i="2"/>
  <c r="M44" i="2"/>
  <c r="L44" i="2"/>
  <c r="K44" i="2"/>
  <c r="G44" i="2"/>
  <c r="E44" i="2"/>
  <c r="B44" i="2"/>
  <c r="S43" i="2"/>
  <c r="M43" i="2"/>
  <c r="L43" i="2"/>
  <c r="K43" i="2"/>
  <c r="G43" i="2"/>
  <c r="E43" i="2"/>
  <c r="B43" i="2"/>
  <c r="S42" i="2"/>
  <c r="M42" i="2"/>
  <c r="L42" i="2"/>
  <c r="K42" i="2"/>
  <c r="G42" i="2"/>
  <c r="E42" i="2"/>
  <c r="B42" i="2"/>
  <c r="S41" i="2"/>
  <c r="M41" i="2"/>
  <c r="L41" i="2"/>
  <c r="K41" i="2"/>
  <c r="G41" i="2"/>
  <c r="E41" i="2"/>
  <c r="B41" i="2"/>
  <c r="S40" i="2"/>
  <c r="M40" i="2"/>
  <c r="L40" i="2"/>
  <c r="K40" i="2"/>
  <c r="G40" i="2"/>
  <c r="E40" i="2"/>
  <c r="B40" i="2"/>
  <c r="S39" i="2"/>
  <c r="M39" i="2"/>
  <c r="L39" i="2"/>
  <c r="K39" i="2"/>
  <c r="G39" i="2"/>
  <c r="E39" i="2"/>
  <c r="B39" i="2"/>
  <c r="S38" i="2"/>
  <c r="M38" i="2"/>
  <c r="L38" i="2"/>
  <c r="K38" i="2"/>
  <c r="H38" i="2"/>
  <c r="G38" i="2"/>
  <c r="E38" i="2"/>
  <c r="B38" i="2"/>
  <c r="S37" i="2"/>
  <c r="M37" i="2"/>
  <c r="L37" i="2"/>
  <c r="K37" i="2"/>
  <c r="G37" i="2"/>
  <c r="E37" i="2"/>
  <c r="B37" i="2"/>
  <c r="S36" i="2"/>
  <c r="M36" i="2"/>
  <c r="L36" i="2"/>
  <c r="K36" i="2"/>
  <c r="G36" i="2"/>
  <c r="E36" i="2"/>
  <c r="B36" i="2"/>
  <c r="S35" i="2"/>
  <c r="M35" i="2"/>
  <c r="L35" i="2"/>
  <c r="K35" i="2"/>
  <c r="G35" i="2"/>
  <c r="E35" i="2"/>
  <c r="B35" i="2"/>
  <c r="S34" i="2"/>
  <c r="M34" i="2"/>
  <c r="L34" i="2"/>
  <c r="K34" i="2"/>
  <c r="G34" i="2"/>
  <c r="E34" i="2"/>
  <c r="B34" i="2"/>
  <c r="S33" i="2"/>
  <c r="M33" i="2"/>
  <c r="L33" i="2"/>
  <c r="K33" i="2"/>
  <c r="G33" i="2"/>
  <c r="E33" i="2"/>
  <c r="B33" i="2"/>
  <c r="S32" i="2"/>
  <c r="M32" i="2"/>
  <c r="L32" i="2"/>
  <c r="K32" i="2"/>
  <c r="G32" i="2"/>
  <c r="E32" i="2"/>
  <c r="B32" i="2"/>
  <c r="S31" i="2"/>
  <c r="M31" i="2"/>
  <c r="L31" i="2"/>
  <c r="K31" i="2"/>
  <c r="G31" i="2"/>
  <c r="E31" i="2"/>
  <c r="B31" i="2"/>
  <c r="S30" i="2"/>
  <c r="M30" i="2"/>
  <c r="L30" i="2"/>
  <c r="K30" i="2"/>
  <c r="G30" i="2"/>
  <c r="E30" i="2"/>
  <c r="B30" i="2"/>
  <c r="S29" i="2"/>
  <c r="M29" i="2"/>
  <c r="L29" i="2"/>
  <c r="K29" i="2"/>
  <c r="G29" i="2"/>
  <c r="E29" i="2"/>
  <c r="B29" i="2"/>
  <c r="S28" i="2"/>
  <c r="M28" i="2"/>
  <c r="L28" i="2"/>
  <c r="K28" i="2"/>
  <c r="G28" i="2"/>
  <c r="E28" i="2"/>
  <c r="B28" i="2"/>
  <c r="S27" i="2"/>
  <c r="M27" i="2"/>
  <c r="L27" i="2"/>
  <c r="K27" i="2"/>
  <c r="G27" i="2"/>
  <c r="E27" i="2"/>
  <c r="B27" i="2"/>
  <c r="S26" i="2"/>
  <c r="M26" i="2"/>
  <c r="L26" i="2"/>
  <c r="K26" i="2"/>
  <c r="G26" i="2"/>
  <c r="E26" i="2"/>
  <c r="B26" i="2"/>
  <c r="S25" i="2"/>
  <c r="M25" i="2"/>
  <c r="L25" i="2"/>
  <c r="K25" i="2"/>
  <c r="G25" i="2"/>
  <c r="E25" i="2"/>
  <c r="B25" i="2"/>
  <c r="S24" i="2"/>
  <c r="M24" i="2"/>
  <c r="L24" i="2"/>
  <c r="K24" i="2"/>
  <c r="G24" i="2"/>
  <c r="E24" i="2"/>
  <c r="B24" i="2"/>
  <c r="S23" i="2"/>
  <c r="M23" i="2"/>
  <c r="L23" i="2"/>
  <c r="K23" i="2"/>
  <c r="G23" i="2"/>
  <c r="E23" i="2"/>
  <c r="B23" i="2"/>
  <c r="S22" i="2"/>
  <c r="M22" i="2"/>
  <c r="L22" i="2"/>
  <c r="K22" i="2"/>
  <c r="G22" i="2"/>
  <c r="E22" i="2"/>
  <c r="B22" i="2"/>
  <c r="S21" i="2"/>
  <c r="M21" i="2"/>
  <c r="L21" i="2"/>
  <c r="K21" i="2"/>
  <c r="G21" i="2"/>
  <c r="E21" i="2"/>
  <c r="B21" i="2"/>
  <c r="S20" i="2"/>
  <c r="M20" i="2"/>
  <c r="L20" i="2"/>
  <c r="K20" i="2"/>
  <c r="G20" i="2"/>
  <c r="E20" i="2"/>
  <c r="B20" i="2"/>
  <c r="S19" i="2"/>
  <c r="M19" i="2"/>
  <c r="L19" i="2"/>
  <c r="K19" i="2"/>
  <c r="G19" i="2"/>
  <c r="E19" i="2"/>
  <c r="B19" i="2"/>
  <c r="S18" i="2"/>
  <c r="M18" i="2"/>
  <c r="L18" i="2"/>
  <c r="K18" i="2"/>
  <c r="G18" i="2"/>
  <c r="E18" i="2"/>
  <c r="B18" i="2"/>
  <c r="S17" i="2"/>
  <c r="M17" i="2"/>
  <c r="L17" i="2"/>
  <c r="K17" i="2"/>
  <c r="G17" i="2"/>
  <c r="E17" i="2"/>
  <c r="B17" i="2"/>
  <c r="S16" i="2"/>
  <c r="M16" i="2"/>
  <c r="L16" i="2"/>
  <c r="K16" i="2"/>
  <c r="G16" i="2"/>
  <c r="E16" i="2"/>
  <c r="B16" i="2"/>
  <c r="S15" i="2"/>
  <c r="M15" i="2"/>
  <c r="L15" i="2"/>
  <c r="K15" i="2"/>
  <c r="G15" i="2"/>
  <c r="E15" i="2"/>
  <c r="B15" i="2"/>
  <c r="S14" i="2"/>
  <c r="M14" i="2"/>
  <c r="L14" i="2"/>
  <c r="K14" i="2"/>
  <c r="G14" i="2"/>
  <c r="E14" i="2"/>
  <c r="B14" i="2"/>
  <c r="S13" i="2"/>
  <c r="M13" i="2"/>
  <c r="L13" i="2"/>
  <c r="K13" i="2"/>
  <c r="G13" i="2"/>
  <c r="E13" i="2"/>
  <c r="B13" i="2"/>
  <c r="S12" i="2"/>
  <c r="M12" i="2"/>
  <c r="L12" i="2"/>
  <c r="K12" i="2"/>
  <c r="G12" i="2"/>
  <c r="E12" i="2"/>
  <c r="B12" i="2"/>
  <c r="S11" i="2"/>
  <c r="M11" i="2"/>
  <c r="L11" i="2"/>
  <c r="K11" i="2"/>
  <c r="G11" i="2"/>
  <c r="E11" i="2"/>
  <c r="B11" i="2"/>
  <c r="S10" i="2"/>
  <c r="M10" i="2"/>
  <c r="L10" i="2"/>
  <c r="K10" i="2"/>
  <c r="G10" i="2"/>
  <c r="E10" i="2"/>
  <c r="B10" i="2"/>
  <c r="S9" i="2"/>
  <c r="M9" i="2"/>
  <c r="L9" i="2"/>
  <c r="K9" i="2"/>
  <c r="G9" i="2"/>
  <c r="E9" i="2"/>
  <c r="B9" i="2"/>
  <c r="S8" i="2"/>
  <c r="M8" i="2"/>
  <c r="L8" i="2"/>
  <c r="K8" i="2"/>
  <c r="G8" i="2"/>
  <c r="E8" i="2"/>
  <c r="B8" i="2"/>
  <c r="S7" i="2"/>
  <c r="M7" i="2"/>
  <c r="L7" i="2"/>
  <c r="K7" i="2"/>
  <c r="G7" i="2"/>
  <c r="E7" i="2"/>
  <c r="B7" i="2"/>
  <c r="S6" i="2"/>
  <c r="M6" i="2"/>
  <c r="L6" i="2"/>
  <c r="K6" i="2"/>
  <c r="G6" i="2"/>
  <c r="E6" i="2"/>
  <c r="B6" i="2"/>
  <c r="S5" i="2"/>
  <c r="M5" i="2"/>
  <c r="L5" i="2"/>
  <c r="K5" i="2"/>
  <c r="G5" i="2"/>
  <c r="E5" i="2"/>
  <c r="B5" i="2"/>
  <c r="S4" i="2"/>
  <c r="M4" i="2"/>
  <c r="L4" i="2"/>
  <c r="K4" i="2"/>
  <c r="G4" i="2"/>
  <c r="E4" i="2"/>
  <c r="B4" i="2"/>
</calcChain>
</file>

<file path=xl/sharedStrings.xml><?xml version="1.0" encoding="utf-8"?>
<sst xmlns="http://schemas.openxmlformats.org/spreadsheetml/2006/main" count="60425" uniqueCount="9249">
  <si>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</si>
  <si>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</si>
  <si>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</si>
  <si>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</si>
  <si>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</si>
  <si>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</si>
  <si>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</si>
  <si>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</si>
  <si>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</si>
  <si>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</si>
  <si>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</si>
  <si>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</si>
  <si>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</si>
  <si>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</si>
  <si>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</si>
  <si>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</si>
  <si>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</si>
  <si>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</si>
  <si>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</si>
  <si>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</si>
  <si>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POPRAVAK I REZERVNI DIJELOVI PUMPI VISOKOG PRITISKA</t>
  </si>
  <si>
    <t>50116000-1</t>
  </si>
  <si>
    <t>Otvoreni postupak javne nabave</t>
  </si>
  <si>
    <t>28.07.2017.</t>
  </si>
  <si>
    <t>28.07.2021.</t>
  </si>
  <si>
    <t>29.07.2021.</t>
  </si>
  <si>
    <t xml:space="preserve">Ukupni iznos ponude uvećan je za 500.000,00 kn zbog objedinjenog iznosa. </t>
  </si>
  <si>
    <t>VODOOPSKRBA I ODVODNJA D.O.O., ZAGREBAČKI HOLDING D.O.O.</t>
  </si>
  <si>
    <t>Sklapanje ugovora po okvirnom sporazumu</t>
  </si>
  <si>
    <t>22.07.2021.</t>
  </si>
  <si>
    <t>31.05.2022.</t>
  </si>
  <si>
    <t>10.11.2022.</t>
  </si>
  <si>
    <t>ZAGREBAČKI HOLDING D.O.O.</t>
  </si>
  <si>
    <t>TISKARSKE USLUGE</t>
  </si>
  <si>
    <t>79800000-2</t>
  </si>
  <si>
    <t>26.07.2017.</t>
  </si>
  <si>
    <t>26.07.2021.</t>
  </si>
  <si>
    <t>27.07.2021.</t>
  </si>
  <si>
    <t>AGM D.O.O., GRADSKA PLINARA ZAGREB OPSKRBA D.O.O., GRADSKO STAMBENO KOMUNALNO GOSPODARSTVO D.O.O., VODOOPSKRBA I ODVODNJA D.O.O., ZAGREBAČKI HOLDING D.O.O.</t>
  </si>
  <si>
    <t>78100000-8</t>
  </si>
  <si>
    <t>20.07.2021.</t>
  </si>
  <si>
    <t>31.03.2022.</t>
  </si>
  <si>
    <t>14.04.2022.</t>
  </si>
  <si>
    <t>GRADSKA PLINARA ZAGREB OPSKRBA D.O.O.</t>
  </si>
  <si>
    <t>REDOVNI TEHNIČKI PREGLED VOZILA; GRUPA 1. Zapadni dio grada Zagreba</t>
  </si>
  <si>
    <t>71631000-0</t>
  </si>
  <si>
    <t>16.08.2017.</t>
  </si>
  <si>
    <t>16.08.2021.</t>
  </si>
  <si>
    <t>17.08.2021.</t>
  </si>
  <si>
    <t>GRADSKA PLINARA ZAGREB D.O.O., GRADSKA PLINARA ZAGREB OPSKRBA D.O.O., GRADSKO STAMBENO KOMUNALNO GOSPODARSTVO D.O.O., VODOOPSKRBA I ODVODNJA D.O.O., ZAGREBAČKI HOLDING D.O.O.</t>
  </si>
  <si>
    <t>REDOVNI TEHNIČKI PREGLED VOZILA; GRUPA 1. Zapadni dio grada Zagreba - za period do 30.04.2022. - ViO d.o.o.</t>
  </si>
  <si>
    <t>74313000-6</t>
  </si>
  <si>
    <t>09.04.2021.</t>
  </si>
  <si>
    <t>30.04.2022.</t>
  </si>
  <si>
    <t>20.10.2022.</t>
  </si>
  <si>
    <t>VODOOPSKRBA I ODVODNJA D.O.O.</t>
  </si>
  <si>
    <t>REDOVNI TEHNIČKI PREGLED VOZILA; GRUPA 1. Zapadni dio grada Zagreba za razdoblje do 30.06.2022. godine</t>
  </si>
  <si>
    <t>30.06.2022.</t>
  </si>
  <si>
    <t>11.11.2022.</t>
  </si>
  <si>
    <t>REDOVNI TEHNIČKI PREGLED VOZILA; GRUPA 2. Istočni dio grada Zagreba</t>
  </si>
  <si>
    <t>REDOVNI TEHNIČKI PREGLED VOZILA; GRUPA 2. Istočni dio grada Zagreba - za period do 30.04.2022 - ViO d.o.o.</t>
  </si>
  <si>
    <t>09.04.2022.</t>
  </si>
  <si>
    <t>18.03.2022.</t>
  </si>
  <si>
    <t>NAJAM I ČIŠĆENJE KEMIJSKIH TOALETNIH KABINA</t>
  </si>
  <si>
    <t>24955000-3</t>
  </si>
  <si>
    <t>09.08.2017.</t>
  </si>
  <si>
    <t>09.08.2021.</t>
  </si>
  <si>
    <t>10.08.2021.</t>
  </si>
  <si>
    <t>GRADSKO STAMBENO KOMUNALNO GOSPODARSTVO D.O.O., ZAGREBAČKI HOLDING D.O.O.</t>
  </si>
  <si>
    <t>24665000-3</t>
  </si>
  <si>
    <t>14.06.2021.</t>
  </si>
  <si>
    <t>30.05.2022.</t>
  </si>
  <si>
    <t>03.06.2022.</t>
  </si>
  <si>
    <t>ODRŽAVANJE SUSTAVA ZA MASOVNI ISPIS I KUVERTIRANJE ZA GRADSKU PLINARU ZAGREB - OPSKRBA d.o.o.</t>
  </si>
  <si>
    <t>72267100-0</t>
  </si>
  <si>
    <t>12.09.2017.</t>
  </si>
  <si>
    <t>12.09.2021.</t>
  </si>
  <si>
    <t>13.09.2021.</t>
  </si>
  <si>
    <t>72267000-4</t>
  </si>
  <si>
    <t>28.06.2021.</t>
  </si>
  <si>
    <t>05.01.2022.</t>
  </si>
  <si>
    <t>02.11.2022.</t>
  </si>
  <si>
    <t>ODRŽAVANJE I POPRAVAK JAVNIH ZAHODA</t>
  </si>
  <si>
    <t>50760000-0</t>
  </si>
  <si>
    <t>05.03.2022.</t>
  </si>
  <si>
    <t xml:space="preserve">Cijena ponude uvećana je za 1.200.000,00 kn zbog objedinjenog iznosa. </t>
  </si>
  <si>
    <t>GRADSKO STAMBENO KOMUNALNO GOSPODARSTVO D.O.O.</t>
  </si>
  <si>
    <t>50700000-2</t>
  </si>
  <si>
    <t>10.09.2021.</t>
  </si>
  <si>
    <t>31.01.2022.</t>
  </si>
  <si>
    <t>24.03.2022.</t>
  </si>
  <si>
    <t>Dodatak ugovora/ugovor-narudžbenice ODRŽAVANJE I POPRAVAK JAVNIH ZAHODA</t>
  </si>
  <si>
    <t>Sklapanje ugovora po okvirnom sporazumu temeljem članka 320 stavak 1. ZJN2016</t>
  </si>
  <si>
    <t>28.02.2022.</t>
  </si>
  <si>
    <t>04.05.2022.</t>
  </si>
  <si>
    <t>KANTE I POSUDE ZA OTPAD; 1. GRUPA Kante i posude za komunalni otpad</t>
  </si>
  <si>
    <t>44613700-7</t>
  </si>
  <si>
    <t>14.12.2017.</t>
  </si>
  <si>
    <t>14.12.2021.</t>
  </si>
  <si>
    <t>15.12.2021.</t>
  </si>
  <si>
    <t>KANTE I POSUDE ZA OTPAD; 1. GRUPA Kante i posude za komunalni otpad za period do 18.10.2022. godine (ČISTOĆA)</t>
  </si>
  <si>
    <t>28213000-8</t>
  </si>
  <si>
    <t>18.10.2022.</t>
  </si>
  <si>
    <t>01.03.2022.</t>
  </si>
  <si>
    <t>USLUGE PRIVREMENOG ZAPOŠLJAVANJA RADNIKA</t>
  </si>
  <si>
    <t>79620000-6</t>
  </si>
  <si>
    <t>08.01.2018.</t>
  </si>
  <si>
    <t>08.01.2021.</t>
  </si>
  <si>
    <t>16.07.2021.</t>
  </si>
  <si>
    <t>74520000-0</t>
  </si>
  <si>
    <t>01.07.2021.</t>
  </si>
  <si>
    <t>08.01.2022.</t>
  </si>
  <si>
    <t>21.12.2022.</t>
  </si>
  <si>
    <t>OSOBNA ZAŠTITNA SREDSTVA; GRUPA 1 ZAŠTITA NOGU</t>
  </si>
  <si>
    <t>18000000-9</t>
  </si>
  <si>
    <t>02.01.2018.</t>
  </si>
  <si>
    <t>02.01.2022.</t>
  </si>
  <si>
    <t>03.01.2022.</t>
  </si>
  <si>
    <t>OSOBNA ZAŠTITNA SREDSTVA; GRUPA 1 ZAŠTITA NOGU za period do 30.04.2022</t>
  </si>
  <si>
    <t>18131000-6</t>
  </si>
  <si>
    <t>30.12.2021.</t>
  </si>
  <si>
    <t>22.12.2022.</t>
  </si>
  <si>
    <t>OSOBNA ZAŠTITNA SREDSTVA; GRUPA 1 ZAŠTITA NOGU (ZGH) za period do 31.12.2022.g;</t>
  </si>
  <si>
    <t>31.12.2022.</t>
  </si>
  <si>
    <t>U izvršenju</t>
  </si>
  <si>
    <t>OSOBNA ZAŠTITNA SREDSTVA; GRUPA 1 ZAŠTITA NOGU za period do 31.12.2022. (VIO d.o.o.)</t>
  </si>
  <si>
    <t>31.12.2021.</t>
  </si>
  <si>
    <t>08.04.2022.</t>
  </si>
  <si>
    <t>OSOBNA ZAŠTITNA SREDSTVA</t>
  </si>
  <si>
    <t>30.01.2022.</t>
  </si>
  <si>
    <t>OSOBNA ZAŠTITNA SREDSTVA; GRUPA 2. ZAŠTITA RUKU</t>
  </si>
  <si>
    <t>OSOBNA ZAŠTITNA SREDSTVA; GRUPA 2. ZAŠTITA RUKU (ZGH) za period do 31.12.2022.g.</t>
  </si>
  <si>
    <t>OSOBNA ZAŠTITNA SREDSTVA; GRUPA 2. ZAŠTITA RUKU za period do 31.12.2022. (VIO d.o.o.)</t>
  </si>
  <si>
    <t>15.06.2022.</t>
  </si>
  <si>
    <t>13.12.2021.</t>
  </si>
  <si>
    <t>Odstupanje radi isporuke zamjenskog artikla.</t>
  </si>
  <si>
    <t>OSOBNA ZAŠTITNA SREDSTVA; GRUPA 3 ZAŠTITA GLAVE</t>
  </si>
  <si>
    <t>04.01.2022.</t>
  </si>
  <si>
    <t>OSOBNA ZAŠTITNA SREDSTVA; GRUPA 3 ZAŠTITA GLAVE (ZGH) za period do 31.12.2022.g.</t>
  </si>
  <si>
    <t>OSOBNA ZAŠTITNA SREDSTVA; GRUPA 4. ZAŠTITA DIŠNIH PUTEVA</t>
  </si>
  <si>
    <t>OSOBNA ZAŠTITNA SREDSTVA; GRUPA 4. ZAŠTITA DIŠNIH PUTEVA za period do 31.12.2022. (VIO d.o.o.)</t>
  </si>
  <si>
    <t>OSOBNA ZAŠTITNA SREDSTVA; GRUPA 4. ZAŠTITA DIŠNIH PUTEVA za period 31.12.2022. godine (ZGH d.o.o.)</t>
  </si>
  <si>
    <t>ZASTAVE</t>
  </si>
  <si>
    <t>35821000-5</t>
  </si>
  <si>
    <t>17225000-5</t>
  </si>
  <si>
    <t>04.11.2021.</t>
  </si>
  <si>
    <t>16.12.2022.</t>
  </si>
  <si>
    <t>OSOBNA ZAŠTITNA SREDSTVA; GRUPA 5. ZAŠTITA SLUHA</t>
  </si>
  <si>
    <t>OSOBNA ZAŠTITNA SREDSTVA; GRUPA 5. ZAŠTITA SLUHA za period do 31.12.2022. godine (ZGH d.o.o.)</t>
  </si>
  <si>
    <t>OSOBNA ZAŠTITNA SREDSTVA; GRUPA 7. ZAŠTITA OČIJU I LICA</t>
  </si>
  <si>
    <t>OSOBNA ZAŠTITNA SREDSTVA; GRUPA 7. ZAŠTITA OČIJU I LICA za razdoblje do 31.12.2022. (VIO d.o.o.)</t>
  </si>
  <si>
    <t>OSOBNA ZAŠTITNA SREDSTVA; GRUPA 7. ZAŠTITA OČIJU I LICA za period 31.12.2022. godine (ZGH d.o.o.)</t>
  </si>
  <si>
    <t>OSOBNA ZAŠTITNA SREDSTVA; GRUPA 8. RAD NA VISINI</t>
  </si>
  <si>
    <t>OSOBNA ZAŠTITNA SREDSTVA; GRUPA 8. RAD NA VISINI za razdoblje do 31.12.2022. (VIO d.o.o.)</t>
  </si>
  <si>
    <t>11.03.2022.</t>
  </si>
  <si>
    <t>OSOBNA ZAŠTITNA SREDSTVA; GRUPA 9. VISOKA VIDLJIVOST</t>
  </si>
  <si>
    <t>OSOBNA ZAŠTITNA SREDSTVA; GRUPA 9. VISOKA VIDLJIVOST za period 31.12.2022. godine (ZGH d.o.o.)</t>
  </si>
  <si>
    <t>OSOBNA ZAŠTITNA SREDSTVA; GRUPA 10. REZERVIRANI UGOVOR</t>
  </si>
  <si>
    <t>OSOBNA ZAŠTITNA SREDSTVA; GRUPA 10. REZERVIRANI UGOVOR za period do 28.02.2022. (VIO d.o.o.)</t>
  </si>
  <si>
    <t>10.11.2021.</t>
  </si>
  <si>
    <t>06.07.2022.</t>
  </si>
  <si>
    <t>OSOBNA ZAŠTITNA SREDSTVA; GRUPA 10. REZERVIRANI UGOVOR za razdoblje do 31.12.2022. (VIO d.o.o.)</t>
  </si>
  <si>
    <t>OSOBNA ZAŠTITNA SREDSTVA; GRUPA 10. REZERVIRANI UGOVOR za period 31.12.2022. godine (ZGH d.o.o.)</t>
  </si>
  <si>
    <t>06.04.2022.</t>
  </si>
  <si>
    <t>ČIŠĆENJE SEPARATORA</t>
  </si>
  <si>
    <t>90470000-2</t>
  </si>
  <si>
    <t>09.01.2022.</t>
  </si>
  <si>
    <t>90113000-2</t>
  </si>
  <si>
    <t>16.12.2021.</t>
  </si>
  <si>
    <t>31.08.2022.</t>
  </si>
  <si>
    <t>20.12.2022.</t>
  </si>
  <si>
    <t>180 dana</t>
  </si>
  <si>
    <t>12.07.2022.</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</si>
  <si>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</si>
  <si>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</si>
  <si>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</si>
  <si>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27.12.2021.</t>
  </si>
  <si>
    <t>28.12.2021.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</si>
  <si>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30.06.2022. godine</t>
  </si>
  <si>
    <t>11.10.2021.</t>
  </si>
  <si>
    <t>GRAĐEVINSKI RADOVI NA ODRŽAVANJU CESTA I ULICA GRADA ZAGREBA; GRUPA 2. Građevinski radovi na održavanju cesta i ulica grada Zagreba na gradskim četvrtima: Donja Dubrava, Sesvete, Peščenica-Žitnjak, Maksimir, Gornja Dubrava i Podsljeme</t>
  </si>
  <si>
    <t>GRAĐEVINSKI RADOVI NA ODRŽAVANJU CESTA I ULICA GRADA ZAGREBA; GRUPA 2. Građevinski radovi na održavanju cesta i ulica grada Zagreba na gradskim četvrtima: Donja Dubrava, Sesvete, Peščenica-Žitnjak, Maksimir, Gornja Dubrava i Podsljeme za period do 30.06.2022.</t>
  </si>
  <si>
    <t>22.09.2021.</t>
  </si>
  <si>
    <t>29.12.2021.</t>
  </si>
  <si>
    <t>GRAĐENJE, ODRŽAVANJE I UPRAVLJANJE PODSUSTAVIMA ODLAGALIŠTA OTPADA JAKUŠEVEC</t>
  </si>
  <si>
    <t>45000000-7</t>
  </si>
  <si>
    <t>28.12.2017.</t>
  </si>
  <si>
    <t>24.05.2021.</t>
  </si>
  <si>
    <t>27.10.2021.</t>
  </si>
  <si>
    <t>Dodatak ugovora/ugovor-narudžbenice GRAĐENJE, ODRŽAVANJE I UPRAVLJANJE PODSUSTAVIMA ODLAGALIŠTA OTPADA JAKUŠEVEC</t>
  </si>
  <si>
    <t>11.11.2021.</t>
  </si>
  <si>
    <t xml:space="preserve">Temeljem članka 320. stavak 1. Zakona o javnoj nabavi (NN 120/16) Dodatkom osnovnog ugovora mijenjaju se odredbe članka vrijednost ugovora. </t>
  </si>
  <si>
    <t>23.08.2022.</t>
  </si>
  <si>
    <t>28.12.2022.</t>
  </si>
  <si>
    <t>KEMIJSKO ČIŠĆENJE, PRANJE I GLAČANJE ODJEĆE I OSTALIH TKANINA; GRUPA 1 Kemijsko čišćenje, pranje i glačanje odjeće i ostalih tkanina</t>
  </si>
  <si>
    <t>98310000-9</t>
  </si>
  <si>
    <t>19.02.2018.</t>
  </si>
  <si>
    <t>19.02.2022.</t>
  </si>
  <si>
    <t>20.02.2022.</t>
  </si>
  <si>
    <t>GRADSKA PLINARA ZAGREB OPSKRBA D.O.O., ZAGREBAČKI HOLDING D.O.O.</t>
  </si>
  <si>
    <t>KEMIJSKO ČIŠĆENJE, PRANJE I GLAČANJE ODJEĆE I OSTALIH TKANINA; GRUPA 1 Kemijsko čišćenje, pranje i glačanje odjeće i ostalih tkanina za period do 30.06.2022.g. - Vladimir Nazor</t>
  </si>
  <si>
    <t>93100000-9</t>
  </si>
  <si>
    <t>17.02.2022.</t>
  </si>
  <si>
    <t>16.08.2022.</t>
  </si>
  <si>
    <t>KEMIJSKO ČIŠĆENJE, PRANJE I GLAČANJE ODJEĆE I OSTALIH TKANINA; GRUPA 3 Kemijsko čišćenje osobne zaštitne opreme</t>
  </si>
  <si>
    <t>KEMIJSKO ČIŠĆENJE, PRANJE I GLAČANJE ODJEĆE I OSTALIH TKANINA; GRUPA 3 Kemijsko čišćenje osobne zaštitne opreme za period do 30.11.2022. (Zagrebparking)</t>
  </si>
  <si>
    <t>08.12.2021.</t>
  </si>
  <si>
    <t>30.11.2022.</t>
  </si>
  <si>
    <t>16.09.2022.</t>
  </si>
  <si>
    <t>ODRŽAVANJE I NADOGRADNJA APLIKACIJA INFOART</t>
  </si>
  <si>
    <t>12.03.2018.</t>
  </si>
  <si>
    <t>12.03.2022.</t>
  </si>
  <si>
    <t>13.03.2022.</t>
  </si>
  <si>
    <t>17.12.2021.</t>
  </si>
  <si>
    <t>30.09.2022.</t>
  </si>
  <si>
    <t>29.09.2022.</t>
  </si>
  <si>
    <t>NAJAM SUSTAVA ZA NADZOR UPRAVLJANJA VOZNIM PARKOM</t>
  </si>
  <si>
    <t>50111000-6</t>
  </si>
  <si>
    <t>15.03.2018.</t>
  </si>
  <si>
    <t>15.03.2022.</t>
  </si>
  <si>
    <t>16.03.2022.</t>
  </si>
  <si>
    <t>19.08.2021.</t>
  </si>
  <si>
    <t>26.09.2022.</t>
  </si>
  <si>
    <t>24.08.2021.</t>
  </si>
  <si>
    <t>13.06.2022.</t>
  </si>
  <si>
    <t>10.12.2021.</t>
  </si>
  <si>
    <t>10.03.2022.</t>
  </si>
  <si>
    <t>22.11.2022.</t>
  </si>
  <si>
    <t>POPRAVAK I SERVIS KREMACIJSKIH PEĆI</t>
  </si>
  <si>
    <t>50712000-9</t>
  </si>
  <si>
    <t>30.01.2018.</t>
  </si>
  <si>
    <t>30 dana</t>
  </si>
  <si>
    <t>14.03.2022.</t>
  </si>
  <si>
    <t>ODRŽAVANJE I POPRAVAK FONTANA</t>
  </si>
  <si>
    <t>50500000-0</t>
  </si>
  <si>
    <t>26.03.2018.</t>
  </si>
  <si>
    <t>26.03.2022.</t>
  </si>
  <si>
    <t>27.03.2022.</t>
  </si>
  <si>
    <t>05.07.2022.</t>
  </si>
  <si>
    <t>09.03.2022.</t>
  </si>
  <si>
    <t>10.08.2022.</t>
  </si>
  <si>
    <t>15 dana</t>
  </si>
  <si>
    <t>19.04.2022.</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</si>
  <si>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</si>
  <si>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90910000-9</t>
  </si>
  <si>
    <t>21.05.2018.</t>
  </si>
  <si>
    <t>21.05.2022.</t>
  </si>
  <si>
    <t>25.05.2022.</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</si>
  <si>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 za period do 31.12.2022. godine.</t>
  </si>
  <si>
    <t>74720000-2</t>
  </si>
  <si>
    <t>20.05.2022.</t>
  </si>
  <si>
    <t>Dodatak ugovora/ugovor-narudžbenice DEZINFEKCIJA I KEMIJSKO ČIŠĆENJE KLIMA, VENTILACIJSKIH SUSTAVA I KUHINJSKIH UREĐAJA UZ KONTROLU MIKROBIOLOŠKE ČISTOĆE ZRAKA</t>
  </si>
  <si>
    <t>18.08.2022.</t>
  </si>
  <si>
    <t>21.02.2022.</t>
  </si>
  <si>
    <t>70 dana</t>
  </si>
  <si>
    <t>13.04.2022.</t>
  </si>
  <si>
    <t>3 dana</t>
  </si>
  <si>
    <t>22.04.2022.</t>
  </si>
  <si>
    <t>04.04.2022.</t>
  </si>
  <si>
    <t>15.04.2022.</t>
  </si>
  <si>
    <t>05.05.2022.</t>
  </si>
  <si>
    <t>18.05.2022.</t>
  </si>
  <si>
    <t>19.05.2022.</t>
  </si>
  <si>
    <t>25.08.2022.</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</si>
  <si>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</si>
  <si>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22.05.2022.</t>
  </si>
  <si>
    <t>POPRAVAK I REDOVNO ODRŽAVANJE POKRETNIH STUBA, PODIZNIH PLATFORMI I IZVLAČNIH LJESTVI</t>
  </si>
  <si>
    <t>50750000-7</t>
  </si>
  <si>
    <t>11.06.2018.</t>
  </si>
  <si>
    <t>11.06.2022.</t>
  </si>
  <si>
    <t>12.06.2022.</t>
  </si>
  <si>
    <t>25.05.2021.</t>
  </si>
  <si>
    <t>08.07.2022.</t>
  </si>
  <si>
    <t>03.05.2022.</t>
  </si>
  <si>
    <t>ODRŽAVANJE I POPRAVAK POTHODNIKA; GRUPA 1 Održavanje i popravci pothodnika GLAVNI KOLODVOR</t>
  </si>
  <si>
    <t>50230000-6</t>
  </si>
  <si>
    <t>31.07.2018.</t>
  </si>
  <si>
    <t>31.07.2022.</t>
  </si>
  <si>
    <t>01.08.2022.</t>
  </si>
  <si>
    <t>ODRŽAVANJE I POPRAVAK POTHODNIKA; GRUPA 1 Održavanje i popravci pothodnika GLAVNI KOLODVOR za period do 31.07.2022. godine (GSKG d.o.o.)</t>
  </si>
  <si>
    <t>19.07.2021.</t>
  </si>
  <si>
    <t>13.09.2022.</t>
  </si>
  <si>
    <t>61 dan</t>
  </si>
  <si>
    <t>59 dana</t>
  </si>
  <si>
    <t>09.05.2022.</t>
  </si>
  <si>
    <t>05.10.2022.</t>
  </si>
  <si>
    <t>ODRŽAVANJE I POPRAVAK POTHODNIKA; GRUPA 2 Održavanje i popravci pothodnika VELESAJAM-SIGET i UTRINA-ZAPRUĐE</t>
  </si>
  <si>
    <t>01.09.2022.</t>
  </si>
  <si>
    <t xml:space="preserve">Cijena ponude uvećana je za 150.000,00 kn zbog objedinjenog iznosa. </t>
  </si>
  <si>
    <t>ODRŽAVANJE I POPRAVAK POTHODNIKA; GRUPA 2 Održavanje i popravci pothodnika VELESAJAM-SIGET i UTRINA-ZAPRUĐE za period do 31.07.2022. godine (GSKG d.o.o.)</t>
  </si>
  <si>
    <t>35 dana</t>
  </si>
  <si>
    <t>16.05.2022.</t>
  </si>
  <si>
    <t>10 dana</t>
  </si>
  <si>
    <t>23.05.2022.</t>
  </si>
  <si>
    <t>ODRŽAVANJE I POPRAVAK POTHODNIKA; GRUPA 3 Održavanje i popravci pothodnika KVATERNIKOV TRG</t>
  </si>
  <si>
    <t>ODRŽAVANJE I POPRAVAK POTHODNIKA; GRUPA 3 Održavanje i popravci pothodnika KVATERNIKOV TRG (GSKG d.o.o.)</t>
  </si>
  <si>
    <t>02.05.2022.</t>
  </si>
  <si>
    <t>ZIMSKA SLUŽBA; GRUPA 1 Gradska četvrt Novi Zagreb zapad - zapadni dio</t>
  </si>
  <si>
    <t>90620000-9</t>
  </si>
  <si>
    <t>23.10.2018.</t>
  </si>
  <si>
    <t>23.10.2022.</t>
  </si>
  <si>
    <t>24.10.2022.</t>
  </si>
  <si>
    <t>ZIMSKA SLUŽBA; GRUPA 1 Gradska četvrt Novi Zagreb zapad - zapadni dio za period od 15.11.2021. - 15.04.2022. (Zagrebačke ceste)</t>
  </si>
  <si>
    <t>90212000-6</t>
  </si>
  <si>
    <t>ZIMSKA SLUŽBA; GRUPA 1 Gradska četvrt Novi Zagreb zapad - zapadni dio za period od 15.11.2022 do 15.04.2023.</t>
  </si>
  <si>
    <t>15.04.2023.</t>
  </si>
  <si>
    <t>ZIMSKA SLUŽBA; GRUPA 3 Gradska četvrt Sesvete - istok</t>
  </si>
  <si>
    <t>ZIMSKA SLUŽBA; GRUPA 3 Gradska četvrt Sesvete - istok za period od 15.11.2021.-15.04.2022. (Zagrebačke ceste)</t>
  </si>
  <si>
    <t>08.06.2022.</t>
  </si>
  <si>
    <t>ZIMSKA SLUŽBA; GRUPA 3 Gradska četvrt Sesvete - istok za period od 15.11.2022-15.04.2023. (ZAGREBAČKE CESTE)</t>
  </si>
  <si>
    <t>17.10.2022.</t>
  </si>
  <si>
    <t>ZIMSKA SLUŽBA; GRUPA 4 Gradska četvrt Sesvete - sjeverni dio</t>
  </si>
  <si>
    <t>ZIMSKA SLUŽBA; GRUPA 4 Gradska četvrt Sesvete - sjeverni dio za period od 15.11.2021.-15.04.2022. (Zagrebačke ceste)</t>
  </si>
  <si>
    <t>11.01.2021.</t>
  </si>
  <si>
    <t>ZIMSKA SLUŽBA; GRUPA 4 Gradska četvrt Sesvete - sjeverni dio za period od 15.11.2021.-15.04.2022. (ZA POTREBE GRADSKIH GROBLJA)</t>
  </si>
  <si>
    <t>ZIMSKA SLUŽBA; GRUPA 4 Gradska četvrt Sesvete - sjeverni dio za period od 15.11.2022 do 15.04.2023. (ZAGREBAČKE CESTE)</t>
  </si>
  <si>
    <t>ZIMSKA SLUŽBA; GRUPA 4 Gradska četvrt Sesvete - sjeverni dio za period od 15.11.2022 do 15.04.2023.</t>
  </si>
  <si>
    <t>21.10.2022.</t>
  </si>
  <si>
    <t>ZIMSKA SLUŽBA; GRUPA 5 Gradska četvrt Stenjevec</t>
  </si>
  <si>
    <t>ZIMSKA SLUŽBA; GRUPA 5 Gradska četvrt Stenjevec GRUPA 5 Gradska četvrt Stenjevec za period od 15.11.2021.-15.04.2022. (Zagrebačke ceste)</t>
  </si>
  <si>
    <t>ZIMSKA SLUŽBA; GRUPA 5 Gradska četvrt Stenjevec  za period od 15.11.2022 do 15.04.2023. (ZAGREBAČKE CESTE)</t>
  </si>
  <si>
    <t>ZIMSKA SLUŽBA; GRUPA 6 Gradska četvrt Novi Zagreb zapad - istočni dio</t>
  </si>
  <si>
    <t>ZIMSKA SLUŽBA; GRUPA 6 Gradska četvrt Novi Zagreb zapad - istočni dio za period od 15.11.2021.-15.04.2022. (Zagrebačk ceste)</t>
  </si>
  <si>
    <t>ZIMSKA SLUŽBA; GRUPA 6 Gradska četvrt Novi Zagreb zapad - istočni dio za period od 15.11.2022 do 15.04.2023. (ZAGREBAČKE CESTE)</t>
  </si>
  <si>
    <t>ZIMSKA SLUŽBA; GRUPA 7 Gradska četvrt Donja Dubrava</t>
  </si>
  <si>
    <t>ZIMSKA SLUŽBA; GRUPA 7 Gradska četvrt Donja Dubrava za period od 15.11.2021.-15.04.2022. (ZA POTREBE AUTOBUSNOG KOLODVORA I GRADSKIH GROBLJA)</t>
  </si>
  <si>
    <t>ZIMSKA SLUŽBA;  GRUPA 7 Gradska četvrt Donja Dubrava za period od 15.11.2021.-15.04.2022. (Zagrebačke ceste)</t>
  </si>
  <si>
    <t>12.11.2021.</t>
  </si>
  <si>
    <t>ZIMSKA SLUŽBA; GRUPA 7 Gradska četvrt Donja Dubrava za period od 15.11.2022 do 15.04.2023. (ZAGREBAČKE CESTE)</t>
  </si>
  <si>
    <t>ZIMSKA SLUŽBA; GRUPA 7 Gradska četvrt Donja Dubrava za period od 15.11.2022 do 15.04.2023.</t>
  </si>
  <si>
    <t>ZIMSKA SLUŽBA; GRUPA 8 Gradska četvrt Sesvete - zapad</t>
  </si>
  <si>
    <t>ZIMSKA SLUŽBA; GRUPA 8 Gradska četvrt Sesvete - zapad za period od 15.11.2021.-15.04.2022. (Zagrebačke ceste)</t>
  </si>
  <si>
    <t>ZIMSKA SLUŽBA; GRUPA 8 Gradska četvrt Sesvete - zapad za period od 15.11.2022 do 15.04.2023. (ZAGREBAČKE CESTE)</t>
  </si>
  <si>
    <t>ZIMSKA SLUŽBA; GRUPA 9 Gradska četvrt Maksimir</t>
  </si>
  <si>
    <t>ZIMSKA SLUŽBA; GRUPA 9 Gradska četvrt Maksimir za period od 15.11.2021.-15.04.2022. (Zagrebačke ceste)</t>
  </si>
  <si>
    <t>15.11.2021.</t>
  </si>
  <si>
    <t>ZIMSKA SLUŽBA; GRUPA 9 Gradska četvrt Maksimir za period od 15.11.2022 do 15.04.2023. (ZAGREBAČKE CESTE)</t>
  </si>
  <si>
    <t>ZIMSKA SLUŽBA; GRUPA 10 Gradska četvrt Novi Zagreb zapad - jugoistočni dio</t>
  </si>
  <si>
    <t>ZIMSKA SLUŽBA; GRUPA 10 Gradska četvrt Novi Zagreb zapad - jugoistočni dio za period od 15.11.2021.-15.04.2022. (Zagrebačke ceste za potrebe Gradskih groblja)</t>
  </si>
  <si>
    <t>ZIMSKA SLUŽBA; GRUPA 10 Gradska četvrt Novi Zagreb zapad - jugoistočni dio za period od 15.11.2021.-15.04.2022. (Zagrebačke ceste)</t>
  </si>
  <si>
    <t>ZIMSKA SLUŽBA; GRUPA 10 Gradska četvrt Novi Zagreb zapad - jugoistočni dio za period od 15.11.2022 do 15.04.2023. (ZAGREBAČKE CESTE)</t>
  </si>
  <si>
    <t>ZIMSKA SLUŽBA; GRUPA 10 Gradska četvrt Novi Zagreb zapad - jugoistočni dio za period od 15.11.2022 do 15.04.2023.</t>
  </si>
  <si>
    <t>ZIMSKA SLUŽBA; GRUPA 11 Gradska četvrt Gornja Dubrava</t>
  </si>
  <si>
    <t>ZIMSKA SLUŽBA; GRUPA 11 Gradska četvrt Gornja Dubrava za period od 15.11.2021.-15.04.2022. (Zagrebačke ceste)</t>
  </si>
  <si>
    <t>ZIMSKA SLUŽBA; GRUPA 11 Gradska četvrt Gornja Dubrava za period od 15.11.2021.-15.04.2022. (Zagrebačke ceste) - GRADSKA GROBLJA)</t>
  </si>
  <si>
    <t>21.04.2022.</t>
  </si>
  <si>
    <t>ZIMSKA SLUŽBA; GRUPA 11 Gradska četvrt Gornja Dubrava za period od 15.11.2022 do 15.04.2023. (ZAGREBAČKE CESTE)</t>
  </si>
  <si>
    <t>ZIMSKA SLUŽBA; GRUPA 11 Gradska četvrt Gornja Dubrava za period od 15.11.2022 do 15.04.2023.</t>
  </si>
  <si>
    <t>ZIMSKA SLUŽBA; GRUPA 12 Gradska četvrt Podsused - Vrapče</t>
  </si>
  <si>
    <t>ZIMSKA SLUŽBA; GRUPA 12 Gradska četvrt Podsused - Vrapče za period od 15.11.2021.-15.04.2022. (Zagrebačke ceste)</t>
  </si>
  <si>
    <t>20.06.2022.</t>
  </si>
  <si>
    <t>ZIMSKA SLUŽBA; GRUPA 12 Gradska četvrt Podsused - Vrapče za period od 15.11.2022 do 15.04.2023. (ZAGREBAČKE CESTE)</t>
  </si>
  <si>
    <t>ZIMSKA SLUŽBA; GRUPA 13 Gradska četvrt Trešnjevka jug</t>
  </si>
  <si>
    <t>ZIMSKA SLUŽBA; GRUPA 13 Gradska četvrt Trešnjevka jug za period od 15.11.2021.-15.04.2022. (Zagrebačke ceste)</t>
  </si>
  <si>
    <t>26.05.2022.</t>
  </si>
  <si>
    <t>-ZIMSKA SLUŽBA; GRUPA 13 Gradska četvrt Trešnjevka jug za period od 15.11.2022 do 15.04.2023. (ZAGREBAČKE CESTE)</t>
  </si>
  <si>
    <t>ZIMSKA SLUŽBA; GRUPA 14 Gradska četvrt Sesvete sjeveroistočni dio</t>
  </si>
  <si>
    <t>ZIMSKA SLUŽBA; GRUPA 14 Gradska četvrt Sesvete sjeveroistočni dio za period od 15.11.2021.-15.04.2022. (Zagrebačke ceste)</t>
  </si>
  <si>
    <t>ZIMSKA SLUŽBA; GRUPA 14 Gradska četvrt Sesvete sjeveroistočni dio za period od 15.11.2022 do 15.04.2023. (ZAGREBAČKE CESTE)</t>
  </si>
  <si>
    <t>ZIMSKA SLUŽBA; GRUPA 15 Gradska četvrt Pešćenica - Žitnjak</t>
  </si>
  <si>
    <t>ZIMSKA SLUŽBA;  GRUPA 15 Gradska četvrt Pešćenica - Žitnjak za period od 15.11.2021.-15.04.2022. (Zagrebačke ceste)</t>
  </si>
  <si>
    <t>ZIMSKA SLUŽBA; GRUPA 15 Gradska četvrt Pešćenica - Žitnjak za period od 15.11.2022 do 15.04.2023. (ZAGREBAČKE CESTE)</t>
  </si>
  <si>
    <t>ZIMSKA SLUŽBA; GRUPA 16 Detaljno čišćenje i odvoz snijega</t>
  </si>
  <si>
    <t>ZIMSKA SLUŽBA; GRUPA 16 Detaljno čišćenje i odvoz snijega za period od 15.11.2021.-15.04.2022. (Zagrebačke ceste)</t>
  </si>
  <si>
    <t>ZIMSKA SLUŽBA; GRUPA 16 Detaljno čišćenje i odvoz snijega - za period od 15.11.2022 do 15.04.2023</t>
  </si>
  <si>
    <t>03.10.2022.</t>
  </si>
  <si>
    <t>POPRAVAK I REDOVNO ODRŽAVANJE DIZALA; GRUPA 1 Dizala Končar - MES i OMNIA</t>
  </si>
  <si>
    <t>15.10.2018.</t>
  </si>
  <si>
    <t>16.10.2022.</t>
  </si>
  <si>
    <t>POPRAVAK I REDOVNO ODRŽAVANJE DIZALA; GRUPA 1 Dizala Končar - MES i OMNIA ZA PERIOD DO 28.02.2022.</t>
  </si>
  <si>
    <t>16.03.2021.</t>
  </si>
  <si>
    <t>27.04.2022.</t>
  </si>
  <si>
    <t>07.07.2022.</t>
  </si>
  <si>
    <t>184 dana</t>
  </si>
  <si>
    <t>14.10.2022.</t>
  </si>
  <si>
    <t>365 dana</t>
  </si>
  <si>
    <t>POPRAVAK I REDOVNO ODRŽAVANJE DIZALA; GRUPA 2 Dizala KONE MONO SPACE STANDARDI</t>
  </si>
  <si>
    <t>15.10.2022.</t>
  </si>
  <si>
    <t xml:space="preserve">Cijena ponude uvećana je za 40.000,00 kn zbog objedinjenog iznosa. </t>
  </si>
  <si>
    <t>POPRAVAK I REDOVNO ODRŽAVANJE POPRAVAK I REDOVNO ODRŽAVANJE DIZALA; GRUPA 2 Dizala KONE MONO SPACE STANDARDI ZA PERIOD DO 30.11.2022 (GSKG d.o.o.)</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</si>
  <si>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</si>
  <si>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71630000-3</t>
  </si>
  <si>
    <t>13.12.2018.</t>
  </si>
  <si>
    <t>13.12.2022.</t>
  </si>
  <si>
    <t>14.12.2022.</t>
  </si>
  <si>
    <t xml:space="preserve">Cijena ponude uvećana je za 148.800,00 kn zbog objedinjenog iznosa. </t>
  </si>
  <si>
    <t>GRADSKA PLINARA ZAGREB OPSKRBA D.O.O., GRADSKO STAMBENO KOMUNALNO GOSPODARSTVO D.O.O., VODOOPSKRBA I ODVODNJA D.O.O., ZAGREBAČKI HOLDING D.O.O.</t>
  </si>
  <si>
    <t>OBVEZNA PERIODIČNA ISPITIVANJA SUKLADNO ZAKONU O ZAŠTITI NA RADU, ZAKONU O ZAŠTITI OD POŽARA I ZAKONU O MJERITELJSTVU; GRUPA 1 Obvezna periodična ispitivanja sukladno zakonu o zaštiti na radu, zakonu o zaštiti od požara i zakonu o mjeriteljstvu - Zaštita od požara za period do 31.05.2023.g.</t>
  </si>
  <si>
    <t>06.12.2022.</t>
  </si>
  <si>
    <t>31.05.2023.</t>
  </si>
  <si>
    <t>OBVEZNA PERIODIČNA ISPITIVANJA SUKLADNO ZAKONU O ZAŠTITI NA RADU, ZAKONU O ZAŠTITI OD POŽARA I ZAKONU O MJERITELJSTVU za period do 05.12.2023. godine (HOLDING DIREKCIJA - Upravljanje projektima)</t>
  </si>
  <si>
    <t>05.12.2023.</t>
  </si>
  <si>
    <t>10.01.2022.</t>
  </si>
  <si>
    <t>2 dana</t>
  </si>
  <si>
    <t>42 dana</t>
  </si>
  <si>
    <t>OBVEZNA PERIODIČNA ISPITIVANJA SUKLADNO ZAKONU O ZAŠTITI NA RADU, ZAKONU O ZAŠTITI OD POŽARA I ZAKONU O MJERITELJSTVU</t>
  </si>
  <si>
    <t>17.03.2022.</t>
  </si>
  <si>
    <t>30.03.2022.</t>
  </si>
  <si>
    <t>11.04.2022.</t>
  </si>
  <si>
    <t>07.12.2022.</t>
  </si>
  <si>
    <t>29.04.2022.</t>
  </si>
  <si>
    <t>10.05.2022.</t>
  </si>
  <si>
    <t>30.08.2022.</t>
  </si>
  <si>
    <t>24.05.2022.</t>
  </si>
  <si>
    <t>10.06.2022.</t>
  </si>
  <si>
    <t>01.06.2022.</t>
  </si>
  <si>
    <t>22.07.2022.</t>
  </si>
  <si>
    <t>30.07.2022.</t>
  </si>
  <si>
    <t>12.10.2022.</t>
  </si>
  <si>
    <t>15.11.2022.</t>
  </si>
  <si>
    <t>19.11.2022.</t>
  </si>
  <si>
    <t>25.12.2022.</t>
  </si>
  <si>
    <t>ODRŽAVANJE I NADOGRADNJA APLIKACIJA IZ SUSTAVA POSLOVNIH INFORMACIJA I KOMUNALNIH INFORMACIJSKIH SUSTAVA SPI/KOMIS</t>
  </si>
  <si>
    <t>26.10.2018.</t>
  </si>
  <si>
    <t>26.10.2022.</t>
  </si>
  <si>
    <t>27.10.2022.</t>
  </si>
  <si>
    <t>12.01.2022.</t>
  </si>
  <si>
    <t>30.06.2023.</t>
  </si>
  <si>
    <t>SANACIJA JAVNIH STUBA, PJEŠAČKIH PROLAZA I PLATOA</t>
  </si>
  <si>
    <t>02.11.2018.</t>
  </si>
  <si>
    <t>03.11.2022.</t>
  </si>
  <si>
    <t>01.04.2022.</t>
  </si>
  <si>
    <t>20.04.2022.</t>
  </si>
  <si>
    <t>5 dana</t>
  </si>
  <si>
    <t>29.06.2022.</t>
  </si>
  <si>
    <t>11.07.2022.</t>
  </si>
  <si>
    <t>21.07.2022.</t>
  </si>
  <si>
    <t>19.08.2022.</t>
  </si>
  <si>
    <t>07.09.2022.</t>
  </si>
  <si>
    <t>21.09.2022.</t>
  </si>
  <si>
    <t>27.09.2022.</t>
  </si>
  <si>
    <t>28.09.2022.</t>
  </si>
  <si>
    <t>25.10.2022.</t>
  </si>
  <si>
    <t>19.12.2022.</t>
  </si>
  <si>
    <t>USLUGA PRAĆENJA KVALITETE ZRAKA NA ODLAGALIŠTU OTPADA JAKUŠEVEC</t>
  </si>
  <si>
    <t>90711500-9</t>
  </si>
  <si>
    <t>08.02.2019.</t>
  </si>
  <si>
    <t>08.02.2023.</t>
  </si>
  <si>
    <t>22.08.2022.</t>
  </si>
  <si>
    <t>90313000-4</t>
  </si>
  <si>
    <t>30.06.2021.</t>
  </si>
  <si>
    <t>19.10.2021.</t>
  </si>
  <si>
    <t>28.07.2022.</t>
  </si>
  <si>
    <t>USLUGA OSIGURANJA; GRUPA 1. OSIGURANJE IMOVINE, OSIGURANJE OD ODGOVORNOSTI, KASKO OSIGURANJE CESTOVNIH I TRAČNIH VOZILA</t>
  </si>
  <si>
    <t>66510000-8</t>
  </si>
  <si>
    <t>01.04.2019.</t>
  </si>
  <si>
    <t>02.04.2022.</t>
  </si>
  <si>
    <t>AGM D.O.O., 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</si>
  <si>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razdoblje do 31.03.2022 - GPZ-O d.o.o.</t>
  </si>
  <si>
    <t>66300000-3</t>
  </si>
  <si>
    <t>10.02.2022.</t>
  </si>
  <si>
    <t>USLUGA OSIGURANJA; GRUPA 1. OSIGURANJE IMOVINE, OSIGURANJE OD ODGOVORNOSTI, KASKO OSIGURANJE CESTOVNIH I TRAČNIH VOZILA za razdoblje do 31.03.2022. - GPZ d.o.o.</t>
  </si>
  <si>
    <t>GRADSKA PLINARA ZAGREB D.O.O.</t>
  </si>
  <si>
    <t>USLUGA OSIGURANJA; GRUPA 1. OSIGURANJE IMOVINE, OSIGURANJE OD ODGOVORNOSTI, KASKO OSIGURANJE CESTOVNIH I TRAČNIH VOZILA za period do 31.03.2022 (GSKG D.O.O.)</t>
  </si>
  <si>
    <t>USLUGA OSIGURANJA; GRUPA 1. OSIGURANJE IMOVINE, OSIGURANJE OD ODGOVORNOSTI, KASKO OSIGURANJE CESTOVNIH I TRAČNIH VOZILA za period do 31.03.2022</t>
  </si>
  <si>
    <t>02.08.2021.</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</si>
  <si>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</si>
  <si>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razdoblje do 31.03.2022 - GPZ d.o.o.</t>
  </si>
  <si>
    <t>01.12.2022.</t>
  </si>
  <si>
    <t>USLUGA OSIGURANJA; GRUPA 2. OSIGURANJE OSOBA OD POSLJEDICA NESRETNOG SLUČAJA (NEZGODE), OSIGURANJE OD AUTOMOBILSKE ODGOVORNOSTI, OSIGURANJE OD ODGOVORNOSTI IZ UPOTREBE TRAČNIH VOZILA za period do 31.03.2022. godine - GPZ-O d.o.o.</t>
  </si>
  <si>
    <t>USLUGA OSIGURANJA; GRUPA 2. OSIGURANJE OSOBA OD POSLJEDICA NESRETNOG SLUČAJA (NEZGODE), OSIGURANJE OD AUTOMOBILSKE ODGOVORNOSTI, OSIGURANJE OD ODGOVORNOSTI IZ UPOTREBE TRAČNIH VOZILA - za period do 31.03.2022 (GSKG D.O.O.)</t>
  </si>
  <si>
    <t>USLUGA OSIGURANJA; GRUPA 2. OSIGURANJE OSOBA OD POSLJEDICA NESRETNOG SLUČAJA (NEZGODE), OSIGURANJE OD AUTOMOBILSKE ODGOVORNOSTI, OSIGURANJE OD ODGOVORNOSTI IZ UPOTREBE TRAČNIH VOZILA za period do 31.03.2022</t>
  </si>
  <si>
    <t>ODRŽAVANJE I NADOGRADNJA POSTOJEĆIH APLIKATIVNIH MODULA INabava2 i INfisk2</t>
  </si>
  <si>
    <t>72211000-7</t>
  </si>
  <si>
    <t>30.04.2019.</t>
  </si>
  <si>
    <t>30.04.2021.</t>
  </si>
  <si>
    <t>01.05.2021.</t>
  </si>
  <si>
    <t>72232000-0</t>
  </si>
  <si>
    <t>01.05.2022.</t>
  </si>
  <si>
    <t>15.07.2022.</t>
  </si>
  <si>
    <t>ODRŽAVANJE SERVERSKE INFRASTRUKTURE PROIZVOĐAČA HP I OPREME APC SA SISTEMSKOM PODRŠKOM; 1. GRUPA ODRŽAVANJE SERVERSKE INFRASTRUKTURE PROIZVOĐAČA HPE I OPREME APC</t>
  </si>
  <si>
    <t>50323000-5</t>
  </si>
  <si>
    <t>23.04.2019.</t>
  </si>
  <si>
    <t>23.04.2021.</t>
  </si>
  <si>
    <t>24.04.2021.</t>
  </si>
  <si>
    <t>ODRŽAVANJE SERVERSKE INFRASTRUKTURE PROIZVOĐAČA HP I OPREME APC SA SISTEMSKOM PODRŠKOM za period do  31.05.2022. g.</t>
  </si>
  <si>
    <t>50312000-5</t>
  </si>
  <si>
    <t>01.06.2021.</t>
  </si>
  <si>
    <t>14.06.2022.</t>
  </si>
  <si>
    <t>Dodatak ugovora/ugovor-narudžbenice ODRŽAVANJE SERVERSKE INFRASTRUKTURE PROIZVOĐAČA HP I OPREME APC SA SISTEMSKOM PODRŠKOM</t>
  </si>
  <si>
    <t>23.04.2022.</t>
  </si>
  <si>
    <t>.</t>
  </si>
  <si>
    <t>IZGRADNJA I ODRŽAVANJE ELEKTRONIČKE KOMUNIKACIJSKE MREŽE I INFRASTRUKTURE NA PODRUČJU GRADA ZAGREBA</t>
  </si>
  <si>
    <t>45231600-1</t>
  </si>
  <si>
    <t>07.06.2019.</t>
  </si>
  <si>
    <t>07.06.2023.</t>
  </si>
  <si>
    <t>45231000-5</t>
  </si>
  <si>
    <t>01.07.2022.</t>
  </si>
  <si>
    <t>Povećanje količine zbog opsega posla.</t>
  </si>
  <si>
    <t>15.12.2022.</t>
  </si>
  <si>
    <t>31.03.2023.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</si>
  <si>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</si>
  <si>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</si>
  <si>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</si>
  <si>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  za razdoblje do 17.04.2022. (RTZ)</t>
  </si>
  <si>
    <t>13300000-7</t>
  </si>
  <si>
    <t>11.01.2022.</t>
  </si>
  <si>
    <t>17.04.2022.</t>
  </si>
  <si>
    <t>OBVEZNA PERIODIČNA ISPITIVANJA SUKLADNO ZAKONU O ZAŠTITI NA RADU, ZAKONU O ZAŠTITI OD POŽARA I ZAKONU O MJERITELJSTVU za period do 30.06.2022. (VIO D.O.O.)</t>
  </si>
  <si>
    <t>25.04.2022.</t>
  </si>
  <si>
    <t>26.04.2022.</t>
  </si>
  <si>
    <t>28.11.2022.</t>
  </si>
  <si>
    <t>15.01.2022.</t>
  </si>
  <si>
    <t>21.03.2022.</t>
  </si>
  <si>
    <t>10.04.2022.</t>
  </si>
  <si>
    <t>27.06.2022.</t>
  </si>
  <si>
    <t>19.07.2022.</t>
  </si>
  <si>
    <t>17.08.2022.</t>
  </si>
  <si>
    <t>14.11.2022.</t>
  </si>
  <si>
    <t>25.11.2022.</t>
  </si>
  <si>
    <t>OSOBNA ZAŠTITNA SREDSTVA - ZAŠTITA TIJELA</t>
  </si>
  <si>
    <t>29.05.2019.</t>
  </si>
  <si>
    <t>29.05.2023.</t>
  </si>
  <si>
    <t>GRADSKA PLINARA ZAGREB D.O.O., GRADSKA PLINARA ZAGREB OPSKRBA D.O.O., VODOOPSKRBA I ODVODNJA D.O.O., ZAGREBAČKI HOLDING D.O.O.</t>
  </si>
  <si>
    <t>ISPITIVANJE FIZIKALNIH, KEMIJSKIH I MORFOLOŠKIH SVOJSTAVA OTPADA; GRUPA 1 UZORKOVANJE I ISPITIVANJE FIZIKALNIH I KEMIJSKIH SVOJSTVA OTPADA</t>
  </si>
  <si>
    <t>71610000-7</t>
  </si>
  <si>
    <t>18.07.2019.</t>
  </si>
  <si>
    <t>18.07.2023.</t>
  </si>
  <si>
    <t>74311000-2</t>
  </si>
  <si>
    <t>7 dana</t>
  </si>
  <si>
    <t>23.09.2022.</t>
  </si>
  <si>
    <t>21.06.2022.</t>
  </si>
  <si>
    <t>18.07.2022.</t>
  </si>
  <si>
    <t>09.08.2022.</t>
  </si>
  <si>
    <t>24.08.2022.</t>
  </si>
  <si>
    <t>23.11.2022.</t>
  </si>
  <si>
    <t>ISPITIVANJE FIZIKALNIH, KEMIJSKIH I MORFOLOŠKIH SVOJSTAVA OTPADA; GRUPA 2 UZORKOVANJE I MORFOLOŠKA ANALIZA ODLOŽENOG OTPADA S ODREĐIVANJEM BIORAZGRADIVE KOMPONENTE U ODLOŽENOM OTPADU</t>
  </si>
  <si>
    <t>NAJAM MULTIFUNKCIJSKIH STROJEVA</t>
  </si>
  <si>
    <t>30121000-3</t>
  </si>
  <si>
    <t>23.07.2019.</t>
  </si>
  <si>
    <t>23.07.2023.</t>
  </si>
  <si>
    <t>AGM D.O.O., GRADSKA PLINARA ZAGREB D.O.O., GRADSKA PLINARA ZAGREB OPSKRBA D.O.O., GRADSKO STAMBENO KOMUNALNO GOSPODARSTVO D.O.O., VODOOPSKRBA I ODVODNJA D.O.O., ZAGREBAČKI HOLDING D.O.O.</t>
  </si>
  <si>
    <t>26.05.2021.</t>
  </si>
  <si>
    <t>25.08.2021.</t>
  </si>
  <si>
    <t>21.12.2021.</t>
  </si>
  <si>
    <t>15.09.2022.</t>
  </si>
  <si>
    <t>BETON - PLASTIČNI I PUMPANI</t>
  </si>
  <si>
    <t>44114000-2</t>
  </si>
  <si>
    <t>29.08.2019.</t>
  </si>
  <si>
    <t>29.08.2021.</t>
  </si>
  <si>
    <t>30.08.2021.</t>
  </si>
  <si>
    <t>28814000-1</t>
  </si>
  <si>
    <t>21.07.2021.</t>
  </si>
  <si>
    <t>VODOVODNA I KANALSKA ARMATURA</t>
  </si>
  <si>
    <t>44470000-5</t>
  </si>
  <si>
    <t>28570000-8</t>
  </si>
  <si>
    <t>KAMENI AGREGATI; 1. GRUPA Drobljeni dolomitni agregat za bitumenske mješavine i nevezane materijale u cestogradnji i željeznički tucanik</t>
  </si>
  <si>
    <t>14212000-0</t>
  </si>
  <si>
    <t>17.09.2019.</t>
  </si>
  <si>
    <t>17.09.2023.</t>
  </si>
  <si>
    <t>KAMENI AGREGATI; 1. GRUPA Drobljeni dolomitni agregat za bitumenske mješavine i nevezane materijale u cestogradnji i željeznički tucanik - za period do 31.05.2022 - ZGOS</t>
  </si>
  <si>
    <t>23.06.2021.</t>
  </si>
  <si>
    <t>KAMENI AGREGATI; 1. GRUPA Drobljeni dolomitni agregat za bitumenske mješavine i nevezane materijale u cestogradnji i željeznički tucanik za period do 31.12.2022.g. (Zrinjevac)</t>
  </si>
  <si>
    <t>09.12.2022.</t>
  </si>
  <si>
    <t>KAMENI AGREGATI; 1. GRUPA Drobljeni dolomitni agregat za bitumenske mješavine i nevezane materijale u cestogradnji i željeznički tucanik za razdoblje do 31.03.2023.</t>
  </si>
  <si>
    <t>1 dan</t>
  </si>
  <si>
    <t>ČIŠĆENJE GRAFITA</t>
  </si>
  <si>
    <t>90911200-8</t>
  </si>
  <si>
    <t>18.09.2019.</t>
  </si>
  <si>
    <t>18.09.2023.</t>
  </si>
  <si>
    <t>74731000-2</t>
  </si>
  <si>
    <t>20.01.2022.</t>
  </si>
  <si>
    <t>27.07.2022.</t>
  </si>
  <si>
    <t>14.09.2022.</t>
  </si>
  <si>
    <t>06.10.2022.</t>
  </si>
  <si>
    <t>04.10.2022.</t>
  </si>
  <si>
    <t>21.11.2022.</t>
  </si>
  <si>
    <t>19.10.2022.</t>
  </si>
  <si>
    <t>KAMENI AGREGATI; 2. GRUPA Drobljeni eruptivni agregat za bitumenske mješavine</t>
  </si>
  <si>
    <t>23.09.2019.</t>
  </si>
  <si>
    <t>23.09.2023.</t>
  </si>
  <si>
    <t>KAMENI AGREGATI; 2. GRUPA Drobljeni eruptivni agregat za bitumenske mješavine za period do 30.06.2022. godine (Zagrebačke ceste)</t>
  </si>
  <si>
    <t>KAMENI AGREGATI; 3. GRUPA Punilo za bitumenske mješavine</t>
  </si>
  <si>
    <t>KAMENI AGREGATI; 3. GRUPA Punilo za bitumenske mješavine za period do 31.12.2022. g. (ZAGREBAČKE CESTE)</t>
  </si>
  <si>
    <t>SADNICE; GRUPA 2 SADNICE VOĆKI</t>
  </si>
  <si>
    <t>03451100-7</t>
  </si>
  <si>
    <t>17.10.2019.</t>
  </si>
  <si>
    <t>17.10.2021.</t>
  </si>
  <si>
    <t>18.10.2021.</t>
  </si>
  <si>
    <t>SADNICE; GRUPA 2 SADNICE VOĆKI za razdoblje do 30.09.2022.</t>
  </si>
  <si>
    <t>02511000-9</t>
  </si>
  <si>
    <t>15.10.2021.</t>
  </si>
  <si>
    <t>Pakiranje dobavljača je veće od naručenih količina.</t>
  </si>
  <si>
    <t>ODRŽAVANJE, NADOGRADNJA I NAJAM LICENCI PROGRAMSKOG SUSTAVA FAROS</t>
  </si>
  <si>
    <t>22.11.2019.</t>
  </si>
  <si>
    <t>22.11.2021.</t>
  </si>
  <si>
    <t>23.11.2021.</t>
  </si>
  <si>
    <t>24.02.2021.</t>
  </si>
  <si>
    <t>Dodatak ugovora/ugovor-narudžbenice ODRŽAVANJE, NADOGRADNJA I NAJAM LICENCI PROGRAMSKOG SUSTAVA FAROS</t>
  </si>
  <si>
    <t>15.02.2022.</t>
  </si>
  <si>
    <t>USLUGA UNAPRJEĐIVANJA I ODRŽAVANJA INTERNET PORTALA I CMS SUSTAVA</t>
  </si>
  <si>
    <t>09.10.2019.</t>
  </si>
  <si>
    <t>09.10.2021.</t>
  </si>
  <si>
    <t>10.10.2021.</t>
  </si>
  <si>
    <t>11.03.2021.</t>
  </si>
  <si>
    <t>15.05.2021.</t>
  </si>
  <si>
    <t>15.05.2022.</t>
  </si>
  <si>
    <t>Dodatak ugovora/ugovor-narudžbenice USLUGA UNAPRJEĐIVANJA I ODRŽAVANJA INTERNET PORTALA I CMS SUSTAVA</t>
  </si>
  <si>
    <t>02.03.2022.</t>
  </si>
  <si>
    <t>08.10.2021.</t>
  </si>
  <si>
    <t>08.09.2022.</t>
  </si>
  <si>
    <t>POVREMENI PRIJEVOZ PUTNIKA U UNUTARNJEM CESTOVNOM PROMETU; GRUPA 4 - POVREMENI PRIJEVOZ PUTNIKA OSNOVNIH ŠKOLA GRADA ZAGREBA I ZAGREBAČKE ŽUPANIJE ZA GRAD MLADIH</t>
  </si>
  <si>
    <t>60172000-4</t>
  </si>
  <si>
    <t>27.12.2019.</t>
  </si>
  <si>
    <t>27.01.2022.</t>
  </si>
  <si>
    <t>POVREMENI PRIJEVOZ PUTNIKA U UNUTARNJEM CESTOVNOM PROMETU; GRUPA 4 - POVREMENI PRIJEVOZ PUTNIKA OSNOVNIH ŠKOLA GRADA ZAGREBA I ZAGREBAČKE ŽUPANIJE ZA GRAD MLADIH za period do 30.06.2022.g.</t>
  </si>
  <si>
    <t>60117000-1</t>
  </si>
  <si>
    <t>27.05.2022.</t>
  </si>
  <si>
    <t>CESTOGRAĐEVNI BITUMEN; 2. GRUPA CESTOGRAĐEVNI BITUMEN 50/70</t>
  </si>
  <si>
    <t>44113610-4</t>
  </si>
  <si>
    <t>CESTOGRAĐEVNI BITUMEN; 2. GRUPA CESTOGRAĐEVNI BITUMEN 50/70 za period od 45 dana</t>
  </si>
  <si>
    <t>14511000-6</t>
  </si>
  <si>
    <t>05.02.2022.</t>
  </si>
  <si>
    <t>08.03.2022.</t>
  </si>
  <si>
    <t>CESTOGRAĐEVNI BITUMEN; 3. GRUPA CESTOGRAĐEVNI BITUMEN 70/100</t>
  </si>
  <si>
    <t>CESTOGRAĐEVNI BITUMEN; 3. GRUPA CESTOGRAĐEVNI BITUMEN 70/100  za period od 45 dana</t>
  </si>
  <si>
    <t>22.12.2021.</t>
  </si>
  <si>
    <t>06.02.2022.</t>
  </si>
  <si>
    <t>REZERVNI DIJELOVI, POPRAVAK I SERVIS STROJEVA I PRIKLJUČNE OPREME ZA GRAĐEVINARSTVO; GRUPA 1 REZERVNI DIJELOVI, POPRAVAK I SERVIS RADNIH STROJEVA MARKE WIRTGEN</t>
  </si>
  <si>
    <t>43600000-9</t>
  </si>
  <si>
    <t>30.12.2019.</t>
  </si>
  <si>
    <t>REZERVNI DIJELOVI, POPRAVAK I SERVIS STROJEVA I PRIKLJUČNE OPREME ZA GRAĐEVINARSTVO; GRUPA 1 REZERVNI DIJELOVI, POPRAVAK I SERVIS RADNIH STROJEVA MARKE WIRTGEN za razdoblje do 31.03.2022.godine (Zagrebačke ceste)</t>
  </si>
  <si>
    <t>29526000-2</t>
  </si>
  <si>
    <t>REZERVNI DIJELOVI, POPRAVAK I SERVIS STROJEVA I PRIKLJUČNE OPREME ZA GRAĐEVINARSTVO; GRUPA 2 REZERVNI DIJELIVI, POPRAVAK I SERVIS RADNIH STROJEVA MARKE VOGELE</t>
  </si>
  <si>
    <t>REZERVNI DIJELOVI, POPRAVAK I SERVIS STROJEVA I PRIKLJUČNE OPREME ZA GRAĐEVINARSTVO; GRUPA 2 REZERVNI DIJELIVI, POPRAVAK I SERVIS RADNIH STROJEVA MARKE VOGELE  za razdoblje do 31.03.2022.godine (Zagrebačke ceste)</t>
  </si>
  <si>
    <t>07.11.2022.</t>
  </si>
  <si>
    <t>REZERVNI DIJELOVI, POPRAVAK I SERVIS STROJEVA I PRIKLJUČNE OPREME ZA GRAĐEVINARSTVO; GRUPA 3. REZERVNI DIJELOVI I POPRAVAK RADNIH STROJEVA MARKE CATERPILLAR</t>
  </si>
  <si>
    <t>REZERVNI DIJELOVI, POPRAVAK I SERVIS STROJEVA I PRIKLJUČNE OPREME ZA GRAĐEVINARSTVO; GRUPA 3. REZERVNI DIJELOVI I POPRAVAK RADNIH STROJEVA MARKE CATERPILLAR za period  do 31.03.2022.g.</t>
  </si>
  <si>
    <t>REZERVNI DIJELOVI, POPRAVAK I SERVIS STROJEVA I PRIKLJUČNE OPREME ZA GRAĐEVINARSTVO; GRUPA 4 REZERVNI DIJELOVI, POPRAVAK I SERVIS STROJEVA MARKE GREDER O&amp;K</t>
  </si>
  <si>
    <t>REZERVNI DIJELOVI, POPRAVAK I SERVIS STROJEVA I PRIKLJUČNE OPREME ZA GRAĐEVINARSTVO; GRUPA 4 REZERVNI DIJELOVI, POPRAVAK I SERVIS STROJEVA MARKE GREDER O&amp;K za razdoblje do 31.03.2022.g. (Zagrebačke ceste)</t>
  </si>
  <si>
    <t>REZERVNI DIJELOVI, POPRAVAK I SERVIS STROJEVA I PRIKLJUČNE OPREME ZA GRAĐEVINARSTVO; GRUPA 5 REZERVNI DIJELOVI, POPRAVAK I SERVIS STROJEVA MARKE BOBCAT</t>
  </si>
  <si>
    <t>REZERVNI DIJELOVI, POPRAVAK I SERVIS STROJEVA I PRIKLJUČNE OPREME ZA GRAĐEVINARSTVO za razdoblje do 31.03.2022.g (Zagrebačke ceste)</t>
  </si>
  <si>
    <t>REZERVNI DIJELOVI, POPRAVAK I SERVIS STROJEVA I PRIKLJUČNE OPREME ZA GRAĐEVINARSTVO; GRUPA 6 REZERVNI DIJELOVI STROJEVA MARKE BITELLI</t>
  </si>
  <si>
    <t>REZERVNI DIJELOVI, POPRAVAK I SERVIS STROJEVA I PRIKLJUČNE OPREME ZA GRAĐEVINARSTVO; GRUPA 6 REZERVNI DIJELOVI STROJEVA MARKE BITELLI za razdoblje do 31.03.2022.g</t>
  </si>
  <si>
    <t>06.12.2021.</t>
  </si>
  <si>
    <t>09.06.2022.</t>
  </si>
  <si>
    <t>REZERVNI DIJELOVI, POPRAVAK I SERVIS STROJEVA I PRIKLJUČNE OPREME ZA GRAĐEVINARSTVO; GRUPA 7 REZERVNI DIJELOVI, POPRAVAK I SERVIS STROJEVA MARKE FIAT HITACHI</t>
  </si>
  <si>
    <t>REZERVNI DIJELOVI, POPRAVAK I SERVIS STROJEVA I PRIKLJUČNE OPREME ZA GRAĐEVINARSTVO; GRUPA 7 REZERVNI DIJELOVI, POPRAVAK I SERVIS STROJEVA MARKE FIAT HITACHI za razdoblje do 31.03.2022.g.</t>
  </si>
  <si>
    <t>REZERVNI DIJELOVI, POPRAVAK I SERVIS STROJEVA I PRIKLJUČNE OPREME ZA GRAĐEVINARSTVO; GRUPA 9 REZERVNI DIJELOVI, POPRAVAK I SERVIS STROJEVA MARKE BOMAG</t>
  </si>
  <si>
    <t>REZERVNI DIJELOVI, POPRAVAK I SERVIS STROJEVA I PRIKLJUČNE OPREME ZA GRAĐEVINARSTVO; GRUPA 9 REZERVNI DIJELOVI, POPRAVAK I SERVIS STROJEVA MARKE BOMAG za period do 31.03.2022.g (ZAGREBAČKE CESTE)</t>
  </si>
  <si>
    <t>23.12.2021.</t>
  </si>
  <si>
    <t>USLUGE U POKRETNOJ ELEKTRONIČKOJ KOMUNIKACIJSKOJ MREŽI</t>
  </si>
  <si>
    <t>64212000-5</t>
  </si>
  <si>
    <t>REZERVNI DIJELOVI, POPRAVAK I SERVIS STROJEVA I PRIKLJUČNE OPREME ZA GRAĐEVINARSTVO; GRUPA 10 REZERVNI DIJELOVI, POPRAVAK I SERVIS STROJEVA MARKE JCB</t>
  </si>
  <si>
    <t>REZERVNI DIJELOVI, POPRAVAK I SERVIS STROJEVA I PRIKLJUČNE OPREME ZA GRAĐEVINARSTVO; GRUPA 10 REZERVNI DIJELOVI, POPRAVAK I SERVIS STROJEVA MARKE JCB za period do 30.06.2022.godine (ČISTOĆA)</t>
  </si>
  <si>
    <t>REZERVNI DIJELOVI, POPRAVAK I SERVIS STROJEVA I PRIKLJUČNE OPREME ZA GRAĐEVINARSTVO; GRUPA 10 REZERVNI DIJELOVI, POPRAVAK I SERVIS STROJEVA MARKE JCB za period do 31.03.2022.g. (ZAGREBAČKE CESTE)</t>
  </si>
  <si>
    <t>REZERVNI DIJELOVI, POPRAVAK I SERVIS STROJEVA I PRIKLJUČNE OPREME ZA GRAĐEVINARSTVO; GRUPA 11 REZERVNI DIJELOVI, POPRAVAK I SERVIS STROJEVA MARKE HAMM</t>
  </si>
  <si>
    <t>REZERVNI DIJELOVI, POPRAVAK I SERVIS STROJEVA I PRIKLJUČNE OPREME ZA GRAĐEVINARSTVO; GRUPA 11 REZERVNI DIJELOVI, POPRAVAK I SERVIS STROJEVA MARKE HAMM za period do 31.03.2022.g. (ZAGREBAČKE CESTE)</t>
  </si>
  <si>
    <t>REZERVNI DIJELOVI, POPRAVAK I SERVIS STROJEVA I PRIKLJUČNE OPREME ZA GRAĐEVINARSTVO; GRUPA 12 REZERVNI DIJELOVI PRIKLJUČNE OPREME MARKE KAHLBACHER HES-250 I HES-270</t>
  </si>
  <si>
    <t>REZERVNI DIJELOVI, POPRAVAK I SERVIS STROJEVA I PRIKLJUČNE OPREME ZA GRAĐEVINARSTVO; GRUPA 12 REZERVNI DIJELOVI PRIKLJUČNE OPREME MARKE KAHLBACHER HES-250 I HES-270 za razdoblje do 31.03.2022.g</t>
  </si>
  <si>
    <t>REZERVNI DIJELOVI, POPRAVAK I SERVIS STROJEVA I PRIKLJUČNE OPREME ZA GRAĐEVINARSTVO; GRUPA 13 REZERVNI DIJELOVI PRIKLJUČNE OPREME PIETSCH</t>
  </si>
  <si>
    <t>REZERVNI DIJELOVI, POPRAVAK I SERVIS STROJEVA I PRIKLJUČNE OPREME ZA GRAĐEVINARSTVO; GRUPA 13 REZERVNI DIJELOVI PRIKLJUČNE OPREME PIETSCH za razdoblje do 31.03.2022.g. (Zagrebačke ceste)</t>
  </si>
  <si>
    <t>POVREMENI NAJAM TRAKTORA S RUKOM I PRIKLJUČCIMA ZA KOŠNJU TRAVE, ŠIBLJA, GRANA DRVEĆA I TRAKTORA S PRIKLJUČNIM KANALOKOPAČEM sa strojarom (rukovateljem)</t>
  </si>
  <si>
    <t>45520000-8</t>
  </si>
  <si>
    <t>22.01.2020.</t>
  </si>
  <si>
    <t>22.01.2022.</t>
  </si>
  <si>
    <t>21.10.2021.</t>
  </si>
  <si>
    <t>Dodatak ugovora/ugovor-narudžbenice POVREMENI NAJAM TRAKTORA S RUKOM I PRIKLJUČCIMA ZA KOŠNJU TRAVE, ŠIBLJA, GRANA DRVEĆA I TRAKTORA S PRIKLJUČNIM KANALOKOPAČEM sa strojarom (rukovateljem)</t>
  </si>
  <si>
    <t>ELEKTROMATERIJAL; GRUPA 1. ELEKTROMATERIJAL</t>
  </si>
  <si>
    <t>31200000-8</t>
  </si>
  <si>
    <t>30.01.2020.</t>
  </si>
  <si>
    <t>GRADSKO STAMBENO KOMUNALNO GOSPODARSTVO D.O.O., VODOOPSKRBA I ODVODNJA D.O.O., ZAGREBAČKI HOLDING D.O.O.</t>
  </si>
  <si>
    <t>ELEKTROMATERIJAL</t>
  </si>
  <si>
    <t>25.01.2022.</t>
  </si>
  <si>
    <t>ANTITRAUMATSKE PODLOGE</t>
  </si>
  <si>
    <t>19510000-4</t>
  </si>
  <si>
    <t>10.02.2020.</t>
  </si>
  <si>
    <t>11.02.2022.</t>
  </si>
  <si>
    <t>25122000-2</t>
  </si>
  <si>
    <t>07.10.2022.</t>
  </si>
  <si>
    <t>Dodatak ugovora/ugovor-narudžbenice ANTITRAUMATSKE PODLOGE</t>
  </si>
  <si>
    <t>28.01.2022.</t>
  </si>
  <si>
    <t>RADOVI NA ODRŽAVANJU OBJEKATA STAMBENE NAMJENE</t>
  </si>
  <si>
    <t>45400000-1</t>
  </si>
  <si>
    <t>21.01.2020.</t>
  </si>
  <si>
    <t>21.01.2022.</t>
  </si>
  <si>
    <t>25.09.2021.</t>
  </si>
  <si>
    <t>ZAGREBAČKA STANOGRADNJA D.O.O., ZAGREBAČKI HOLDING D.O.O.</t>
  </si>
  <si>
    <t>LJEPILA; 2. GRUPA SPECIJALNA LJEPILA</t>
  </si>
  <si>
    <t>24910000-6</t>
  </si>
  <si>
    <t>18.02.2020.</t>
  </si>
  <si>
    <t>18.02.2022.</t>
  </si>
  <si>
    <t>LJEPILA</t>
  </si>
  <si>
    <t>24620000-6</t>
  </si>
  <si>
    <t>TRAVNE SMJESE</t>
  </si>
  <si>
    <t>03441000-3</t>
  </si>
  <si>
    <t>17.02.2020.</t>
  </si>
  <si>
    <t>02410000-1</t>
  </si>
  <si>
    <t>PVC POSUDE, KUTIJE, KAŠETE I PALETE; GRUPA 1 PVC PROIZVODNI LONCI I PALETE ZA PROIZVODNJU BILJA</t>
  </si>
  <si>
    <t>19520000-7</t>
  </si>
  <si>
    <t>PVC POSUDE, KUTIJE, KAŠETE I PALETE; GRUPA 1 PVC PROIZVODNI LONCI I PALETE ZA PROIZVODNJU BILJA za period do 30.09.2022. (Zrinjevac)</t>
  </si>
  <si>
    <t>25223000-0</t>
  </si>
  <si>
    <t>REZERVNI DIJELOVI I POPRAVAK DROBILICA KAMENA NORDBERG</t>
  </si>
  <si>
    <t>ODRŽAVANJE I POPRAVAK SUSTAVA TELEMETRIJE PROIZVOĐAČA ZAGREL</t>
  </si>
  <si>
    <t>50330000-7</t>
  </si>
  <si>
    <t>25.02.2020.</t>
  </si>
  <si>
    <t>25.02.2022.</t>
  </si>
  <si>
    <t>26.02.2022.</t>
  </si>
  <si>
    <t>24.02.2022.</t>
  </si>
  <si>
    <t>ŽIČANI PROIZVODI; GRUPA 1 Žičani proizvodi</t>
  </si>
  <si>
    <t>44310000-6</t>
  </si>
  <si>
    <t>IZVOĐENJE GRAĐEVINSKIH RADOVA NA ODRŽAVANJU DISTRIBUCIJSKOG SUSTAVA</t>
  </si>
  <si>
    <t>45231220-3</t>
  </si>
  <si>
    <t>05.02.2020.</t>
  </si>
  <si>
    <t>USLUGE PRIVREMENOG ZAPOŠLJAVANJA RADNIKA ZA DRUŠTVO GRADSKA PLINARA ZAGREB - OPSKRBA d.o.o.</t>
  </si>
  <si>
    <t>28.02.2020.</t>
  </si>
  <si>
    <t>02.02.2022.</t>
  </si>
  <si>
    <t>02.12.2021.</t>
  </si>
  <si>
    <t>13.01.2022.</t>
  </si>
  <si>
    <t>Dodatak ugovora/ugovor-narudžbenice USLUGE PRIVREMENOG ZAPOŠLJAVANJA RADNIKA ZA DRUŠTVO GRADSKA PLINARA ZAGREB - OPSKRBA d.o.o.</t>
  </si>
  <si>
    <t>POVREMENI NAJAM STROJEVA I VOZILA ZA ZEMLJANE RADOVE; 1. GRUPA POVREMENI NAJAM UTOVARIVAČA NA KOTAČIMA ZA UTOVAR I PRIJENOS GRAĐEVINSKOG RASTRESITOG MATERIJALA SA STROJAROM (RUKOVATELJEM</t>
  </si>
  <si>
    <t>18.12.2021.</t>
  </si>
  <si>
    <t>POVREMENI NAJAM STROJEVA I VOZILA ZA ZEMLJANE RADOVE; 1. GRUPA POVREMENI NAJAM UTOVARIVAČA NA KOTAČIMA ZA UTOVAR I PRIJENOS GRAĐEVINSKOG RASTRESITOG MATERIJALA SA STROJAROM (RUKOVATELJEM) za razdoblje do 30.06.2022. godine.</t>
  </si>
  <si>
    <t>POVREMENI NAJAM STROJEVA I VOZILA ZA ZEMLJANE RADOVE; 4. GRUPA POVREMENI NAJAM SPECIJALNOG STROJA S BRZO IZMJENJIVIM PRIKLJUČCIMA SA STROJAROM (RUKOVATELJEM) ZA RAD NA PODRUČJU NC II i NC IV</t>
  </si>
  <si>
    <t>POVREMENI NAJAM STROJEVA I VOZILA ZA ZEMLJANE RADOVE; 6. GRUPA POVREMENI NAJAM ROVOKOPAČA - UTOVARIVAČA (KOMBINIRKA) SA STROJAROM (RUKOVATELJEM) ZA RAD NA PODRUČJU NC II,</t>
  </si>
  <si>
    <t>POVREMENI NAJAM STROJEVA I VOZILA ZA ZEMLJANE RADOVE; 6. GRUPA POVREMENI NAJAM ROVOKOPAČA - UTOVARIVAČA (KOMBINIRKA) SA STROJAROM (RUKOVATELJEM) ZA RAD NA PODRUČJU NC II, za razdoblje do 30.06.2022. godine.</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</si>
  <si>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</si>
  <si>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PERIOD DO 31.03.2022.</t>
  </si>
  <si>
    <t>POVREMENI NAJAM STROJEVA I VOZILA ZA ZEMLJANE RADOVE; 8. GRUPA POVREMENI NAJAM ROVOKOPAČA - UTOVARIVAČA (KOMBINIRKA) SA STROJAROM (RUKOVATELJEM) ZA RAD NA PODRUČJU NC IV</t>
  </si>
  <si>
    <t>POVREMENI NAJAM STROJEVA I VOZILA ZA ZEMLJANE RADOVE; 8. GRUPA POVREMENI NAJAM ROVOKOPAČA - UTOVARIVAČA (KOMBINIRKA) SA STROJAROM (RUKOVATELJEM) ZA RAD NA PODRUČJU NC IV za razdoblje do 30.06.2022. godine.</t>
  </si>
  <si>
    <t>POVREMENI NAJAM STROJEVA I VOZILA ZA ZEMLJANE RADOVE; 11. GRUPA POVREMENI NAJAM KAMIONA S UREĐAJEM ZA SAMOUTOVAR I ISTOVAR SA STROJAREM (RUKOVATELJEM)</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</si>
  <si>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</si>
  <si>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31.03.2022.</t>
  </si>
  <si>
    <t>08.08.2022.</t>
  </si>
  <si>
    <t>POVREMENI NAJAM STROJEVA I VOZILA ZA ZEMLJANE RADOVE; 13. GRUPA POVREMENI NAJAM HIDRAULIČKOG BAGERA S OKRETNOM KUPOLOM SA STROJAROM (RUKOVATELJEM) ZA RAD NA PODRUČJU NC II i NC IV</t>
  </si>
  <si>
    <t>02.03.2020.</t>
  </si>
  <si>
    <t>POVREMENI NAJAM STROJEVA I VOZILA ZA ZEMLJANE RADOVE; 13. GRUPA POVREMENI NAJAM HIDRAULIČKOG BAGERA S OKRETNOM KUPOLOM SA STROJAROM (RUKOVATELJEM) ZA RAD NA PODRUČJU NC II i NC IV ZA PERIOD  DO 31.03.2022.G.</t>
  </si>
  <si>
    <t>Razlika je zbog dodatnih sati rada i čekanja.</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</si>
  <si>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t>
  </si>
  <si>
    <t>POVREMENI NAJAM STROJEVA I VOZILA ZA ZEMLJANE RADOVE; 14. GRUPA POVREMENI NAJAM CESTARSKOG VOZILA S DUPLOM KABINOM NOSIVOSTI MIN 2,2 TONE (KIPER TROSTRANI), KUKOM ZA PRIKOLICU I PRIKOLICOM S VOZAČEM S ODGOVARAJUĆIM KVALIFIKACIJAMA ZA RAD NA PODRUČJU NC I, NC III i ASFALTNE BAZE U RAKITJU - ZA RAZDOBLJE DO 31.03.2022.</t>
  </si>
  <si>
    <t>POVREMENI NAJAM STROJEVA I VOZILA ZA ZEMLJANE RADOVE; 15. GRUPA POVREMENI NAJAM CESTARSKOG VOZILA S DUPLOM KABINOM NOSIVOSTI MIN 2,2 TONE (KIPER TROSTRANI), KUKOM ZA PRIKOLICU I PRIKOLICOM S VOZAČEM S ODGOVARAJUĆIM KVALIFIKACIJAMA ZA RAD NA PODRUČJU NC II I NC IV</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</si>
  <si>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31.03.2022.</t>
  </si>
  <si>
    <t>04.11.2022.</t>
  </si>
  <si>
    <t>POVREMENI NAJAM STROJEVA I VOZILA ZA ZEMLJANE RADOVE; 19. GRUPA POVREMENI NAJAM SPECIJALNOG STROJA ZA ISKOPE NA TEŠKO DOSTUPNIM MJESTIMA sa strojarom odnosno rukovateljem</t>
  </si>
  <si>
    <t>OVREMENI NAJAM STROJEVA I VOZILA ZA ZEMLJANE RADOVE; 19. GRUPA POVREMENI NAJAM SPECIJALNOG STROJA ZA ISKOPE NA TEŠKO DOSTUPNIM MJESTIMA sa strojarom odnosno rukovateljem za period do 31.12.2022. g. (GRADSKA GROBLJA)</t>
  </si>
  <si>
    <t>16.02.2022.</t>
  </si>
  <si>
    <t>POVREMENI NAJAM STROJEVA I VOZILA ZA ZEMLJANE RADOVE; 20. GRUPA POVREMENI NAJAM ROVOKOPAČA - UTOVARIVAČA (KOMBINIRKA) ZA RAD NA PODRUČJU GRADSKIH GROLJA sa strojarom odnosno rukovateljem</t>
  </si>
  <si>
    <t>POVREMENI NAJAM STROJEVA I VOZILA ZA ZEMLJANE RADOVE; 20. GRUPA POVREMENI NAJAM ROVOKOPAČA - UTOVARIVAČA (KOMBINIRKA) ZA RAD NA PODRUČJU GRADSKIH GROBLJA sa strojarom odnosno rukovateljem za period do 31.12.2022. g. (GRADSKA GROBLJA)</t>
  </si>
  <si>
    <t>ODRŽAVANJE I NADOGRADNJA PROGRAMSKE OPREME PRoGIS</t>
  </si>
  <si>
    <t>09.03.2020.</t>
  </si>
  <si>
    <t>HLADNA DVOKOMPONENTNA PLASTIKA ZA IZRADU OZNAKA NA KOLNIKU</t>
  </si>
  <si>
    <t>44811000-8</t>
  </si>
  <si>
    <t>06.03.2020.</t>
  </si>
  <si>
    <t>06.03.2022.</t>
  </si>
  <si>
    <t>07.03.2022.</t>
  </si>
  <si>
    <t>24310000-0</t>
  </si>
  <si>
    <t>03.03.2022.</t>
  </si>
  <si>
    <t>1 DAN</t>
  </si>
  <si>
    <t>05.04.2022.</t>
  </si>
  <si>
    <t>SPRAVE ZA IGRALIŠTA, REZERVNI DIJELOVI I POPRAVAK SPRAVA; GRUPA 2  SPRAVE ZA IGRALIŠTA, REZERVNI DIJELOVI I POPRAVAK SPRAVA PROIZVOĐAČA DILJEXPORT</t>
  </si>
  <si>
    <t>43325000-7</t>
  </si>
  <si>
    <t>24.03.2020.</t>
  </si>
  <si>
    <t>25.03.2022.</t>
  </si>
  <si>
    <t>29835000-1</t>
  </si>
  <si>
    <t>22.03.2022.</t>
  </si>
  <si>
    <t>SPRAVE ZA IGRALIŠTA, REZERVNI DIJELOVI I POPRAVAK SPRAVA; GRUPA 3 SPRAVE ZA IGRALIŠTA, REZERVNI DIJELOVI I POPRAVAK SPRAVA PROIZVOĐAČA REGOČ</t>
  </si>
  <si>
    <t>SPRAVE ZA IGRALIŠTA, REZERVNI DIJELOVI I POPRAVAK SPRAVA</t>
  </si>
  <si>
    <t>04.02.2022.</t>
  </si>
  <si>
    <t>SPRAVE ZA IGRALIŠTA, REZERVNI DIJELOVI I POPRAVAK SPRAVA; GRUPA 4 SPRAVE ZA IGRALIŠTA, REZERVNI DIJELOVI I POPRAVAK SPRAVA PROIZVOĐAČA REDOX</t>
  </si>
  <si>
    <t>SPRAVE ZA IGRALIŠTA, REZERVNI DIJELOVI I POPRAVAK SPRAVA; GRUPA 5 SPRAVE ZA IGRALIŠTA, REZERVNI DIJELOVI I POPRAVAK SPRAVA PROIZVOĐAČA KOVA</t>
  </si>
  <si>
    <t>RADOVI NA ZVUČNOJ IZOLACIJI VODOVODNE I KANALSKE ARMATURE</t>
  </si>
  <si>
    <t>45233140-2</t>
  </si>
  <si>
    <t>17.03.2020.</t>
  </si>
  <si>
    <t>REZERVNI DIJELOVI I POPRAVAK STROJEVA I PRIKLJUČNE OPREME ZA GRAĐEVINARSTVO; GRUPA 1 REZERVNI DIJELOVI I POPRAVAK PRIKLJUČNE OPREME RASCO</t>
  </si>
  <si>
    <t>REZERVNI DIJELOVI I POPRAVAK STROJEVA I PRIKLJUČNE OPREME ZA GRAĐEVINARSTVO; GRUPA 1 REZERVNI DIJELOVI I POPRAVAK PRIKLJUČNE OPREME RASCO za razdoblje do 31.03.2022.g. (Zagrebačke ceste)</t>
  </si>
  <si>
    <t>ULJA I MAZIVA; 1. GRUPA ULJA</t>
  </si>
  <si>
    <t>09211000-1</t>
  </si>
  <si>
    <t>23.03.2020.</t>
  </si>
  <si>
    <t>23.03.2022.</t>
  </si>
  <si>
    <t>ULJA I MAZIVA; 1. GRUPA ULJA za period do 30.04.2022. g (ČISTOĆA)</t>
  </si>
  <si>
    <t>23123000-5</t>
  </si>
  <si>
    <t>20.12.2021.</t>
  </si>
  <si>
    <t>ULJA I MAZIVA; 1. GRUPA ULJA za period do 30.06.2022. g (ČISTOĆA)</t>
  </si>
  <si>
    <t>29.07.2022.</t>
  </si>
  <si>
    <t>ULJA I MAZIVA</t>
  </si>
  <si>
    <t>14.02.2022.</t>
  </si>
  <si>
    <t>ULJA I MAZIVA; 2. GRUPA MASTI I OSTALA SREDSTVA</t>
  </si>
  <si>
    <t>ODRŽAVANJE INFORMATIČKOG TEHNIČKOG SUSTAVA GOSPODARENJA KOMUNALNIM OTPADOM; GRUPA 1 Održavanje uređaja za ručno očitavanje RFID oznaka</t>
  </si>
  <si>
    <t>03.03.2020.</t>
  </si>
  <si>
    <t>04.03.2022.</t>
  </si>
  <si>
    <t>ODRŽAVANJE INFORMATIČKOG TEHNIČKOG SUSTAVA GOSPODARENJA KOMUNALNIM OTPADOM; GRUPA 1 Održavanje uređaja za ručno očitavanje RFID oznaka na period do 31.12.2022.</t>
  </si>
  <si>
    <t>ODRŽAVANJE INFORMATIČKOG TEHNIČKOG SUSTAVA GOSPODARENJA KOMUNALNIM OTPADOM; GRUPA 2 Održavanje uređaja i opreme Sustava Elektronska evidencija pražnjenja spremnika</t>
  </si>
  <si>
    <t>DRŽAVANJE INFORMATIČKOG TEHNIČKOG SUSTAVA GOSPODARENJA KOMUNALNIM OTPADOM; GRUPA 2 Održavanje uređaja i opreme Sustava Elektronska evidencija pražnjenja spremnika za period do 31.12.2022.</t>
  </si>
  <si>
    <t>ODRŽAVANJE INFORMATIČKOG TEHNIČKOG SUSTAVA GOSPODARENJA KOMUNALNIM OTPADOM; GRUPA 3 Održavanje uređaja Evidencije korištenja Reciklažnih i Mobilnih reciklažnih dvorišta</t>
  </si>
  <si>
    <t>ODRŽAVANJE INFORMATIČKOG TEHNIČKOG SUSTAVA GOSPODARENJA KOMUNALNIM OTPADOM; GRUPA 3 Održavanje uređaja Evidencije korištenja Reciklažnih i Mobilnih reciklažnih dvorišta za period do 31.12.2022.</t>
  </si>
  <si>
    <t>OPSKRBA PLINOM</t>
  </si>
  <si>
    <t>09123000-7</t>
  </si>
  <si>
    <t>19.03.2022.</t>
  </si>
  <si>
    <t>AGM D.O.O., GRADSKA PLINARA ZAGREB D.O.O., GRADSKO STAMBENO KOMUNALNO GOSPODARSTVO D.O.O., VODOOPSKRBA I ODVODNJA D.O.O., ZAGREBAČKA STANOGRADNJA D.O.O., ZAGREBAČKI HOLDING D.O.O.</t>
  </si>
  <si>
    <t>11200000-2</t>
  </si>
  <si>
    <t>07.12.2021.</t>
  </si>
  <si>
    <t>ODRŽAVANJE INFORMATIČKOG TEHNIČKOG SUSTAVA GOSPODARENJA KOMUNALNIM OTPADOM; GRUPA 4 Održavanje uređaja Sustava za praćenje popunjenosti reciklažnih spremnika</t>
  </si>
  <si>
    <t>ODRŽAVANJE INFORMATIČKOG TEHNIČKOG SUSTAVA GOSPODARENJA KOMUNALNIM OTPADOM; GRUPA 4 Održavanje uređaja Sustava za praćenje popunjenosti reciklažnih spremnika za period do 31.12.2022.</t>
  </si>
  <si>
    <t>LICENCE PROGRAMSKE OPREME MICROSOFT U MODELU ENTERPRISE PRETPLATE</t>
  </si>
  <si>
    <t>48000000-8</t>
  </si>
  <si>
    <t>14.04.2020.</t>
  </si>
  <si>
    <t>14.04.2023.</t>
  </si>
  <si>
    <t xml:space="preserve">Jedinične cijene izražene su u EUR </t>
  </si>
  <si>
    <t>30248000-9</t>
  </si>
  <si>
    <t>24.12.2021.</t>
  </si>
  <si>
    <t>22.02.2022.</t>
  </si>
  <si>
    <t>19.01.2022.</t>
  </si>
  <si>
    <t>POVREMENI NAJAM STROJEVA I VOZILA ZA ZEMLJANE RADOVE; 5. GRUPA POVREMENI NAJAM ROVOKOPAČA - UTOVARIVAČA (KOMBINIRKA) SA STROJAROM (RUKOVATELJEM) ZA RAD NA PODRUČJU NC I</t>
  </si>
  <si>
    <t>06.04.2020.</t>
  </si>
  <si>
    <t>07.04.2022.</t>
  </si>
  <si>
    <t>POVREMENI NAJAM STROJEVA I VOZILA ZA ZEMLJANE RADOVE; 5. GRUPA POVREMENI NAJAM ROVOKOPAČA - UTOVARIVAČA (KOMBINIRKA) SA STROJAROM (RUKOVATELJEM) ZA RAD NA PODRUČJU NC I za razdoblje do 30.06.2022. godine.</t>
  </si>
  <si>
    <t>DNEVNO I PERIODIČNO ČIŠĆENJE I PRANJE POSLOVNIH PROSTORA, JAVNIH GARAŽA I DEPONIJA MOTORNIH VOZILA</t>
  </si>
  <si>
    <t>08.05.2020.</t>
  </si>
  <si>
    <t>08.05.2022.</t>
  </si>
  <si>
    <t>AGM D.O.O., GRADSKA PLINARA ZAGREB D.O.O., VODOOPSKRBA I ODVODNJA D.O.O., ZAGREBAČKI HOLDING D.O.O.</t>
  </si>
  <si>
    <t>74740000-8</t>
  </si>
  <si>
    <t>02.06.2021.</t>
  </si>
  <si>
    <t>Dodatak ugovora/ugovor-narudžbenice DNEVNO I PERIODIČNO ČIŠĆENJE I PRANJE POSLOVNIH PROSTORA, JAVNIH GARAŽA I DEPONIJA MOTORNIH VOZILA</t>
  </si>
  <si>
    <t>18.02.2023.</t>
  </si>
  <si>
    <t>POTROŠNI MATERIJAL I PRIBOR ZA NJEGU VOZILA; GRUPA 1. MATERIJAL ZA NJEGU VOZILA</t>
  </si>
  <si>
    <t>34300000-0</t>
  </si>
  <si>
    <t>20.05.2020.</t>
  </si>
  <si>
    <t>POTROŠNI MATERIJAL I PRIBOR ZA NJEGU VOZILA</t>
  </si>
  <si>
    <t>POTROŠNI MATERIJAL I PRIBOR ZA NJEGU VOZILA; GRUPA 2 ŽARULJE I OSIGURAČI ZA VOZILA</t>
  </si>
  <si>
    <t>POTROŠNI MATERIJAL I PRIBOR ZA NJEGU VOZILA; GRUPA 3 METLICE ZA BRISAČE I BRISAČI ZA VOZILA</t>
  </si>
  <si>
    <t>UGOSTITELJSKA GALANTERIJA; GRUPA 1.  UGOSTITELJSKA GALANTERIJA OD KERAMIKE, PORCULANA I STAKLA</t>
  </si>
  <si>
    <t>39311000-5</t>
  </si>
  <si>
    <t>07.04.2020.</t>
  </si>
  <si>
    <t>UGOSTITELJSKA GALANTERIJA</t>
  </si>
  <si>
    <t>29841000-6</t>
  </si>
  <si>
    <t>UGOSTITELJSKA GALANTERIJA; GRUPA 2 ROSTFREI I INOX UGOSTITELJSKA GALANTERIJA</t>
  </si>
  <si>
    <t>10.04.2020.</t>
  </si>
  <si>
    <t>UGOSTITELJSKA GALANTERIJA; GRUPA 3 UGOSTITELJSKA OPREMA OD TEKSTILA</t>
  </si>
  <si>
    <t>UGOSTITELJSKA GALANTERIJA; GRUPA 4.  PVC I DRVENA UGOSTITELJSKA OPREMA</t>
  </si>
  <si>
    <t>POTROŠNI MATERIJAL I PRIBOR ZA NJEGU VOZILA; GRUPA 4 FILTERI ZA VOZILA</t>
  </si>
  <si>
    <t>POTROŠNI MATERIJAL I PRIBOR ZA NJEGU VOZILA; GRUPA 4 FILTERI ZA VOZILA za period do 30.04.2022.godine (ČISTOĆA)</t>
  </si>
  <si>
    <t>28.03.2022.</t>
  </si>
  <si>
    <t>FASADNA VRATAŠCA I ORMARIĆI ZA PLIN</t>
  </si>
  <si>
    <t>39340000-7</t>
  </si>
  <si>
    <t>01.06.2020.</t>
  </si>
  <si>
    <t>02.06.2022.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</si>
  <si>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</si>
  <si>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15000000-8</t>
  </si>
  <si>
    <t>19.05.2020.</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</si>
  <si>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za period  do 30.06.2022.</t>
  </si>
  <si>
    <t>29.06.2021.</t>
  </si>
  <si>
    <t>346 dana</t>
  </si>
  <si>
    <t>IZVOĐENJE GRAĐEVINSKIH RADOVA NA HITNIM ZAHVATIMA KOD IZLAZA PLINA</t>
  </si>
  <si>
    <t>45231113-0</t>
  </si>
  <si>
    <t>GEOMEHANIČKE I GEOTEHNIČKE USLUGE</t>
  </si>
  <si>
    <t>71330000-0</t>
  </si>
  <si>
    <t>05.06.2020.</t>
  </si>
  <si>
    <t>05.06.2022.</t>
  </si>
  <si>
    <t>06.06.2022.</t>
  </si>
  <si>
    <t>74233000-1</t>
  </si>
  <si>
    <t>31.01.2023.</t>
  </si>
  <si>
    <t>20 dana</t>
  </si>
  <si>
    <t>03.08.2022.</t>
  </si>
  <si>
    <t>TONERI ZA POTREBE GRADSKE PLINARE ZAGREB - OPSKRBA d.o.o.</t>
  </si>
  <si>
    <t>30192000-1</t>
  </si>
  <si>
    <t>11.05.2022.</t>
  </si>
  <si>
    <t>12.05.2022.</t>
  </si>
  <si>
    <t>20.05.2021.</t>
  </si>
  <si>
    <t>Dodatak ugovora/ugovor-narudžbenice TONERI ZA POTREBE GRADSKE PLINARE ZAGREB - OPSKRBA d.o.o.</t>
  </si>
  <si>
    <t>NAJAM ZAVARIVAČA I CJEVARA</t>
  </si>
  <si>
    <t>98395000-8</t>
  </si>
  <si>
    <t>24.06.2020.</t>
  </si>
  <si>
    <t>24.06.2022.</t>
  </si>
  <si>
    <t>25.06.2022.</t>
  </si>
  <si>
    <t>USLUGA OČITANJA STANJA POTROŠNJE PLINA NA OMM NA DISTRIBUTIVNOM PODRUČJU GPZ</t>
  </si>
  <si>
    <t>72310000-1</t>
  </si>
  <si>
    <t>PLINOMJER MEMBRANSKI G-4 SA STOP VENTILOM I WMBUS KOMUNIKACIJOM</t>
  </si>
  <si>
    <t>38421000-2</t>
  </si>
  <si>
    <t>10.07.2020.</t>
  </si>
  <si>
    <t>10.07.2022.</t>
  </si>
  <si>
    <t>NADOGRADNJA LAN MREŽE ZGH</t>
  </si>
  <si>
    <t>32420000-3</t>
  </si>
  <si>
    <t>03.08.2021.</t>
  </si>
  <si>
    <t>24.06.2023.</t>
  </si>
  <si>
    <t>Dodatak ugovora/ugovor-narudžbenice NADOGRADNJA LAN MREŽE ZGH</t>
  </si>
  <si>
    <t>31.10.2022.</t>
  </si>
  <si>
    <t>193 dana</t>
  </si>
  <si>
    <t>23.06.2022.</t>
  </si>
  <si>
    <t>191 dan</t>
  </si>
  <si>
    <t>SISTEMATSKI PREGLED RADNIKA GRADSKE PLINARE ZAGREB d.o.o.</t>
  </si>
  <si>
    <t>85140000-2</t>
  </si>
  <si>
    <t>15.06.2020.</t>
  </si>
  <si>
    <t>16.06.2022.</t>
  </si>
  <si>
    <t>TRESET, SUPSTRATI I KORA DRVETA ZA UZGOJ BILJA; GRUPA 2 KORA DRVETA</t>
  </si>
  <si>
    <t>09112200-9</t>
  </si>
  <si>
    <t>27.07.2020.</t>
  </si>
  <si>
    <t>10220000-1</t>
  </si>
  <si>
    <t>TEHNIČKI PLINOVI</t>
  </si>
  <si>
    <t>24110000-8</t>
  </si>
  <si>
    <t>24.08.2020.</t>
  </si>
  <si>
    <t>24111000-5</t>
  </si>
  <si>
    <t>26.10.2021.</t>
  </si>
  <si>
    <t>02.12.2022.</t>
  </si>
  <si>
    <t>29.08.2022.</t>
  </si>
  <si>
    <t>24.08.2023.</t>
  </si>
  <si>
    <t>25.07.2022.</t>
  </si>
  <si>
    <t>36 dana</t>
  </si>
  <si>
    <t>13.07.2022.</t>
  </si>
  <si>
    <t>28.06.2022.</t>
  </si>
  <si>
    <t>PRIJEVOZ ASFALTNE MASE I OSTALOG RASUTOG MATERIJALA</t>
  </si>
  <si>
    <t>60180000-3</t>
  </si>
  <si>
    <t>25.08.2020.</t>
  </si>
  <si>
    <t>26.08.2022.</t>
  </si>
  <si>
    <t>60122000-9</t>
  </si>
  <si>
    <t>05.11.2021.</t>
  </si>
  <si>
    <t>20.07.2022.</t>
  </si>
  <si>
    <t>DODATNO I DOPUNSKO ZDRAVSTVENO OSIGURANJE</t>
  </si>
  <si>
    <t>66512210-7</t>
  </si>
  <si>
    <t>66331000-9</t>
  </si>
  <si>
    <t>16.09.2021.</t>
  </si>
  <si>
    <t>22.09.2022.</t>
  </si>
  <si>
    <t>29.10.2021.</t>
  </si>
  <si>
    <t>17.01.2022.</t>
  </si>
  <si>
    <t>REZERVNI DIJELOVI I SERVIS ZA VOZILA MARKE MAN - TERETNI PROGRAM</t>
  </si>
  <si>
    <t>34330000-9</t>
  </si>
  <si>
    <t>15.09.2020.</t>
  </si>
  <si>
    <t>20.09.2022.</t>
  </si>
  <si>
    <t>28.02.2023.</t>
  </si>
  <si>
    <t>12.04.2022.</t>
  </si>
  <si>
    <t>17.05.2022.</t>
  </si>
  <si>
    <t>06.05.2022.</t>
  </si>
  <si>
    <t>13.05.2022.</t>
  </si>
  <si>
    <t>11.08.2022.</t>
  </si>
  <si>
    <t>09.09.2022.</t>
  </si>
  <si>
    <t>PRUŽANJE GEODETSKIH USLUGA</t>
  </si>
  <si>
    <t>71355000-1</t>
  </si>
  <si>
    <t>27.08.2020.</t>
  </si>
  <si>
    <t>27.08.2022.</t>
  </si>
  <si>
    <t>74275000-7</t>
  </si>
  <si>
    <t>25.08.2023.</t>
  </si>
  <si>
    <t>14.01.2022.</t>
  </si>
  <si>
    <t>01.10.2022.</t>
  </si>
  <si>
    <t>SERVIS I POPRAVAK VATROGASNIH APARATA; 1. GRUPA Servis i popravak vatrogasnih aparata u Gradu Zagrebu</t>
  </si>
  <si>
    <t>13.10.2020.</t>
  </si>
  <si>
    <t>13.10.2021.</t>
  </si>
  <si>
    <t>14.10.2021.</t>
  </si>
  <si>
    <t>GRADSKA PLINARA ZAGREB D.O.O., ZAGREBAČKI HOLDING D.O.O.</t>
  </si>
  <si>
    <t>SERVIS I POPRAVAK VATROGASNIH APARATA; 1. GRUPA Servis i popravak vatrogasnih aparata u Gradu Zagrebu za period do 30.06.2022.g.</t>
  </si>
  <si>
    <t>Dodatak ugovora/ugovor-narudžbenice SERVIS I POPRAVAK VATROGASNIH APARATA; 1. GRUPA Servis i popravak vatrogasnih aparata u Gradu Zagrebu za period do 30.06.2022.g.</t>
  </si>
  <si>
    <t>06.09.2022.</t>
  </si>
  <si>
    <t>IZGRADNJA I SANACIJA KANALSKIH PRIKLJUČAKA</t>
  </si>
  <si>
    <t>45231300-8</t>
  </si>
  <si>
    <t>06.10.2020.</t>
  </si>
  <si>
    <t>06.10.2021.</t>
  </si>
  <si>
    <t>PREUZIMANJE I DALJNJA OBRADA OTPADA; GRUPA 1. PREUZIMANJE I DALJNJA OBRADA NEOPASNOG OTPADA</t>
  </si>
  <si>
    <t>90510000-5</t>
  </si>
  <si>
    <t>12.10.2020.</t>
  </si>
  <si>
    <t>08.11.2022.</t>
  </si>
  <si>
    <t>PREUZIMANJE I DALJNJA OBRADA OTPADA; GRUPA 1. PREUZIMANJE I DALJNJA OBRADA NEOPASNOG OTPADA za period do 30.04.2022.g. (Zagrebačke ceste)</t>
  </si>
  <si>
    <t>90120000-4</t>
  </si>
  <si>
    <t>PREUZIMANJE I DALJNJA OBRADA OTPADA; GRUPA 1. PREUZIMANJE I DALJNJA OBRADA NEOPASNOG OTPADA za period do 30.06.2022. (ČISTOĆA)</t>
  </si>
  <si>
    <t>PREUZIMANJE I DALJNJA OBRADA OTPADA; GRUPA 1. PREUZIMANJE I DALJNJA OBRADA NEOPASNOG OTPADA za period do 31.12.2022.g. (Podružnica Čistoća)</t>
  </si>
  <si>
    <t>PREUZIMANJE I DALJNJA OBRADA OTPADA; GRUPA 1. PREUZIMANJE I DALJNJA OBRADA NEOPASNOG OTPADA za period do 30.06.2022.g. (ČISTOĆA)</t>
  </si>
  <si>
    <t>PREUZIMANJE I DALJNJA OBRADA OTPADA; GRUPA 1. PREUZIMANJE I DALJNJA OBRADA NEOPASNOG OTPADA za period do 31.03.2023.g (ČISTOĆA)</t>
  </si>
  <si>
    <t>PREUZIMANJE I DALJNJA OBRADA OTPADA; GRUPA 1. PREUZIMANJE I DALJNJA OBRADA NEOPASNOG OTPADA za period do 30.06.2023. godine (ZAGREBAČKI HOLDING D.O.O.)</t>
  </si>
  <si>
    <t>05.09.2022.</t>
  </si>
  <si>
    <t>PREUZIMANJE I DALJNJA OBRADA OTPADA; GRUPA 2. PREUZIMANJE I DALJNJA OBRADA OPASNOG OTPADA</t>
  </si>
  <si>
    <t>PREUZIMANJE I DALJNJA OBRADA OTPADA; GRUPA 2. PREUZIMANJE I DALJNJA OBRADA OPASNOG OTPADA za period do 30.04.2022.g. (Zagrebačke ceste)</t>
  </si>
  <si>
    <t>PREUZIMANJE I DALJNJA OBRADA OTPADA; GRUPA 2. PREUZIMANJE I DALJNJA OBRADA OPASNOG OTPADA za period do DO 30.06.2022.</t>
  </si>
  <si>
    <t>PREUZIMANJE I DALJNJA OBRADA OTPADA; GRUPA 2. PREUZIMANJE I DALJNJA OBRADA OPASNOG OTPADA za period do 31.12.2022.god (Podružnica Čistoća)</t>
  </si>
  <si>
    <t>PREUZIMANJE I DALJNJA OBRADA OTPADA; GRUPA 2. PREUZIMANJE I DALJNJA OBRADA OPASNOG OTPADA za period do 30.04.2023. godine (ZGH d.o.o.)</t>
  </si>
  <si>
    <t>30.04.2023.</t>
  </si>
  <si>
    <t>PREUZIMANJE I DALJNJA OBRADA OTPADA; GRUPA 2. PREUZIMANJE I DALJNJA OBRADA OPASNOG OTPADA za period do 31.03.2023.g (ČISTOĆA)</t>
  </si>
  <si>
    <t>04.08.2022.</t>
  </si>
  <si>
    <t>09.11.2022.</t>
  </si>
  <si>
    <t>USLUGE PRIVATNE ZAŠTITE; GRUPA 2 USLUGA TJELESNE ZAŠTITE OSOBA I IMOVINE – ZAGREBAČKI HOLDING I OVISNA DRUŠTVA</t>
  </si>
  <si>
    <t>79713000-5</t>
  </si>
  <si>
    <t>Društvene i druge posebne usluge</t>
  </si>
  <si>
    <t>09.10.2020.</t>
  </si>
  <si>
    <t>09.10.2022.</t>
  </si>
  <si>
    <t>10.10.2022.</t>
  </si>
  <si>
    <t>GRADSKA PLINARA ZAGREB D.O.O., GRADSKO STAMBENO KOMUNALNO GOSPODARSTVO D.O.O., VODOOPSKRBA I ODVODNJA D.O.O., ZAGREBAČKI HOLDING D.O.O.</t>
  </si>
  <si>
    <t>USLUGE PRIVATNE ZAŠTITE; GRUPA 2 USLUGA TJELESNE ZAŠTITE OSOBA I IMOVINE – ZAGREBAČKI HOLDING I OVISNA DRUŠTVA za period do 30.04.2022.g.</t>
  </si>
  <si>
    <t>74613000-9</t>
  </si>
  <si>
    <t>09.06.2021.</t>
  </si>
  <si>
    <t>Dodatak ugovora/ugovor-narudžbenice USLUGE PRIVATNE ZAŠTITE; GRUPA 2 USLUGA TJELESNE ZAŠTITE OSOBA I IMOVINE – ZAGREBAČKI HOLDING I OVISNA DRUŠTVA za period do 30.04.2022.g.</t>
  </si>
  <si>
    <t>USLUGE PRIVATNE ZAŠTITE; GRUPA 2 USLUGA TJELESNE ZAŠTITE OSOBA I IMOVINE – ZAGREBAČKI HOLDING I OVISNA DRUŠTVA za period do 30.04.2022.g (GSKG D.O.O.)</t>
  </si>
  <si>
    <t>USLUGE PRIVATNE ZAŠTITE; GRUPA 2 USLUGA TJELESNE ZAŠTITE OSOBA I IMOVINE – ZAGREBAČKI HOLDING I OVISNA DRUŠTVA za period do 31.01.2022. (VODOOPSKRBA I ODVODNJA)</t>
  </si>
  <si>
    <t>09.02.2022.</t>
  </si>
  <si>
    <t>USLUGE PRIVATNE ZAŠTITE; GRUPA 2 USLUGA TJELESNE ZAŠTITE OSOBA I IMOVINE – ZAGREBAČKI HOLDING I OVISNA DRUŠTVA za period do 30.6.2022. godine (VIO d.o.o.)</t>
  </si>
  <si>
    <t>USLUGE PRIVATNE ZAŠTITE; GRUPA 2 USLUGA TJELESNE ZAŠTITE OSOBA I IMOVINE – ZAGREBAČKI HOLDING I OVISNA DRUŠTVA za period do 30.04.2022. - Zagrebparking</t>
  </si>
  <si>
    <t>USLUGE PRIVATNE ZAŠTITE; GRUPA 2 USLUGA TJELESNE ZAŠTITE OSOBA I IMOVINE – ZAGREBAČKI HOLDING I OVISNA DRUŠTVA za razdoblje do 31.08.2022 (GSKG D.O.O.)</t>
  </si>
  <si>
    <t>USLUGE PRIVATNE ZAŠTITE; GRUPA 2 USLUGA TJELESNE ZAŠTITE OSOBA I IMOVINE – ZAGREBAČKI HOLDING I OVISNA DRUŠTVA za period do 31.12.2022.g. (Zagrebački holding d.o.o.)</t>
  </si>
  <si>
    <t>USLUGE PRIVATNE ZAŠTITE; GRUPA 2 USLUGA TJELESNE ZAŠTITE OSOBA I IMOVINE – ZAGREBAČKI HOLDING I OVISNA DRUŠTVA za period do 31.12.2022. (VODOOPSKRBA I ODVODNJA D.O.O.)</t>
  </si>
  <si>
    <t>USLUGE PRIVATNE ZAŠTITE; GRUPA 2 USLUGA TJELESNE ZAŠTITE OSOBA I IMOVINE – ZAGREBAČKI HOLDING I OVISNA DRUŠTVA za period do 31.12.2022. (GSKG D.O.O.)</t>
  </si>
  <si>
    <t>62 dana</t>
  </si>
  <si>
    <t>REZERVNI DIJELOVI I SERVIS ZA VOZILA MARKE MERCEDES - TERETNI PROGRAM; GRUPA 1 REZERVNI DIJELOVI I SERVIS ZA VOZILA MARKE MERCEDES - TERETNI PROGRAM</t>
  </si>
  <si>
    <t>16.10.2020.</t>
  </si>
  <si>
    <t>REZERVNI DIJELOVI I SERVIS ZA VOZILA MARKE MERCEDES - TERETNI PROGRAM; GRUPA 1 REZERVNI DIJELOVI I SERVIS ZA VOZILA MARKE MERCEDES - TERETNI PROGRAM za razdoblje do 31.03.2022.g. (Zagrebačke ceste))</t>
  </si>
  <si>
    <t>REZERVNI DIJELOVI I SERVIS ZA VOZILA MARKE MERCEDES - TERETNI PROGRAM; GRUPA 1 REZERVNI DIJELOVI I SERVIS ZA VOZILA MARKE MERCEDES - TERETNI PROGRAM za razdoblje do 30.06.2022.godine (Čistoća)</t>
  </si>
  <si>
    <t>REZERVNI DIJELOVI I SERVIS ZA VOZILA MARKE MERCEDES - TERETNI PROGRAM; GRUPA 1 REZERVNI DIJELOVI I SERVIS ZA VOZILA MARKE MERCEDES - TERETNI PROGRAM za period do 30.09.2022.godine (ČISTOĆA)</t>
  </si>
  <si>
    <t>REZERVNI DIJELOVI I SERVIS ZA VOZILA MARKE MERCEDES - TERETNI PROGRAM; GRUPA 1 REZERVNI DIJELOVI I SERVIS ZA VOZILA MARKE MERCEDES - TERETNI PROGRAM za razdoblje do 31.12.2022 - ZRINJEVAC</t>
  </si>
  <si>
    <t>REZERVNI DIJELOVI I SERVIS ZA VOZILA MARKE MERCEDES - TERETNI PROGRAM; GRUPA 1 REZERVNI DIJELOVI I SERVIS ZA VOZILA MARKE MERCEDES - TERETNI PROGRAM za razdoblje do 31.03.2023. (ZRINJEVAC)</t>
  </si>
  <si>
    <t>137 dana</t>
  </si>
  <si>
    <t>04.07.2022.</t>
  </si>
  <si>
    <t>REZERVNI DIJELOVI I SERVIS ZA VOZILA MARKE MERCEDES - TERETNI PROGRAM; GRUPA 2 REZERVNI DIJELOVI I SERVIS SPECIJALNIH VOZILA MARKE MERCEDES - BENZ UNIMOG</t>
  </si>
  <si>
    <t>REZERVNI DIJELOVI I SERVIS ZA VOZILA MARKE MERCEDES - TERETNI PROGRAM; GRUPA 2 REZERVNI DIJELOVI I SERVIS SPECIJALNIH VOZILA MARKE MERCEDES - BENZ UNIMOG za razdoblje do 31.03.2022.g. (Zagrebačke ceste)</t>
  </si>
  <si>
    <t>REZERVNI DIJELOVI I SERVIS ZA VOZILA MARKE MERCEDES - TERETNI PROGRAM; GRUPA 2 REZERVNI DIJELOVI I SERVIS SPECIJALNIH VOZILA MARKE MERCEDES - BENZ UNIMOG za razdoblje do 30.06.2023.</t>
  </si>
  <si>
    <t>METLE BREZOVE</t>
  </si>
  <si>
    <t>39224100-9</t>
  </si>
  <si>
    <t>20.10.2020.</t>
  </si>
  <si>
    <t>36673000-9</t>
  </si>
  <si>
    <t>OPSKRBA ELEKTRIČNOM ENERGIJOM</t>
  </si>
  <si>
    <t>09310000-5</t>
  </si>
  <si>
    <t>AGM D.O.O., GRADSKA PLINARA ZAGREB D.O.O., GRADSKO STAMBENO KOMUNALNO GOSPODARSTVO D.O.O., VODOOPSKRBA I ODVODNJA D.O.O., ZAGREBAČKI HOLDING D.O.O.</t>
  </si>
  <si>
    <t>40100000-3</t>
  </si>
  <si>
    <t>REDOVNO I IZVANREDNO ODRŽAVANJE SUSTAVA ZA DETEKCIJU LEDA NA PROMETNICAMA</t>
  </si>
  <si>
    <t>50413000-3</t>
  </si>
  <si>
    <t>03.11.2020.</t>
  </si>
  <si>
    <t>29.11.2022.</t>
  </si>
  <si>
    <t>PREUZIMANJE I DALJNJA OBRADA OTPADA KB 15 01 02 (PLASTIČNA AMBALAŽA) POSTUPCIMA OPORABE R1-R12</t>
  </si>
  <si>
    <t>NAFTNI DERIVATI; GRUPA 1 BENZINSKO I DIZEL GORIVO - isporuka na pumpnim stanicama ponuditelja</t>
  </si>
  <si>
    <t>09130000-9</t>
  </si>
  <si>
    <t>02.11.2020.</t>
  </si>
  <si>
    <t>AGM D.O.O., GRADSKA PLINARA ZAGREB D.O.O., GRADSKA PLINARA ZAGREB OPSKRBA D.O.O., GRADSKO STAMBENO KOMUNALNO GOSPODARSTVO D.O.O., VODOOPSKRBA I ODVODNJA D.O.O., ZAGREBAČKA STANOGRADNJA D.O.O., ZAGREBAČKI HOLDING D.O.O.</t>
  </si>
  <si>
    <t>NAFTNI DERIVATI; GRUPA 1 BENZINSKO I DIZEL GORIVO - isporuka na pumpnim stanicama ponuditelja (GPZ D.O.O.)</t>
  </si>
  <si>
    <t>23111000-8</t>
  </si>
  <si>
    <t>Zbog dodatnih potreba Naručitelja.</t>
  </si>
  <si>
    <t>NAFTNI DERIVATI; GRUPA 1 BENZINSKO I DIZEL GORIVO - isporuka na pumpnim stanicama ponuditelja za period do 31.05.2022 (GPZ-Opskrba d.o.o.)</t>
  </si>
  <si>
    <t>NAFTNI DERIVATI; GRUPA 1 BENZINSKO I DIZEL GORIVO - isporuka na pumpnim stanicama ponuditelja za period do 31.10.2022.godine (VIO D.O.O.)</t>
  </si>
  <si>
    <t>NAFTNI DERIVATI; GRUPA 1 BENZINSKO I DIZEL GORIVO - isporuka na pumpnim stanicama ponuditelja za period do 31.12.2022.g. (ZAGREBAČKI HOLDING D.O.O.)</t>
  </si>
  <si>
    <t>NAFTNI DERIVATI; GRUPA 1 BENZINSKO I DIZEL GORIVO - isporuka na pumpnim stanicama ponuditelja za period do 30.04.2023.g. (GRADSKA PLINARA ZAGREB D.O.O.)</t>
  </si>
  <si>
    <t>NAFTNI DERIVATI; GRUPA 1 BENZINSKO I DIZEL GORIVO - isporuka na pumpnim stanicama ponuditelja za period do 31.12.2022 (AKZ)</t>
  </si>
  <si>
    <t>NAFTNI DERIVATI; GRUPA 1 BENZINSKO I DIZEL GORIVO - isporuka na pumpnim stanicama ponuditelja za period do 31.03.2023. (VIO D.O.O.)</t>
  </si>
  <si>
    <t>NAFTNI DERIVATI; GRUPA 1 BENZINSKO I DIZEL GORIVO - isporuka na pumpnim stanicama ponuditelja za period do 30.09.2023. god. (GPZO d.o.o.)</t>
  </si>
  <si>
    <t>12.09.2022.</t>
  </si>
  <si>
    <t>30.09.2023.</t>
  </si>
  <si>
    <t>NAFTNI DERIVATI; GRUPA 2 BENZINSKO I DIZEL GORIVO - isporuka na lokacije naručitelja</t>
  </si>
  <si>
    <t>NAFTNI DERIVATI; GRUPA 2 BENZINSKO I DIZEL GORIVO - isporuka na lokacije naručitelja za period do 30.06.2022</t>
  </si>
  <si>
    <t>25.11.2021.</t>
  </si>
  <si>
    <t>NAFTNI DERIVATI; GRUPA 2 BENZINSKO I DIZEL GORIVO - isporuka na lokacije naručitelja za period do 31.12.2022. (Zagrebački holding d.o.o.)</t>
  </si>
  <si>
    <t>Dodatak ugovora/ugovor-narudžbenice NAFTNI DERIVATI; GRUPA 2 BENZINSKO I DIZEL GORIVO - isporuka na lokacije naručitelja za period do 31.12.2022. (Zagrebački holding d.o.o.)</t>
  </si>
  <si>
    <t>28.10.2022.</t>
  </si>
  <si>
    <t>NAFTNI DERIVATI; GRUPA 2 BENZINSKO I DIZEL GORIVO - isporuka na lokacije naručitelja za period do 31.12.2022 (ZAGREBAČKI HOLDING D.O.O.)</t>
  </si>
  <si>
    <t>NAFTNI DERIVATI; GRUPA 3 LOŽIVO ULJE EXTRA LAKO</t>
  </si>
  <si>
    <t>NAFTNI DERIVATI; GRUPA 3 LOŽIVO ULJE EXTRA LAKO za period do 30.9.2022.g. (V. Nazor)</t>
  </si>
  <si>
    <t>07.10.2021.</t>
  </si>
  <si>
    <t>NAFTNI DERIVATI; GRUPA 3 LOŽIVO ULJE EXTRA LAKO za period do 30.06.2022.g.</t>
  </si>
  <si>
    <t>ODORANT ZA PRIRODNI PLIN TETRAHIDROTIOFEN (THT)</t>
  </si>
  <si>
    <t>24957000-7</t>
  </si>
  <si>
    <t>Pregovarački postupak javne nabave bez prethodne objave</t>
  </si>
  <si>
    <t>ISPITIVANJE VODE ZA PIĆE, VODE BAZENA I POVRŠINSKE VODE</t>
  </si>
  <si>
    <t>13.11.2020.</t>
  </si>
  <si>
    <t>13.11.2022.</t>
  </si>
  <si>
    <t>01.10.2021.</t>
  </si>
  <si>
    <t>POŠTANSKE USLUGE; GRUPA 1 Poštanske usluge - pisma</t>
  </si>
  <si>
    <t>60160000-7</t>
  </si>
  <si>
    <t>31.07.2020.</t>
  </si>
  <si>
    <t>POŠTANSKE USLUGE; GRUPA 1 Poštanske usluge - pisma za razdoblje do 28.02.2022. godine (GSKG d.o.o.)</t>
  </si>
  <si>
    <t>64110000-0</t>
  </si>
  <si>
    <t>17.02.2021.</t>
  </si>
  <si>
    <t>POŠTANSKE USLUGE; GRUPA 1 Poštanske usluge - pisma na period do 30.04.2022. - ViO d.o.o.</t>
  </si>
  <si>
    <t>14.05.2021.</t>
  </si>
  <si>
    <t>POŠTANSKE USLUGE; GRUPA 1 Poštanske usluge - pisma za period do 30.04.2022. (AGM d.o.o.)</t>
  </si>
  <si>
    <t>19.05.2021.</t>
  </si>
  <si>
    <t>AGM D.O.O.</t>
  </si>
  <si>
    <t>POŠTANSKE USLUGE; GRUPA 1 Poštanske usluge - pisma za period do 31.05.2022.g. (GRADSKA PLINARA D.O.O.)</t>
  </si>
  <si>
    <t>POŠTANSKE USLUGE; GRUPA 1 Poštanske usluge - pisma za period  do 31.03.2022.g. (GRADSKA PLINARA ZAGREB - OPSKRBA D.O.O.)</t>
  </si>
  <si>
    <t>22.10.2021.</t>
  </si>
  <si>
    <t>POŠTANSKE USLUGE; GRUPA 1 Poštanske usluge - pisma za period do 30.06.2022.godine</t>
  </si>
  <si>
    <t>02.11.2021.</t>
  </si>
  <si>
    <t>POŠTANSKE USLUGE; GRUPA 1 Poštanske usluge - pisma za razdoblje do 28.02.2023. (GSKG d.o.o.)</t>
  </si>
  <si>
    <t>POŠTANSKE USLUGE; GRUPA 1 Poštanske usluge - pisma za period do 30.04.2023.g. (ViO D.O.O.)</t>
  </si>
  <si>
    <t>POŠTANSKE USLUGE; GRUPA 1 Poštanske usluge - pisma  za period do 31.10.2022. godine (GRADSKA PLINARA ZAGREB OPSKRBA D.O.O.)</t>
  </si>
  <si>
    <t>NAJAM OSOBNIH VOZILA</t>
  </si>
  <si>
    <t>34110000-1</t>
  </si>
  <si>
    <t>20.11.2020.</t>
  </si>
  <si>
    <t>24.11.2021.</t>
  </si>
  <si>
    <t>AGM D.O.O., GRADSKA PLINARA ZAGREB D.O.O., GRADSKA PLINARA ZAGREB OPSKRBA D.O.O., GRADSKO STAMBENO KOMUNALNO GOSPODARSTVO D.O.O., ZAGREBAČKA STANOGRADNJA D.O.O., ZAGREBAČKI HOLDING D.O.O.</t>
  </si>
  <si>
    <t>23.03.2021.</t>
  </si>
  <si>
    <t>18.05.2021.</t>
  </si>
  <si>
    <t>Dodatak ugovora/ugovor-narudžbenice NAJAM OSOBNIH VOZILA</t>
  </si>
  <si>
    <t>29.01.2022.</t>
  </si>
  <si>
    <t>14.07.2022.</t>
  </si>
  <si>
    <t>03.04.2022.</t>
  </si>
  <si>
    <t>20.03.2022.</t>
  </si>
  <si>
    <t>03.12.2021.</t>
  </si>
  <si>
    <t>POŠTANSKE USLUGE; GRUPA 2 Poštanske usluge - paketi</t>
  </si>
  <si>
    <t>POŠTANSKE USLUGE; GRUPA 2 Poštanske usluge - paketi za period do 30.04.2022 - ViO d.o.o.</t>
  </si>
  <si>
    <t>13.05.2021.</t>
  </si>
  <si>
    <t>POŠTANSKE USLUGE; GRUPA 2 Poštanske usluge - paketi za period do 30.04.2022. (AGM d.o.o.)</t>
  </si>
  <si>
    <t>POŠTANSKE USLUGE; GRUPA 3 Ostale poštanske usluge</t>
  </si>
  <si>
    <t>POŠTANSKE USLUGE; GRUPA 3. Ostale poštanske usluge za period do 31.03.2022. god. - GPZ O d.o.o.</t>
  </si>
  <si>
    <t>POŠTANSKE USLUGE; GRUPA 3 Ostale poštanske usluge za period do 30.06.2023.g. (GPZ OPSKRBA D.O.O.)</t>
  </si>
  <si>
    <t>ALUMINIJSKE PLOČE ZA PROMETNE ZNAKOVE; 1. GRUPA ALUMINIJSKE PLOČE ZA PROMETNE ZNAKOVE</t>
  </si>
  <si>
    <t>34928000-8</t>
  </si>
  <si>
    <t>04.11.2020.</t>
  </si>
  <si>
    <t>05.11.2022.</t>
  </si>
  <si>
    <t>27521000-3</t>
  </si>
  <si>
    <t>BETON - ZEMLJOVLAŽNI; GRUPA 2 BETON – ZEMLJOVLAŽNI – ISPORUKA ZAPADNI DIO GRADA ZAGREBA (PODRUČJE GRADSKIH ČETVRTI: DONJI GRAD, GORNJI GRAD – MEDVEŠČAK, PODSLJEME, ,TREŠNJEVKA SJEVER, STENJEVEC, ČRNOMEREC I PODSUSED – VRAPČE)</t>
  </si>
  <si>
    <t>BETON - ZEMLJOVLAŽNI; GRUPA 2 BETON – ZEMLJOVLAŽNI – ISPORUKA ZAPADNI DIO GRADA ZAGREBA (PODRUČJE GRADSKIH ČETVRTI: DONJI GRAD, GORNJI GRAD – MEDVEŠČAK, PODSLJEME, ,TREŠNJEVKA SJEVER, STENJEVEC, ČRNOMEREC I PODSUSED – VRAPČE) za period do 31.03.2022. (Zagrebačke ceste)</t>
  </si>
  <si>
    <t>BETON - ZEMLJOVLAŽNI; GRUPA 2 BETON – ZEMLJOVLAŽNI – ISPORUKA ZAPADNI DIO GRADA ZAGREBA (PODRUČJE GRADSKIH ČETVRTI: DONJI GRAD, GORNJI GRAD – MEDVEŠČAK, PODSLJEME, ,TREŠNJEVKA SJEVER, STENJEVEC, ČRNOMEREC I PODSUSED – VRAPČE) za period do 31.08.2022.g. (Zagrebačke ceste)</t>
  </si>
  <si>
    <t>01.01.2022.</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</si>
  <si>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</si>
  <si>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razdoblje do 31.05.2022. godine (Zagrebačke ceste)</t>
  </si>
  <si>
    <t>BETON - ZEMLJOVLAŽNI; GRUPA 3 BETON – ZEMLJOVLAŽNI – ISPORUKA JUŽNI DIO GRADA ZAGREBA (PODRUČJE GRADSKIH ČETVRTI: NOVI ZAGREB ISTOK, NOVI ZAGREB ZAPAD, TRNJE, TREŠNJEVKA JUG I BREZOVICA) za period do 31.07.2022. godine (Zagrebačke ceste)</t>
  </si>
  <si>
    <t>ODRŽAVANJE - SERVIS BLOK STANICA</t>
  </si>
  <si>
    <t>50512000-7</t>
  </si>
  <si>
    <t>17.11.2020.</t>
  </si>
  <si>
    <t>17.11.2022.</t>
  </si>
  <si>
    <t>18.11.2022.</t>
  </si>
  <si>
    <t>POPRAVAK I ODRŽAVANJE SHIMADZU INSTRUMENATA</t>
  </si>
  <si>
    <t>50412000-6</t>
  </si>
  <si>
    <t>23.11.2020.</t>
  </si>
  <si>
    <t>03.12.2022.</t>
  </si>
  <si>
    <t>BOJE I RAZRJEĐIVAČI ZA IZRADU TANKOSLOJNE HORIZONTALNE SIGNALIZACIJE</t>
  </si>
  <si>
    <t>06.11.2020.</t>
  </si>
  <si>
    <t>23.12.2022.</t>
  </si>
  <si>
    <t>INTERVENTNI RADOVI NA SANACIJI KANALSKOG SUSTAVA GRADA ZAGREBA</t>
  </si>
  <si>
    <t>45232400-6</t>
  </si>
  <si>
    <t>04.12.2022.</t>
  </si>
  <si>
    <t>45232000-2</t>
  </si>
  <si>
    <t>07.06.2022.</t>
  </si>
  <si>
    <t>45 dana</t>
  </si>
  <si>
    <t>REZERVNI DIJELOVI I SERVIS VOZILA MARKE IVECO</t>
  </si>
  <si>
    <t>02.12.2020.</t>
  </si>
  <si>
    <t>34360000-8</t>
  </si>
  <si>
    <t>29.03.2022.</t>
  </si>
  <si>
    <t>24.01.2022.</t>
  </si>
  <si>
    <t>28.04.2022.</t>
  </si>
  <si>
    <t>140 dana</t>
  </si>
  <si>
    <t>02.09.2022.</t>
  </si>
  <si>
    <t>13.10.2022.</t>
  </si>
  <si>
    <t>12.12.2022.</t>
  </si>
  <si>
    <t>SANACIJA I REKONSTRUKCIJA ZASUNSKIH KOMORA PREMA PROGRAMU SMANJENJA GUBITAKA NA VODOOPSKRBNOM SUSTAVU GRADA ZAGREBA - AKTIVNA KONTROLA GUBITAKA I SANACIJA LOKACIJA CURENJA</t>
  </si>
  <si>
    <t>45232150-8</t>
  </si>
  <si>
    <t>16.11.2020.</t>
  </si>
  <si>
    <t>08.04.2021.</t>
  </si>
  <si>
    <t>Dodatak ugovora/ugovor-narudžbenice SANACIJA I REKONSTRUKCIJA ZASUNSKIH KOMORA PREMA PROGRAMU SMANJENJA GUBITAKA NA VODOOPSKRBNOM SUSTAVU GRADA ZAGREBA - AKTIVNA KONTROLA GUBITAKA I SANACIJA LOKACIJA CURENJA</t>
  </si>
  <si>
    <t>14.07.2021.</t>
  </si>
  <si>
    <t>UREDSKI MATERIJAL; GRUPA 1 Papir za ispis i kopiranje te ostala papirna konfekcija</t>
  </si>
  <si>
    <t>30190000-7</t>
  </si>
  <si>
    <t>18.12.2022.</t>
  </si>
  <si>
    <t>UREDSKI MATERIJAL</t>
  </si>
  <si>
    <t>08.02.2021.</t>
  </si>
  <si>
    <t>08.02.2022.</t>
  </si>
  <si>
    <t>UREDSKI MATERIJAL; GRUPA 1 Papir za ispis i kopiranje te ostala papirna konfekcija za period do 30.09.2022. - GPZ Opskrba d.o.o.</t>
  </si>
  <si>
    <t>UREDSKI MATERIJAL; GRUPA 2 Ostali uredski materijal</t>
  </si>
  <si>
    <t>UREDSKI MATERIJAL; GRUPA 2 Ostali uredski materijal za period do 30.09.2022. - GPZ-O d.o.o.</t>
  </si>
  <si>
    <t>03.02.2022.</t>
  </si>
  <si>
    <t>23.02.2022.</t>
  </si>
  <si>
    <t>Dodatak ugovora/ugovor-narudžbenice UREDSKI MATERIJAL</t>
  </si>
  <si>
    <t>USLUGA POZIVNOG CENTRA</t>
  </si>
  <si>
    <t>79510000-2</t>
  </si>
  <si>
    <t>74831000-3</t>
  </si>
  <si>
    <t>ODRŽAVANJE, POPRAVAK I REZERVNI DIJELOVI GPS SUSTAVA ZA PRAĆENJE VOZILA, SUSTAVA ZA PREGLED STANJA NA CESTAMA I SUSTAVA DOJAVE MOBILNIM UREĐAJIMA</t>
  </si>
  <si>
    <t>07.12.2020.</t>
  </si>
  <si>
    <t>08.12.2022.</t>
  </si>
  <si>
    <t>31 dan</t>
  </si>
  <si>
    <t>POPRAVAK I ODRŽAVANJE CRPKI; GRUPA 2. POPRAVAK I ODRŽAVANJE CIRKULACIJSKIH CRPKI</t>
  </si>
  <si>
    <t>50511000-0</t>
  </si>
  <si>
    <t>17.12.2022.</t>
  </si>
  <si>
    <t>POPRAVAK I ODRŽAVANJE CRPKI; GRUPA 2. POPRAVAK I ODRŽAVANJE CIRKULACIJSKIH CRPKI za period do 31.08.2023.g.</t>
  </si>
  <si>
    <t>31.08.2023.</t>
  </si>
  <si>
    <t>Dodatak ugovora/ugovor-narudžbenice POPRAVAK I ODRŽAVANJE CRPKI</t>
  </si>
  <si>
    <t>12.08.2022.</t>
  </si>
  <si>
    <t>4 dana</t>
  </si>
  <si>
    <t>11.10.2022.</t>
  </si>
  <si>
    <t>IZGRADNJA I SANACIJA VODOOPSKRBNIH PRIKLJUČAKA</t>
  </si>
  <si>
    <t>16.11.2022.</t>
  </si>
  <si>
    <t>Dodatak ugovora/ugovor-narudžbenice IZGRADNJA I SANACIJA VODOOPSKRBNIH PRIKLJUČAKA</t>
  </si>
  <si>
    <t>ODRŽAVANJE I NADOGRADNJA POSTOJEĆIH APLIKATIVNIH MODULA PisRTZ</t>
  </si>
  <si>
    <t>15.12.2020.</t>
  </si>
  <si>
    <t>MESO I MESNI PROIZVODI; GRUPA 1 SVJEŽE MESO SVINJETINA, JUNETINA, JANJETINA, TELETINA, DIVLJAČ</t>
  </si>
  <si>
    <t>15100000-9</t>
  </si>
  <si>
    <t>21.12.2020.</t>
  </si>
  <si>
    <t>MESO I MESNI PROIZVODI; GRUPA 1 SVJEŽE MESO SVINJETINA, JUNETINA, JANJETINA, TELETINA, DIVLJAČ za period do 31.03.2022.</t>
  </si>
  <si>
    <t>28.10.2021.</t>
  </si>
  <si>
    <t>Odstupanje radi isporuke zamjenskog artikla.; Odstupanje zbog obračuna povratne ambalaže koji se naknadno usklađuje.</t>
  </si>
  <si>
    <t>MESO I MESNI PROIZVODI; GRUPA 2 MESNI PROIZVODI OD MESA SVINJETINE, JUNETINE, JANJETINE, TELETINE I DIVLJAČI</t>
  </si>
  <si>
    <t>MESO I MESNI PROIZVODI; GRUPA 2 MESNI PROIZVODI OD MESA SVINJETINE, JUNETINE, JANJETINE, TELETINE I DIVLJAČI za period do 15.09.2022. godine (Podružnica Valdimir Nazor)</t>
  </si>
  <si>
    <t>06.09.2021.</t>
  </si>
  <si>
    <t>Odstupanje pri vaganju količine.; Odstupanje radi isporuke zamjenskog artikla.; Odstupanje zbog obračuna povratne ambalaže koji se naknadno usklađuje.</t>
  </si>
  <si>
    <t>MESO I MESNI PROIZVODI; GRUPA 3 MESNI PROIZVODI OD PUREĆEG I PILEĆEG MESA</t>
  </si>
  <si>
    <t>MESO I MESNI PROIZVODI; GRUPA 4 SVJEŽE MESO PILETINA I PURETINA</t>
  </si>
  <si>
    <t>15.02.2023.</t>
  </si>
  <si>
    <t>MESO I MESNI PROIZVODI; GRUPA 4 SVJEŽE MESO PILETINA I PURETINA za period do 30.04.2022.</t>
  </si>
  <si>
    <t>Odstupanje pri vaganju količine.</t>
  </si>
  <si>
    <t>MESO I MESNI PROIZVODI; GRUPA 5 SVJEŽE MESO I MESNI PROIZVODI OD MESA SVINJETINE S ISPORUKOM NA LOKACIJU VELI LOŠINJ</t>
  </si>
  <si>
    <t>MESO I MESNI PROIZVODI; GRUPA 5 SVJEŽE MESO I MESNI PROIZVODI OD MESA SVINJETINE S ISPORUKOM NA LOKACIJU VELI LOŠINJ za period do 31.05.2022. (Podružnica V. Nazor)</t>
  </si>
  <si>
    <t>Odstupanje pri vaganju količine.; Odstupanje radi isporuke zamjenskog artikla.</t>
  </si>
  <si>
    <t>ESO I MESNI PROIZVODI; GRUPA 5 SVJEŽE MESO I MESNI PROIZVODI OD MESA SVINJETINE S ISPORUKOM NA LOKACIJU VELI LOŠINJ za period do 31.08.2022.</t>
  </si>
  <si>
    <t>07.09.2021.</t>
  </si>
  <si>
    <t>ODRŽAVANJE, POPRAVAK I PRIPREMA MJERILA MASE ZA OVJERAVANJE; GRUPA 1 ODRŽAVANJE, POPRAVAK I PRIPREMA MJERILA MASE ZA OVJERAVANJE RAZLIČITIH PROIZVOĐAČA</t>
  </si>
  <si>
    <t>50433000-9</t>
  </si>
  <si>
    <t>29.12.2020.</t>
  </si>
  <si>
    <t>05.01.2023.</t>
  </si>
  <si>
    <t>60 dana</t>
  </si>
  <si>
    <t>8 dana</t>
  </si>
  <si>
    <t>POPRAVAK I REZERVNI DIJELOVI HIDRAULIKE - SKLOPOVI SPECIJALNIH VOZILA</t>
  </si>
  <si>
    <t>07.01.2023.</t>
  </si>
  <si>
    <t>24.11.2022.</t>
  </si>
  <si>
    <t>ODRŽAVANJE APLIKATIVNOG SUSTAVA SEKOM</t>
  </si>
  <si>
    <t>04.01.2023.</t>
  </si>
  <si>
    <t>90 dana</t>
  </si>
  <si>
    <t>151 dan</t>
  </si>
  <si>
    <t>120 dana</t>
  </si>
  <si>
    <t>ALUMINIJSKI STUPIĆI ZA SPRJEČAVANJE PROLAZA VOZILA</t>
  </si>
  <si>
    <t>34928450-7</t>
  </si>
  <si>
    <t>09.12.2020.</t>
  </si>
  <si>
    <t>10.12.2022.</t>
  </si>
  <si>
    <t>27520000-6</t>
  </si>
  <si>
    <t>RUČNI NEELEKTRIČNI ALATI</t>
  </si>
  <si>
    <t>44512000-2</t>
  </si>
  <si>
    <t>16.12.2020.</t>
  </si>
  <si>
    <t>11.01.2023.</t>
  </si>
  <si>
    <t>28622000-8</t>
  </si>
  <si>
    <t>ODRŽAVANJE I PROŠIRENA PODRŠKA ZA INFORMACIJSKI SUSTAV PROIZVOĐAČA KOR</t>
  </si>
  <si>
    <t>ODRŽAVANJE I POPRAVAK MJERNIH INSTRUMENATA PROIZVOĐAČA ENDRESS+HAUSER</t>
  </si>
  <si>
    <t>50411000-9</t>
  </si>
  <si>
    <t>04.01.2021.</t>
  </si>
  <si>
    <t>ČIŠĆENJE KANALA, PROPUSTA I SLIVNIKA KOJI NISU SPOJENI NA SUSTAV JAVNE ODVODNJE NA PODRUČJU GRADA ZAGREBA; 2. GRUPA ČIŠĆENJE KANALA, PROPUSTA I SLIVNIKA KOJI NISU SPOJENI NA SUSTAV JAVNE ODVODNJE NA PODRUČJU GRADA ZAGREBA NA GRADSKIM ČETVRTIMA: DONJA DUBRAVA, SESVETE, PEŠĆENICA-ŽITNJAK, MAKSIMIR, GORNJA DUBRAVA I PODSLJEME U RAZDOBLJU OD 2021. DO 2023. GODINE</t>
  </si>
  <si>
    <t>REZERVNI DIJELOVI I POPRAVAK NADOGRADNJI SPECIJALNIH KOMUNALNIH VOZILA MARKE FAUN, FARID I SMEKON; GRUPA 1 - REZERVNI DIJELOVI I POPRAVAK NADOGRADNJI SPECIJALNIH KOMUNALNIH VOZILA MARKE FAUN</t>
  </si>
  <si>
    <t>08.12.2020.</t>
  </si>
  <si>
    <t>REZERVNI DIJELOVI I POPRAVAK NADOGRADNJI SPECIJALNIH KOMUNALNIH VOZILA MARKE FAUN, FARID I SMEKON; GRUPA 1 - REZERVNI DIJELOVI I POPRAVAK NADOGRADNJI SPECIJALNIH KOMUNALNIH VOZILA MARKE FAUN za period do 30.06.2022.godine. (ČISTOĆA)</t>
  </si>
  <si>
    <t>REZERVNI DIJELOVI I POPRAVAK NADOGRADNJI SPECIJALNIH KOMUNALNIH VOZILA MARKE FAUN, FARID I SMEKON za period do 31.10.2022.godine</t>
  </si>
  <si>
    <t>REZERVNI DIJELOVI I POPRAVAK NADOGRADNJI SPECIJALNIH KOMUNALNIH VOZILA MARKE FAUN, FARID I SMEKON; GRUPA 2 - REZERVNI DIJELOVI I POPRAVAK NADOGRADNJI SPECIJALNIH KOMUNALNIH VOZILA MARKE FARID</t>
  </si>
  <si>
    <t>REZERVNI DIJELOVI I POPRAVAK NADOGRADNJI SPECIJALNIH KOMUNALNIH VOZILA MARKE FAUN, FARID I SMEKON; GRUPA 2 - REZERVNI DIJELOVI I POPRAVAK NADOGRADNJI SPECIJALNIH KOMUNALNIH VOZILA MARKE FARID za period do 30.06.2022.godine (ČISTOĆA)</t>
  </si>
  <si>
    <t>REZERVNI DIJELOVI I POPRAVAK NADOGRADNJI SPECIJALNIH KOMUNALNIH VOZILA MARKE FAUN, FARID I SMEKON do 31.10.2022.godine</t>
  </si>
  <si>
    <t>REZERVNI DIJELOVI I POPRAVAK NADOGRADNJI SPECIJALNIH KOMUNALNIH VOZILA MARKE FAUN, FARID I SMEKON; GRUPA 2 - REZERVNI DIJELOVI I POPRAVAK NADOGRADNJI SPECIJALNIH KOMUNALNIH VOZILA MARKE FARID za period do 31.07.2023.godine</t>
  </si>
  <si>
    <t>31.07.2023.</t>
  </si>
  <si>
    <t>REZERVNI DIJELOVI I POPRAVAK NADOGRADNJI SPECIJALNIH KOMUNALNIH VOZILA MARKE FAUN, FARID I SMEKON; GRUPA 3 - REZERVNI DIJELOVI I POPRAVAK NADOGRADNJI SPECIJALNIH KOMUNALNIH VOZILA MARKE SMEKON</t>
  </si>
  <si>
    <t>REZERVNI DIJELOVI I POPRAVAK NADOGRADNJI SPECIJALNIH KOMUNALNIH VOZILA MARKE FAUN, FARID I SMEKON; GRUPA 3 - REZERVNI DIJELOVI I POPRAVAK NADOGRADNJI SPECIJALNIH KOMUNALNIH VOZILA MARKE SMEKON za period do 31.07.2023.godine</t>
  </si>
  <si>
    <t>ODRŽAVANJE I NADOGRADNJA PROGRAMSKOG SUSTAVA LAUS/ARGOSY</t>
  </si>
  <si>
    <t>19.01.2021.</t>
  </si>
  <si>
    <t>EKOLOŠKO SREDSTVO ZA SUHO POSIPAVANJE JAVNO PROMETNIH POVRŠINA U ZIMSKIM UVJETIMA</t>
  </si>
  <si>
    <t>34927100-2</t>
  </si>
  <si>
    <t>22.01.2021.</t>
  </si>
  <si>
    <t>22.02.2023.</t>
  </si>
  <si>
    <t>14440000-7</t>
  </si>
  <si>
    <t>24.06.2021.</t>
  </si>
  <si>
    <t>MINERALNA GNOJIVA</t>
  </si>
  <si>
    <t>24440000-0</t>
  </si>
  <si>
    <t>21.01.2023.</t>
  </si>
  <si>
    <t>24158000-6</t>
  </si>
  <si>
    <t>REZERVNI DIJELOVI ZA SEMAFORSKE UREĐAJE; GRUPA 2 REZERVNI DIJELOVI ZA SEMAFORSKE UREĐAJE EC</t>
  </si>
  <si>
    <t>34996000-5</t>
  </si>
  <si>
    <t>12.01.2021.</t>
  </si>
  <si>
    <t>20.01.2023.</t>
  </si>
  <si>
    <t>31623000-9</t>
  </si>
  <si>
    <t>07.02.2022.</t>
  </si>
  <si>
    <t>REZERVNI DIJELOVI ZA CRPKE MARKE PLEUGER</t>
  </si>
  <si>
    <t>42124000-4</t>
  </si>
  <si>
    <t>22.01.2023.</t>
  </si>
  <si>
    <t>29124000-4</t>
  </si>
  <si>
    <t>ODRŽAVANJE I POPRAVAK RASVJETE U PJEŠAČKIM PROLAZIMA</t>
  </si>
  <si>
    <t>50232000-0</t>
  </si>
  <si>
    <t>31.12.2020.</t>
  </si>
  <si>
    <t>REZERVNI DIJELOVI ZA SEMAFORSKE UREĐAJE; GRUPA 3 REZERVNI DIJELOVI ZA SEMAFORSKE UREĐAJE FAN</t>
  </si>
  <si>
    <t>ODRŽAVANJE POSLOVNO INFORMACIJSKIH SUSTAVA PosIS, ULAZNI e-RAČUNI, SEPA I Mob4Kom</t>
  </si>
  <si>
    <t>26.01.2021.</t>
  </si>
  <si>
    <t>25 dana</t>
  </si>
  <si>
    <t>92 dana</t>
  </si>
  <si>
    <t>SOL ZA POSIPANJE CESTA; GRUPA 1 Sol za posipanje cesta, 25/1</t>
  </si>
  <si>
    <t>25.01.2021.</t>
  </si>
  <si>
    <t>12.04.2023.</t>
  </si>
  <si>
    <t>SOL ZA POSIPANJE CESTA; GRUPA 1 Sol za posipanje cesta, 25/1 za period do 30.04.2022.g. (ZGH d.o.o.)</t>
  </si>
  <si>
    <t>26.11.2021.</t>
  </si>
  <si>
    <t>POSTAVA VERTIKALNE PROMETNE SIGNALIZACIJE</t>
  </si>
  <si>
    <t>27.01.2023.</t>
  </si>
  <si>
    <t>DENDRO BILJE; GRUPA 3. Mediteransko dendro bilje</t>
  </si>
  <si>
    <t>03451000-6</t>
  </si>
  <si>
    <t>02510000-2</t>
  </si>
  <si>
    <t>Dodatak ugovora/ugovor-narudžbenice DENDRO BILJE; GRUPA 3. Mediteransko dendro bilje</t>
  </si>
  <si>
    <t>23.07.2022.</t>
  </si>
  <si>
    <t xml:space="preserve">Dodatak Ugovor-narudžbenice 1-22/NOS-58-C/19-1temeljem članka 320. stavak 6. točka 2. Zakona o javnoj nabavi (NN br. 90/11, 83/13, 143/13, 13/14 - Odluka USRH) </t>
  </si>
  <si>
    <t>OPREMA I SREDSTVA ZA MIKROBIOLOŠKU ZAŠTITU; GRUPA 2 DEZINFEKCIJSKA SREDSTVA</t>
  </si>
  <si>
    <t>33000000-0</t>
  </si>
  <si>
    <t>01.02.2021.</t>
  </si>
  <si>
    <t>24.02.2023.</t>
  </si>
  <si>
    <t>OPREMA I SREDSTVA ZA MIKROBIOLOŠKU ZAŠTITU; GRUPA 2 DEZINFEKCIJSKA SREDSTVA - ZA PERIOD DO do 30.04.2022. - "VLADIMIR NAZOR"</t>
  </si>
  <si>
    <t>31.03.2021.</t>
  </si>
  <si>
    <t>OPREMA I SREDSTVA ZA MIKROBIOLOŠKU ZAŠTITU; GRUPA 4 SAMOSTOJEĆI STALCI</t>
  </si>
  <si>
    <t>OPREMA I SREDSTVA ZA MIKROBIOLOŠKU ZAŠTITU; GRUPA 5 ZAŠTITNE MASKE</t>
  </si>
  <si>
    <t>OPREMA I SREDSTVA ZA MIKROBIOLOŠKU ZAŠTITU; GRUPA 5 ZAŠTITNE MASKE za period do 30.04.2022.g.</t>
  </si>
  <si>
    <t>15.04.2021.</t>
  </si>
  <si>
    <t>ODRŽAVANJE I NADOGRADNJA PROGRAMSKOG SUSTAVA CENTRIX</t>
  </si>
  <si>
    <t>72262000-9</t>
  </si>
  <si>
    <t>29.01.2021.</t>
  </si>
  <si>
    <t>LUKOVICE CVIJEĆA I SJEMENJE CVIJEĆA I POVRĆA; 1. LUKOVICE RINFUZA</t>
  </si>
  <si>
    <t>03451200-8</t>
  </si>
  <si>
    <t>02512000-6</t>
  </si>
  <si>
    <t>LUKOVICE CVIJEĆA I SJEMENJE CVIJEĆA I POVRĆA; 2. MALA PAKIRANJA</t>
  </si>
  <si>
    <t>11.02.2023.</t>
  </si>
  <si>
    <t>SUNCOBRANI I REZERVNI DIJELOVI SUNCOBRANA</t>
  </si>
  <si>
    <t>39295100-7</t>
  </si>
  <si>
    <t>02.02.2021.</t>
  </si>
  <si>
    <t>25.03.2023.</t>
  </si>
  <si>
    <t>36651000-9</t>
  </si>
  <si>
    <t>REZERVNI DIJELOVI I POPRAVAK PRIKOLICA</t>
  </si>
  <si>
    <t>34224000-3</t>
  </si>
  <si>
    <t>05.02.2021.</t>
  </si>
  <si>
    <t>05.02.2023.</t>
  </si>
  <si>
    <t>BITUMENSKE EMULZIJE</t>
  </si>
  <si>
    <t>NAJAM OPREME ZA DIGITALIZACIJU VOZNOG PARKA</t>
  </si>
  <si>
    <t>38548000-8</t>
  </si>
  <si>
    <t>09.02.2021.</t>
  </si>
  <si>
    <t>33262000-4</t>
  </si>
  <si>
    <t>21.06.2021.</t>
  </si>
  <si>
    <t>HITNE INTERVENCIJE NA INSTALACIJAMA; GRUPA 1 HITNE INTERVENCIJE NA VODOVODNIM I KANALIZACIJSKIM INSTALACIJAMA</t>
  </si>
  <si>
    <t>12.02.2021.</t>
  </si>
  <si>
    <t>12.02.2023.</t>
  </si>
  <si>
    <t>AGM D.O.O., ZAGREBAČKI HOLDING D.O.O.</t>
  </si>
  <si>
    <t>GRAĐEVINSKI MATERIJALI; GRUPA 1 GRAĐEVINSKI MATERIJALI</t>
  </si>
  <si>
    <t>44111000-1</t>
  </si>
  <si>
    <t>19.03.2023.</t>
  </si>
  <si>
    <t>28811000-0</t>
  </si>
  <si>
    <t>GRAĐEVINSKI MATERIJALI</t>
  </si>
  <si>
    <t>GRAĐEVINSKI MATERIJALI; GRUPA 2 REPARATURNI I SPECIJALNI MORTOVI I MASE ZA FUGIRANJE</t>
  </si>
  <si>
    <t>IZRADA INOX BUNARSKIH KOLEKTORA S UGRADNJOM</t>
  </si>
  <si>
    <t>15.02.2021.</t>
  </si>
  <si>
    <t>19.02.2023.</t>
  </si>
  <si>
    <t>93950000-2</t>
  </si>
  <si>
    <t>14 dana</t>
  </si>
  <si>
    <t>19.09.2022.</t>
  </si>
  <si>
    <t>UKAPLJENI NAFTNI PLIN (PROPAN - BUTAN) ZA SAMOSTOJEĆE SPREMNIKE</t>
  </si>
  <si>
    <t>09122000-0</t>
  </si>
  <si>
    <t>01.03.2021.</t>
  </si>
  <si>
    <t>01.03.2023.</t>
  </si>
  <si>
    <t>23210000-2</t>
  </si>
  <si>
    <t>01.02.2022.</t>
  </si>
  <si>
    <t>HRASTOVA GRAĐA ZA PARKOVNE ELEMENTE</t>
  </si>
  <si>
    <t>03419000-0</t>
  </si>
  <si>
    <t>22.02.2021.</t>
  </si>
  <si>
    <t>20161000-2</t>
  </si>
  <si>
    <t>PREVENTIVNA I OBVEZATNA PREVENTIVNA DEZINFEKCIJA, DEZINSEKCIJA I DERATIZACIJA; GRUPA 2 PREVENTIVNA I OBVEZATNA PREVENTIVNA DEZINFEKCIJA, DEZINSEKCIJA I DERATIZACIJA NA MORSKIM LOKACIJAMA</t>
  </si>
  <si>
    <t>90921000-9</t>
  </si>
  <si>
    <t>07.04.2023.</t>
  </si>
  <si>
    <t>74721000-9</t>
  </si>
  <si>
    <t>REPROMATERIJAL ZA ČE PLINOVODE</t>
  </si>
  <si>
    <t>44161100-7</t>
  </si>
  <si>
    <t>03.03.2021.</t>
  </si>
  <si>
    <t>15.03.2023.</t>
  </si>
  <si>
    <t>RUČNI ALATI I PRIBOR ZA POLJOPRIVREDU I HORTIKULTURU; GRUPA 1.  Ručni alati za poljoprivredu i hortikulturu</t>
  </si>
  <si>
    <t>44511000-5</t>
  </si>
  <si>
    <t>26.02.2021.</t>
  </si>
  <si>
    <t>26.02.2023.</t>
  </si>
  <si>
    <t>28621000-1</t>
  </si>
  <si>
    <t>RUČNI ALATI I PRIBOR ZA POLJOPRIVREDU I HORTIKULTURU</t>
  </si>
  <si>
    <t>30.10.2022.</t>
  </si>
  <si>
    <t>RUČNI ALATI I PRIBOR ZA POLJOPRIVREDU I HORTIKULTURU; GRUPA 2 Pribor za održavanje hortikulture (crijeva, nastavci za crijeva, prskalice i sl.)</t>
  </si>
  <si>
    <t>17.03.2023.</t>
  </si>
  <si>
    <t>OPSKRBA TOPLINSKOM ENERGIJOM</t>
  </si>
  <si>
    <t>09320000-8</t>
  </si>
  <si>
    <t>23.02.2021.</t>
  </si>
  <si>
    <t>16.03.2023.</t>
  </si>
  <si>
    <t>40300000-5</t>
  </si>
  <si>
    <t>ODRŽAVANJE I NADOGRADNJA INFORMACIJSKOG SUSTAVA AXIOM MEMENTO</t>
  </si>
  <si>
    <t>09.03.2021.</t>
  </si>
  <si>
    <t>27.04.2021.</t>
  </si>
  <si>
    <t>08.11.2021.</t>
  </si>
  <si>
    <t>NAJAM DOSTAVNIH I TERETNIH VOZILA; GRUPA 1 NAJAM TERETNOG VOZILA –SANDUČAR-DUPLA KABINA 4X2</t>
  </si>
  <si>
    <t>34130000-7</t>
  </si>
  <si>
    <t>NAJAM DOSTAVNIH I TERETNIH VOZILA; GRUPA 1 NAJAM TERETNOG VOZILA –SANDUČAR-DUPLA KABINA 4X2 za period do 31.08.2022. (GRADSKA GROBLJA)</t>
  </si>
  <si>
    <t>NAJAM DOSTAVNIH I TERETNIH VOZILA; GRUPA 2 NAJAM TERETNOG VOZILA -KIPER-KRATKA KABINA 4X2</t>
  </si>
  <si>
    <t>NAJAM DOSTAVNIH I TERETNIH VOZILA; GRUPA 2 NAJAM TERETNOG VOZILA -KIPER-KRATKA KABINA 4X2 za period do 30.06.2022 (Gradska groblja)</t>
  </si>
  <si>
    <t>06.08.2021.</t>
  </si>
  <si>
    <t>NAJAM DOSTAVNIH I TERETNIH VOZILA; GRUPA 2 NAJAM TERETNOG VOZILA -KIPER-KRATKA KABINA 4X2 za period do 28.02.2023. g. (GRADSKA GROBLJA)</t>
  </si>
  <si>
    <t>NAJAM DOSTAVNIH I TERETNIH VOZILA; GRUPA 3 NAJAM MALOG UNIVERZALNOG VOZILA</t>
  </si>
  <si>
    <t>25.03.2021.</t>
  </si>
  <si>
    <t>NAJAM DOSTAVNIH I TERETNIH VOZILA; GRUPA 3 NAJAM MALOG UNIVERZALNOG VOZILA za period do 30.06.2022 (Gradska groblja)</t>
  </si>
  <si>
    <t>NAJAM DOSTAVNIH I TERETNIH VOZILA; GRUPA 3 NAJAM MALOG UNIVERZALNOG VOZILA za period do 28.02.2023. godine (GRADSKA GROBLJA)</t>
  </si>
  <si>
    <t>REZERVNI DIJELOVI, POTROŠNI MATERIJAL I POPRAVAK STROJEVA ZA PROIZVODNJU PROMETNIH ZNAKOVA</t>
  </si>
  <si>
    <t>42962000-7</t>
  </si>
  <si>
    <t>08.03.2021.</t>
  </si>
  <si>
    <t>22.03.2023.</t>
  </si>
  <si>
    <t>29862000-9</t>
  </si>
  <si>
    <t>IZGRADNJA I SANACIJA VODOOPSKRBNE MREŽE NA PODRUČJU GRADA ZAGREBA I SAMOBORA</t>
  </si>
  <si>
    <t>01.04.2023.</t>
  </si>
  <si>
    <t>PAPIRNA KONFEKCIJA ZA HIGIJENSKU POTREBU</t>
  </si>
  <si>
    <t>33760000-5</t>
  </si>
  <si>
    <t>21221000-8</t>
  </si>
  <si>
    <t>POPRAVAK ELEKTROMOTORA PROIZVOĐAČA PLEUGER</t>
  </si>
  <si>
    <t>50532000-3</t>
  </si>
  <si>
    <t>18.03.2023.</t>
  </si>
  <si>
    <t>PREPROGRAMIRANJE ELEKTRONIČKIH SIGNALNIH UREĐAJA EC-1 i EC-2, MSKE 60 i SRTC-6, SIEMENS, FAN-2000 I TRAF SIGNAL T-1; GRUPA 1 PREPROGRAMIRANJE ELEKTRONIČKIH SIGNALNIH UREĐAJA EC-1 I EC-2</t>
  </si>
  <si>
    <t>72243000-0</t>
  </si>
  <si>
    <t>07.04.2021.</t>
  </si>
  <si>
    <t>PREPROGRAMIRANJE ELEKTRONIČKIH SIGNALNIH UREĐAJA EC-1 i EC-2, MSKE 60 i SRTC-6, SIEMENS, FAN-2000 I TRAF SIGNAL T-1; GRUPA 2 PREPROGRAMIRANJE ELEKTRONIČKIH SIGNALNIH UREĐAJA MSKE 60 I SRTC-6</t>
  </si>
  <si>
    <t>REZERVNI DIJELOVI ZA VODOMJERE MARKE IKOM</t>
  </si>
  <si>
    <t>38421100-3</t>
  </si>
  <si>
    <t>33252000-1</t>
  </si>
  <si>
    <t>IZMJENA VODOMJERA NA ADRESAMA KORISNIKA VODNIH USLUGA</t>
  </si>
  <si>
    <t>45332000-3</t>
  </si>
  <si>
    <t>13.04.2021.</t>
  </si>
  <si>
    <t>13.04.2023.</t>
  </si>
  <si>
    <t>POPRAVAK I ODRŽAVANJE ELEKTROMOTORA; GRUPA 1 POPRAVAK I ODRŽAVANJE ELEKTROMOTORA SNAGE DO 10kW</t>
  </si>
  <si>
    <t>50532100-4</t>
  </si>
  <si>
    <t>29.03.2021.</t>
  </si>
  <si>
    <t>29.03.2023.</t>
  </si>
  <si>
    <t>USLUGA PRINTANJA I KUVERTIRANJA</t>
  </si>
  <si>
    <t>79823000-9</t>
  </si>
  <si>
    <t>26.04.2021.</t>
  </si>
  <si>
    <t>03.05.2023.</t>
  </si>
  <si>
    <t>ODRŽAVANJE I NADOGRADNJA INFORMACIJSKIH SUSTAVA PARKIS I PAUKIS</t>
  </si>
  <si>
    <t>14.05.2023.</t>
  </si>
  <si>
    <t>PROVJERA ISPRAVNOSTI I POPRAVAK STABILNOG SUSTAVA ZA DOJAVU POŽARA</t>
  </si>
  <si>
    <t>19.04.2021.</t>
  </si>
  <si>
    <t>10.05.2023.</t>
  </si>
  <si>
    <t>02.08.2022.</t>
  </si>
  <si>
    <t>30.12.2022.</t>
  </si>
  <si>
    <t>POPRAVAK I REDOVNO ODRŽAVANJE DIZALA; GRUPA 1 POPRAVAK I REDOVNO ODRŽAVANJE DIZALA KONČAR, VULKAN, RADNIK, ZO INVEST, GEM, MF CERTUS, ELMOS, OTIS, SCHINDLER, OMNIA, STROS I PRIMAT</t>
  </si>
  <si>
    <t>29.04.2021.</t>
  </si>
  <si>
    <t>28.05.2023.</t>
  </si>
  <si>
    <t>POPRAVAK I REDOVNO ODRŽAVANJE DIZALA; GRUPA 1 POPRAVAK I REDOVNO ODRŽAVANJE DIZALA KONČAR, VULKAN, RADNIK, ZO INVEST, GEM, MF CERTUS, ELMOS, OTIS, SCHINDLER, OMNIA, STROS I PRIMAT za period do 31.05.2022 (Autobusni kolodvor)</t>
  </si>
  <si>
    <t>POPRAVAK I REDOVNO ODRŽAVANJE DIZALA; GRUPA 1 POPRAVAK I REDOVNO ODRŽAVANJE DIZALA KONČAR, VULKAN, RADNIK, ZO INVEST, GEM, MF CERTUS, ELMOS, OTIS, SCHINDLER, OMNIA, STROS I PRIMAT za period do 31.05.2022. godine</t>
  </si>
  <si>
    <t>POPRAVAK I REDOVNO ODRŽAVANJE DIZALA; GRUPA 1 POPRAVAK I REDOVNO ODRŽAVANJE DIZALA KONČAR, VULKAN, RADNIK, ZO INVEST, GEM, MF CERTUS, ELMOS, OTIS, SCHINDLER, OMNIA, STROS I PRIMAT za period do 31.12.2022. godine (ZGH d.o.o.)</t>
  </si>
  <si>
    <t>110 dana</t>
  </si>
  <si>
    <t>POPRAVAK I REDOVNO ODRŽAVANJE DIZALA; GRUPA 2 POPRAVAK I REDOVNO ODRŽAVANJE DIZALA KONE MONO SPACE I KONE ECO SPACE</t>
  </si>
  <si>
    <t>POPRAVAK I REDOVNO ODRŽAVANJE DIZALA za razdoblje do 31.05.2022. godine (Podružnica Zagrebparking)</t>
  </si>
  <si>
    <t>POPRAVAK I REDOVNO ODRŽAVANJE DIZALA; GRUPA 2 POPRAVAK I REDOVNO ODRŽAVANJE DIZALA KONE MONO SPACE I KONE ECO SPACE za period do 31.05.2022.  godine</t>
  </si>
  <si>
    <t>27.08.2021.</t>
  </si>
  <si>
    <t>POPRAVAK I REDOVNO ODRŽAVANJE DIZALA; GRUPA 2 POPRAVAK I REDOVNO ODRŽAVANJE DIZALA KONE MONO SPACE I KONE ECO SPACE za period do 31.05.2023. godine. (ZAGREBPARKING)</t>
  </si>
  <si>
    <t>POPRAVAK I REDOVNO ODRŽAVANJE DIZALA; GRUPA 2 POPRAVAK I REDOVNO ODRŽAVANJE DIZALA KONE MONO SPACE I KONE ECO SPACE  za period do 31.12.2022. godine (Holding direkcija- Upravljanje projektima i Upravljanje nekretninama)</t>
  </si>
  <si>
    <t>REZERVNI DIJELOVI, POPRAVAK I REDOVNO ODRŽAVANJE SUSTAVA ZA AUTOMATSKU NAPLATU PARKIRANJA; GRUPA 1 Servis, popravak i rezervni dijelovi parkirnih sustava proizvođača Skidata</t>
  </si>
  <si>
    <t>05.05.2023.</t>
  </si>
  <si>
    <t>REZERVNI DIJELOVI, POPRAVAK I REDOVNO ODRŽAVANJE SUSTAVA ZA AUTOMATSKU NAPLATU PARKIRANJA; GRUPA 1 Servis, popravak i rezervni dijelovi parkirnih sustava proizvođača Skidata (Zagrebparking)</t>
  </si>
  <si>
    <t>REZERVNI DIJELOVI, POPRAVAK I REDOVNO ODRŽAVANJE SUSTAVA ZA AUTOMATSKU NAPLATU PARKIRANJA  za period  do 30.04.2023.</t>
  </si>
  <si>
    <t>REZERVNI DIJELOVI, POPRAVAK I REDOVNO ODRŽAVANJE SUSTAVA ZA AUTOMATSKU NAPLATU PARKIRANJA; GRUPA 2 Održavanje, najam i nadogradnja sustava za kartično plaćanje i aplikativnih rješenja</t>
  </si>
  <si>
    <t>REZERVNI DIJELOVI, POPRAVAK I REDOVNO ODRŽAVANJE SUSTAVA ZA AUTOMATSKU NAPLATU PARKIRANJA; GRUPA 2 Održavanje, najam i nadogradnja sustava za kartično plaćanje i aplikativnih rješenja za period do 30.06.2022. (ZAGREBPARKING)</t>
  </si>
  <si>
    <t>REZERVNI DIJELOVI, POPRAVAK I REDOVNO ODRŽAVANJE SUSTAVA ZA AUTOMATSKU NAPLATU PARKIRANJA; GRUPA 2 Održavanje, najam i nadogradnja sustava za kartično plaćanje i aplikativnih rješenja za period  do 31.01.2023. g.</t>
  </si>
  <si>
    <t>REZERVNI DIJELOVI, POPRAVAK I REDOVNO ODRŽAVANJE SUSTAVA ZA AUTOMATSKU NAPLATU PARKIRANJA; GRUPA 3 Rezervni dijelovi, popravak i servis sustava za kontrolu i naplatu parkiranja Skidata podružnice Robni terminali Zagreb</t>
  </si>
  <si>
    <t>REZERVNI DIJELOVI, POPRAVAK I REDOVNO ODRŽAVANJE SUSTAVA ZA AUTOMATSKU NAPLATU PARKIRANJA; GRUPA 3 Rezervni dijelovi, popravak i servis sustava za kontrolu i naplatu parkiranja Skidata podružnice Robni terminali Zagreb za razdoblje do 15.06.2022.</t>
  </si>
  <si>
    <t>PROMETNI ZNAKOVI</t>
  </si>
  <si>
    <t>34992200-9</t>
  </si>
  <si>
    <t>23.04.2023.</t>
  </si>
  <si>
    <t>28527000-2</t>
  </si>
  <si>
    <t>VREĆICE ZA PRIKUPLJANJE OTPADA</t>
  </si>
  <si>
    <t>19640000-4</t>
  </si>
  <si>
    <t>11.05.2021.</t>
  </si>
  <si>
    <t>17.05.2023.</t>
  </si>
  <si>
    <t>25221000-6</t>
  </si>
  <si>
    <t>POPRAVAK I UMJERAVANJE TAHOGRAFA</t>
  </si>
  <si>
    <t>26.07.2022.</t>
  </si>
  <si>
    <t>POPRAVAK, ODRŽAVANJE I REZERVNI DIJELOVI INFORMACIJSKOG SUSTAVA "EOL" ZA PRAĆENJE POTROŠNJE GORIVA</t>
  </si>
  <si>
    <t>19.05.2023.</t>
  </si>
  <si>
    <t>25.06.2021.</t>
  </si>
  <si>
    <t>KOŠNJA, GRABLJANJE I ODVOZ KOROVA</t>
  </si>
  <si>
    <t>77314000-4</t>
  </si>
  <si>
    <t>18.08.2023.</t>
  </si>
  <si>
    <t>BETONSKI PROIZVODI; GRUPA 1 Betonski proizvodi - parkovni program</t>
  </si>
  <si>
    <t>20.05.2023.</t>
  </si>
  <si>
    <t>BETONSKI PROIZVODI; GRUPA 1 Betonski proizvodi - parkovni program za period do 31.12.2022.g.</t>
  </si>
  <si>
    <t>BETONSKI PROIZVODI; GRUPA 2 Betonski proizvodi - cestovni program</t>
  </si>
  <si>
    <t>BETONSKI PROIZVODI; GRUPA 2 Betonski proizvodi - cestovni program za period do 31.03.2022. godine</t>
  </si>
  <si>
    <t>29.09.2021.</t>
  </si>
  <si>
    <t>BETONSKI PROIZVODI ; GRUPA 2 Betonski proizvodi - cestovni program , za period  do 31.12.2022.g.</t>
  </si>
  <si>
    <t>PREUZIMANJE I DALJNJA OBRADA OTPADA KB 20 01 39 (PLASTIKA) I KB 20 02 03 (OSTALI OTPAD KOJI NIJE BIORAZGRADIV) POSTUPCIMA OPORABE R1-R12; GRUPA 1. PREUZIMANJE I DALJNJA OBRADA OTPADA KB 20 01 39 (PLASTIKA) POSTUPCIMA OPORABE R1-R12</t>
  </si>
  <si>
    <t>04.06.2021.</t>
  </si>
  <si>
    <t>24.09.2023.</t>
  </si>
  <si>
    <t>PREUZIMANJE I DALJNJA OBRADA OTPADA KB 20 01 39 (PLASTIKA) I KB 20 02 03 (OSTALI OTPAD KOJI NIJE BIORAZGRADIV) POSTUPCIMA OPORABE R1-R12; GRUPA 1. PREUZIMANJE I DALJNJA OBRADA OTPADA KB 20 01 39 (PLASTIKA) POSTUPCIMA OPORABE R1-R12 za period do 31.12.2022 (GRADSKA GROBLJA)</t>
  </si>
  <si>
    <t>PREUZIMANJE I DALJNJA OBRADA OTPADA KB 20 01 39 (PLASTIKA) I KB 20 02 03 (OSTALI OTPAD KOJI NIJE BIORAZGRADIV) POSTUPCIMA OPORABE R1-R12; GRUPA 1. PREUZIMANJE I DALJNJA OBRADA OTPADA KB 20 01 39 (PLASTIKA) POSTUPCIMA OPORABE R1-R12 za period do 31.12.2022.g. (GRADSKA GROBLJA)</t>
  </si>
  <si>
    <t>PREUZIMANJE I DALJNJA OBRADA OTPADA KB 20 01 39 (PLASTIKA) I KB 20 02 03 (OSTALI OTPAD KOJI NIJE BIORAZGRADIV) POSTUPCIMA OPORABE R1-R12; GRUPA 2. PREUZIMANJE I DALJNJA OBRADA OTPADA KB 20 02 03 (OSTALI OTPAD KOJI NIJE BIORAZGRADIV) POSTUPCIMA OPORABE R1-R12</t>
  </si>
  <si>
    <t>03.09.2023.</t>
  </si>
  <si>
    <t>PREUZIMANJE I DALJNJA OBRADA OTPADA KB 20 01 39 (PLASTIKA) I KB 20 02 03 (OSTALI OTPAD KOJI NIJE BIORAZGRADIV) POSTUPCIMA OPORABE R1-R12 (Gradska groblja)</t>
  </si>
  <si>
    <t>PREUZIMANJE I DALJNJA OBRADA OTPADA KB 20 01 39 (PLASTIKA) I KB 20 02 03 (OSTALI OTPAD KOJI NIJE BIORAZGRADIV) POSTUPCIMA OPORABE R1-R12; GRUPA 2. PREUZIMANJE I DALJNJA OBRADA OTPADA KB 20 02 03 (OSTALI OTPAD KOJI NIJE BIORAZGRADIV) POSTUPCIMA OPORABE R1-R12 za period do 08.04.2023. (Gradska groblja)</t>
  </si>
  <si>
    <t>08.04.2023.</t>
  </si>
  <si>
    <t>ODRŽAVANJE KLIMA UREĐAJA I DRUGE RASHLADNE OPREME; GRUPA 7 Održavanje depozitorija, rashladnih sistema i uređaja</t>
  </si>
  <si>
    <t>50730000-1</t>
  </si>
  <si>
    <t>12.04.2021.</t>
  </si>
  <si>
    <t>ODRŽAVANJE KLIMA UREĐAJA I DRUGE RASHLADNE OPREME; GRUPA 1 Održavanje split sistema klima uređaja, prozorskih klimatizera, pokretnih i stropnih klima uređaja</t>
  </si>
  <si>
    <t>25.05.2023.</t>
  </si>
  <si>
    <t>Naplata zakonske obveze.</t>
  </si>
  <si>
    <t xml:space="preserve">Izmještanje klima uređaja radi prilagodbe prema zakonskim propisima,  unutar skladišnog prostora za živežne namirnice u  Hostelu Arena </t>
  </si>
  <si>
    <t>ODRŽAVANJE KLIMA UREĐAJA I DRUGE RASHLADNE OPREME; GRUPA 2 Održavanje sustava klimatizacije u zgradi direkcije Zagrebačkog holdinga</t>
  </si>
  <si>
    <t>ODRŽAVANJE KLIMA UREĐAJA I DRUGE RASHLADNE OPREME; GRUPA 4 Održavanje sustava klimatizacije podružnice Zagrebparking i Tržnice Zagreb</t>
  </si>
  <si>
    <t>26.10.2023.</t>
  </si>
  <si>
    <t>ODRŽAVANJE KLIMA UREĐAJA I DRUGE RASHLADNE OPREME; GRUPA 5 Održavanje sustava klimatizacije podružnice Autobusni kolodvor</t>
  </si>
  <si>
    <t>ODRŽAVANJE KLIMA UREĐAJA I DRUGE RASHLADNE OPREME; GRUPA 6 Održavanje sustava klimatizacije i ventilacije na sportskim objektima i školama</t>
  </si>
  <si>
    <t>NAJAM UREĐAJA ZA BEZGOTOVINSKO PLAĆANJE RAČUNA</t>
  </si>
  <si>
    <t>30233300-4</t>
  </si>
  <si>
    <t>21.05.2021.</t>
  </si>
  <si>
    <t>28.05.2025.</t>
  </si>
  <si>
    <t>30233000-1</t>
  </si>
  <si>
    <t>ODRŽAVANJE KLIMA UREĐAJA I DRUGE RASHLADNE OPREME; GRUPA 8 Popravak i servis rashladnih vitrina za prodaju sira i vrhnja na tržnicama</t>
  </si>
  <si>
    <t>ODRŽAVANJE I NADOGRADNJA POSLOVNO INFORMACIJSKIH SUSTAVA WEBKOMIS</t>
  </si>
  <si>
    <t>02.09.2021.</t>
  </si>
  <si>
    <t>IZGRADNJA BETONSKIH GROBNICA I GROBNIH OKVIRA</t>
  </si>
  <si>
    <t>45215400-1</t>
  </si>
  <si>
    <t>28.05.2021.</t>
  </si>
  <si>
    <t>19.08.2023.</t>
  </si>
  <si>
    <t>45215000-7</t>
  </si>
  <si>
    <t>SPOJNI ELEMENTI ZA PE-HD PLINOVODE</t>
  </si>
  <si>
    <t>44163200-2</t>
  </si>
  <si>
    <t>17.06.2023.</t>
  </si>
  <si>
    <t>KAMEN I KAMENI AGREGATI</t>
  </si>
  <si>
    <t>ODRŽAVANJE, SANACIJA I NADOGRADNJA KABELSKE KANALIZACIJE NA PODRUČJU GRADA ZAGREBA</t>
  </si>
  <si>
    <t>SANACIJA OBJEKATA NA GRADSKIM GROBLJIMA GRADA ZAGREBA</t>
  </si>
  <si>
    <t>21.12.2023.</t>
  </si>
  <si>
    <t>LONČANICE</t>
  </si>
  <si>
    <t>03121200-7</t>
  </si>
  <si>
    <t>01.09.2023.</t>
  </si>
  <si>
    <t>01122000-8</t>
  </si>
  <si>
    <t>KOLEKTIVNO DOBROVOLJNO (DOPUNSKO) ZDRAVSTVENO OSIGURANJE RADNIKA</t>
  </si>
  <si>
    <t>TEKUĆI TEHNIČKI KLOR CL2</t>
  </si>
  <si>
    <t>24311900-6</t>
  </si>
  <si>
    <t>04.08.2021.</t>
  </si>
  <si>
    <t>11.10.2023.</t>
  </si>
  <si>
    <t>24131000-1</t>
  </si>
  <si>
    <t>GRANITNI NADGROBNI ELEMENTI S OBRADOM I UGRADNJOM</t>
  </si>
  <si>
    <t>44912100-7</t>
  </si>
  <si>
    <t>20.09.2021.</t>
  </si>
  <si>
    <t>25.10.2023.</t>
  </si>
  <si>
    <t>14112000-9</t>
  </si>
  <si>
    <t>09.11.2021.</t>
  </si>
  <si>
    <t>UMJERAVANJE DRAEGER APARATA I OPREME</t>
  </si>
  <si>
    <t>03.08.2023.</t>
  </si>
  <si>
    <t>REVIZIJA GODIŠNJIH I KONSOLIDIRANIH GODIŠNJIH FINANCIJSKIH IZVJEŠĆA</t>
  </si>
  <si>
    <t>79212000-3</t>
  </si>
  <si>
    <t>AGM D.O.O., GRADSKA LJEKARNA ZAGREB, GRADSKA PLINARA ZAGREB D.O.O., GRADSKA PLINARA ZAGREB OPSKRBA D.O.O., GRADSKO STAMBENO KOMUNALNO GOSPODARSTVO D.O.O., VODOOPSKRBA I ODVODNJA D.O.O., ZAGREB PLAKAT D.O.O., ZAGREBAČKA STANOGRADNJA D.O.O., ZAGREBAČKI HOLDING D.O.O.</t>
  </si>
  <si>
    <t>74121000-3</t>
  </si>
  <si>
    <t>ZAGREB PLAKAT D.O.O.</t>
  </si>
  <si>
    <t>GRADSKA LJEKARNA ZAGREB</t>
  </si>
  <si>
    <t>Dodatak ugovora/ugovor-narudžbenice REVIZIJA GODIŠNJIH I KONSOLIDIRANIH GODIŠNJIH FINANCIJSKIH IZVJEŠĆA</t>
  </si>
  <si>
    <t>SPRAVE, REZERVNI DIJELOVI I POPRAVAK SPRAVA ZA IGRALIŠTA; GRUPA 1 Sprave za igrališta</t>
  </si>
  <si>
    <t>07.12.2023.</t>
  </si>
  <si>
    <t>SPRAVE, REZERVNI DIJELOVI I POPRAVAK SPRAVA ZA IGRALIŠTA; GRUPA 1 Sprave za igrališta za razdoblje do 31.3.2022.</t>
  </si>
  <si>
    <t>SPRAVE, REZERVNI DIJELOVI I POPRAVAK SPRAVA ZA IGRALIŠTA GRUPA 1 Sprave za igrališta  za razdoblje do 31.8.2022.</t>
  </si>
  <si>
    <t>Dodatak ugovora/ugovor-narudžbenice SPRAVE, REZERVNI DIJELOVI I POPRAVAK SPRAVA ZA IGRALIŠTA</t>
  </si>
  <si>
    <t>SPRAVE, REZERVNI DIJELOVI I POPRAVAK SPRAVA ZA IGRALIŠTA</t>
  </si>
  <si>
    <t>SPRAVE, REZERVNI DIJELOVI I POPRAVAK SPRAVA ZA IGRALIŠTA; GRUPA 2 Rezervni dijelovi i popravak sprava za igrališta proizvođača usluga</t>
  </si>
  <si>
    <t>PREUZIMANJE I DALJNJA OBRADA NEOPASNOG OTPADA POSTUPCIMA OPORABE R1-R12</t>
  </si>
  <si>
    <t>03.11.2021.</t>
  </si>
  <si>
    <t>13.11.2021.</t>
  </si>
  <si>
    <t>ČIŠĆENJE I SANACIJA BUNARA NA CRPILIŠTIMA</t>
  </si>
  <si>
    <t>90913000-0</t>
  </si>
  <si>
    <t>26.11.2023.</t>
  </si>
  <si>
    <t>74732000-9</t>
  </si>
  <si>
    <t>GUME ZA VOZILA I STROJEVE; GRUPA 1. OSOBNA, KOMBI I 4X4 VOZILA</t>
  </si>
  <si>
    <t>34350000-5</t>
  </si>
  <si>
    <t>09.12.2021.</t>
  </si>
  <si>
    <t>24.12.2023.</t>
  </si>
  <si>
    <t>GUME ZA VOZILA I STROJEVE; GRUPA 1. OSOBNA, KOMBI I 4X4 VOZILA za period do 30.04.2022. (ZAGREBAČKE CESTE)</t>
  </si>
  <si>
    <t>25111000-2</t>
  </si>
  <si>
    <t>GUME ZA VOZILA I STROJEVE</t>
  </si>
  <si>
    <t>GUME ZA VOZILA I STROJEVE; GRUPA 2. TERETNA VOZILA</t>
  </si>
  <si>
    <t>GUME ZA VOZILA I STROJEVE; GRUPA 2. TERETNA VOZILA za period do 30.04.2022. (ZAGREBAČKE CESTE)</t>
  </si>
  <si>
    <t>GUME ZA VOZILA I STROJEVE; GRUPA 3. OSTALI STROJEVI, VOZILA I ZRAČNICE</t>
  </si>
  <si>
    <t>20.12.2023.</t>
  </si>
  <si>
    <t>GUME ZA VOZILA I STROJEVE; GRUPA 3. OSTALI STROJEVI, VOZILA I ZRAČNICE za period do 30.04.2022. (Zagrebačke ceste)</t>
  </si>
  <si>
    <t>PREUZIMANJE I DALJNJA OBRADA OTPADA KB 20 01 10 (ODJEĆA) I KB 20 01 11 (TEKSTILI) POSTUPCIMA OPORABE R1-R12</t>
  </si>
  <si>
    <t>15.12.2023.</t>
  </si>
  <si>
    <t>ČELIČNE OBUJMICE, ANKERI I KLINOVI ZA PROMETNE ZNAKOVE</t>
  </si>
  <si>
    <t>02.02.2024.</t>
  </si>
  <si>
    <t>27300000-8</t>
  </si>
  <si>
    <t>PRIBOR I SREDSTVA ZA PRANJE, ČIŠĆENJE I OSTALA SREDSTVA ZA OPĆU HIGIJENU</t>
  </si>
  <si>
    <t>39800000-0</t>
  </si>
  <si>
    <t>13.12.2023.</t>
  </si>
  <si>
    <t>24500000-9</t>
  </si>
  <si>
    <t>18.01.2022.</t>
  </si>
  <si>
    <t>20.08.2022.</t>
  </si>
  <si>
    <t>10.09.2022.</t>
  </si>
  <si>
    <t>AKUMULATORI I PRIBOR; 1. AKUMULATORI</t>
  </si>
  <si>
    <t>31430000-9</t>
  </si>
  <si>
    <t>09.02.2024.</t>
  </si>
  <si>
    <t>AKUMULATORI I PRIBOR</t>
  </si>
  <si>
    <t>25.09.2022.</t>
  </si>
  <si>
    <t>PLATNA USLUGA PRIHVAĆANJA PLATNIH TRANSAKCIJA</t>
  </si>
  <si>
    <t>66110000-4</t>
  </si>
  <si>
    <t>20.01.2025.</t>
  </si>
  <si>
    <t>66100000-1</t>
  </si>
  <si>
    <t>AKUMULATORI I PRIBOR; 3. PUNJAČI ZA AKUMULATORE</t>
  </si>
  <si>
    <t>20.01.2024.</t>
  </si>
  <si>
    <t>CERADNA PLATNA I PRIBOR</t>
  </si>
  <si>
    <t>39522000-7</t>
  </si>
  <si>
    <t>08.03.2024.</t>
  </si>
  <si>
    <t>17222000-4</t>
  </si>
  <si>
    <t>IZVOĐENJE RADOVA NA KATODNOJ ZAŠTITI</t>
  </si>
  <si>
    <t>18.01.2024.</t>
  </si>
  <si>
    <t>STAKLENE KUGLICE ZA RETROREFLEKSIJU</t>
  </si>
  <si>
    <t>44113000-5</t>
  </si>
  <si>
    <t>08.02.2024.</t>
  </si>
  <si>
    <t>28813000-4</t>
  </si>
  <si>
    <t>ŠLJUNAK I PIJESAK RIJEČNI, JEZERSKI</t>
  </si>
  <si>
    <t>15.11.2023.</t>
  </si>
  <si>
    <t>UREDSKI NAMJEŠTAJ; 1. GRUPA UREDSKE STOLICE</t>
  </si>
  <si>
    <t>39100000-3</t>
  </si>
  <si>
    <t>25.01.2024.</t>
  </si>
  <si>
    <t>36121000-5</t>
  </si>
  <si>
    <t>UREDSKI NAMJEŠTAJ</t>
  </si>
  <si>
    <t>HITNE INTERVENCIJE NA POPRAVCIMA KROVOVA</t>
  </si>
  <si>
    <t>45261900-3</t>
  </si>
  <si>
    <t>21.03.2024.</t>
  </si>
  <si>
    <t>45261000-4</t>
  </si>
  <si>
    <t>17.03.2024.</t>
  </si>
  <si>
    <t>ISPITIVANJE BITUMENSKIH MJEŠAVINA I SIROVINA U SKLOPU POČETNOG ISPITIVANJA TIPA</t>
  </si>
  <si>
    <t>71620000-0</t>
  </si>
  <si>
    <t>22.03.2024.</t>
  </si>
  <si>
    <t>73111000-3</t>
  </si>
  <si>
    <t>STROJNO VAĐENJE I RAZBUŠIVANJE PANJEVA</t>
  </si>
  <si>
    <t>PROMETNA OGLEDALA</t>
  </si>
  <si>
    <t>23.03.2024.</t>
  </si>
  <si>
    <t>29.03.2024.</t>
  </si>
  <si>
    <t>07.03.2024.</t>
  </si>
  <si>
    <t>31.10.2023.</t>
  </si>
  <si>
    <t>REZERVNI DIJELOVI STROJEVA ZA IZRADU HORIZONTALNE SIGNALIZACIJE</t>
  </si>
  <si>
    <t>34922000-6</t>
  </si>
  <si>
    <t>24.05.2024.</t>
  </si>
  <si>
    <t>29811000-7</t>
  </si>
  <si>
    <t>INTERVENTNI RADOVI NA SANACIJI VODOOPSKRBNOG SUSTAVA GRADA ZAGREBA</t>
  </si>
  <si>
    <t>45232100-3</t>
  </si>
  <si>
    <t>DRVENA PILJENA GRAĐA; 1. GRUPA SIROVINE</t>
  </si>
  <si>
    <t>18.05.2024.</t>
  </si>
  <si>
    <t>DRVENA PILJENA GRAĐA</t>
  </si>
  <si>
    <t>DRVENA PILJENA GRAĐA; 2. GRUPA OBRAĐENI ELEMENTI</t>
  </si>
  <si>
    <t>07.04.2024.</t>
  </si>
  <si>
    <t>DRVENA PILJENA GRAĐA; 3. GRUPA IMPREGNIRANI I NEIMPREGNIRANI KOLCI ZA KOLJENJE DRVEĆA</t>
  </si>
  <si>
    <t>REDOVNI TEHNIČKI PREGLED VOZILA</t>
  </si>
  <si>
    <t>20.05.2024.</t>
  </si>
  <si>
    <t>GRADSKA PLINARA ZAGREB D.O.O., VODOOPSKRBA I ODVODNJA D.O.O., ZAGREBAČKI HOLDING D.O.O.</t>
  </si>
  <si>
    <t>IZVOĐENJE RADOVA NA KUĆNIM PRIKLJUČCIMA</t>
  </si>
  <si>
    <t>19.04.2024.</t>
  </si>
  <si>
    <t>05.12.2022.</t>
  </si>
  <si>
    <t>ODRŽAVANJE I PROŠIRENA PODRŠKA ZA INFORMACIJSKE SUSTAVE PROIZVOĐAČA INFODATA</t>
  </si>
  <si>
    <t>UZORKOVANJE I ISPITIVANJE OTPADNIH I POVRŠINSKIH VODA</t>
  </si>
  <si>
    <t>26.05.2024.</t>
  </si>
  <si>
    <t>POPRAVAK PRETLAČNIH UREĐAJA HYDROVARA</t>
  </si>
  <si>
    <t>17.05.2024.</t>
  </si>
  <si>
    <t>REZERVNI DIJELOVI, POPRAVAK I SERVIS OPREME ZA ODRŽAVANJE ZELENIH POVRŠINA; GRUPA 2 REZERVNI DIJELOVI , POPRAVAK I SERVIS STROJEVA I OPREME MARKE GIANNI</t>
  </si>
  <si>
    <t>16810000-6</t>
  </si>
  <si>
    <t>REZERVNI DIJELOVI, POPRAVAK I SERVIS OPREME ZA ODRŽAVANJE ZELENIH POVRŠINA</t>
  </si>
  <si>
    <t>29381000-3</t>
  </si>
  <si>
    <t>ODRŽAVANJE I POPRAVAK SUSTAVA ZA GRIJANJE I TOPLU VODU; 1. ODRŽAVANJE I POPRAVAK PLINSKIH BOJLERA</t>
  </si>
  <si>
    <t>50720000-8</t>
  </si>
  <si>
    <t>08.06.2024.</t>
  </si>
  <si>
    <t>ODRŽAVANJE I POPRAVAK SUSTAVA ZA GRIJANJE I TOPLU VODU; 2. ODRŽAVANJE I POPRAVAK KOTLOVNICA</t>
  </si>
  <si>
    <t>HITNE INTERVENCIJE NA ELEKTRIČNIM INSTALACIJAMA</t>
  </si>
  <si>
    <t>50711000-2</t>
  </si>
  <si>
    <t>10.05.2024.</t>
  </si>
  <si>
    <t>16.07.2022.</t>
  </si>
  <si>
    <t>ODRŽAVANJE I POPRAVAK SUSTAVA ZA GRIJANJE I TOPLU VODU; 3. ODRŽAVANJE I POPRAVAK GRIJAČA ZRAKA</t>
  </si>
  <si>
    <t>NAJAM ŠATORA I OPREME ZA ŠATORE; GRUPA 1. NAJAM ŠATORA</t>
  </si>
  <si>
    <t>39522530-1</t>
  </si>
  <si>
    <t>20.06.2024.</t>
  </si>
  <si>
    <t>NAJAM ŠATORA I OPREME ZA ŠATORE; GRUPA 2. NAJAM OPREME ZA ŠATORE</t>
  </si>
  <si>
    <t>23.06.2024.</t>
  </si>
  <si>
    <t>NAJAM KUPOLA</t>
  </si>
  <si>
    <t>44211000-2</t>
  </si>
  <si>
    <t>09.05.2024.</t>
  </si>
  <si>
    <t>28111000-3</t>
  </si>
  <si>
    <t>STRUČNI NADZOR NAD IZGRADNJOM BETONSKIH GROBNICA, UGRADNJOM GRANITNIH NADGROBNIH ELEMENATA I SANACIJOM OBJEKATA NA GRADSKIM GROBLJIMA; GRUPA 1 STRUČNI NADZOR NAD IZGRADNJOM BETONSKIH GROBNICA, GROBNIH OKVIRA</t>
  </si>
  <si>
    <t>71247000-1</t>
  </si>
  <si>
    <t>74262000-3</t>
  </si>
  <si>
    <t>STRUČNI NADZOR NAD IZGRADNJOM BETONSKIH GROBNICA, UGRADNJOM GRANITNIH NADGROBNIH ELEMENATA I SANACIJOM OBJEKATA NA GRADSKIM GROBLJIMA; GRUPA 2 STRUČNI NADZOR NAD UGRADNJOM GRANITNIH NADGROBNIH ELEMENTA</t>
  </si>
  <si>
    <t>181 dan</t>
  </si>
  <si>
    <t>REZERVNI DIJELOVI, POPRAVAK I SERVIS OPREME ZA ODRŽAVANJE ZELENIH POVRŠINA; GRUPA 3 REZERVNI DIJELOVI, POPRAVAK I SERVIS STROJEVA I OPREME MARKE AEBI</t>
  </si>
  <si>
    <t>07.06.2024.</t>
  </si>
  <si>
    <t>REZERVNI DIJELOVI, POPRAVAK I SERVIS OPREME ZA ODRŽAVANJE ZELENIH POVRŠINA; GRUPA 4 REZERVNI DIJELOVI, POPRAVAK I SERVIS STROJEVA I OPREME MARKE STIHL-VIKING</t>
  </si>
  <si>
    <t>ARMATURNE MREŽICE ZA ASFALT</t>
  </si>
  <si>
    <t>44113300-8</t>
  </si>
  <si>
    <t>09.06.2024.</t>
  </si>
  <si>
    <t>REZERVNI DIJELOVI, POPRAVAK I SERVIS OPREME ZA ODRŽAVANJE ZELENIH POVRŠINA; GRUPA 6 REZERVNI DIJELOVI, POPRAVAK I SERVIS STROJEVA I OPREME MARKE BACKUS</t>
  </si>
  <si>
    <t>NAJAM OSOBNIH I DOSTAVNIH VOZILA; GRUPA 7 LAKO GOSPODARSKO FURGON VOZILO</t>
  </si>
  <si>
    <t>NAJAM OSOBNIH I DOSTAVNIH VOZILA; GRUPA 7 LAKO GOSPODARSKO FURGON VOZILO za period do 31.12.2022.g. (ZGH D.O.O.)</t>
  </si>
  <si>
    <t>NAJAM OSOBNIH I DOSTAVNIH VOZILA za period do 31.12.2022.g. (GPZ D.O.O)</t>
  </si>
  <si>
    <t>114 dana</t>
  </si>
  <si>
    <t>NAJAM OSOBNIH I DOSTAVNIH VOZILA; GRUPA 9 PUTNIČKA VOZILA NA ELEKTRIČNI POGON NIŽE KLASE</t>
  </si>
  <si>
    <t>NAJAM OSOBNIH I DOSTAVNIH VOZILA; GRUPA 9 PUTNIČKA VOZILA NA ELEKTRIČNI POGON NIŽE KLASE za period do 31.12.2022.g. (ZGH D.O.O.)</t>
  </si>
  <si>
    <t>NAJAM OSOBNIH I DOSTAVNIH VOZILA; GRUPA 12 HIBRIDNA PLUG-IN VOZILA KOMPAKTNE KLASE</t>
  </si>
  <si>
    <t>NAJAM OSOBNIH I DOSTAVNIH VOZILA; GRUPA 12 HIBRIDNA PLUG-IN VOZILA KOMPAKTNE KLASE za period do 31.12.2022.g.</t>
  </si>
  <si>
    <t>52 dana</t>
  </si>
  <si>
    <t>NAJAM OSOBNIH I DOSTAVNIH VOZILA; GRUPA 13 HIBRIDNA PLUG-IN VOZILA VIŠE SREDNJE KLASE</t>
  </si>
  <si>
    <t>NAJAM OSOBNIH I DOSTAVNIH VOZILA; GRUPA 13 HIBRIDNA PLUG-IN VOZILA VIŠE SREDNJE KLASE za period do 31.12.2022.g. (ZGH d.o.o.)</t>
  </si>
  <si>
    <t>NAJAM OSOBNIH I DOSTAVNIH VOZILA; GRUPA 13 HIBRIDNA PLUG-IN VOZILA VIŠE SREDNJE KLASE za period do 31.12.2022.g.</t>
  </si>
  <si>
    <t>178 dana</t>
  </si>
  <si>
    <t>145 dana</t>
  </si>
  <si>
    <t>UZORKOVANJE I KEMIJSKE ANALIZE PODZEMNIH VODA NA ODLAGALIŠTU OTPADA PRUDINEC/JAKUŠEVEC; GRUPA 1. UZORKOVANJE I KEMIJSKE ANALIZE PODZEMNE VODE NA ZDENCIMA INTERVENTNOG CRPNOG SUSTAVA I NA PIEZOMETARSKIM POLJIMA NIZVODNO I UZVODNO OD ODLAGALIŠTA</t>
  </si>
  <si>
    <t>07.07.2024.</t>
  </si>
  <si>
    <t>ZORKOVANJE I KEMIJSKE ANALIZE PODZEMNIH VODA NA ODLAGALIŠTU OTPADA PRUDINEC/JAKUŠEVEC; GRUPA 1. UZORKOVANJE I KEMIJSKE ANALIZE PODZEMNE VODE NA ZDENCIMA INTERVENTNOG CRPNOG SUSTAVA I NA PIEZOMETARSKIM POLJIMA NIZVODNO I UZVODNO OD ODLAGALIŠTA za period do 31.03.2023. (Čistoća d.o.o.)</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</si>
  <si>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</si>
  <si>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 GRUPA 2 UZORKOVANJE I KEMIJSKE ANALIZE PODZEMNE VODE NA PIEZOMETRIMA  NIZVODNO I UZVODNO OD ODLAGALIŠTA OTPADA PRUDINEC-JAKUŠEVEC;  za period do 31.07.2023.</t>
  </si>
  <si>
    <t>NAJAM STROJA ZA USITNJAVANJE DRVNE MASE</t>
  </si>
  <si>
    <t>77111000-1</t>
  </si>
  <si>
    <t>SADNICE; GRUPA 2. SADNICE VOĆKI</t>
  </si>
  <si>
    <t>SADNICE</t>
  </si>
  <si>
    <t>SADNICE; GRUPA 3. SADNICE RUŽA</t>
  </si>
  <si>
    <t>POPRAVAK I REDOVNO ODRŽAVANJE POKRETNIH STUBA U POTHODNIKU GLAVNI KOLODVOR</t>
  </si>
  <si>
    <t>30.10.2023.</t>
  </si>
  <si>
    <t>CESTOGRAĐEVNI BITUMEN; GRUPA 1 Cestograđevni bitumen 35/50</t>
  </si>
  <si>
    <t>CESTOGRAĐEVNI BITUMEN; GRUPA 1 Cestograđevni bitumen 35/50 za period od 45 dana</t>
  </si>
  <si>
    <t>CESTOGRAĐEVNI BITUMEN; GRUPA 2 Cestograđevni bitumen 50/70</t>
  </si>
  <si>
    <t>CESTOGRAĐEVNI BITUMEN; GRUPA 2 Cestograđevni bitumen 50/70 za period od 45 dana</t>
  </si>
  <si>
    <t>CESTOGRAĐEVNI BITUMEN; GRUPA 2 Cestograđevni bitumen 50/70 Za period od 45 dana (Zagrebačke ceste)</t>
  </si>
  <si>
    <t>27.11.2022.</t>
  </si>
  <si>
    <t>CESTOGRAĐEVNI BITUMEN; GRUPA 3 Cestograđevni bitumen 70/100</t>
  </si>
  <si>
    <t>CESTOGRAĐEVNI BITUMEN; GRUPA 3 Cestograđevni bitumen 70/100 za period od 45 dana</t>
  </si>
  <si>
    <t>CESTOGRAĐEVNI BITUMEN;GRUPA 3 Cestograđevni bitumen 70/100; Za period od 45 dana</t>
  </si>
  <si>
    <t>02.10.2022.</t>
  </si>
  <si>
    <t>PROIZVODI OD ŽELJEZA I ČELIKA; 2. ČELIČNI PROFILI I PROZIVODI OD ČELIKA</t>
  </si>
  <si>
    <t>14710000-1</t>
  </si>
  <si>
    <t>29.06.2024.</t>
  </si>
  <si>
    <t>PROIZVODI OD ŽELJEZA I ČELIKA; 2. ČELIČNI PROFILI I PROZIVODI OD ČELIKA ZA PERIOD DO 31.12.2022. (ZAGREBAČKE CESTE)</t>
  </si>
  <si>
    <t>PROIZVODI OD ŽELJEZA I ČELIKA</t>
  </si>
  <si>
    <t>PROIZVODI OD ŽELJEZA I ČELIKA; 1.  PROIZVODI OD ŽELJEZA I ČELIKA ZA UPOTREBU U GRAĐEVINSKIM RADOVIMA</t>
  </si>
  <si>
    <t>13.07.2024.</t>
  </si>
  <si>
    <t>REZERVNI DIJELOVI, POPRAVAK I SERVIS OPREME ZA ODRŽAVANJE ZELENIH POVRŠINA; GRUPA 11 REZERVNI DIJELOVI, POPRAVAK I SERVIS STROJEVA I OPREME MARKE HITTNER</t>
  </si>
  <si>
    <t>28.04.2024.</t>
  </si>
  <si>
    <t>ELEKTRONIČKE KOMUNIKACIJSKE USLUGE U POKRETNOJ MREŽI</t>
  </si>
  <si>
    <t>SPREMNICI ZA SAKUPLJANJE OTPADA; 1.  KONTEJNERI 1100 LITARA</t>
  </si>
  <si>
    <t>44613000-0</t>
  </si>
  <si>
    <t>SPREMNICI ZA SAKUPLJANJE OTPADA; 1.  KONTEJNERI 1100 LITARA ZA PERIOD DO 31.12.2022.</t>
  </si>
  <si>
    <t>BOJE I LAKOVI; GRUPA 1. BOJE I LAKOVI, RAZRJEĐIVAČI ZA ODRŽAVANJE ZGRADA</t>
  </si>
  <si>
    <t>44800000-8</t>
  </si>
  <si>
    <t>24.06.2024.</t>
  </si>
  <si>
    <t>BOJE I LAKOVI</t>
  </si>
  <si>
    <t>BOJE I LAKOVI; GRUPA 2. AUTOLAKOVI ZA TRANSPORTNA I PRIJEVOZNA SREDSTVA I SPECIJALNE ZAŠTITE METALNIH KONSTRUKCIJA</t>
  </si>
  <si>
    <t>PREVENTIVNA I OBVEZATNA PREVENTIVNA DEZINFEKCIJA, DEZINSEKCIJA I DERATIZACIJA; GRUPA 1.  PREVENTIVNA I OBVEZATNA PREVENTIVNA DEZINFEKCIJA, DEZINSEKCIJA I DERATIZACIJA U GRADU ZAGREBU</t>
  </si>
  <si>
    <t>08.07.2024.</t>
  </si>
  <si>
    <t>PRESADNICE; GRUPA 1. PRESADNICE JEDNOGODIŠNJEG BILJA I SJEME JEDNOGODIŠNJEG BILJA</t>
  </si>
  <si>
    <t>06.07.2024.</t>
  </si>
  <si>
    <t>PRESADNICE; GRUPA 4. PRESADNICE CIKLAMA I RUŽA</t>
  </si>
  <si>
    <t>NAJAM OSOBNIH I DOSTAVNIH VOZILA; GRUPA 1. PUTNIČKA VOZILA NISKE KLASE</t>
  </si>
  <si>
    <t>17.06.2024.</t>
  </si>
  <si>
    <t>NAJAM OSOBNIH I DOSTAVNIH VOZILA; GRUPA 1. PUTNIČKA VOZILA NISKE KLASE za period do 31.12.2022.g. (ZGH D.O.O.)</t>
  </si>
  <si>
    <t>170 dana</t>
  </si>
  <si>
    <t>NAJAM OSOBNIH I DOSTAVNIH VOZILA; GRUPA 2. PUTNIČKA VOZILA NIŽE SREDNJE/KOMPAKTNE KLASE</t>
  </si>
  <si>
    <t>32 dana</t>
  </si>
  <si>
    <t>NAJAM OSOBNIH I DOSTAVNIH VOZILA; GRUPA 3. PUTNIČKO VOZILO SREDNJE KLASE</t>
  </si>
  <si>
    <t>177 dana</t>
  </si>
  <si>
    <t>NAJAM OSOBNIH I DOSTAVNIH VOZILA; GRUPA 4. PUTNIČKO  TERENSKO  VOZILO</t>
  </si>
  <si>
    <t>300 dana</t>
  </si>
  <si>
    <t>NAJAM OSOBNIH I DOSTAVNIH VOZILA; GRUPA 5. PUTNIČKO KOMBI VOZILO</t>
  </si>
  <si>
    <t>NAJAM OSOBNIH I DOSTAVNIH VOZILA; GRUPA 5. PUTNIČKO KOMBI VOZILO za period do 31.12.2022.g. (ZGH D.O.O.)</t>
  </si>
  <si>
    <t>NAJAM OSOBNIH I DOSTAVNIH VOZILA; GRUPA 8. LAKO GOSPODARSKO PUTNIČKO VOZILO</t>
  </si>
  <si>
    <t>NAJAM OSOBNIH I DOSTAVNIH VOZILA; GRUPA 8. LAKO GOSPODARSKO PUTNIČKO VOZILO za period do 31.12.2022.g. (ZGH DOO)</t>
  </si>
  <si>
    <t>PROIZVODI ZA DEKORACIJU; GRUPA 1. SVIJEĆE</t>
  </si>
  <si>
    <t>39298900-6</t>
  </si>
  <si>
    <t>36600000-7</t>
  </si>
  <si>
    <t>PROIZVODI ZA DEKORACIJU; GRUPA 3 PRIGODNI UKRASI I DEKORACIJE</t>
  </si>
  <si>
    <t>NAJAM OSOBNIH I DOSTAVNIH VOZILA; GRUPA 14. PUTNIČKA VOZILA NA ELEKTRIČNI POGON SREDNJE KLASE</t>
  </si>
  <si>
    <t>28.06.2024.</t>
  </si>
  <si>
    <t>179 dana</t>
  </si>
  <si>
    <t>146 dana</t>
  </si>
  <si>
    <t>NAJAM OSOBNIH I DOSTAVNIH VOZILA; GRUPA 15 PUTNIČKA VOZILA NA ELEKTRIČNI POGON KOMPAKTNE KLASE</t>
  </si>
  <si>
    <t>40 dana</t>
  </si>
  <si>
    <t>PROIZVODI ZA DEKORACIJU; GRUPA 4. CVJEĆARSKA GALANTERIJA</t>
  </si>
  <si>
    <t>06.06.2024.</t>
  </si>
  <si>
    <t>VREĆICE ZA MIJEŠANI KOMUNALNI OTPAD</t>
  </si>
  <si>
    <t>04.07.2024.</t>
  </si>
  <si>
    <t>ODRŽAVANJE I NADOGRADNJA APLIKATIVNIH PODSUSTAVA BRAVO I DOVID</t>
  </si>
  <si>
    <t>05.07.2024.</t>
  </si>
  <si>
    <t>POPRAVAK I SERVIS KREMACIJSKIH PEĆI I PRIPADAJUĆEG CEM SUSTAVA; GRUPA 1. Popravak i servis kremacijske peći Ciroldi i pripadajućeg CEM sustava</t>
  </si>
  <si>
    <t>12.07.2024.</t>
  </si>
  <si>
    <t>POPRAVAK I SERVIS KREMACIJSKIH PEĆI I PRIPADAJUĆEG CEM SUSTAVA; GRUPA 2. Popravak i servis kremacijske peći Crematec i propadajućih CEM sustava</t>
  </si>
  <si>
    <t>SPECIJALNO ZAVARIVANJE STATORA I ROTORA CRPKI</t>
  </si>
  <si>
    <t>POPRAVAK KATODNE ZAŠTITE</t>
  </si>
  <si>
    <t>ODRŽAVANJE I NADOGRADNJA APLIKACIJA INFOART ZA VODOOPSKRBU I ODVODNJU D.O.O.</t>
  </si>
  <si>
    <t>OPREMA ZA NAVODNJAVANJE; 1. Emiteri vode, automatsko upravljanje navodnjavanjem i pribor</t>
  </si>
  <si>
    <t>43323000-3</t>
  </si>
  <si>
    <t>01.07.2024.</t>
  </si>
  <si>
    <t>29833000-7</t>
  </si>
  <si>
    <t>OPREMA ZA NAVODNJAVANJE; 2. Mikronavodnjavanje s priborom, ventilske kutije i spojni materijal</t>
  </si>
  <si>
    <t>150 dana</t>
  </si>
  <si>
    <t>ŽIČANI PROIZVODI; GRUPA 1. Žičani proizvodi</t>
  </si>
  <si>
    <t>27.06.2024.</t>
  </si>
  <si>
    <t>ŽIČANI PROIZVODI; GRUPA 2 Pocinčani rubnjaci za odvajanje travnate od betonske površine</t>
  </si>
  <si>
    <t>ELEMENTI ZAŠTITNIH ČELIĆNIH OGRADA UZ CESTE</t>
  </si>
  <si>
    <t>34928300-1</t>
  </si>
  <si>
    <t>01.09.2024.</t>
  </si>
  <si>
    <t>28823000-7</t>
  </si>
  <si>
    <t>21 dan</t>
  </si>
  <si>
    <t>ZAMJENSKE SEMAFORSKE LATERNE; GRUPA 3. Zamjenske semaforske laterne marke Peek</t>
  </si>
  <si>
    <t>15.07.2024.</t>
  </si>
  <si>
    <t>ZAMJENSKE SEMAFORSKE LATERNE; GRUPA 4. Zamjenske semaforske laterne marke Zir</t>
  </si>
  <si>
    <t>14.07.2024.</t>
  </si>
  <si>
    <t>LOŽIVO ULJE</t>
  </si>
  <si>
    <t>22.09.2023.</t>
  </si>
  <si>
    <t>12.08.2024.</t>
  </si>
  <si>
    <t>17.08.2023.</t>
  </si>
  <si>
    <t>POPRAVAK FREKVENTNOG PRETVARAČA I MEKOG UPUŠTAČA DO 500 A, PROIZVOĐAČA "ALLEN BRADLEY"</t>
  </si>
  <si>
    <t>19.07.2024.</t>
  </si>
  <si>
    <t>REZERVNI DIJELOVI I POPRAVAK SPREMNIKA ZA SAKUPLJANJE OTPADA; GRUPA 8 REZERVNI DIJELOVI I POPRAVAK PRESS KONTEJNERA PROIZVOĐAČA TEHNIX</t>
  </si>
  <si>
    <t>POVREMENI PRIJEVOZ PUTNIKA U UNUTARNJEM CESTOVNOM PROMETU; 1. GRUPA 1 - POVREMENI PRIJEVOZ PUTNIKA U UNUTARNJEM CESTOVNOM PROMETU NA RELACIJI ZAGREB-DUGA UVALA-ZAGREB I ZAGREB-SAVUDRIJA-ZAGREB</t>
  </si>
  <si>
    <t>20.07.2024.</t>
  </si>
  <si>
    <t>POVREMENI PRIJEVOZ PUTNIKA U UNUTARNJEM CESTOVNOM PROMETU; 2. GRUPA 2 - POVREMENI PRIJEVOZ PUTNIKA U UNUTARNJEM CESTOVNOM PROMETU NA RELACIJI ZAGREB-VELI LOŠINJ-ZAGREB</t>
  </si>
  <si>
    <t>18.08.2024.</t>
  </si>
  <si>
    <t>OVREMENI PRIJEVOZ PUTNIKA U UNUTARNJEM CESTOVNOM PROMETU; GRUPA 4 - POVREMENI PRIJEVOZ PUTNIKA OSNOVNIH ŠKOLA GRADA ZAGREBA I ZAGREBAČKE ŽUPANIJE ZA GRAD MLADIH za period do 31.12.2022.</t>
  </si>
  <si>
    <t>30.08.2024.</t>
  </si>
  <si>
    <t>KEMIJSKO ČIŠĆENJE, PRANJE I GLAČANJE ODJEĆE I OSTALIH TKANINA; GRUPA 1 KEMIJSKO ČIŠĆENJE, PRANJE I GLAČANJE ODJEĆE I OSTALIH TKANINA</t>
  </si>
  <si>
    <t>26.07.2024.</t>
  </si>
  <si>
    <t>SANACIJSKE OBUJMICE I SPOJNICE; GRUPA 1 Sanacijske obujmice i spojnice od inox materijala</t>
  </si>
  <si>
    <t>44167000-8</t>
  </si>
  <si>
    <t>25.07.2024.</t>
  </si>
  <si>
    <t>27200000-7</t>
  </si>
  <si>
    <t>POLIMEROM MODIFICIRANI BITUMEN; 1. GRUPA POLIMEROM MODIFICIRANI BITUMEN</t>
  </si>
  <si>
    <t>POLIMEROM MODIFICIRANI BITUMEN; 1. GRUPA POLIMEROM MODIFICIRANI BITUMEN na period od 45 dana (ZAGREBAČKE CESTE)</t>
  </si>
  <si>
    <t>SANACIJSKE OBUJMICE I SPOJNICE; GRUPA 2 Duktilne sanacijske spojnice</t>
  </si>
  <si>
    <t>REZANO CVIJEĆE I ZELENILO; 1. GRUPA REZANE RUŽE</t>
  </si>
  <si>
    <t>REZANO CVIJEĆE I ZELENILO; 2. GRUPA REZANO CVIJEĆE I ZELENILO</t>
  </si>
  <si>
    <t>SREDSTVA ZA ODMAŠĆIVANJE, ČIŠĆENJE, ANTIKOROZIVNU ZAŠTITU I SKIDANJE PREMAZA; GRUPA 1 SREDSTVA ZA ODMAŠĆIVANJE, ČIŠĆENJE, ANTIKOROZIVNU ZAŠTITU, SKIDANJE GRAFITA, GUMA ZA ŽVAKANJE I PREMAZA</t>
  </si>
  <si>
    <t>24960000-1</t>
  </si>
  <si>
    <t>07.09.2024.</t>
  </si>
  <si>
    <t>24800000-2</t>
  </si>
  <si>
    <t>SREDSTVA ZA ODMAŠĆIVANJE, ČIŠĆENJE, ANTIKOROZIVNU ZAŠTITU I SKIDANJE PREMAZA</t>
  </si>
  <si>
    <t>DENDRO BILJE; GRUPA 1 GRMLJE BJELOGORICA</t>
  </si>
  <si>
    <t>ODRŽAVANJE I NADOGRADNJA PROGRAMSKOG SUSTAVA IMPERIOS</t>
  </si>
  <si>
    <t>02.11.2024.</t>
  </si>
  <si>
    <t>SREDSTVA ZA ODMAŠĆIVANJE, ČIŠĆENJE, ANTIKOROZIVNU ZAŠTITU I SKIDANJE PREMAZA; GRUPA 3 SREDSTVA ZA ČIŠĆENJE I SKIDANJE KAMENCA U VISOKOTLAČNIM APARATIMA PROIZVOĐAČA KARCHER I WAP</t>
  </si>
  <si>
    <t>05.10.2024.</t>
  </si>
  <si>
    <t>DENDRO BILJE; GRUPA 2 GRMLJE CRNOGORICA</t>
  </si>
  <si>
    <t>DENDRO BILJE; GRUPA 4 DRVEĆE BJELOGORICA</t>
  </si>
  <si>
    <t>DENDRO BILJE; GRUPA 5 MEDITERANSKO DENDRO BILJ</t>
  </si>
  <si>
    <t>OPREMA I REKVIZITI ZA SPORT I REKREACIJU</t>
  </si>
  <si>
    <t>37400000-2</t>
  </si>
  <si>
    <t>09.09.2024.</t>
  </si>
  <si>
    <t>36400000-5</t>
  </si>
  <si>
    <t>OPREMA ZA UPRAVLJANJE I SIGURNOST PRIVREMENE REGULACIJE U CESTOVNOM PROMETU</t>
  </si>
  <si>
    <t>CIJEVI PEHD, PVC I KORUGIRANE</t>
  </si>
  <si>
    <t>44163100-1</t>
  </si>
  <si>
    <t>13.09.2024.</t>
  </si>
  <si>
    <t>25212000-0</t>
  </si>
  <si>
    <t>USLUGE PRIMJENE I ODRŽAVANJA PROGRAMSKE OPREME APIS IT</t>
  </si>
  <si>
    <t>Izuzeće od primjene Zakona o javnoj nabavi</t>
  </si>
  <si>
    <t>06.09.2023.</t>
  </si>
  <si>
    <t>Dodatak ugovora/ugovor-narudžbenice USLUGE PRIMJENE I ODRŽAVANJA PROGRAMSKE OPREME APIS IT</t>
  </si>
  <si>
    <t>152 dana</t>
  </si>
  <si>
    <t>FOLIJE, TRAKE, BOJE ZA SITOTISAK I PRIBOR ZA VERTIKALNU I HORIZONTALNU SIGNALIZACIJU</t>
  </si>
  <si>
    <t>17.10.2024.</t>
  </si>
  <si>
    <t>25213000-7</t>
  </si>
  <si>
    <t>ODRŽAVANJE I POPRAVCI URBANE OPREME I KOMUNALNIH INSTALACIJA NA TRGU BANA JOSIPA JELAČIĆA I U JAVNOM PROLAZU OKTOGON</t>
  </si>
  <si>
    <t>15.09.2024.</t>
  </si>
  <si>
    <t>30.09.2024.</t>
  </si>
  <si>
    <t>26.09.2023.</t>
  </si>
  <si>
    <t>USLUGA PROCJENE TRŽIŠNE VRIJEDNOSTI NEKRETNINA (ZEMLJIŠTA I GRAĐEVINSKIH OBJEKATA)</t>
  </si>
  <si>
    <t>71319000-7</t>
  </si>
  <si>
    <t>28.10.2026.</t>
  </si>
  <si>
    <t>74231000-7</t>
  </si>
  <si>
    <t>LIJEVANA GUMA S UGRADNJOM</t>
  </si>
  <si>
    <t>06.10.2024.</t>
  </si>
  <si>
    <t>POVREMENI NAJAM VOZILA ZA PRIKUPLJANJE OTPADA; GRUPA 2 Vozilo za prikupljanje komunalnog otpada volumena od 10,1 m3 do 18 m3</t>
  </si>
  <si>
    <t>34144510-6</t>
  </si>
  <si>
    <t>03.10.2024.</t>
  </si>
  <si>
    <t>POVREMENI NAJAM VOZILA ZA PRIKUPLJANJE OTPADA; GRUPA 2 Vozilo za prikupljanje komunalnog otpada volumena od 10,1 m3 do 18 m3 za period do 13.10.2023. (Čistoća)</t>
  </si>
  <si>
    <t>34144000-8</t>
  </si>
  <si>
    <t>13.10.2023.</t>
  </si>
  <si>
    <t>28.10.2024.</t>
  </si>
  <si>
    <t>REZERVNI DIJELOVI, POPRAVAK I SERVIS STROJEVA I PRIKLJUČNE OPREME ZA GRAĐEVINARSTVO</t>
  </si>
  <si>
    <t>REZERVNI DIJELOVI, POPRAVAK I SERVIS STROJEVA I PRIKLJUČNE OPREME ZA GRAĐEVINARSTVO; GRUPA 2 REZERVNI DIJELOVI, POPRAVAK I SERVIS RADNIH STROJEVA MARKE VOGELE</t>
  </si>
  <si>
    <t>REZERVNI DIJELOVI, POPRAVAK I SERVIS STROJEVA I PRIKLJUČNE OPREME ZA GRAĐEVINARSTVO; GRUPA 5 REZERVNI DIJELOVI, POPRAVAK I SERVIS RADNIH STROJEVA MARKE BOBCAT</t>
  </si>
  <si>
    <t>24.11.2024.</t>
  </si>
  <si>
    <t>REZERVNI DIJELOVI, POPRAVAK I SERVIS STROJEVA I PRIKLJUČNE OPREME ZA GRAĐEVINARSTVO; GRUPA 8 REZERVNI DIJELOVI, POPRAVAK I SERVIS RADNIH STROJEVA MARKE BOMAG</t>
  </si>
  <si>
    <t>15.11.2024.</t>
  </si>
  <si>
    <t>REZERVNI DIJELOVI, POPRAVAK I SERVIS STROJEVA I PRIKLJUČNE OPREME ZA GRAĐEVINARSTVO; GRUPA 9 REZERVNI DIJELOVI, POPRAVAK I SERVIS RADNIH STROJEVA MARKE JCB</t>
  </si>
  <si>
    <t>CIJEVI OD NODULARNOG LIJEVA</t>
  </si>
  <si>
    <t>22.11.2024.</t>
  </si>
  <si>
    <t>REZERVNI DIJELOVI, POPRAVAK I ODRŽAVANJE POSTROJENJA ZA PROIZVODNJU I RECIKLAŽU ASFALTNIH MJEŠAVINA PROIZVOĐAČA BENNINGHOVEN</t>
  </si>
  <si>
    <t>11.10.2024.</t>
  </si>
  <si>
    <t>27.10.2024.</t>
  </si>
  <si>
    <t>Izmjena ugovora temeljem članka 320. stavak 1. ZJN2016</t>
  </si>
  <si>
    <t>12.11.2022.</t>
  </si>
  <si>
    <t>Dodatak ugovora/ugovor-narudžbenice OPSKRBA ELEKTRIČNOM ENERGIJOM</t>
  </si>
  <si>
    <t>POVREMENI NAJAM STROJEVA I VOZILA ZA ZEMLJANE RADOVE; 15. POVREMENI NAJAM SPECIJALNOG STROJA ZA ISKOPE NA TEŠKO DOSTUPNIM MJESTIMA sa strojarom odnosno rukovateljem</t>
  </si>
  <si>
    <t>100 dana</t>
  </si>
  <si>
    <t>NAFTNI DERIVATI; GRUPA 2 NAFTNI DERIVATI - ISPORUKA NA LOKACIJE NARUČITELJA - DIZEL I BENZINSKO GORIVO</t>
  </si>
  <si>
    <t>02.12.2024.</t>
  </si>
  <si>
    <t>NAFTNI DERIVATI; GRUPA 2 NAFTNI DERIVATI - ISPORUKA NA LOKACIJE NARUČITELJA - DIZEL I BENZINSKO GORIVO za period do 31.05.2023.g. (ČISTOĆA)</t>
  </si>
  <si>
    <t>NAFTNI DERIVATI; GRUPA 2 NAFTNI DERIVATI - ISPORUKA NA LOKACIJE NARUČITELJA - DIZEL I BENZINSKO GORIVO za period do 31.05.2023.g. (ZAGREBAČKI HOLDING)</t>
  </si>
  <si>
    <t>FAZONSKI KOMADI</t>
  </si>
  <si>
    <t>IZOBRAZBA U PODRUČJU ENERGETIKE</t>
  </si>
  <si>
    <t>80530000-8</t>
  </si>
  <si>
    <t>Jednostavna nabava</t>
  </si>
  <si>
    <t>18.08.2021.</t>
  </si>
  <si>
    <t>STOLARSKI RADOVI NA UREĐENJU LOKACIJE PATAČIČKINA 1B</t>
  </si>
  <si>
    <t>45421000-4</t>
  </si>
  <si>
    <t>ORGANIZACIJA INFORMATIVNO EDUKATIVNIH AKTIVNOSTI UZ UVOĐENJE NOVOG MODELA PRIKUPLJANJA MIJEŠANOG KOMUNALNOG OTPADA. Grupa 1. USLUGE PLANIRANJA OGLAŠAVANJA I ZAKUPA MEDIJSKOG PROSTORA</t>
  </si>
  <si>
    <t>79342200-5</t>
  </si>
  <si>
    <t>12.09.2023.</t>
  </si>
  <si>
    <t>OPREMA ZA XII. GIMNAZIJU U DUBRAVI ; GRUPA 1. NAMJEŠTAJ I OPREMA</t>
  </si>
  <si>
    <t>39162000-5</t>
  </si>
  <si>
    <t>20.10.2023.</t>
  </si>
  <si>
    <t>POSTAVLJANJE OGRADA OKO VODOOPSKRBNIH OBJEKATA USLUŽNOG PODRUČJA VIO D.O.O. ZAGREB; GRUPA 1: POSTAVLJANJE OGRADA OKO VODOOPSKRBNIH OBJEKATA USLUŽNOG PODRUČJA VIO D.O.O. ZAGREB</t>
  </si>
  <si>
    <t>45342000-6</t>
  </si>
  <si>
    <t>10.12.2023.</t>
  </si>
  <si>
    <t>IZRADA SNIMKE POSTOJEĆEG STANJA I ISTRAŽNI RADOVI NA ARKADAMA I CRKVI KRISTA KRALJA NA GROBLJU MIROGOJ; GRUPA 1. - IZRADA SNIMAKA POSTOJEĆEG STANJA ARKADA I CRKVE KRISTA KRALJA</t>
  </si>
  <si>
    <t>71300000-1</t>
  </si>
  <si>
    <t>02.08.2023.</t>
  </si>
  <si>
    <t>SREDNJETLAČNI REGULATORI TLAKA;GRUPA 1. SREDNJETLAČNI REGULATOR TLAKA PLINA JEDNOSTUPANJSKI SA GORNJOM BLOKADOM I SIGURNOSNIM ISPUŠNIM VENTILOM, DN 25 NAVOJNI</t>
  </si>
  <si>
    <t>38423000-6</t>
  </si>
  <si>
    <t>SREDNJETLAČNI REGULATORI TLAKA. Grupa 1 – SREDNJOTLAČNI REGULATORI TLAKA PROTOKA DO  25 m3/h</t>
  </si>
  <si>
    <t>04.02.2023.</t>
  </si>
  <si>
    <t>OPREMA ZA OBRADU ODVOJENO PRIKUPLJENOG BIOOTPADA. GRUPA 1 – STROJ ZA IZDVAJANJE FOLIJE IZ KOMPOSTA</t>
  </si>
  <si>
    <t>43410000-0</t>
  </si>
  <si>
    <t>11.04.2023.</t>
  </si>
  <si>
    <t>GRAĐEVINSKI STROJEVI I OPREMA. Grupa 1 – Priključna četka za korov</t>
  </si>
  <si>
    <t>43300000-6</t>
  </si>
  <si>
    <t>UREĐAJI ZA KLIMATIZACIJU. Grupa 1 – Klima uređaji</t>
  </si>
  <si>
    <t>42512000-8</t>
  </si>
  <si>
    <t>ELEKTRIČNI ALATI. Grupa 1 – RUČNI ELEKTRIČNI ALATI ZA PODRUŽNICU ČISTOĆA</t>
  </si>
  <si>
    <t>43830000-0</t>
  </si>
  <si>
    <t>09.07.2021.</t>
  </si>
  <si>
    <t>09.07.2022.</t>
  </si>
  <si>
    <t>27.09.2021.</t>
  </si>
  <si>
    <t>VISOKOTLAČNI REGULATORI TLAKA. Grupa 1 – VISOKOTLAČNI REGULATORI TLAKA proizvođača Itron ili jednakovrijedan</t>
  </si>
  <si>
    <t>INFORMATIČKA I AUDIO VIZUALNA OPREMA ZA POTREBE DOMA ZA STARIJE OSOBE MARKUŠEVEC. GRUPA 2: audio vizualna oprema</t>
  </si>
  <si>
    <t>30000000-9</t>
  </si>
  <si>
    <t>15.09.2023.</t>
  </si>
  <si>
    <t>ORGANIZACIJA INFORMATIVNO EDUKATIVNIH AKTIVNOSTI UZ UVOĐENJE NOVOG MODELA PRIKUPLJANJA MIJEŠANOG KOMUNALNOG OTPADA. Grupa 2. USLUGE PRODUKCIJE PROMIDŽBENIH SREDSTAVA I MATERIJALA</t>
  </si>
  <si>
    <t>OPREMA ZA XII. GIMNAZIJU U DUBRAVI GRUPA 2. INFORMATIČKA OPREMA I EL.UREĐAJI</t>
  </si>
  <si>
    <t>18.10.2023.</t>
  </si>
  <si>
    <t>POSTAVLJANJE OGRADA OKO VODOOPSKRBNIH OBJEKATA USLUŽNOG PODRUČJA VIO D.O.O. ZAGREB; GRUPA 2: POSTAVLJANJE OGRADA OKO VODOCRPILIŠTA MALA MLAKA CJELINA "C"</t>
  </si>
  <si>
    <t>SREDNJETLAČNI REGULATORI TLAKA;GRUPA 2. SREDNJETLAČNI REGULATOR TLAKA PLINA JEDNOSTUPANJSKI SA GORNJOM BLOKADOM I SIGURNOSNOM MEMBRANOM, DN 25 NAVOJNI</t>
  </si>
  <si>
    <t>SREDNJETLAČNI REGULATORI TLAKA. Grupa 2 – SREDNJOTLAČNI REGULATORI TLAKA PROTOKA  DO 40 m3/h</t>
  </si>
  <si>
    <t>OPREMA ZA OBRADU ODVOJENO PRIKUPLJENOG BIOOTPADA. GRUPA 2 – STROJ ZA PREVRTANJE KOMPOSTNIH HRPA</t>
  </si>
  <si>
    <t>GRAĐEVINSKI STROJEVI I OPREMA. Grupa 2 – Hidraulični čekići</t>
  </si>
  <si>
    <t>05.07.2021.</t>
  </si>
  <si>
    <t>11.08.2021.</t>
  </si>
  <si>
    <t>UREĐAJI ZA KLIMATIZACIJU. Grupa 2 – Dolac – zamjena rashladno ventilacijskog sustava u ribarnici</t>
  </si>
  <si>
    <t>VISOKOTLAČNI REGULATORI TLAKA. Grupa 2. VISOKOTLAČNI REGULATORI TLAKA proizvođača Tartarini ili jednakovrijedan</t>
  </si>
  <si>
    <t>28.05.2022.</t>
  </si>
  <si>
    <t>ORGANIZACIJA INFORMATIVNO EDUKATIVNIH AKTIVNOSTI UZ UVOĐENJE NOVOG MODELA PRIKUPLJANJA MIJEŠANOG KOMUNALNOG OTPADA. Grupa 3. USLUGE PODRŠKE VOĐENJA ODNOSA S JAVNOSTIMA</t>
  </si>
  <si>
    <t>OPREMA ZA XII. GIMNAZIJU U DUBRAVI ; GRUPA 3. OBRAZOVNA OPREMA, PRIBOR I UČILA</t>
  </si>
  <si>
    <t>SREDNJETLAČNI REGULATORI TLAKA; GRUPA 3. REGULATOR TLAKA PLINA JEDNOSTUPANJSKI SREDNJETLAČNI DN 40 PRIRUBNIČKI</t>
  </si>
  <si>
    <t>OPREMA ZA OBRADU ODVOJENO PRIKUPLJENOG BIOOTPADA. GRUPA 3 – STROJ ZA USITNJAVANJE BIOMASE</t>
  </si>
  <si>
    <t>OPREMA DOMA ZA STARIJE OSOBE MARKUŠEVEC ; GRUPA 3: MEDICINSKA  OPREMA</t>
  </si>
  <si>
    <t>39000000-2</t>
  </si>
  <si>
    <t>GRAĐEVINSKI STROJEVI I OPREMA. Grupa 3 – Vibro ploče</t>
  </si>
  <si>
    <t>UREĐAJI ZA KLIMATIZACIJU. Grupa 3 – Dolac – nadogradnja sustava ventilacije i klimatizacije hale</t>
  </si>
  <si>
    <t>21.06.2023.</t>
  </si>
  <si>
    <t>OPREMA ZA XII. GIMNAZIJU U DUBRAVI ; GRUPA 4. AMBULANTNA OPREMA I PRIBOR ZA ODRŽAVANJE</t>
  </si>
  <si>
    <t>SREDNJETLAČNI REGULATORI TLAKA; GRUPA 4. REGULATOR TLAKA PLINA JEDNOSTUPANJSKI SREDNJETLAČNI DN 50 PRIRUBNIČKI</t>
  </si>
  <si>
    <t>14.10.2023.</t>
  </si>
  <si>
    <t>OPREMA ZA OBRADU ODVOJENO PRIKUPLJENOG BIOOTPADA. GRUPA 4 – STROJ ZA PROSIJAVANJE KOMPOSTA I SJEČKE</t>
  </si>
  <si>
    <t>ELEKTRIČNI ALATI. Grupa 4 – ELEKTRIČNI ALATI ZA PODRUŽNICU GRADSKA GROBLJA</t>
  </si>
  <si>
    <t>14.09.2021.</t>
  </si>
  <si>
    <t>OPREMA ZA XII. GIMNAZIJU U DUBRAVI ; GRUPA 5. SPORTSKA OPREMA I PRIBOR</t>
  </si>
  <si>
    <t>24.10.2023.</t>
  </si>
  <si>
    <t>SREDNJETLAČNI REGULATORI TLAKA; GRUPA 5. SREDNJETLAČNI REGULATOR TLAKA PLINA JEDNOSTUPANJSKI SA GORNJOM BLOKADOM I SIGURNOSNOM MEMBRANOM DN 25 PRIRUBNIČKI</t>
  </si>
  <si>
    <t>OPREMA DOMA ZA STARIJE OSOBE MARKUŠEVEC; GRUPA 5: TEKSTILNA OPREMA I ZAVJESE</t>
  </si>
  <si>
    <t>ELEKTRIČNI ALATI. Grupa 5 – ELEKTRIČNI ALATI ZA PODRUŽNICU ZRINJEVAC, ROBNI TERMINALI ZAGREB I ZAGREBPARKING</t>
  </si>
  <si>
    <t>01.09.2021.</t>
  </si>
  <si>
    <t>NISKOPODNA TRAMVAJSKA VOZILA TMK 2200 PUTEM FINANCIJSKOG LEASINGA</t>
  </si>
  <si>
    <t>34620000-9</t>
  </si>
  <si>
    <t>31.07.2013.</t>
  </si>
  <si>
    <t xml:space="preserve">Cijene su izražene u kunama preračunato po tečaju 7,50 kn/euro iz razloga što su planirani iznosi u kunama </t>
  </si>
  <si>
    <t>PRODAJA BUDUĆIH NOVČANIH TOKOVA (POTRAŽIVANJA) NA TEMELJU UGOVORA O KUPOPRODAJI NEKRETNINE - "ZAGREPČANKA"</t>
  </si>
  <si>
    <t>66000000-0</t>
  </si>
  <si>
    <t>09.10.2013.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</si>
  <si>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</si>
  <si>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</si>
  <si>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</si>
  <si>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</si>
  <si>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PRODAJA BUDUĆIH NOVČANIH TOKOVA (POTRAŽIVANJA) NA TEMELJU UGOVORA O ZAKUPU POSLOVNIH PROSTORA U NASELJU NOVI JELKOVEC U SESVETAMA</t>
  </si>
  <si>
    <t>02.06.2014.</t>
  </si>
  <si>
    <t>VOZILA I STROJEVI PUTEM OPERATIVNOG LEASINGA. Grupa 1. Specijalna vozila – autocisterne za prijevoz vode za piće</t>
  </si>
  <si>
    <t>06.07.2016.</t>
  </si>
  <si>
    <t>02.04.2018.</t>
  </si>
  <si>
    <t>VOZILA I STROJEVI PUTEM OPERATIVNOG LEASINGA; Grupa 2. Specijalna vozila – za usisavanje i ispiranje cijevi odvodnog sustava</t>
  </si>
  <si>
    <t>04.09.2017.</t>
  </si>
  <si>
    <t>04.09.2023.</t>
  </si>
  <si>
    <t>VOZILA I STROJEVI PUTEM OPERATIVNOG LEASINGA</t>
  </si>
  <si>
    <t>01.09.2016.</t>
  </si>
  <si>
    <t>USLUGA KOORDINATORA ZA ZAŠTITU NA RADU U FAZI IZVOĐENJA RADOVA - KOORDINATOR II.</t>
  </si>
  <si>
    <t>09.09.2021.</t>
  </si>
  <si>
    <t>DOSTAVNA I TERETNA VOZILA PUTEM FINANCIJSKOG LEASINGA. Grupa 2. Kiper s dizalicom i grajferom za odvoz glomaznog otpada volumena do 18 m3</t>
  </si>
  <si>
    <t>04.04.2019.</t>
  </si>
  <si>
    <t>DOSTAVNA I TERETNA VOZILA PUTEM FINANCIJSKOG LEASINGA. Grupa 3. Kiper s dizalicom i sajlom/kukom -opremiti vagom volumena do 18 m3</t>
  </si>
  <si>
    <t>DOSTAVNA I TERETNA VOZILA PUTEM FINANCIJSKOG LEASINGA., Grupa 4. Kiper s dizalicom i grajferom za RD s vagom na sanduku volumena 18m3</t>
  </si>
  <si>
    <t>DOSTAVNA I TERETNA VOZILA PUTEM FINANCIJSKOG LEASINGA. Grupa 5. Autopodizač s vagom</t>
  </si>
  <si>
    <t>VOZILA ZA SAKUPLJANJE OTPADA PUTEM FINANCIJSKOG LEASINGA. Grupa 4. Vozilo za odvoz odvojeno prikupljenog otpada do 16 m3  -sabijanje otpada putem dvodijelne potisne ploče</t>
  </si>
  <si>
    <t>27.02.2019.</t>
  </si>
  <si>
    <t>27.02.2022.</t>
  </si>
  <si>
    <t>OPREMA ZA MANIPULACIJU TERETOM PUTEM OPERATIVNOG LEASINGA</t>
  </si>
  <si>
    <t>42410000-3</t>
  </si>
  <si>
    <t>Otvoreni postupak</t>
  </si>
  <si>
    <t>04.12.2018.</t>
  </si>
  <si>
    <t>STRUČNI NADZOR NAD IZGRADNJOM VODOOPSKRBNIH CJEVOVODA U NASELJU STARO I NOVO BRESTJE, BRESTOVEČKA OD ZAGREBAČKE DO ULICE JOSIPA RAČIĆA</t>
  </si>
  <si>
    <t>01.03.2019.</t>
  </si>
  <si>
    <t>01.03.2020.</t>
  </si>
  <si>
    <t>31.10.2020.</t>
  </si>
  <si>
    <t>Aneks - produljenje roka</t>
  </si>
  <si>
    <t>20.04.2020.</t>
  </si>
  <si>
    <t>VOZILA I STROJEVI PUTEM OPERATIVNOG LEASINGA. Grupa 1: V3. SPECIJALNO KOMBINIRANO VOZILO ZA ISPIRANJE I USISAVANJE</t>
  </si>
  <si>
    <t>12.03.2019.</t>
  </si>
  <si>
    <t>12.03.2023.</t>
  </si>
  <si>
    <t>VOZILA I STROJEVI PUTEM OPERATIVNOG LEASINGA. Grupa 2: V1. SPECIJALNO MALO VOZILO ZA ISPIRANJE KANALA, V2. SPECIJALNO MALO VOZILO ZA USISAVANJE, V4. SPECIJALNO KOMBINIRANO VOZILO ZA ISPIRANJE I USISAVANJE</t>
  </si>
  <si>
    <t>PRIKOLICE PUTEM FINANCIJSKOG LEASINGA. GRUPA 1. PRIKOLICA ZA PRIJEVOZ ROLO KONTEJNERA</t>
  </si>
  <si>
    <t>34223300-9</t>
  </si>
  <si>
    <t>20.03.2019.</t>
  </si>
  <si>
    <t>KONCEPCIJSKO RJEŠENJE VODOOPSKRBE NA USLUŽNOM PODRUČJU KOJIM UPRAVLJA VIO d.o.o. ZAGREB, S IZRADOM DETALJNOG HIDRAULIČKOG MATEMATIČKOG MODELA STANJA RAZVOJA I PREDSTUDIJOM IZVODLJIVOSTI</t>
  </si>
  <si>
    <t>71322000-1</t>
  </si>
  <si>
    <t>29.05.2021.</t>
  </si>
  <si>
    <t>Izmjena ugovora temeljem članka 320 stavak 1. ZJN2016</t>
  </si>
  <si>
    <t>E-PLATFORMA ZGH</t>
  </si>
  <si>
    <t>48211000-0</t>
  </si>
  <si>
    <t>04.06.2019.</t>
  </si>
  <si>
    <t>PROJEKTANTSKI NADZOR NAD GRAĐENJEM, ODRŽAVANJEM I UPRAVLJANJEM PODSUSTAVIMA ODLAGALIŠTA OTPADA JAKUŠEVEC</t>
  </si>
  <si>
    <t>71248000-8</t>
  </si>
  <si>
    <t>06.05.2019.</t>
  </si>
  <si>
    <t>30.09.2021.</t>
  </si>
  <si>
    <t>IZRADA IDEJNOG, GLAVNOG I IZVEDBENOG PROJEKTA POVEĆANJA KAPACITETA VODOSPREMNIKA OPOROVEC I REKONSTRUKCIJA ULAZNIH CJEVOVODA</t>
  </si>
  <si>
    <t>11.10.2019.</t>
  </si>
  <si>
    <t>11.10.2020.</t>
  </si>
  <si>
    <t>13.08.2021.</t>
  </si>
  <si>
    <t>GEODETSKO SNIMANJE VODOOPSKRBNE I ODVODNE INFRASTRUKTURE USLUŽNOG PODRUČJA VODOOPSKRBE I ODVODNJE d.o.o., ZAGREB</t>
  </si>
  <si>
    <t>12.03.2020.</t>
  </si>
  <si>
    <t>15.08.2022.</t>
  </si>
  <si>
    <t>STRUČNO FINANCIJSKI NADZOR NAD RADOVIMA GRAĐENJA, ODRŽAVANJA I UPRAVLJANJA PODSUSTAVIMA ODLAGALIŠTA OTPADA JAKUŠEVEC</t>
  </si>
  <si>
    <t>24.03.2023.</t>
  </si>
  <si>
    <t>30.03.2020.</t>
  </si>
  <si>
    <t>VOZILA I STROJEVI PUTEM FINANCIJSKOG LEASINGA. Grupa 1 – Teretna vozila iznad 3500 kg najveće dopuštene mase</t>
  </si>
  <si>
    <t>05.05.2020.</t>
  </si>
  <si>
    <t>05.05.2025.</t>
  </si>
  <si>
    <t>VOZILA I STROJEVI PUTEM FINANCIJSKOG LEASINGA; Grupa 2 -Teretna vozila do 3500 kg najveće dopuštene mase za prijevoz ljudi i opreme</t>
  </si>
  <si>
    <t>07.05.2020.</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</si>
  <si>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</si>
  <si>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</si>
  <si>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</si>
  <si>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</si>
  <si>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</si>
  <si>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LABORATORIJSKI APARATI I UREĐAJI. GRUPA 8. UV-VIS</t>
  </si>
  <si>
    <t>38000000-5</t>
  </si>
  <si>
    <t>21.10.2020.</t>
  </si>
  <si>
    <t>SERVIS ROTACIJSKIH I TURBINSKIH PLINOMJERA OD G-16 DO G-1600 i ISPITIVANJE i OVJERAVANJE TURBINSKIH PLINOMJERA OD G-400 DO G-1600</t>
  </si>
  <si>
    <t>50411200-1</t>
  </si>
  <si>
    <t>ODRŽAVANJE PROZA NET SCADA SUSTAVA</t>
  </si>
  <si>
    <t>50324100-3</t>
  </si>
  <si>
    <t>05.01.2021.</t>
  </si>
  <si>
    <t>IZGRADNJA VODOOPSKRBNOG CJEVOVODA U ODVOJKU ULICE VINKA KINDERA I ULICI PUT LOZA U SESVETAMA</t>
  </si>
  <si>
    <t>07.01.2021.</t>
  </si>
  <si>
    <t>07.01.2022.</t>
  </si>
  <si>
    <t>GEODETSKI INSTRUMENTI I PRIBOR</t>
  </si>
  <si>
    <t>38296000-6</t>
  </si>
  <si>
    <t>12.03.2021.</t>
  </si>
  <si>
    <t>IZGRADNJA FEKALNE KANALIZACIJE I VODOOPSKRBNIH CJEVOVODA U ULICAMA PETRA PRERADOVIĆA I STANKA VRAZA U SVETOJ NEDELJI</t>
  </si>
  <si>
    <t>RASHLADNE VITRINE ZA PRODAJU MLIJEČNIH PROIZVODA NA TRŽNICAMA</t>
  </si>
  <si>
    <t>42513210-0</t>
  </si>
  <si>
    <t>IZGRADNJA FEKALNE KANALIZACIJE U ULICI IVANA SOPIĆA U BREZJU</t>
  </si>
  <si>
    <t>PRIKOLICE</t>
  </si>
  <si>
    <t>PROCJENE RIZIKA POSLOVNOG I INDUSTRIJSKOG SUSTAVA</t>
  </si>
  <si>
    <t>72316000-3</t>
  </si>
  <si>
    <t>31.05.2021.</t>
  </si>
  <si>
    <t>REKONSTRUKCIJA PALETNIH DIZALA U HALI VELETRŽNICE</t>
  </si>
  <si>
    <t>45313100-5</t>
  </si>
  <si>
    <t>IZGRADNJA NOVE PLINSKE MREŽE STP U DIJELU ULICE MIRKA RAČKOG S ODVOJCIMA</t>
  </si>
  <si>
    <t>UREĐAJ ZA OBRANU OD NAPREDNIH ZLOĆUDNIH NAPADA</t>
  </si>
  <si>
    <t>30230000-0</t>
  </si>
  <si>
    <t>02.03.2021.</t>
  </si>
  <si>
    <t>REKONSTRUKCIJA JAVNOG KANALA U ILOČKOJ ULICI</t>
  </si>
  <si>
    <t>15.03.2021.</t>
  </si>
  <si>
    <t>IZGRADNJA JAVNOG KANALA U DIJELU ULICE I. RESNIK</t>
  </si>
  <si>
    <t>IZGRADNJA (PRODUŽENJE) VODOOPSKRBNE MREŽE NA PODRUČJU GRADSKE ČETVRTI GORNJA DUBRAVA - CJELINA 3</t>
  </si>
  <si>
    <t>REKONSTRUKCIJA JAVNOG KANALA U SOKOLGRADSKOJ ULICI</t>
  </si>
  <si>
    <t>SUSTAV VIDEONADZORA NA RECIKLAŽNIM DVORIŠTIMA</t>
  </si>
  <si>
    <t>35125000-6</t>
  </si>
  <si>
    <t>REKONSTRUKCIJA KANALIZACIJE U ULICI DONJI RIM</t>
  </si>
  <si>
    <t>IZGRADNJA (PRODUŽENJE) VODOOPSKRBNE MREŽE NA PODRUČJU GRADSKE ČETVRTI GORNJA DUBRAVA - CJELINA 4</t>
  </si>
  <si>
    <t>IZGRADNJA JAVNOG KANALA U DIJELU ULICE VELIKI VRH</t>
  </si>
  <si>
    <t>04.03.2021.</t>
  </si>
  <si>
    <t>BRTVA VATROOTPORNA ZA PLINOMJER DN25, DN40, DN50 - GUMENA</t>
  </si>
  <si>
    <t>44425200-7</t>
  </si>
  <si>
    <t>REKONSTRUKCIJA ULAZNOG PROSTORA I ADAPTACIJA GARAŽNOG PROSTORA U UREDSKI PROSTOR</t>
  </si>
  <si>
    <t>45454100-5</t>
  </si>
  <si>
    <t>IZGRADNJA JAVNOG KANALA U ULICI DUBJE</t>
  </si>
  <si>
    <t>17.03.2021.</t>
  </si>
  <si>
    <t>JEZGRENA IT INFRASTRUKTURA</t>
  </si>
  <si>
    <t>30200000-1</t>
  </si>
  <si>
    <t>UPRAVLJANJE PROJEKTOM IZGRADNJE GRAĐEVINE A11 NASELJA PODBREŽJE</t>
  </si>
  <si>
    <t>71541000-2</t>
  </si>
  <si>
    <t>26.03.2021.</t>
  </si>
  <si>
    <t>26.11.2028.</t>
  </si>
  <si>
    <t>ZAGREBAČKA STANOGRADNJA D.O.O.</t>
  </si>
  <si>
    <t>STRUČNI NADZOR NAD IZGRADNJOM XII. GIMNAZIJE U DUBRAVI</t>
  </si>
  <si>
    <t>UPRAVLJANJE PROJEKTOM IZGRADNJE XII. GIMNAZIJE U DUBRAVI</t>
  </si>
  <si>
    <t>VODOISTRAŽNI RADOVI NA AKTIVNIM IZVORIŠTIMA</t>
  </si>
  <si>
    <t>45120000-4</t>
  </si>
  <si>
    <t>30.03.2021.</t>
  </si>
  <si>
    <t>IZGRADNJA (PRODUŽENJE) VODOOPSKRBNE MREŽE NA PODRUČJU GRADSKE ČETVRTI GORNJA DUBRAVA - CJELINA 2</t>
  </si>
  <si>
    <t>REKONSTRUKCIJA VODOOPSKRBNOG CJEVOVODA U ULICAMA KOZARI BOK I. ODVOJAK, II. ODVOJAK I III. ODVOJAK</t>
  </si>
  <si>
    <t>45232151-5</t>
  </si>
  <si>
    <t>REKONSTRUKCIJA (IZMJEŠTANJE) VODOOPSKRBNOG CJEVOVODA U DIJELU ULICE IVANA ŠIMUNOVIĆA - SESVETE</t>
  </si>
  <si>
    <t>IZGRADNJA JAVNOG KANALA S PRECRPNOM STANICOM U ULICI OREHOVEČKI ODVOJAK</t>
  </si>
  <si>
    <t>IZGRADNJA JAVNOG KANALA U ULICI LIPOVČICA</t>
  </si>
  <si>
    <t>REKONSTRUKCIJA JAVNOG KANALA U ULICI RAKITNICA</t>
  </si>
  <si>
    <t>IZGRADNJA (PRODUŽENJE) VODOOPSKRBNE MREŽE NA PODRUČJU GRADSKE ČETVRTI GORNJA DUBRAVA - CJELINA 5</t>
  </si>
  <si>
    <t>01.04.2021.</t>
  </si>
  <si>
    <t>IZGRADNJA VODOOPSKRBNOG CJEVOVODA U HORVATOVOM PUTU ZA SPAJANJE NA III. ZONU</t>
  </si>
  <si>
    <t>REKONSTRUKCIJA KANALIZACIJSKE I VODOOPSKRBNE MREŽE U SKLOPU ZAHVATA "ROTOR ŠESTINE"</t>
  </si>
  <si>
    <t>05.04.2021.</t>
  </si>
  <si>
    <t>IZGRADNJA VODOOPSKRBNOG CJEVOVODA U DIJELU ODVOJKA ULICE ŠTEFANOVEC I DIJELU ULICE VINCEKOV BREG</t>
  </si>
  <si>
    <t>16.04.2021.</t>
  </si>
  <si>
    <t>16.04.2022.</t>
  </si>
  <si>
    <t>IZGRADNJA XII. GIMNAZIJE U DUBRAVI</t>
  </si>
  <si>
    <t>45214220-8</t>
  </si>
  <si>
    <t>06.04.2021.</t>
  </si>
  <si>
    <t>06.08.2022.</t>
  </si>
  <si>
    <t>REKONSTRUKCIJA HIDRANTSKE MREŽE KOMPLEKSA ZAGREPČANKA</t>
  </si>
  <si>
    <t>UREĐAJ ZA ZAŠTITU VANJSKOG MREŽNOG PROMETA</t>
  </si>
  <si>
    <t>ADAPTACIJA KROVIŠTA JG GORICA S UGRADNJOM SOLARNIH PANELA</t>
  </si>
  <si>
    <t>45261215-4</t>
  </si>
  <si>
    <t>GRAĐEVINSKI STROJEVI I OPREMA</t>
  </si>
  <si>
    <t>17.06.2021.</t>
  </si>
  <si>
    <t>REKONSTRUKCIJA JAVNIH KANALA U ULICAMA JABUKOVAC, PAUNOVAC I SLAVUJEVAC NA TUŠKANCU</t>
  </si>
  <si>
    <t>45232410-9</t>
  </si>
  <si>
    <t>11.09.2022.</t>
  </si>
  <si>
    <t>UGRADNJA GROMOBRANSKIH INSTALACIJA NA OBJEKTIMA KOMPLEKSA ZAGREPČANKA</t>
  </si>
  <si>
    <t>45312311-0</t>
  </si>
  <si>
    <t>IZGRADNJA (PRODUŽENJE) VODOOPSKRBNE MREŽE NA PODRUČJU GRADSKE ČETVRTI GORNJA DUBRAVA - CJELINA 1</t>
  </si>
  <si>
    <t>03.05.2021.</t>
  </si>
  <si>
    <t>IZGRADNJA HIDROFORSKE STANICE ADAMOVEC</t>
  </si>
  <si>
    <t>IZGRADNJA VODOOPSKRBNOG CJEVOVODA U ULICI JURINE</t>
  </si>
  <si>
    <t>UREĐAJ ZA MREŽNO KRIPTIRANJE PODATAKA, CN6100, IZMEĐU CENTRALNE LOKACIJE I DR SITE, BRZINE 1 GBIT7/S</t>
  </si>
  <si>
    <t>13.07.2021.</t>
  </si>
  <si>
    <t>STROJARSKI I ELEKTRO RADOVI NA BLOK STANICI PODSUSEDSKI MOST ISTOK I ZAPAD</t>
  </si>
  <si>
    <t>45300000-0</t>
  </si>
  <si>
    <t>SANACIJA KAPTAŽNOG SUSTAVA ADOLFOVAC</t>
  </si>
  <si>
    <t>07.06.2021.</t>
  </si>
  <si>
    <t>IZRADA PROJEKTNE I TEHNIČKE DOKUMENTACIJE REKONSTRUKCIJE 12 OBJEKATA NA LOKACIJI GRAD MLADIH</t>
  </si>
  <si>
    <t>71320000-7</t>
  </si>
  <si>
    <t>REKONSTRUKCIJA VANJSKE RASVJETE VODOOPSKRBE I ODVODNJE d.o.o.</t>
  </si>
  <si>
    <t>45316000-5</t>
  </si>
  <si>
    <t>IZMJEŠTANJE VODOOPSKRBNOG CJEVOVODA I JAVNOG KANALA U DIJELU BIJENIČKE CESTE</t>
  </si>
  <si>
    <t>16.06.2021.</t>
  </si>
  <si>
    <t>IZGRADNJA KOMUNALNE BAZE "JUG"</t>
  </si>
  <si>
    <t>45213000-3</t>
  </si>
  <si>
    <t>11.06.2021.</t>
  </si>
  <si>
    <t>RAZVOJ MOBILNE APLIKACIJE ZA PRODAJU AUTOBUSNIH KARATA ZA OPERATIVNE SUSTAVE ANDROID I IOS</t>
  </si>
  <si>
    <t>72230000-6</t>
  </si>
  <si>
    <t>OPREMA ZA DALJINSKO OČITAVANJE VELIKIH POTROŠAČA GPRS SUSTAVOM</t>
  </si>
  <si>
    <t>38820000-9</t>
  </si>
  <si>
    <t>OPREMA ZA MJERENJE PROTOKA TEKUĆINA I PLINOVA</t>
  </si>
  <si>
    <t>02.03.2023.</t>
  </si>
  <si>
    <t>IZGRADNJA NADZORNO UPRAVLJAČKOG CENTRA ODVODNJE</t>
  </si>
  <si>
    <t>45213100-4</t>
  </si>
  <si>
    <t>29.09.2024.</t>
  </si>
  <si>
    <t>ODRŽAVANJE I NADOGRADNJA POSTOJEĆIH APLIKATIVNIH RJEŠENJA MIS</t>
  </si>
  <si>
    <t>MREŽICE I USNACE ZA PLINSKE SVJETILJKE</t>
  </si>
  <si>
    <t>31532000-4</t>
  </si>
  <si>
    <t>14.05.2022.</t>
  </si>
  <si>
    <t>IZRADA IDEJNOG, GLAVNOG I IZVEDBENOG PROJEKTA IZGRADNJE JAVNOG KANALA U ULICI VIDOVEC ISTOČNO I ZAPADNO OD POTOKA</t>
  </si>
  <si>
    <t>CEF 2019-HR-IA-0090/A2.3. SIEM SUSTAV ZA INDUSTRIJSKI I POSLOVNI SEGMENT MREŽE S UKLJUČENIM JEDNOGODIŠNJIM ODRŽAVANJEM I PODRŠKOM</t>
  </si>
  <si>
    <t>30233141-1</t>
  </si>
  <si>
    <t>NAPRAVA ZA OBUSTAVU PROTOKA PLINA RAVETTI H2</t>
  </si>
  <si>
    <t>44162100-4</t>
  </si>
  <si>
    <t>REKONSTRUKCIJA VODOOPSKRBNIH CJEVOVODA U ZAPADNOM DIJELU GRADA SAMOBORA (KOLODVORSKO NASELJE)</t>
  </si>
  <si>
    <t>23.09.2021.</t>
  </si>
  <si>
    <t>23.03.2023.</t>
  </si>
  <si>
    <t>IZGRADNJA VODOOPSKRBNOG CJEVOVODA U PRODUŽENOJ BRANIMIROVOJ ULICI U SESVETAMA (OD ZAGREBAČKE CESTE DO BRESTOVEČKE ULICE)</t>
  </si>
  <si>
    <t>ODRŽAVANJE SCADA PROZA NET PROGRAMA</t>
  </si>
  <si>
    <t>REKONSTRUKCIJA I IZGRADNJA JAVNIH KANALA U ULICI KRSTE HEGEDUŠIĆA I GRETE TURKOVIĆ SRIĆA S ODVOJCIMA U NASELJU STARO BRESTJE</t>
  </si>
  <si>
    <t>IZGRADNJA KANALIZACIJSKE MREŽE NASELJA GORNJI I DONJI JAREK</t>
  </si>
  <si>
    <t>RADNI PRIJENOSNI ETALON</t>
  </si>
  <si>
    <t>IZGRADNJA JAVNIH KANALA U SLIVU SABIRNOG KANALA LETNIČKA - OLOVSKA - FUČEKI U NASELJU SESVETSKA SELA</t>
  </si>
  <si>
    <t>IZRADA TEHNIČKOG DIJELA DOKUMENTACIJE ZA GRAĐENJE, ODRŽAVANJE I UPRAVLJANJE PODSUSTAVIMA ODLAGALIŠTA OTPADA JAKUŠEVEC</t>
  </si>
  <si>
    <t>30.06.2026.</t>
  </si>
  <si>
    <t>IZGRADNJA VODOOPSKRBNIH CJEVOVODA I JAVNIH KANALA UNUTAR UPU-A PEŠČENICA SJEVER-ŠTRIGINA</t>
  </si>
  <si>
    <t>IZRADA PROJEKTNO TEHNIČKE DOKUMENTACIJE SANACIJE MRTVAČNICE NA GROBLJU MIROGOJ</t>
  </si>
  <si>
    <t>IZVOĐENJE RADOVA NA UREĐENJU PODOVA RS</t>
  </si>
  <si>
    <t>45430000-0</t>
  </si>
  <si>
    <t>07.03.2023.</t>
  </si>
  <si>
    <t>REMONTNI I SANACIJSKI RADOVI KREMACIJSKIH PEĆI</t>
  </si>
  <si>
    <t>45453000-7</t>
  </si>
  <si>
    <t>28.03.2023.</t>
  </si>
  <si>
    <t>MONITORING IZVORIŠTA VODOOPSKRBNIH SUSTAVA ZAGREBA I SAMOBORA</t>
  </si>
  <si>
    <t>90733000-4</t>
  </si>
  <si>
    <t>04.04.2023.</t>
  </si>
  <si>
    <t>STROJEVI ZA MASOVNI ISPIS</t>
  </si>
  <si>
    <t>30123000-7</t>
  </si>
  <si>
    <t>IZRADA PROJEKTNO TEHNIČKE DOKUMENTACIJE SANACIJE UPRAVNE ZGRADE NA GROBLJU MIROGOJ</t>
  </si>
  <si>
    <t>06.04.2023.</t>
  </si>
  <si>
    <t>16.07.2023.</t>
  </si>
  <si>
    <t>IZRADA IDEJNOG, GLAVNOG I IZVEDBENOG PROJEKTA ZA IZGRADNJU JAVNIH KANALA ODVODNJE I VODOOPSKRBNOG CJEVOVODA U NASELJU DUPCI</t>
  </si>
  <si>
    <t>IZGRADNJA JAVNOG KANALA U ULICI JEROLIMA MIŠE</t>
  </si>
  <si>
    <t>IZGRADNJA JAVNOG KANALA U ULICI BRANOVEČINA OD K.BR. 19A DO K.BR. 19H</t>
  </si>
  <si>
    <t>IZGRADNJA I REKONSTRUKCIJA VODOOPSKRBNOG CJEVOVODA U ULICI KUREKOV BREG S ODVOJCIMA</t>
  </si>
  <si>
    <t>21.04.2023.</t>
  </si>
  <si>
    <t>REKONSTRUKCIJA VODOOPSKRBNIH CJEVOVODA U ULICAMA JABLANA, JELA, BRŠLJANA I ČEMPRESA</t>
  </si>
  <si>
    <t>19.04.2023.</t>
  </si>
  <si>
    <t>RAZGRADNJA TORNJEVA NA CRKVI KRISTA KRALJA NA GROBLJU MIROGOJ</t>
  </si>
  <si>
    <t>45262000-1</t>
  </si>
  <si>
    <t>12.05.2023.</t>
  </si>
  <si>
    <t>IZRADA IDEJNOG, GLAVNOG I IZVEDBENOG PROJEKTA ZA REKONSTRUKCIJU VODOOPSKRBNIH CJEVOVODA U NASELJU GAJNICE</t>
  </si>
  <si>
    <t>IZGRADNJA PRECRPNE STANICE I VODOOPSKRBNOG CJEVOVODA U ULICI GAJ</t>
  </si>
  <si>
    <t>03.06.2023.</t>
  </si>
  <si>
    <t>IZGRADNJA (PRODUŽENJE) VODOOPSKRBNE MREŽE NA PODRUČJU GRADSKE ČETVRTI PODSLJEME</t>
  </si>
  <si>
    <t>02.12.2023.</t>
  </si>
  <si>
    <t>IZGRADNJA SABIRNOG KANALA OTPADNIH VODA NASELJA DOBRODOL, ŠIMUNČEVEC I VUGER SELO U SESVETAMA - SLIV SABIRNOG KANALA "ŠIMUNČEVEČKA"</t>
  </si>
  <si>
    <t>02.06.2023.</t>
  </si>
  <si>
    <t>IZGRADNJA JAVNOG KANALA U ULICI I. RESNIČKI GAJ</t>
  </si>
  <si>
    <t>01.07.2023.</t>
  </si>
  <si>
    <t>REKONSTRUKCIJA VODOOPSKRBNOG CJEVOVODA U ULICI GRAČANSKI MIHALJEVAC</t>
  </si>
  <si>
    <t>29.12.2023.</t>
  </si>
  <si>
    <t>OPREMA ZA DIGITALIZACIJU EVIDENCIJE O POLASCIMA I DOLASCIMA AUTOBUSA</t>
  </si>
  <si>
    <t>34923000-3</t>
  </si>
  <si>
    <t>08.09.2023.</t>
  </si>
  <si>
    <t>IZGRADNJA VODOOPSKRBNOG CJEVOVODA U NASELJU DEMERJE</t>
  </si>
  <si>
    <t>14.07.2023.</t>
  </si>
  <si>
    <t>IZGRADNJA JAVNOG KANALA I VODOOPSKRBNOG CJEVOVODA U SLANOVEČKOJ CESTI ZA K.BR. 79 DO 81</t>
  </si>
  <si>
    <t>OPREMA ZA MAGNETOMETRIJU</t>
  </si>
  <si>
    <t>38260000-5</t>
  </si>
  <si>
    <t>KROMATOGRAFI ODOR ON-LINE S PROGRAMSKOM PODRŠKOM ZA MJERENJE KONCENTRACIJE ODORANTA ZAPREŠIĆ I VELIKA GORICA</t>
  </si>
  <si>
    <t>38432200-4</t>
  </si>
  <si>
    <t>26.08.2023.</t>
  </si>
  <si>
    <t>IZGRADNJA VODOOPSKRBNOG CJEVOVODA U ULICI KRIŽNOG PUTA OD KONJŠČINSKE DO ZAVIDOVIČKE ULICE</t>
  </si>
  <si>
    <t>14.03.2024.</t>
  </si>
  <si>
    <t>SANACIJA SUSTAVA ZA PRIPREMU POTROŠNE TOPLE VODE U HOTELU TOMISLAVOV DOM</t>
  </si>
  <si>
    <t>45330000-9</t>
  </si>
  <si>
    <t>10.08.2023.</t>
  </si>
  <si>
    <t>IZGRADNJA VODOOPSKRBNOG CJEVOVODA U NASELJU ODRANSKI OBREŽ</t>
  </si>
  <si>
    <t>11.04.2024.</t>
  </si>
  <si>
    <t>SANACIJA OŠTEĆENJA UZROKOVANIH POTRESOM POSLOVNOG POSTORA PODRUŽNICE ROBNI TERMINALI ZAGREB NA LOKACIJI PRAŠKA 2</t>
  </si>
  <si>
    <t>17.10.2023.</t>
  </si>
  <si>
    <t>IZGRADNJA JAVNOG KANALA U ULICI VELIKI VRH</t>
  </si>
  <si>
    <t>SOL ZA POSIPANJE CESTA</t>
  </si>
  <si>
    <t>10.11.2023.</t>
  </si>
  <si>
    <t>REKONSTRUKCIJA VODOOPSKRBNOG CJEVOVODA KONŠČICA-FALAŠČAK-GALGOVO</t>
  </si>
  <si>
    <t>14.11.2023.</t>
  </si>
  <si>
    <t>30.05.2023.</t>
  </si>
  <si>
    <t>PRAVNA USLUGA PROCJENE VRIJEDNOSTI VLASNIČKIH UDJELA DRUŠTAVA U SEKTORU ENERGETIKE TE PRAVNO PRAĆENJE SVIH AKTIVNOSTI RADI POTENCIJALNE PRODAJE</t>
  </si>
  <si>
    <t>79100000-5</t>
  </si>
  <si>
    <t>20.06.2023.</t>
  </si>
  <si>
    <t>FINANCIJSKA ANALIZA POSLOVANJA, POREZNI PREGLED I INDIKATIVNA PROCJENA VRIJEDNOSTI VLASNIČKIH UDJELA DRUŠTAVA ZA POTENCIJALNU PRODAJU</t>
  </si>
  <si>
    <t>79410000-1</t>
  </si>
  <si>
    <t>17.06.2022.</t>
  </si>
  <si>
    <t>19.07.2023.</t>
  </si>
  <si>
    <t>BROJČANIK PLINOMJERA</t>
  </si>
  <si>
    <t>20.09.2023.</t>
  </si>
  <si>
    <t>10.10.2025.</t>
  </si>
  <si>
    <t>IZGRADNJA VODOOPSKRBNIH CJEVOVODA I JAVNIH KANALA U ODVOJKU ULICE CHARLESA DARWINA</t>
  </si>
  <si>
    <t>17.04.2024.</t>
  </si>
  <si>
    <t>GEOTEHNIČKI ISTRAŽNI RADOVI NA ARKADAMA I CRKVI KRISTA KRALJA NA GROBLJU MIROGOJ</t>
  </si>
  <si>
    <t>71332000-4</t>
  </si>
  <si>
    <t>OBNOVA 2. – JEDNOSTAVNA NABAVA</t>
  </si>
  <si>
    <t>REKONSTRUKCIJA VODOOPSKRBNOG CJEVOVODA U NOVAKOVOJ ULICI</t>
  </si>
  <si>
    <t>26.03.2024.</t>
  </si>
  <si>
    <t>REKONSTRUKCIJA VODOOPSKRBNOG CJEVOVODA U ULICI RUŽMARINKA</t>
  </si>
  <si>
    <t>30.03.2024.</t>
  </si>
  <si>
    <t>REKONSTRUKCIJA PLINSKE MREŽE - PRS SUTINSKA VRELA</t>
  </si>
  <si>
    <t>06.10.2023.</t>
  </si>
  <si>
    <t>REKONSTRUKCIJA VODOOPSKRBNOG CJEVOVODA U ULICI IVANA STOŽIRA</t>
  </si>
  <si>
    <t>24.04.2024.</t>
  </si>
  <si>
    <t>REKONSTRUKCIJA VODOOPSKRBNOG CJEVOVODA U VOĆARSKOM NASELJU U ZAGREBU</t>
  </si>
  <si>
    <t>10.04.2024.</t>
  </si>
  <si>
    <t>IZGRADNJA VODOOPSKRBNOG CJEVOVODA U CESTI PREMA GROBLJU (OPĆINA STUPNIK)</t>
  </si>
  <si>
    <t>REKONSTRUKCIJA TRAFOSTANICE TS 659 NA LOKACIJI POSLOVNE JEDINICE ŽITNJAK</t>
  </si>
  <si>
    <t>45232220-0</t>
  </si>
  <si>
    <t>09.11.2023.</t>
  </si>
  <si>
    <t>REKONSTRUKCIJA VODOOPSKRBNOG CJEVOVODA U ULICI CUGLINI S ODVOJCIMA</t>
  </si>
  <si>
    <t>REKONSTRUKCIJA VODOOPSKRBNOG CJEVOVODA U BOSANSKOJ ULICI</t>
  </si>
  <si>
    <t>14.04.2024.</t>
  </si>
  <si>
    <t>POTROŠNI MATERIJAL I FITTING RAVETTI</t>
  </si>
  <si>
    <t>ELEKTRIČNA VOZILA</t>
  </si>
  <si>
    <t>34100000-8</t>
  </si>
  <si>
    <t>07.11.2023.</t>
  </si>
  <si>
    <t>REKONSTRUKCIJA VODOOPSKRBNOG CJEVOVODA U PLITVIČKOJ ULICI</t>
  </si>
  <si>
    <t>21.05.2024.</t>
  </si>
  <si>
    <t>REKONSTRUKCIJA VODOOPSKRBNOG CJEVOVODA PODRUČJA OMEĐENOG ULICAMA RADNIČKA CESTA - AVENIJA MARINA DRŽIĆA - ULICA GRADA VUKOVARA - BUDMANIJEVA - ZORANIĆEVA</t>
  </si>
  <si>
    <t>01.12.2024.</t>
  </si>
  <si>
    <t>IZRADA STUDIJE IZVODLJIVOSTI, STUDIJE O UTJECAJU NA OKOLIŠ I APLIKACIJE ZA PRIJAVU PROJEKTA "PROJEKT ZAGREB" ZA SUFINANCIRANJE IZ EU FONDOVA</t>
  </si>
  <si>
    <t>71310000-4</t>
  </si>
  <si>
    <t>17.02.2024.</t>
  </si>
  <si>
    <t>IZGRADNJA NOVE PLINSKE MREŽE - STP SESVETE - JUG</t>
  </si>
  <si>
    <t>12.12.2023.</t>
  </si>
  <si>
    <t>IZGRADNJA NOVE PLINSKE MREŽE - STP PLITVIČKA ULICA - SESVETSKI KRALJEVEC</t>
  </si>
  <si>
    <t>16.12.2023.</t>
  </si>
  <si>
    <t>STRUČNI NADZOR NAD REKONSTRUKCIJOM KOMPLEKSA KB SVETI DUH DOGRADNJOM DNEVNE BOLNICE S PODZEMNOM GARAŽOM</t>
  </si>
  <si>
    <t>06.06.2019.</t>
  </si>
  <si>
    <t>15.01.2020.</t>
  </si>
  <si>
    <t>14.01.2020.</t>
  </si>
  <si>
    <t>28.01.2020.</t>
  </si>
  <si>
    <t>04.08.2020.</t>
  </si>
  <si>
    <t>71314000-2</t>
  </si>
  <si>
    <t>IZGRADNJA DOMA ZA STARIJE OSOBE MARKUŠEVEC</t>
  </si>
  <si>
    <t>45215213-3</t>
  </si>
  <si>
    <t>REKONSTRUKCIJA SABIRNOG KANALA MIROŠEVEČKA CESTA S RETENCIJSKO PRELJEVNIM OBJEKTOM</t>
  </si>
  <si>
    <t>IZGRADNJA SUSTAVA ODVODNJE OTPADNIH VODA - SANITARNA KANALIZACIJA ETAPA 1</t>
  </si>
  <si>
    <t>STRUČNI NADZOR NAD IZGRADNJOM DOMA ZA STARIJE OSOBE MARKUŠEVEC</t>
  </si>
  <si>
    <t>IZGRADNJA SUSTAVA ODVODNJE OTPADNIH VODA - SANITARNA KANALIZACIJA ETAPA 2</t>
  </si>
  <si>
    <t>24.04.2022.</t>
  </si>
  <si>
    <t>IZRADA PROJEKTNE DOKUMENTACIJE GRAĐEVINE A11 PODBREŽJE</t>
  </si>
  <si>
    <t>71220000-6</t>
  </si>
  <si>
    <t>26.11.2030.</t>
  </si>
  <si>
    <t>19.01.2023.</t>
  </si>
  <si>
    <t>REVIZIJA TEHNIČKOG DIJELA DOKUMENATCIJE ZA GRAĐENJE, ODRŽAVANJE I UPRAVLJANJE PODSUSTAVIMA ODLAGALIŠTA OTPADA JAKUŠEVEC</t>
  </si>
  <si>
    <t>01.07.2019.</t>
  </si>
  <si>
    <t>71317000-3</t>
  </si>
  <si>
    <t>20.01.2021.</t>
  </si>
  <si>
    <t>STRUČNI NADZOR NAD REKONSTRUKCIJOM HIDRANTSKE MREŽE KOMPLEKSA ZAGREPČANKA</t>
  </si>
  <si>
    <t>13.01.2021.</t>
  </si>
  <si>
    <t>STRUČNI NADZOR NAD UGRADNJOM SUSTAVA VIDEONADZORA NA RECIKLAŽNIM DVORIŠTIMA</t>
  </si>
  <si>
    <t>POSTAVLJANJE GUMENIH USPORNIKA PROMETA</t>
  </si>
  <si>
    <t>45233200-1</t>
  </si>
  <si>
    <t>14.01.2021.</t>
  </si>
  <si>
    <t>IZRADA PROJEKTNE DOKUMENTACIJE ZA PRILAGODBU OBJEKTA I PJEŠAČKIH POVRŠINA AUTOBUSNOG KOLODVORA SLABOVIDNIM OSOBAMA I OSOBAMA SMANJENE POKRETLJIVOSTI</t>
  </si>
  <si>
    <t>UPRAVLJANJE PROJEKTOM REKONSTRUKCIJE KOMPLEKSA KB SVETI DUH DOGRADNJOM DNEVNE BOLNICE S PODZEMNOM GARAŽOM - DODATNE USLUGE</t>
  </si>
  <si>
    <t>REVIZIJA TRAFOSTANICA</t>
  </si>
  <si>
    <t>08.09.2021.</t>
  </si>
  <si>
    <t>ODRŽAVANJE I POPRAVAK UREĐAJA ZA AUTOMATIZIRANO GOTOVINSKO PLAĆANJE RAČUNA</t>
  </si>
  <si>
    <t>50310000-1</t>
  </si>
  <si>
    <t>ODRŽAVANJE I POPRAVAK SUSTAVA ZA UPRAVLJANJE REDOVIMA ČEKANJA ZA STRANKE (REDOMAT)</t>
  </si>
  <si>
    <t>REZERVNI DIJELOVI I POPRAVAK PRAONICA VOZILA</t>
  </si>
  <si>
    <t>42990000-2</t>
  </si>
  <si>
    <t>12.10.2021.</t>
  </si>
  <si>
    <t>ENERGETSKI PREGLED I ENERGETSKO CERTIFICIRANJE ZGRADA</t>
  </si>
  <si>
    <t>USLUGA PRIJEVOZA NEOPASNOG OTPADA</t>
  </si>
  <si>
    <t>USLUGA DROBLJENJA GLOMAZNOG OTPADA</t>
  </si>
  <si>
    <t>ODRŽAVANJE SUSTAVA VIDEO NADZORA PODRUŽNICE VLADIMIR NAZOR</t>
  </si>
  <si>
    <t>50343000-1</t>
  </si>
  <si>
    <t>17.11.2021.</t>
  </si>
  <si>
    <t>povećanje količine zbog opsega posla</t>
  </si>
  <si>
    <t>ODRŽAVANJE APLIKATIVNOG SUSTAVA CARPIO</t>
  </si>
  <si>
    <t>16.11.2021.</t>
  </si>
  <si>
    <t>IZRADA PROJEKTNE DOKUMENTACIJE REKONSTRUKCIJE GRAĐEVINE ZA MEĐUODLAGANJE METALNOG OTPADA NA LOKACIJI JAKUŠEVEC</t>
  </si>
  <si>
    <t>NALJEPNICE ZA STAKLENE, PVC, METALNE I MRAMORNE POVRŠINE</t>
  </si>
  <si>
    <t>IZRADA PROJEKTNE DOKUMENTACIJE SUSTAVA VIDEO NADZORA NA MOBILNIM RECIKLAŽNIM DVORIŠTIMA</t>
  </si>
  <si>
    <t>18.01.2023.</t>
  </si>
  <si>
    <t>POREZNO SAVJETOVANJE</t>
  </si>
  <si>
    <t>79221000-9</t>
  </si>
  <si>
    <t>24.12.2022.</t>
  </si>
  <si>
    <t>SVJEŽE, SUHO I KONZERVIRANO VOĆE I POVRĆE</t>
  </si>
  <si>
    <t>15330000-0</t>
  </si>
  <si>
    <t>26.01.2022.</t>
  </si>
  <si>
    <t>26.01.2023.</t>
  </si>
  <si>
    <t>10.02.2023.</t>
  </si>
  <si>
    <t>IZRADA STUDIJE TRANSFERNIH CIJENA</t>
  </si>
  <si>
    <t>ANALIZA REZULTATA POSLOVANJA GPZO- A</t>
  </si>
  <si>
    <t>14.02.2023.</t>
  </si>
  <si>
    <t>POSLOVNO I MENADŽMENTSKO SAVJETOVANJE</t>
  </si>
  <si>
    <t>PREHRAMBENI PROIZVODI I PIĆA</t>
  </si>
  <si>
    <t>Naplata zakonske obveze.; Odstupanje pri vaganju količine.; Odstupanje radi isporuke zamjenskog artikla.; Odstupanje zbog obračuna povratne ambalaže koji se naknadno usklađuje.</t>
  </si>
  <si>
    <t>RAZNI PREHRAMBENI PROIZVODI I PIĆA ZA ISPORUKU VELI LOŠINJ</t>
  </si>
  <si>
    <t>DUBOKO HLAĐENI PROIZVODI</t>
  </si>
  <si>
    <t>15896000-5</t>
  </si>
  <si>
    <t>Odstupanje pri vaganju količine.; Odstupanje radi isporuke zamjenskog artikla.; Povećanje količine zbog opsega posla.</t>
  </si>
  <si>
    <t>MLIJEKO I MLIJEČNI PROIZVODI</t>
  </si>
  <si>
    <t>15500000-3</t>
  </si>
  <si>
    <t>25.04.2023.</t>
  </si>
  <si>
    <t>SANACIJA DIJELA HIDRANTSKE MREŽE U KAMPU VELI JOŽE NA LOKACIJI SAVUDRIJA</t>
  </si>
  <si>
    <t>NAJAM STROJA ZA DROBLJENJE GLOMAZNOG OTPADA</t>
  </si>
  <si>
    <t>43414000-8</t>
  </si>
  <si>
    <t>28.04.2023.</t>
  </si>
  <si>
    <t>IZRADA IDEJNIH I IZVEDBENIH RJEŠENJA ZA POTREBE PROMIDŽBE NOVOG SUSTAVA SAKUPLJANJA KOMUNALNOG OTPADA</t>
  </si>
  <si>
    <t>79822500-7</t>
  </si>
  <si>
    <t>FINANCIJSKO SAVJETOVANJE</t>
  </si>
  <si>
    <t>66171000-9</t>
  </si>
  <si>
    <t>16.05.2023.</t>
  </si>
  <si>
    <t>SAVJETOVANJE U DJELOKRUGU IFRIC-A 12</t>
  </si>
  <si>
    <t>13.07.2023.</t>
  </si>
  <si>
    <t>NAJAM DATA CENTRA ZA TESTIRANJE E-PLATFORME</t>
  </si>
  <si>
    <t>72260000-5</t>
  </si>
  <si>
    <t>25.02.2023.</t>
  </si>
  <si>
    <t>UGRADNJA DIZALA I VERTIKALNE PLATFORME U OBJEKTU KREMATORIJA</t>
  </si>
  <si>
    <t>02.09.2023.</t>
  </si>
  <si>
    <t>ODRŽAVANJE PROGRAMSKIH MODULA SUSTAVA ZAGREBDATA</t>
  </si>
  <si>
    <t>05.08.2023.</t>
  </si>
  <si>
    <t>PROŠIRENJE RASHLADNE KOMORE U OBJEKTU MRTVAČNICE NA GROBLJU MARKOVO POLJE</t>
  </si>
  <si>
    <t>14.09.2023.</t>
  </si>
  <si>
    <t>IZRADA GLAVNOG PROJEKTA UGRADNJE PODZEMNIH I POLUPODZEMNIH SPREMNIKA ZA SAKUPLJANJE OTPADA NA PODRUČJU GRADA ZAGREBA</t>
  </si>
  <si>
    <t>UGRADNJA SUSTAVA TEHNIČKE ZAŠTITE XII. GIMNAZIJE U DUBRAVI</t>
  </si>
  <si>
    <t>45310000-3</t>
  </si>
  <si>
    <t>SVJEŽE VOĆE I POVRĆE S ISPORUKOM NA LOKACIJE GRADA ZAGREBA, STUBIČKE TOPLICE I CRIKVENICA</t>
  </si>
  <si>
    <t>15300000-1</t>
  </si>
  <si>
    <t>17.11.2023.</t>
  </si>
  <si>
    <t>MESNI PROIZVODI OD SVINJETINE, TELETINE, JUNETINE, JANJETINE I DIVLJAČI S ISPORUKOM NA LOKACIJE GRADA ZAGREBA, STUBIČKE TOPLICE I CRIKVENICA</t>
  </si>
  <si>
    <t>08.12.2023.</t>
  </si>
  <si>
    <t>PIĆA S ISPORUKOM NA LOKACIJE GRADA ZAGREBA, STUBIČKE TOPLICE I CRIKVENICA</t>
  </si>
  <si>
    <t>15900000-7</t>
  </si>
  <si>
    <t>RAZGLAS I RAZGLASNA OPREMA</t>
  </si>
  <si>
    <t>32300000-6</t>
  </si>
  <si>
    <t>KOLICA ZA PRIJEVOZ LIJESOVA I OSTALE POGREBNE OPREME</t>
  </si>
  <si>
    <t>34911100-7</t>
  </si>
  <si>
    <t>MOBILNI SPREMNIK ZA ISTOVAR ZEMLJE</t>
  </si>
  <si>
    <t>RASHLADNE KOMORE</t>
  </si>
  <si>
    <t>42513000-5</t>
  </si>
  <si>
    <t>OTKLANJANJE NEDOSTATAKA NA OBJEKTIMA STAMBENE NAMJENE</t>
  </si>
  <si>
    <t>30.11.2023.</t>
  </si>
  <si>
    <t>SAVJETOVANJE U PODRUČJU PRIMJENE MSFI, KONSOLIDACIJE I FINANCIJSKOG IZVJEŠTAVANJA</t>
  </si>
  <si>
    <t>IZRADA RAČUNOVODSTVENOG PRIRUČNIKA ZA KORISNIKE ZAGREBAČKOG HOLDINGA</t>
  </si>
  <si>
    <t>79211000-6</t>
  </si>
  <si>
    <t>SAVJETOVANJE U PODRUČJU RAČUNOVODSTVA</t>
  </si>
  <si>
    <t>NAJAM PRIVREMENE PRODUKCIJSKE INFRASTRUKTURE ZA POTREBE PROJEKTA NADOGRADNJE CENTRIXA</t>
  </si>
  <si>
    <t>72600000-6</t>
  </si>
  <si>
    <t>NAJAM LABUDICA, DIZALICA, AUTOLJESTVI I AUTODIZALICA</t>
  </si>
  <si>
    <t>45510000-5</t>
  </si>
  <si>
    <t>28.01.2021.</t>
  </si>
  <si>
    <t>SANACIJA OŠTEĆENJA UZROKOVANIH POTRESOM U POSLOVNIM POSTORIMA PODRUŽNICE VLADIMIR NAZOR</t>
  </si>
  <si>
    <t>USLUGA SIGURNOSNE POHRANE PODATAKA I OSIGURANJE KONTINUITETA POSLOVANJA</t>
  </si>
  <si>
    <t>72252000-6</t>
  </si>
  <si>
    <t>OSOBNA VOZILA</t>
  </si>
  <si>
    <t>STRUČNI NADZOR NAD IZGRADNJOM I REKONSTRUKCIJOM VODOOPSKRBNOG CJEVOVODA U ULICI KUREKOV BREG S ODVOJCIMA</t>
  </si>
  <si>
    <t>KAMEN I KAMENI AGREGATI ZA VODOOPSKRBU I ODVODNJU D.O.O.</t>
  </si>
  <si>
    <t>USLUGA PRINTANJA I KUVERTIRANJA ZA VODOOPSKRBU I ODVODNJU D.O.O.</t>
  </si>
  <si>
    <t>31.07.2021.</t>
  </si>
  <si>
    <t>STRUČNI NADZOR NAD IZGRADNJOM (PRODUŽENJEM) VODOOPSKRBNE MREŽE NA PODRUČJU GRADSKE ČETVRTI PODSLJEME</t>
  </si>
  <si>
    <t>SAVJETOVANJE U PODRUČJU SIGURNOSTI</t>
  </si>
  <si>
    <t>79417000-0</t>
  </si>
  <si>
    <t>09.06.2023.</t>
  </si>
  <si>
    <t>STRUČNI NADZOR NAD IZGRADNJOM VODOOPSKRBNOG CJEVOVODA U NASELJU ODRANSKI OBREŽ</t>
  </si>
  <si>
    <t>STRUČNI NADZOR NAD REKONSTRUKCIJOM VODOOPSKRBNIH CJEVOVODA U ULICAMA JABLANA, JELA, BRŠLJANA I ČEMPRESA</t>
  </si>
  <si>
    <t>STRUČNI NADZOR NAD IZGRADNJOM VODOOPSKRBNOG CJEVOVODA U NASELJU DEMERJE</t>
  </si>
  <si>
    <t>MESO I MESNI PROIZVODI</t>
  </si>
  <si>
    <t>07.07.2023.</t>
  </si>
  <si>
    <t>STRUČNI NADZOR NAD IZGRADNJOM JAVNOG KANALA I VODOOPSKRBNOG CJEVOVODA U SLANOVEČKOJ CESTI ZA K.BR. 79 DO K.BR. 81</t>
  </si>
  <si>
    <t>27.12.2023.</t>
  </si>
  <si>
    <t>VOĐENJE PROJEKTA NAD IZGRADNJOM SABIRNOG KANALA OTPADNIH VODA NASELJA DOBRODOL, ŠIMUNČEVEC I VUGER SELO U SESVETAMA - SLIV SABIRNOG KANALA "ŠIMUNČEVEČKA"</t>
  </si>
  <si>
    <t>STRUČNI NADZOR NAD REKONSTRUKCIJOM VODOOPSKRBNOG CJEVOVODA KONŠČICA - FALAŠČAK - GALGOVO</t>
  </si>
  <si>
    <t>12.01.2024.</t>
  </si>
  <si>
    <t>STRUČNI NADZOR NAD IZGRADNJOM JAVNOG KANALA U ULICI VELIKI VRH</t>
  </si>
  <si>
    <t>13.01.2024.</t>
  </si>
  <si>
    <t>STRUČNI NADZOR NAD REKONSTRUKCIJOM VODOOPSKRBNOG CJEVOVODA U ULICI GRAČANSKI MIHALJEVAC</t>
  </si>
  <si>
    <t>04.02.2024.</t>
  </si>
  <si>
    <t>STRUČNI NADZOR NAD IZGRADNJOM SABIRNOG KANALA OTPADNIH VODA NASELJA DOBRODOL, ŠIMUNČEVEC I VUGER SELO U SESVETAMA - SLIV SABIRNOG KANALA "ŠIMUNČEVEČKA"</t>
  </si>
  <si>
    <t>REKONSTRUKCIJA VODOOPSKRBNOG CJEVOVODA U ULICI 1. TRNJANSKI ZAVOJ</t>
  </si>
  <si>
    <t>19.09.2023.</t>
  </si>
  <si>
    <t>ODRŽAVANJE I POPRAVAK PLINSKIH BOJLERA</t>
  </si>
  <si>
    <t>50531100-7</t>
  </si>
  <si>
    <t>ZDRAVSTVENI PREGLEDI RADNIKA</t>
  </si>
  <si>
    <t>25.07.2023.</t>
  </si>
  <si>
    <t>STRUČNI NADZOR NAD REKONSTRUKCIJOM VANJSKE RASVJETE VODOOPSKRBE I ODVODNJE d.o.o.</t>
  </si>
  <si>
    <t>09.08.2023.</t>
  </si>
  <si>
    <t>IZRADA IDEJNOG, GLAVNOG I IZVEDBENOG PROJEKTA REKONSTRUKCIJE VODOOPSKRBNOG CJEVOVODA U BOŽIDAREVIĆEVOJ ULICI</t>
  </si>
  <si>
    <t>IZGRADNJA VODOOPSKRBNOG CJEVOVODA U ULICI POLOŽNICA (ODVOJAK) U NASELJU BREZJE, SVETA NEDELJA</t>
  </si>
  <si>
    <t>13.09.2023.</t>
  </si>
  <si>
    <t>USLUGA ELEKTRONIČKE RAZMJENE RAČUNA</t>
  </si>
  <si>
    <t>66151000-3</t>
  </si>
  <si>
    <t>IZRADA IDEJNOG, GLAVNOG I IZVEDBENOG PROJEKTA IZGRADNJE JAVNOG KANALA U ULICI SLAVKA KOVAČIĆA S ODVOJCIMA</t>
  </si>
  <si>
    <t>IZRADA IDEJNOG, GLAVNOG I IZVEDBENOG PROJEKTA ODVODNJE GRUPE ULICA U DUBRAVI (LELIJSKA, LJUBUŠKA, VRANPLANINSKA S ODVOJCIMA, SUNEKOV ODVOJAK, ODVOJCI CELOVEČKE) - NOVELACIJA</t>
  </si>
  <si>
    <t>IZRADA IDEJNOG, GLAVNOG I IZVEDBENOG PROJEKTA IZGRADNJE JAVNOG KANALA U DIJELU ULICE JARUNSKA OBALA</t>
  </si>
  <si>
    <t>STRUČNI NADZOR NAD OPREMANJEM DOMA ZA STARIJE OSOBE MARKUŠEVEC</t>
  </si>
  <si>
    <t>71240000-2</t>
  </si>
  <si>
    <t>REKONSTRUKCIJA DIJELA HALE 10 POSLOVNE JEDINICE ŽITNJAK</t>
  </si>
  <si>
    <t>45213200-5</t>
  </si>
  <si>
    <t>16.09.2023.</t>
  </si>
  <si>
    <t>REKONSTRUKCIJA VODOOPSKRBNOG CJEVOVODA U ULICI BAGREMA (STARO BRESTJE) U SESVETAMA</t>
  </si>
  <si>
    <t>29.09.2023.</t>
  </si>
  <si>
    <t>IZGRADNJA VODOOPSKRBNOG CJEVOVODA U NOVOJ ULICI</t>
  </si>
  <si>
    <t>19.03.2024.</t>
  </si>
  <si>
    <t>IZRADA IDEJNOG, GLAVNOG I IZVEDBENOG PROJEKTA IZGRADNJE JAVNOG KANALA U LEPROVIČKOJ ULICI</t>
  </si>
  <si>
    <t>IZGRADNJA VODOOPSKRBNOG CJEVOVODA U ULICI ZAVRTI</t>
  </si>
  <si>
    <t>IZGRADNJA VODOOPSKRBNOG CJEVOVODA U DIJELU ULICE KRAČNICE</t>
  </si>
  <si>
    <t>IZRADA IDEJNOG, GLAVNOG I IZVEDBENOG PROJEKTA REKONSTRUKCIJE VODOOPSKRBNIH CJEVOVODA I JAVNIH KANALA U ULICI ŽUGLIĆI</t>
  </si>
  <si>
    <t>ODRŽAVANJE UNUTRAŠNJOSTI HIDRAULIČNIH KOTLOVA NA CRPILIŠNIM OBJEKTIMA</t>
  </si>
  <si>
    <t>STRUČNI NADZOR NAD IZGRADNJOM VODOOPSKRBNOG CJEVOVODA U ULICI KRIŽNOG PUTA OD KONJŠČINSKE ULICE DO ZAVIDOVIČKE ULICE</t>
  </si>
  <si>
    <t>19.10.2023.</t>
  </si>
  <si>
    <t>STRUČNI NADZOR NAD IZGRADNJOM PRECRPNE STANICE I VODOOPSKRBNOG CJEVOVODA U ULICI GAJ</t>
  </si>
  <si>
    <t>03.10.2023.</t>
  </si>
  <si>
    <t>UZORCI I KEMIKALIJE ZA KALIBRACIJU</t>
  </si>
  <si>
    <t>33698000-9</t>
  </si>
  <si>
    <t>IZRADA IDEJNOG, GLAVNOG I IZVEDBENOG PROJEKTA IZGRADNJE JAVNOG KANALA U KUNOVEČKOJ ULICI</t>
  </si>
  <si>
    <t>SAVJETOVANJE U PODRUČJU ENERGETSKE UČINKOVITOSTI</t>
  </si>
  <si>
    <t>71314300-5</t>
  </si>
  <si>
    <t>STRUČNI NADZOR NAD REKONSTRUKCIJOM VODOOPSKRBNOG CJEVOVODA U NOVAKOVOJ ULICI</t>
  </si>
  <si>
    <t>26.04.2024.</t>
  </si>
  <si>
    <t>11.11.2023.</t>
  </si>
  <si>
    <t>STRUČNI NADZOR NAD REKONSTRUKCIJOM VODOOPSKRBNOG CJEVOVODA U BABONIĆEVOJ ULICI</t>
  </si>
  <si>
    <t>STRUČNI NADZOR NAD REKONSTRUKCIJOM VODOOPSKRBNOG CJEVOVODA U ULICI CUGLINI S ODVOJCIMA</t>
  </si>
  <si>
    <t>STRUČNI NADZOR NAD IZGRADNJOM VODOOPSKRBNOG CJEVOVODA U CESTI PREMA GROBLJU (OPĆINA STUPNIK)</t>
  </si>
  <si>
    <t>02.05.2024.</t>
  </si>
  <si>
    <t>STRUČNI NADZOR NAD REKONSTRUKCIJOM VODOOPSKRBNOG CJEVOVODA U VOĆARSKOM NASELJU U ZAGREBU</t>
  </si>
  <si>
    <t>STRUČNI NADZOR NAD REKONSTRUKCIJOM VODOOPSKRBNOG CJEVOVODA U ULICI RUŽMARINKA</t>
  </si>
  <si>
    <t>STRUČNI NADZOR NAD REKONSTRUKCIJOM VODOOPSKRBNOG CJEVOVODA U BOSANSKOJ ULICI</t>
  </si>
  <si>
    <t>STRUČNI NADZOR NAD REKONSTRUKCIJOM VODOOPSKRBNOG CJEVOVODA PODRUČJA OMEĐENOG ULICAMA RADNIČKA CESTA - AVENIJA MARINA DRŽIĆA - ULICA GRADA VUKOVARA - BUDMANIJEVA - ZORANIĆEVA</t>
  </si>
  <si>
    <t>29.11.2024.</t>
  </si>
  <si>
    <t>IZRADA PROJEKTNE DOKUMENTACIJE ZA IZGRADNJU JAVNOG SUSTAVA ODVODNJE</t>
  </si>
  <si>
    <t>IZGRADNJA JAVNOG KANALA U CESTI PREMA GROBLJU (OPĆINA STUPNIK)</t>
  </si>
  <si>
    <t>08.05.2024.</t>
  </si>
  <si>
    <t>SANACIJA PROMETNICA I DRUGIH JAVNIH POVRŠINA KOD IZGRADNJE I SANACIJE MREŽE VODOOPSKRBE I ODVODNJE IZVAN GRADA ZAGREBA</t>
  </si>
  <si>
    <t>IZRADA IDEJNOG, GLAVNOG I IZVEDBENOG PROJEKTA REKONSTRUKCIJE VODOOPSKRBNOG CJEVOVODA U ULICI JEROLIMA MIŠE</t>
  </si>
  <si>
    <t>IZRADA IDEJNOG, GLAVNOG I IZVEDBENOG PROJEKTA IZGRADNJE SUSTAVA ODVODNJE U ULICI KLJUČARIČEK I ODVOJCIMA BRANOVEČKE CESTE</t>
  </si>
  <si>
    <t>ODRŽAVANJE DIZALA U JAMSTVENOM ROKU</t>
  </si>
  <si>
    <t>KRUTE I TEKUĆE KEMIKALIJE MERCK</t>
  </si>
  <si>
    <t>SANACIJA DIMNJAKA</t>
  </si>
  <si>
    <t>45262600-7</t>
  </si>
  <si>
    <t>18.01.2021.</t>
  </si>
  <si>
    <t>KRUTE I TEKUĆE KEMIKALIJE KEMIKA</t>
  </si>
  <si>
    <t>KEMIKALIJE, TESTNI ORGANIZMI, ANALITIČKE KOLONE I PRETKOLONE</t>
  </si>
  <si>
    <t>03.02.2021.</t>
  </si>
  <si>
    <t>PREVENTIVNA I OBVEZATNA PREVENTIVNA DEZINFEKCIJA, DEZINSEKCIJA I DERATIZACIJA</t>
  </si>
  <si>
    <t>ODRŽAVANJE I POPRAVAK PODIZNIH PLATFORMI U JAMSTVENOM ROKU</t>
  </si>
  <si>
    <t>28.04.2021.</t>
  </si>
  <si>
    <t>POPRAVAK, REZERVNI DIJELOVI I POTROŠNI MATERIJAL RAZNE UREDSKE OPREME</t>
  </si>
  <si>
    <t>REDOVNO ODRŽAVANJE I POPRAVAK AUTOMATSKIH RAMPI ZA KONTROLU PROMETA</t>
  </si>
  <si>
    <t>05.05.2021.</t>
  </si>
  <si>
    <t>USLUGA ZBRINJAVANJA OTPADA ZA GRADSKU PLINARU ZAGREB - OPSKRBA d.o.o.</t>
  </si>
  <si>
    <t>90500000-2</t>
  </si>
  <si>
    <t>06.05.2021.</t>
  </si>
  <si>
    <t>USLUGA PROCJENE TRŽIŠNE VRIJEDNOSTI NEKRETNINA ZA POTREBE IZGRADNJE OBJEKATA VODOOPSKRBE I ODVODNJE d.o.o.</t>
  </si>
  <si>
    <t>PRANJE I ČIŠĆENJE DIZALA NA JAVNIM POVRŠINAMA</t>
  </si>
  <si>
    <t>17.05.2021.</t>
  </si>
  <si>
    <t>ODRŽAVANJE I POPRAVCI URBANE OPREME I KOMUNALNIH INSTALACIJA NA TRGU BANA JOSIPA JELAČIĆA</t>
  </si>
  <si>
    <t>PREHRAMBENI PROIZVODI ZA VODOOPSKRBU I ODVODNJU d.o.o.</t>
  </si>
  <si>
    <t>ODRŽAVANJE I POPRAVCI U OBJEKTU "JAVNO KUPALIŠTE DIANA"</t>
  </si>
  <si>
    <t>PILOT PROJEKT DALJINSKOG OČITANJA VODOMJERA</t>
  </si>
  <si>
    <t>72200000-7</t>
  </si>
  <si>
    <t>IZRADA PRESS CLIPPING-a S ISPORUKOM SELEKTIRANIH ČLANAKA</t>
  </si>
  <si>
    <t>72700000-7</t>
  </si>
  <si>
    <t>SERVIS, POPRAVAK, REZERVNI DIJELOVI, ISPITIVANJE I OVJERAVANJE OPREME ZA DETEKCIJU PLINOVA</t>
  </si>
  <si>
    <t>ODRŽAVANJE I NADOGRADNJA INTRANET PORTALA GPZ - OPSKRBE NA MS SHARE POINT SERVER 2016 PLATFORMI</t>
  </si>
  <si>
    <t>ZAPRIMANJE I POLAGANJE NOVCA NA ŽIRO RAČUN GRADSKE PLINARE ZAGREB - OPSKRBA d.o.o.</t>
  </si>
  <si>
    <t>66111000-1</t>
  </si>
  <si>
    <t>PROMOTIVNI ŠTANDOVI</t>
  </si>
  <si>
    <t>44211100-3</t>
  </si>
  <si>
    <t>17.12.2023.</t>
  </si>
  <si>
    <t>POPRAVAK I REZERVNI DIJELOVI TERETNIH VOZILA</t>
  </si>
  <si>
    <t>50114000-7</t>
  </si>
  <si>
    <t>29.12.2022.</t>
  </si>
  <si>
    <t>ANALIZA OTPADNIH VODA PREMA NOVOJ VODOPRAVNOJ DOZVOLI ZA VODOOPSKRBU I ODVODNJU D.O.O.</t>
  </si>
  <si>
    <t>12.01.2023.</t>
  </si>
  <si>
    <t>REZERVNI DIJELOVI APARATA ZA KLORIRANJE I POMOĆNIH UREĐAJA ZA KLORIRANJE</t>
  </si>
  <si>
    <t>39330000-4</t>
  </si>
  <si>
    <t>24.01.2023.</t>
  </si>
  <si>
    <t>VODOVODNA I KANALSKA ARMATURA ZA VODOOPSKRBU I ODVODNJU d.o.o.</t>
  </si>
  <si>
    <t>MATERIJALI ZA INSTALACIJE VODOVODA, KANALIZACIJE I CENTRALNOG GRIJANJA ZA VODOOPSKRBU I ODVODNJU d.o.o.</t>
  </si>
  <si>
    <t>44115000-9</t>
  </si>
  <si>
    <t>NADZEMNI I PODZEMNI HIDRANTI ZA VODOOPSKRBU I ODVODNJU d.o.o.</t>
  </si>
  <si>
    <t>42131160-5</t>
  </si>
  <si>
    <t>30.03.2023.</t>
  </si>
  <si>
    <t>FAZONSKI KOMADI ZA VODOOPSKRBU I ODVODNJU d.o.o.</t>
  </si>
  <si>
    <t>OZNAKE VIDLJIVOSTI - NALJEPNICE</t>
  </si>
  <si>
    <t>UPRAVLJANJE PROJEKTOM SMANJENJA ODLAGANJA KOMUNALNOG OTPADA NASTALOG U GRADU ZAGREBU</t>
  </si>
  <si>
    <t>79421000-1</t>
  </si>
  <si>
    <t>GENERALNI REMONT ELEKTROMOTORA ASFALTNIH POSTROJENJA GRADIS I BENNINGHOVEN</t>
  </si>
  <si>
    <t>REKONSTRUKCIJA TERETNIH DIZALA U HALI 7 POSLOVNE JEDINICE ŽITNJAK</t>
  </si>
  <si>
    <t>27.04.2023.</t>
  </si>
  <si>
    <t>INDUSTRIJSKE CIJEVI</t>
  </si>
  <si>
    <t>SPASILAČKE USLUGE</t>
  </si>
  <si>
    <t>92332000-7</t>
  </si>
  <si>
    <t>BETONSKA GALANTERIJA</t>
  </si>
  <si>
    <t>27.05.2023.</t>
  </si>
  <si>
    <t>NAJAM SPECIJALNOG VOZILA ZA SAKUPLJANJE OTPADA - PILOT PROJEKT</t>
  </si>
  <si>
    <t>34144511-3</t>
  </si>
  <si>
    <t>08.06.2023.</t>
  </si>
  <si>
    <t>MATERIJALI ZA ODRŽAVANJE I SANACIJU CESTA</t>
  </si>
  <si>
    <t>PLOČE ZA IZRADU PROMETNIH ZNAKOVA</t>
  </si>
  <si>
    <t>SPECIJALNI PREMAZ ZA HORIZONTALNU SIGNALIZACIJU</t>
  </si>
  <si>
    <t>RUČNI I OPTIČKI JAVLJAČI POŽARA I PODNOŽJA S UGRADNJOM</t>
  </si>
  <si>
    <t>31625000-3</t>
  </si>
  <si>
    <t>28.06.2023.</t>
  </si>
  <si>
    <t>RASHLADNIK VODE S UGRADNJOM ZA POTREBE POSLOVNOG PROSTORA HALE 3 POSLOVNE JEDINICE ŽITNJAK</t>
  </si>
  <si>
    <t>04.07.2023.</t>
  </si>
  <si>
    <t>SUSTAV PLINODETEKCIJE S MONTAŽOM U JAVNOJ GARAŽI PETRINJSKA</t>
  </si>
  <si>
    <t>38431100-6</t>
  </si>
  <si>
    <t>29.08.2023.</t>
  </si>
  <si>
    <t>NAJAM FURGON VOZILA</t>
  </si>
  <si>
    <t>SANACIJA SANITARNIH ČVOROVA U HALI 8 POSLOVNE JEDINICE ŽITNJAK</t>
  </si>
  <si>
    <t>KAVA I APARATI ZA PRIPREMU KAVE</t>
  </si>
  <si>
    <t>15800000-6</t>
  </si>
  <si>
    <t>29.07.2020.</t>
  </si>
  <si>
    <t>12.07.2021.</t>
  </si>
  <si>
    <t>USLUGE SUSTAVA ZA NAPLATU PUTEM WEB-a KREDITNIM I DEBITNIM KARTICAMA</t>
  </si>
  <si>
    <t>11.11.2020.</t>
  </si>
  <si>
    <t>GRANITNE KOCKE</t>
  </si>
  <si>
    <t>SKLADIŠTENJE OTPADA KB 20 02 03 (OSTALI OTPAD KOJI NIJE BIORAZGRADIV)</t>
  </si>
  <si>
    <t>63120000-6</t>
  </si>
  <si>
    <t>OSIGURANJE MANAGERSKE ODGOVORNOSTI</t>
  </si>
  <si>
    <t>66516000-0</t>
  </si>
  <si>
    <t>NADZOR I PODRŠKA NAD PROJEKTOM e-PLATFORMA ZGH</t>
  </si>
  <si>
    <t>11.02.2021.</t>
  </si>
  <si>
    <t>ODRŽAVANJE I NADOGRADNJA WEB I MOBILNE APLIKACIJE "MOJ RAČUN"</t>
  </si>
  <si>
    <t>ODRŽAVANJE SUSTAVA ZA RJEŠAVANJE REKLAMACIJA ZA GRADSKU PLINARU ZAGREB - OPSKRBA d.o.o.</t>
  </si>
  <si>
    <t>79500000-9</t>
  </si>
  <si>
    <t>16.02.2021.</t>
  </si>
  <si>
    <t>KONZULTANTSKE USLUGE PRI IZRADI TEHNIČKE DOKUMENTACIJE SANACIJE GRAĐEVINA ZAŠTIĆENOG KULTURNOG DOBRA NA GROBLJU MIROGOJ</t>
  </si>
  <si>
    <t>NAJAM STROJA ZA USITNJAVANJE BIORAZGRADIVOG OTPADA</t>
  </si>
  <si>
    <t>IZRADA VIDEO FILMOVA, SPOTOVA I UMNOŽAVANJE</t>
  </si>
  <si>
    <t>92111000-2</t>
  </si>
  <si>
    <t>IZRADA PROJEKTNE I TEHNIČKE DOKUMENTACIJE SANACIJE SUSTAVA ZA PRIPREMU POTROŠNE TOPLE VODE U HOTELU TOMISLAVOV DOM</t>
  </si>
  <si>
    <t>71321000-4</t>
  </si>
  <si>
    <t>10.05.2021.</t>
  </si>
  <si>
    <t>STROJNA OBRADA RAZNIH MATERIJALA</t>
  </si>
  <si>
    <t>10.03.2021.</t>
  </si>
  <si>
    <t>10.06.2021.</t>
  </si>
  <si>
    <t>UREDSKI I POSLOVNI STROJEVI, PRIBOR, REZERVNI DIJELOVI I POTROŠNI MATERIJAL</t>
  </si>
  <si>
    <t>19.03.2021.</t>
  </si>
  <si>
    <t>REZERVNI DIJELOVI, POPRAVAK I SERVIS VOZILA MARKE VOLKSWAGEN</t>
  </si>
  <si>
    <t>POPRAVAK NADOGRADNJE SPECIJALNIH VOZILA MARKE COSECO I KAOUSSIS</t>
  </si>
  <si>
    <t>REZERVNI DIJELOVI, SKLOPOVI I POPRAVAK ČISTILICA MARKE LADOG I BUCHER</t>
  </si>
  <si>
    <t>24.03.2021.</t>
  </si>
  <si>
    <t>GRAĐEVINSKO VJEŠTAČENJE SANACIJA OŠTEĆENJA UZROKOVANIH POTRESOM NA OBJEKTIMA MRTVAČNICA NA GROBLJIMA KAŠINA I MARKOVO POLJE</t>
  </si>
  <si>
    <t>22.03.2021.</t>
  </si>
  <si>
    <t>22.04.2021.</t>
  </si>
  <si>
    <t>KAMENI POKLOPCI ZA KAZETE ZA URNE</t>
  </si>
  <si>
    <t>44912000-6</t>
  </si>
  <si>
    <t>REZERVNI DIJELOVI I ODRŽAVANJE SUSTAVA TEHNIČKE ZAŠTITE DIREKCIJE ZGH</t>
  </si>
  <si>
    <t>35120000-1</t>
  </si>
  <si>
    <t>IZOLACIJSKI RADOVI</t>
  </si>
  <si>
    <t>45320000-6</t>
  </si>
  <si>
    <t>REZERVNI DIJELOVI I POPRAVAK NADOGRADNJE SPECIJALNIH VOZILA DIZALICA</t>
  </si>
  <si>
    <t>42419000-6</t>
  </si>
  <si>
    <t>PREGLED I ODRŽAVANJE ELEKTROENERGETSKIH POSTROJENJA I INSTALACIJA</t>
  </si>
  <si>
    <t>02.07.2021.</t>
  </si>
  <si>
    <t>IZRADA PROJEKTNE DOKUMENTACIJE UREĐENJA PLATOA OKO CRKVE KRALJICE SVETE KRUNICE NA RAVNICAMA</t>
  </si>
  <si>
    <t>23.07.2021.</t>
  </si>
  <si>
    <t>27.03.2021.</t>
  </si>
  <si>
    <t>18.03.2021.</t>
  </si>
  <si>
    <t>PREUZIMANJE I DALJNJA OBRADA OTPADA S GRADSKIH GROBLJA KOJI NIJE BIORAZGRADIV</t>
  </si>
  <si>
    <t>OPREMA ZA OZNAČAVANJE SPREMNIKA</t>
  </si>
  <si>
    <t>31710000-6</t>
  </si>
  <si>
    <t>02.04.2021.</t>
  </si>
  <si>
    <t>IZGRADNJA TERAPIJSKOG VRTA U SESVETAMA</t>
  </si>
  <si>
    <t>45112710-5</t>
  </si>
  <si>
    <t>08.05.2021.</t>
  </si>
  <si>
    <t>IZRADA PROJEKTA RAZGRADNJE I ZAŠTITE TORNJEVA CRKVE KRISTA KRALJA NA GROBLJU MIROGOJ</t>
  </si>
  <si>
    <t>ZAKUP MEDIJSKOG PROSTORA NA MREŽI GOOGLE</t>
  </si>
  <si>
    <t>NAJAM MOBILNE OGRADE</t>
  </si>
  <si>
    <t>34928200-0</t>
  </si>
  <si>
    <t>PROMOTIVNI MATERIJAL ZA POTREBE PREZENTACIJE ZGH d.o.o.</t>
  </si>
  <si>
    <t>22462000-6</t>
  </si>
  <si>
    <t>RUČNE I LEĐNE PRSKALICE, PRIKLJUČNI I REZERVNI DIJELOVI</t>
  </si>
  <si>
    <t>16400000-9</t>
  </si>
  <si>
    <t>27.05.2021.</t>
  </si>
  <si>
    <t>REZERVNI DIJELOVI I POPRAVAK REZAČA I LOMILICA ZA BETON I ASFALT</t>
  </si>
  <si>
    <t>42675000-8</t>
  </si>
  <si>
    <t>14.04.2021.</t>
  </si>
  <si>
    <t>SAVJETOVANJE O ASPEKTU NAKNADNOG UMANJENJA OSNOVICE PDV-a ZBOG OTPISA DUGA FIZIČKIM OSOBAMA</t>
  </si>
  <si>
    <t>IZVANREDNI PREGLED KROVNE KONSTRUKCIJE DVORANE OSNOVNE ŠKOLE IVER</t>
  </si>
  <si>
    <t>08.06.2021.</t>
  </si>
  <si>
    <t>JEDNOKRATNA AMBALAŽA I PRIBOR ZA HRANU ZA USLUGU CATERINGA</t>
  </si>
  <si>
    <t>39222000-4</t>
  </si>
  <si>
    <t>SVRDLA</t>
  </si>
  <si>
    <t>LEŽAJEVI</t>
  </si>
  <si>
    <t>44440000-6</t>
  </si>
  <si>
    <t>21.04.2021.</t>
  </si>
  <si>
    <t>ZAVJESE, ZASTORI I ŽALUZINE</t>
  </si>
  <si>
    <t>39515000-5</t>
  </si>
  <si>
    <t>REZERVNI DIJELOVI I POPRAVAK ASFALTNIH POSTROJENJA</t>
  </si>
  <si>
    <t>METLE SIRKOVE</t>
  </si>
  <si>
    <t>ELEKTRODE I ŽICE ZA ZAVARIVANJE</t>
  </si>
  <si>
    <t>44315000-1</t>
  </si>
  <si>
    <t>POPRAVAK I ODRŽAVANJE HOTELSKE I UGOSTITELJSKE OPREME</t>
  </si>
  <si>
    <t>50880000-7</t>
  </si>
  <si>
    <t>TEHNIČKA GUMA I GUMENO-TEHNIČKI PROIZVODI</t>
  </si>
  <si>
    <t>KIT MASE I SMOLE</t>
  </si>
  <si>
    <t>44831000-4</t>
  </si>
  <si>
    <t>12.05.2021.</t>
  </si>
  <si>
    <t>TRANSPORTNA, GRAĐEVINSKA I VRTNA KOLICA</t>
  </si>
  <si>
    <t>20.04.2021.</t>
  </si>
  <si>
    <t>REZERVNI DIJELOVI I POPRAVAK STROJEVA ZA ŠIVANJE, PRANJE, SUŠENJE I GLAČANJE RUBLJA</t>
  </si>
  <si>
    <t>42720000-9</t>
  </si>
  <si>
    <t>REZERVNI DIJELOVI, POPRAVAK I UMJERAVANJE LABORATORIJSKE OPREME ASFALTNIH BAZA</t>
  </si>
  <si>
    <t>28.09.2021.</t>
  </si>
  <si>
    <t>ZAKUP MEDIJSKOG PROSTORA U ČASOPISU ZAPOSLENA</t>
  </si>
  <si>
    <t>79341000-6</t>
  </si>
  <si>
    <t>MJERENJE VIBRACIJA I URAVNOTEŽIVANJE RADA ROTORA STROJEVA U ASFALTNOJ BAZI RAKITJE</t>
  </si>
  <si>
    <t>71631100-1</t>
  </si>
  <si>
    <t>IZRADA IDEJNIH I IZVEDBENIH RJEŠENJA GODIŠNJIH IZVJEŠĆA ZGH-a</t>
  </si>
  <si>
    <t>IZRADA IDEJNIH I IZVEDBENIH RJEŠENJA ZA POTREBE PROMIDŽBE MEĐUNARODNE VRTNE IZLOŽBE FLORAART</t>
  </si>
  <si>
    <t>04.05.2021.</t>
  </si>
  <si>
    <t>ZAKUP MEDIJSKOG PROSTORA NA REKLAMNIM PANOIMA</t>
  </si>
  <si>
    <t>HITNE INTERVENCIJE NA INSTALACIJAMA RASHLADNOG AMONIJAČNOG POSTROJENJA</t>
  </si>
  <si>
    <t>FOTOGRAFSKE USLUGE</t>
  </si>
  <si>
    <t>79961000-8</t>
  </si>
  <si>
    <t>ISPITIVANJE KARAKTERISTIKA PROIZVODA OD BETONA I KAMENOG AGREGATA</t>
  </si>
  <si>
    <t>DIJELOVI I ODRŽAVANJE ELEKTROMEHANIČKIH I ELEKTROHIDRAULIČNIH RAMPI</t>
  </si>
  <si>
    <t>OSPOSOBLJAVANJE ZAPOSLENIKA ZA UPRAVLJANJE I RUKOVANJE ENERGETSKIM POSTROJENJIMA</t>
  </si>
  <si>
    <t>07.05.2021.</t>
  </si>
  <si>
    <t>07.05.2022.</t>
  </si>
  <si>
    <t>OSPOSOBLJAVANJE ZAPOSLENIKA PREMA ZAKONU O KEMIKALIJAMA</t>
  </si>
  <si>
    <t>80550000-4</t>
  </si>
  <si>
    <t>VODITELJ OPERACIJA PRI IZRADI PROJEKTNO-TEHNIČKE DOKUMENTACIJE SANACIJE GRAĐEVINA ZAŠTIĆENOG KULTURNOG DOBRA NA GROBLJU MIROGOJ</t>
  </si>
  <si>
    <t>REKLAMNI PANELI S POSTAVOM</t>
  </si>
  <si>
    <t>39298200-9</t>
  </si>
  <si>
    <t>DRVENE PLOČE I PANELI</t>
  </si>
  <si>
    <t>44191000-5</t>
  </si>
  <si>
    <t>CERTIFIKACIJA ZNAKOVA PROMETNE SIGNALIZACIJE</t>
  </si>
  <si>
    <t>71600000-4</t>
  </si>
  <si>
    <t>SERVIS I POPRAVAK PLINSKIH RAMPI POSTROJENJA ZA PROIZVODNJU ASFALTNIH MJEŠAVINA</t>
  </si>
  <si>
    <t>50531200-8</t>
  </si>
  <si>
    <t>15.06.2021.</t>
  </si>
  <si>
    <t>CRPKE CIRKULACIONE ZA TOPLINSKE STANICE I PODSTANICE, CENTRALNO GRIJANJE, TERMOVENTILACIJU, RECIRKULACIJU, PRIPREMU TOPLE VODE I DOPUNJAVANJE SISTEMA</t>
  </si>
  <si>
    <t>42122000-0</t>
  </si>
  <si>
    <t>SEMAFORSKO SIGNALNE ŽARULJE</t>
  </si>
  <si>
    <t>31518000-0</t>
  </si>
  <si>
    <t>MOBILNI ELEKTROAGREGAT</t>
  </si>
  <si>
    <t>31121000-0</t>
  </si>
  <si>
    <t>04.06.2022.</t>
  </si>
  <si>
    <t>PROJEKTANTSKI NADZOR NAD IZGRADNJOM TERAPIJSKOG VRTA U SESVETAMA</t>
  </si>
  <si>
    <t>13.06.2021.</t>
  </si>
  <si>
    <t>NAJAM RASVJETE SA SENZORIMA S POSTAVOM</t>
  </si>
  <si>
    <t>ELEKTROMOTORI</t>
  </si>
  <si>
    <t>31110000-0</t>
  </si>
  <si>
    <t>POGONSKI REMENI</t>
  </si>
  <si>
    <t>34312000-7</t>
  </si>
  <si>
    <t>STRUČNE KNJIGE, ČASOPISI I KATALOZI</t>
  </si>
  <si>
    <t>22200000-2</t>
  </si>
  <si>
    <t>NAJAM PREDGOTOVLJENIH ZGRADA OD DRVA</t>
  </si>
  <si>
    <t>REDOVNI SERVIS VOZILA</t>
  </si>
  <si>
    <t>50112000-3</t>
  </si>
  <si>
    <t>SANITETSKI MATERIJAL I PRIRUČNI LIJEKOVI</t>
  </si>
  <si>
    <t>33695000-8</t>
  </si>
  <si>
    <t>REZERVNI DIJELOVI I POPRAVAK RADNIH STROJEVA PROIZVOĐAČA VOLVO</t>
  </si>
  <si>
    <t>18.06.2021.</t>
  </si>
  <si>
    <t>USLUGA ZBRINJAVANJA OTPADA KB 18 01 03* (OTPAD ČIJE JE SAKUPLJANJE I ODLAGANJE PODVRGNUTO SPECIJALNIM ZAHTJEVIMA RADI PREVENCIJE INFEKCIJE)</t>
  </si>
  <si>
    <t>90520000-8</t>
  </si>
  <si>
    <t>PRIMARNE BATERIJE, PUNJAČI BATERIJA I SVJETILJKE</t>
  </si>
  <si>
    <t>31420000-6</t>
  </si>
  <si>
    <t>TKANINE, TAPETARSKI MATERIJAL I PRIBOR</t>
  </si>
  <si>
    <t>19210000-1</t>
  </si>
  <si>
    <t>BAKAR I PROIZVODI OD BAKRA</t>
  </si>
  <si>
    <t>14715000-6</t>
  </si>
  <si>
    <t>REZERVNI DIJELOVI I POPRAVAK VILIČARA</t>
  </si>
  <si>
    <t>SANITARIJE</t>
  </si>
  <si>
    <t>44411000-4</t>
  </si>
  <si>
    <t>BRUSNE I REZNE PLOČE, BRUSNI PAPIR I PLATNA</t>
  </si>
  <si>
    <t>14811000-9</t>
  </si>
  <si>
    <t>ELEKTRIČNI ALATI</t>
  </si>
  <si>
    <t>MATERIJALI ZA INSTALACIJE VODOVODA, KANALIZACIJE I CENTRALNOG GRIJANJA</t>
  </si>
  <si>
    <t>31.08.2021.</t>
  </si>
  <si>
    <t>ISPITIVANJE POSUDA POD TLAKOM</t>
  </si>
  <si>
    <t>71632000-7</t>
  </si>
  <si>
    <t>REZERVNI DIJELOVI, PRIBOR I POPRAVAK RUČNIH ELEKTRIČNIH ALATA</t>
  </si>
  <si>
    <t>BRAVARSKI MATERIJALI</t>
  </si>
  <si>
    <t>44520000-1</t>
  </si>
  <si>
    <t>SERVIS, ISPITIVANJE, OVJERAVANJE I REZERVNI DIJELOVI OPREME DRAGER SAFETY</t>
  </si>
  <si>
    <t>ALUMINIJ I PROIZVODI OD ALUMINIJA</t>
  </si>
  <si>
    <t>14721000-1</t>
  </si>
  <si>
    <t>07.07.2021.</t>
  </si>
  <si>
    <t>ALAT I PRIBOR ZA SOBOSLIKARSKE RADOVE</t>
  </si>
  <si>
    <t>REZERVNI DIJELOVI ZA BICIKLE I TRICIKLE</t>
  </si>
  <si>
    <t>34432000-4</t>
  </si>
  <si>
    <t>IZRADA IDEJNIH PROJEKATA POSTAVE UREDSKIH KONTEJNERA NA GROBLJIMA MIROGOJ, MIROŠEVAC I MARKOVO POLJE</t>
  </si>
  <si>
    <t>AUTOOPREMA (ROTACIJSKE LAMPE, KROVNI NOSAČI I SL.)</t>
  </si>
  <si>
    <t>RAZNI POTROŠNI MATERIJALI ZA ODRŽAVANJE OBJEKATA ODMARALIŠTA PODRUŽNICA - LOKALNO NARUČIVANJE</t>
  </si>
  <si>
    <t>NAJLONSKE NITI ZA TRAVOKOSILICE</t>
  </si>
  <si>
    <t>19724000-7</t>
  </si>
  <si>
    <t>REZERVNI DIJELOVI I POPRAVAK VIBRONABIJAČA</t>
  </si>
  <si>
    <t>ODRŽAVANJE STROJEVA U JAMSTVENOM ROKU MARKE HYUNDAI</t>
  </si>
  <si>
    <t>50110000-9</t>
  </si>
  <si>
    <t>21.09.2021.</t>
  </si>
  <si>
    <t>ODRŽAVANJE I POPRAVAK UPS UREĐAJA</t>
  </si>
  <si>
    <t>ZAKUP MEDIJSKOG PROSTORA U NOVINAMA "ZAGREB NEWS"</t>
  </si>
  <si>
    <t>POPRAVAK SPECIJALNIH VOZILA MARKE MITSUBISHI</t>
  </si>
  <si>
    <t>HORTIKULTURNO UREĐENJE OBJEKATA SAVUDRIJA I VELI LOŠINJ</t>
  </si>
  <si>
    <t>PVC ETUII, KORICE, FASCIKLI I FOLIJE</t>
  </si>
  <si>
    <t>ISTRAŽIVANJE INFLUENCE PTICA NA I U OKOLICI ODLAGALIŠTA KOJE SE HRANE NA ODLAGALIŠTU OTPADA JAKUŠEVEC</t>
  </si>
  <si>
    <t>90731000-0</t>
  </si>
  <si>
    <t>08.07.2021.</t>
  </si>
  <si>
    <t>POLIETILENSKE FOLIJE</t>
  </si>
  <si>
    <t>TIS WEB USLUGA ZA TAHOGRAFE I TAHO RADIONICE I UREĐAJI ZA PREUZIMANJE PODATAKA</t>
  </si>
  <si>
    <t>OBNAVLJANJE I RECERTIFICIRANJE SUSTAVA SUKLADNO NORMAMA HRN EN ISO 9001 I HRN EN ISO 14001</t>
  </si>
  <si>
    <t>72225000-8</t>
  </si>
  <si>
    <t>DIJAMANTNE KRUNE I DIJAMANTNE REZNE PLOČE</t>
  </si>
  <si>
    <t>PAMUČNE KRPE ZA ČIŠĆENJE I ODRŽAVANJE STROJEVA I ALATA</t>
  </si>
  <si>
    <t>39542000-3</t>
  </si>
  <si>
    <t>REZERVNI DIJELOVI, POPRAVAK I SERVIS VOZILA MARKE RENAULT, CITROEN I PEUGEOT</t>
  </si>
  <si>
    <t>DRVENA DRŽALA</t>
  </si>
  <si>
    <t>03419100-1</t>
  </si>
  <si>
    <t>02.07.2022.</t>
  </si>
  <si>
    <t>TRAKE UPOZORENJA I TRAKE INDIKATOR</t>
  </si>
  <si>
    <t>REZERVNI DIJELOVI, PRIBOR I POPRAVAK APARATA ZA ZAVARIVANJE</t>
  </si>
  <si>
    <t>42662000-4</t>
  </si>
  <si>
    <t>15.07.2021.</t>
  </si>
  <si>
    <t>KUĆANSKI APARATI ZA HRANU</t>
  </si>
  <si>
    <t>39711000-9</t>
  </si>
  <si>
    <t>TABLETIRANA SOL ZA OMEKŠAVANJE VODE</t>
  </si>
  <si>
    <t>14430000-4</t>
  </si>
  <si>
    <t>ČELIČNA UŽAD, OPREMA I OSTALI PRIBOR</t>
  </si>
  <si>
    <t>06.07.2021.</t>
  </si>
  <si>
    <t>LJESTVE</t>
  </si>
  <si>
    <t>26.08.2021.</t>
  </si>
  <si>
    <t>30.07.2021.</t>
  </si>
  <si>
    <t>HITNE INTERVENCIJE NA ELEKTRIČNIM INSTALACIJAMA ZA POTREBE PODRUŽNICA AUTOBUSNI KOLODVOR, ČISTOĆA, GRADSKA GROBLJA I ZGOS</t>
  </si>
  <si>
    <t>REZERVNI DIJELOVI, POPRAVAK I SERVIS ZA SKUTERE, MOTOCIKLE I TROKOLICE</t>
  </si>
  <si>
    <t>34410000-4</t>
  </si>
  <si>
    <t>IZRADA IDEJNIH I IZVEDBENIH RJEŠENJA PROMOTIVNIH, EDUKATIVNIH I INFORMATIVNIH MATERIJALA</t>
  </si>
  <si>
    <t>REZERVNI DIJELOVI, NADOGRADNJA, POTROŠNI MATERIJAL I POPRAVAK SUSTAVA NAPLATE PARKIRANJA NA LOKACIJI AVENIJA MARINA DRŽIĆA</t>
  </si>
  <si>
    <t>34996300-8</t>
  </si>
  <si>
    <t>BRAVARSKE USLUGE</t>
  </si>
  <si>
    <t>MJERENJA EMISIJA ONEČIŠĆUJUĆIH TVARI U ZRAK</t>
  </si>
  <si>
    <t>POPRAVAK TRAFOSTANICA</t>
  </si>
  <si>
    <t>SIGURNOSNA POTVRDA - CERTIFIKAT *.zgh.hr</t>
  </si>
  <si>
    <t>48761000-0</t>
  </si>
  <si>
    <t>RAZNE USLUGE ODRŽAVANJA OBJEKATA ODMARALIŠTA PODRUŽNICA - LOKALNO NARUČIVANJE</t>
  </si>
  <si>
    <t>50000000-5</t>
  </si>
  <si>
    <t>LANCI, VODILICE, KUKE I KARABINJERI</t>
  </si>
  <si>
    <t>44540000-7</t>
  </si>
  <si>
    <t>TAPETARSKE USLUGE</t>
  </si>
  <si>
    <t>98394000-1</t>
  </si>
  <si>
    <t>NAJAM VILIČARA</t>
  </si>
  <si>
    <t>60182000-7</t>
  </si>
  <si>
    <t>REDOVNI I IZVANREDNI PREGLED DIZALA</t>
  </si>
  <si>
    <t>30.11.2021.</t>
  </si>
  <si>
    <t>POSTAVLJANJE PODOVA I PODNIH OBLOGA</t>
  </si>
  <si>
    <t>45432100-5</t>
  </si>
  <si>
    <t>VENTILI</t>
  </si>
  <si>
    <t>42131000-6</t>
  </si>
  <si>
    <t>INSTRUMENTI ZA MJERENJE</t>
  </si>
  <si>
    <t>38410000-2</t>
  </si>
  <si>
    <t>SERVIS I REZERVNI DIJELOVI OMEKŠIVAČA VODE RAZNIH PROIZVOĐAČA</t>
  </si>
  <si>
    <t>REZERVNI DIJELOVI, SERVIS I POPRAVAK ELEKTROVOZILA PROIZVOĐAČA MELEX</t>
  </si>
  <si>
    <t>PRAVO KORIŠTENJA ON - LINE INTERNET PORTALA</t>
  </si>
  <si>
    <t>72400000-4</t>
  </si>
  <si>
    <t>POPRAVAK I SERVIS RASHLADNIH VITRINA ZA PRODAJU SIRA I VRHNJA NA TRŽNICAMA</t>
  </si>
  <si>
    <t>STAKLA ZA VOZILA</t>
  </si>
  <si>
    <t>ODRŽAVANJE, POPRAVAK I REZERVNI DIJELOVI PRIJENOSNIH TERMINALA I PRINTERA</t>
  </si>
  <si>
    <t>ODRŽAVANJE, POPRAVAK I REZERVNI DIJELOVI KOMPRESORA</t>
  </si>
  <si>
    <t>50531300-9</t>
  </si>
  <si>
    <t>ODRŽAVANJE I POPRAVAK RAČUNALNE OPREME</t>
  </si>
  <si>
    <t>HITNE INTERVENCIJE NA ELEKTRIČNIM INSTALACIJAMA ZA POTREBE PODRUŽNICE ROBNI TERMINALI ZAGREB</t>
  </si>
  <si>
    <t>GRIJAČI VODE I OPREMA ZA GRIJANJE</t>
  </si>
  <si>
    <t>39715000-7</t>
  </si>
  <si>
    <t>MREŽE, UŽAD I GURTNE</t>
  </si>
  <si>
    <t>39541000-6</t>
  </si>
  <si>
    <t>20.08.2021.</t>
  </si>
  <si>
    <t>REZERVNI DIJELOVI I POPRAVAK PRIKLJUČNE OPREME ZA POLJOPRIVREDNE STROJEVE I ALATE</t>
  </si>
  <si>
    <t>POPRAVAK, SERVIS I REZERVNI DIJELOVI STROJEVA ZA ASFALTNE RADOVE</t>
  </si>
  <si>
    <t>REZERVNI DIJELOVI I POPRAVAK POLJOPRIVREDNIH STROJEVA I ALATA</t>
  </si>
  <si>
    <t>ODRŽAVANJE POSTROJENJA ZA RECIKLAŽU GRAĐEVINSKOG OTPADA</t>
  </si>
  <si>
    <t>45259000-7</t>
  </si>
  <si>
    <t>REZERVNI DIJELOVI, POPRAVAK I SERVIS VOZILA MARKE FORD, OPEL, ŠKODA, AUDI I BMW</t>
  </si>
  <si>
    <t>PROIZVODI PROGRAMSKE OPREME (LICENCE)</t>
  </si>
  <si>
    <t>POCINČANI STUPOVI</t>
  </si>
  <si>
    <t>44316000-8</t>
  </si>
  <si>
    <t>POTROŠNI MATERIJAL ZA VULKANIZERSKE RADIONICE</t>
  </si>
  <si>
    <t>34324000-4</t>
  </si>
  <si>
    <t>REDOVNO ODRŽAVANJE SKRETNICA I KOLOSIJEKA</t>
  </si>
  <si>
    <t>50225000-8</t>
  </si>
  <si>
    <t>ČETKE ZA ČISTILICE ZA STROJNO ČIŠĆENJE JAVNO PROMETNIH POVRŠINA</t>
  </si>
  <si>
    <t>23.08.2021.</t>
  </si>
  <si>
    <t>POCINČANI LIMENI ULOŠCI</t>
  </si>
  <si>
    <t>44616000-1</t>
  </si>
  <si>
    <t>POLIPI I REZERVNI DIJELOVI POLIPA</t>
  </si>
  <si>
    <t>OSPOSOBLJAVANJE ZAPOSLENIKA ZA RAD NA POSLOVIMA S POSEBNIM UVJETIMA RADA</t>
  </si>
  <si>
    <t>12.08.2021.</t>
  </si>
  <si>
    <t>IZRADA ELABORATA GOSPODARENJA OTPADOM</t>
  </si>
  <si>
    <t>71313000-5</t>
  </si>
  <si>
    <t>ODRŽAVANJE I POPRAVAK SUSTAVA DIZEL AGREGATA ZA NUŽNO NAPAJANJE</t>
  </si>
  <si>
    <t>ODRŽAVANJE, POPRAVAK I REZERVNI DIJELOVI PROTUPOŽARNIH ZAKLOPKI</t>
  </si>
  <si>
    <t>ELEKTRIČNI DIJELOVI I ELEKTROMATERIJAL ZA VOZILA</t>
  </si>
  <si>
    <t>31610000-5</t>
  </si>
  <si>
    <t>ODRŽAVANJE I POPRAVAK OPREME ZA ŽIČANU TELEFONIJU</t>
  </si>
  <si>
    <t>50334100-6</t>
  </si>
  <si>
    <t>HITNE INTERVENCIJE NA ELEKTRIČNIM INSTALACIJAMA ZA POTREBE PODRUŽNICA UPRAVLJANJE NEKRETNINAMA, ZAGREBAČKE CESTE, ZAGREBPARKING I ZRINJEVAC</t>
  </si>
  <si>
    <t>SAMOLJEPIVE TAPETE I TRAKE</t>
  </si>
  <si>
    <t>39190000-0</t>
  </si>
  <si>
    <t>ODRŽAVANJE APLIKACIJA INFORMACIJSKOG SUSTAVA STEP</t>
  </si>
  <si>
    <t>IMPLEMENTACIJA I CERTIFICIRANJE SUSTAVA SUKLADNO NORMAMA NIZA HRN, HRN ISO, HRN IEC, HRN EN, HRN ETS I HRN DIN</t>
  </si>
  <si>
    <t>TEKUĆINE ZA AUTOMATSKE PRAONICE VOZILA</t>
  </si>
  <si>
    <t>39831500-1</t>
  </si>
  <si>
    <t>REZERVNI DIJELOVI, POPRAVAK I SERVIS VOZILA MARKE TOYOTA, NISSAN, MAZDA, SUZUKI I ISUZU</t>
  </si>
  <si>
    <t>REZERVNI DIJELOVI I POPRAVAK STROJA ZA PAKIRANJE</t>
  </si>
  <si>
    <t>42974000-4</t>
  </si>
  <si>
    <t>VATROGASNI APARATI I PROTUPOŽARNA OPREMA</t>
  </si>
  <si>
    <t>03000000-1</t>
  </si>
  <si>
    <t>REZERVNI DIJELOVI I POPRAVAK OPREME ZA MANIPULACIJU TERETOM</t>
  </si>
  <si>
    <t>OPREMA ZA RASVJETU I ELEKTRIČNE SVJETILJKE</t>
  </si>
  <si>
    <t>31500000-1</t>
  </si>
  <si>
    <t>PLASTIČNE TIPLE I VEZICE</t>
  </si>
  <si>
    <t>ADITIV ZA PROIZVODNJU HLADNOG ASFALTA</t>
  </si>
  <si>
    <t>24950000-8</t>
  </si>
  <si>
    <t>POPRAVAK I REZERVNI DIJELOVI PRIKLJUČNE OPREME ZA STROJEVE</t>
  </si>
  <si>
    <t>REZERVNI DIJELOVI, POTROŠNI MATERIJAL I POPRAVAK STROJEVA ZA OBRADU KAMENA</t>
  </si>
  <si>
    <t>TAHOGRAF LISTIĆI</t>
  </si>
  <si>
    <t>22900000-9</t>
  </si>
  <si>
    <t>03.09.2021.</t>
  </si>
  <si>
    <t>ODRŽAVANJE VOZILA I STROJEVA U JAMSTVENOM ROKU</t>
  </si>
  <si>
    <t>ODRŽAVANJE I POPRAVAK SUSTAVA ZA FUNKCIONALNOST SAUNA</t>
  </si>
  <si>
    <t>50710000-5</t>
  </si>
  <si>
    <t>ODRŽAVANJE I SERVIS PROTUPANIK SISTEMA I PROTUPROVALNIH ALARMNIH SUSTAVA</t>
  </si>
  <si>
    <t>MJERNI UREĐAJI ZA MJERENJE UDALJENOSTI (LASERSKI, MJERNI KOTAČI, I SL.)</t>
  </si>
  <si>
    <t>38300000-8</t>
  </si>
  <si>
    <t>ODRŽAVANJE, POPRAVAK I ISPITIVANJE PLINSKIH INSTALACIJA</t>
  </si>
  <si>
    <t>POPRAVAK I PROVJERA ISPRAVNOSTI SUSTAVA ZA DOJAVU POŽARA NA ŠKOLAMA I SPORTSKIM OBJEKTIMA</t>
  </si>
  <si>
    <t>15.09.2021.</t>
  </si>
  <si>
    <t>13.08.2022.</t>
  </si>
  <si>
    <t>HITNI POPRAVCI I IZRADA HIDRAULIČNIH CIJEVI ZA STROJEVE I VOZILA</t>
  </si>
  <si>
    <t>50514300-4</t>
  </si>
  <si>
    <t>POPRAVAK I IZMJEŠTANJE HIDRANTSKE MREŽE</t>
  </si>
  <si>
    <t>POPRAVAK I REZERVNI DIJELOVI BAZENSKE TEHNIKE</t>
  </si>
  <si>
    <t>STOLARSKI RADOVI I POSTAVLJANJE STOLARIJE</t>
  </si>
  <si>
    <t>TERMO ROLE</t>
  </si>
  <si>
    <t>30197600-2</t>
  </si>
  <si>
    <t>17.09.2021.</t>
  </si>
  <si>
    <t>POSUDE, KUTIJE I KAŠETE OD PLASTIKE</t>
  </si>
  <si>
    <t>ODRŽAVANJE, POPRAVAK I UMJERAVANJE MJERNIH INSTRUMENATA</t>
  </si>
  <si>
    <t>PUMPA ZA CISTERNE ZA PRANJE JAVNO PROMETNIH POVRŠINA</t>
  </si>
  <si>
    <t>ULJA I MAZIVA ZA STROJEVE I VOZILA U JAMSTVENOM ROKU</t>
  </si>
  <si>
    <t>SREDSTVA ZA ZAŠTITU BILJA</t>
  </si>
  <si>
    <t>24451000-0</t>
  </si>
  <si>
    <t>28.08.2021.</t>
  </si>
  <si>
    <t>MOBILNI KLIMA UREĐAJI</t>
  </si>
  <si>
    <t>POPRAVAK GUMENIH TRANSPORTNIH TRAKA ZA PRIJEVOZ KAMENIH AGREGATRA I FREZANOG ASFALTA</t>
  </si>
  <si>
    <t>42419800-4</t>
  </si>
  <si>
    <t>REZERVNI DIJELOVI I POPRAVAK ZA VOZILA MULTICAR</t>
  </si>
  <si>
    <t>OZNAKE I ZNAKOVI IZ PODRUČJA ZAŠTITE NA RADU I SIGURNOSTI</t>
  </si>
  <si>
    <t>VREĆE I VREĆICE OD POLIETILENA</t>
  </si>
  <si>
    <t>REZERVNI DIJELOVI I POPRAVAK DIZALICA</t>
  </si>
  <si>
    <t>LICENCE PROGRAMA ZA PREPOZNAVANJE KATALOŠKIH BROJEVA REZERVNIH DIJELOVA VOZILA</t>
  </si>
  <si>
    <t>LICENCE PROGRAMA ZA DIJAGNOSTIKU KVAROVA</t>
  </si>
  <si>
    <t>SANACIJA MOTKI VODOVODNIH KUĆNIH PRIKLJUČAKA U NASELJU DUBEC</t>
  </si>
  <si>
    <t>PREVENTIVNO ODRŽAVANJE, POPRAVAK I SERVIS SPRINKLER SUSTAVA</t>
  </si>
  <si>
    <t>NAJAM ELEKTROVOZILA ZA PRIJEVOZ PUTNIKA NA KREMATORIJU</t>
  </si>
  <si>
    <t>REZERVNI DIJELOVI, PRIBOR I SERVIS VISOKOTLAČNIH APARATA</t>
  </si>
  <si>
    <t>42950000-0</t>
  </si>
  <si>
    <t>03.09.2022.</t>
  </si>
  <si>
    <t>05.10.2021.</t>
  </si>
  <si>
    <t>PRIRODNO APSORPCIJSKO SREDSTVO</t>
  </si>
  <si>
    <t>39830000-9</t>
  </si>
  <si>
    <t>OBRAĐENI DRVENI PROIZVODI</t>
  </si>
  <si>
    <t>18.09.2021.</t>
  </si>
  <si>
    <t>ODRŽAVANJE I PROVJERA ISPRAVNOSTI SUSTAVA TEHNIČKOG UPRAVLJANJA NA ŠKOLAMA I SPORTSKIM OBJEKTIMA</t>
  </si>
  <si>
    <t>02.10.2021.</t>
  </si>
  <si>
    <t>ČIŠĆENJE MASTOLOVACA</t>
  </si>
  <si>
    <t>HITNE INTERVENCIJE NA ELEKTRIČNIM INSTALACIJAMA ZA POTREBE PODRUŽNICA TRŽNICE ZAGREB, UPRAVLJANJE PROJEKTIMA I VLADIMIR NAZOR</t>
  </si>
  <si>
    <t>UKLANJANJE BETONSKIH ELEMENATA S OBJEKTA 9A NA LOKACIJI ZAGREPČANKA, HEINZELOVA 66-68</t>
  </si>
  <si>
    <t>45110000-1</t>
  </si>
  <si>
    <t>04.10.2021.</t>
  </si>
  <si>
    <t>24.09.2021.</t>
  </si>
  <si>
    <t>POPRAVAK MOTORA NA STROJU ZA PREVRTANJE KOMPOSTNIH HRPA</t>
  </si>
  <si>
    <t>ELEKTROENERGETSKI VODOVI I KABELI</t>
  </si>
  <si>
    <t>31321000-2</t>
  </si>
  <si>
    <t>REZERVNI DIJELOVI I POPRAVAK SUSTAVA VIDEO NADZORA PODRUŽNICE ROBNI TERMINALI ZAGREB</t>
  </si>
  <si>
    <t>REZERVNI DIJELOVI AMONIJAČNIH RASHLADNIH KOMPRESORA PROIZVOĐAČA SABROE</t>
  </si>
  <si>
    <t>ODRŽAVANJE I POPRAVAK OPREME U EX ZONI</t>
  </si>
  <si>
    <t>50410000-2</t>
  </si>
  <si>
    <t>REZERVNI DIJELOVI I POPRAVAK DIZALICA MARKE HIAB</t>
  </si>
  <si>
    <t>ODRŽAVANJE I DORADA PROGRAMA ZA ZNR</t>
  </si>
  <si>
    <t>20.10.2021.</t>
  </si>
  <si>
    <t>ZASTAVE I PRIBOR</t>
  </si>
  <si>
    <t>ODRŽAVANJE I NADOGRADNJA PROGRAMSKE I STROJNE OPREME SUSTAVA GANTNER</t>
  </si>
  <si>
    <t>SERVIS CEM UREĐAJA ZA KONTINUIRANO PRAĆENJE EMISIJA ONEČIŠĆUJUĆIH TVARI</t>
  </si>
  <si>
    <t>DEMONTAŽA, POPRAVAK I MONTAŽA CRPKE MARKE PLEUGER</t>
  </si>
  <si>
    <t>22.10.2022.</t>
  </si>
  <si>
    <t>OSPOSOBLJAVANJE ZAPOSLENIKA IZ PODRUČJA ZAŠTITE NA RADU I ZAŠTITE OD POŽARA</t>
  </si>
  <si>
    <t>25.10.2021.</t>
  </si>
  <si>
    <t>RAZNE POGREBNE POTREPŠTINE</t>
  </si>
  <si>
    <t>39296000-3</t>
  </si>
  <si>
    <t>NADOGRADNJA PERFORMANSI DISKOVNOG SUSTAVA ZA POHRANU PODATAKA DATA CENTRA ZGH</t>
  </si>
  <si>
    <t>NADOGRADNJA PROSTORA DISKOVNOG SUSTAVA ZA POHRANU PODATAKA DATA CENTRA ZGH</t>
  </si>
  <si>
    <t>19.11.2021.</t>
  </si>
  <si>
    <t>OPREMA ZA MJERENJE TLAKA TEKUĆINA I PLINOVA</t>
  </si>
  <si>
    <t>KOLICA ZA PRIJEVOZ I POHRANU LIJESOVA</t>
  </si>
  <si>
    <t>01.12.2021.</t>
  </si>
  <si>
    <t>ODRŽAVANJE I POPRAVAK POMIČNIH VRATA I STIJENA</t>
  </si>
  <si>
    <t>UPRAVLJANJE SUSTAVOM ZA RASPRŠIVANJE SREDSTAVA ZA SMANJENJE EMISIJE NEUGODNIH MIRISA</t>
  </si>
  <si>
    <t>90731100-1</t>
  </si>
  <si>
    <t>IZRADA PROJEKTNE DOKUMENTACIJE IZGRADNJE SVJETLOVODNE DISTRIBUCIJSKE MREŽE ZA OBJEKTE U IVEKOVIĆEVOJ I LOVINČIĆEVOJ ULICI</t>
  </si>
  <si>
    <t>FOLIJE ZA PAKIRANJE SUPSTRATA S DOTISKOM</t>
  </si>
  <si>
    <t>AKTUARSKE USLUGE</t>
  </si>
  <si>
    <t>66519600-7</t>
  </si>
  <si>
    <t>29.10.2022.</t>
  </si>
  <si>
    <t>TOKARSKI ALATI I PRIBOR</t>
  </si>
  <si>
    <t>METALNE POLICE</t>
  </si>
  <si>
    <t>39151100-6</t>
  </si>
  <si>
    <t>PVC I PLEKSI PLOČE</t>
  </si>
  <si>
    <t>29.11.2021.</t>
  </si>
  <si>
    <t>REZERVNI DIJELOVI I POPRAVAK ELEKTRONIKE ZA SEMAFORSKU SIGNALIZACIJU</t>
  </si>
  <si>
    <t>POPRAVAK I REZERVNI DIJELOVI STROJEVA ZA OBRADU DRVA</t>
  </si>
  <si>
    <t>SPECIJALNA ODJEĆA, OPREMA I PRIBOR ZA RAD U POSEBNIM UVJETIMA</t>
  </si>
  <si>
    <t>35113410-6</t>
  </si>
  <si>
    <t>21.11.2021.</t>
  </si>
  <si>
    <t>REZERVNI DIJELOVI I POPRAVAK PALETNIH DIZALA PROIZVOĐAČA "VULKAN-NOVA"</t>
  </si>
  <si>
    <t>ČELIČNI PROFILI I PROIZVODI OD ČELIKA</t>
  </si>
  <si>
    <t>KAMENI AGREGAT ZA POSIPAVANJE PROMETNICA U ZIMSKIM UVJETIMA</t>
  </si>
  <si>
    <t>OGRADNI ELEMENTI</t>
  </si>
  <si>
    <t>POCINČANE CIJEVI</t>
  </si>
  <si>
    <t>26.11.2022.</t>
  </si>
  <si>
    <t>REZERVNI DIJELOVI I POPRAVAK HIDRAULIČKIH ŠKARA</t>
  </si>
  <si>
    <t>42674000-1</t>
  </si>
  <si>
    <t>RADIJATORI ZA CENTRALNO GRIJANJE</t>
  </si>
  <si>
    <t>44621000-9</t>
  </si>
  <si>
    <t>DEMONTAŽA I MONTAŽA PALETNIH REGALA I PREGRADNIH ELEMENATA U SKLADIŠNIM PROSTORIMA PODRUŽNICE ROBNI TERMINALI ZAGREB</t>
  </si>
  <si>
    <t>45421160-3</t>
  </si>
  <si>
    <t>JELKE I BOROVI</t>
  </si>
  <si>
    <t>03415000-2</t>
  </si>
  <si>
    <t>USLUGA METEOROLOŠKE I HIDROLOŠKE DJELATNOSTI</t>
  </si>
  <si>
    <t>71351600-9</t>
  </si>
  <si>
    <t>REZERVNI DIJELOVI, POPRAVAK I SERVIS VOZILA MARKE FIAT</t>
  </si>
  <si>
    <t>ODRŽAVANJE I NADOGRADNJA SUSTAVA AUTOMATSKE NAPLATE JAVNOG WC-a</t>
  </si>
  <si>
    <t>POPRAVAK KROVOVA NA OBJEKTIMA U POSLOVNIM JEDINICAMA ŽITNJAK, JANKOMIR I SLOBODNA ZONA ZAGREB</t>
  </si>
  <si>
    <t>ODRŽAVANJE I POPRAVAK RAZGLASA I RAZGLASNE OPREME</t>
  </si>
  <si>
    <t>50342000-4</t>
  </si>
  <si>
    <t>STRUČNI NADZOR NAD REKONSTRUKCIJOM PALETNIH DIZALA U HALI VELETRŽNICE</t>
  </si>
  <si>
    <t>SVIJEĆE I LAMPAŠI</t>
  </si>
  <si>
    <t>39225000-5</t>
  </si>
  <si>
    <t>KUGLICE</t>
  </si>
  <si>
    <t>CVJEĆARSKA GALANTERIJA</t>
  </si>
  <si>
    <t>PRIGODNI UKRASI I DEKORACIJE</t>
  </si>
  <si>
    <t>NAJAM TERETNIH I DOSTAVNIH VOZILA</t>
  </si>
  <si>
    <t>REKONSTRUKCIJA ELEKTROINSTALACIJA U OBJEKTIMA POSLOVNIH JEDINICA ŽITNJAK, JANKOMIR I SLOBODNA ZONA ZAGREB</t>
  </si>
  <si>
    <t>45315000-8</t>
  </si>
  <si>
    <t>PVC STOLARIJA S UGRADNJOM</t>
  </si>
  <si>
    <t>44221000-5</t>
  </si>
  <si>
    <t>REZERVNI DIJELOVI, PRIBOR I POPRAVAK NEELEKTRIČNIH ALATA</t>
  </si>
  <si>
    <t>SANACIJA INDUSTRIJSKIH PODOVA U HALAMA POSLOVNIH JEDINICA ŽITNJAK, JANKOMIR I SLOBODNA ZONA ZAGREB</t>
  </si>
  <si>
    <t>45262300-4</t>
  </si>
  <si>
    <t>PROJEKTANTSKI NADZOR NAD IZGRADNJOM XII. GIMNAZIJE U DUBRAVI</t>
  </si>
  <si>
    <t>26.03.2023.</t>
  </si>
  <si>
    <t>ČELIČNE CIJEVI ZA PROMETNE ZNAKOVE</t>
  </si>
  <si>
    <t>NAJAM RASHLADNE OPREME ZA POHRANU POKOJNIKA</t>
  </si>
  <si>
    <t>ANALIZA RIZIKA ZA VISOKOTLAČNI PLINOVOD DN 600/50 NA LOKACIJI ŽITNJAK</t>
  </si>
  <si>
    <t>NAJAM AUTOBUSA</t>
  </si>
  <si>
    <t>34114000-9</t>
  </si>
  <si>
    <t>SERVIS I POPRAVAK KOTLOVA ZA ZAGRIJAVANJE TERMALNOG ULJA PROIZVOĐAČA ĐURO ĐAKOVIĆ</t>
  </si>
  <si>
    <t>PERIODIČKA IZOBRAZBA VOZAČA PO ZAKONU O PRIJEVOZU U CESTOVNOM PROMETU</t>
  </si>
  <si>
    <t>MONTAŽA I DEMONTAŽA PARKETA I PODNIH OBLOGA U ARENI ZAGREB</t>
  </si>
  <si>
    <t>98300000-6</t>
  </si>
  <si>
    <t>MONTAŽA I DEMONTAŽA TRIBINA ZA SJEDENJE U ARENI ZAGREB</t>
  </si>
  <si>
    <t>USLUGA UPRAVLJANJA TEHNIČKIM SUSTAVIMA U ARENI ZAGREB</t>
  </si>
  <si>
    <t>79990000-0</t>
  </si>
  <si>
    <t>TEHNIČKO-LOGISTIČKA KOORDINACIJA ZA DOGAĐAJE U ARENI ZAGREB</t>
  </si>
  <si>
    <t>79715000-9</t>
  </si>
  <si>
    <t>SUORGANIZACIJA DOGAĐANJA U ARENI ZAGREB</t>
  </si>
  <si>
    <t>92300000-4</t>
  </si>
  <si>
    <t>USLUGA UPRAVLJANJA SIGURNOSNIM SUSTAVIMA U ARENI ZAGREB</t>
  </si>
  <si>
    <t>79710000-4</t>
  </si>
  <si>
    <t>LICENCE CAD ALATA</t>
  </si>
  <si>
    <t>ODRŽAVANJE I NADOGRADNJA INFORMACIJSKOG SUSTAVA PAKOM</t>
  </si>
  <si>
    <t>Odstupanje zbog tvorničkih dimenzija robe.</t>
  </si>
  <si>
    <t>POPRAVAK KATAFALKA</t>
  </si>
  <si>
    <t>BAMBUS ŠTAPOVI</t>
  </si>
  <si>
    <t>03412000-1</t>
  </si>
  <si>
    <t>PILJENO DRVO</t>
  </si>
  <si>
    <t>SANACIJA OŠTEĆENIH ZIDOVA POSLOVNIH ZGRADA NA LOKACIJAMA POSLOVNIH JEDINICA ŽITNJAK I JANKOMIR</t>
  </si>
  <si>
    <t>27.12.2022.</t>
  </si>
  <si>
    <t>VETERINARSKE DJELATNOSTI NA PODRUČJU GRADA ZAGREBA</t>
  </si>
  <si>
    <t>85200000-1</t>
  </si>
  <si>
    <t>ODRŽAVANJE SERVERSKE INFRASTRUKTURE PROIZVOĐAČA HP I OPREME APC SA SISTEMSKOM PODRŠKOM</t>
  </si>
  <si>
    <t>RAČUNALNA OPREMA</t>
  </si>
  <si>
    <t>30213000-5</t>
  </si>
  <si>
    <t>IZRADA PROJEKTNE DOKUMENTACIJE REKONSTRUKCIJE TRAFOSTANICE TS 659 NA LOKACIJI POSLOVNE JEDINICE ŽITNJAK</t>
  </si>
  <si>
    <t>ODRŽAVANJE I NADOGRADNJA INTRANET SUSTAVA ZAGREBAČKOG HOLDINGA I APLIKACIJSKOG MODULA ZA UPRAVLJANJE SJEDNICAMA</t>
  </si>
  <si>
    <t>IZRADA ZVUČNE BARIJERE NA VELETRŽNICI</t>
  </si>
  <si>
    <t>TISKOVINE</t>
  </si>
  <si>
    <t>STRUČNI NADZOR NAD SANACIJOM SUSTAVA ZA PRIPREMU POTROŠNE TOPLE VODE U HOTELU TOMISLAVOV DOM</t>
  </si>
  <si>
    <t>CVIJEĆE, CVJETNI ARANŽMANI I OSTALO</t>
  </si>
  <si>
    <t>03121000-5</t>
  </si>
  <si>
    <t>IZRADA PROJEKTNE DOKUMENTACIJE IZMJEŠTANJA TRAFOSTANICE NA TRŽNICI BRANIMIROVA</t>
  </si>
  <si>
    <t>03.01.2023.</t>
  </si>
  <si>
    <t>OBNAVLJANJE I RECERTIFICIRANJE VTP JANKOMIR SUKLADNO EU STANDARDU ZA SIGURNA PARKIRALIŠTA</t>
  </si>
  <si>
    <t>IZRADA ELABORATA OCJENE POSTOJEĆEG STANJA GRAĐEVINSKE KONSTRUKCIJE ZGRADE NA TRŽNICI BRANIMIROVA</t>
  </si>
  <si>
    <t>REPRODUKCIJSKI SADNI MATERIJAL JEDNOGODIŠNJEG BILJA</t>
  </si>
  <si>
    <t>10.01.2023.</t>
  </si>
  <si>
    <t>01.05.2023.</t>
  </si>
  <si>
    <t>ODRŽAVANJE I NADOGRADNJA SUSTAVA POSLOVNIH APLIKACIJA INLINE</t>
  </si>
  <si>
    <t>SERVIS I POPRAVAK PLINODOJAVNIH SUSTAVA</t>
  </si>
  <si>
    <t>ODRŽAVANJE I POPRAVAK AUDIOVIZUALNE I OPTIČKE OPREME</t>
  </si>
  <si>
    <t>50340000-0</t>
  </si>
  <si>
    <t>POPRAVAK I REZERVNI DIJELOVI OPREME ZA REGULACIJU PROMETA HORIZONT</t>
  </si>
  <si>
    <t>50232200-2</t>
  </si>
  <si>
    <t>AUTOMATSKA KLIZNA VRATA S UGRADNJOM</t>
  </si>
  <si>
    <t>44221200-7</t>
  </si>
  <si>
    <t>ODRŽAVANJE RAČUNALNOG PROGRAMA KONTO</t>
  </si>
  <si>
    <t>DNEVNO I PERIODIČNO ČIŠĆENJE I PRANJE POSLOVNIH PROSTORA ZA POTREBE GRADSKE PLINARE ZAGREB - OPSKRBA d.o.o.</t>
  </si>
  <si>
    <t>13.01.2023.</t>
  </si>
  <si>
    <t>ODRŽAVANJE I PROŠIRENA PODRŠKA ZA INFORMACIJSKI SUSTAV PJ SLOBODNA ZONA ZAGREB</t>
  </si>
  <si>
    <t>14.01.2023.</t>
  </si>
  <si>
    <t>17.01.2023.</t>
  </si>
  <si>
    <t>JUTENE TRAKE ZA VEZIVANJE I JUTENE TKANINE ZA BALIRANJE</t>
  </si>
  <si>
    <t>19436000-1</t>
  </si>
  <si>
    <t>IZOBRAZBA U PODRUČJU MARKETINGA I MENADŽMENTA</t>
  </si>
  <si>
    <t>PROMIDŽBA ZAGREBAČKOG HOLDINGA d.o.o.</t>
  </si>
  <si>
    <t>28.01.2023.</t>
  </si>
  <si>
    <t>PAPIR ZA SANITARNE POTREBE</t>
  </si>
  <si>
    <t>ODRŽAVANJE TELEKOMUNIKACIJSKE INFRASTRUKTURE</t>
  </si>
  <si>
    <t>50332000-1</t>
  </si>
  <si>
    <t>23.02.2023.</t>
  </si>
  <si>
    <t>NAJAM PUTNIČKIH VOZILA ZA PODRUŽNICU ČISTOĆA</t>
  </si>
  <si>
    <t>NAJAM GOSPODARSKIH VOZILA</t>
  </si>
  <si>
    <t>NAJAM TERENSKIH VOZILA</t>
  </si>
  <si>
    <t>NAJAM MANJIH DOSTAVNIH VOZILA</t>
  </si>
  <si>
    <t>NAJAM ZATVORENIH DOSTAVNIH VOZILA</t>
  </si>
  <si>
    <t>NAJAM RADNIH VOZILA</t>
  </si>
  <si>
    <t>NAJAM LAKIH DOSTAVNIH VOZILA</t>
  </si>
  <si>
    <t>NAJAM PUTNIČKIH VOZILA ZA PODRUŽNICU ZRINJEVAC</t>
  </si>
  <si>
    <t>NAJAM PUTNIČKIH VOZILA ZA PODRUŽNICU ZAGREBAČKE CESTE</t>
  </si>
  <si>
    <t>03.03.2023.</t>
  </si>
  <si>
    <t>08.03.2023.</t>
  </si>
  <si>
    <t>SANACIJA OŠTEĆENJA INSTALACIJA HEP-a, HT-a i GRADSKE PLINARE</t>
  </si>
  <si>
    <t>14.03.2023.</t>
  </si>
  <si>
    <t>SREDSTVO ZA TRETIRANJE OTPADA - EFEKTIVNI MIKROORGANIZMI</t>
  </si>
  <si>
    <t>24320000-3</t>
  </si>
  <si>
    <t>21.03.2023.</t>
  </si>
  <si>
    <t>VIJCI, ČAVLI I SPOJNI ELEMENTI</t>
  </si>
  <si>
    <t>44530000-4</t>
  </si>
  <si>
    <t>SLUŠALICE</t>
  </si>
  <si>
    <t>32342100-3</t>
  </si>
  <si>
    <t>REPRODUKCIJSKI SADNI MATERIJAL BILJAKA KRATKOG DANA</t>
  </si>
  <si>
    <t>REPRODUKCIJSKI SADNI MATERIJAL DVOGODIŠNJEG BILJA</t>
  </si>
  <si>
    <t>SAVJETOVANJE U PODRUČJU ODNOSA S JAVNOŠĆU</t>
  </si>
  <si>
    <t>79416200-5</t>
  </si>
  <si>
    <t>IZRADA IDEJNIH I IZVEDBENIH RJEŠENJA ZA POTREBE VIZUALNOG IDENTITETA PODRUŽNICE ČISTOĆA NA KOMUNALNOJ OPREMI</t>
  </si>
  <si>
    <t>REZERVNI DIJELOVI, POPRAVAK I SERVIS DIZALICA</t>
  </si>
  <si>
    <t>REZERVNI DIJELOVI, POPRAVAK I SERVIS VOZILA MARKE KIA, HYUNDAI, SEAT, VOLVO I LADA</t>
  </si>
  <si>
    <t>POPRAVAK I ODRŽAVANJE SATOVA</t>
  </si>
  <si>
    <t>50432000-2</t>
  </si>
  <si>
    <t>STRUČAK ZA MEĐUNARODNU VRTNU IZLOŽBU FLORAART</t>
  </si>
  <si>
    <t>39299000-4</t>
  </si>
  <si>
    <t>REZERVNI DIJELOVI I POPRAVAK SUSTAVA VIDEO NADZORA PODRUŽNICE AUTOBUSNI KOLODVOR</t>
  </si>
  <si>
    <t>ODRŽAVANJE, POPRAVAK I REZERVNI DIJELOVI SUSTAVA ULAZNO-IZLAZNIH RAMPI ZA VOĐENJE PROMETNOG DNEVNIKA PROIZVOĐAČA CARDIN NA AUTOBUSNOM KOLODVORU ZAGREB</t>
  </si>
  <si>
    <t>IZRADA PROJEKTNE DOKUMENTACIJE SANACIJE OŠTEĆENJA OBJEKATA NA LOKACIJI GRAD MLADIH (SMJEŠTAJ RASELJENIH OSOBA)</t>
  </si>
  <si>
    <t>PRENOSIVA RAČUNALA</t>
  </si>
  <si>
    <t>30213100-6</t>
  </si>
  <si>
    <t>REZERVNI DIJELOVI, POPRAVAK I SERVIS VILIČARA</t>
  </si>
  <si>
    <t>POPRAVAK RAZVODNIH ORMARA U JAVNIM GARAŽAMA</t>
  </si>
  <si>
    <t>PVC KANALIZACIJSKE CIJEVI</t>
  </si>
  <si>
    <t>USLUGA PREVOĐENJA</t>
  </si>
  <si>
    <t>05.04.2023.</t>
  </si>
  <si>
    <t>TRIKLORETILEN I PERLORETILEN</t>
  </si>
  <si>
    <t>24321000-0</t>
  </si>
  <si>
    <t>20.04.2023.</t>
  </si>
  <si>
    <t>VOZNE, PARKIRNE I PVC KARTICE</t>
  </si>
  <si>
    <t>30162000-2</t>
  </si>
  <si>
    <t>26.04.2023.</t>
  </si>
  <si>
    <t>22.04.2023.</t>
  </si>
  <si>
    <t>02.05.2023.</t>
  </si>
  <si>
    <t>KARDANI I REZERVNI DIJELOVI KARDANA</t>
  </si>
  <si>
    <t>29.04.2023.</t>
  </si>
  <si>
    <t>IZRADA I ODRŽAVANJE PRIVREMENIH ELEKTROINSTALACIJA ZA SAJMOVE, MANIFESTACIJE I BLAGDANE</t>
  </si>
  <si>
    <t>45311000-0</t>
  </si>
  <si>
    <t>RAZNI PROMIDŽBENI MATERIJAL</t>
  </si>
  <si>
    <t>04.05.2023.</t>
  </si>
  <si>
    <t>HITNE INTERVENCIJE NA PARKIRNIM SUSTAVIMA</t>
  </si>
  <si>
    <t>ZAKUP MEDIJSKOG PROSTORA U JUTARNJEM LISTU</t>
  </si>
  <si>
    <t>06.05.2023.</t>
  </si>
  <si>
    <t>SPECIJALNO KEMIJSKO SREDSTVO ZA ODVAJANJE BITUMENSKIH MJEŠAVINA</t>
  </si>
  <si>
    <t>11.05.2023.</t>
  </si>
  <si>
    <t>KONTROLA RADA I ODRŽAVANJE INTERVENTNOG CRPNOG SUSTAVA ODLAGALIŠTA OTPADA</t>
  </si>
  <si>
    <t>ODRŽAVANJE I OGLAŠAVANJE NA DRUŠTVENIM MREŽAMA</t>
  </si>
  <si>
    <t>79341200-8</t>
  </si>
  <si>
    <t>ODRŽAVANJE RASVJETE, RASVJETNIH TIJELA I SVJETLEĆIH REKLAMNIH POVRŠINA</t>
  </si>
  <si>
    <t>TRESET I PERLIT ZA UZGOJ BILJAKA</t>
  </si>
  <si>
    <t>KVARCNI PIJESAK</t>
  </si>
  <si>
    <t>14211000-3</t>
  </si>
  <si>
    <t>TISAK UREDSKOG MATERIJALA</t>
  </si>
  <si>
    <t>HORTIKULTURNO UREĐENJE OBJEKATA NA MORSKIM LOKACIJAMA</t>
  </si>
  <si>
    <t>26.06.2022.</t>
  </si>
  <si>
    <t>NAJAM AUDIO I VIDEO OPREME ZA POTREBE MEĐUNARODNE VRTNE IZLOŽBE FLORAART I NATJECANJA ZGHACK</t>
  </si>
  <si>
    <t>24.05.2023.</t>
  </si>
  <si>
    <t>26.05.2023.</t>
  </si>
  <si>
    <t>PARKOVNA OPREMA</t>
  </si>
  <si>
    <t>23.05.2023.</t>
  </si>
  <si>
    <t>MOBILNE BETONSKE ŽARDINJERE S POSTAVOM</t>
  </si>
  <si>
    <t>18.05.2023.</t>
  </si>
  <si>
    <t>29.05.2022.</t>
  </si>
  <si>
    <t>BRUŠENJE RADIONIČKIH NOŽEVA, PILA I SLIČNOG ALATA</t>
  </si>
  <si>
    <t>01.06.2023.</t>
  </si>
  <si>
    <t>GUMENE TRANSPOTRNE TRAKE</t>
  </si>
  <si>
    <t>06.06.2023.</t>
  </si>
  <si>
    <t>TEPISI I PRIBOR</t>
  </si>
  <si>
    <t>39531000-3</t>
  </si>
  <si>
    <t>OGLAŠAVANJE U SVRHU PROMOVIRANJA ZGH d.o.o.</t>
  </si>
  <si>
    <t>USAVRŠAVANJE U PODRUČJU JAVNE NABAVE</t>
  </si>
  <si>
    <t>13.06.2023.</t>
  </si>
  <si>
    <t>10.06.2023.</t>
  </si>
  <si>
    <t>14.06.2023.</t>
  </si>
  <si>
    <t>NAJAM MULTIFUNKCIJSKIH STROJEVA ZA POTREBE GRADSKE PLINARE ZAGREB - OPSKRBA d.o.o.</t>
  </si>
  <si>
    <t>POPRAVAK KLIMA UREĐAJA VOZILA</t>
  </si>
  <si>
    <t>SLIKARSKE BOJE</t>
  </si>
  <si>
    <t>44812000-5</t>
  </si>
  <si>
    <t>29.06.2023.</t>
  </si>
  <si>
    <t>REZERVNI DIJELOVI I POPRAVAK STROJEVA MARKE WILLIBALD</t>
  </si>
  <si>
    <t>ŠKOLSKI I UREDSKI PRIBOR</t>
  </si>
  <si>
    <t>USLUGA ZAŠTITE OD POŽARA ZA POTREBE KAMPA VELI JOŽE NA LOKACIJI SAVUDRIJA</t>
  </si>
  <si>
    <t>75251000-0</t>
  </si>
  <si>
    <t>IZRADA PROJEKTNE DOKUMENTACIJE SUSTAVA TEHNIČKE ZAŠTITE XII. GIMNAZIJE U DUBRAVI</t>
  </si>
  <si>
    <t>REZERVNI DIJELOVI I POPRAVAK SANITARNE OPREME</t>
  </si>
  <si>
    <t>27.06.2023.</t>
  </si>
  <si>
    <t>POTREPŠTINE ZA UMJETNOST</t>
  </si>
  <si>
    <t>37820000-2</t>
  </si>
  <si>
    <t>PEKARSKI PROIZVODI ISPORUKA NA LOKACIJI SAVUDRIJA, DUGA UVALA I CRIKVENICA</t>
  </si>
  <si>
    <t>06.07.2023.</t>
  </si>
  <si>
    <t>IZRADA PRODAJNO-USLUŽNOG KIOSKA PODRUŽNICE AGM NA LOKACJI AUTOBUSNI KOLODVOR ZAGREB S MONTAŽOM</t>
  </si>
  <si>
    <t>45223000-6</t>
  </si>
  <si>
    <t>21.07.2023.</t>
  </si>
  <si>
    <t>20.07.2023.</t>
  </si>
  <si>
    <t>22.07.2023.</t>
  </si>
  <si>
    <t>REZERVNI DIJELOVI I POPRAVAK RADNIH STROJEVA MARKE MANITOU</t>
  </si>
  <si>
    <t>15.07.2023.</t>
  </si>
  <si>
    <t>26.07.2023.</t>
  </si>
  <si>
    <t>27.07.2023.</t>
  </si>
  <si>
    <t>PLASTIČNI REZERVOAR ZA VODU</t>
  </si>
  <si>
    <t>44618000-5</t>
  </si>
  <si>
    <t>USLUGA AUTOMATSKE NAPLATE TROŠKOVA JAVNIH BILJEŽNIKA</t>
  </si>
  <si>
    <t>STRUČNI NADZOR NAD RAZGRADNJOM I ZAŠTITOM TORNJEVA CRKVE KRISTA KRALJA NA GROBLJU MIROGOJ</t>
  </si>
  <si>
    <t>USLUGA KOORDINATORA ZA ZAŠTITU NA RADU U FAZI IZVOĐENJA RADOVA GRAĐENJA, ODRŽAVANJA I UPRAVLJANJA PODSUSTAVIMA ODLAGALIŠTA OTPADA JAKUŠEVEC</t>
  </si>
  <si>
    <t>OPREMANJE PRODAJNO-USLUŽNOG KIOSKA PODRUŽNICE AGM NA LOKACIJI AUTOBUSNOG KOLODVORA ZAGREB</t>
  </si>
  <si>
    <t>MOBILNI PISAČI</t>
  </si>
  <si>
    <t>30232100-5</t>
  </si>
  <si>
    <t>12.08.2023.</t>
  </si>
  <si>
    <t>29.07.2023.</t>
  </si>
  <si>
    <t>08.08.2023.</t>
  </si>
  <si>
    <t>05.08.2022.</t>
  </si>
  <si>
    <t>JESTIVO ULJE</t>
  </si>
  <si>
    <t>IZDAVANJE VODOPRAVNIH UVJETA I ISHOĐENJE LOKACIJSKE DOZVOLE ZA IZGRADNJU JAVNOG PARKA "KUPALIŠNI PUT"</t>
  </si>
  <si>
    <t>71326000-9</t>
  </si>
  <si>
    <t>04.08.2023.</t>
  </si>
  <si>
    <t>OSPOSOBLJAVANJE RADNIKA ZA ODRŽAVANJE I PREGLED DJEČJIH IGRALIŠTA</t>
  </si>
  <si>
    <t>NAJAM KOSILICE NA DALJINSKO UPRAVLJANJE</t>
  </si>
  <si>
    <t>16310000-1</t>
  </si>
  <si>
    <t>UGRADNJA ELEKTROPUNIONICA ZA ELEKTRIČNE AUTOMOBILE U ZGRADI UPRAVE DRUŠTVA</t>
  </si>
  <si>
    <t>45317300-5</t>
  </si>
  <si>
    <t>REZERVNI DIJELOVI ZA STROJEVE MARKE BCS</t>
  </si>
  <si>
    <t>16.08.2023.</t>
  </si>
  <si>
    <t>VAGE I UTEZI S AMBALAŽOM</t>
  </si>
  <si>
    <t>42923000-2</t>
  </si>
  <si>
    <t>23.08.2023.</t>
  </si>
  <si>
    <t>11.08.2023.</t>
  </si>
  <si>
    <t>TISAK PAPIRNE KONFEKCIJE ZA GRADSKU PLINARU ZAGREB-OPSKRBA D.O.O.</t>
  </si>
  <si>
    <t>05.09.2023.</t>
  </si>
  <si>
    <t>22.08.2023.</t>
  </si>
  <si>
    <t>UZORKOVANJE I ANALIZA ODLAGALIŠNOG PLINA</t>
  </si>
  <si>
    <t>30.08.2023.</t>
  </si>
  <si>
    <t>USLUGA ZBRINJAVANJA VATROGASNIH APARATA I PRAHA IZ VATROGASNIH APARATA</t>
  </si>
  <si>
    <t>REZERVNI DIJELOVI I POPRAVAK RADNIH STROJEVA MARKE HUMER</t>
  </si>
  <si>
    <t>09.09.2023.</t>
  </si>
  <si>
    <t>USPOREDNA ANALIZA TRŽIŠTA SKLADIŠTENJA ROBE I NAJMA PROSTORA</t>
  </si>
  <si>
    <t>79411000-8</t>
  </si>
  <si>
    <t>IZRADA DOKUMENTA O STRATEŠKIM INICIJATIVAMA GRUPE ZGH</t>
  </si>
  <si>
    <t>IZRADA POSLOVNIH MODELA ZA PLANIRANJE</t>
  </si>
  <si>
    <t>REZERVNI DIJELOVI, POPRAVAK I SERVIS VOZILA MARKE TAM, FAP, RAVO I SKIP</t>
  </si>
  <si>
    <t>DEKORATIVNE POSUDE</t>
  </si>
  <si>
    <t>39290000-1</t>
  </si>
  <si>
    <t>07.09.2023.</t>
  </si>
  <si>
    <t>MATERIJAL ZA VEZANJE BETONSKE GALANTERIJE ZA POTREBE GRADSKIH ČETVRTI PODSUSED-VRAPČE, STENJEVEC I ČRNOMEREC</t>
  </si>
  <si>
    <t>MATERIJAL ZA VEZANJE BETONSKE GALANTERIJE ZA POTREBE GRADSKIH ČETVRTI TREŠNJEVKA SJEVER, TREŠNJEVKA JUG I TRNJE</t>
  </si>
  <si>
    <t>MATERIJAL ZA VEZANJE BETONSKE GALANTERIJE ZA POTREBE GRADSKIH ČETVRTI BREZOVICA, NOVI ZAGREB ISTOK I NOVI ZAGREB ZAPAD</t>
  </si>
  <si>
    <t>MATERIJAL ZA VEZANJE BETONSKE GALANTERIJE ZA POTREBE GRADSKIH ČETVRTI SESVETE, GORNJA DUBRAVA, DONJA DUBRAVA I PEŠĆENICA-ŽITNJAK</t>
  </si>
  <si>
    <t>MATERIJAL ZA VEZANJE BETONSKE GALANTERIJE ZA POTREBE GRADSKIH ČETVRTI DONJI GRAD, GORNJI GRAD-MEDVEŠČAK, PODSLJEME I MAKSIMIR</t>
  </si>
  <si>
    <t>VISOKOUČINKOVITE PREMAZNE BOJE</t>
  </si>
  <si>
    <t>AKRILNI PREMAZI ZA ASFALTNE POVRŠINE</t>
  </si>
  <si>
    <t>ZRAČNO SUŠIVI PREMAZI ZA CESTOVNE POVRŠINE</t>
  </si>
  <si>
    <t>21.09.2023.</t>
  </si>
  <si>
    <t>28.09.2023.</t>
  </si>
  <si>
    <t>ODRŽAVANJE, REZERVNI DIJELOVI I REPARACIJA MOTORA MARKE DEUTZ, KUBOTA I PERKINS</t>
  </si>
  <si>
    <t>27.09.2023.</t>
  </si>
  <si>
    <t>STRUČNI NADZOR NAD UGRADNJOM SUSTAVA TEHNIČKE ZAŠTITE XII. GIMNAZIJE U DUBRAVI</t>
  </si>
  <si>
    <t>10.10.2023.</t>
  </si>
  <si>
    <t>SREDSTVO ZA SMANJENJE EMISIJE ISPUŠNIH PLINOVA</t>
  </si>
  <si>
    <t>05.10.2023.</t>
  </si>
  <si>
    <t>04.10.2023.</t>
  </si>
  <si>
    <t>12.10.2023.</t>
  </si>
  <si>
    <t>MATERIJAL ZA GRAĐENJE</t>
  </si>
  <si>
    <t>REZERVNI DIJELOVI STROJA ZA VAĐENJE DRVEĆA S KORIJENJEM PROIZVOĐAČA DROPELMANN FZ160 I FZ120</t>
  </si>
  <si>
    <t>16820000-9</t>
  </si>
  <si>
    <t>07.10.2023.</t>
  </si>
  <si>
    <t>21.10.2023.</t>
  </si>
  <si>
    <t>ISPITIVANJE SIGURNOSNO ISPUŠNIH VENTILA</t>
  </si>
  <si>
    <t>71632100-8</t>
  </si>
  <si>
    <t>OSPOSOBLJAVANJE ZAPOSLENIKA ZA PRUŽANJE PRVE POMOĆI</t>
  </si>
  <si>
    <t>80562000-1</t>
  </si>
  <si>
    <t>SEFOVI, ARHIVSKI, KARTOTEČNI I LIMENI GARDEROBNI ORMARI</t>
  </si>
  <si>
    <t>39130000-2</t>
  </si>
  <si>
    <t>GUME ZA TERETNA VOZILA MARKE MAN I IVECO</t>
  </si>
  <si>
    <t>GUME ZA TERETNA VOZILA MARKE MERCEDES I OSTALE MARKE VOZILA</t>
  </si>
  <si>
    <t>GUME ZA OSTALA VOZILA, STROJEVE I ZRAČNICE</t>
  </si>
  <si>
    <t>ELEKTRONIKA ZA SEMAFORSKU SIGNALIZACIJU</t>
  </si>
  <si>
    <t>27.10.2023.</t>
  </si>
  <si>
    <t>02.11.2023.</t>
  </si>
  <si>
    <t>ODRŽAVANJE HARDVERSKE SISTEMSKE INFRASTRUKTURE ZGH (SERVERI, STOREGE, ...)</t>
  </si>
  <si>
    <t>GUME ZA OSOBNA I KOMBI VOZILA TE VOZILA NA POGON NA ČETIRI KOTAČA</t>
  </si>
  <si>
    <t>STRUČNA KONTROLA GLAVNOG PROJEKTA SANACIJE MRTVAČNICE NA GROBLJU MIROGOJ I SANACIJE UPRAVNE ZGRADE NA GROBLJU MIROGOJ</t>
  </si>
  <si>
    <t>03.11.2023.</t>
  </si>
  <si>
    <t>MASTI I OSTALA SREDSTVA ZA PODMAZIVANJE</t>
  </si>
  <si>
    <t>04.11.2023.</t>
  </si>
  <si>
    <t>BOROVI ZA GRADSKE ČETVRTI</t>
  </si>
  <si>
    <t>28.10.2023.</t>
  </si>
  <si>
    <t>08.11.2023.</t>
  </si>
  <si>
    <t>APLIKATIVNO RJEŠENJE ZA ZAPRIMANJE I UPRAVLJANJE RAČUNIMA</t>
  </si>
  <si>
    <t>48440000-4</t>
  </si>
  <si>
    <t>POPRAVAK I ODRŽAVANJE UREĐAJA ZA OBRADU BIOOTPADA</t>
  </si>
  <si>
    <t>REZERVNI DIJELOVI, POPRAVAK I SERVIS STROJEVA MARKE DOPPSTADT</t>
  </si>
  <si>
    <t>ULJA</t>
  </si>
  <si>
    <t>16.11.2023.</t>
  </si>
  <si>
    <t>21.11.2023.</t>
  </si>
  <si>
    <t>TISAK INFORMATIVNOG MATERIJALA I KUVERTI</t>
  </si>
  <si>
    <t>VILIČARI</t>
  </si>
  <si>
    <t>42415000-8</t>
  </si>
  <si>
    <t>OTKLANJANJE NEDOSTATAKA NA OBJEKTIMA JAVNE NAMJENE</t>
  </si>
  <si>
    <t>22.11.2023.</t>
  </si>
  <si>
    <t>25.11.2023.</t>
  </si>
  <si>
    <t>23.11.2023.</t>
  </si>
  <si>
    <t>24.11.2023.</t>
  </si>
  <si>
    <t>44482000-2</t>
  </si>
  <si>
    <t>29.11.2023.</t>
  </si>
  <si>
    <t>TISAK PAPIRNE KONFEKCIJE</t>
  </si>
  <si>
    <t>28.11.2023.</t>
  </si>
  <si>
    <t>IZMJENA I DOPUNA PROJEKTNE DOKUMENTACIJE IZGRADNJE XII. GIMNAZIJE U DUBRAVI</t>
  </si>
  <si>
    <t>71221000-3</t>
  </si>
  <si>
    <t>PREGLED I ISPITIVANJE EX UREĐAJA I INSTALACIJA</t>
  </si>
  <si>
    <t>SKELA ALUMINIJSKA</t>
  </si>
  <si>
    <t>44212310-5</t>
  </si>
  <si>
    <t>01.12.2023.</t>
  </si>
  <si>
    <t>MATERIJAL ZA VEZANJE BETONSKE GALANTERIJE ZA POTREBE ODRŽAVANJA JAVNO ZELENIH POVRŠINA</t>
  </si>
  <si>
    <t>30.12.2023.</t>
  </si>
  <si>
    <t>USLUGA PRINTANJA I KUVERTIRANJA ZA GRADSKU PLINARU ZAGREB - OPSKRBA d.o.o.</t>
  </si>
  <si>
    <t>URBANO-KOMUNALNA OPREMA</t>
  </si>
  <si>
    <t>REZERVNI DIJELOVI I POPRAVAK GRIJAČA VODE I OPREME ZA GRIJANJE</t>
  </si>
  <si>
    <t>06.12.2023.</t>
  </si>
  <si>
    <t>09.12.2023.</t>
  </si>
  <si>
    <t>19.12.2023.</t>
  </si>
  <si>
    <t>TISAK OBRAZACA ZA MASOVNI ISPIS I KUVERTIRANJE</t>
  </si>
  <si>
    <t>14.12.2023.</t>
  </si>
  <si>
    <t>SIGURNOSNE BRAVE I KLJUČEVI</t>
  </si>
  <si>
    <t>STUPIĆI ZA SPRIJEČAVANJE PROLAZA I PARKIRANJA VOZILA</t>
  </si>
  <si>
    <t>REZERVNI DIJELOVI I POPRAVAK KAROSERIJE, ŠASIJE, OVJESA I OSTALIH DIJELOVA ZA VOZILA MARKE RENAULT-TERETNI PROGRAM</t>
  </si>
  <si>
    <t>REZERVNI DIJELOVI I POPRAVAK MOTORNOG I RASHLADNOG SUSTAVA ZA VOZILA MARKE RENAULT-TERETNI PROGRAM</t>
  </si>
  <si>
    <t>22.12.2023.</t>
  </si>
  <si>
    <t>TISAK PROMOTIVNOG MATERIJALA</t>
  </si>
  <si>
    <t>IZRADA PROJEKTNE DOKUMENTACIJE SUSTAVA VATRODOJAVE JAVNIH GARAŽA</t>
  </si>
  <si>
    <t>72242000-3</t>
  </si>
  <si>
    <t>POPRAVAK POTOPNIH I FEKALNIH PUMPI U JAVNIM GARAŽAMA</t>
  </si>
  <si>
    <t>POPRAVAK SPECIJALNIH VOZILA PAUK</t>
  </si>
  <si>
    <t>MASOVNA PRODUKCIJA IZLAZNE DOKUMENTACIJE</t>
  </si>
  <si>
    <t>REZERVNI DIJELOVI I POPRAVAK UPRAVLJAČKOG I KOČNOG SUSTAVA ZA VOZILA MARKE RENAULT-TERETNI PROGRAM</t>
  </si>
  <si>
    <t>ADITIV ZA PROIZVODNJU ASFALTNIH MJEŠAVINA</t>
  </si>
  <si>
    <t>ICT KOMPONENTE ZA GRADSKU PLINARU ZAGREB - OPSKRBA d.o.o.</t>
  </si>
  <si>
    <t>30237000-9</t>
  </si>
  <si>
    <t>STAKLO, STAKLARSKI MATERIJAL I STAKLARSKE USLUGE</t>
  </si>
  <si>
    <t>14820000-5</t>
  </si>
  <si>
    <t>POPRAVAK HLADNJAKA VOZILA</t>
  </si>
  <si>
    <t>POPRAVAK KARDANA MOTORNIH VOZILA</t>
  </si>
  <si>
    <t>PRIJENOSNI PRINTERI</t>
  </si>
  <si>
    <t>ODRŽAVANJE PROGRAMSKE OPREME ZA KONTROLU TROŠKOVA TELEKOMUNIKACIJSKIH USLUGA</t>
  </si>
  <si>
    <t>ODRŽAVANJE I NADOGRADNJA CRM SUSTAVA ZA UPRAVLJANJE KOMUNIKACIJOM S KUPCIMA PLINA</t>
  </si>
  <si>
    <t>IZGRADNJA VODOOPSKRBNOG CJEVOVODA U BRANOVEČKOJ CESTI DO K.BR. 158 I K.BR. 174</t>
  </si>
  <si>
    <t>SITAN ALAT</t>
  </si>
  <si>
    <t>29823000-4</t>
  </si>
  <si>
    <t>PROIZVODI OD PLASTIČNIH MASA</t>
  </si>
  <si>
    <t>25200000-3</t>
  </si>
  <si>
    <t>26911000-7</t>
  </si>
  <si>
    <t>POPRAVAK I REZERVNI DIJELOVI DEMINERALIZATORA - UREĐAJA ZA PRIPREMU ČISTE VODE</t>
  </si>
  <si>
    <t>24100000-5</t>
  </si>
  <si>
    <t>VULKANIZERSKE USLUGE</t>
  </si>
  <si>
    <t>VODOINSTALATERSKI RADOVI</t>
  </si>
  <si>
    <t>ISPITIVANJE I ODRŽAVANJE SUSTAVA ZA DEZINFEKCIJU VODE</t>
  </si>
  <si>
    <t>29871000-5</t>
  </si>
  <si>
    <t>POPRAVAK I REZERVNI DIJELOVI INSTRUMENTA ZA TRAŽENJE KVAROVA I LOCIRANJE CJEVOVODA</t>
  </si>
  <si>
    <t>SERVIS I POPRAVCI APARATA ZA KLORIRANJE PROIZVOĐAČA ALLDOS</t>
  </si>
  <si>
    <t>29475000-9</t>
  </si>
  <si>
    <t>REZERVNI DIJELOVI I ELEMENTI ELEKTRO ORMARA ZA POGON ENERGETIKE PRECRPNIH STANICA VODOOPSKRBE I ODVODNJE d.o.o.</t>
  </si>
  <si>
    <t>31230000-7</t>
  </si>
  <si>
    <t>STRUČNI NADZOR NAD IZGRADNJOM I SANACIJOM VODOOPSKRBNE MREŽE NA PODRUČJU GRADA ZAGREBA I SAMOBORA</t>
  </si>
  <si>
    <t>36713000-2</t>
  </si>
  <si>
    <t>24498000-1</t>
  </si>
  <si>
    <t>REZERVNI DIJELOVI ZA CRPKE</t>
  </si>
  <si>
    <t>IZRADA IDEJNOG, GLAVNOG I IZVEDBENOG PROJEKTA ZA REKONSTRUKCIJU BUNARA B4 I B5a NA VODOCRPILIŠTU PETRUŠEVEC</t>
  </si>
  <si>
    <t>74232000-4</t>
  </si>
  <si>
    <t>IZGRADNJA VODOOPSKRBNOG CJEVOVODA U ULICI PIŠKOROV BREG</t>
  </si>
  <si>
    <t>IZGRADNJA VODOOPSKRBNOG CJEVOVODA U ULICI HABDELIĆI U NASELJU NOVAKI (SVETA NEDELJA)</t>
  </si>
  <si>
    <t>IZGRADNJA VODOOPSKRBNOG CJEVOVODA U RADNIČKOJ ULICI, OGRANAK OD K.BR. 48 DO ULICE SLAVKA KOVAČIĆA U SESVETAMA</t>
  </si>
  <si>
    <t>IZGRADNJA VODOOPSKRBNOG CJEVOVODA U ULICI BRAĆE RADIĆ, SV. NEDELJA</t>
  </si>
  <si>
    <t>BALANSIRANJE I CENTRIRANJE OSOVINSKIH SLOGOVA CRPKI - MANJIH, SREDNJIH I VELIKIH GABARITA</t>
  </si>
  <si>
    <t>IZRADA IDEJNOG, GLAVNOG I IZVEDBENOG PROJEKTA IZGRADNJE JAVNOG KANALA I VODOOPSKRBNOG CJEVOVODA U ULICI ĐURE SUDETE</t>
  </si>
  <si>
    <t>NATRIJEV KLORIT I SOLNA KISELINA</t>
  </si>
  <si>
    <t>24132000-8</t>
  </si>
  <si>
    <t>REZERVNI DIJELOVI I POPRAVAK ALATNIH STROJEVA (TOKARILICE, GLODALICE)</t>
  </si>
  <si>
    <t>29421000-6</t>
  </si>
  <si>
    <t>28630000-7</t>
  </si>
  <si>
    <t>GRAĐEVINSKI MATERIJALI ZA VODOOPSKRBU I ODVODNJU d.o.o.</t>
  </si>
  <si>
    <t>IZRADA ELABORATA UTVRĐIVANJA VISINE NASTALE ŠTETE NA SUSTAVIMA JAVNE VODOOPSKRBE I ODVODNJE NA USLUŽNIM PODRUČJIMA VODOOPSKRBE I ODVODNJE D.O.O.</t>
  </si>
  <si>
    <t>USLUGE PRIVATNE ZAŠTITE</t>
  </si>
  <si>
    <t>50334000-5</t>
  </si>
  <si>
    <t>STRUČNI NADZOR NAD RADOVIMA NA SUSTAVIMA TEHNIČKE ZAŠTITE OBJEKATA VODOOPSKRBE I ODVODNJE d.o.o.</t>
  </si>
  <si>
    <t>TONERI I TINTE ZA VODOOPSKRBU I ODVODNJU d.o.o.</t>
  </si>
  <si>
    <t>IZRADA IDEJNOG, GLAVNOG I IZVEDBENOG PROJEKTA ZA PROŠIRENJE VODOOPSKRBNE MREŽE U NASELJIMA BELOVAR I LUŽAN</t>
  </si>
  <si>
    <t>IZGRADNJA VODOOPSKRBNOG CJEVOVODA U ULICI RAKITOVEC U NASELJU OREŠJE (SVETA NEDELJA)</t>
  </si>
  <si>
    <t>PROGRAMSKI PAKET ZA MEĐUPOVEZIVANJE APLIKACIJSKIH PLATFORMI</t>
  </si>
  <si>
    <t>30245000-8</t>
  </si>
  <si>
    <t>ARMATURE ZA KUĆNE PRIKLJUČKE ZA VODOOPSKRBU I ODVODNJU d.o.o.</t>
  </si>
  <si>
    <t>VENTILI ZA VODOOPSKRBU I ODVODNJU d.o.o.</t>
  </si>
  <si>
    <t>29131000-6</t>
  </si>
  <si>
    <t>FITINZI ZA VODOOPSKRBU I ODVODNJU d.o.o.</t>
  </si>
  <si>
    <t>29875000-3</t>
  </si>
  <si>
    <t>ZASUNI ZA VODOPSKRBU I ODVODNJU d.o.o.</t>
  </si>
  <si>
    <t>MATERIJAL ZA IZGRADNJU VODOOPSKRBNIH PRIKLJUČAKA</t>
  </si>
  <si>
    <t>VODOMJERI ZA HITNU IZMJENU VODOMJERA PO ISTEKU OVJERNOG RAZDOBLJA</t>
  </si>
  <si>
    <t>IZRADA ELABORATA ZAŠTITE OKOLIŠA ZA OCJENU O POTREBI PROCJENE UTJECAJA ZAHVATA NA OKOLIŠ ZA IZGRADNJU FOTONAPONSKE ELEKTRANE MALA MLAKA</t>
  </si>
  <si>
    <t>SOBOSLIKARSKO-LIČILAČKI RADOVI</t>
  </si>
  <si>
    <t>45442000-7</t>
  </si>
  <si>
    <t>GRAĐEVINSKI MATERIJAL ZA VODOOPSKRBU I ODVODNJU d.o.o.</t>
  </si>
  <si>
    <t>PRIPREMNI RADOVI NA IZGRADNJI OBJEKATA VODOOPSKRBE</t>
  </si>
  <si>
    <t>45100000-8</t>
  </si>
  <si>
    <t>ODRŽAVANJE, POPRAVAK I REZERVNI DIJELOVI LABORATORIJSKIH APARATA I UREĐAJA</t>
  </si>
  <si>
    <t>POPRAVAK I REDOVNO ODRŽAVANJE DIZALA</t>
  </si>
  <si>
    <t>PRIPREMA I IZRADA PROJEKTNE DOKUMENTACIJE U SVRHU USKLAĐENJA SA VAŽEĆOM ZAKONSKOM REGULATIVOM (ZAKON O GRADNJI, ZAKON O PROSTORNOM UREĐENJU, ZAKON O JAVNOJ NABAVI) ZA VODOOPSKRBNU MREŽU</t>
  </si>
  <si>
    <t>SERVIS I POPRAVCI INSTRUMENATA DIONEX DX-320 I DIONEX DX-ICS3000</t>
  </si>
  <si>
    <t>REVIZIJE I STRUČNE ANALIZE PROJEKATA VODOOPSKRBE I ODVODNJE</t>
  </si>
  <si>
    <t>17242000-0</t>
  </si>
  <si>
    <t>24343000-0</t>
  </si>
  <si>
    <t>BOJE I LAKOVI ZA VODOOPSKRBU I ODVODNJU d.o.o.</t>
  </si>
  <si>
    <t>29247000-2</t>
  </si>
  <si>
    <t>KONZULTANTSKE USLUGE NAD IZGRADNJOM OBJEKATA VODOOPSKRBE I ODVODNJE</t>
  </si>
  <si>
    <t>74263000-0</t>
  </si>
  <si>
    <t>72530000-9</t>
  </si>
  <si>
    <t>SERVISIRANJE LABORATORIJSKIH APARATA I UREĐAJA</t>
  </si>
  <si>
    <t>UREĐENJE ZELENIH POVRŠINA NAKON IZGRADNJE KANALIZACIJSKE I VODOOPSKRBNE INFRASTRUKTURE</t>
  </si>
  <si>
    <t>BENTLEY SOFTWARE</t>
  </si>
  <si>
    <t>30240000-3</t>
  </si>
  <si>
    <t>SIGURNOSNA KODIRANA PLOMBA ZA KONTROLNA MJERILA POTROŠNJE VODE, STRUJE I PLINA</t>
  </si>
  <si>
    <t>25226000-1</t>
  </si>
  <si>
    <t>PRANJE I ODRŽAVANJE BUKOBRANA NA JADRANSKOJ AVENIJI KOD SPORTSKE DVORANE ARENA ZAGREB</t>
  </si>
  <si>
    <t>80425000-9</t>
  </si>
  <si>
    <t>STRUČNI NADZOR NAD IZGRADNJOM I REKONSTRUKCIJOM KANALIZACIJSKE MREŽE NA USLUŽNOM PODRUČJU VODOOPSKRBE I ODVODNJE d.o.o., ZAGREB</t>
  </si>
  <si>
    <t>BETON - ZEMLJOVLAŽNI</t>
  </si>
  <si>
    <t>REZERVNI DIJELOVI I POPRAVAK TV KAMERA ZA SNIMANJE KUĆNIH I KANALSKIH PRILJUČAKA</t>
  </si>
  <si>
    <t>32350000-1</t>
  </si>
  <si>
    <t>POPRAVAK I REZERVNI DIJELOVI ZA RADNE STROJEVE MARKE TEREX</t>
  </si>
  <si>
    <t>PREHRAMBENI PROIZVODI I PIĆA ZA VODOOPSKRBU I ODVODNJU d.o.o.</t>
  </si>
  <si>
    <t>cijena na nar. manja nego na računu</t>
  </si>
  <si>
    <t>KUHINJSKI NAMJEŠTAJ I OPREMA</t>
  </si>
  <si>
    <t>36131000-8</t>
  </si>
  <si>
    <t>STRUČNI NADZOR NAD SANACIJAMA VODOOPSKRBNE I KANALIZACIJSKE MREŽE ISPOD TRAMVAJSKIH I ŽELJEZNIČKIH PRUGA</t>
  </si>
  <si>
    <t>CRPKE POTOPNE, MULJNE I FEKALNE</t>
  </si>
  <si>
    <t>29122000-0</t>
  </si>
  <si>
    <t>SERVIS I POPRAVAK VATROGASNIH APARATA</t>
  </si>
  <si>
    <t>STAKLENO LABORATORIJSKO SUĐE I PRIBOR</t>
  </si>
  <si>
    <t>26152000-8</t>
  </si>
  <si>
    <t>POPRAVAK CRPKI I PRIKLJUČNIH ALATA ZA CRPKE S POGONOM NA MOTOR S UNUTRAŠNJIM SAGORIJEVANJEM</t>
  </si>
  <si>
    <t>POPRAVAK POSEBNIH DIJELOVA VOZILA</t>
  </si>
  <si>
    <t>ANALIZA MOGUĆIH POSLOVNIH MODELA ZA IZGRADNJU I UPRAVLJANJE FOTONAPONSKE ELEKTRANE MALA MLAKA</t>
  </si>
  <si>
    <t>74141000-9</t>
  </si>
  <si>
    <t>REZERVNI DIJELOVI I POPRAVAK NADOGRADNJE MARKE MULLER</t>
  </si>
  <si>
    <t>28582000-5</t>
  </si>
  <si>
    <t>MJERAČI PROTOKA</t>
  </si>
  <si>
    <t>MJERILA ELEKTRIČNIH VELIČINA I OSCILOSKOPI</t>
  </si>
  <si>
    <t>33240000-4</t>
  </si>
  <si>
    <t>CRPKE S POGONOM NA MOTOR S UNUTRAŠNJIM SAGORIJEVANJEM</t>
  </si>
  <si>
    <t>ULJA I MAZIVA ZA VODOOPSKRBU I ODVODNJU d.o.o.</t>
  </si>
  <si>
    <t>POPRAVAK, SERVIS I REZERVNI DIJELOVI CRPNIH POSTROJENJA I AUTOMATIKE</t>
  </si>
  <si>
    <t>LABORATORIJSKO ISPITIVANJE PARAMETARA RADIOAKTIVNIH TVARI U VODI ZA LJUDSKU POTROŠNJU</t>
  </si>
  <si>
    <t>REZERVNI DIJELOVI I POPRAVAK NADOGRADNJE SPECIJALNIH VOZILA ZA ODRŽAVANJE SUSTAVA ODVODNJE MARKE KROLL I MORO</t>
  </si>
  <si>
    <t>28815000-8</t>
  </si>
  <si>
    <t>17215000-2</t>
  </si>
  <si>
    <t>29542000-0</t>
  </si>
  <si>
    <t>UPS OPREMA S MONTAŽOM</t>
  </si>
  <si>
    <t>31154000-0</t>
  </si>
  <si>
    <t>IZRADA TEHNIČKE DOKUMENTACIJE, PRIRUČNIKA I DNEVNIKA ZA PEX ZAŠTITU</t>
  </si>
  <si>
    <t>LABORATORIJSKI PRIBOR ZA VODOOPSKRBU I ODVODNJU d.o.o.</t>
  </si>
  <si>
    <t>33124000-5</t>
  </si>
  <si>
    <t>POPRAVAK ELEKTRIČNIH ROTACIJSKIH POGONA ZA VENTILE PROIZVOĐAČA AUMA</t>
  </si>
  <si>
    <t>TEKUĆINA PROPILEN-GLIKOL ZA PODMAZIVANJE I HLAĐENJE DUBINSKIH ELEKTRO-MOTORA</t>
  </si>
  <si>
    <t>PLASTIČNO LABORATORIJSKO SUĐE I PRIBOR</t>
  </si>
  <si>
    <t>25224000-7</t>
  </si>
  <si>
    <t>SREDSTVA ZA DERATIZACIJU, DEZINSEKCIJU I DEZINFEKCIJU</t>
  </si>
  <si>
    <t>24260000-4</t>
  </si>
  <si>
    <t>SANACIJSKE OBUJMICE I SPOJNICE ZA VODOOPSKRBU I ODVODNJU D.O.O.</t>
  </si>
  <si>
    <t>POPRAVAK I ODRŽAVANJE ELEKTROMOTORA SNAGE VEĆE OD 10 KW</t>
  </si>
  <si>
    <t>ELEKTROMATERIJAL ZA VODOOPSKRBU I ODVODNJU d.o.o.</t>
  </si>
  <si>
    <t>POPRAVAK ENERGETSKIH SKLOPOVA U ISPRAVLJAČKIM I TRANSFORMATORSKIM POSTROJENJIMA</t>
  </si>
  <si>
    <t>APARATI ZA DETEKCIJU I ANALIZU</t>
  </si>
  <si>
    <t>33253000-8</t>
  </si>
  <si>
    <t>PRIPREMA I IZRADA PROJEKTNE DOKUMENTACIJE U SVRHU USKLAĐENJA SA VAŽEĆOM ZAKONSKOM REGULATIVOM (ZAKON O GRADNJI, ZAKON O PROSTORNOM UREĐENJU, ZAKON O JAVNOJ NABAVI) ZA KANALIZACIJSKU MREŽU</t>
  </si>
  <si>
    <t>IZRADA ELABORATA ZAŠTITE OKOLIŠA</t>
  </si>
  <si>
    <t>24667000-7</t>
  </si>
  <si>
    <t>REZAČI I LOMILICE ZA BETON I ASFALT</t>
  </si>
  <si>
    <t>29441000-2</t>
  </si>
  <si>
    <t>MEDICINSKI PROPISANA ORTOPEDSKA POMAGALA PRI ZAŠTITI NA RADU</t>
  </si>
  <si>
    <t>33140000-3</t>
  </si>
  <si>
    <t>VODOMJERI S PRIRUBNIČKIM SPOJEM ZA VODOOPSKRBU I ODVODNJU d.o.o.</t>
  </si>
  <si>
    <t>80426000-6</t>
  </si>
  <si>
    <t>VODOMJERI S NAVOJNIM SPOJEM ZA VODOOPSKRBU I ODVODNJU d.o.o.</t>
  </si>
  <si>
    <t>SKLOPKE, SKLOPNICI, TIPKALA I REZERVNI DIJELOVI</t>
  </si>
  <si>
    <t>31214000-9</t>
  </si>
  <si>
    <t>29715000-4</t>
  </si>
  <si>
    <t>STRUČNI NADZOR NAD IZGRADNJOM VODOOPSKRBNIH CJEVOVODA I JAVNIH KANALA U ODVOJKU ULICE CHARLESA DARWINA</t>
  </si>
  <si>
    <t>DRVENA PILJENA GRAĐA ZA VODOOPSKRBU I ODVODNJU d.o.o.</t>
  </si>
  <si>
    <t>MEKI UPUŠTAČ S PROTEKTOROM</t>
  </si>
  <si>
    <t>31215000-6</t>
  </si>
  <si>
    <t>REZERVNI DIJELOVI I POPRAVAK SUSTAVA ZA VIDEONADZOR VODOOPSKRBE I ODVODNJE d.o.o.</t>
  </si>
  <si>
    <t>29852000-6</t>
  </si>
  <si>
    <t>IZRADA PROJEKTNE DOKUMENTACIJE ZA IZGRADNJU JAVNE VODOOPSKRBNE MREŽE</t>
  </si>
  <si>
    <t>SONDA ZA MJERENJE NIVOA VODE</t>
  </si>
  <si>
    <t>DEMONTAŽA I MONTAŽA NEPOVRATNIH VENTILA NA CRPNOJ STANICI ODVODNJE BUZIN</t>
  </si>
  <si>
    <t>REZERVNI DIJELOVI, POPRAVAK I SERVIS VOZILA MARKE DACIA</t>
  </si>
  <si>
    <t>33251000-4</t>
  </si>
  <si>
    <t>DEMONTAŽA I MONTAŽA NEPOVRATNIH VENTILA NA CRPNIM STANICAMA ODVODNJE BESTOVJE I RAKITJE</t>
  </si>
  <si>
    <t>NADOGRADNJA SUSTAVA EVIDENCIJE I KONTROLE RADNOG VREMENA VODOOPSKRBE I ODVODNJE d.o.o.</t>
  </si>
  <si>
    <t>BETONSKI PROIZVODI ZA VODOOPSKRBU I ODVODNJU d.o.o.</t>
  </si>
  <si>
    <t>USLUGA ZBRINJAVANJA OPASNOG OTPADA ZA VODOOPSKRBU I ODVODNJU d.o.o.</t>
  </si>
  <si>
    <t>IZRADA SIGURNOSNIH LJESTVI ILI STUPALJKI S LEĐOBRANIMA, REŠETKI I POKROVNIH POKLOPACA OD INOXA ZA TIPSKE KANALIZACIJSKE CRPNE STANICE S UGRADNJOM</t>
  </si>
  <si>
    <t>REZERVNI DIJELOVI I POPRAVAK HIDROFORSKIH POSTROJENJA</t>
  </si>
  <si>
    <t>IZRADA ELABORATA ZAŠTITE OD POŽARA</t>
  </si>
  <si>
    <t>SREDSTVA ZA EKOLOŠKO ČIŠĆENJE, DEZINFEKCIJU, DEZINSEKCIJU I EKOSANACIJU PO HACCP I ISO STANDARDIMA</t>
  </si>
  <si>
    <t>24512000-6</t>
  </si>
  <si>
    <t>MEHANIČKA OSOVINSKA BRTVILA</t>
  </si>
  <si>
    <t>USLUGA ZBRINJAVANJA NEOPASNOG OTPADA ZA VODOOPSKRBU I ODVODNJU d.o.o.</t>
  </si>
  <si>
    <t>LABORATORIJSKI APARATI I UREĐAJI</t>
  </si>
  <si>
    <t>PROVOĐENJE EKSPERTIZE O UZROKU PUKNUĆA CJEVOVODA U DRŽIĆEVOJ ULICI</t>
  </si>
  <si>
    <t>74870000-8</t>
  </si>
  <si>
    <t>24400000-8</t>
  </si>
  <si>
    <t>NADOGRADNJA, ODRŽAVANJE I POPRAVAK NADZORNO UPRAVLJAČKOG SUSTAVA VODOOPSKRBE I ODVODNJE d.o.o.</t>
  </si>
  <si>
    <t>STROJ ZA PRANJE, SUŠENJE I GLAČANJE RUBLJA</t>
  </si>
  <si>
    <t>29541000-3</t>
  </si>
  <si>
    <t>20210000-1</t>
  </si>
  <si>
    <t>REGULATORI TLAKA VODE</t>
  </si>
  <si>
    <t>ELEKTRONIČKE KOMUNIKACIJSKE USLUGE U NEPOKRETNOJ MREŽI</t>
  </si>
  <si>
    <t>64200000-8</t>
  </si>
  <si>
    <t>12.07.2018.</t>
  </si>
  <si>
    <t>12.07.2020.</t>
  </si>
  <si>
    <t>13.07.2020.</t>
  </si>
  <si>
    <t>ODRŽAVANJE I NADOGRADNJA BI/DWH SUSTAVA ZA POSLOVNO IZJEŠTAVANJE I SKLADIŠTE PODATAKA</t>
  </si>
  <si>
    <t>RAZNI PREHRAMBENI PROIZVODI I PIĆA; 8. GRUPA PIĆA</t>
  </si>
  <si>
    <t>05.06.2019.</t>
  </si>
  <si>
    <t>05.06.2021.</t>
  </si>
  <si>
    <t>06.06.2021.</t>
  </si>
  <si>
    <t>GRADSKA PLINARA ZAGREB OPSKRBA D.O.O., VODOOPSKRBA I ODVODNJA D.O.O., ZAGREBAČKI HOLDING D.O.O.</t>
  </si>
  <si>
    <t>USLUGA USPOSTAVE SUSTAVA ZA ELEKTRONIČKO POSLOVANJE U GPZ</t>
  </si>
  <si>
    <t>51900000-1</t>
  </si>
  <si>
    <t>26.06.2019.</t>
  </si>
  <si>
    <t>26.06.2021.</t>
  </si>
  <si>
    <t>27.06.2021.</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</si>
  <si>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</si>
  <si>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15.07.2019.</t>
  </si>
  <si>
    <t>SUSTAV SIGURNOSNO-TEHNIČKE ZAŠTITE S UGRADNJOM NA HIDROTEHNIČKIM OBJEKTIMA VODOOPSKRBE I ODVODNJE</t>
  </si>
  <si>
    <t>23.06.2020.</t>
  </si>
  <si>
    <t>10.07.2021.</t>
  </si>
  <si>
    <t>IZGRADNJA - NTP VII. RETKOVEC-NASTAVAK</t>
  </si>
  <si>
    <t>21.04.2016.</t>
  </si>
  <si>
    <t>31.12.2016.</t>
  </si>
  <si>
    <t>09.09.2016.</t>
  </si>
  <si>
    <t>IZGRADNJA JAVNOG KANALA U ODVOJKU ULICE GORICE</t>
  </si>
  <si>
    <t>16.06.2016.</t>
  </si>
  <si>
    <t>16.06.2017.</t>
  </si>
  <si>
    <t>27.04.2017.</t>
  </si>
  <si>
    <t>ODRŽAVANJE ANTIVIRUSNOG SOFTVERA NOD 32</t>
  </si>
  <si>
    <t>31.08.2016.</t>
  </si>
  <si>
    <t>31.08.2017.</t>
  </si>
  <si>
    <t>IZGRADNJA VODOOPSKRBNE MREŽE U BREZOVIČKOJ CESTI ODVOJAK PREMA K.BR. 77C</t>
  </si>
  <si>
    <t>26.09.2016.</t>
  </si>
  <si>
    <t>26.09.2017.</t>
  </si>
  <si>
    <t>23.03.2017.</t>
  </si>
  <si>
    <t>PROŠIRENJE VATRODOJAVNOG SUSTAVA GPZ - OBJEKATA BR. 4 i 5</t>
  </si>
  <si>
    <t>24.01.2017.</t>
  </si>
  <si>
    <t>24.01.2018.</t>
  </si>
  <si>
    <t>28.04.2017.</t>
  </si>
  <si>
    <t>REKONSTRUKCIJA VODOOPSKRBNOG CJEVOVODA U ULICI FRANZA LISZTA (SAMOBOR)</t>
  </si>
  <si>
    <t>03.02.2017.</t>
  </si>
  <si>
    <t>03.02.2018.</t>
  </si>
  <si>
    <t>VOĐENJE PROJEKTA NAD REKONSTRUKCIJOM VODOOOPSKRBNOG CJEVOVODA U NASELJU DUBEC</t>
  </si>
  <si>
    <t>16.04.2019.</t>
  </si>
  <si>
    <t>16.04.2020.</t>
  </si>
  <si>
    <t>IZGRADNJA VODOOPSKRBNE MREŽE U NASELJU LUKAČINI II. ETAPA</t>
  </si>
  <si>
    <t>08.11.2016.</t>
  </si>
  <si>
    <t>08.11.2017.</t>
  </si>
  <si>
    <t>18.04.2017.</t>
  </si>
  <si>
    <t>06.12.2019.</t>
  </si>
  <si>
    <t>06.12.2020.</t>
  </si>
  <si>
    <t>VOĐENJE PROJEKTA NAD IZGRADNJOM PS JALŠEVEC, VODOOPSKRBNIH CJEVOVODA U NASELJIMA OPOROVEČKI BREG, JALŠEVEC I SVETA BARBARA TE VODOSPREMNIKA SVETA BARBARA</t>
  </si>
  <si>
    <t>17.12.2019.</t>
  </si>
  <si>
    <t>VOĐENJE PROJEKTA NAD IZGRADNJOM SUSTAVA ODVODNJE OTPADNIH VODA - SANITARNA KANALIZACIJA ETAPA 2</t>
  </si>
  <si>
    <t>23.01.2020.</t>
  </si>
  <si>
    <t>23.01.2021.</t>
  </si>
  <si>
    <t>OPREMA ZA OSNOVNU ŠKOLU JELKOVEC - Grupa 1. NAMJEŠTAJ I OPREMA ZA OŠ JELKOVEC</t>
  </si>
  <si>
    <t>21.07.2020.</t>
  </si>
  <si>
    <t>ELEKTROAKUSTIČNI UREĐAJ ZA TRAŽENJE KVAROVA. GRUPA 1: SUSTAV ZA AUTOMATSKU REGISTRACIJU CURENJA</t>
  </si>
  <si>
    <t>31642000-8</t>
  </si>
  <si>
    <t>OPREMA ZA OSNOVNU ŠKOLU JELKOVEC - Grupa 2. OBRAZOVNA OPREMA I PRIBOR ZA OŠ JELKOVEC</t>
  </si>
  <si>
    <t>05.10.2020.</t>
  </si>
  <si>
    <t>ELEKTROAKUSTIČNI UREĐAJ ZA TRAŽENJE KVAROVA. GRUPA 2: GEOFON</t>
  </si>
  <si>
    <t>IZGRADNJA VODOSPREME KAŠINA SA SPOJNIM CJEVOVODOM</t>
  </si>
  <si>
    <t>45232154-6</t>
  </si>
  <si>
    <t>27.01.2016.</t>
  </si>
  <si>
    <t>27.01.2017.</t>
  </si>
  <si>
    <t>31.07.2019.</t>
  </si>
  <si>
    <t>ODRŽAVANJE I NADOGRADNJA POSTOJEĆIH APLIKATIVNIH MODULA INabava2, IISZV i INfisk2</t>
  </si>
  <si>
    <t>01.02.2016.</t>
  </si>
  <si>
    <t>01.08.2016.</t>
  </si>
  <si>
    <t>03.05.2016.</t>
  </si>
  <si>
    <t>KONTEJNERSKI VILIČAR</t>
  </si>
  <si>
    <t>42414140-4</t>
  </si>
  <si>
    <t>04.02.2016.</t>
  </si>
  <si>
    <t>04.08.2016.</t>
  </si>
  <si>
    <t>PROJEKTANTSKI NADZOR NAD GRAĐENJEM, ODRŽAVANJEM I UPRAVLJANJEM PODSUSTAVIMA ODLAGALIŠTA OTPADA JAKUŠEVEC ZA RAZDOBLJE OD 01.01.2016. DO 31.12.2018.</t>
  </si>
  <si>
    <t>02.03.2016.</t>
  </si>
  <si>
    <t>31.12.2018.</t>
  </si>
  <si>
    <t>29.03.2019.</t>
  </si>
  <si>
    <t>IZVOĐENJE RADOVA NA IZGRADNJI OBJEKTA SRC SVETICE - DODATNI RADOVI PO OSNOVNOM UGOVORU N-128/13</t>
  </si>
  <si>
    <t>45212200-8</t>
  </si>
  <si>
    <t>19.02.2016.</t>
  </si>
  <si>
    <t>19.02.2017.</t>
  </si>
  <si>
    <t>PROJEKTANTSKA USLUGA IZRADE TEHNIČKE DOKUMENTACIJE ZA NADMETANJE ZA RADOVE GRAĐENJA, ODRŽAVANJA I UPRAVLJANJA POSTROJENJIMA ODLAGALIŠTA OTPADA JAKUŠEVEC ZA RAZDOBLJE OD 01.06.2016. DO 31.12.2018.</t>
  </si>
  <si>
    <t>04.03.2016.</t>
  </si>
  <si>
    <t>31.05.2019.</t>
  </si>
  <si>
    <t>KRATKOROČNI KUNSKI REVOLVING KREDIT ZA GRADSKU PLINARU ZAGREB - OPSKRBA d.o.o.</t>
  </si>
  <si>
    <t>66113000-5</t>
  </si>
  <si>
    <t>29.02.2016.</t>
  </si>
  <si>
    <t>28.02.2017.</t>
  </si>
  <si>
    <t>SANACIJA FILTERA NA VODOCRPILIŠTU SAŠNAK</t>
  </si>
  <si>
    <t>45252210-3</t>
  </si>
  <si>
    <t>18.03.2016.</t>
  </si>
  <si>
    <t>18.03.2017.</t>
  </si>
  <si>
    <t>IZGRADNJA SABIRNOG KANALA NA PROSTORU BIVŠEG PODUZEĆA VENTILATOR</t>
  </si>
  <si>
    <t>SANACIJA RAVNOG KROVA KOMANDNE ZGRADE BUNARA B9 I B10 NA VODOCRPILIŠTU MALA MLAKA</t>
  </si>
  <si>
    <t>24.03.2016.</t>
  </si>
  <si>
    <t>24.03.2017.</t>
  </si>
  <si>
    <t>IZGRADNJA VODOOPSKRBNOG CJEVOVODA U NASELJU VRBOVEC - CELINE, DN 160 I DN 110 mm, L=1.400 m'</t>
  </si>
  <si>
    <t>16.03.2016.</t>
  </si>
  <si>
    <t>16.03.2017.</t>
  </si>
  <si>
    <t>15.11.2017.</t>
  </si>
  <si>
    <t>IZGRADNJA KANALIZACIJSKE MREŽE U NASELJU PREKVRŠJE - JUGOISTOČNI DIO</t>
  </si>
  <si>
    <t>17.03.2016.</t>
  </si>
  <si>
    <t>17.03.2017.</t>
  </si>
  <si>
    <t>NASTAVAK IZGRADNJE GLAVNOG SABIRNOG KANALA GSK I.I. I CRPNE STANICE HRVATSKI LESKOVEC</t>
  </si>
  <si>
    <t>18.04.2016.</t>
  </si>
  <si>
    <t>IZGRADNJA MAGISTRALNOG I VODOOPSKRBNOG CJEVOVODA U ZONI IZGRADNJE 3. ETAPE RADNIČKE CESTE</t>
  </si>
  <si>
    <t>06.04.2016.</t>
  </si>
  <si>
    <t>06.04.2017.</t>
  </si>
  <si>
    <t>IZGRADNJA VODOOPSKRBNE MREŽE U NASELJU ŠIRANOVIĆI</t>
  </si>
  <si>
    <t>01.04.2016.</t>
  </si>
  <si>
    <t>01.04.2017.</t>
  </si>
  <si>
    <t>18.01.2017.</t>
  </si>
  <si>
    <t>IZGRADNJA JAVNOG KANALA U ULICI II. FERENŠČICA V I VI ODVOJAK</t>
  </si>
  <si>
    <t>29.03.2016.</t>
  </si>
  <si>
    <t>29.03.2017.</t>
  </si>
  <si>
    <t>IZGRADNJA VODOOPSKRBNOG CJEVOVODA GRADIŠĆE - DRAGANJE SELO - SLANI DOL (CJEVOVOD OD DRAGANJA SELA DO SLANOG DOLA, 3700 m)</t>
  </si>
  <si>
    <t>11.04.2016.</t>
  </si>
  <si>
    <t>11.04.2017.</t>
  </si>
  <si>
    <t>STRUČNI NADZOR NAD IZGRADNJOM SABIRNOG KANALA I MREŽE KUPINEČKI KRALJEVEC I. ETAPA - BREZOVICA</t>
  </si>
  <si>
    <t>IZGRADNJA JAVNOG KANALA U ULICI I. ORANIČKI ODVOJAK</t>
  </si>
  <si>
    <t>22.04.2016.</t>
  </si>
  <si>
    <t>22.04.2017.</t>
  </si>
  <si>
    <t>REKONSTRUKCIJA VISOKOTLAČNOG PLINOVODA DUBRAVA SJEVER - III. ETAPA</t>
  </si>
  <si>
    <t>26.04.2016.</t>
  </si>
  <si>
    <t>26.04.2017.</t>
  </si>
  <si>
    <t>07.12.2016.</t>
  </si>
  <si>
    <t>IZGRADNJA PRECRPNE STANICE VINOGRADSKA U SESVETAMA</t>
  </si>
  <si>
    <t>45232152-2</t>
  </si>
  <si>
    <t>02.05.2016.</t>
  </si>
  <si>
    <t>02.05.2017.</t>
  </si>
  <si>
    <t>16.02.2018.</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</si>
  <si>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</si>
  <si>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</si>
  <si>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</si>
  <si>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</si>
  <si>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</si>
  <si>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</si>
  <si>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</si>
  <si>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</si>
  <si>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</si>
  <si>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SABIRNOG KANALA I MREŽE KUPINEČKI KRALJEVEC I. ETAPA - BREZOVICA</t>
  </si>
  <si>
    <t>15.07.2016.</t>
  </si>
  <si>
    <t>15.07.2017.</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</si>
  <si>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</si>
  <si>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</si>
  <si>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</si>
  <si>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</si>
  <si>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</si>
  <si>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20.09.2017.</t>
  </si>
  <si>
    <t>STRUČNI NADZOR NAD IZGRADNJOM TRANSPORTNOG KOLEKTORA SESVETE-CUPOV S PRECRPNICOM PC SESVETE I RASTERETNOG OBJEKTA S RETENCIJSKIM KANALOM NA KOLEKTORU SESVETE</t>
  </si>
  <si>
    <t>13.01.2017.</t>
  </si>
  <si>
    <t>20.06.2020.</t>
  </si>
  <si>
    <t>PRIVATNA ZAŠTITA OSOBA I IMOVINE</t>
  </si>
  <si>
    <t>Temeljem čl. 44 Zakona o javnoj nabavi</t>
  </si>
  <si>
    <t>26.02.2016.</t>
  </si>
  <si>
    <t>15.05.2017.</t>
  </si>
  <si>
    <t>30.11.2017.</t>
  </si>
  <si>
    <t>IZMJENE I DOPUNE PROJEKTNE DOKUMENTACIJE ZA SREDNJU ŠKOLU SA PRATEĆIM SADRŽAJIMA NA LOKACIJI JELKOVEC</t>
  </si>
  <si>
    <t>03.05.2017.</t>
  </si>
  <si>
    <t>05.05.2016.</t>
  </si>
  <si>
    <t>05.05.2017.</t>
  </si>
  <si>
    <t>09.06.2016.</t>
  </si>
  <si>
    <t>IZRADA PROJEKTA ZA STRATEŠKO PROŠIRENJE POSLOVNE JEDINICE ŽITNJAK</t>
  </si>
  <si>
    <t>30.11.2016.</t>
  </si>
  <si>
    <t>ZAVRŠNI GRAĐEVINSKO OBRTNIČKI RADOVI NA IZGRADNJI LABORATORIJA ASFALTNE BAZE U RAKITJU</t>
  </si>
  <si>
    <t>23.05.2016.</t>
  </si>
  <si>
    <t>23.05.2017.</t>
  </si>
  <si>
    <t>IZGRADNJA - STP JEŽDOVEC - ETAPA 1</t>
  </si>
  <si>
    <t>07.11.2016.</t>
  </si>
  <si>
    <t>IZGRADNJA STP MARKUŠEVAC - ETAPA 14</t>
  </si>
  <si>
    <t>IZVOĐENJE RADOVA NA IZGRADNJI STP KOZARI BOK, KOZARI I KOZARI PUTEVI – 4. etapa</t>
  </si>
  <si>
    <t>30.12.2016.</t>
  </si>
  <si>
    <t>IZGRADNJA - STP HRVATSKI LESKOVAC - SVEUKUPNO</t>
  </si>
  <si>
    <t>30.09.2017.</t>
  </si>
  <si>
    <t>IZGRADNJA I OPREMANJE RECIKLAŽNOG DVORIŠTA U K.O. KLARA</t>
  </si>
  <si>
    <t>45213270-6</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</si>
  <si>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</si>
  <si>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</si>
  <si>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</si>
  <si>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</si>
  <si>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</si>
  <si>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</si>
  <si>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</si>
  <si>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17.08.2018.</t>
  </si>
  <si>
    <t>17.02.2017.</t>
  </si>
  <si>
    <t>PRIVATNA ZAŠTITA OSOBA I IMOVINE ZA GRADSKU PLINARU ZAGREB d.o.o.</t>
  </si>
  <si>
    <t>Sklapanje ugovora o javnim uslugama iz dodatka II.B Zakona</t>
  </si>
  <si>
    <t>09.08.2016.</t>
  </si>
  <si>
    <t>29.08.2016.</t>
  </si>
  <si>
    <t>29.08.2017.</t>
  </si>
  <si>
    <t>08.11.2018.</t>
  </si>
  <si>
    <t>PREUZIMANJE I DALJNJA OPORABA OTPADA KB 20 01 39, PLASTIKA</t>
  </si>
  <si>
    <t>30.06.2017.</t>
  </si>
  <si>
    <t>GRAĐEVINSKI RADOVI NA HITNIM INTERVENCIJAMA KOD IZLAZA PLINA</t>
  </si>
  <si>
    <t>07.03.2018.</t>
  </si>
  <si>
    <t>STRUČNI NADZOR NAD IZGRADNJOM STAMBENO POSLOVNIH GRAĐEVINA OZNAKE "A4" I "A6" NASELJA PODBREŽJE</t>
  </si>
  <si>
    <t>06.09.2016.</t>
  </si>
  <si>
    <t>07.12.2019.</t>
  </si>
  <si>
    <t>11.12.2020.</t>
  </si>
  <si>
    <t>IZVOĐENJE RADOVA NA KATODNOJ ZAŠTITI PLINSKE MREŽE</t>
  </si>
  <si>
    <t>07.09.2016.</t>
  </si>
  <si>
    <t>07.09.2017.</t>
  </si>
  <si>
    <t>15.09.2017.</t>
  </si>
  <si>
    <t>STRUČNI NADZOR NAD IZGRADNJOM STAMBENO POSLOVNIH GRAĐEVINA OZNAKE "A3" I "A5" NASELJA PODBREŽJE</t>
  </si>
  <si>
    <t>13.09.2016.</t>
  </si>
  <si>
    <t>13.09.2019.</t>
  </si>
  <si>
    <t>IZGRADNJA VODOOPSKRBNOG CJEVOVODA U ODVOJKU ULICE SLAVKA KOVAČIĆA U SESVETSKOM KRALJEVCU</t>
  </si>
  <si>
    <t>19.09.2016.</t>
  </si>
  <si>
    <t>19.09.2018.</t>
  </si>
  <si>
    <t>UPRAVLJANJE PROJEKTOM IZGRADNJE STAMBENO POSLOVNIH GRAĐEVINA OZNAKE A3, A4, A5 I A6 NASELJA PODBREŽJE</t>
  </si>
  <si>
    <t>28.10.2016.</t>
  </si>
  <si>
    <t>28.06.2020.</t>
  </si>
  <si>
    <t>31.01.2020.</t>
  </si>
  <si>
    <t>REPROMATERIJAL ZA PE-HD PLINOVODE. Grupa 1. PE – HD CIJEVI I SPOJNI ELEMENTI</t>
  </si>
  <si>
    <t>44163000-0</t>
  </si>
  <si>
    <t>22.09.2016.</t>
  </si>
  <si>
    <t>22.09.2017.</t>
  </si>
  <si>
    <t>29.05.2018.</t>
  </si>
  <si>
    <t>REPROMATERIJAL ZA PE-HD PLINOVODE. Grupa 2. SEDLA S POSEBNOM NAMJENOM</t>
  </si>
  <si>
    <t>28.05.2018.</t>
  </si>
  <si>
    <t>IZGRADNJA JAVNOG KANALA U DIJELU SJEVERNE ULICE OD K.BR.16 DO K.BR.28</t>
  </si>
  <si>
    <t>26.09.2018.</t>
  </si>
  <si>
    <t>KONTROLA ZAVARENIH SPOJEVA (RADIOGRAFSKI, ULTRAZVUČNO, PENETRANSKI...)</t>
  </si>
  <si>
    <t>27.09.2016.</t>
  </si>
  <si>
    <t>27.09.2017.</t>
  </si>
  <si>
    <t>STRUČNI NADZOR; GRUPA 1. Stručni nadzor za građevinske radove</t>
  </si>
  <si>
    <t>04.10.2016.</t>
  </si>
  <si>
    <t>04.10.2017.</t>
  </si>
  <si>
    <t>27.03.2019.</t>
  </si>
  <si>
    <t>STRUČNI NADZOR; GRUPA 2. Stručni nadzor za strojarske radove</t>
  </si>
  <si>
    <t>IZGRADNJA JAVNOG KANALA U DIJELU SJEVERNE ULICE I SJEVERNOM OGRANKU</t>
  </si>
  <si>
    <t>28.09.2016.</t>
  </si>
  <si>
    <t>28.09.2018.</t>
  </si>
  <si>
    <t>STRUKTURALNO OJAČANJE I DUBINSKA HIDROIZOLACIJA KONSTRUKCIJE OBJEKTA BR. 5.</t>
  </si>
  <si>
    <t>06.10.2016.</t>
  </si>
  <si>
    <t>06.10.2017.</t>
  </si>
  <si>
    <t>13.03.2017.</t>
  </si>
  <si>
    <t>IZGRADNJA JAVNOG KANALA U ULICI II ZAGORSKA</t>
  </si>
  <si>
    <t>26.10.2016.</t>
  </si>
  <si>
    <t>26.10.2017.</t>
  </si>
  <si>
    <t>04.02.2019.</t>
  </si>
  <si>
    <t>REKONSTRUKCIJA VODOOPSKRBNOG CJEVOVODA U BOSUTSKOJ ULICI</t>
  </si>
  <si>
    <t>11.10.2016.</t>
  </si>
  <si>
    <t>11.10.2017.</t>
  </si>
  <si>
    <t>31.10.2017.</t>
  </si>
  <si>
    <t>REKONSTRUKCIJA ODVODNJE U ULICI VALENOVAČKA</t>
  </si>
  <si>
    <t>11.10.2018.</t>
  </si>
  <si>
    <t>29.06.2018.</t>
  </si>
  <si>
    <t>REKONSTRUKCIJA I IZGRADNJA VODOOPSKRBNOG CJEVOVODA U ULICI STARA CESTA U NASELJU HRVATSKI LESKOVAC U ZAGREBU</t>
  </si>
  <si>
    <t>23.11.2018.</t>
  </si>
  <si>
    <t>IZGRADNJA JAVNOG KANALA U KARLOVAČKOJ CESTI (ZAPADNO OD KANALA SAVA-ODRA) I DELKOVEČKA ULICA</t>
  </si>
  <si>
    <t>RADNA I ZAŠTITNA ODJEĆA, OBUĆA I OPREMA</t>
  </si>
  <si>
    <t>12.10.2016.</t>
  </si>
  <si>
    <t>12.10.2017.</t>
  </si>
  <si>
    <t>24.05.2018.</t>
  </si>
  <si>
    <t>MOTORNE PILE, MOTORNI PUHAČI, ŠKARE ZA ŽIVICU I REZAČI ZELENILA</t>
  </si>
  <si>
    <t>42652000-1</t>
  </si>
  <si>
    <t>24.10.2016.</t>
  </si>
  <si>
    <t>24.10.2017.</t>
  </si>
  <si>
    <t>04.12.2017.</t>
  </si>
  <si>
    <t>IZMJEŠTANJE MAGISTRALNOG VODOOPSKRBNOG CJEVOVODA U ULICAMA TUŠKANAC - JABUKOVAC U ZAGREBU</t>
  </si>
  <si>
    <t>31.10.2016.</t>
  </si>
  <si>
    <t>IZRADA IDEJNOG PROJEKTA KANALIZACIJSKE MREŽE U DIJELU NASELJA PREKVRŠJE, KAŠINSKA SOPNICA, KUČILOVINA, PLANINA DONJA, PLANINA GORNJA</t>
  </si>
  <si>
    <t>POSTAVLJANJE OGRADA OKO VODOCRPILIŠTA</t>
  </si>
  <si>
    <t>GEODETSKE USLUGE NA DISTRIBUTIVNOM PODRUČJU GPZ-a</t>
  </si>
  <si>
    <t>15.12.2017.</t>
  </si>
  <si>
    <t>IZGRADNJA JAVNOG KANALA U DIJELU ULICE RESNIČKI PUT</t>
  </si>
  <si>
    <t>BOJE I LAKOVI S PRIBOROM</t>
  </si>
  <si>
    <t>IZGRADNJA VODOOPSKRBNOG CJEVOVODA U ULICAMA PECINOV BREG, LATIŠĆE, ŠIMEROV BREG</t>
  </si>
  <si>
    <t>30.09.2016.</t>
  </si>
  <si>
    <t>03.11.2017.</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</si>
  <si>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</si>
  <si>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</si>
  <si>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</si>
  <si>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</si>
  <si>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</si>
  <si>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10.11.2016.</t>
  </si>
  <si>
    <t>10.11.2017.</t>
  </si>
  <si>
    <t>REKONSTRUKCIJA JAVNOG KANALA U ULICI LUKA IV</t>
  </si>
  <si>
    <t>IZGRADNJA VODOOPSKRBNOG CJEVOVODA U ULICI DRAŠKOVEC</t>
  </si>
  <si>
    <t>22.11.2016.</t>
  </si>
  <si>
    <t>22.11.2017.</t>
  </si>
  <si>
    <t>05.06.2017.</t>
  </si>
  <si>
    <t>IZGRADNJA JAVNOG KANALA U ULICI ULDERIKA DONADINIJA</t>
  </si>
  <si>
    <t>22.11.2018.</t>
  </si>
  <si>
    <t>19.09.2017.</t>
  </si>
  <si>
    <t>IZGRADNJA VODOOPSKRBNOG CJEVOVODA U ULICI ŠIPKOVICA</t>
  </si>
  <si>
    <t>28.11.2016.</t>
  </si>
  <si>
    <t>28.11.2017.</t>
  </si>
  <si>
    <t>IZGRADNJA JAVNOG KANALA U ULICI KATE MLINARIĆ 2-8</t>
  </si>
  <si>
    <t>30.03.2017.</t>
  </si>
  <si>
    <t>AUDIO I VIDEO UREĐAJI I OPREMA S MONTAŽOM</t>
  </si>
  <si>
    <t>IMPLEMENTACIJA CRM SUSTAVA ZA UPRAVLJANJE KOMUNIKACIJOM S KUPCIMA PLINA</t>
  </si>
  <si>
    <t>12.12.2016.</t>
  </si>
  <si>
    <t>12.12.2017.</t>
  </si>
  <si>
    <t>05.06.2018.</t>
  </si>
  <si>
    <t>IZGRADNJA JAVNOG KANALA ODVODNJE S CRPNOM STANICOM U ULICI FRANJE MALNARA - IX ODVOJAK</t>
  </si>
  <si>
    <t>13.12.2016.</t>
  </si>
  <si>
    <t>13.12.2017.</t>
  </si>
  <si>
    <t>REKONSTRUKCIJA JAVNIH KANALA U ULICAMA MOLATSKA, BEDENIČKI PUT, PETRIJANEČKA I TRNAVA II</t>
  </si>
  <si>
    <t>07.06.2018.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</si>
  <si>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</si>
  <si>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</si>
  <si>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</si>
  <si>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</si>
  <si>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</si>
  <si>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</si>
  <si>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05.12.2017.</t>
  </si>
  <si>
    <t>IZGRADNJA TRAFOSTANICE NA LOKACIJI PJ JANKOMIR</t>
  </si>
  <si>
    <t>06.02.2017.</t>
  </si>
  <si>
    <t>06.02.2018.</t>
  </si>
  <si>
    <t>28.11.2018.</t>
  </si>
  <si>
    <t>IZVOĐENJE RADOVA NA IZGRADNJI STP NA LOKACIJI RADNIČKA CESTA - IV. ETAPA</t>
  </si>
  <si>
    <t>20.02.2017.</t>
  </si>
  <si>
    <t>20.02.2018.</t>
  </si>
  <si>
    <t>IZGRADNJA JAVNOG KANALA U ODVOJKU ULICE JANJEČIĆI</t>
  </si>
  <si>
    <t>29.12.2017.</t>
  </si>
  <si>
    <t>REKONSTRUKCIJA GRIJANJA I HLAĐENJA U OBJEKTU BR. 5</t>
  </si>
  <si>
    <t>45331000-6</t>
  </si>
  <si>
    <t>31.07.2017.</t>
  </si>
  <si>
    <t>IZGRADNJA FEKALNE KANALIZACIJE U NASELJIMA RAKITJE, NOVAKI I BESTOVJE - IV ETAPA FEKALNA KANALIZACIJA U NASELJU NOVAKI</t>
  </si>
  <si>
    <t>28.02.2019.</t>
  </si>
  <si>
    <t>IZGRADNJA VODOOPSKRBNOG CJEVOVODA U ULICI PADEŽ (713,00 m')</t>
  </si>
  <si>
    <t>17.05.2018.</t>
  </si>
  <si>
    <t>IZGRADNJA SUSTAVA ODVODNJE PODRUČJA PANTOVČAK - DONJE PREKRIŽJE - KRALJEVEC</t>
  </si>
  <si>
    <t>13.02.2017.</t>
  </si>
  <si>
    <t>13.02.2018.</t>
  </si>
  <si>
    <t>30.09.2020.</t>
  </si>
  <si>
    <t>STRUČNI NADZOR NAD GRAĐENJEM, ODRŽAVANJEM I UPRAVLJANJEM PODSUSTAVIMA ODLAGALIŠTA OTPADA JAKUŠEVEC</t>
  </si>
  <si>
    <t>30.10.2020.</t>
  </si>
  <si>
    <t>REKONSTRUKCIJA VODOOPSKRBNOG CJEVOVODA U ULICI FALLEROVO ŠETALIŠTE</t>
  </si>
  <si>
    <t>22.02.2017.</t>
  </si>
  <si>
    <t>22.02.2018.</t>
  </si>
  <si>
    <t>IZGRADNJA FEKALNE KANALIZACIJE U NASELJIMA RAKITJE, NOVAKI I BESTOVJE - VII ETAPA FEKALNA KANALIZACIJA U NASELJU RAKITJE - JUG</t>
  </si>
  <si>
    <t>27.02.2017.</t>
  </si>
  <si>
    <t>27.02.2018.</t>
  </si>
  <si>
    <t>30.06.2020.</t>
  </si>
  <si>
    <t>IZGRADNJA I REKONSTRUKCIJA VODOOPSKRBNOG CJEVOVODA U NASELJU STARO BRESTJE</t>
  </si>
  <si>
    <t>13.03.2018.</t>
  </si>
  <si>
    <t>07.11.2019.</t>
  </si>
  <si>
    <t>PLINOMJERI-MEMBRANSKI G-4. Grupa 1. PLINOMJERI-MEMBRANSKI G-4 – NAVOJNI</t>
  </si>
  <si>
    <t>18.04.2018.</t>
  </si>
  <si>
    <t>REKONSTRUKCIJA VODOOPSKRBNOG CJEVOVODA U BIANCHINIJEVOJ ULICI (SAMOBOR)</t>
  </si>
  <si>
    <t>17.03.2018.</t>
  </si>
  <si>
    <t>KLIMA UREĐAJI</t>
  </si>
  <si>
    <t>42522000-1</t>
  </si>
  <si>
    <t>20.03.2017.</t>
  </si>
  <si>
    <t>20.03.2018.</t>
  </si>
  <si>
    <t>23.10.2017.</t>
  </si>
  <si>
    <t>PREUZIMANJE I DALJNJA OBRADA OTPADA KB 20 03 99, OTPAD KOJI NIJE SPECIFICIRAN NA DRUGI NAČIN</t>
  </si>
  <si>
    <t>UNIFORME ZA ZAŠTITARE-ČUVARE. Grupa 1. UNIFORME ZA ZAŠTITARE-ČUVARE</t>
  </si>
  <si>
    <t>35810000-5</t>
  </si>
  <si>
    <t>IZRADA IDEJNOG, GLAVNOG I IZVEDBENOG PROJEKTA ODVODNJE DIJELA NASELJA VUGROVEC DONJI, VUGROVEC GORNJI I GORANEC U SESVETAMA - SLIV SABIRNOG KANALA „VUGROVEC - GORANEC"</t>
  </si>
  <si>
    <t>27.03.2017.</t>
  </si>
  <si>
    <t>27.03.2018.</t>
  </si>
  <si>
    <t>MOTORNA VOZILA. GRUPA 2. DOSTAVNA VOZILA</t>
  </si>
  <si>
    <t>04.04.2018.</t>
  </si>
  <si>
    <t>20.07.2017.</t>
  </si>
  <si>
    <t>SANACIJA RAVNOG KROVA ZGRADE AUTOBUSNOG KOLODVORA ZAGREB</t>
  </si>
  <si>
    <t>14.04.2017.</t>
  </si>
  <si>
    <t>14.04.2018.</t>
  </si>
  <si>
    <t>22.12.2017.</t>
  </si>
  <si>
    <t>24.04.2017.</t>
  </si>
  <si>
    <t>24.07.2019.</t>
  </si>
  <si>
    <t>ZAMJENA REGULACIJSKO-SIGURNOSNE OPREME PRS GRAČANI, DUBRAVA CENTAR I TRNOVČICA</t>
  </si>
  <si>
    <t>19.04.2017.</t>
  </si>
  <si>
    <t>19.04.2018.</t>
  </si>
  <si>
    <t>04.12.2019.</t>
  </si>
  <si>
    <t>GRADSKO STAMBENO KOMUNALNO GOSPODARSTVO D.O.O., VODOOPSKRBA I ODVODNJA D.O.O., ZAGREBAČKA STANOGRADNJA D.O.O., ZAGREBAČKI HOLDING D.O.O.</t>
  </si>
  <si>
    <t>REKONSTRUKCIJA VODOOPSKRBNOG CJEVOVODA U SABORSKOJ ULICI</t>
  </si>
  <si>
    <t>05.05.2018.</t>
  </si>
  <si>
    <t>12.04.2018.</t>
  </si>
  <si>
    <t>INSTALACIJE JAKE I SLABE STRUJE UPRAVNE ZGRADE BR.5</t>
  </si>
  <si>
    <t>31680000-6</t>
  </si>
  <si>
    <t>15.05.2018.</t>
  </si>
  <si>
    <t>20.11.2017.</t>
  </si>
  <si>
    <t>SPREMNICI ZA SAKUPLJANJE OTPADA. GRUPA 1. SPREMNICI ZA SAKUPLJANJE OTPADA</t>
  </si>
  <si>
    <t>10.10.2017.</t>
  </si>
  <si>
    <t>IZGRADNJA CRPNE STANICE U ULICI MIHOLIĆI S VODOOPSKRBNIM CJEVOVODOM</t>
  </si>
  <si>
    <t>19.05.2017.</t>
  </si>
  <si>
    <t>19.05.2018.</t>
  </si>
  <si>
    <t>IZRADA PROJEKTNE DOKUMENTACIJE ZA IZGRADNJU POSLOVNOG OBJEKTA H-12 NA LOKACIJI PJ JANKOMIR</t>
  </si>
  <si>
    <t>09.06.2017.</t>
  </si>
  <si>
    <t>09.06.2018.</t>
  </si>
  <si>
    <t>10.06.2019.</t>
  </si>
  <si>
    <t>PLINOMJERI ROTACIJSKI VELIČINE G-16 DO G-100 - PRIRUBNIČKI</t>
  </si>
  <si>
    <t>07.06.2017.</t>
  </si>
  <si>
    <t>10.04.2019.</t>
  </si>
  <si>
    <t>IZRADA IDEJNOG, GLAVNOG I IZVEDBENOG PROJEKTA IZGRADNJE JAVNE ODVODNJE U DIJELU NASELJA JARUN</t>
  </si>
  <si>
    <t>12.07.2017.</t>
  </si>
  <si>
    <t>UPRAVLJANJE PROJEKTOM REKONSTRUKCIJE KOMPLEKSA KB SVETI DUH DOGRADNJOM DNEVNE BOLNICE S PODZEMNOM GARAŽOM</t>
  </si>
  <si>
    <t>10.08.2017.</t>
  </si>
  <si>
    <t>29.10.2019.</t>
  </si>
  <si>
    <t>STRUČNI NADZOR NAD IZGRADNJOM MAGISTRALNIH I VODOOPSKRBNIH CJEVOVODA U ZONI 4. ETAPE IZGRADNJE RADNIČKE CESTE</t>
  </si>
  <si>
    <t>18.12.2017.</t>
  </si>
  <si>
    <t>18.12.2020.</t>
  </si>
  <si>
    <t>14.06.2019.</t>
  </si>
  <si>
    <t>IZGRADNJA SABIRNOG KANALA RIMSKI PUT SAVSKA CESTA U NASELJU JELKOVEC</t>
  </si>
  <si>
    <t>20.11.2018.</t>
  </si>
  <si>
    <t>REGULATOR TLAKA PLINA NISKOTLAČNI, DN 25 - NAVOJNI</t>
  </si>
  <si>
    <t>20.12.2017.</t>
  </si>
  <si>
    <t>20.12.2018.</t>
  </si>
  <si>
    <t>24.04.2018.</t>
  </si>
  <si>
    <t>16.05.2019.</t>
  </si>
  <si>
    <t>19.06.2017.</t>
  </si>
  <si>
    <t>19.06.2018.</t>
  </si>
  <si>
    <t>16.11.2018.</t>
  </si>
  <si>
    <t>ODRŽAVANJE TRASE PLINOVODA, OBJEKATA NA SUSTAVU KOŠNJOM I SJEČOM RASLINJA</t>
  </si>
  <si>
    <t>03.07.2017.</t>
  </si>
  <si>
    <t>03.07.2018.</t>
  </si>
  <si>
    <t>20.08.2018.</t>
  </si>
  <si>
    <t>IZGRADNJA STP OTOČEC - GLOGOVEC - VIII ETAPA</t>
  </si>
  <si>
    <t>28.07.2018.</t>
  </si>
  <si>
    <t>22.01.2018.</t>
  </si>
  <si>
    <t>POPRAVAK JAVNO PROMETNIH POVRŠINA NAKON IZGRADNJE/REKONSTRUKCIJE PLINSKOG DISTRIBUC. SUSTAVA ILI ZAUZIMANJE JAVNE POVRŠINE</t>
  </si>
  <si>
    <t>IZGRADNJA STP NOVOSELEC - VI ETAPA</t>
  </si>
  <si>
    <t>04.08.2017.</t>
  </si>
  <si>
    <t>04.08.2018.</t>
  </si>
  <si>
    <t>08.05.2018.</t>
  </si>
  <si>
    <t>IZGRADNJA STP SESVETE SJEVER (ĐURĐEKOVEC-PREKVRŠJE-PARUŽEVINA-VUGROVEC-VURNOVEC-PREPUŠTOVEC-KAŠINA) - III ETAPA</t>
  </si>
  <si>
    <t>14.08.2017.</t>
  </si>
  <si>
    <t>14.08.2018.</t>
  </si>
  <si>
    <t>17.08.2017.</t>
  </si>
  <si>
    <t>31.08.2018.</t>
  </si>
  <si>
    <t>ČIŠĆENJE I NANOŠENJE SPECIJALNOG PREMAZA NA INOX POVRŠINE NA BAZENU SVETICE</t>
  </si>
  <si>
    <t>23.08.2017.</t>
  </si>
  <si>
    <t>23.08.2018.</t>
  </si>
  <si>
    <t>REKONSTRUKCIJA PAVILJONA 18 NA ZAGREBAČKOM VELESAJMU</t>
  </si>
  <si>
    <t>31.01.2018.</t>
  </si>
  <si>
    <t>STRUČNI NADZOR; GRUPA 1. GRAĐEVINSKI RADOVI</t>
  </si>
  <si>
    <t>04.09.2018.</t>
  </si>
  <si>
    <t>29.11.2019.</t>
  </si>
  <si>
    <t>STRUČNI NADZOR; GRUPA 2. STROJARSKI RADOVI</t>
  </si>
  <si>
    <t>STRUČNI NADZOR</t>
  </si>
  <si>
    <t>30.11.2018.</t>
  </si>
  <si>
    <t>PROJEKTANTSKI NADZOR NAD REKONSTRUKCIJOM KOMPLEKSA KB SVETI DUH DOGRADNJOM DNEVNE BOLNICE S PODZEMNOM GARAŽOM</t>
  </si>
  <si>
    <t>19.09.2019.</t>
  </si>
  <si>
    <t>23.08.2019.</t>
  </si>
  <si>
    <t>IZGRADNJA OSNOVNE ŠKOLE I DVORANE HRVATSKI LESKOVEC</t>
  </si>
  <si>
    <t>45214210-5</t>
  </si>
  <si>
    <t>20.09.2018.</t>
  </si>
  <si>
    <t>17.06.2019.</t>
  </si>
  <si>
    <t>STRUKTURALNO OJAČANJE I DUBINSKA HIDROIZOLACIJA OBJ.BR. 3</t>
  </si>
  <si>
    <t>29.08.2018.</t>
  </si>
  <si>
    <t>IZGRADNJA VTP RADNIČKA CESTA – IV ETAPA</t>
  </si>
  <si>
    <t>28.09.2017.</t>
  </si>
  <si>
    <t>KABLIRANJE RAČUNALNE I TELEKOMUNIKACIJSKE MREŽE NA LOKACIJI SAVSKA CESTA 1</t>
  </si>
  <si>
    <t>45314000-1</t>
  </si>
  <si>
    <t>29.09.2017.</t>
  </si>
  <si>
    <t>29.09.2018.</t>
  </si>
  <si>
    <t>16.03.2018.</t>
  </si>
  <si>
    <t>UPRAVLJANJE PROJEKTOM IZGRADNJE OSNOVNE ŠKOLE I DVORANE HRVATSKI LESKOVEC</t>
  </si>
  <si>
    <t>05.10.2017.</t>
  </si>
  <si>
    <t>05.10.2018.</t>
  </si>
  <si>
    <t>REKONSTRUKCIJA VODOOPSKRBNOG CJEVOVODA U ULICI TINA UJEVIĆA NA PODRUČJU SAMOBORA</t>
  </si>
  <si>
    <t>09.10.2017.</t>
  </si>
  <si>
    <t>09.10.2018.</t>
  </si>
  <si>
    <t>31.10.2018.</t>
  </si>
  <si>
    <t>REKONSTRUKCIJA VODOOPSKRBNOG CJEVOVODA U LIVADIĆEVOJ ULICI</t>
  </si>
  <si>
    <t>IZRADA IDEJNOG, GLAVNOG I IZVEDBENOG PROJEKTA PRELJEVNOG OBJEKTA DUBRAVA</t>
  </si>
  <si>
    <t>19.10.2017.</t>
  </si>
  <si>
    <t>19.10.2019.</t>
  </si>
  <si>
    <t>REKONSTRUKCIJA VODOOPSKRBNOG CJEVOVODA U ULICI ŠESTINSKI VIJENAC</t>
  </si>
  <si>
    <t>19.10.2018.</t>
  </si>
  <si>
    <t>IZGRADNJA VODOOPSKRBNOG CJEVOVODA U ULICI JANDRIĆEVA I NAUMOVAC</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</si>
  <si>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</si>
  <si>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</si>
  <si>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</si>
  <si>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</si>
  <si>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24.02.2020.</t>
  </si>
  <si>
    <t>IZRADA IDEJNIH, GLAVNIH I IZVEDBENIH PROJEKATA IZGRADNJE (PRODUŽENJA) VODOOPSKRBNE MREŽE NA PODRUČJU GRADSKE ČETVRTI PODSUSED - VRAPČE</t>
  </si>
  <si>
    <t>02.11.2017.</t>
  </si>
  <si>
    <t>SANACIJA CS ŽITNJAK II.</t>
  </si>
  <si>
    <t>IZMJEŠTANJE MAGISTRALNOG VODOOPSKRBNOG CJEVOVODA PROFILA DN 500 U SVRHU IZGRADNJE POSLOVNE GRAĐEVINE NA KATASTARSKOJ ČESTICI K.Č.BR. 840/3, K.O. ZAPRUDSKI OTOK</t>
  </si>
  <si>
    <t>06.11.2017.</t>
  </si>
  <si>
    <t>06.11.2018.</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</si>
  <si>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</si>
  <si>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</si>
  <si>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16.11.2017.</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</si>
  <si>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</si>
  <si>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</si>
  <si>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</si>
  <si>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</si>
  <si>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</si>
  <si>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29.11.2018.</t>
  </si>
  <si>
    <t>GPRS SUSTAV FIKSNE MREŽE ZA RADIJSKO OČITAVANJE PLINOMJERA</t>
  </si>
  <si>
    <t>01.12.2017.</t>
  </si>
  <si>
    <t>01.12.2018.</t>
  </si>
  <si>
    <t>19.06.2020.</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</si>
  <si>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</si>
  <si>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REKONSTRUKCIJA VTP LONČAREVA</t>
  </si>
  <si>
    <t>19.12.2017.</t>
  </si>
  <si>
    <t>19.12.2018.</t>
  </si>
  <si>
    <t>31.05.2018.</t>
  </si>
  <si>
    <t>IZGRADNJA VODOOPSKRBNOG CJEVOVOVDA LEDINSKI PUT OD BURIĆEVE DO SISAČKE CESTE, TE U SUNJSKOJ ULICI OD LEDINSKE DO K.BR. 9 NA DIJELOVIMA K.Č.BR. 3093/15, 3449/1 i 3466/1, SVE K.O. KLARA</t>
  </si>
  <si>
    <t>27.12.2018.</t>
  </si>
  <si>
    <t>IZRADA IDEJNOG, GLAVNOG I IZVEDBENOG PROJEKTA IZGRADNJE NOVOG VODOSPREMNIKA GRANEŠINA (PIONIRSKI GRAD) S PRECRPNOM STANICOM I HIDROFORSKIM POSTROJENJEM TE PROJEKTOM UKLANJANJA POSTOJEĆEG VODOSPREMNIKA</t>
  </si>
  <si>
    <t>02.01.2019.</t>
  </si>
  <si>
    <t>25.11.2019.</t>
  </si>
  <si>
    <t>IZGRADNJA PIEZOMETARSKOG POLJA NA ODLAGALIŠTU OTPADA PRUDINEC/JAKUŠEVEC</t>
  </si>
  <si>
    <t>45262200-3</t>
  </si>
  <si>
    <t>23.01.2018.</t>
  </si>
  <si>
    <t>23.01.2019.</t>
  </si>
  <si>
    <t>15.01.2018.</t>
  </si>
  <si>
    <t>15.01.2019.</t>
  </si>
  <si>
    <t>02.03.2018.</t>
  </si>
  <si>
    <t>ADAPTACIJA SUSTAVA TLAČNE INSTALACIJE (VENTILACIJE) U JAVNOJ PODZEMNOJ GARAŽI LANGOV TRG</t>
  </si>
  <si>
    <t>45331210-1</t>
  </si>
  <si>
    <t>IZRADA IDEJNOG, GLAVNOG I IZVEDBENOG PROJEKTA ZA REKONSTRUKCIJU I IZGRADNJU VODOOPSKRBNIH CJEVOVODA U ULICAMA ŠELENDIĆI I GRADEČAK LIJEVI S IZGRADNJOM PRECRPNE STANICE ŠELENDIĆI I VODOSPREMNIKA ŽLEBEC SA HIDROFORSKIM POSTROJENJEM</t>
  </si>
  <si>
    <t>IZGRADNJA VODOOPSKRBNOG CJEVOVODA U NOVAČKOJ CESTI NA PODRUČJU SVETE NEDELJE</t>
  </si>
  <si>
    <t>TRAKTORI I PRIKLJUČNA OPREMA. GRUPA 3. PRIKLJUČAK ZA TRAKTOR - RASIPAČI SOLI</t>
  </si>
  <si>
    <t>16700000-2</t>
  </si>
  <si>
    <t>06.02.2019.</t>
  </si>
  <si>
    <t>26.02.2018.</t>
  </si>
  <si>
    <t>UREĐENJE I OPREMANJE SKLADIŠTA REZERVNIH DIJELOVA RADNE JEDINICE PROIZVODNJA ASFALTA U RAKITJU</t>
  </si>
  <si>
    <t>14.11.2018.</t>
  </si>
  <si>
    <t>SERVIS ROTACIJSKIH I TURBINSKIH PLINOMJERA G-16 DO G-2500 I ISPITIVANJE I OVJERAVANJE TURBINSKIH PLINOMJERA OD G-400 DO G-2500</t>
  </si>
  <si>
    <t>13.02.2019.</t>
  </si>
  <si>
    <t>REKONSTRUKCIJA HALE 7 U POSLOVNOJ JEDINICI ŽITNJAK - I FAZA</t>
  </si>
  <si>
    <t>08.02.2018.</t>
  </si>
  <si>
    <t>IZRADA IDEJNOG, GLAVNOG I IZVEDBENOG PROJEKTA IZGRADNJE VODOSPREMNIKA MIKULASI S DOLAZNIM PUTEM I REKONSTRUKCIJA VODOOPSKRBNOG CJEVOVODA OD MARKUŠEVAČKE CESTE DO NOVE VODOSPREME</t>
  </si>
  <si>
    <t>NADOGRADNJA SUSTAVA ZA DOJAVU POŽARA PODRUŽNICE ROBNI TERMINALI ZAGREB</t>
  </si>
  <si>
    <t>31625100-4</t>
  </si>
  <si>
    <t>ASFALTIRANJE PRIOBALNOG PUTA U KAMPU VELI JOŽE NA LOKACIJI SAVUDRIJA</t>
  </si>
  <si>
    <t>45233220-7</t>
  </si>
  <si>
    <t>18.05.2018.</t>
  </si>
  <si>
    <t>IZRADA IDEJNOG, GLAVNOG I IZVEDBENOG PROJEKTA REKONSTRUKCIJE VODOOPSKRBNIH CJEVOVODA U ZAPADNOM DIJELU GRADA SAMOBORA (KOLODVORSKO NASELJE)</t>
  </si>
  <si>
    <t>16.02.2019.</t>
  </si>
  <si>
    <t>MOTORNE KOSILICE, MOTORNE KOSE, MOTORNI ČISTAČI I PROZRAČIVAČI TRAVNJAKA, TRIMERI I STRIŽNE KOSE: GRUPA 2. TRIMERI I STRIŽNE KOSE</t>
  </si>
  <si>
    <t>25.07.2018.</t>
  </si>
  <si>
    <t>09.03.2018.</t>
  </si>
  <si>
    <t>09.03.2019.</t>
  </si>
  <si>
    <t>UREĐENJE VANJSKIH OBJEKATA DISTRIBUCIJSKOG SUSTAVA</t>
  </si>
  <si>
    <t>01.03.2018.</t>
  </si>
  <si>
    <t>10.08.2018.</t>
  </si>
  <si>
    <t>IZRADA GLAVNOG I IZVEDBENOG PROJEKTA ZA NADOGRADNJU OSNOVNE ŠKOLE JELKOVEC</t>
  </si>
  <si>
    <t>71223000-7</t>
  </si>
  <si>
    <t>26.03.2019.</t>
  </si>
  <si>
    <t>02.10.2020.</t>
  </si>
  <si>
    <t>IZRADA STUDIJE IZVODLJIVOSTI, STUDIJE O UTJECAJU NA OKOLIŠ I APLIKACIJE ZA PRIJAVU PROJEKTA "PROJEKT ZAGREB 2018" ZA SUFINANCIRANJE IZ EU FONDOVA</t>
  </si>
  <si>
    <t>REKONSTRUKCIJA KOTLOVNICE NA PRIRODNI PLIN UZ UGRADNJU KOTLA NA DRVNU SJEČKU NA LOKACIJI REMETINEC</t>
  </si>
  <si>
    <t>45331100-7</t>
  </si>
  <si>
    <t>23.03.2018.</t>
  </si>
  <si>
    <t>23.03.2019.</t>
  </si>
  <si>
    <t>PLINOMJERI MEMBRANSKI G-6 SA STOP VENTILOM</t>
  </si>
  <si>
    <t>IZRADA IDEJNIH, GLAVNIH I IZVEDBENIH PROJEKATA IZGRADNJE (PRODUŽENJA) VODOOPSKRBNE MREŽE NA PODRUČJU GRADSKE ČETVRTI SESVETE</t>
  </si>
  <si>
    <t>02.06.2018.</t>
  </si>
  <si>
    <t>02.06.2019.</t>
  </si>
  <si>
    <t>09.09.2019.</t>
  </si>
  <si>
    <t>IZRADA IDEJNIH, GLAVNIH I IZVEDBENIH PROJEKATA IZGRADNJE (PRODUŽENJA) VODOOPSKRBNE MREŽE NA PODRUČJU GRADSKE ČETVRTI BREZOVICA</t>
  </si>
  <si>
    <t>27.06.2018.</t>
  </si>
  <si>
    <t>27.06.2020.</t>
  </si>
  <si>
    <t>ARHITEKTONSKO I TEHNIČKO PROJEKTIRANJE ZGH. Grupa 11: Izrada glavnog projekta za etapu 15. - toplovod, fazu 15.1. - toplovod prema gradskoj (HEP) toplani od plinskog postrojenja na odlagalištu otpada Jakuševec</t>
  </si>
  <si>
    <t>71000000-8</t>
  </si>
  <si>
    <t>16.07.2018.</t>
  </si>
  <si>
    <t>16.07.2019.</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</si>
  <si>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</si>
  <si>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</si>
  <si>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</si>
  <si>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10.07.2019.</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</si>
  <si>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</si>
  <si>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</si>
  <si>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</si>
  <si>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</si>
  <si>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POPRAVAK JAVNO-PROMETNIH POVRŠINA NAKON IZGRADNJE/REKONSTRUKCIJE/MODERNIZACIJE PLINSKOG DISTRIBUCIJSKOG SUSTAVA ILI ZAUZIMANJE JAVNE POVRŠINE - ZAGREB</t>
  </si>
  <si>
    <t>18.05.2019.</t>
  </si>
  <si>
    <t>19.12.2019.</t>
  </si>
  <si>
    <t>IZRADA PROJEKTNE DOKUMENTACIJE REKONSTRUKCIJE TRŽNICE BRANIMIROVA</t>
  </si>
  <si>
    <t>71222000-0</t>
  </si>
  <si>
    <t>18.06.2018.</t>
  </si>
  <si>
    <t>18.06.2019.</t>
  </si>
  <si>
    <t>17.07.2018.</t>
  </si>
  <si>
    <t>17.07.2019.</t>
  </si>
  <si>
    <t>20.12.2019.</t>
  </si>
  <si>
    <t>REKONSTRUKCIJA VODOOPSKRBNOG CJEVOVODA U ULICI PALMA</t>
  </si>
  <si>
    <t>IZGRADNJA VODOOPSKRBNOG CJEVOVODA U DIJELU ULICE IVANA KUKULJEVIĆA, OD BRITANSKOG TRGA DO KOZARČEVE ULICE</t>
  </si>
  <si>
    <t>30.07.2018.</t>
  </si>
  <si>
    <t>30.07.2019.</t>
  </si>
  <si>
    <t>REKONSTRUKCIJA VODOOPSKRBNOG CJEVOVODA U PRERADOVIĆEVOJ ULICI</t>
  </si>
  <si>
    <t>06.08.2018.</t>
  </si>
  <si>
    <t>06.08.2019.</t>
  </si>
  <si>
    <t>18.04.2019.</t>
  </si>
  <si>
    <t>REKONSTRUKCIJA VODOOPSKRBNOG CJEVOVODA U GROBNIČKOJ ULICI</t>
  </si>
  <si>
    <t>16.08.2018.</t>
  </si>
  <si>
    <t>16.08.2019.</t>
  </si>
  <si>
    <t>REKONSTRUKCIJA VODOOPSKRBNOG CJEVOVODA U ULICI DONJE PREKRIŽJE</t>
  </si>
  <si>
    <t>21.08.2018.</t>
  </si>
  <si>
    <t>21.08.2019.</t>
  </si>
  <si>
    <t>30.11.2020.</t>
  </si>
  <si>
    <t>REKONSTRUKCIJA SJEVERNOG POTPORNOG ZIDA</t>
  </si>
  <si>
    <t>45262620-3</t>
  </si>
  <si>
    <t>24.08.2018.</t>
  </si>
  <si>
    <t>24.08.2019.</t>
  </si>
  <si>
    <t>28.08.2018.</t>
  </si>
  <si>
    <t>28.08.2019.</t>
  </si>
  <si>
    <t>30.08.2019.</t>
  </si>
  <si>
    <t>IZGRADNJA NOVE PLINSKE MREŽE - STP NOVOSELEC - ETAPA VII</t>
  </si>
  <si>
    <t>06.09.2018.</t>
  </si>
  <si>
    <t>06.09.2019.</t>
  </si>
  <si>
    <t>14.05.2019.</t>
  </si>
  <si>
    <t>IZGRADNJA NOVE PLINSKE MREŽE - STP HRVATSKI LESKOVAC - BREZOVICA - ETAPA III</t>
  </si>
  <si>
    <t>10.09.2018.</t>
  </si>
  <si>
    <t>10.09.2019.</t>
  </si>
  <si>
    <t>31.01.2019.</t>
  </si>
  <si>
    <t>IZGRADNJA VODOOPSKRBNOG CJEVOVODA U OZALJSKOJ ULICI (OD KRAPINSKE DO NEHAJSKE)</t>
  </si>
  <si>
    <t>17.09.2018.</t>
  </si>
  <si>
    <t>REKONSTRUKCIJA VODOOPSKRBNOG CJEVOVODA U JAVORINSKOJ ULICI</t>
  </si>
  <si>
    <t>24.09.2018.</t>
  </si>
  <si>
    <t>24.09.2019.</t>
  </si>
  <si>
    <t>07.08.2019.</t>
  </si>
  <si>
    <t>IZGRADNJA VODOOPSKRBNOG CJEVOVODA S CRPNOM STANICOM U ULICI SVETONEDELJSKI BREG</t>
  </si>
  <si>
    <t>15.10.2019.</t>
  </si>
  <si>
    <t>28.02.2021.</t>
  </si>
  <si>
    <t>IZGRADNJA NOVE PLINSKE MREŽE - NTP KLIN - KOLEDINEČKA</t>
  </si>
  <si>
    <t>MODULARNE KUĆICE ZA TRŽNICU DUBEC S MONTAŽOM</t>
  </si>
  <si>
    <t>45213140-6</t>
  </si>
  <si>
    <t>20.08.2019.</t>
  </si>
  <si>
    <t>REKONSTRUKCIJA DIJELA TRANSPORTNOG KOLEKTORA TK III UZ POTOK LOMNICA</t>
  </si>
  <si>
    <t>22.10.2018.</t>
  </si>
  <si>
    <t>22.10.2019.</t>
  </si>
  <si>
    <t>REKONSTRUKCIJA VODOOPSKRBNOG CJEVOVODA U ULICI LJILJANA</t>
  </si>
  <si>
    <t>REKONSTRUKCIJA SUSTAVA ODVODNJE U NASELJU BOTINEC (ZLATAROVO ZLATO)</t>
  </si>
  <si>
    <t>06.12.2018.</t>
  </si>
  <si>
    <t>STRUČNI NADZOR NAD REKONSTRUKCIJOM DIJELA TRANSPORTNOG KOLEKTORA TK III UZ POTOK LOMNICA</t>
  </si>
  <si>
    <t>21.12.2018.</t>
  </si>
  <si>
    <t>21.12.2019.</t>
  </si>
  <si>
    <t>ALATI, POTROŠNI MATERIJAL I FITING "RAVETTI"</t>
  </si>
  <si>
    <t>09.11.2018.</t>
  </si>
  <si>
    <t>09.11.2019.</t>
  </si>
  <si>
    <t>19.08.2019.</t>
  </si>
  <si>
    <t>REKONSTRUKCIJA JAVNIH KANALA U DIJELU ULICE KRSTE HEGEDUŠIĆA I TUPEKOVOJ ULICI U NASELJU STARO BRESTJE</t>
  </si>
  <si>
    <t>28.11.2019.</t>
  </si>
  <si>
    <t>REKONSTRUKCIJA - VTP GAJNICE</t>
  </si>
  <si>
    <t>STRUČNI NADZOR. Grupa 1. građevinski radovi</t>
  </si>
  <si>
    <t>26.10.2020.</t>
  </si>
  <si>
    <t>STRUČNI NADZOR. Grupa 3. elektro radovi</t>
  </si>
  <si>
    <t>19.12.2020.</t>
  </si>
  <si>
    <t>08.10.2020.</t>
  </si>
  <si>
    <t>31.12.2019.</t>
  </si>
  <si>
    <t>18.03.2020.</t>
  </si>
  <si>
    <t>AUTOCISTERNA ZA PRIJEVOZ VODE ZA PIĆE</t>
  </si>
  <si>
    <t>08.11.2019.</t>
  </si>
  <si>
    <t>OPREMA ZA SPORTSKU DVORANU HRVATSKI LESKOVAC</t>
  </si>
  <si>
    <t>IZGRADNJA VODOOPSKRBNOG CJEVOVODA U AŠPERGERIMA, PAVLIĆIMA I GAJANIMA</t>
  </si>
  <si>
    <t>30.10.2021.</t>
  </si>
  <si>
    <t>IZRADA IDEJNOG, GLAVNOG I IZVEDBENOG PROJEKTA IZGRADNJE DOLINSKOG KANALA KRSIŠĆE (DEŠČEVEC) I JAVNOG KANALA U ULICI KRSIŠĆE</t>
  </si>
  <si>
    <t>IZRADA IDEJNIH, GLAVNIH I IZVEDBENIH PROJEKATA IZGRADNJE (PRODUŽENJA) VODOOPSKRBNE MREŽE NA PODRUČJU GRADSKE ČETVRTI MAKSIMIR</t>
  </si>
  <si>
    <t>02.01.2020.</t>
  </si>
  <si>
    <t>NAMJEŠTAJ I OPREMA ZA OSNOVNU ŠKOLU HRVATSKI LESKOVAC</t>
  </si>
  <si>
    <t>04.01.2019.</t>
  </si>
  <si>
    <t>04.01.2020.</t>
  </si>
  <si>
    <t>24.05.2019.</t>
  </si>
  <si>
    <t>IZRADA IDEJNIH, GLAVNIH I IZVEDBENIH PROJEKATA IZGRADNJE (PRODUŽENJA) VODOOPSKRBNE MREŽE NA PODRUČJU GRADSKE ČETVRTI STENJEVEC</t>
  </si>
  <si>
    <t>14.01.2019.</t>
  </si>
  <si>
    <t>IZGRADNJA NOVE PLINSKE MREŽE - STP STRUGE - BOGDANI - ŽITNJAK - ETAPA III</t>
  </si>
  <si>
    <t>22.01.2019.</t>
  </si>
  <si>
    <t>26.03.2020.</t>
  </si>
  <si>
    <t>IZRADA IDEJNOG, GLAVNOG I IZVEDBENOG PROJEKTA IZGRADNJE VODOOPSKRBNE MREŽE NASELJA GORNJI JAREK, MEGLENJAK I JAGODIŠĆE</t>
  </si>
  <si>
    <t>21.01.2019.</t>
  </si>
  <si>
    <t>21.01.2021.</t>
  </si>
  <si>
    <t>REKONSTRUKCIJA - VTP JANKOMIR (SAMOBORSKA - ŠOLJANOVA)</t>
  </si>
  <si>
    <t>30.01.2019.</t>
  </si>
  <si>
    <t>IZGRADNJA KOLEKTORA DUBRAVICA (1. i 3. dionica)</t>
  </si>
  <si>
    <t>06.02.2021.</t>
  </si>
  <si>
    <t>18.08.2020.</t>
  </si>
  <si>
    <t>MOTORNE KOSILICE, MOTORNE KOSE, MOTORNI ČISTAČI I PROZRAČIVAČI TRAVNJAKA, TRIMERI I STRIŽNE KOSE</t>
  </si>
  <si>
    <t>07.02.2019.</t>
  </si>
  <si>
    <t>07.02.2020.</t>
  </si>
  <si>
    <t>22.03.2019.</t>
  </si>
  <si>
    <t>IZRADA IDEJNOG, GLAVNOG I IZVEDBENOG PROJEKTA REKONSTRUKCIJE MAGISTRALNIH VODOOPSKRBNIH CJEVOVODA PREKO MOSTA SLOBODE, OD JUŽNE KOMORE PA SVE DO SLAVONSKE AVENIJE</t>
  </si>
  <si>
    <t>15.02.2019.</t>
  </si>
  <si>
    <t>RADOVI NA ZAVRŠETKU SANACIJE ENERGETSKOG POSTROJENJA HLADNJAČE NA VELETRŽNICI</t>
  </si>
  <si>
    <t>15.02.2020.</t>
  </si>
  <si>
    <t>20.03.2020.</t>
  </si>
  <si>
    <t>STRUČNI NADZOR NAD IZGRADNJOM KANALIZACIJSKE MREŽE NA UZVODNOM SLIVU POTOKA LOMNICA - BREZOVICA</t>
  </si>
  <si>
    <t>20.02.2019.</t>
  </si>
  <si>
    <t>20.02.2020.</t>
  </si>
  <si>
    <t>IZGRADNJA KANALIZACIJSKE MREŽE NA UZVODNOM SLIVU POTOKA LOMNICA - BREZOVICA</t>
  </si>
  <si>
    <t>22.02.2019.</t>
  </si>
  <si>
    <t>22.02.2020.</t>
  </si>
  <si>
    <t>IZRADA IDEJNOG, GLAVNOG I IZVEDBENOG PROJEKTA REKONSTRUKCIJE DIJELA KANALIZACIJSKE MREŽE U DONJOJ DUBRAVI (ISTOČNO OD ULICE TRNAVA I)</t>
  </si>
  <si>
    <t>IZRADA IDEJNOG, GLAVNOG I IZVEDBENOG PROJEKTA REKONSTRUKCIJE DOLINSKOG KANALA MESCI - ISTARSKA (KRALJEVEČKI NOVAKI)</t>
  </si>
  <si>
    <t>25.02.2019.</t>
  </si>
  <si>
    <t>25.02.2021.</t>
  </si>
  <si>
    <t>IZRADA IDEJNOG, GLAVNOG I IZVEDBENOG PROJEKTA IZGRADNJE VODOOPSKRBNE MREŽE NASELJA PREKVRŠJE - LIŠEVO</t>
  </si>
  <si>
    <t>06.03.2019.</t>
  </si>
  <si>
    <t>06.03.2021.</t>
  </si>
  <si>
    <t>IZGRADNJA JAVNOG KANALA U ULICI KAMEŠČICA KOD K.BR. 18</t>
  </si>
  <si>
    <t>19.03.2019.</t>
  </si>
  <si>
    <t>19.03.2020.</t>
  </si>
  <si>
    <t>IZGRADNJA VODOOPSKRBNIH CJEVOVODA U DIJELU NASELJA JARUN</t>
  </si>
  <si>
    <t>15.03.2019.</t>
  </si>
  <si>
    <t>15.03.2020.</t>
  </si>
  <si>
    <t>24.11.2020.</t>
  </si>
  <si>
    <t>IZRADA IDEJNOG, GLAVNOG I IZVEDBENOG PROJEKTA IZGRADNJE KANALIZACIJSKE MREŽE NASELJA GORNJI I DONJI JAREK</t>
  </si>
  <si>
    <t>18.02.2019.</t>
  </si>
  <si>
    <t>REKONSTRUKCIJA VODOOPSKRBNOG CJEVOVODA U RAPSKOJ, ŠOLTANSKOJ I AV. M. DRŽIĆA</t>
  </si>
  <si>
    <t>IZGRADNJA I REKONSTRUKCIJA JAVNIH KANALA U JUŽNOJ ULICI S ODVOJCIMA</t>
  </si>
  <si>
    <t>IZGRADNJA JAVNOG KANALA S CRPNOM STANICOM U ULICI IV KOZARI PUT I ODVOJCIMA</t>
  </si>
  <si>
    <t>REKONSTRUKCIJA VODOOPSKRBNOG CJEVOVODA U MESIĆEVOJ OD VRAMČEVE DO GRŠKOVIĆEVE</t>
  </si>
  <si>
    <t>29.10.2020.</t>
  </si>
  <si>
    <t>REKONSTRUKCIJA VODOOPSKRBNOG CJEVOVODA U ULICI III STRUGE</t>
  </si>
  <si>
    <t>24.01.2020.</t>
  </si>
  <si>
    <t>RADOVI NA UGRADNJI OPREME ZA ODORIZACIJSKE STANICE</t>
  </si>
  <si>
    <t>08.04.2019.</t>
  </si>
  <si>
    <t>08.04.2020.</t>
  </si>
  <si>
    <t>05.09.2019.</t>
  </si>
  <si>
    <t>IZRADA IDEJNIH, GLAVNIH I IZVEDBENIH PROJEKATA IZGRADNJE (PRODUŽENJA) VODOOPSKRBNE MREŽE NA PODRUČJU GRADSKE ČETVRTI TREŠNJEVKA - JUG</t>
  </si>
  <si>
    <t>IZGRADNJA JAVNOG KANALA U ODVOJKU LUKORANSKE ULICE KOD K.BR. 40</t>
  </si>
  <si>
    <t>01.04.2020.</t>
  </si>
  <si>
    <t>REKONSTRUKCIJA VODOOPSKRBNOG CJEVOVODA U ULICI FRA FILIPA GRABOVCA U ZAGREBU</t>
  </si>
  <si>
    <t>04.04.2020.</t>
  </si>
  <si>
    <t>REKONSTRUKCIJA VODOOPSKRBNOG CJEVOVODA U ALBRECHTOVOJ ULICI (OD HONDLOVE DO III MAKSIMIRSKOG NASELJA)</t>
  </si>
  <si>
    <t>11.04.2019.</t>
  </si>
  <si>
    <t>11.04.2020.</t>
  </si>
  <si>
    <t>IZGRADNJA VANJSKE OGRADE NA LOKACIJI GRAD MLADIH</t>
  </si>
  <si>
    <t>15.04.2019.</t>
  </si>
  <si>
    <t>15.04.2020.</t>
  </si>
  <si>
    <t>28.06.2019.</t>
  </si>
  <si>
    <t>IZRADA IDEJNOG, GLAVNOG I IZVEDBENOG PROJEKTA REKONSTRUKCIJE I IZGRADNJE KANALIZACIJSKE MREŽE IZMEĐU ALEJE BOLOGNE I BOLNIČKE CESTE</t>
  </si>
  <si>
    <t>IZGRADNJA JAVNOG KANALA U TUHELJSKOJ ULICI</t>
  </si>
  <si>
    <t>23.04.2020.</t>
  </si>
  <si>
    <t>04.02.2021.</t>
  </si>
  <si>
    <t>REKONSTRUKCIJA VODOOPSKRBNOG CJEVOVODA U ULICI JARUN I RAVNOGORSKOJ</t>
  </si>
  <si>
    <t>14.05.2020.</t>
  </si>
  <si>
    <t>NADOGRADNJA SUSTAVA VIDEO NADZORA NA LOKACIJI GRAD MLADIH</t>
  </si>
  <si>
    <t>24.04.2019.</t>
  </si>
  <si>
    <t>24.04.2020.</t>
  </si>
  <si>
    <t>REKONSTRUKCIJA VODOOPSKRBNOG CJEVOVODA U BANOVIČKOJ ULICI</t>
  </si>
  <si>
    <t>02.05.2019.</t>
  </si>
  <si>
    <t>02.05.2020.</t>
  </si>
  <si>
    <t>IZGRADNJA JAVNOG KANALA U ULICI IVANA ORŠANIĆA</t>
  </si>
  <si>
    <t>31.03.2020.</t>
  </si>
  <si>
    <t>IZGRADNJA JAVNOG KANALA U OSTROVIČKOJ ULICI</t>
  </si>
  <si>
    <t>IZGRADNJA KANALIZACIJSKE MREŽE U ULICI MEDVEDSKI BREG</t>
  </si>
  <si>
    <t>26.04.2019.</t>
  </si>
  <si>
    <t>26.04.2020.</t>
  </si>
  <si>
    <t>IZGRADNJA I REKONSTRUKCIJA JAVNOG KANALA U DIJELU ULICE TRNAVA IV I ODVOJKU VUKOMEREČKE CESTE</t>
  </si>
  <si>
    <t>25.04.2019.</t>
  </si>
  <si>
    <t>25.04.2020.</t>
  </si>
  <si>
    <t>14.09.2020.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</si>
  <si>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</si>
  <si>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</si>
  <si>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</si>
  <si>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03.05.2019.</t>
  </si>
  <si>
    <t>IZRADA IDEJNIH, GLAVNIH I IZVEDBENIH PROJEKATA IZGRADNJE (PRODUŽENJA) VODOOPSKRBNE MREŽE NA PODRUČJU GRADSKE ČETVRTI PODSLJEME</t>
  </si>
  <si>
    <t>IZGRADNJA VODOOPSKRBNOG CJEVOVODA U DIJELU KOVINSKE ULICE DO ULICE SUSEDSKO POLJE</t>
  </si>
  <si>
    <t>13.05.2020.</t>
  </si>
  <si>
    <t>14.11.2019.</t>
  </si>
  <si>
    <t>20.05.2019.</t>
  </si>
  <si>
    <t>IZGRADNJA JAVNOG KANALA U ULICAMA ČUKOVIĆI - ŠESTINSKI DOL ODVOJAK</t>
  </si>
  <si>
    <t>10.05.2019.</t>
  </si>
  <si>
    <t>10.05.2020.</t>
  </si>
  <si>
    <t>PLINOMJERI MEMBRANSKI G-4 SA STOP VENTILOM</t>
  </si>
  <si>
    <t>27.05.2019.</t>
  </si>
  <si>
    <t>27.05.2020.</t>
  </si>
  <si>
    <t>REKONSTRUKCIJA VODOOPSKRBNOG CJEVOVODA U ZRMANJSKOJ ULICI I ODVOJKU</t>
  </si>
  <si>
    <t>07.06.2020.</t>
  </si>
  <si>
    <t>SUSTAV DOJAVE KOD NEUTRALIZACIJE PLINOVITOG KLORA ZA VODOCRPILIŠTA STRMEC, BREGANA I KAPTAŽNI SUSTAV SLAPNICA LIPOVEC S UGRADNJOM</t>
  </si>
  <si>
    <t>35121000-8</t>
  </si>
  <si>
    <t>14.06.2020.</t>
  </si>
  <si>
    <t>IZRADA IDEJNOG, GLAVNOG I IZVEDBENOG PROJEKTA REKONSTRUKCIJE KOLEKTORA U HEINZELOVOJ ULICI PROFILA fi 300/230 cm OD KVATERNIKOVOG TRGA DO SLAVONSKE AVENIJE</t>
  </si>
  <si>
    <t>STRUČNI NADZOR NAD REKONSTRUKCIJOM VODOOOPSKRBNOG CJEVOVODA U NASELJU DUBEC</t>
  </si>
  <si>
    <t>24.06.2019.</t>
  </si>
  <si>
    <t>IZRADA IDEJNOG, GLAVNOG I IZVEDBENOG PROJEKTA REKONSTRUKCIJE I IZGRADNJE VODOOPSKRBNIH CJEVOVODA NA PODRUČJU MARKUŠEVEČKE DUBRAVE I MARKUŠEVEČKE TRNAVE I PREBACIVANJE DIJELA SUSTAVA NA VS HERCEGOV GAJ</t>
  </si>
  <si>
    <t>16.07.2020.</t>
  </si>
  <si>
    <t>19.08.2020.</t>
  </si>
  <si>
    <t>IZRADA PROJEKTNE DOKUMENTACIJE ZA USPOSTAVU NULTE ZONE VODOOPSKRBNOG SUSTAVA GRADA ZAGREBA</t>
  </si>
  <si>
    <t>10.12.2020.</t>
  </si>
  <si>
    <t>REKONSTRUKCIJA VODOOPSKRBNOG CJEVOVODA U ULICI II MALEŠNICA, III MALEŠNICA SA I i II ODVOJAK i V MALEŠNICA</t>
  </si>
  <si>
    <t>11.09.2019.</t>
  </si>
  <si>
    <t>11.09.2020.</t>
  </si>
  <si>
    <t>GRAĐENJE OTVORENIH NATKRIVENIH SKLADIŠTA S PRIPADAJUĆOM INFRASTRUKTUROM NA SERVISNO OPERATIVNOM CENTRU JAKUŠEVEC</t>
  </si>
  <si>
    <t>45213221-8</t>
  </si>
  <si>
    <t>09.05.2019.</t>
  </si>
  <si>
    <t>08.07.2020.</t>
  </si>
  <si>
    <t>SANACIJA SMJEŠTAJNIH KAPACITETA I KUHINJE U KAMPU VELI JOŽE NA LOKACIJI SAVUDRIJA</t>
  </si>
  <si>
    <t>45212000-6</t>
  </si>
  <si>
    <t>29.05.2020.</t>
  </si>
  <si>
    <t>30.09.2019.</t>
  </si>
  <si>
    <t>STRUČNI NADZOR ZA GRAĐENJE OTVORENIH NATKRIVENIH SKLADIŠTA SA PRIPADAJUĆOM INFRASTRUKTUROM NA SERVISNO OPERATIVNOM CENTRU JAKUŠEVEC</t>
  </si>
  <si>
    <t>10.06.2020.</t>
  </si>
  <si>
    <t>STRUČNI NADZOR NAD IZGRADNJOM I REKONSTRUKCIJOM JAVNIH KANALA U JUŽNOJ ULICI S ODVOJCIMA</t>
  </si>
  <si>
    <t>01.07.2020.</t>
  </si>
  <si>
    <t>USLUGA ANALIZE I OPTIMIZACIJE UPRAVLJANJA SOFTVERSKOM IMOVINOM</t>
  </si>
  <si>
    <t>72222000-7</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</si>
  <si>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</si>
  <si>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</si>
  <si>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30.04.2020.</t>
  </si>
  <si>
    <t>IZGRADNJA JAVNOG KANALA U VOLODERSKOJ ULICI</t>
  </si>
  <si>
    <t>16.08.2020.</t>
  </si>
  <si>
    <t>IZRADA IDEJNOG, GLAVNOG I IZVEDBENOG PROJEKTA REKONSTRUKCIJE MAGISTRALNOG VODOOPSKRBNOG CJEVOVODA DN 350 mm U BRLOŠKOJ, KOSTELSKOJ, KRAPINSKOJ I VUKOVARSKOJ AVENIJI DO AVENIJE MARINA DRŽIĆA</t>
  </si>
  <si>
    <t>29.07.2019.</t>
  </si>
  <si>
    <t>02.09.2019.</t>
  </si>
  <si>
    <t>02.09.2020.</t>
  </si>
  <si>
    <t>29.06.2020.</t>
  </si>
  <si>
    <t>IZGRADNJA JAVNOG KANALA NA KARLOVAČKOJ CESTI (ZAPADNO OD KANALA SAVA-ODRA) I DELKOVEČKOJ ULICI</t>
  </si>
  <si>
    <t>05.09.2020.</t>
  </si>
  <si>
    <t>IZGRADNJA NOVE PLINSKE MREŽE - STP PETRUŠEVEC - IV ETAPA</t>
  </si>
  <si>
    <t>09.09.2020.</t>
  </si>
  <si>
    <t>21.02.2020.</t>
  </si>
  <si>
    <t>STROJNI UTOVAR, PRIJEVOZ I DEPONIRANJE VIŠKA ZEMLJE</t>
  </si>
  <si>
    <t>28.08.2020.</t>
  </si>
  <si>
    <t>REKONSTRUKCIJA PLINSKE MREŽE VTP ZAPAD OD SAMOBORSKE DO ULICE SVILKOVIĆI I STP KOVINSKA - DIO - III ETAPA</t>
  </si>
  <si>
    <t>22.07.2020.</t>
  </si>
  <si>
    <t>IZGRADNJA FEKALNE ODVODNJE U PRODUŽETKU NOVAČKE CESTE I ULICI OGRAJA U NASELJU NOVAKI</t>
  </si>
  <si>
    <t>16.09.2019.</t>
  </si>
  <si>
    <t>16.09.2020.</t>
  </si>
  <si>
    <t>MODERNIZACIJA NADZORNO UPRAVLJAČKOG SUSTAVA VODOOPSKRBE GRADA ZAGREBA</t>
  </si>
  <si>
    <t>24.09.2020.</t>
  </si>
  <si>
    <t>REKONSTRUKCIJA ZASUNSKE KOMORE BR. 4296 NA SLAVONSKOJ AVENIJI KOD PRECRPNE STANICE PILE</t>
  </si>
  <si>
    <t>01.10.2019.</t>
  </si>
  <si>
    <t>01.10.2020.</t>
  </si>
  <si>
    <t>SANACIJA HOSTELA ARENA</t>
  </si>
  <si>
    <t>45212400-0</t>
  </si>
  <si>
    <t>21.10.2019.</t>
  </si>
  <si>
    <t>14.10.2020.</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</si>
  <si>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</si>
  <si>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</si>
  <si>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03.10.2019.</t>
  </si>
  <si>
    <t>03.10.2021.</t>
  </si>
  <si>
    <t>IZRADA IDEJNOG, GLAVNOG I IZVEDBENOG PROJEKTA IZGRADNJE MAGISTRALNOG VODOOPSKRBNOG CJEVOVODA U ULICI VRHOVEC</t>
  </si>
  <si>
    <t>IZGRADNJA DTK MREŽE NA LOKACIJI GRAD MLADIH</t>
  </si>
  <si>
    <t>IZRADA IDEJNOG, GLAVNOG I IZVEDBENOG PROJEKTA REKONSTRUKCIJE MAGISTRALNOG VODOOPSKRBNOG CJEVOVODA DN 500 mm OD BUDAKOVE ULICE DO VODOSPREMNIKA BUKOVAC</t>
  </si>
  <si>
    <t>14.10.2019.</t>
  </si>
  <si>
    <t>IZGRADNJA VODOOPSKRBNOG CJEVOVODA U ULICI STUBLOV ZDENAC U NASELJU MALA GORICA</t>
  </si>
  <si>
    <t>SATELITSKO PRONALAŽENJE PROPUŠTANJA VODE U VODOOPSKRBNOM SUSTAVU VODOOPSKRBE I ODVODNJE GRADA ZAGREBA RADI SMANJENJA GUBITAKA</t>
  </si>
  <si>
    <t>76600000-9</t>
  </si>
  <si>
    <t>NADOGRADNJA OSNOVNE ŠKOLE JELKOVEC</t>
  </si>
  <si>
    <t>30.10.2019.</t>
  </si>
  <si>
    <t>REKONSTRUKCIJA VODOOPSKRBNOG CJEVOVODA U ŽUTOM BREGU</t>
  </si>
  <si>
    <t>04.11.2019.</t>
  </si>
  <si>
    <t>IZRADA IDEJNOG, GLAVNOG I IZVEDBENOG PROJEKTA REKONSTRUKCIJE VODOOPSKRBNOG CJEVOVODA U ČUČERSKOJ CESTI OD ULICE OPOROVEČKI OMEJAK DO JALŠEVEČKE CESTE</t>
  </si>
  <si>
    <t>05.11.2019.</t>
  </si>
  <si>
    <t>IZRADA IDEJNIH, GLAVNIH I IZVEDBENIH PROJEKATA ZA IZGRADNJU VODOOPSKRBNE I KANALIZACIJSKE MREŽE U NASELJU PEŠČENICA - ŽITNJAK</t>
  </si>
  <si>
    <t>11.11.2019.</t>
  </si>
  <si>
    <t>IZGRADNJA SUSTAVA SANITARNE ODVODNJE VRHA MEDVEDNICE</t>
  </si>
  <si>
    <t>IZGRADNJA NADSTREŠNICE NA TRŽNICI ŠPANSKO</t>
  </si>
  <si>
    <t>29.11.2020.</t>
  </si>
  <si>
    <t>IZRADA IDEJNOG, GLAVNOG I IZVEDBENOG PROJEKTA REKONSTRUKCIJE JAVNIH KANALA U GRADIŠĆANSKOJ ULICI</t>
  </si>
  <si>
    <t>25.11.2020.</t>
  </si>
  <si>
    <t>UPRAVLJANJE PROJEKTOM IZGRADNJE DOMA ZA STARIJE OSOBE MARKUŠEVEC</t>
  </si>
  <si>
    <t>02.12.2019.</t>
  </si>
  <si>
    <t>POSTAVLJANJE OGRADA OKO VODOCRPILIŠTA. Grupa 1 – POSTAVLJANJE OGRADE OKO VODOCRPILIŠTA MALA MLAKA CJELINA B</t>
  </si>
  <si>
    <t>POSTAVLJANJE OGRADA OKO VODOCRPILIŠTA. Grupa 2 – POSTAVLJANJE OGRADE NA VODOOPSKRBNIM OBJEKTIMA</t>
  </si>
  <si>
    <t>09.12.2019.</t>
  </si>
  <si>
    <t>PREINAKA TERETNOG VOZILA NADOGRADNJOM DIZALICE S VITLOM</t>
  </si>
  <si>
    <t>50117100-9</t>
  </si>
  <si>
    <t>STRUČNI NADZOR. Grupa 1 – Građevinski radovi</t>
  </si>
  <si>
    <t>02.01.2021.</t>
  </si>
  <si>
    <t>STRUČNI NADZOR. Grupa 2 – Strojarski radovi</t>
  </si>
  <si>
    <t>30.12.2020.</t>
  </si>
  <si>
    <t>STRUČNI NADZOR. Grupa 3 – Elektro radovi</t>
  </si>
  <si>
    <t>17.12.2020.</t>
  </si>
  <si>
    <t>IZGRADNJA VODOOPSKRBNOG CJEVOVODA U ULICI MATIJE GUPCA U MALOJ GORICI, SVETA NEDJELJA</t>
  </si>
  <si>
    <t>27.12.2020.</t>
  </si>
  <si>
    <t>IZGRADNJA JAVNOG KANALA U ULICI JURJA BARAKOVIĆA</t>
  </si>
  <si>
    <t>REKONSTRUKCIJA PLINSKE MREŽE VTP VOLOVČICA</t>
  </si>
  <si>
    <t>12.12.2019.</t>
  </si>
  <si>
    <t>12.12.2020.</t>
  </si>
  <si>
    <t>31.08.2020.</t>
  </si>
  <si>
    <t>IZGRADNJA KANALIZACIJSKE MREŽE U ULICI FERENČAK I CEBIĆI MALI</t>
  </si>
  <si>
    <t>07.01.2020.</t>
  </si>
  <si>
    <t>STRUČNI NADZOR NAD REKONSTRUKCIJOM SABIRNOG KANALA MIROŠEVEČKA CESTA S RETENCIJSKO PRELJEVNIM OBJEKTOM</t>
  </si>
  <si>
    <t>13.01.2020.</t>
  </si>
  <si>
    <t>IZGRADNJA JAVNOG KANALA ODVODNJE CESARGRADSKE ULICE</t>
  </si>
  <si>
    <t>15.01.2021.</t>
  </si>
  <si>
    <t>23.12.2020.</t>
  </si>
  <si>
    <t>NADZORNO SIGURNOSNI OPERATIVNI CENTAR S IZVEDBOM</t>
  </si>
  <si>
    <t>45216000-4</t>
  </si>
  <si>
    <t>31.01.2021.</t>
  </si>
  <si>
    <t>REKONSTRUKCIJA NTP BORONGAJSKA ULICA I ULICA VUKOMEREC</t>
  </si>
  <si>
    <t>IZGRADNJA NOVIH KAMP PARCELA U KAMPU VELI JOŽE NA LOKACIJI SAVUDRIJA</t>
  </si>
  <si>
    <t>KOTLOVNICE SA UGRADNJOM I RAZVODOM TOPLE VODE NA LOKACIJI HOSTELA STOIMENA U CRIKVENICI</t>
  </si>
  <si>
    <t>44620000-2</t>
  </si>
  <si>
    <t>REKONSTRUKCIJA SANITARNOG ČVORA U KAMPU VELI JOŽE NA LOKACIJI SAVUDRIJA</t>
  </si>
  <si>
    <t>13.02.2020.</t>
  </si>
  <si>
    <t>13.02.2021.</t>
  </si>
  <si>
    <t>ICT OPREMA</t>
  </si>
  <si>
    <t>27.03.2020.</t>
  </si>
  <si>
    <t>STRUČNI NADZOR NAD IZGRADNJOM SUSTAVA ODVODNJE OTPADNIH VODA - SANITARNA KANALIZACIJA ETAPA 2</t>
  </si>
  <si>
    <t>IZGRADNJA VODOOPSKRBNOG CJEVOVODA U ULICI ŠESTINJAK ZA K.Č.BR. 1545 k.o. MIKULIĆI</t>
  </si>
  <si>
    <t>IZGRADNJA SANITARNOG VODOOPSKRBNOG CJEVOVODA U NASELJU STOJDRAGA DO K.Č.BR. 226/1 K.O. POKLEK</t>
  </si>
  <si>
    <t>TERETNO VOZILO S RADNOM KOŠAROM</t>
  </si>
  <si>
    <t>10.03.2020.</t>
  </si>
  <si>
    <t>IZRADA IDEJNOG, GLAVNOG I IZVEDBENOG PROJEKTA REKONSTRUKCIJE MAGISTRALNOG CJEVOVODA DN 600 mm U KAČIĆEVOJ ULICI OD ULICE IZIDORA KRŠNJAVOGA DO BRITANTSKOG TRGA</t>
  </si>
  <si>
    <t>IZRADA IDEJNIH, GLAVNIH I IZVEDBENIH PROJEKATA IZGRADNJE (PRODUŽENJA) JAVNIH KANALA ODVODNJE NA PODRUČJU GRADSKE ČETVRTI DONJA DUBRAVA</t>
  </si>
  <si>
    <t>IZGRADNJA KANALIZACIJSKE MREŽE U NASELJU STARI JELKOVEC</t>
  </si>
  <si>
    <t>IZRADA IDEJNOG, GLAVNOG I IZVEDBENOG PROJEKTA REKONSTRUKCIJE VODOOPSKRBNIH CJEVOVODA OMEĐENIH ULICAMA GRIŽANSKA, HRVATSKOG PROLJEĆA, SRIJEMSKA I MEĐUGORSKA</t>
  </si>
  <si>
    <t>16.03.2020.</t>
  </si>
  <si>
    <t>IZRADA IDEJNIH, GLAVNIH I IZVEDBENIH PROJEKATA IZGRADNJE (PRODUŽENJA) VODOOPSKRBNE MREŽE NA PODRUČJU GRADSKE ČETVRTI DONJA DUBRAVA</t>
  </si>
  <si>
    <t>IZGRADNJA VODOOPSKRBNOG CJEVOVODA U KANALSKOJ ULICI</t>
  </si>
  <si>
    <t>STRUČNI NADZOR NAD IZGRADNJOM PS JALŠEVEC, VODOOPSKRBNIH CJEVOVODA U NASELJIMA OPOROVEČKI BREG, JALŠEVEC I SVETA BARBARA TE VODOSPREMNIKA SVETA BARBARA</t>
  </si>
  <si>
    <t>IZRADA IDEJNOG, GLAVNOG, IZVEDBENOG PROJEKTA IZGRADNJE VODOSPREMNIKA S PS I DOVODNO-ODVODNIM CJEVOVODIMA ZA SMANJENJE TLAKA NA POTEZU IZMEĐU VS OPOROVEC I VS FABIJANIĆI</t>
  </si>
  <si>
    <t>IZGRADNJA VODOOPSKRBNOG CJEVOVODA U ULICI KESERI KOD K.BR. 4A-30B, 4D-4R/2, 4S/1-4Z/1 I 4S/2-4Z/3</t>
  </si>
  <si>
    <t>05.03.2021.</t>
  </si>
  <si>
    <t>IZRADA IDEJNOG PROJEKTA SA VARIJANTNIM RJEŠENJIMA TE IZRADA GLAVNOG I IZVEDBENOG PROJEKTA ODVODNJE ZA NASELJE HORVATI</t>
  </si>
  <si>
    <t>IZGRADNJA (PRODUŽENJA) VODOOPSKRBNE MREŽE NA PODRUČJU GRADSKE ČETVRTI PODSUSED-VRAPČE</t>
  </si>
  <si>
    <t>RECENZIJA DOKUMENTACIJE - KONCEPCIJSKO RJEŠENJE VODOOPSKRBE NA USLUŽNOM PODRUČJU KOJIM UPRAVLJA VIO d.o.o. ZAGREB, S IZRADOM DETALJNOG HIDRAULIČKOG MATEMATIČKOG MODELA I PREDSTUDIJOM IZVODLJIVOSTI</t>
  </si>
  <si>
    <t>IZRADA PROJEKTNE DOKUMENTACIJE S GEOTEHNIČKIM PROJEKTOM UREĐENJA OBORINSKE ODVODNJE NA LOKACIJI GRADA MLADIH</t>
  </si>
  <si>
    <t>prva situacija</t>
  </si>
  <si>
    <t>IZGRADNJA (PRODUŽENJE) VODOOPSKRBNE MREŽE NA PODRUČJU GRADSKE ČETVRTI NOVI ZAGREB ZAPAD</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</si>
  <si>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</si>
  <si>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</si>
  <si>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</si>
  <si>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</si>
  <si>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IZGRADNJA KANALIZACIJSKE MREŽE NASELJA STARO BRESTJE U SLIVU DOLINSKOG KANALA "BRESTJE" - ZAPADNO OD BRESTOVEČKE CESTE</t>
  </si>
  <si>
    <t>IZGRADNJA NOVE PLINSKE MREŽE NTP REMETSKA</t>
  </si>
  <si>
    <t>IZGRADNJA ODVODNJE ZAPADNOG OGRANKA ULICE DONJE PREKRIŽJE</t>
  </si>
  <si>
    <t>IZGRADNJA (PRODUŽENJE) VODOOPSKRBNE MREŽE NA PODRUČJU GRADSKE ČETVRTI GORNJA DUBRAVA - CJELINA 6</t>
  </si>
  <si>
    <t>RADOVI NA ZAMJENI REGULACIJSKE I SIGURNOSNE OPREME PRS TE-TO</t>
  </si>
  <si>
    <t>45333100-1</t>
  </si>
  <si>
    <t>09.06.2020.</t>
  </si>
  <si>
    <t>IZRADA IDEJNIH, GLAVNIH I IZVEDBENIH PROJEKATA REKONSTRUKCIJE MAGISTRALNOG I VODOOPSKRBNIH CJEVOVODA U SELSKOJ CESTI OD HORVAĆANSKE CESTE DO VS SOKOLOVAC</t>
  </si>
  <si>
    <t>IZGRADNJA VODOOPSKRBNIH CJEVOVODA ZA VS ŠIMUNČEVEC I IZGRADNJA VODOSPREMNIKA ŠIMUNČEVEC</t>
  </si>
  <si>
    <t>04.06.2020.</t>
  </si>
  <si>
    <t>IZVOĐENJE RADOVA NA ZAMJENI OPREME ZA OS ISTOK</t>
  </si>
  <si>
    <t>45351000-2</t>
  </si>
  <si>
    <t>08.06.2020.</t>
  </si>
  <si>
    <t>23.10.2020.</t>
  </si>
  <si>
    <t>IZRADA IDEJNOG, GLAVNOG I IZVEDBENOG PROJEKTA IZGRADNJE MAGISTRALNOG VODOOPSKRBNOG CJEVOVODA OD VODOCRPILIŠTA KOSNICA DO SPOJA NA 4. ETAPU RADNIČKE CESTE</t>
  </si>
  <si>
    <t>IZGRADNJA PRIKLJUČNIH KANALA NA GLAVNI SABIRNI KOLEKTOR GSK 1 U PUŠKARIĆEVOJ ULICI </t>
  </si>
  <si>
    <t>IZGRADNJA PS JALŠEVEC, VODOOPSKRBNIH CJEVOVODA U NASELJIMA OPOROVEČKI BREG, JALŠEVEC I SVETA BARBARA TE VODOSPREMNIKA SVETA BARBARA</t>
  </si>
  <si>
    <t>IZGRADNJA VODOOPSKRBNOG CJEVOVODA U NASELJU GORNJI DRAGONOŽEC</t>
  </si>
  <si>
    <t>IZGRADNJA FEKALNE KANALIZACIJE I CRPNE STANICE U DIJELU RADNIČKE ULICE I ULICI SAVIŠĆE U RAKITJU</t>
  </si>
  <si>
    <t>SEDLA S POSEBNOM NAMJENOM</t>
  </si>
  <si>
    <t>15.07.2020.</t>
  </si>
  <si>
    <t>IZGRADNJA VODOOPSKRBNOG CJEVOVODA U NASELJU HORVATI</t>
  </si>
  <si>
    <t>IZMJEŠTANJE MAGISTRALNOG VODOOPSKRBNOG CJEVOVODA DN 500 mm U ULICI DUNJEVAC</t>
  </si>
  <si>
    <t>REKONSTRUKCIJA VODOOPSKRBNOG CJEVOVODA U ČUČERSKOJ CESTI OD ULICE OPOROVEČKI OMAJEK DO JALŠEVEČKE CESTE</t>
  </si>
  <si>
    <t>13.08.2020.</t>
  </si>
  <si>
    <t>IZGRADNJA PIEZOMETARSKIH POLJA NA AKTIVNIM VODOCRPILIŠTIMA - 2. FAZA</t>
  </si>
  <si>
    <t>14.12.2020.</t>
  </si>
  <si>
    <t>IZGRADNJA SABIRNOG KANALA U HUZJANOVOJ ULICI</t>
  </si>
  <si>
    <t>19.10.2020.</t>
  </si>
  <si>
    <t>VODOISTRAŽNI RADOVI IZDAŠNOSTI ZDENACA</t>
  </si>
  <si>
    <t>IZVOĐENJE RADOVA NA IZGRADNJI KUĆNIH PRIKLJUČAKA</t>
  </si>
  <si>
    <t>06.11.2021.</t>
  </si>
  <si>
    <t>IZGRADNJA JAVNOG KANALA ODVODNJE U DEBANIĆEVOJ ULICI</t>
  </si>
  <si>
    <t>28.12.2020.</t>
  </si>
  <si>
    <t>IZGRADNJA VODOMJERNOG OKNA NA MAGISTRALNOM CJEVOVODU DN 500 PREMA DUGOM SELU</t>
  </si>
  <si>
    <t>07.09.2019.</t>
  </si>
  <si>
    <t>22.05.2020.</t>
  </si>
  <si>
    <t>22.09.2020.</t>
  </si>
  <si>
    <t>06.02.2020.</t>
  </si>
  <si>
    <t>02.07.2020.</t>
  </si>
  <si>
    <t>12.02.2019.</t>
  </si>
  <si>
    <t>IZGRADNJA GLAVNOG SABIRNOG KOLEKTORA FEKALNE KANALIZACIJE BREZJE - JAGNJIĆ DOL</t>
  </si>
  <si>
    <t>REKONSTRUKCIJA KOMPLEKSA KB SVETI DUH DOGRADNJOM DNEVNE BOLNICE S PODZEMNOM GARAŽOM</t>
  </si>
  <si>
    <t>45200000-9</t>
  </si>
  <si>
    <t>25.07.2019.</t>
  </si>
  <si>
    <t>24.12.2019.</t>
  </si>
  <si>
    <t>23.12.2019.</t>
  </si>
  <si>
    <t>20.01.2020.</t>
  </si>
  <si>
    <t>29.01.2020.</t>
  </si>
  <si>
    <t>31.05.2020.</t>
  </si>
  <si>
    <t>30.07.2020.</t>
  </si>
  <si>
    <t>18.02.2021.</t>
  </si>
  <si>
    <t>IZGRADNJA VODOOPSKRBNOG CJEVOVODA U NASELJIMA GORNJI I DONJI TRPUCI</t>
  </si>
  <si>
    <t>31.03.2019.</t>
  </si>
  <si>
    <t>19.11.2019.</t>
  </si>
  <si>
    <t>IZGRADNJA VODOOPSKRBNOG CJEVOVODA U ULICAMA FERKI I DETIŠĆAK</t>
  </si>
  <si>
    <t>05.03.2019.</t>
  </si>
  <si>
    <t>12.08.2019.</t>
  </si>
  <si>
    <t>IZMJEŠTANJE MAGISTRALNOG VODOOPSKRBNOG CJEVOVODA U DIJELU IVANJOREČKE CESTE U IVANJOJ REKI</t>
  </si>
  <si>
    <t>27.08.2019.</t>
  </si>
  <si>
    <t>13.12.2019.</t>
  </si>
  <si>
    <t>03.01.2020.</t>
  </si>
  <si>
    <t>REKONSTRUKCIJA VODOOPSKRBNOG CJEVOVODA U ULICI RUDE (SAMOBOR)</t>
  </si>
  <si>
    <t>STRUČNI NADZOR NAD IZGRADNJOM KOLEKTORA DUBRAVICA (1. i 3. dionice)</t>
  </si>
  <si>
    <t>17.06.2020.</t>
  </si>
  <si>
    <t>IZGRADNJA GLAVNIH SABIRNIH KANALA ODVODNJE NASELJA GORNJI STUPNIK</t>
  </si>
  <si>
    <t>VOĐENJE PROJEKTA NAD IZGRADNJOM ODVODNJE GRUPE ULICA U DUBRAVI (LELIJSKA, LJUBUŠKA, VRANPLANINSKA S ODVOJCIMA, SUNEKOV ODVOJAK I ODVOJCI CELOVEČKE)</t>
  </si>
  <si>
    <t>05.11.2020.</t>
  </si>
  <si>
    <t>IZGRADNJA VODOOPSKRBNIH CJEVOVODA U NASELJU STARO I NOVO BRESTJE, BRESTOVEČKA OD ZAGREBAČKE DO ULICE JOSIPA RAČIĆA</t>
  </si>
  <si>
    <t>26.06.2020.</t>
  </si>
  <si>
    <t>18.09.2020.</t>
  </si>
  <si>
    <t>10.11.2020.</t>
  </si>
  <si>
    <t>REKONSTRUKCIJA VODOOPSKRBNOG CJEVOVODA U ULICI ANTE STARČEVIĆA i II ODVOJKU ULICE ANTE STARČEVIĆA</t>
  </si>
  <si>
    <t>14.08.2020.</t>
  </si>
  <si>
    <t>IZGRADNJA PIEZOMETARSKIH POLJA NA AKTIVNIM VODOCRPILIŠTIMA 1. ZONA ZAŠTITE - KOM 8</t>
  </si>
  <si>
    <t>27.11.2020.</t>
  </si>
  <si>
    <t>REKONSTRUKCIJA VODOOPSKRBNOG CJEVOVODA U ULICI ZELENIČKI PUT</t>
  </si>
  <si>
    <t>25.03.2020.</t>
  </si>
  <si>
    <t>19.07.2020.</t>
  </si>
  <si>
    <t>HIDROBRTVENA IZOLACIJA I STRUKTURALNO OJAČANJE PODRUMA U OBJ. BR. 23</t>
  </si>
  <si>
    <t>09.07.2020.</t>
  </si>
  <si>
    <t>14.07.2020.</t>
  </si>
  <si>
    <t>REKONSTRUKCIJA JAVNIH KANALA U ŽUTOM BREGU</t>
  </si>
  <si>
    <t>06.05.2020.</t>
  </si>
  <si>
    <t>15.05.2020.</t>
  </si>
  <si>
    <t>07.07.2020.</t>
  </si>
  <si>
    <t>20.07.2020.</t>
  </si>
  <si>
    <t>SANACIJA OPOŽARENOG DIJELA OBJEKTA 9b U KOMPLEKSU ZAGREPČANKA</t>
  </si>
  <si>
    <t>IZGRADNJA BUNARA B7 i B8, TE DOVODNOG CJEVOVODA NA VODOCRPILIŠTU PETRUŠEVEC</t>
  </si>
  <si>
    <t>IZGRADNJA VODOOPSKRBNOG CJEVOVODA U BURIĆEVOM ODVOJKU</t>
  </si>
  <si>
    <t>10.02.2021.</t>
  </si>
  <si>
    <t>IZGRADNJA JAVNOG KANALA U DIJELU ULICE VRINICE S CRPNOM STANICOM</t>
  </si>
  <si>
    <t>UKLANJANJE GRAĐEVINE NA PARCELI BUDUĆE OSNOVNE ŠKOLE HRVATSKI LESKOVAC</t>
  </si>
  <si>
    <t>45111000-8</t>
  </si>
  <si>
    <t>17.11.2017.</t>
  </si>
  <si>
    <t>17.11.2018.</t>
  </si>
  <si>
    <t>07.02.2021.</t>
  </si>
  <si>
    <t>KONZULTANTSKE USLUGE PRIMJENE KLAUZULE "KLJUČ U RUKE"</t>
  </si>
  <si>
    <t>71530000-2</t>
  </si>
  <si>
    <t>12.05.2017.</t>
  </si>
  <si>
    <t>12.05.2018.</t>
  </si>
  <si>
    <t>IZRADA PROJEKTNE DOKUMENTACIJE PROGRAMSKOG RJEŠENJA E-PLATFORME ZAGREBAČKOG HOLDINGA</t>
  </si>
  <si>
    <t>31.12.2017.</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</si>
  <si>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</si>
  <si>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</si>
  <si>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</si>
  <si>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18.09.2017.</t>
  </si>
  <si>
    <t>18.09.2018.</t>
  </si>
  <si>
    <t>10.05.2018.</t>
  </si>
  <si>
    <t>OBNAVLJANJE I RECERTIFICIRANJE SUSTAVA SUKLADNO NORMAMA NIZA HRN EN, ISO, IEC, ETS I DIN</t>
  </si>
  <si>
    <t>24.05.2017.</t>
  </si>
  <si>
    <t>24.05.2020.</t>
  </si>
  <si>
    <t>IZRADA GLAVNIH PROJEKATA KABELSKE KANALIZACIJE ZA LOKACIJE JARUN, BUNDEK I MAKSIMIR</t>
  </si>
  <si>
    <t>71322200-3</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</si>
  <si>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</si>
  <si>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</si>
  <si>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</si>
  <si>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</si>
  <si>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</si>
  <si>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</si>
  <si>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</si>
  <si>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</si>
  <si>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</si>
  <si>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</si>
  <si>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</si>
  <si>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</si>
  <si>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</si>
  <si>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</si>
  <si>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</si>
  <si>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20.06.2018.</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</si>
  <si>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</si>
  <si>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</si>
  <si>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</si>
  <si>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</si>
  <si>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</si>
  <si>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</si>
  <si>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</si>
  <si>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</si>
  <si>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</si>
  <si>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26.06.2018.</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</si>
  <si>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</si>
  <si>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</si>
  <si>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</si>
  <si>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</si>
  <si>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</si>
  <si>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</si>
  <si>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</si>
  <si>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</si>
  <si>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</si>
  <si>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</si>
  <si>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</si>
  <si>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19.07.2018.</t>
  </si>
  <si>
    <t>IZRADA IDEJNOG, GLAVNOG I IZVEDBENOG PROJEKTA REKONSTRUKCIJE VODOOPSKRBNOG CJEVOVODA U ULICI KONŠČICA (DO NASELJA FALAŠČAK NA PODRUČJU SAMOBORA)</t>
  </si>
  <si>
    <t>27.07.2017.</t>
  </si>
  <si>
    <t>27.07.2018.</t>
  </si>
  <si>
    <t>IZGRADNJA VODOOPSKRBNOG CJEVOVODA U ULICI KOLEDOVČINA ZA K.BR. 9, 10, i 15</t>
  </si>
  <si>
    <t>USLUGA REVIZORA ZA PRAĆENJE SVIH AKTIVNOSTI VEZANIH ZA POSTUPAK IZRADE PLANA PODJELE DRUŠTVA ZGH d.o.o. I OSNIVANJE NOVIH TRGOVAČKIH DRUŠTAVA SA OGRANIČENOM ODGOVORNOŠĆU ZA PODRUŽNICE ZAGREBAČKI ELEKTRIČNI TRAMVAJ I ZAGREBAČKI VELESAJAM</t>
  </si>
  <si>
    <t>79000000-4</t>
  </si>
  <si>
    <t>03.10.2017.</t>
  </si>
  <si>
    <t>03.10.2018.</t>
  </si>
  <si>
    <t>SANIRANJE MRTVAČNICE STENJEVEC NAKON POŽARA</t>
  </si>
  <si>
    <t>17.10.2017.</t>
  </si>
  <si>
    <t>17.10.2018.</t>
  </si>
  <si>
    <t>30.03.2018.</t>
  </si>
  <si>
    <t>GRAĐEVINSKO UREĐENJE PLINSKO REGULACIJSKIH STANICA (PRS)</t>
  </si>
  <si>
    <t>31.03.2018.</t>
  </si>
  <si>
    <t>SANACIJA OKANA UBODA ODORIZACIJE U PLINOVODU</t>
  </si>
  <si>
    <t>ZAMJENA ELEKTROENERGETSKOG SREDNJENAPONSKOG ULJNOG KABELA U KAMPU VELI JOŽE NA LOKACIJI SAVUDRIJA</t>
  </si>
  <si>
    <t>45231400-9</t>
  </si>
  <si>
    <t>09.11.2017.</t>
  </si>
  <si>
    <t>ODLJEVI OD SIVOG I NODULARNOG LJEVA</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</si>
  <si>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</si>
  <si>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</si>
  <si>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</si>
  <si>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</si>
  <si>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</si>
  <si>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</si>
  <si>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45333000-0</t>
  </si>
  <si>
    <t>IZRADA IDEJNOG, GLAVNOG I IZVEDBENOG PROJEKTA IZGRADNJE VODOOPSKRBNOG CJEVOVODA U NASTAVKU ULICE OREŠJE DONJE DO K.BR.15</t>
  </si>
  <si>
    <t>22.12.2018.</t>
  </si>
  <si>
    <t>IZRADA IDEJNOG, GLAVNOG I IZVEDBENOG PROJEKTA IZGRADNJE VODOOPSKRBNOG CJEVOVODA SA PRECRPNOM STANICOM U ULICI SRUKOV BRIJEG</t>
  </si>
  <si>
    <t>16.01.2018.</t>
  </si>
  <si>
    <t>18.12.2018.</t>
  </si>
  <si>
    <t>STRUČNI NADZOR NAD UGRADNJOM DIZALA U UPRAVNOJ ZGRADI PODRUŽNICE ČISTOĆA</t>
  </si>
  <si>
    <t>10.01.2018.</t>
  </si>
  <si>
    <t>10.01.2019.</t>
  </si>
  <si>
    <t>POSTAVLJANJE INSTALACIJA PLINA, CENTRALNOG GRIJANJA, VENTILACIJSKE OPREME I KLIMATIZACIJSKOG UREĐAJA NA LABORATORIJU RADNE JEDINICE PROIZVODNJA ASFALTA U RAKITJU</t>
  </si>
  <si>
    <t>09.01.2018.</t>
  </si>
  <si>
    <t>09.01.2019.</t>
  </si>
  <si>
    <t>UREĐENJE SANITARNOG ČVORA U RADNIČKIM PROSTORIJAMA DVORIŠNE ZGRADE NA MIROGOJU - II FAZA</t>
  </si>
  <si>
    <t>OKONČANA SITUACIJA</t>
  </si>
  <si>
    <t>USLUGE POLJOPRIVREDNOG VJEŠTAČENJA VRIJEDNOSTI ZEMLJIŠTA I NAKNADA ŠTETA NA ZEMLJIŠTU I POLJOPRIVREDNIM KULTURAMA KOD IZGRADNJE OBJEKATA I UREĐAJA VODOOPSKRBE I ODVODNJE</t>
  </si>
  <si>
    <t>23.02.2018.</t>
  </si>
  <si>
    <t>23.02.2019.</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</si>
  <si>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</si>
  <si>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</si>
  <si>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</si>
  <si>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</si>
  <si>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</si>
  <si>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</si>
  <si>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</si>
  <si>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17.05.2019.</t>
  </si>
  <si>
    <t>IZGRADNJA VODOOPSKRBNOG CJEVOVODA DO K.Č. BR. 287/2 K.O. ŽITNJAK</t>
  </si>
  <si>
    <t>16.05.2018.</t>
  </si>
  <si>
    <t>28.05.2019.</t>
  </si>
  <si>
    <t>IZRADA IDEJNOG, GLAVNOG I IZVEDBENOG PROJEKTA REKONSTRUKCIJE VODOOPSKRBNOG CJEVOVODA U ŽUTOM BREGU</t>
  </si>
  <si>
    <t>19.06.2019.</t>
  </si>
  <si>
    <t>IZRADA IDEJNOG, GLAVNOG I IZVEDBENOG PROJEKTA ZA REKONSTRUKCIJE JAVNIH KANALA U ŽUTOM BREGU</t>
  </si>
  <si>
    <t>IZRADA IDEJNOG, GLAVNOG I IZVEDBENOG PROJEKTA IZGRADNJE VODOOPSKRBNOG CJEVOVODA U NOVAČKOJ ULICI DO K.Č. 2034/1 K.O. DUBRAVA</t>
  </si>
  <si>
    <t>01.09.2020.</t>
  </si>
  <si>
    <t>IZGRADNJA VODOOPSKRBNOG CJEVOVODA U NOVAČKOJ ULICI U ZAGREBU</t>
  </si>
  <si>
    <t>21.06.2018.</t>
  </si>
  <si>
    <t>21.06.2019.</t>
  </si>
  <si>
    <t>21.03.2019.</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</si>
  <si>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</si>
  <si>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</si>
  <si>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</si>
  <si>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</si>
  <si>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</si>
  <si>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27.06.2019.</t>
  </si>
  <si>
    <t>02.07.2018.</t>
  </si>
  <si>
    <t>IZRADA IDEJNOG, GLAVNOG I IZVEDBENOG PROJEKTA ZA IZGRADNJU VODOOPSKRBNOG CJEVOVODA U RADNIČKOJ ULICI, OGRANAK OD K.BR. 48 DO ULICE SLAVKA KOVAČIĆA U SESVETAMA</t>
  </si>
  <si>
    <t>11.07.2018.</t>
  </si>
  <si>
    <t>11.07.2019.</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</si>
  <si>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</si>
  <si>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</si>
  <si>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</si>
  <si>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</si>
  <si>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</si>
  <si>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</si>
  <si>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</si>
  <si>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</si>
  <si>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11.09.2018.</t>
  </si>
  <si>
    <t>20.09.2019.</t>
  </si>
  <si>
    <t>IZGRADNJA JAVNOG KANALA U ULICI GRGE FRANJE PUĐAKA - ODVOJAK DO K.BR. 22 c</t>
  </si>
  <si>
    <t>13.03.2019.</t>
  </si>
  <si>
    <t>14.09.2018.</t>
  </si>
  <si>
    <t>14.09.2019.</t>
  </si>
  <si>
    <t>LIMNIGRAF ZA PIEZOMETRE</t>
  </si>
  <si>
    <t>38422000-9</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</si>
  <si>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</si>
  <si>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</si>
  <si>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</si>
  <si>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23.10.2019.</t>
  </si>
  <si>
    <t>IZRADA IZVEDBENOG PROJEKTA IZGRADNJE KOLEKTORA ČULINEČKA - DIONICA OD TRNAVE DO SLAVONSKE AV. I IZRADA IDEJNOG, GLAVNOG I IZVEDBENOG PROJEKTA IZMJEŠTANJA VODOOPSKRBNOG CJEVOVODA NA TRASI KOLEKTORA</t>
  </si>
  <si>
    <t>02.11.2019.</t>
  </si>
  <si>
    <t>IZRADA IDEJNOG, GLAVNOG I IZVEDBENOG PROJEKTA ISPUSTA KOLEKTORA HORVAĆANSKA U RIJEKU SAVU </t>
  </si>
  <si>
    <t>12.11.2018.</t>
  </si>
  <si>
    <t>12.11.2019.</t>
  </si>
  <si>
    <t>IZGRADNJA VODOOPSKRBNOG CJEVOVODA U NASTAVKU ULICE MARKUŠEVAČKA DUBRAVA</t>
  </si>
  <si>
    <t>21.11.2018.</t>
  </si>
  <si>
    <t>21.11.2019.</t>
  </si>
  <si>
    <t>22.05.2019.</t>
  </si>
  <si>
    <t>IZGRADNJA VODOOPSKRBNOG CJEVOVODA U ULICI 5. KOZARI PUT 11C-11B</t>
  </si>
  <si>
    <t>17.12.2018.</t>
  </si>
  <si>
    <t>ODRŽAVANJE I NADOGRADNJA POSLOVNO INFORMACIJSKIH SUSTAVA PosIS I UPN</t>
  </si>
  <si>
    <t>18.12.2019.</t>
  </si>
  <si>
    <t>IZGRADNJA VODOOPSKRBNE MREŽE U NASELJU V. RESNIK II. ODVOJAK</t>
  </si>
  <si>
    <t>11.08.2017.</t>
  </si>
  <si>
    <t>11.08.2018.</t>
  </si>
  <si>
    <t>IZRADA IDEJNOG, GLAVNOG I IZVEDBENOG PROJEKTA IZGRADNJE VODOOPSRBNOG CJEVOVODA U ODVOJKU ULICE GRGE FRANJE PUĐAKA KOD K.BR. 46 U SESVETSKOJ SELNICI U SESVETAMA</t>
  </si>
  <si>
    <t>07.09.2018.</t>
  </si>
  <si>
    <t>IZRADA IDEJNOG, GLAVNOG I IZVEDBENOG PROJEKTA IZGRADNJE JAVNIH KANALA S CRPNOM STANICOM U ULICI IV KOZARI PUT I ODVOJCIMA</t>
  </si>
  <si>
    <t>TONERI I TINTE ZA POTREBE PODRUŽNICA ARENA ZAGREB, AUTOBUSNI KOLODVOR ZAGREB, GRADSKA GROBLJA, DIREKCIJA I ROBNI TERMINALI ZAGREB</t>
  </si>
  <si>
    <t>IZRADA IDEJNIH I IZVEDBENIH RJEŠENJA VIZUALNOG IDENTITETA DRUŠTVA AGM D.O.O.</t>
  </si>
  <si>
    <t>01.01.2017.</t>
  </si>
  <si>
    <t>12.01.2018.</t>
  </si>
  <si>
    <t>23.07.2018.</t>
  </si>
  <si>
    <t>POPRAVAK TAHOGRAFA</t>
  </si>
  <si>
    <t>05.09.2018.</t>
  </si>
  <si>
    <t>PREUZIMANJE I DALJNJA OBRADA OTPADA KB 20 01 10 (ODJEĆA) I KB 20 01 11 (TEKSTILI)</t>
  </si>
  <si>
    <t>IZRADA PROJEKTNE DOKUMENTACIJE SANACIJA OSNOVNE ŠKOLE SESVETSKA SELA, DJEČJEG VRTIĆA LANIŠTE I DJEČJEG VRTIĆA MEDO BRUNDO</t>
  </si>
  <si>
    <t>11.12.2018.</t>
  </si>
  <si>
    <t>11.12.2019.</t>
  </si>
  <si>
    <t>PRILAGODBA I INTEGRACIJA SUSTAVA ZA ZAPRIMANJE E-RAČUNA</t>
  </si>
  <si>
    <t>48217000-2</t>
  </si>
  <si>
    <t>16.01.2019.</t>
  </si>
  <si>
    <t>16.01.2020.</t>
  </si>
  <si>
    <t>PREUZIMANJE I DALJNJA OBRADA OTPADA KB 20 01 11, TEKSTILI</t>
  </si>
  <si>
    <t>31.10.2019.</t>
  </si>
  <si>
    <t>05.07.2019.</t>
  </si>
  <si>
    <t>SANACIJA DIJELA KROVA NA BAZENSKOM KOMPLEKSU SVETICE</t>
  </si>
  <si>
    <t>02.07.2019.</t>
  </si>
  <si>
    <t>05.07.2020.</t>
  </si>
  <si>
    <t>04.09.2020.</t>
  </si>
  <si>
    <t>22.07.2019.</t>
  </si>
  <si>
    <t>PRILAGODBA PJEŠAČKIH POVRŠINA SLABOVIDNIM OSOBAMA I OSOBAMA SMANJENE POKRETLJIVOSTI</t>
  </si>
  <si>
    <t>03.09.2019.</t>
  </si>
  <si>
    <t>UREĐENJE PJEŠAČKIH STAZA</t>
  </si>
  <si>
    <t>45233161-5</t>
  </si>
  <si>
    <t>22.08.2019.</t>
  </si>
  <si>
    <t>22.08.2020.</t>
  </si>
  <si>
    <t>IMAGE KAMPANJA PODRUŽNICE VLADIMIR NAZOR</t>
  </si>
  <si>
    <t>06.11.2019.</t>
  </si>
  <si>
    <t>UPRAVLJANJE PROJEKTOM GRADNJE OTVORENIH NATKRIVENIH SKLADIŠTA NA SERVISNO OPERATIVNOM CENTRU JAKUŠEVEC</t>
  </si>
  <si>
    <t>26.08.2019.</t>
  </si>
  <si>
    <t>26.08.2020.</t>
  </si>
  <si>
    <t>PEKARSKI PROIZVODI</t>
  </si>
  <si>
    <t>SKLADIŠTENJE KRUPNOG OTPADA</t>
  </si>
  <si>
    <t>STRUČNI NADZOR NAD NADOGRADNJOM OSNOVNE ŠKOLE JELKOVEC</t>
  </si>
  <si>
    <t>IZRADA PROJEKATA I ELABORATA SANACIJE OBJEKATA U KOMPLEKSU ZAGREPČANKE, HEINZELOVA 66-68</t>
  </si>
  <si>
    <t>28.07.2020.</t>
  </si>
  <si>
    <t>10.08.2020.</t>
  </si>
  <si>
    <t>PRIJEVOZ NEOPASNOG OTPADA</t>
  </si>
  <si>
    <t>30.05.2020.</t>
  </si>
  <si>
    <t>SKLADIŠTENJE NERAZVRSTANOG GLOMAZNOG OTPADA</t>
  </si>
  <si>
    <t>29.02.2020.</t>
  </si>
  <si>
    <t>USLUGE POSTUPKA PREGLEDA, IZRAČUNA I PROCJENE ENERGETSKIH UŠTEDA PO REALIZIRANIM PROJEKTIMA U RAZDOBLJU OD 01.01.2014-31.12.2019. GODINE SUKLADNO NN 71/2015</t>
  </si>
  <si>
    <t>ANALIZA TRENUTNOG STANJA I DEFINIRANJE METODOLOGIJE AŽURIRANJA MATIČNIH PODATAKA</t>
  </si>
  <si>
    <t>01.01.2020.</t>
  </si>
  <si>
    <t>SANACIJA OŠTEĆENJA UZROKOVANIH POTRESOM NA OBJEKTU RESTORANA GRADA MLADIH</t>
  </si>
  <si>
    <t>20.08.2020.</t>
  </si>
  <si>
    <t>22.10.2020.</t>
  </si>
  <si>
    <t>POPRAVAK INSTALACIJA SUSTAVA ZA APSORPCIJU ZVUKA NA SPORTSKIM OBJETIMA</t>
  </si>
  <si>
    <t>07.09.2020.</t>
  </si>
  <si>
    <t>IZRADA ELABORATA I IZRAČUN JEDINIČNIH CIJENA KOMUNALNIH USLUGA</t>
  </si>
  <si>
    <t>16.01.2021.</t>
  </si>
  <si>
    <t>INTEGRACIJA SUSTAVA TEHNIČKE ZAŠTITE PODRUŽNICA AUTOBUSNI KOLODVOR ZAGREB, ČISTOĆA, ZGOS, ZRINJEVAC I DIREKCIJE ZGH U NADZORNO SIGURNOSNI OPERATIVNI CENTAR</t>
  </si>
  <si>
    <t>45232300-5</t>
  </si>
  <si>
    <t>17.09.2020.</t>
  </si>
  <si>
    <t>01.11.2020.</t>
  </si>
  <si>
    <t>SAVJETOVANJE VEZANO UZ PRIMJENU OPĆE UREDBE O ZAŠTITI PODATAKA</t>
  </si>
  <si>
    <t>POPRAVAK I UGRADNJA TAHOGRAFA ZA PODRUŽNICU ČISTOĆA</t>
  </si>
  <si>
    <t>UREĐENJE NADZORNO SIGURNOSNOG OPERATIVNOG CENTRA</t>
  </si>
  <si>
    <t>19.02.2021.</t>
  </si>
  <si>
    <t>ANALIZA USKLAĐENOSTI POSLOVANJA S UREDBOM O ZAŠTITI PODATAKA (GDPR)</t>
  </si>
  <si>
    <t>04.12.2020.</t>
  </si>
  <si>
    <t>04.04.2021.</t>
  </si>
  <si>
    <t>REZERVNI DIJELOVI, POPRAVAK I SERVIS VOZILA MARKE RENAULT - TERETNI PROGRAM</t>
  </si>
  <si>
    <t>IZGRADNJA FONTANE ROTOR</t>
  </si>
  <si>
    <t>20.04.2016.</t>
  </si>
  <si>
    <t>27.07.2016.</t>
  </si>
  <si>
    <t>IZGRADNJA - STP PETRUŠEVEC ETAPA 3</t>
  </si>
  <si>
    <t>IZGRADNJA - STP OTOČEC-GLOGOVEC - ETAPA 6</t>
  </si>
  <si>
    <t>21.04.2017.</t>
  </si>
  <si>
    <t>16.09.2016.</t>
  </si>
  <si>
    <t>IZGRADNJA - NTP NOVA CESTA - GAGARINOV PUT</t>
  </si>
  <si>
    <t>IZGRADNJA - STP SESVETE SJEVER, ĐURĐEKOVEC, PREKVRŠJE, PARUŽEVINA, VUGROVEC, VURNOVEC, PREPUŠTOVEC, KAŠINA - ETAPA 2</t>
  </si>
  <si>
    <t>12.05.2016.</t>
  </si>
  <si>
    <t>21.12.2016.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</si>
  <si>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</si>
  <si>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</si>
  <si>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</si>
  <si>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</si>
  <si>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10.04.2017.</t>
  </si>
  <si>
    <t>IZRADA IDEJNOG, GLAVNOG I IZVEDBENOG PROJEKTA REKONSTRUKCIJE VODOOPSKRBNOG CJEVOVODA U MESIĆEVOJ ULICI OD VRANČEVE DO GRŠKOVIĆEVE ULICE</t>
  </si>
  <si>
    <t>20.06.2016.</t>
  </si>
  <si>
    <t>IZRADA IDEJNOG, GLAVNOG I IZVEDBENOG PROJEKTA REKONSTRUKCIJE JAVNOG KANALA U ULICI REMETE</t>
  </si>
  <si>
    <t>01.07.2016.</t>
  </si>
  <si>
    <t>01.07.2017.</t>
  </si>
  <si>
    <t>01.06.2017.</t>
  </si>
  <si>
    <t>REKONSTRUKCIJA TRAFOSTANICE ASFALTNE BAZE RAKITJE</t>
  </si>
  <si>
    <t>45232200-4</t>
  </si>
  <si>
    <t>06.07.2017.</t>
  </si>
  <si>
    <t>IZRADA IDEJNOG, GLAVNOG I IZVEDBENOG PROJEKTA REKONSTRUKCIJE VODOOPSKRBNOG CJEVOVODA DN 50 mm U ULICI FALAŠČAK, SAMOBOR</t>
  </si>
  <si>
    <t>29.06.2016.</t>
  </si>
  <si>
    <t>ADAPTACIJA UNUTAR OBJ. BR. 19</t>
  </si>
  <si>
    <t>45262700-8</t>
  </si>
  <si>
    <t>07.07.2016.</t>
  </si>
  <si>
    <t>07.07.2017.</t>
  </si>
  <si>
    <t>02.08.2017.</t>
  </si>
  <si>
    <t>IZRADA IDEJNOG, GLAVNOG I IZVEDBENOG PROJEKTA REKONSTRUKCIJE VODOOPSKRBNOG CJEVOVODA U ZAGREBAČKOJ ULICI - ODVOJAK KOD K.BR. 68 - SESVETE</t>
  </si>
  <si>
    <t>13.07.2016.</t>
  </si>
  <si>
    <t>13.07.2017.</t>
  </si>
  <si>
    <t>IZRADA IDEJNOG, GLAVNOG I IZVEDBENOG PROJEKTA HP BIŠKUPEC BREG S VODOOPSKRBNOM MREŽOM NASELJA</t>
  </si>
  <si>
    <t>NOVELACIJA SABIRNOG KANALA U ULICI MIKULIĆI - ODVOJAK</t>
  </si>
  <si>
    <t>29.07.2016.</t>
  </si>
  <si>
    <t>29.07.2017.</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</si>
  <si>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</si>
  <si>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</si>
  <si>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</si>
  <si>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</si>
  <si>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IZRADA IDEJNOG, GLAVNOG I IZVEDBENOG PROJEKTA VODOOPSKRBNOG CJEVOVODA U NASELJU STOJDRAGA DO K.Č.BR.226/1, K.O.POKLEK</t>
  </si>
  <si>
    <t>24.08.2016.</t>
  </si>
  <si>
    <t>24.08.2017.</t>
  </si>
  <si>
    <t>ODRŽAVANJE DRAGER APARATA</t>
  </si>
  <si>
    <t>30.08.2016.</t>
  </si>
  <si>
    <t>30.08.2017.</t>
  </si>
  <si>
    <t>IZGRADNJA VODOOPSKRBNOG CJEVOVODA U ULICI VULJAROV BREG</t>
  </si>
  <si>
    <t>01.09.2017.</t>
  </si>
  <si>
    <t>IZGRADNJA VODOOPSKRBNE MREŽE U FABIJANIĆEVOJ ULICI</t>
  </si>
  <si>
    <t>02.09.2016.</t>
  </si>
  <si>
    <t>02.09.2017.</t>
  </si>
  <si>
    <t>14.09.2016.</t>
  </si>
  <si>
    <t>14.09.2017.</t>
  </si>
  <si>
    <t>IZGRADNJA VODOOPSKRBNOG CJEVOVODA U ULICI VIDUŠEVINA</t>
  </si>
  <si>
    <t>03.10.2016.</t>
  </si>
  <si>
    <t>IZGRADNJA VODOOPSKRBNOG CJEVOVODA U ULICI MARKUŠEVEČKA TRNAVA</t>
  </si>
  <si>
    <t>05.10.2016.</t>
  </si>
  <si>
    <t>IZOLIRAJUĆI KOMADI</t>
  </si>
  <si>
    <t>44163241-1</t>
  </si>
  <si>
    <t>26.08.2017.</t>
  </si>
  <si>
    <t>NOVELACIJA PROJEKTNE DOKUMENTACIJE ZA IZGRADNJU KANALIZACIJSKE MREŽE U ULICI FERENŠČAK I., CEBIĆI MALI I IZGRADNJU JAVNOG KANALA U ULICI ZVEČAJ</t>
  </si>
  <si>
    <t>07.10.2016.</t>
  </si>
  <si>
    <t>07.10.2017.</t>
  </si>
  <si>
    <t>NOVELACIJA PROJEKTNE DOKUMENTACIJE ZA IZGRADNJU I REKONSTRUKCIJU ODVODNJE U MERŠIĆEVOJ I ZAGORSKOJ ULICI</t>
  </si>
  <si>
    <t>IZGRADNJA VODOOPSKRBNOG CJEVOVODA U ULICI TOPOLJE</t>
  </si>
  <si>
    <t>IZGRADNJA JAVNOG KANALA U ULICI DR. LUJE NALETILIĆA 13M-13F</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</si>
  <si>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</si>
  <si>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</si>
  <si>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</si>
  <si>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</si>
  <si>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</si>
  <si>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20.10.2017.</t>
  </si>
  <si>
    <t>07.03.2019.</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</si>
  <si>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</si>
  <si>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</si>
  <si>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</si>
  <si>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</si>
  <si>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</si>
  <si>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IZGRADNJE VODOOPSKRBNOG CJEVOVODA U ULICI 5. KOZARI PUT 11C-11B</t>
  </si>
  <si>
    <t>IZRADA IDEJNOG, GLAVNOG I IZVEDBENOG PROJEKTA IZGRADNJE VODOOPSKRBNOG CJEVOVODA U ULICI PETRINE</t>
  </si>
  <si>
    <t>03.11.2016.</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</si>
  <si>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</si>
  <si>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</si>
  <si>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</si>
  <si>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</si>
  <si>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</si>
  <si>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</si>
  <si>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</si>
  <si>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</si>
  <si>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</si>
  <si>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</si>
  <si>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</si>
  <si>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</si>
  <si>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</si>
  <si>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</si>
  <si>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</si>
  <si>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</si>
  <si>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</si>
  <si>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</si>
  <si>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</si>
  <si>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</si>
  <si>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</si>
  <si>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29.04.2017.</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</si>
  <si>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</si>
  <si>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</si>
  <si>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</si>
  <si>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16.11.2016.</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</si>
  <si>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</si>
  <si>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</si>
  <si>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</si>
  <si>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</si>
  <si>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</si>
  <si>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</si>
  <si>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</si>
  <si>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21.09.2017.</t>
  </si>
  <si>
    <t>STRUČNI NADZOR NAD IZGRADNJOM SUSTAVA ODVODNJE PODRUČJA PANTOVČAK - DONJE PREKRIŽJE - KRALJEVEC</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</si>
  <si>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</si>
  <si>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</si>
  <si>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</si>
  <si>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</si>
  <si>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</si>
  <si>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</si>
  <si>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</si>
  <si>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</si>
  <si>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</si>
  <si>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</si>
  <si>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IZGRADNJA VODOOPSKRBNOG CJEVOVODA ZA POTREBE RECIKLAŽNOG DVORIŠTA (174,00m')</t>
  </si>
  <si>
    <t>06.12.2016.</t>
  </si>
  <si>
    <t>06.12.2017.</t>
  </si>
  <si>
    <t>16.12.2019.</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</si>
  <si>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</si>
  <si>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</si>
  <si>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</si>
  <si>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</si>
  <si>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</si>
  <si>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</si>
  <si>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</si>
  <si>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IZGRADNJA VODOOPSKRBNIH PRIKLJUČAKA TEMELJEM ODLUKE GRADSKE SKUPŠTINE GRADA ZAGREBA</t>
  </si>
  <si>
    <t>20.12.2016.</t>
  </si>
  <si>
    <t>VOĐENJE PROJEKTA NAD IZGRADNJOM SABIRNOG KANALA I MREŽE KUPINEČKI KRALJEVEC I. ETAPA - BREZOVICA</t>
  </si>
  <si>
    <t>21.12.2017.</t>
  </si>
  <si>
    <t>IZRADA IDEJNOG, GLAVNOG I IZVEDBENOG PROJEKTA JAVNIH KANALA U SLIVU SABIRNOG KANALA LETNIČKA - OLOVSKA - FUČEKI U NASELJU SESVETSKA SELA</t>
  </si>
  <si>
    <t>22.12.2016.</t>
  </si>
  <si>
    <t>IZRADA IDEJNOG, GLAVNOG I IZVEDBENOG PROJEKTA IZGRADNJE JAVNOG KANALA U ULICI VELIKI VRH</t>
  </si>
  <si>
    <t>IZRADA IDEJNOG, GLAVNOG I IZVEDBENOG PROJEKTA REKONSTRUKCIJE JAVNIH KANALA U KLIŠKOJ I KARINSKOJ ULICI I NOVOJ CESTI (STARA KNEŽIJA)</t>
  </si>
  <si>
    <t>23.12.2016.</t>
  </si>
  <si>
    <t>23.12.2017.</t>
  </si>
  <si>
    <t>IZGRADNJA KANALSKIH PRIKLJUČAKA TEMELJEM ODLUKE GRADSKE SKUPŠTINE GRADA ZAGREBA</t>
  </si>
  <si>
    <t>29.12.2016.</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</si>
  <si>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</si>
  <si>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</si>
  <si>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</si>
  <si>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</si>
  <si>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</si>
  <si>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02.01.2017.</t>
  </si>
  <si>
    <t>IZGRADNJA KANALIZACIJSKE MREŽE U ŠTITARSKOJ ULICI</t>
  </si>
  <si>
    <t>11.01.2017.</t>
  </si>
  <si>
    <t>11.01.2018.</t>
  </si>
  <si>
    <t>REKONSTRUKCIJA VODOOPSKRBNOG CJEVOVODA U ULICI MILANA REIZERA (SAMOBOR)</t>
  </si>
  <si>
    <t>12.01.2017.</t>
  </si>
  <si>
    <t>IZRADA IDEJNOG, GLAVNOG I IZVEDBENOG PROJEKTA IZGRADNJE JAVNOG KANALA U DIJELU ULICE ŠUŠKOVIĆI</t>
  </si>
  <si>
    <t>IZGRADNJA VODOOPSKRBNOG CJEVOVODA U ULICI TEPEC DO NOVOG VODOSPREMNIKA SVETI JURAJ SAMOBOR</t>
  </si>
  <si>
    <t>19.01.2017.</t>
  </si>
  <si>
    <t>19.01.2018.</t>
  </si>
  <si>
    <t>IZRADA IDEJNOG, GLAVNOG I IZVEDBENOG PROJEKTA IZGRADNJE VODOOPSKRBNOG CJEVOVODA U ULICI III KOZARI PUT ODVOJAK DO K.BR. 88</t>
  </si>
  <si>
    <t>IZGRADNJA JAVNOG KANALA U ČULINEČKOM ZAVOJU I VRHNIČKOJ ULICI</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</si>
  <si>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</si>
  <si>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</si>
  <si>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</si>
  <si>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31.01.2017.</t>
  </si>
  <si>
    <t>IZRADA IDEJNOG, GLAVNOG I IZVEDBENOG PROJEKTA IZMJEŠTANJA VODOOPSKRBNOG CJEVOVODA U ULICI DONJE PREKRIŽJE U SKLOPU IZGRADNJE KANALA</t>
  </si>
  <si>
    <t>REKONSTRUKCIJA VODOOPSKRBNOG CJEVOVODA U ULICI DRAGUTINA DOMJANIĆA (SAMOBOR)</t>
  </si>
  <si>
    <t>07.02.2017.</t>
  </si>
  <si>
    <t>07.02.2018.</t>
  </si>
  <si>
    <t>IZRADA IDEJNOG, GLAVNOG I IZVEDBENOG PROJEKTA IZGRADNJE JAVNOG KANALA U ULICI MIHOVCI</t>
  </si>
  <si>
    <t>08.02.2017.</t>
  </si>
  <si>
    <t>IZGRADNJA VODOOPSKRBNOG CJEVOVODA U ULICI VLADIMIRA VIDRIĆA U SESVETAMA</t>
  </si>
  <si>
    <t>21.02.2017.</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</si>
  <si>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</si>
  <si>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</si>
  <si>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</si>
  <si>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</si>
  <si>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</si>
  <si>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</si>
  <si>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</si>
  <si>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</si>
  <si>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07.03.2017.</t>
  </si>
  <si>
    <t>IZRADA IDEJNOG, GLAVNOG I IZVEDBENOG PROJEKTA REKONSTRUKCIJE VODOOPSKRBNOG CJEVOVODA U HERCEGOVAČKOJ I BUDIMSKOJ ULICI U NASELJU GAJIŠČE</t>
  </si>
  <si>
    <t>IZRADA IDEJNOG, GLAVNOG I IZVEDBENOG PROJEKTA KANALIZACIJSKE MREŽE U ODVOJKU ULICE TEŠKOVEC</t>
  </si>
  <si>
    <t>10.03.2017.</t>
  </si>
  <si>
    <t>10.03.2018.</t>
  </si>
  <si>
    <t>RUŠENJE STABALA U SPECIFIČNIM UVJETIMA</t>
  </si>
  <si>
    <t>IZMJEŠTANJE DIJELA VODOOPSKRBNOG CJEVOVODA U SKLOPU UREĐENJA VUGROVEČKE ULICE OD VARAŽDINSKE CESTE DO ULICE TADIJE SMIČIKLASA</t>
  </si>
  <si>
    <t>SANACIJA EVAKUACIJSKOG STUBIŠTA UPRAVNE ZGRADE PODRUŽNICE ČISTOĆA</t>
  </si>
  <si>
    <t>PROŠIRENJE VATRODOJAVNOG SUSTAVA (OBJEKTI 7, 9 I 23)</t>
  </si>
  <si>
    <t>45343200-5</t>
  </si>
  <si>
    <t>12.02.2020.</t>
  </si>
  <si>
    <t>13.03.2020.</t>
  </si>
  <si>
    <t>03.02.2020.</t>
  </si>
  <si>
    <t>STROJ ZA OBRADU DRVA</t>
  </si>
  <si>
    <t>42642100-9</t>
  </si>
  <si>
    <t>STROJARSKI RADOVI TOPLINSKE STANICE TE-TO 50/6</t>
  </si>
  <si>
    <t>45231223-4</t>
  </si>
  <si>
    <t>18.04.2020.</t>
  </si>
  <si>
    <t>25.09.2020.</t>
  </si>
  <si>
    <t>HITAN PRIJEVOZ I ZBRINJAVANJE ZEMLJE SA DEPONIJA ISPOSTAVE SAMOBOR PO INSPEKCIJSKOM NALOGU</t>
  </si>
  <si>
    <t>HITNA IZVEDBA VODOOPSKRBNIH PRIKLJUČAKA U NASELJU STARO BRESTJE</t>
  </si>
  <si>
    <t>ODRŽAVANJE BLOK STANICA</t>
  </si>
  <si>
    <t>08.05.2017.</t>
  </si>
  <si>
    <t>03.06.2019.</t>
  </si>
  <si>
    <t>03.06.2020.</t>
  </si>
  <si>
    <t>IZGRADNJA NOVE PLINSKE MREŽE STP SESVETE SJEVER, BELOVAR-MORAVČE-ADAMOVEC</t>
  </si>
  <si>
    <t>21.06.2020.</t>
  </si>
  <si>
    <t>IZRADA IDEJNOG, GLAVNOG I IZVEDBENOG PROJEKTA REKONSTRUKCIJE VODOOPSKRBNIH AZBESTNO-CEMENTNIH CJEVOVODA DN 80 mm NA MEDVEDSKOM BREGU</t>
  </si>
  <si>
    <t>IZRADA IDEJNOG, GLAVNOG I IZVEDBENOG PROJEKTA IZGRADNJE VODOOPSKRBNOG CJEVOVODA U ULICI DUGI PUT U NOVAKIMA NA PODRUČJU SVETE NEDELJE</t>
  </si>
  <si>
    <t>13.06.2017.</t>
  </si>
  <si>
    <t>13.06.2018.</t>
  </si>
  <si>
    <t>GENERALNI REMONT CRPKE CROATIA PUMPE NA OBJEKTU PREKRIŽJE</t>
  </si>
  <si>
    <t>23.07.2020.</t>
  </si>
  <si>
    <t>DEMONTAŽA I MONTAŽA CRPNIH AGREGATA NA VODOOPSKRBNIM OBJEKTIMA</t>
  </si>
  <si>
    <t>11.07.2020.</t>
  </si>
  <si>
    <t>IZRADA IDEJNOG, GLAVNOG I IZVEDBENOG PROJEKTA NASTAVKA DOLINSKOG KANALA JURJA VES - GORNJI BUKOVAC</t>
  </si>
  <si>
    <t>IZGRADNJA NOVE PLINSKE MREŽE NTP KSAVERSKA CESTA - NASTAVAK IZA KBR. 12</t>
  </si>
  <si>
    <t>IZRADA IDEJNOG, GLAVNOG I IZVEDBENOG PROJEKTA SUSTAVA SIGURNOSNO TEHNIČKE ZAŠTITE ZA VODOOPSKRBU I ODVODNJU d.o.o.</t>
  </si>
  <si>
    <t>08.07.2019.</t>
  </si>
  <si>
    <t>03.09.2020.</t>
  </si>
  <si>
    <t>12.08.2020.</t>
  </si>
  <si>
    <t>IZRADA IDEJNOG, GLAVNOG I IZVEDBENOG PROJEKTA REKONSTRUKCIJE POSTOJEĆIH KANALA I KOLEKTORA U ULICI IVANA LUČIĆA U NASELJU TRNJE</t>
  </si>
  <si>
    <t>06.09.2017.</t>
  </si>
  <si>
    <t>IZMJENA VODOMJERA NA ADRESAMA KORISNIKA NA PODRUČJU GRADA SAMOBORA</t>
  </si>
  <si>
    <t>29.08.2020.</t>
  </si>
  <si>
    <t>ELEKTRO ALAT I PRIBOR</t>
  </si>
  <si>
    <t>IZRADA IDEJNOG, GLAVNOG I IZVEDBENOG PROJEKTA ZA REKONSTRUKCIJU VODOOPSKRBNOG CJEVOVODA U ULICI RIMSKI JARAK</t>
  </si>
  <si>
    <t>IZRADA IDEJNOG, GLAVNOG I IZVEDBENOG PROJEKTA JAVNIH KANALA U ULICAMA KRAVARSKA, MEĐAŠNA I LOČINIČKA</t>
  </si>
  <si>
    <t>SANACIJA OBJEKATA KOMPLEKSA ZAGREPČANKE, HEINZELOVA 66-68</t>
  </si>
  <si>
    <t>IZRADA IDEJNOG, GLAVNOG I IZVEDBENOG PROJEKTA IZGRADNJE VODOOPSKRBNOG CJEVOVODA U ULICI GRGE FRANJE PUĐAKA ODVOJAK DO K.BR. 22C</t>
  </si>
  <si>
    <t>VOĐENJE PROJEKTA NAD REKONSTRUKCIJOM SABIRNOG KANALA MIROŠEVEČKA CESTA S RETENCIJSKO PRELJEVNIM OBJEKTOM</t>
  </si>
  <si>
    <t>27.10.2018.</t>
  </si>
  <si>
    <t>IZRADA IDEJNOG, GLAVNOG I IZVEDBENOG PROJEKTA REKONSTRUKCIJE VODOOPSKRBNOG SUSTAVA NORŠIĆ SELO - JARUŠJE</t>
  </si>
  <si>
    <t>IZGRADNJA FONTANE NA BRITANSKOM TRGU - ROTOR</t>
  </si>
  <si>
    <t>14.10.2016.</t>
  </si>
  <si>
    <t>14.10.2017.</t>
  </si>
  <si>
    <t>31.03.2017.</t>
  </si>
  <si>
    <t>IZGRADNJA VODOOPSKRBNOG CJEVOVODA U ODVOJKU ULICE KRVARIĆ OD K.BR. 91F-91G</t>
  </si>
  <si>
    <t>REKONSTRUKCIJA NN RAZVODA LABORATORIJA U FOLNEGOVIĆEVOJ</t>
  </si>
  <si>
    <t>45315600-4</t>
  </si>
  <si>
    <t>IZRADA IDEJNOG, GLAVNOG I IZVEDBENOG PROJEKTA ZA IZGRADNJU VODOOPSKRBNOG CJEVOVODA ZA SPAJANJE VODOOPSKRBNOG CJEVOVODA U HORVATOVOM PUTU NA SPAJANJE III ZONE</t>
  </si>
  <si>
    <t>KAMP PRIKOLICA</t>
  </si>
  <si>
    <t>34223330-8</t>
  </si>
  <si>
    <t>42641000-1</t>
  </si>
  <si>
    <t>MANEVARSKO STRELJIVO ZA GRIČKI TOP</t>
  </si>
  <si>
    <t>35330000-6</t>
  </si>
  <si>
    <t>ODRŽAVANJE PODIZNE PLATFORME ZA PRIJEVOZ OSOBA S INVALIDITETOM U JAMSTVENOM ROKU</t>
  </si>
  <si>
    <t>IZRADA IDEJNOG, GLAVNOG I IZVEDBENOG PROJEKTA REKONSTRUKCIJE VODOOPSKRBNOG CJEVOVODA U ULICI ZAGREBAČKA (SJEVERNA STRANA) U SESVETAMA</t>
  </si>
  <si>
    <t>25.01.2017.</t>
  </si>
  <si>
    <t>25.01.2018.</t>
  </si>
  <si>
    <t>USLUGA PODIZANJA I SPUŠTANJA ZASTAVA NA JAVNIM POVRŠINAMA U GRADU ZAGREBU ZA DRŽAVNE PRAZNIKE, BLAGDANE I SPOMENDANE</t>
  </si>
  <si>
    <t>13.01.2016.</t>
  </si>
  <si>
    <t>ODRŽAVANJE I POPRAVAK AUTOMATSKE RAMPE PROIZVOĐAČA BFT S.p.A. TIP MOOVI 30</t>
  </si>
  <si>
    <t>20.01.2016.</t>
  </si>
  <si>
    <t>20.01.2017.</t>
  </si>
  <si>
    <t>23.01.2017.</t>
  </si>
  <si>
    <t>25.01.2016.</t>
  </si>
  <si>
    <t>02.02.2017.</t>
  </si>
  <si>
    <t>03.02.2016.</t>
  </si>
  <si>
    <t>UREDSKI MATERIJAL ZA GRADSKU PLINARU ZAGREB - OPSKRBA d.o.o.</t>
  </si>
  <si>
    <t>14.04.2016.</t>
  </si>
  <si>
    <t>03.08.2016.</t>
  </si>
  <si>
    <t>03.08.2017.</t>
  </si>
  <si>
    <t>21.11.2016.</t>
  </si>
  <si>
    <t>USLUGE U NEPOKRETNOJ ELEKTRONIČKOJ KOMUNIKACIJSKOJ MREŽI ZA POTREBE CALL CENTRA GRADSKE PLINARE ZAGREB - OPSKRBA d.o.o.</t>
  </si>
  <si>
    <t>19.08.2016.</t>
  </si>
  <si>
    <t>19.08.2017.</t>
  </si>
  <si>
    <t>IZRADA PROJEKTNE DOKUMENTACIJE ZA ENERGETSKU OBNOVU UPRAVNE ZGRADE PJ ŽITNJAK</t>
  </si>
  <si>
    <t>07.12.2017.</t>
  </si>
  <si>
    <t>DNEVNO I PERIODIČNO ČIŠĆENJE I PRANJE POSLOVNIH PROSTORA ZA POTREBE GRADSKE PLINARE ZAGREB - OPSKRBA</t>
  </si>
  <si>
    <t>27.12.2016.</t>
  </si>
  <si>
    <t>01.02.2017.</t>
  </si>
  <si>
    <t>01.08.2018.</t>
  </si>
  <si>
    <t>50531000-6</t>
  </si>
  <si>
    <t>21.03.2017.</t>
  </si>
  <si>
    <t>21.03.2018.</t>
  </si>
  <si>
    <t>KEMIJSKA SREDSTVA ZA ODRŽAVANJE I DEZINFEKCIJU BAZENSKE VODE</t>
  </si>
  <si>
    <t>24311000-7</t>
  </si>
  <si>
    <t>ODRŽAVANJE, POPRAVAK I PRIPREMA MJERILA MASE ZA OVJERAVANJE</t>
  </si>
  <si>
    <t>28.03.2017.</t>
  </si>
  <si>
    <t>28.03.2018.</t>
  </si>
  <si>
    <t>FOTOKOPIRANJE, PLASTIFICIRANJE I UVEZIVANJE</t>
  </si>
  <si>
    <t>KEMIKALIJE I TESTNI ORGANIZMI ZA BIOLOGIJU</t>
  </si>
  <si>
    <t>24300000-7</t>
  </si>
  <si>
    <t>UZORCI ZA INTERKALIBRACIJU</t>
  </si>
  <si>
    <t>TEČAJ HIGIJENSKOG MINIMUMA</t>
  </si>
  <si>
    <t>80561000-4</t>
  </si>
  <si>
    <t>REZANO CVIJEĆE I ZELENILO</t>
  </si>
  <si>
    <t>29.03.2018.</t>
  </si>
  <si>
    <t>SPECIJALNA LJEPILA</t>
  </si>
  <si>
    <t>34142000-4</t>
  </si>
  <si>
    <t>REZERVNI DIJELOVI I POPRAVAK VOZILA MARKE NISSAN</t>
  </si>
  <si>
    <t>03.04.2017.</t>
  </si>
  <si>
    <t>03.04.2018.</t>
  </si>
  <si>
    <t>POPRAVAK CRPKI S POGONOM NA MOTOR S UNUTRAŠNJIM SAGORIJEVANJEM</t>
  </si>
  <si>
    <t>KOMPLETI ALATA U KOFERU ILI KOLICIMA</t>
  </si>
  <si>
    <t>REZERVNI DIJELOVI I POPRAVAK VOZILA MARKE RENAULT</t>
  </si>
  <si>
    <t>REZERVNI DIJELOVI I POPRAVAK VOZILA MARKE FIAT</t>
  </si>
  <si>
    <t>ODRŽAVANJE, POPRAVAK I REZERVNI DIJELOVI KOMPRESORA PROIZVOĐAČA KAESER I BOGE</t>
  </si>
  <si>
    <t>05.04.2017.</t>
  </si>
  <si>
    <t>05.04.2018.</t>
  </si>
  <si>
    <t>10.04.2018.</t>
  </si>
  <si>
    <t>11.04.2018.</t>
  </si>
  <si>
    <t>ODRŽAVANJE I POPRAVAK SPEKTROFOTOMETRA IR tip PARAGON 500 FT-IR SPEKTROFOTOMETRA UV/VIS tip LAMBDA 25; proizvođača Perkin Elmer</t>
  </si>
  <si>
    <t>IZRADA IDEJNOG, GLAVNOG I IZVEDBENOG PROJEKTA REKONSTRUKCIJE JAVNOG KANALA U KRANJČEVIĆEVOJ ULICI</t>
  </si>
  <si>
    <t>12.04.2017.</t>
  </si>
  <si>
    <t>IZGRADNJA VODOOPSKRBNOG CJEVOVODA U ULICI DEKANIĆI V ODVOJAK NA PODRUČJU SVETE NEDELJE</t>
  </si>
  <si>
    <t>REPARIRANI MOTORI ZA TERETNA VOZILA</t>
  </si>
  <si>
    <t>34310000-3</t>
  </si>
  <si>
    <t>13.04.2017.</t>
  </si>
  <si>
    <t>13.04.2018.</t>
  </si>
  <si>
    <t>POCINČANI RUBNJACI ZA ODVAJANJE TRAVNATE OD BETONSKE POVRŠINE</t>
  </si>
  <si>
    <t>20.04.2017.</t>
  </si>
  <si>
    <t>20.04.2018.</t>
  </si>
  <si>
    <t>21.04.2018.</t>
  </si>
  <si>
    <t>02.05.2018.</t>
  </si>
  <si>
    <t>03.05.2018.</t>
  </si>
  <si>
    <t>09.05.2018.</t>
  </si>
  <si>
    <t>33793000-5</t>
  </si>
  <si>
    <t>PROIZVODI OD ŽELJEZA I ČELIKA ZA POTREBE PODRUŽNICE ZAGREBAČKE CESTE</t>
  </si>
  <si>
    <t>23.05.2018.</t>
  </si>
  <si>
    <t>24.07.2017.</t>
  </si>
  <si>
    <t>30.04.2018.</t>
  </si>
  <si>
    <t>ODRŽAVANJE I NADOGRADNJA INFORMACIJSKOG SUSTAVA "CENTRIX" GRADSKE PLINARE ZAGREB - OPSKRBA d.o.o.</t>
  </si>
  <si>
    <t>25.05.2017.</t>
  </si>
  <si>
    <t>25.05.2018.</t>
  </si>
  <si>
    <t>30.05.2018.</t>
  </si>
  <si>
    <t>REZERVNI DIJELOVI I POPRAVAK POLJOPRIVREDNIH STROJEVA, ALATA I PRIKLJUČNE OPREME</t>
  </si>
  <si>
    <t>SAVJETOVANJE U PODRUČJU UPRAVLJANJA KVALITETOM</t>
  </si>
  <si>
    <t>72224200-3</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</si>
  <si>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</si>
  <si>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</si>
  <si>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</si>
  <si>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</si>
  <si>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</si>
  <si>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</si>
  <si>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</si>
  <si>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</si>
  <si>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</si>
  <si>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04.10.2018.</t>
  </si>
  <si>
    <t>IZGRADNJA VODOOPSKRBNOG CJEVOVODA DN 200 ZA NASELJE PETRUŠEVEC</t>
  </si>
  <si>
    <t>06.10.2018.</t>
  </si>
  <si>
    <t>IZRADA IDEJNOG RJEŠENJA ZA NADOGRADNJU OSNOVNE ŠKOLE JELKOVEC</t>
  </si>
  <si>
    <t>13.11.2017.</t>
  </si>
  <si>
    <t>30.06.2018.</t>
  </si>
  <si>
    <t>POŠTANSKE USLUGE U UNUTARNJEM PROMETU ZA POTREBE GRADSKE PLINARE ZAGREB - OPSKRBA d.o.o.</t>
  </si>
  <si>
    <t>GENERALNO OBNAVLJANJE STUPNIH I LANČANIH DIZALICA</t>
  </si>
  <si>
    <t>14.12.2018.</t>
  </si>
  <si>
    <t>IZRADA PROJEKTNE DOKUMENTACIJE SANACIJE PAVILJONA 30 NA LOKACIJI GRAD MLADIH</t>
  </si>
  <si>
    <t>IZRADA PROJEKTNE I TEHNIČKE DOKUMENTACIJE REKONSTRUKCIJE SANITARNOG ČVORA U KAMPU VELI JOŽE NA LOKACIJI SAVUDRIJA</t>
  </si>
  <si>
    <t>IZGRADNJA SVJETLOVODNE DISTRIBUCIJSKE MREŽE U NASELJU PODBREŽJE</t>
  </si>
  <si>
    <t>12.01.2019.</t>
  </si>
  <si>
    <t>SANACIJA FONTANE NA TRGU ŽRTAVA FAŠIZMA</t>
  </si>
  <si>
    <t>18.01.2018.</t>
  </si>
  <si>
    <t>18.01.2019.</t>
  </si>
  <si>
    <t>RAMPE S UGRADNJOM ZA SPREČAVANJE PROLAZA VOZILA</t>
  </si>
  <si>
    <t>09.02.2018.</t>
  </si>
  <si>
    <t>09.02.2019.</t>
  </si>
  <si>
    <t>SANACIJA TERASA I KROVIŠTA NA LOKACIJI HOSTELA CVRČAK U DUGOJ UVALI</t>
  </si>
  <si>
    <t>45260000-7</t>
  </si>
  <si>
    <t>IZMJENA I DOPUNA GLAVNOG PROJEKTA REKONSTRUKCIJE SABIRNOG KANALA MIROŠEVEČKA CESTA</t>
  </si>
  <si>
    <t>22.03.2018.</t>
  </si>
  <si>
    <t>INTERVENTNO ČIŠĆENJE DIJELA KANALSKOG SUSTAVA GRADA ZAGREBA</t>
  </si>
  <si>
    <t>90410000-4</t>
  </si>
  <si>
    <t>27.04.2018.</t>
  </si>
  <si>
    <t>27.04.2019.</t>
  </si>
  <si>
    <t>30.05.2019.</t>
  </si>
  <si>
    <t>OPREMA ZA KLORIRANJE NA OBJEKTU SLAPNICA S UGRADNJOM</t>
  </si>
  <si>
    <t>PROVOĐENJE POSTUPKA USKLAĐIVANJA AKATA, DONOŠENJE NOVIH PRAVNIH AKATA, ODLUKA I IZJAVA U SKLADU S OPĆOM UREDBOM (EU) 2016/679 I ZAKONOM O PROVEDBI OPĆE UREDBE O ZAŠTITI PODATAKA (NN 42/18)</t>
  </si>
  <si>
    <t>17.08.2019.</t>
  </si>
  <si>
    <t>PROTUPROVALNI ALARMNI SUSTAVI I OPREMA</t>
  </si>
  <si>
    <t>31625300-6</t>
  </si>
  <si>
    <t>POSTAVA NN ELEKTROINSTALACIJA ZA DODATNU POTROŠNJU ELEKTRIČNE ENERGIJE U POSLOVNIM PROSTORIMA NA LOKACIJI PATAČIĆKINA 1B</t>
  </si>
  <si>
    <t>01.10.2018.</t>
  </si>
  <si>
    <t>SUSTAV VIDEONADZORA S UGRADNJOM ZA VODOOPSKRBU I ODVODNJU d.o.o.</t>
  </si>
  <si>
    <t>PROGRAM ZA ZAŠTITU NA RADU</t>
  </si>
  <si>
    <t>13.11.2018.</t>
  </si>
  <si>
    <t>13.11.2019.</t>
  </si>
  <si>
    <t>KONTEJNERI ZA POSEBNE NAMJENE</t>
  </si>
  <si>
    <t>34221000-2</t>
  </si>
  <si>
    <t>20.11.2019.</t>
  </si>
  <si>
    <t>26.11.2018.</t>
  </si>
  <si>
    <t>26.11.2019.</t>
  </si>
  <si>
    <t>03.12.2018.</t>
  </si>
  <si>
    <t>03.12.2019.</t>
  </si>
  <si>
    <t>30.06.2019.</t>
  </si>
  <si>
    <t>SANACIJA RESTORANA I SPAVAONICA U PRIZEMLJU HOSTELA CVRČAK U DUGOJ UVALI</t>
  </si>
  <si>
    <t>30.11.2019.</t>
  </si>
  <si>
    <t>09.05.2020.</t>
  </si>
  <si>
    <t>OPREMA ZA KLORIRANJE NA OBJEKTU MALA MLAKA S UGRADNJOM</t>
  </si>
  <si>
    <t>ODRŽAVANJE PLINSKIH BOJLERA</t>
  </si>
  <si>
    <t>13.06.2019.</t>
  </si>
  <si>
    <t>13.06.2020.</t>
  </si>
  <si>
    <t>HITNE INTERVENCIJE NA VODOVODNIM I KANALIZACIJSKIM INSTALACIJAMA</t>
  </si>
  <si>
    <t>TRAKTORI I PRIKLJUČNA OPREMA</t>
  </si>
  <si>
    <t>15.10.2020.</t>
  </si>
  <si>
    <t>21.11.2020.</t>
  </si>
  <si>
    <t>19.11.2020.</t>
  </si>
  <si>
    <t>ODRŽAVANJE I POPRAVAK RASVJETE SKULPTURE IGLA ISPRED MUZIČKE AKADEMIJE</t>
  </si>
  <si>
    <t>05.12.2019.</t>
  </si>
  <si>
    <t>27.04.2020.</t>
  </si>
  <si>
    <t>PROIZVODI OD OLOVA, CINKA I KOSITRA</t>
  </si>
  <si>
    <t>25.05.2020.</t>
  </si>
  <si>
    <t>16.06.2020.</t>
  </si>
  <si>
    <t>SANACIJA OŠTEĆENJA U DRUŠTVU VODOOPSKRBA I ODVODNJA NA LOKACIJI FOLNEGOVIĆEVA 1 NASTALIH USLIJED POTRESA</t>
  </si>
  <si>
    <t>17.07.2020.</t>
  </si>
  <si>
    <t>17.07.2021.</t>
  </si>
  <si>
    <t>10.09.2020.</t>
  </si>
  <si>
    <t>21.09.2020.</t>
  </si>
  <si>
    <t>29.09.2020.</t>
  </si>
  <si>
    <t>PROGRAMSKO RJEŠENJE ZA PRAĆENJE KVALITETE VODE</t>
  </si>
  <si>
    <t>27.10.2020.</t>
  </si>
  <si>
    <t>USLUGA VARIJABILNOG ISPISA I INSERTIRANJA DOKUMENATA</t>
  </si>
  <si>
    <t>12.11.2020.</t>
  </si>
  <si>
    <t>SANACIJA BETONSKOG KOLNIKA U KRUGU VODOOPSKRBE I ODVODNJE NA LOKACIJI FOLNEGOVIĆEVA 1</t>
  </si>
  <si>
    <t>27.11.2021.</t>
  </si>
  <si>
    <t>01.12.2020.</t>
  </si>
  <si>
    <t>VISOKOTLAČNA ARMATURA ZA CRPNU STANICU HORNJAK</t>
  </si>
  <si>
    <t>44161500-1</t>
  </si>
  <si>
    <t>MOTOR ZA DVORIŠNA VRATA NA DALJINSKO UPRAVLJANJE S UGRADNJOM</t>
  </si>
  <si>
    <t>24.12.2020.</t>
  </si>
  <si>
    <t>UKRASI I PROIZVODI ZA DEKORACIJU</t>
  </si>
  <si>
    <t>NAJAM OPREME ZA ŠATORE</t>
  </si>
  <si>
    <t>USLUGA UPRAVLJANJA TEHNIČKIM SUSTAVIMA (RAZGLAS, RASVJETA, KOMUNIKACIJA I OSTALI TEH. SUSTAVI) U ARENI ZAGREB</t>
  </si>
  <si>
    <t>SERVIS I POPRAVAK OPREME ZA DETEKCIJU PLINOVA</t>
  </si>
  <si>
    <t>02.06.2017.</t>
  </si>
  <si>
    <t>NAJAM HIBRIDNIH VOZILA</t>
  </si>
  <si>
    <t>30.07.2017.</t>
  </si>
  <si>
    <t>NAJAM VOZILA VIŠE SREDNJE KLASE</t>
  </si>
  <si>
    <t>OSIGURANJE OD ODGOVORNOSTI OSIGURANIKA IZ DJELATNOSTI ZA ŠTETE PREMA TREĆIM OSOBAMA KAO POSLJEDICA OBAVLJANJA DJELATNOSTI GOSPODARENJA OTPADOM</t>
  </si>
  <si>
    <t>26.05.2017.</t>
  </si>
  <si>
    <t>07.04.2017.</t>
  </si>
  <si>
    <t>11.05.2017.</t>
  </si>
  <si>
    <t>25.07.2017.</t>
  </si>
  <si>
    <t>NAJAM DOSTAVNIH VOZILA ZA PODRUŽNICU GRADSKA GROBLJA</t>
  </si>
  <si>
    <t>18.05.2017.</t>
  </si>
  <si>
    <t>REZERVNI DIJELOVI I POPRAVAK VILIČARA RAZNIH PROIZVOĐAČA</t>
  </si>
  <si>
    <t>04.05.2017.</t>
  </si>
  <si>
    <t>NALJEPNICE ZA STAKLENE, PVC I METALNE POVRŠINE</t>
  </si>
  <si>
    <t>REZERVNI DIJELOVI, POTROŠNI MATERIJAL I POPRAVAK PRINTERA ZEBRA</t>
  </si>
  <si>
    <t>16.05.2017.</t>
  </si>
  <si>
    <t>MIKROBIOLOŠKO ISPITIVANJE HRANE I PREDMETA OPĆE UPORABE</t>
  </si>
  <si>
    <t>22.07.2017.</t>
  </si>
  <si>
    <t>SUORGANIZACIJA SPORTSKIH DOGAĐAJA</t>
  </si>
  <si>
    <t>92622000-7</t>
  </si>
  <si>
    <t>22.03.2017.</t>
  </si>
  <si>
    <t>ZDRAVSTVENI PREGLEDI ZA IZDAVANJE SANITARNE KNJIŽICE I VOZAČKE DOZVOLE</t>
  </si>
  <si>
    <t>17.05.2017.</t>
  </si>
  <si>
    <t>PAPIRNATE PARKIRNE MAGNETSKE KARTICE</t>
  </si>
  <si>
    <t>30160000-8</t>
  </si>
  <si>
    <t>IZRADA IDEJNIH I IZVEDBENIH RJEŠENJA VIZUALNOG IDENTITETA ZAGREBAČKOG HOLDINGA D.O.O.</t>
  </si>
  <si>
    <t>ODRŽAVANJE I POPRAVAK GSM OPREME</t>
  </si>
  <si>
    <t>50333000-8</t>
  </si>
  <si>
    <t>SISTEMATSKI PREGLEDI</t>
  </si>
  <si>
    <t>ODRŽAVANJE SUSTAVA KLIMATIZACIJE I VENTILACIJE NA SPORTSKIM OBJEKTIMA I ŠKOLAMA</t>
  </si>
  <si>
    <t>ODRŽAVANJE OBJEKTA SRC SVETICE U JAMSTVENOM ROKU</t>
  </si>
  <si>
    <t>CINČANJE I SREBRENJE METALNIH POVRŠINA</t>
  </si>
  <si>
    <t>08.06.2017.</t>
  </si>
  <si>
    <t>18.07.2017.</t>
  </si>
  <si>
    <t>ZAKUP MEDIJSKOG PROSTORA U TJEDNIKU LIDER</t>
  </si>
  <si>
    <t>IZRADA DIGITALNE PLATFORME ZA ODNOSE S KORISNICIMA</t>
  </si>
  <si>
    <t>TEHNIČKA PLASTIKA</t>
  </si>
  <si>
    <t>17.07.2017.</t>
  </si>
  <si>
    <t>12.06.2017.</t>
  </si>
  <si>
    <t>23.06.2017.</t>
  </si>
  <si>
    <t>21.06.2017.</t>
  </si>
  <si>
    <t>02.02.2018.</t>
  </si>
  <si>
    <t>NOVELACIJA PROJEKTA SIGURNOSNOG SUSTAVA S IZVEDBOM U POSLOVNOM OBJEKTU ULICA GRADA VUKOVARA 41</t>
  </si>
  <si>
    <t>USLUGA CATERINGA</t>
  </si>
  <si>
    <t>55520000-1</t>
  </si>
  <si>
    <t>REZERVNI DIJELOVI I POPRAVAK VOZILA MARKE OPEL</t>
  </si>
  <si>
    <t>04.07.2017.</t>
  </si>
  <si>
    <t>KUĆANSKI APARATI ZA ČIŠĆENJE I GLAČANJE</t>
  </si>
  <si>
    <t>39713000-3</t>
  </si>
  <si>
    <t>AUTOMATSKA NEPROBOJNA KLIZNA VRATA S UGRADNJOM</t>
  </si>
  <si>
    <t>21.07.2017.</t>
  </si>
  <si>
    <t>11.07.2017.</t>
  </si>
  <si>
    <t>19.03.2018.</t>
  </si>
  <si>
    <t>IZMJEŠTANJE TELEFONSKIH STUPOVA I STUPOVA NISKONAPONSKE MREŽE USLIJED IZVOĐENJA RADOVA</t>
  </si>
  <si>
    <t>STROJNO, MEHANIČKO I KEMIJSKO ČIŠĆENJE SPREMNIKA ZA GORIVO I KOROMETRIJSKO ISPITIVANJE DEBLJINE STIJENKI</t>
  </si>
  <si>
    <t>18.08.2017.</t>
  </si>
  <si>
    <t>08.07.2017.</t>
  </si>
  <si>
    <t>30.12.2017.</t>
  </si>
  <si>
    <t>ODRŽAVANJE I POPRAVAK INDUSTRIJSKIH, SEKCIJSKIH, ROLO I GARAŽNIH VRATA</t>
  </si>
  <si>
    <t>OPREMA ZA NADOPUNU INTERIJERA BAZENA SVETICE PO ZAHTJEVU UPRAVITELJA OBJEKTA</t>
  </si>
  <si>
    <t>43320000-2</t>
  </si>
  <si>
    <t>14.07.2017.</t>
  </si>
  <si>
    <t>01.08.2017.</t>
  </si>
  <si>
    <t>07.08.2017.</t>
  </si>
  <si>
    <t>HITNI POPRAVCI I IZRADA HIDRAULIČNIH CIJEVI</t>
  </si>
  <si>
    <t>HITNE INTERVENCIJE NA INSTALACIJAMA VENTILACIJSKE OPREME</t>
  </si>
  <si>
    <t>ODRŽAVANJE, POPRAVAK I REZERVNI DIJELOVI KOMPRESORA RAZNIH PROIZVOĐAČA</t>
  </si>
  <si>
    <t>03.09.2017.</t>
  </si>
  <si>
    <t>25.08.2017.</t>
  </si>
  <si>
    <t>28.08.2017.</t>
  </si>
  <si>
    <t>Račun br. 0210008191</t>
  </si>
  <si>
    <t>08.09.2017.</t>
  </si>
  <si>
    <t>21.08.2017.</t>
  </si>
  <si>
    <t>POPRAVAK, REZERVNI DIJELOVI I POTROŠNI MATERIJAL PRINTERA</t>
  </si>
  <si>
    <t>NAJAM ELEKTRIČNIH VOZILA</t>
  </si>
  <si>
    <t>28.10.2017.</t>
  </si>
  <si>
    <t>29.01.2018.</t>
  </si>
  <si>
    <t>OPREMA ZA TERETANU SRC SVETICE</t>
  </si>
  <si>
    <t>37442000-8</t>
  </si>
  <si>
    <t>13.09.2017.</t>
  </si>
  <si>
    <t>11.09.2017.</t>
  </si>
  <si>
    <t>TELEVIZORI</t>
  </si>
  <si>
    <t>32324100-1</t>
  </si>
  <si>
    <t>OBNOVA SJEVERNOG PROČELJA FASADE AUTOBUSNOG KOLODVORA</t>
  </si>
  <si>
    <t>REZERVNI DIJELOVI I POPRAVAK TRAKTORSKIH PRIKLJUČAKA</t>
  </si>
  <si>
    <t>GSM OPREMA</t>
  </si>
  <si>
    <t>32252000-4</t>
  </si>
  <si>
    <t>25.09.2017.</t>
  </si>
  <si>
    <t>IZOBRAZBA U PODRUČJU JAVNE NABAVE</t>
  </si>
  <si>
    <t>TONERI I TINTE ZA POTREBE PODRUŽNICA ČISTOĆA I ZGOS</t>
  </si>
  <si>
    <t>TONERI I TINTE ZA POTREBE PODRUŽNICA ZAGREBAČKI DIGITALNI GRAD, TRŽNICE ZAGREB I ZAGREBAČKE CESTE</t>
  </si>
  <si>
    <t>13.10.2017.</t>
  </si>
  <si>
    <t>17.12.2017.</t>
  </si>
  <si>
    <t>SERVIS TERETNIH VOZILA MARKE RENAULT U JAMSTVENOM ROKU</t>
  </si>
  <si>
    <t>16.10.2017.</t>
  </si>
  <si>
    <t>GRMLJE CRNOGORICE</t>
  </si>
  <si>
    <t>ISPITIVANJE I CERTIFICIRANJE METALNIH OTVORENIH SPREMNIKA ZA SAKUPLJANJE OTPADA</t>
  </si>
  <si>
    <t>18.11.2017.</t>
  </si>
  <si>
    <t>BESKONTAKTNE BIANCO KARTICE, NUMERIRANE I KODIRANE</t>
  </si>
  <si>
    <t>POTROŠNI MATERIJAL ZA NJEGU VOZILA</t>
  </si>
  <si>
    <t>ODRŽAVANJE I STRUČNA PODRŠKA ZA SISTEMSKU PROGRAMSKU PODRŠKU MICROSOFT</t>
  </si>
  <si>
    <t>72610000-9</t>
  </si>
  <si>
    <t>11.12.2017.</t>
  </si>
  <si>
    <t>PVC I PLEXI PLOČE</t>
  </si>
  <si>
    <t>ŽARULJE I OSIGURAČI ZA VOZILA</t>
  </si>
  <si>
    <t>23.11.2017.</t>
  </si>
  <si>
    <t>POPRAVAK TERETNIH VOZILA PROIZVOĐAČA MAN</t>
  </si>
  <si>
    <t>PREGLED I ODRŽAVANJE EX UREĐAJA I INSTALACIJA</t>
  </si>
  <si>
    <t>21.11.2017.</t>
  </si>
  <si>
    <t>RUČNI ELEKTRIČNI ALATI</t>
  </si>
  <si>
    <t>POPRAVAK, SERVIS I REZERVNI DIJELOVI BAZENSKE TEHNIKE</t>
  </si>
  <si>
    <t>NAJAM RABLJENIH VOZILA ZA PRIJEVOZ I DOSTAVU SPREMNIKA ZA OTPAD</t>
  </si>
  <si>
    <t>05.02.2018.</t>
  </si>
  <si>
    <t>08.12.2017.</t>
  </si>
  <si>
    <t>BOŽIĆNI UKRASI</t>
  </si>
  <si>
    <t>02.12.2017.</t>
  </si>
  <si>
    <t>02.10.2017.</t>
  </si>
  <si>
    <t>06.07.2020.</t>
  </si>
  <si>
    <t>79342000-3</t>
  </si>
  <si>
    <t>REZERVNI DIJELOVI, POPRAVAK I SERVIS VOZILA MARKE PEUGEOT</t>
  </si>
  <si>
    <t>ODRŽAVANJE PROTUPROVALNIH ALARMNIH SUSTAVA</t>
  </si>
  <si>
    <t>ZAKUP MEDIJSKOG PROSTORA NA PORTALU "direktno.hr"</t>
  </si>
  <si>
    <t>08.08.2018.</t>
  </si>
  <si>
    <t>PRERAĐENO VOĆE I POVRĆE</t>
  </si>
  <si>
    <t>05.04.2019.</t>
  </si>
  <si>
    <t>17.02.2019.</t>
  </si>
  <si>
    <t>IZRADA PROJEKTNE DOKUMENTACIJE REKONSTRUKCIJE POSLOVNE GRAĐEVINE U ZAGORSKOJ ULICI</t>
  </si>
  <si>
    <t>ŽURNA SANACIJA OŠTEĆENOG POTPORNOG ZIDA NA LOKACIJI ZAGREPČANKA</t>
  </si>
  <si>
    <t>METALNE KANTE ZA RAZVRSTAVANJE OTPADA U POSLOVNIM PROSTORIMA</t>
  </si>
  <si>
    <t>39224330-0</t>
  </si>
  <si>
    <t>RAZNI PROMIDŽBENI MATERIJAL ZA POTREBE MEĐUNARODNE VRTNE IZLOŽBE FLORAART</t>
  </si>
  <si>
    <t>06.04.2018.</t>
  </si>
  <si>
    <t>26.04.2018.</t>
  </si>
  <si>
    <t>17.04.2018.</t>
  </si>
  <si>
    <t>01.09.2018.</t>
  </si>
  <si>
    <t>04.05.2018.</t>
  </si>
  <si>
    <t>07.05.2018.</t>
  </si>
  <si>
    <t>22.05.2018.</t>
  </si>
  <si>
    <t>13.07.2018.</t>
  </si>
  <si>
    <t>GRMLJE CRNOGORICE I BJELOGORICE</t>
  </si>
  <si>
    <t>03451300-9</t>
  </si>
  <si>
    <t>UMJERAVANJE TAHOGRAFA</t>
  </si>
  <si>
    <t>29.10.2018.</t>
  </si>
  <si>
    <t>26.07.2019.</t>
  </si>
  <si>
    <t>04.06.2018.</t>
  </si>
  <si>
    <t>25.09.2018.</t>
  </si>
  <si>
    <t>01.06.2018.</t>
  </si>
  <si>
    <t>09.04.2019.</t>
  </si>
  <si>
    <t>POPRAVLJANJE I ODRŽAVANJE UREĐAJA ZA BIOLOŠKO PROČIŠĆAVANJE OTPADNIH VODA</t>
  </si>
  <si>
    <t>45259200-9</t>
  </si>
  <si>
    <t>14.06.2018.</t>
  </si>
  <si>
    <t>NAJAM STROJA ZA USITNJAVANJE DRVENASTOG BIO-OTPADA I MJEŠANOG DRVENOG OTPADA</t>
  </si>
  <si>
    <t>26.07.2018.</t>
  </si>
  <si>
    <t>15.06.2018.</t>
  </si>
  <si>
    <t>ZAMJENA STAKLENE STIJENE NA OSNOVNOJ ŠKOLI IVER, SREDNJOJ ŠKOLI I BAZENU NOVI JELKOVEC</t>
  </si>
  <si>
    <t>45441000-0</t>
  </si>
  <si>
    <t>ČIŠĆENJE PIEZOMETARA NA ODLAGALIŠTU OTPADA PRUDINEC/JAKUŠEVEC</t>
  </si>
  <si>
    <t>15.08.2018.</t>
  </si>
  <si>
    <t>13.05.2018.</t>
  </si>
  <si>
    <t>ORGANIZACIJA DOGAĐAJA "GOSPODARENJE OTPADOM U GRADU ZAGREBU"</t>
  </si>
  <si>
    <t>79952100-3</t>
  </si>
  <si>
    <t>06.07.2018.</t>
  </si>
  <si>
    <t>12.12.2018.</t>
  </si>
  <si>
    <t>09.07.2018.</t>
  </si>
  <si>
    <t>09.08.2018.</t>
  </si>
  <si>
    <t>18.07.2018.</t>
  </si>
  <si>
    <t>ODRŽAVANJE DEPOZITORIJA, RASHLADNIH SISTEMA I UREĐAJA</t>
  </si>
  <si>
    <t>POPRAVAK KOSILICE MARKE AEBI TT 270</t>
  </si>
  <si>
    <t>ZAKUP MEDIJSKOG PROSTORA PUTEM SPECIJALA</t>
  </si>
  <si>
    <t>24.07.2018.</t>
  </si>
  <si>
    <t>02.08.2018.</t>
  </si>
  <si>
    <t>11.01.2019.</t>
  </si>
  <si>
    <t>REZERVNI DIJELOVI I POPRAVAK KOMUNALNE OPREME PROIZVOĐAČA RASCO</t>
  </si>
  <si>
    <t>13.08.2018.</t>
  </si>
  <si>
    <t>22.08.2018.</t>
  </si>
  <si>
    <t>12.09.2018.</t>
  </si>
  <si>
    <t>25.08.2018.</t>
  </si>
  <si>
    <t>27.08.2018.</t>
  </si>
  <si>
    <t>30.08.2018.</t>
  </si>
  <si>
    <t>10.12.2019.</t>
  </si>
  <si>
    <t>ZAMJENA VATROOTPORNE KALJENE IZO STAKLENE STIJENE SA SITOTISKOM NA ULAZU BAZENA SVETICE</t>
  </si>
  <si>
    <t>IMPREGNIRANI I NEIMPREGNIRANI KOLCI ZA KOLANJE DRVEĆA</t>
  </si>
  <si>
    <t>21.09.2018.</t>
  </si>
  <si>
    <t>27.09.2018.</t>
  </si>
  <si>
    <t>02.10.2018.</t>
  </si>
  <si>
    <t>OBAVLJANJE POSLOVA ZAŠTITE NA RADU I ZAŠTITE OD POŽARA</t>
  </si>
  <si>
    <t>IZRADA TROŠKOVNIKA ZA GRAĐENJE, ODRŽAVANJE I UPRAVLJANJE PODSUSTAVIMA ODLAGALIŠTA OTPADA JAKUŠEVEC</t>
  </si>
  <si>
    <t>REZERVNI DIJELOVI I SERVIS ZA STROJ BACHUS</t>
  </si>
  <si>
    <t>28.03.2019.</t>
  </si>
  <si>
    <t>VISOKOUČINKOVITA ULJA I MAZIVA</t>
  </si>
  <si>
    <t>PROFESIONALNA UGOSTITELJSKA OPREMA I APARATI</t>
  </si>
  <si>
    <t>39310000-8</t>
  </si>
  <si>
    <t>ODRŽAVANJE PROTUPOŽARNIH APARATA ZA POTREBE PODRUŽNICA UPRAVLJANJE PROJEKTIMA, ZAGREBAČKE CESTE, ZAGREBPARKING, ZGOS I ZRINJEVAC</t>
  </si>
  <si>
    <t>50413200-5</t>
  </si>
  <si>
    <t>10.10.2018.</t>
  </si>
  <si>
    <t>19.01.2019.</t>
  </si>
  <si>
    <t>12.10.2018.</t>
  </si>
  <si>
    <t>ODRŽAVANJE PROTUPOŽARNIH APARATA ZA POTREBE PODRUŽNICA AUTOBUSNI KOLODVOR, ČISTOĆA, DIGITALNI GRAD, GRADSKA GROBLJA, ROBNI TERMINALI ZAGREB, UPRAVLJANJE NEKRETNINAMA I VLADIMIR NAZOR</t>
  </si>
  <si>
    <t>18.10.2018.</t>
  </si>
  <si>
    <t>28.12.2018.</t>
  </si>
  <si>
    <t>REZERVNI DIJELOVI I POPRAVAK VIBRONABIJAČA OSTALIH PROIZVOĐAČA</t>
  </si>
  <si>
    <t>24.10.2018.</t>
  </si>
  <si>
    <t>25.10.2018.</t>
  </si>
  <si>
    <t>IZRADA STUDIJE IZVODLJIVOSTI S ANALIZOM TROŠKOVA I KORISTI ZA PROJEKT "GRAD MLADIH"</t>
  </si>
  <si>
    <t>71241000-9</t>
  </si>
  <si>
    <t>04.11.2018.</t>
  </si>
  <si>
    <t>KEMIJSKA ANALIZA SUPSTRATA ZA POTREBE KOMPOSTANA</t>
  </si>
  <si>
    <t>05.02.2019.</t>
  </si>
  <si>
    <t>01.12.2019.</t>
  </si>
  <si>
    <t>07.11.2018.</t>
  </si>
  <si>
    <t>UKRASI ZA DEKORACIJU</t>
  </si>
  <si>
    <t>19.11.2018.</t>
  </si>
  <si>
    <t>05.12.2018.</t>
  </si>
  <si>
    <t>12.04.2019.</t>
  </si>
  <si>
    <t>IZGRADNJA DTK I RAČUNALNE MREŽE U KAMPU VELI JOŽE NA LOKACIJI SAVUDRIJA</t>
  </si>
  <si>
    <t>30.03.2019.</t>
  </si>
  <si>
    <t>STRUČNI NADZOR NAD IZGRADNJOM VANJSKE OGRADE NA LOKACIJI GRAD MLADIH</t>
  </si>
  <si>
    <t>10.12.2018.</t>
  </si>
  <si>
    <t>REKONSTRUKCIJA BENZINSKIH POSTAJA NA LOKACIJI MIROGOJ I MIROŠEVAC</t>
  </si>
  <si>
    <t>45223720-9</t>
  </si>
  <si>
    <t>15.12.2018.</t>
  </si>
  <si>
    <t>SERVIS I ODRŽAVANJE PROTUPANIK SISTEMA I PROTUPROVALNIH ALARMNIH SUSTAVA</t>
  </si>
  <si>
    <t>07.12.2018.</t>
  </si>
  <si>
    <t>24.01.2019.</t>
  </si>
  <si>
    <t>STRUČNI NADZOR NAD IZGRADNJOM NOVIH KAMP PARCELA U KAMPU VELI JOŽE NA LOKACIJI SAVUDRIJA</t>
  </si>
  <si>
    <t>24.12.2018.</t>
  </si>
  <si>
    <t>NADZOR NAD MONTAŽOM MODULARNIH KUĆICA NA TRŽNICI DUBEC</t>
  </si>
  <si>
    <t>31.08.2019.</t>
  </si>
  <si>
    <t>14.03.2019.</t>
  </si>
  <si>
    <t>SUZBIJANJE MIRISA U KONTEJNERIMA ZA OTPAD NA PODRUČJU GRADA ZAGREBA - Pilot projekt</t>
  </si>
  <si>
    <t>90721000-7</t>
  </si>
  <si>
    <t>19.04.2019.</t>
  </si>
  <si>
    <t>IZGRADNJA SVJETLOVODNE DISTRIBUCIJSKE MREŽE</t>
  </si>
  <si>
    <t>03.01.2019.</t>
  </si>
  <si>
    <t>DEMONTAŽA I MONTAŽA GRAĐEVINSKIH STROJEVA</t>
  </si>
  <si>
    <t>51541000-6</t>
  </si>
  <si>
    <t>08.05.2019.</t>
  </si>
  <si>
    <t>IZRADA IDEJNIH I IZVEDBENIH RJEŠENJA SLIKOVNIH I TEKSTUALNIH MATERIJALA ZA KATALOGE</t>
  </si>
  <si>
    <t>17.01.2019.</t>
  </si>
  <si>
    <t>04.03.2019.</t>
  </si>
  <si>
    <t>KNJIGE ZA KNJIŽNICE U DOMOVIMA ZA STARIJE OSOBE</t>
  </si>
  <si>
    <t>22113000-5</t>
  </si>
  <si>
    <t>UMJETNIČKO I REPRODUKTIVNO IZVOĐENJE ZA MANIFESTACIJU MEĐUNARODNA VRTNA IZLOŽBA FLORAART</t>
  </si>
  <si>
    <t>92310000-7</t>
  </si>
  <si>
    <t>15.05.2019.</t>
  </si>
  <si>
    <t>23.05.2019.</t>
  </si>
  <si>
    <t>14.02.2019.</t>
  </si>
  <si>
    <t>21.05.2019.</t>
  </si>
  <si>
    <t>17.04.2020.</t>
  </si>
  <si>
    <t>ZAKUP MEDIJSKOG PROSTORA ZA REALIZACIJU PROJEKTA DIGITALNA HRVATSKA</t>
  </si>
  <si>
    <t>ODRŽAVANJE PROTUPOŽARNIH APARATA ZA POTREBE PODRUŽNICA AUTOBUSNI KOLODVOR, ČISTOĆA, GRADSKA GROBLJA I ROBNI TERMINALI ZAGREB</t>
  </si>
  <si>
    <t>27.11.2019.</t>
  </si>
  <si>
    <t>ODRŽAVANJE PROTUPOŽARNIH APARATA ZA POTREBE PODRUŽNICA DIGITALNI GRAD, TRŽNICE, UPRAVLJANJE NEKRETNINAMA, UPRAVLJANJE PROJEKTIMA, VLADIMIR NAZOR, ZAGREBAČKE CESTE, ZAGREBPARKING, ZGOS I ZRINJEVAC</t>
  </si>
  <si>
    <t>ODRŽAVANJE I NADOGRADNJA PROGRAMSKE I STROJNE OPREME INFORMACIJSKIH SUSTAVA FORTRESS I ANURPP</t>
  </si>
  <si>
    <t>IZGRADNJA SVJETLOVODNE MREŽE U KAMPU VELI JOŽE NA LOKACIJI SAVUDRIJA</t>
  </si>
  <si>
    <t>11.06.2019.</t>
  </si>
  <si>
    <t>12.06.2019.</t>
  </si>
  <si>
    <t>IMPLEMENTACIJA I CERTIFICIRANJE JG TUŠKANAC SUKLADNO PARKSMART STANDARDU</t>
  </si>
  <si>
    <t>26.11.2020.</t>
  </si>
  <si>
    <t>REZERVNI DIJELOVI I POPRAVAK TRAKTORA RAZNIH PROIZVOĐAČA</t>
  </si>
  <si>
    <t>NAJAM ČISTILICE</t>
  </si>
  <si>
    <t>34144430-1</t>
  </si>
  <si>
    <t>25.09.2019.</t>
  </si>
  <si>
    <t>POVREMENI PRIJEVOZ PUTNIKA U UNUTARNJEM CESTOVNOM PROMETU NA RELACIJI ZAGREB-VELI LOŠINJ-ZAGREB</t>
  </si>
  <si>
    <t>12.09.2019.</t>
  </si>
  <si>
    <t>POVREMENI PRIJEVOZ PUTNIKA U UNUTARNJEM CESTOVNOM PROMETU NA RELACIJAMA ZAGREB-CRIKVENICA-ZAGREB I ZAGREB-SKRADIN-ZAGREB</t>
  </si>
  <si>
    <t>01.01.2019.</t>
  </si>
  <si>
    <t>04.07.2019.</t>
  </si>
  <si>
    <t>POVREMENI PRIJEVOZ PUTNIKA OSNOVNIH ŠKOLA GRADA ZAGREBA I ZAGREBAČKE ŽUPANIJE ZA GRAD MLADIH</t>
  </si>
  <si>
    <t>04.07.2020.</t>
  </si>
  <si>
    <t>SANACIJA HORIZONTALNE KANALIZACIJE POSLOVNE JEDINICE ŽITNJAK</t>
  </si>
  <si>
    <t>09.07.2019.</t>
  </si>
  <si>
    <t>IMPREGNIRANI I NEIMPREGNIRANI KOLCI ZA KOLJENJE DRVEĆA</t>
  </si>
  <si>
    <t>28.05.2020.</t>
  </si>
  <si>
    <t>POVREMENI PRIJEVOZ PUTNIKA U UNUTARNJEM CESTOVNOM PROMETU</t>
  </si>
  <si>
    <t>STRUČNI NADZOR NAD RADOVIMA ODRŽAVANJA OBJEKATA JAVNE NAMJENE</t>
  </si>
  <si>
    <t>11.07.2021.</t>
  </si>
  <si>
    <t>NAJAM FOTOKOPIRNIH STROJEVA ZA POTREBE PODRUŽNICA TRŽNICE ZAGREB, UPRAVLJANJE NEKRETNINAMA, UPRAVLJANJE PROJEKTIMA, DIREKCIJA I VLADIMIR NAZOR</t>
  </si>
  <si>
    <t>30121100-4</t>
  </si>
  <si>
    <t>POPRAVAK I PROVJERA ISPRAVNOSTI STABILNOG SUSTAVA ZA DOJAVU POŽARA</t>
  </si>
  <si>
    <t>NAJAM SPECIJALNOG STROJA ZA POTREBE UTOVARA DRVETA I GLOMAZNOG OTPADA</t>
  </si>
  <si>
    <t>PODRŠKA U UPRAVLJANJU I NADZORU PROVOĐENJA PROJEKTA e-PLATFORMA</t>
  </si>
  <si>
    <t>02.04.2020.</t>
  </si>
  <si>
    <t>11.02.2020.</t>
  </si>
  <si>
    <t>19.07.2019.</t>
  </si>
  <si>
    <t>NAJAM FOTOKOPIRNIH STROJEVA ZA POTREBE PODRUŽNICA ZAGREBAČKE CESTE, ZAGREBPARKING, ZGOS I ZRINJEVAC</t>
  </si>
  <si>
    <t>GRAĐEVINSKO-OBRTNIČKI RADOVI NA ZAVRŠNOJ OBRADI KULIROM PARAPETNOG ZIDIĆA NA LOKACIJI PARK BARTOLA KAŠIĆA</t>
  </si>
  <si>
    <t>NAJAM FOTOKOPIRNIH STROJEVA ZA POTREBE PODRUŽNICA ARENA ZAGREB, AUTOBUSNI KOLODVOR, ČISTOĆA, ZAGREBAČKI DIGITALNI GRAD, GRADSKA GROBLJA I ROBNI TERMINALI ZAGREB</t>
  </si>
  <si>
    <t>02.10.2019.</t>
  </si>
  <si>
    <t>12.01.2020.</t>
  </si>
  <si>
    <t>01.08.2019.</t>
  </si>
  <si>
    <t>08.08.2020.</t>
  </si>
  <si>
    <t>02.08.2019.</t>
  </si>
  <si>
    <t>13.08.2019.</t>
  </si>
  <si>
    <t>09.08.2019.</t>
  </si>
  <si>
    <t>14.08.2019.</t>
  </si>
  <si>
    <t>USLUGA VUČNE SLUŽBE</t>
  </si>
  <si>
    <t>50118000-5</t>
  </si>
  <si>
    <t>04.09.2019.</t>
  </si>
  <si>
    <t>PROŠIRENJE SIGURNOSNOG SUSTAVA S IZVEDBOM U POSLOVNOM OBJEKTU ULICA GRADA VUKOVARA 41</t>
  </si>
  <si>
    <t>POTROŠNI MATERIJAL ZA MOTORNA VOZILA</t>
  </si>
  <si>
    <t>26.09.2019.</t>
  </si>
  <si>
    <t>27.09.2019.</t>
  </si>
  <si>
    <t>24.10.2019.</t>
  </si>
  <si>
    <t>28.10.2019.</t>
  </si>
  <si>
    <t>25.06.2019.</t>
  </si>
  <si>
    <t>04.10.2019.</t>
  </si>
  <si>
    <t>04.10.2020.</t>
  </si>
  <si>
    <t>03.12.2020.</t>
  </si>
  <si>
    <t>10.10.2019.</t>
  </si>
  <si>
    <t>18.10.2019.</t>
  </si>
  <si>
    <t>STROPNI VENTILOKONVEKTORI ZA GRIJANJE/HLAĐENJE PROSTORIJA</t>
  </si>
  <si>
    <t>KONTROLA RADA I ODRŽAVANJE INTERVENTNOG CRPNOG SUSTAVA ODLAGALIŠTA OTPADA PODRUŽNICE ZGOS</t>
  </si>
  <si>
    <t>16.10.2019.</t>
  </si>
  <si>
    <t>REKONSTRUKCIJA SUSTAVA GRIJANJA ANEXA H-12 POSLOVNE JEDINICE ŽITNJAK</t>
  </si>
  <si>
    <t>25.10.2019.</t>
  </si>
  <si>
    <t>DEFIBRILATORI S UGRADNJOM</t>
  </si>
  <si>
    <t>33182100-0</t>
  </si>
  <si>
    <t>DENDRO BILJE ZA SPOMENIK DOMOVINI</t>
  </si>
  <si>
    <t>17.01.2020.</t>
  </si>
  <si>
    <t>KOORDINACIJA I TEHNIČKA PODRŠKA PRILIKOM ČIŠĆENJA PIEZOMETARA NA ODLAGALIŠTU OTPADA PRUDINEC/JAKUŠEVEC</t>
  </si>
  <si>
    <t>15.11.2019.</t>
  </si>
  <si>
    <t>PROTUPOŽARNA VRATA S UGRADNJOM</t>
  </si>
  <si>
    <t>SREDNJENAPONSKI SKLOPNI BLOK ZA TS SLJEME S UGRADNJOM</t>
  </si>
  <si>
    <t>18.11.2019.</t>
  </si>
  <si>
    <t>IZGRADNJA NADSTREŠNICE NA SJEVERNOM ULAZU HALE 8 POSLOVNE JEDINICE ŽITNJAK</t>
  </si>
  <si>
    <t>IZRADA PROJEKTNE I TEHNIČKE DOKUMENTACIJE SANACIJE HOTELA TOMISLAVOV DOM</t>
  </si>
  <si>
    <t>IZRADA PROJEKTNE I TEHNIČKE DOKUMENTACIJE SANACIJE APARTMANSKE KUĆE SNJEŽNA KRALJICA</t>
  </si>
  <si>
    <t>ODRŽAVANJE I POPRAVAK PROTUPOŽARNIH VRATA</t>
  </si>
  <si>
    <t>26.02.2020.</t>
  </si>
  <si>
    <t>DOPUNA PROJEKTNE DOKUMENTACIJE ZA IZGRADNJU POSLOVNOG OBJEKTA H-12 NA LOKACIJI PJ JANKOMIR</t>
  </si>
  <si>
    <t>BLAGAJNIČKA OPREMA ZA HOLDING CENTAR ZAGREBAČKOG HOLDINGA d.o.o.</t>
  </si>
  <si>
    <t>04.05.2020.</t>
  </si>
  <si>
    <t>04.02.2020.</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</si>
  <si>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</si>
  <si>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</si>
  <si>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</si>
  <si>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03.04.2020.</t>
  </si>
  <si>
    <t>PROMIDŽBA KAMPANJE ZA ODGOVORNO POSTUPANJE S OTPADOM</t>
  </si>
  <si>
    <t>08.02.2020.</t>
  </si>
  <si>
    <t>IZRADA IDEJNIH I IZVEDBENIH RJEŠENJA PREZENTACIJSKIH MATERIJALA ZA INVESTITORE</t>
  </si>
  <si>
    <t>08.01.2020.</t>
  </si>
  <si>
    <t>VOZILA PUTEM RENT-A-CAR-a</t>
  </si>
  <si>
    <t>05.03.2020.</t>
  </si>
  <si>
    <t>JEDNOKRATNA AMBALAŽA I PRIBOR ZA HRANU ZA USLUGU CATERINGA (Covid-19)</t>
  </si>
  <si>
    <t>11.03.2020.</t>
  </si>
  <si>
    <t>JEDNOKRATNA POSTELJINA (Covid-19)</t>
  </si>
  <si>
    <t>USLUGA ZBRINJAVANJA OTPADA KB 18 01 03* (OTPAD ČIJE JE SAKUPLJANJE I ODLAGANJE PODVRGNUTO SPECIJALNIM ZAHTJEVIMA RADI PREVENCIJE INFEKCIJE) (Covid-19)</t>
  </si>
  <si>
    <t>JEDNOKRATNA ODJEĆA I OBUĆA ZA PODRUŽNICU VLADIMIR NAZOR (Covid-19)</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</si>
  <si>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</si>
  <si>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</si>
  <si>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12.05.2020.</t>
  </si>
  <si>
    <t>17.08.2020.</t>
  </si>
  <si>
    <t>ANTIBAKTERIJSKA SREDSTVA (COVID-19)</t>
  </si>
  <si>
    <t>33741300-9</t>
  </si>
  <si>
    <t>SREDSTVA ZA DEZINFEKCIJU RADNIH POVRŠINA (COVID-19)</t>
  </si>
  <si>
    <t>39820000-6</t>
  </si>
  <si>
    <t>JEDNOKRATNE ZAŠTITNE RUKAVICE (COVID-19)</t>
  </si>
  <si>
    <t>18424300-0</t>
  </si>
  <si>
    <t>VIŠEKRATNE ZAŠTITNE MASKE (COVID-19)</t>
  </si>
  <si>
    <t>JEDNOKRATNE ZAŠTITNE MASKE (COVID-19)</t>
  </si>
  <si>
    <t>PROIZVODI ZA ZAŠTITU DIŠNIH PUTEVA (COVID-19)</t>
  </si>
  <si>
    <t>ZAKUP MEDIJSKOG PROSTORA NA PORTALU "jutarnji.hr"</t>
  </si>
  <si>
    <t>28.04.2020.</t>
  </si>
  <si>
    <t>21.04.2020.</t>
  </si>
  <si>
    <t>UREĐENJE HOLDING CENTRA TRŽNICA DUBEC</t>
  </si>
  <si>
    <t>GRAĐEVINSKI MATERIJALI ZA SANACIJU ŠTETA UZROKOVANIH POTRESOM</t>
  </si>
  <si>
    <t>PREUZIMANJE I DALJNJA OBRADA OTPADA KB 20 01 27* (BOJE, TINTE, LJEPILA I SMOLE, KOJE SADRŽE OPASNE TVARI)</t>
  </si>
  <si>
    <t>IZVANREDNA DEZINFEKCIJA UREDSKIH PROSTORA (COVID-19)</t>
  </si>
  <si>
    <t>SREDSTVA ZA HIGIJENSKO ČIŠĆENJE KOŽE (COVID-19)</t>
  </si>
  <si>
    <t>11.05.2020.</t>
  </si>
  <si>
    <t>21.05.2020.</t>
  </si>
  <si>
    <t>22.12.2020.</t>
  </si>
  <si>
    <t>18.05.2020.</t>
  </si>
  <si>
    <t>26.05.2020.</t>
  </si>
  <si>
    <t>SANACIJA PRISTUPNOG STUBIŠTA KREMATORIJA</t>
  </si>
  <si>
    <t>02.06.2020.</t>
  </si>
  <si>
    <t>IZGRADNJA ELEKTRONIČKE KOMUNIKACIJSKE INFRASTRUKTURE ZA SPOMENIK DOMOVINI</t>
  </si>
  <si>
    <t>REZERVNI DIJELOVI I SERVIS KAROSERIJE I OSTALIH DIJELOVA ZA VOZILA MARKE IVECO</t>
  </si>
  <si>
    <t>REZERVNI DIJELOVI  I POPRAVAK ZA VOZILA MULTICAR</t>
  </si>
  <si>
    <t>LINOLEUM</t>
  </si>
  <si>
    <t>44112230-9</t>
  </si>
  <si>
    <t>25.06.2020.</t>
  </si>
  <si>
    <t>18.06.2020.</t>
  </si>
  <si>
    <t>DEFEKTAŽA I POPRAVAK SPECIJALNIH VOZILA - PAUK</t>
  </si>
  <si>
    <t>03.07.2020.</t>
  </si>
  <si>
    <t>07.08.2020.</t>
  </si>
  <si>
    <t>REZERVNI DIJELOVI I SERVIS MOTORNOG I RASHLADNOG SUSTAVA ZA VOZILA MARKE MERCEDES</t>
  </si>
  <si>
    <t>PROJEKTANTSKI NADZOR NAD IZGRADNJOM DOMA ZA STARIJE OSOBE MARKUŠEVEC</t>
  </si>
  <si>
    <t>REZERVNI DIJELOVI I POPRAVAK TRAKTORA</t>
  </si>
  <si>
    <t>24.07.2020.</t>
  </si>
  <si>
    <t>REZERVNI DIJELOVI I SERVIS MOTORNOG I RASHLADNOG SUSTAVA ZA SPECIJALNA KOMUNALNA VOZILA</t>
  </si>
  <si>
    <t>06.08.2020.</t>
  </si>
  <si>
    <t>REZERVNI DIJELOVI I SERVIS UPRAVLJAČKOG I KOČNOG SUSTAVA ZA SPECIJALNA KOMUNALNA VOZILA</t>
  </si>
  <si>
    <t>11.08.2020.</t>
  </si>
  <si>
    <t>REZERVNI DIJELOVI I SERVIS KAROSERIJE I OSTALIH DIJELOVA ZA VOZILA MARKE MERCEDES</t>
  </si>
  <si>
    <t>21.08.2020.</t>
  </si>
  <si>
    <t>REKONSTRUKCIJA PLINSKIH INSTALACIJA U HALI 30 POSLOVNE JEDINICE SLOBODNA ZONA ZAGREB</t>
  </si>
  <si>
    <t>ZAKUP MEDIJSKOG PROSTORA U DNEVNIM NOVINAMA "DIE PRESSE"</t>
  </si>
  <si>
    <t>ZAKUP MEDIJSKOG PROSTORA U DNEVNIM NOVINAMA "KLEINE ZEITUNG"</t>
  </si>
  <si>
    <t>SUSTAV EVIDENCIJE RADNOG VREMENA</t>
  </si>
  <si>
    <t>35125200-8</t>
  </si>
  <si>
    <t>REZERVNI DIJELOVI I SERVIS UPRAVLJAČKOG I KOČNOG SUSTAVA ZA VOZILA MARKE MERCEDES</t>
  </si>
  <si>
    <t>28.09.2020.</t>
  </si>
  <si>
    <t>23.09.2020.</t>
  </si>
  <si>
    <t>SANACIJA VANJSKE TERASE ZGRADE ZAGREB U HOSTELU ZLATOKRILA NA LOKACIJI VELI LOŠINJ</t>
  </si>
  <si>
    <t>01.11.2021.</t>
  </si>
  <si>
    <t>POSTAVLJANJE ELASTIČNIH PROMETNIH STUPIĆA ZA SPRJEČAVANJE PROLAZA VOZILA</t>
  </si>
  <si>
    <t>45233291-5</t>
  </si>
  <si>
    <t>31.10.2021.</t>
  </si>
  <si>
    <t>SPECIJALNI ALATI</t>
  </si>
  <si>
    <t>07.10.2020.</t>
  </si>
  <si>
    <t>NAJAM OSOBNIH VOZILA ZA PODRUŽNICE AUTOBUSNI KOLODVOR, ČISTOĆA I TRŽNICE ZAGREB</t>
  </si>
  <si>
    <t>PROMOCIJA APLIKACIJE ZGPARK</t>
  </si>
  <si>
    <t>REZERVNI DIJELOVI I SERVIS MOTORNOG I RASHLADNOG SUSTAVA ZA VOZILA MARKE IVECO</t>
  </si>
  <si>
    <t>NAJAM SERVISNIH VOZILA</t>
  </si>
  <si>
    <t>28.10.2020.</t>
  </si>
  <si>
    <t>SAVJETODAVNE USLUGE ZA POTREBE PRIPREME PROJEKATA FINANCIRANIH IZ ESI FONDOVA</t>
  </si>
  <si>
    <t>09.11.2020.</t>
  </si>
  <si>
    <t>NAJAM OSOBNIH VOZILA ZA PODRUŽNICE GRADSKA GROBLJA, ZAGREBAČKI DIGITALNI GRAD, UPRAVLJANJE PROJEKTIMA, ZAGREBPARKING I ZRINJEVAC</t>
  </si>
  <si>
    <t>ZAKUP MEDIJSKOG PROSTORA NA PORTALU SEEbiz</t>
  </si>
  <si>
    <t>NAJAM DOSTAVNIH VOZILA</t>
  </si>
  <si>
    <t>04.12.2021.</t>
  </si>
  <si>
    <t>SERVIS OPREME U KOMUNIKACIJSKOM ČVORIŠTU PODBREŽJE</t>
  </si>
  <si>
    <t>NADOGRADNJA PROGRAMSKOG SUSTAVA CENTRIX</t>
  </si>
  <si>
    <t>USKLAĐIVANJE, REVIZIJA I IMPLEMENTACIJA POSTOJEĆE DOKUMENTACIJE SUSTAVA UPRAVLJANJA KVALITETOM I OKOLIŠEM</t>
  </si>
  <si>
    <t>AŽURIRANJE I UPRAVLJANJE MATIČNIM PODACIMA</t>
  </si>
  <si>
    <t>IZRADA IDEJNOG PROJEKTA REKONSTRUKCIJE OBJEKATA I INFRASTRUKTURNE MREŽE TE UREĐENJA OBORINSKE ODVODNJE NA LOKACIJI GRAD MLADIH</t>
  </si>
  <si>
    <t>01.01.2016.</t>
  </si>
  <si>
    <t>PAPIRNE POTREPŠTINE ZA HIGIJENSKE POTREBE PODRUŽNICA AUTOBUSNI KOLODVOR, ROBNI TERMINALI ZAGREB, UPRAVLJANJE PROJEKTIMA, VLADIMIR NAZOR, ZAGREBAČKI VELESAJAM, ZET I ZGOS</t>
  </si>
  <si>
    <t>28.07.2016.</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</si>
  <si>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</si>
  <si>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</si>
  <si>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</si>
  <si>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</si>
  <si>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POTREPŠTINE ZA PRANJE I ČIŠĆENJE PODRUŽNICA TRŽNICE ZAGREB I VLADIMIR NAZOR</t>
  </si>
  <si>
    <t>10.10.2016.</t>
  </si>
  <si>
    <t>NAJAM RJEŠENJA INFORMACIJSKE PLATFORME POZIVNOG CENTRA ZAGREBAČKOG HOLDINGA d.o.o.</t>
  </si>
  <si>
    <t>21.07.2016.</t>
  </si>
  <si>
    <t>01.12.2016.</t>
  </si>
  <si>
    <t>17.01.2017.</t>
  </si>
  <si>
    <t>MJERENJE RAZINE PODZEMNIH VODA NA PIEZOMETRIMA</t>
  </si>
  <si>
    <t>90733700-1</t>
  </si>
  <si>
    <t>IDEJNA I IZVEDBENA RJEŠENJA LETAKA, PLAKATA I KATALOGA S IZRADOM</t>
  </si>
  <si>
    <t>02.03.2017.</t>
  </si>
  <si>
    <t>REZERVNI DIJELOVI I POPRAVAK VOZILA MARKE FORD</t>
  </si>
  <si>
    <t>15.03.2017.</t>
  </si>
  <si>
    <t>POPRAVAK TERETNIH VOZILA MARKE RENAULT U JAMSTVENOM ROKU</t>
  </si>
  <si>
    <t>NAJAM DOSTAVNIH VOZILA ZA PODRUŽNICE ZAGREBAČKE CESTE, ZAGREBPARKING I ROBNE TERMINALE</t>
  </si>
  <si>
    <t>30.09.2018.</t>
  </si>
  <si>
    <t>Zaokruživanje na decimale</t>
  </si>
  <si>
    <t>Zaokruživanje na decimale.</t>
  </si>
  <si>
    <t>Povećane količine zbog opsega posla.</t>
  </si>
  <si>
    <t>Zaokruživanje decimala.</t>
  </si>
  <si>
    <t>Dodatni sati rada</t>
  </si>
  <si>
    <t xml:space="preserve"> Povećanje količine zbog opsega posla.</t>
  </si>
  <si>
    <t>Povećanje količine zbog opsega posla. Odstupanje količina pri vaganju.</t>
  </si>
  <si>
    <t>Povećane količine zbog opsega posla, odnosno završetka radova.</t>
  </si>
  <si>
    <t>Jedinične cijene i ukupna cijena na narudžbenicama izraženi u eurima, a povezani iznos upisan u protuvrijednosti u kunama.</t>
  </si>
  <si>
    <t>u izvršenju</t>
  </si>
  <si>
    <t>01.08.2020.</t>
  </si>
  <si>
    <t>2022-143</t>
  </si>
  <si>
    <t>GRAĐEVINSKI MATERIJAL; GRUPA 2-  REPARATURNI I SPECIJALNI MORTOVI I MASE ZA FUGIRANJE</t>
  </si>
  <si>
    <t>GRAĐEVINSKI MATERIJAL; GRUPA 1-  GRAĐEVINSKI MATERIJAL</t>
  </si>
  <si>
    <t>Dinamički sustav nabave</t>
  </si>
  <si>
    <t>2022/S OF2-0029606</t>
  </si>
  <si>
    <t>0,00</t>
  </si>
  <si>
    <t>14.694,32</t>
  </si>
  <si>
    <t>54.588,75</t>
  </si>
  <si>
    <t>431.350,00</t>
  </si>
  <si>
    <t>9.623,78</t>
  </si>
  <si>
    <t>144.458,28</t>
  </si>
  <si>
    <t>1.242.355,03</t>
  </si>
  <si>
    <t>259.365,63</t>
  </si>
  <si>
    <t>63.511,99</t>
  </si>
  <si>
    <t>273.000,00</t>
  </si>
  <si>
    <t>276.353,92</t>
  </si>
  <si>
    <t>1.753.670,58</t>
  </si>
  <si>
    <t>365.925,00</t>
  </si>
  <si>
    <t>181.750,00</t>
  </si>
  <si>
    <t>994.925,04</t>
  </si>
  <si>
    <t>16.787.908,80</t>
  </si>
  <si>
    <t>216.676,25</t>
  </si>
  <si>
    <t>33.333,75</t>
  </si>
  <si>
    <t>1.158.202,63</t>
  </si>
  <si>
    <t>123.575,00</t>
  </si>
  <si>
    <t>440.646,25</t>
  </si>
  <si>
    <t>44.673,75</t>
  </si>
  <si>
    <t>1.103.086,40</t>
  </si>
  <si>
    <t>451.381,25</t>
  </si>
  <si>
    <t>232.278,26</t>
  </si>
  <si>
    <t>3.900,00</t>
  </si>
  <si>
    <t>2.656,25</t>
  </si>
  <si>
    <t>2.250,00</t>
  </si>
  <si>
    <t>90.937,50</t>
  </si>
  <si>
    <t>10.753,13</t>
  </si>
  <si>
    <t>315.537,50</t>
  </si>
  <si>
    <t>1.487,50</t>
  </si>
  <si>
    <t>15.775,00</t>
  </si>
  <si>
    <t>8.287,50</t>
  </si>
  <si>
    <t>4.425,00</t>
  </si>
  <si>
    <t>62.173,75</t>
  </si>
  <si>
    <t>168.447,50</t>
  </si>
  <si>
    <t>1.474.146,25</t>
  </si>
  <si>
    <t>783.403,75</t>
  </si>
  <si>
    <t>974.057,50</t>
  </si>
  <si>
    <t>1.297.062,50</t>
  </si>
  <si>
    <t>1.974.591,25</t>
  </si>
  <si>
    <t>619.600,00</t>
  </si>
  <si>
    <t>203.675,00</t>
  </si>
  <si>
    <t>24.950,00</t>
  </si>
  <si>
    <t>130.520,21</t>
  </si>
  <si>
    <t>6.687,50</t>
  </si>
  <si>
    <t>14.588.349,02</t>
  </si>
  <si>
    <t>24.816,47</t>
  </si>
  <si>
    <t>1.460.455,80</t>
  </si>
  <si>
    <t>5.552.333,38</t>
  </si>
  <si>
    <t>97.548,07</t>
  </si>
  <si>
    <t>10.650,00</t>
  </si>
  <si>
    <t>253.125,00</t>
  </si>
  <si>
    <t>101.095,92</t>
  </si>
  <si>
    <t>166.258,02</t>
  </si>
  <si>
    <t>104.233,74</t>
  </si>
  <si>
    <t>187.601,89</t>
  </si>
  <si>
    <t>88.209,50</t>
  </si>
  <si>
    <t>86.950,00</t>
  </si>
  <si>
    <t>565.096,69</t>
  </si>
  <si>
    <t>645.655,60</t>
  </si>
  <si>
    <t>32.817,45</t>
  </si>
  <si>
    <t>9.775,00</t>
  </si>
  <si>
    <t>83.326,25</t>
  </si>
  <si>
    <t>7.212,50</t>
  </si>
  <si>
    <t>17.293,75</t>
  </si>
  <si>
    <t>6.212,50</t>
  </si>
  <si>
    <t>1.062,50</t>
  </si>
  <si>
    <t>9.612,50</t>
  </si>
  <si>
    <t>118.137,50</t>
  </si>
  <si>
    <t>418.440,00</t>
  </si>
  <si>
    <t>18.685,00</t>
  </si>
  <si>
    <t>25.412,50</t>
  </si>
  <si>
    <t>14.617,50</t>
  </si>
  <si>
    <t>65.940,00</t>
  </si>
  <si>
    <t>234.692,50</t>
  </si>
  <si>
    <t>4.298,44</t>
  </si>
  <si>
    <t>4.172,75</t>
  </si>
  <si>
    <t>10.919,50</t>
  </si>
  <si>
    <t>38.705,00</t>
  </si>
  <si>
    <t>173.875,00</t>
  </si>
  <si>
    <t>14.528,13</t>
  </si>
  <si>
    <t>31.000,00</t>
  </si>
  <si>
    <t>1.793.958,42</t>
  </si>
  <si>
    <t>146.866,00</t>
  </si>
  <si>
    <t>1.574.647,89</t>
  </si>
  <si>
    <t>129.697,50</t>
  </si>
  <si>
    <t>2.219.311,23</t>
  </si>
  <si>
    <t>175.366,13</t>
  </si>
  <si>
    <t>159.932,50</t>
  </si>
  <si>
    <t>11.700,00</t>
  </si>
  <si>
    <t>2.170.125,42</t>
  </si>
  <si>
    <t>179.476,74</t>
  </si>
  <si>
    <t>1.505.103,74</t>
  </si>
  <si>
    <t>139.689,20</t>
  </si>
  <si>
    <t>208.296,75</t>
  </si>
  <si>
    <t>1.516.257,88</t>
  </si>
  <si>
    <t>1.187.428,22</t>
  </si>
  <si>
    <t>92.362,05</t>
  </si>
  <si>
    <t>2.397.843,07</t>
  </si>
  <si>
    <t>166.025,00</t>
  </si>
  <si>
    <t>89.806,25</t>
  </si>
  <si>
    <t>4.320.116,71</t>
  </si>
  <si>
    <t>1.883.504,83</t>
  </si>
  <si>
    <t>157.602,57</t>
  </si>
  <si>
    <t>131.024,88</t>
  </si>
  <si>
    <t>11.940,00</t>
  </si>
  <si>
    <t>1.710.143,47</t>
  </si>
  <si>
    <t>114.091,63</t>
  </si>
  <si>
    <t>2.849.903,73</t>
  </si>
  <si>
    <t>130.120,00</t>
  </si>
  <si>
    <t>1.326.447,00</t>
  </si>
  <si>
    <t>116.800,00</t>
  </si>
  <si>
    <t>774.983,94</t>
  </si>
  <si>
    <t>67.460,00</t>
  </si>
  <si>
    <t>4.500,00</t>
  </si>
  <si>
    <t>14.850,00</t>
  </si>
  <si>
    <t>6.062,50</t>
  </si>
  <si>
    <t>5.150,00</t>
  </si>
  <si>
    <t>6.831,25</t>
  </si>
  <si>
    <t>2.712,50</t>
  </si>
  <si>
    <t>10.812,50</t>
  </si>
  <si>
    <t>856,25</t>
  </si>
  <si>
    <t>900,00</t>
  </si>
  <si>
    <t>2.187,50</t>
  </si>
  <si>
    <t>601.150,00</t>
  </si>
  <si>
    <t>30.000,00</t>
  </si>
  <si>
    <t>12.915,00</t>
  </si>
  <si>
    <t>31.216,25</t>
  </si>
  <si>
    <t>34.983,23</t>
  </si>
  <si>
    <t>31.231,25</t>
  </si>
  <si>
    <t>21.721,25</t>
  </si>
  <si>
    <t>19.781,25</t>
  </si>
  <si>
    <t>8.972,44</t>
  </si>
  <si>
    <t>10.813,75</t>
  </si>
  <si>
    <t>21.420,00</t>
  </si>
  <si>
    <t>20.157,50</t>
  </si>
  <si>
    <t>3.717,15</t>
  </si>
  <si>
    <t>28.793,88</t>
  </si>
  <si>
    <t>11.458,50</t>
  </si>
  <si>
    <t>8.391,88</t>
  </si>
  <si>
    <t>3.136,25</t>
  </si>
  <si>
    <t>36.565,63</t>
  </si>
  <si>
    <t>2.964,69</t>
  </si>
  <si>
    <t>34.887,25</t>
  </si>
  <si>
    <t>12.610,25</t>
  </si>
  <si>
    <t>29.525,63</t>
  </si>
  <si>
    <t>41.426,88</t>
  </si>
  <si>
    <t>69.187,50</t>
  </si>
  <si>
    <t>41.750,00</t>
  </si>
  <si>
    <t>2.688.959,27</t>
  </si>
  <si>
    <t>1.067.244,45</t>
  </si>
  <si>
    <t>1.247.098,36</t>
  </si>
  <si>
    <t>6.185.120,44</t>
  </si>
  <si>
    <t>593.995,34</t>
  </si>
  <si>
    <t>22.979,68</t>
  </si>
  <si>
    <t>283.200,00</t>
  </si>
  <si>
    <t>1.375.000,00</t>
  </si>
  <si>
    <t>513.588,00</t>
  </si>
  <si>
    <t>64.683,80</t>
  </si>
  <si>
    <t>47.512,50</t>
  </si>
  <si>
    <t>566.300,00</t>
  </si>
  <si>
    <t>480.266,00</t>
  </si>
  <si>
    <t>18.468,75</t>
  </si>
  <si>
    <t>5.487,50</t>
  </si>
  <si>
    <t>4.917,50</t>
  </si>
  <si>
    <t>3.000,00</t>
  </si>
  <si>
    <t>5.460,00</t>
  </si>
  <si>
    <t>30.196,25</t>
  </si>
  <si>
    <t>6.131,25</t>
  </si>
  <si>
    <t>3.022,50</t>
  </si>
  <si>
    <t>2.035,00</t>
  </si>
  <si>
    <t>8.190,00</t>
  </si>
  <si>
    <t>23.718,75</t>
  </si>
  <si>
    <t>500,00</t>
  </si>
  <si>
    <t>250.000,00</t>
  </si>
  <si>
    <t>52.875,00</t>
  </si>
  <si>
    <t>7.842,50</t>
  </si>
  <si>
    <t>9.082,75</t>
  </si>
  <si>
    <t>1.475,00</t>
  </si>
  <si>
    <t>151.875,00</t>
  </si>
  <si>
    <t>1.369.960,14</t>
  </si>
  <si>
    <t>56.125,16</t>
  </si>
  <si>
    <t>1.324.025,39</t>
  </si>
  <si>
    <t>1.640.187,50</t>
  </si>
  <si>
    <t>128.153,18</t>
  </si>
  <si>
    <t>795.401,88</t>
  </si>
  <si>
    <t>1.967.417,13</t>
  </si>
  <si>
    <t>5.905,13</t>
  </si>
  <si>
    <t>3.918,75</t>
  </si>
  <si>
    <t>9.000,00</t>
  </si>
  <si>
    <t>7.500,00</t>
  </si>
  <si>
    <t>450,00</t>
  </si>
  <si>
    <t>1.466.223,88</t>
  </si>
  <si>
    <t>79.595,38</t>
  </si>
  <si>
    <t>101.837,66</t>
  </si>
  <si>
    <t>1.356.250,00</t>
  </si>
  <si>
    <t>122.062,50</t>
  </si>
  <si>
    <t>91.487,50</t>
  </si>
  <si>
    <t>53.850,00</t>
  </si>
  <si>
    <t>739.924,39</t>
  </si>
  <si>
    <t>8.383,13</t>
  </si>
  <si>
    <t>4.487,50</t>
  </si>
  <si>
    <t>56.250,00</t>
  </si>
  <si>
    <t>628.641,76</t>
  </si>
  <si>
    <t>42.834,88</t>
  </si>
  <si>
    <t>177.513,01</t>
  </si>
  <si>
    <t>164.471,98</t>
  </si>
  <si>
    <t>80.416,25</t>
  </si>
  <si>
    <t>895.038,70</t>
  </si>
  <si>
    <t>949.031,98</t>
  </si>
  <si>
    <t>137.061,59</t>
  </si>
  <si>
    <t>122.206,48</t>
  </si>
  <si>
    <t>97.443,93</t>
  </si>
  <si>
    <t>51.485,50</t>
  </si>
  <si>
    <t>63.120,00</t>
  </si>
  <si>
    <t>2.962.439,51</t>
  </si>
  <si>
    <t>47.250,00</t>
  </si>
  <si>
    <t>4.675,25</t>
  </si>
  <si>
    <t>998.405,00</t>
  </si>
  <si>
    <t>2.962,50</t>
  </si>
  <si>
    <t>95.570,88</t>
  </si>
  <si>
    <t>5.838,70</t>
  </si>
  <si>
    <t>247.562,50</t>
  </si>
  <si>
    <t>2.262.342,31</t>
  </si>
  <si>
    <t>399.502,87</t>
  </si>
  <si>
    <t>252.157,00</t>
  </si>
  <si>
    <t>696.020,00</t>
  </si>
  <si>
    <t>288.210,00</t>
  </si>
  <si>
    <t>87.920,00</t>
  </si>
  <si>
    <t>81.100,00</t>
  </si>
  <si>
    <t>1.105.712,50</t>
  </si>
  <si>
    <t>1.001.625,00</t>
  </si>
  <si>
    <t>87.030,00</t>
  </si>
  <si>
    <t>555.840,00</t>
  </si>
  <si>
    <t>169.210,00</t>
  </si>
  <si>
    <t>42.850,00</t>
  </si>
  <si>
    <t>192.230,79</t>
  </si>
  <si>
    <t>63.565,39</t>
  </si>
  <si>
    <t>3.683,84</t>
  </si>
  <si>
    <t>1.800,00</t>
  </si>
  <si>
    <t>4.337,50</t>
  </si>
  <si>
    <t>46.875,00</t>
  </si>
  <si>
    <t>106.950,00</t>
  </si>
  <si>
    <t>76.296,57</t>
  </si>
  <si>
    <t>150.730,37</t>
  </si>
  <si>
    <t>74.462,44</t>
  </si>
  <si>
    <t>3.908,75</t>
  </si>
  <si>
    <t>65.165,63</t>
  </si>
  <si>
    <t>7.750,00</t>
  </si>
  <si>
    <t>52.890,00</t>
  </si>
  <si>
    <t>1.175.146,24</t>
  </si>
  <si>
    <t>67.500,00</t>
  </si>
  <si>
    <t>2.547.007,88</t>
  </si>
  <si>
    <t>4.157.617,03</t>
  </si>
  <si>
    <t>2.851.711,03</t>
  </si>
  <si>
    <t>193.660,00</t>
  </si>
  <si>
    <t>3.944.297,85</t>
  </si>
  <si>
    <t>6.762.386,94</t>
  </si>
  <si>
    <t>346.999,49</t>
  </si>
  <si>
    <t>449.520,00</t>
  </si>
  <si>
    <t>1.380.898,40</t>
  </si>
  <si>
    <t>3.258.202,17</t>
  </si>
  <si>
    <t>3.112.850,77</t>
  </si>
  <si>
    <t>29.593,75</t>
  </si>
  <si>
    <t>154.715,90</t>
  </si>
  <si>
    <t>10.000,00</t>
  </si>
  <si>
    <t>2.925,00</t>
  </si>
  <si>
    <t>4.663,13</t>
  </si>
  <si>
    <t>12.635,00</t>
  </si>
  <si>
    <t>22.077,74</t>
  </si>
  <si>
    <t>2.137,50</t>
  </si>
  <si>
    <t>240,00</t>
  </si>
  <si>
    <t>4.737,50</t>
  </si>
  <si>
    <t>12.172,50</t>
  </si>
  <si>
    <t>962,50</t>
  </si>
  <si>
    <t>3.501,25</t>
  </si>
  <si>
    <t>41.432,76</t>
  </si>
  <si>
    <t>21.897,50</t>
  </si>
  <si>
    <t>16.884,25</t>
  </si>
  <si>
    <t>826.066,62</t>
  </si>
  <si>
    <t>29.183,09</t>
  </si>
  <si>
    <t>214,22</t>
  </si>
  <si>
    <t>14,18</t>
  </si>
  <si>
    <t>1.216.039,20</t>
  </si>
  <si>
    <t>18.750,00</t>
  </si>
  <si>
    <t>33.750,00</t>
  </si>
  <si>
    <t>15.000,00</t>
  </si>
  <si>
    <t>226.249,50</t>
  </si>
  <si>
    <t>24.691,25</t>
  </si>
  <si>
    <t>3.997.826,89</t>
  </si>
  <si>
    <t>15.443.291,25</t>
  </si>
  <si>
    <t>562.500,00</t>
  </si>
  <si>
    <t>187.500,00</t>
  </si>
  <si>
    <t>87.413,20</t>
  </si>
  <si>
    <t>169.143,66</t>
  </si>
  <si>
    <t>753.500,00</t>
  </si>
  <si>
    <t>326.400,00</t>
  </si>
  <si>
    <t>39.300,00</t>
  </si>
  <si>
    <t>94.158,75</t>
  </si>
  <si>
    <t>38.382,20</t>
  </si>
  <si>
    <t>133.857,50</t>
  </si>
  <si>
    <t>40.041,25</t>
  </si>
  <si>
    <t>2.711,88</t>
  </si>
  <si>
    <t>29.267,97</t>
  </si>
  <si>
    <t>1.931,25</t>
  </si>
  <si>
    <t>6.212,88</t>
  </si>
  <si>
    <t>1.732,50</t>
  </si>
  <si>
    <t>2.842,82</t>
  </si>
  <si>
    <t>18.388,25</t>
  </si>
  <si>
    <t>3.826,50</t>
  </si>
  <si>
    <t>7.200,00</t>
  </si>
  <si>
    <t>891.900,70</t>
  </si>
  <si>
    <t>255.843,00</t>
  </si>
  <si>
    <t>864.545,18</t>
  </si>
  <si>
    <t>1.222.509,58</t>
  </si>
  <si>
    <t>826.787,13</t>
  </si>
  <si>
    <t>65.955,63</t>
  </si>
  <si>
    <t>2.537,50</t>
  </si>
  <si>
    <t>1.186,05</t>
  </si>
  <si>
    <t>3.608,75</t>
  </si>
  <si>
    <t>19.307,65</t>
  </si>
  <si>
    <t>4.688,63</t>
  </si>
  <si>
    <t>6.370,00</t>
  </si>
  <si>
    <t>25.098,75</t>
  </si>
  <si>
    <t>16.005,00</t>
  </si>
  <si>
    <t>2.405,00</t>
  </si>
  <si>
    <t>971,50</t>
  </si>
  <si>
    <t>1.726,25</t>
  </si>
  <si>
    <t>690,00</t>
  </si>
  <si>
    <t>7.455,00</t>
  </si>
  <si>
    <t>89.595,68</t>
  </si>
  <si>
    <t>7.713,88</t>
  </si>
  <si>
    <t>7.448,75</t>
  </si>
  <si>
    <t>18.418,49</t>
  </si>
  <si>
    <t>4.512,50</t>
  </si>
  <si>
    <t>22.519,75</t>
  </si>
  <si>
    <t>2.572,50</t>
  </si>
  <si>
    <t>10.965,88</t>
  </si>
  <si>
    <t>40.675,00</t>
  </si>
  <si>
    <t>18.406,25</t>
  </si>
  <si>
    <t>1.907,50</t>
  </si>
  <si>
    <t>5.949,50</t>
  </si>
  <si>
    <t>3.251,00</t>
  </si>
  <si>
    <t>125.833,69</t>
  </si>
  <si>
    <t>1.725,00</t>
  </si>
  <si>
    <t>2.383,63</t>
  </si>
  <si>
    <t>8.837,75</t>
  </si>
  <si>
    <t>37.306,88</t>
  </si>
  <si>
    <t>6.342,88</t>
  </si>
  <si>
    <t>46.255,55</t>
  </si>
  <si>
    <t>2.497,50</t>
  </si>
  <si>
    <t>6.024,50</t>
  </si>
  <si>
    <t>60.270,53</t>
  </si>
  <si>
    <t>58.764,75</t>
  </si>
  <si>
    <t>5.026,25</t>
  </si>
  <si>
    <t>4.025,00</t>
  </si>
  <si>
    <t>13.730,00</t>
  </si>
  <si>
    <t>13.267,50</t>
  </si>
  <si>
    <t>11.771,25</t>
  </si>
  <si>
    <t>6.893,25</t>
  </si>
  <si>
    <t>18.429,13</t>
  </si>
  <si>
    <t>34.218,53</t>
  </si>
  <si>
    <t>85.807,08</t>
  </si>
  <si>
    <t>15.525,91</t>
  </si>
  <si>
    <t>6.730,74</t>
  </si>
  <si>
    <t>4.946,99</t>
  </si>
  <si>
    <t>943,75</t>
  </si>
  <si>
    <t>3.837,80</t>
  </si>
  <si>
    <t>10.038,25</t>
  </si>
  <si>
    <t>3.069,50</t>
  </si>
  <si>
    <t>21.235,00</t>
  </si>
  <si>
    <t>13.052,25</t>
  </si>
  <si>
    <t>9.490,00</t>
  </si>
  <si>
    <t>5.842,50</t>
  </si>
  <si>
    <t>295,00</t>
  </si>
  <si>
    <t>174.375,40</t>
  </si>
  <si>
    <t>16.356,98</t>
  </si>
  <si>
    <t>14.750,00</t>
  </si>
  <si>
    <t>137.500,00</t>
  </si>
  <si>
    <t>32.123,75</t>
  </si>
  <si>
    <t>759.681,25</t>
  </si>
  <si>
    <t>85.200,00</t>
  </si>
  <si>
    <t>250.711,88</t>
  </si>
  <si>
    <t>816.776,88</t>
  </si>
  <si>
    <t>892.100,00</t>
  </si>
  <si>
    <t>24.975,00</t>
  </si>
  <si>
    <t>6.352,50</t>
  </si>
  <si>
    <t>11.175,00</t>
  </si>
  <si>
    <t>55.912,50</t>
  </si>
  <si>
    <t>66.881,88</t>
  </si>
  <si>
    <t>356.738,78</t>
  </si>
  <si>
    <t>1.456,88</t>
  </si>
  <si>
    <t>30.468,75</t>
  </si>
  <si>
    <t>33.754,63</t>
  </si>
  <si>
    <t>1.710,00</t>
  </si>
  <si>
    <t>2.793.490,11</t>
  </si>
  <si>
    <t>9.216.012,14</t>
  </si>
  <si>
    <t>770.928,08</t>
  </si>
  <si>
    <t>624.373,75</t>
  </si>
  <si>
    <t>35.385,35</t>
  </si>
  <si>
    <t>411.715,80</t>
  </si>
  <si>
    <t>5.623.948,74</t>
  </si>
  <si>
    <t>110.293,55</t>
  </si>
  <si>
    <t>39.889,85</t>
  </si>
  <si>
    <t>387.586,75</t>
  </si>
  <si>
    <t>457.477,49</t>
  </si>
  <si>
    <t>540.376,96</t>
  </si>
  <si>
    <t>274.441,21</t>
  </si>
  <si>
    <t>42.758,36</t>
  </si>
  <si>
    <t>65.260,58</t>
  </si>
  <si>
    <t>17.708,85</t>
  </si>
  <si>
    <t>49.151,13</t>
  </si>
  <si>
    <t>29.766,59</t>
  </si>
  <si>
    <t>4.871,74</t>
  </si>
  <si>
    <t>9.527,33</t>
  </si>
  <si>
    <t>7.793,48</t>
  </si>
  <si>
    <t>1.909,88</t>
  </si>
  <si>
    <t>17.265,23</t>
  </si>
  <si>
    <t>1.289,23</t>
  </si>
  <si>
    <t>313,53</t>
  </si>
  <si>
    <t>4.748,50</t>
  </si>
  <si>
    <t>153,10</t>
  </si>
  <si>
    <t>362,13</t>
  </si>
  <si>
    <t>727,73</t>
  </si>
  <si>
    <t>5.922,88</t>
  </si>
  <si>
    <t>201,15</t>
  </si>
  <si>
    <t>410,53</t>
  </si>
  <si>
    <t>2.680,06</t>
  </si>
  <si>
    <t>402,36</t>
  </si>
  <si>
    <t>8.809,24</t>
  </si>
  <si>
    <t>203,10</t>
  </si>
  <si>
    <t>316,13</t>
  </si>
  <si>
    <t>556,00</t>
  </si>
  <si>
    <t>6.041,25</t>
  </si>
  <si>
    <t>19.567,24</t>
  </si>
  <si>
    <t>8.814,94</t>
  </si>
  <si>
    <t>81.282,80</t>
  </si>
  <si>
    <t>55.950,20</t>
  </si>
  <si>
    <t>42.500,00</t>
  </si>
  <si>
    <t>452.595,00</t>
  </si>
  <si>
    <t>154.450,00</t>
  </si>
  <si>
    <t>12.021.082,27</t>
  </si>
  <si>
    <t>9.749.280,74</t>
  </si>
  <si>
    <t>232.875,00</t>
  </si>
  <si>
    <t>7.326.527,00</t>
  </si>
  <si>
    <t>11.055.455,48</t>
  </si>
  <si>
    <t>793.838,92</t>
  </si>
  <si>
    <t>644.170,12</t>
  </si>
  <si>
    <t>667.077,59</t>
  </si>
  <si>
    <t>292.762,73</t>
  </si>
  <si>
    <t>6.711,90</t>
  </si>
  <si>
    <t>766.521,12</t>
  </si>
  <si>
    <t>2.173.419,22</t>
  </si>
  <si>
    <t>52.160,00</t>
  </si>
  <si>
    <t>2.288.044,37</t>
  </si>
  <si>
    <t>73.070,40</t>
  </si>
  <si>
    <t>15.177,84</t>
  </si>
  <si>
    <t>784.730,10</t>
  </si>
  <si>
    <t>232.682,66</t>
  </si>
  <si>
    <t>469.221,09</t>
  </si>
  <si>
    <t>2.234.400,00</t>
  </si>
  <si>
    <t>86.478,75</t>
  </si>
  <si>
    <t>375.207,08</t>
  </si>
  <si>
    <t>13.092.857,23</t>
  </si>
  <si>
    <t>263.682,26</t>
  </si>
  <si>
    <t>1.419.651,09</t>
  </si>
  <si>
    <t>1.140.001,11</t>
  </si>
  <si>
    <t>9.648.577,30</t>
  </si>
  <si>
    <t>1.629.208,65</t>
  </si>
  <si>
    <t>974.127,61</t>
  </si>
  <si>
    <t>178.850,00</t>
  </si>
  <si>
    <t>720.033,87</t>
  </si>
  <si>
    <t>74.803,62</t>
  </si>
  <si>
    <t>123.243,75</t>
  </si>
  <si>
    <t>1.107.206,25</t>
  </si>
  <si>
    <t>324.224,12</t>
  </si>
  <si>
    <t>652,30</t>
  </si>
  <si>
    <t>377,60</t>
  </si>
  <si>
    <t>174,80</t>
  </si>
  <si>
    <t>43.376,16</t>
  </si>
  <si>
    <t>19.927,89</t>
  </si>
  <si>
    <t>4.975,00</t>
  </si>
  <si>
    <t>1.323.890,00</t>
  </si>
  <si>
    <t>849.719,38</t>
  </si>
  <si>
    <t>1.000.002,83</t>
  </si>
  <si>
    <t>561.579,69</t>
  </si>
  <si>
    <t>338.491,25</t>
  </si>
  <si>
    <t>191.265,01</t>
  </si>
  <si>
    <t>417.890,00</t>
  </si>
  <si>
    <t>456.157,50</t>
  </si>
  <si>
    <t>315.923,21</t>
  </si>
  <si>
    <t>54.129,18</t>
  </si>
  <si>
    <t>61.114,02</t>
  </si>
  <si>
    <t>455.797,20</t>
  </si>
  <si>
    <t>246.766,45</t>
  </si>
  <si>
    <t>374.981,99</t>
  </si>
  <si>
    <t>209.177,02</t>
  </si>
  <si>
    <t>914.596,69</t>
  </si>
  <si>
    <t>412.026,11</t>
  </si>
  <si>
    <t>9.555,33</t>
  </si>
  <si>
    <t>15.236,46</t>
  </si>
  <si>
    <t>31.526,03</t>
  </si>
  <si>
    <t>23.979,78</t>
  </si>
  <si>
    <t>46.382,74</t>
  </si>
  <si>
    <t>17.590,69</t>
  </si>
  <si>
    <t>3.958,60</t>
  </si>
  <si>
    <t>8.610,89</t>
  </si>
  <si>
    <t>2.457,35</t>
  </si>
  <si>
    <t>3.931,53</t>
  </si>
  <si>
    <t>12.027,93</t>
  </si>
  <si>
    <t>2.931,80</t>
  </si>
  <si>
    <t>2.283,50</t>
  </si>
  <si>
    <t>14.234,04</t>
  </si>
  <si>
    <t>4.983,88</t>
  </si>
  <si>
    <t>2.844,30</t>
  </si>
  <si>
    <t>26.417,45</t>
  </si>
  <si>
    <t>254.326,47</t>
  </si>
  <si>
    <t>5.068,09</t>
  </si>
  <si>
    <t>216,13</t>
  </si>
  <si>
    <t>1.488,95</t>
  </si>
  <si>
    <t>36.599,98</t>
  </si>
  <si>
    <t>897,25</t>
  </si>
  <si>
    <t>5.222,60</t>
  </si>
  <si>
    <t>827,71</t>
  </si>
  <si>
    <t>7.350,86</t>
  </si>
  <si>
    <t>2.776,29</t>
  </si>
  <si>
    <t>170,43</t>
  </si>
  <si>
    <t>804,76</t>
  </si>
  <si>
    <t>10.696,00</t>
  </si>
  <si>
    <t>2.732,88</t>
  </si>
  <si>
    <t>10.189,73</t>
  </si>
  <si>
    <t>342,96</t>
  </si>
  <si>
    <t>892,31</t>
  </si>
  <si>
    <t>1.402,86</t>
  </si>
  <si>
    <t>1.723,09</t>
  </si>
  <si>
    <t>28.470,56</t>
  </si>
  <si>
    <t>6.909,81</t>
  </si>
  <si>
    <t>12.294,56</t>
  </si>
  <si>
    <t>15.787,33</t>
  </si>
  <si>
    <t>10.245,99</t>
  </si>
  <si>
    <t>15.410,01</t>
  </si>
  <si>
    <t>11.203,60</t>
  </si>
  <si>
    <t>13.348,78</t>
  </si>
  <si>
    <t>26.976,81</t>
  </si>
  <si>
    <t>14.064,44</t>
  </si>
  <si>
    <t>6.846,50</t>
  </si>
  <si>
    <t>29.819,87</t>
  </si>
  <si>
    <t>7.115,48</t>
  </si>
  <si>
    <t>3.614,26</t>
  </si>
  <si>
    <t>5.297,14</t>
  </si>
  <si>
    <t>15.658,80</t>
  </si>
  <si>
    <t>12.062,46</t>
  </si>
  <si>
    <t>17.579,95</t>
  </si>
  <si>
    <t>11.005,33</t>
  </si>
  <si>
    <t>3.993,74</t>
  </si>
  <si>
    <t>1.204,73</t>
  </si>
  <si>
    <t>18.002,29</t>
  </si>
  <si>
    <t>3.465,49</t>
  </si>
  <si>
    <t>3.009,96</t>
  </si>
  <si>
    <t>4.089,95</t>
  </si>
  <si>
    <t>6.708,28</t>
  </si>
  <si>
    <t>1.525,04</t>
  </si>
  <si>
    <t>10.087,55</t>
  </si>
  <si>
    <t>8.426,93</t>
  </si>
  <si>
    <t>6.622,85</t>
  </si>
  <si>
    <t>50.304,93</t>
  </si>
  <si>
    <t>3.613,44</t>
  </si>
  <si>
    <t>3.076,66</t>
  </si>
  <si>
    <t>9.867,63</t>
  </si>
  <si>
    <t>9.732,15</t>
  </si>
  <si>
    <t>8.226,25</t>
  </si>
  <si>
    <t>7.375,66</t>
  </si>
  <si>
    <t>19.737,80</t>
  </si>
  <si>
    <t>19.651,40</t>
  </si>
  <si>
    <t>13.778,15</t>
  </si>
  <si>
    <t>29.971,94</t>
  </si>
  <si>
    <t>11.739,48</t>
  </si>
  <si>
    <t>3.777,70</t>
  </si>
  <si>
    <t>5.293,71</t>
  </si>
  <si>
    <t>6.094,23</t>
  </si>
  <si>
    <t>1.910,45</t>
  </si>
  <si>
    <t>13.495,79</t>
  </si>
  <si>
    <t>1.116,76</t>
  </si>
  <si>
    <t>10.396,06</t>
  </si>
  <si>
    <t>3.747,14</t>
  </si>
  <si>
    <t>26.731,60</t>
  </si>
  <si>
    <t>844,80</t>
  </si>
  <si>
    <t>7.155,33</t>
  </si>
  <si>
    <t>1.456,74</t>
  </si>
  <si>
    <t>24.267,59</t>
  </si>
  <si>
    <t>11.350,64</t>
  </si>
  <si>
    <t>14.395,19</t>
  </si>
  <si>
    <t>25.627,51</t>
  </si>
  <si>
    <t>4.630,99</t>
  </si>
  <si>
    <t>4.494,11</t>
  </si>
  <si>
    <t>20.598,50</t>
  </si>
  <si>
    <t>6.806,79</t>
  </si>
  <si>
    <t>23.506,99</t>
  </si>
  <si>
    <t>12.122,49</t>
  </si>
  <si>
    <t>768,15</t>
  </si>
  <si>
    <t>1.300,00</t>
  </si>
  <si>
    <t>3.522,50</t>
  </si>
  <si>
    <t>4.538,51</t>
  </si>
  <si>
    <t>6.851,26</t>
  </si>
  <si>
    <t>24.454,66</t>
  </si>
  <si>
    <t>16.765,22</t>
  </si>
  <si>
    <t>28.134,41</t>
  </si>
  <si>
    <t>66.464,81</t>
  </si>
  <si>
    <t>44.689,42</t>
  </si>
  <si>
    <t>31.611,25</t>
  </si>
  <si>
    <t>12.587,00</t>
  </si>
  <si>
    <t>14.368,75</t>
  </si>
  <si>
    <t>128.099,47</t>
  </si>
  <si>
    <t>93.008,83</t>
  </si>
  <si>
    <t>26.318,38</t>
  </si>
  <si>
    <t>5.774,38</t>
  </si>
  <si>
    <t>6.133,75</t>
  </si>
  <si>
    <t>1.150,00</t>
  </si>
  <si>
    <t>21.526,88</t>
  </si>
  <si>
    <t>3.409,63</t>
  </si>
  <si>
    <t>5.753,75</t>
  </si>
  <si>
    <t>2.132,50</t>
  </si>
  <si>
    <t>3.131,25</t>
  </si>
  <si>
    <t>11.993,18</t>
  </si>
  <si>
    <t>2.069,38</t>
  </si>
  <si>
    <t>27.216,13</t>
  </si>
  <si>
    <t>14.581,88</t>
  </si>
  <si>
    <t>40.877,00</t>
  </si>
  <si>
    <t>13.544,45</t>
  </si>
  <si>
    <t>3.659,00</t>
  </si>
  <si>
    <t>14.548,89</t>
  </si>
  <si>
    <t>5.237,50</t>
  </si>
  <si>
    <t>2.479,88</t>
  </si>
  <si>
    <t>7.733,75</t>
  </si>
  <si>
    <t>7.081,88</t>
  </si>
  <si>
    <t>20.929,51</t>
  </si>
  <si>
    <t>2.700,00</t>
  </si>
  <si>
    <t>157.218,75</t>
  </si>
  <si>
    <t>31.500,00</t>
  </si>
  <si>
    <t>574.725,00</t>
  </si>
  <si>
    <t>469.442,50</t>
  </si>
  <si>
    <t>11.975,00</t>
  </si>
  <si>
    <t>10.700,00</t>
  </si>
  <si>
    <t>3.593,75</t>
  </si>
  <si>
    <t>5.800,00</t>
  </si>
  <si>
    <t>8.325,00</t>
  </si>
  <si>
    <t>9.550,00</t>
  </si>
  <si>
    <t>7.825,00</t>
  </si>
  <si>
    <t>3.975,00</t>
  </si>
  <si>
    <t>11.987,50</t>
  </si>
  <si>
    <t>6.525,00</t>
  </si>
  <si>
    <t>7.775,00</t>
  </si>
  <si>
    <t>3.600,00</t>
  </si>
  <si>
    <t>5.700,00</t>
  </si>
  <si>
    <t>2.950,00</t>
  </si>
  <si>
    <t>41.250,00</t>
  </si>
  <si>
    <t>412.500,00</t>
  </si>
  <si>
    <t>5.662,83</t>
  </si>
  <si>
    <t>179.141,70</t>
  </si>
  <si>
    <t>203.612,32</t>
  </si>
  <si>
    <t>24.676,84</t>
  </si>
  <si>
    <t>22.737,22</t>
  </si>
  <si>
    <t>7.180,05</t>
  </si>
  <si>
    <t>526,34</t>
  </si>
  <si>
    <t>55.402,36</t>
  </si>
  <si>
    <t>74.904,85</t>
  </si>
  <si>
    <t>17.187,50</t>
  </si>
  <si>
    <t>188.000,00</t>
  </si>
  <si>
    <t>38.500,00</t>
  </si>
  <si>
    <t>64.570,43</t>
  </si>
  <si>
    <t>214.419,06</t>
  </si>
  <si>
    <t>201.660,55</t>
  </si>
  <si>
    <t>389.183,03</t>
  </si>
  <si>
    <t>113.425,50</t>
  </si>
  <si>
    <t>39.730,11</t>
  </si>
  <si>
    <t>38.456,91</t>
  </si>
  <si>
    <t>7.357,79</t>
  </si>
  <si>
    <t>16.835,81</t>
  </si>
  <si>
    <t>96.541,50</t>
  </si>
  <si>
    <t>27.150,34</t>
  </si>
  <si>
    <t>27.454,65</t>
  </si>
  <si>
    <t>12.065,60</t>
  </si>
  <si>
    <t>5.645,85</t>
  </si>
  <si>
    <t>23.361,37</t>
  </si>
  <si>
    <t>26.428,54</t>
  </si>
  <si>
    <t>30.029,08</t>
  </si>
  <si>
    <t>18.879,73</t>
  </si>
  <si>
    <t>13.939,04</t>
  </si>
  <si>
    <t>10.864,28</t>
  </si>
  <si>
    <t>10.855,11</t>
  </si>
  <si>
    <t>10.111,30</t>
  </si>
  <si>
    <t>9.312,03</t>
  </si>
  <si>
    <t>8.055,31</t>
  </si>
  <si>
    <t>5.563,69</t>
  </si>
  <si>
    <t>9.258,10</t>
  </si>
  <si>
    <t>1.087,25</t>
  </si>
  <si>
    <t>6.125,00</t>
  </si>
  <si>
    <t>5.625,00</t>
  </si>
  <si>
    <t>15.500,00</t>
  </si>
  <si>
    <t>30.750,00</t>
  </si>
  <si>
    <t>61.500,00</t>
  </si>
  <si>
    <t>4.437,50</t>
  </si>
  <si>
    <t>3.937,50</t>
  </si>
  <si>
    <t>78.437,50</t>
  </si>
  <si>
    <t>2.375,00</t>
  </si>
  <si>
    <t>480,00</t>
  </si>
  <si>
    <t>37,38</t>
  </si>
  <si>
    <t>4.062,50</t>
  </si>
  <si>
    <t>4.768,75</t>
  </si>
  <si>
    <t>1.794,25</t>
  </si>
  <si>
    <t>9.490,33</t>
  </si>
  <si>
    <t>239.807,50</t>
  </si>
  <si>
    <t>9.598,37</t>
  </si>
  <si>
    <t>452.145,49</t>
  </si>
  <si>
    <t>107.150,73</t>
  </si>
  <si>
    <t>5.539,44</t>
  </si>
  <si>
    <t>34.231,21</t>
  </si>
  <si>
    <t>12.903,53</t>
  </si>
  <si>
    <t>1.758,00</t>
  </si>
  <si>
    <t>162.475,00</t>
  </si>
  <si>
    <t>691.633,75</t>
  </si>
  <si>
    <t>70.248,75</t>
  </si>
  <si>
    <t>66.042,50</t>
  </si>
  <si>
    <t>115.927,50</t>
  </si>
  <si>
    <t>86.250,00</t>
  </si>
  <si>
    <t>125.051,00</t>
  </si>
  <si>
    <t>35.285,88</t>
  </si>
  <si>
    <t>75.260,85</t>
  </si>
  <si>
    <t>40.671,75</t>
  </si>
  <si>
    <t>33.450,30</t>
  </si>
  <si>
    <t>360.920,00</t>
  </si>
  <si>
    <t>39.225,00</t>
  </si>
  <si>
    <t>60.236,25</t>
  </si>
  <si>
    <t>46.406,25</t>
  </si>
  <si>
    <t>515.238,75</t>
  </si>
  <si>
    <t>43.062,50</t>
  </si>
  <si>
    <t>18.187,50</t>
  </si>
  <si>
    <t>18.500,00</t>
  </si>
  <si>
    <t>3.375,00</t>
  </si>
  <si>
    <t>6.500,00</t>
  </si>
  <si>
    <t>7.000,00</t>
  </si>
  <si>
    <t>129.250,00</t>
  </si>
  <si>
    <t>15.300,00</t>
  </si>
  <si>
    <t>771.935,91</t>
  </si>
  <si>
    <t>183.286,95</t>
  </si>
  <si>
    <t>40.440,75</t>
  </si>
  <si>
    <t>10.641,22</t>
  </si>
  <si>
    <t>3.588,38</t>
  </si>
  <si>
    <t>3.618,75</t>
  </si>
  <si>
    <t>723,75</t>
  </si>
  <si>
    <t>18.037,50</t>
  </si>
  <si>
    <t>5.000,00</t>
  </si>
  <si>
    <t>81.000,00</t>
  </si>
  <si>
    <t>621.875,00</t>
  </si>
  <si>
    <t>330.750,00</t>
  </si>
  <si>
    <t>16.580,95</t>
  </si>
  <si>
    <t>79.694,99</t>
  </si>
  <si>
    <t>123.662,18</t>
  </si>
  <si>
    <t>54.364,26</t>
  </si>
  <si>
    <t>13.906,14</t>
  </si>
  <si>
    <t>750,00</t>
  </si>
  <si>
    <t>4.395,00</t>
  </si>
  <si>
    <t>1.875,00</t>
  </si>
  <si>
    <t>2.422,75</t>
  </si>
  <si>
    <t>9.125,00</t>
  </si>
  <si>
    <t>12.395,00</t>
  </si>
  <si>
    <t>6.666,88</t>
  </si>
  <si>
    <t>6.245,63</t>
  </si>
  <si>
    <t>1.500,00</t>
  </si>
  <si>
    <t>2.788,75</t>
  </si>
  <si>
    <t>5.437,50</t>
  </si>
  <si>
    <t>3.696,88</t>
  </si>
  <si>
    <t>15.316,45</t>
  </si>
  <si>
    <t>18.850,88</t>
  </si>
  <si>
    <t>21.327,00</t>
  </si>
  <si>
    <t>4.601,63</t>
  </si>
  <si>
    <t>13.125,00</t>
  </si>
  <si>
    <t>18.487,23</t>
  </si>
  <si>
    <t>925,00</t>
  </si>
  <si>
    <t>30.403,75</t>
  </si>
  <si>
    <t>3.189,10</t>
  </si>
  <si>
    <t>10.325,00</t>
  </si>
  <si>
    <t>20.843,18</t>
  </si>
  <si>
    <t>3.125,00</t>
  </si>
  <si>
    <t>8.856,25</t>
  </si>
  <si>
    <t>4.333,13</t>
  </si>
  <si>
    <t>11.162,50</t>
  </si>
  <si>
    <t>2.747,53</t>
  </si>
  <si>
    <t>3.181,25</t>
  </si>
  <si>
    <t>2.500,00</t>
  </si>
  <si>
    <t>11.323,13</t>
  </si>
  <si>
    <t>9.495,38</t>
  </si>
  <si>
    <t>2.075,00</t>
  </si>
  <si>
    <t>1.000,00</t>
  </si>
  <si>
    <t>6.130,00</t>
  </si>
  <si>
    <t>3.687,50</t>
  </si>
  <si>
    <t>21.340,00</t>
  </si>
  <si>
    <t>3.021,25</t>
  </si>
  <si>
    <t>2.000,00</t>
  </si>
  <si>
    <t>12.987,13</t>
  </si>
  <si>
    <t>4.900,00</t>
  </si>
  <si>
    <t>2.837,50</t>
  </si>
  <si>
    <t>3.983,75</t>
  </si>
  <si>
    <t>6.288,00</t>
  </si>
  <si>
    <t>11.184,11</t>
  </si>
  <si>
    <t>15.828,20</t>
  </si>
  <si>
    <t>5.482,50</t>
  </si>
  <si>
    <t>18.122,19</t>
  </si>
  <si>
    <t>6.812,50</t>
  </si>
  <si>
    <t>8.175,00</t>
  </si>
  <si>
    <t>9.180,00</t>
  </si>
  <si>
    <t>27.300,00</t>
  </si>
  <si>
    <t>17.772,50</t>
  </si>
  <si>
    <t>73.437,50</t>
  </si>
  <si>
    <t>12.556,25</t>
  </si>
  <si>
    <t>670.897,45</t>
  </si>
  <si>
    <t>12.585,71</t>
  </si>
  <si>
    <t>228.125,00</t>
  </si>
  <si>
    <t>345.125,00</t>
  </si>
  <si>
    <t>208.375,00</t>
  </si>
  <si>
    <t>191.250,00</t>
  </si>
  <si>
    <t>216.250,00</t>
  </si>
  <si>
    <t>505.477,81</t>
  </si>
  <si>
    <t>2.725,00</t>
  </si>
  <si>
    <t>99.925,85</t>
  </si>
  <si>
    <t>68.107,71</t>
  </si>
  <si>
    <t>943,56</t>
  </si>
  <si>
    <t>2.990,63</t>
  </si>
  <si>
    <t>599,03</t>
  </si>
  <si>
    <t>67.524,98</t>
  </si>
  <si>
    <t>54.306,92</t>
  </si>
  <si>
    <t>1.419.691,28</t>
  </si>
  <si>
    <t>50.672,72</t>
  </si>
  <si>
    <t>1.346.304,46</t>
  </si>
  <si>
    <t>1.372.069,29</t>
  </si>
  <si>
    <t>8.337,99</t>
  </si>
  <si>
    <t>423.792,24</t>
  </si>
  <si>
    <t>328.281,25</t>
  </si>
  <si>
    <t>91.477,25</t>
  </si>
  <si>
    <t>150.005,28</t>
  </si>
  <si>
    <t>104.483,50</t>
  </si>
  <si>
    <t>297.750,00</t>
  </si>
  <si>
    <t>173.687,50</t>
  </si>
  <si>
    <t>78.902,50</t>
  </si>
  <si>
    <t>6.850,00</t>
  </si>
  <si>
    <t>70.750,00</t>
  </si>
  <si>
    <t>27.531,53</t>
  </si>
  <si>
    <t>335.452,85</t>
  </si>
  <si>
    <t>107.637,50</t>
  </si>
  <si>
    <t>243.812,50</t>
  </si>
  <si>
    <t>3.837,50</t>
  </si>
  <si>
    <t>105.982,50</t>
  </si>
  <si>
    <t>25.000,00</t>
  </si>
  <si>
    <t>80.000,00</t>
  </si>
  <si>
    <t>14.000,00</t>
  </si>
  <si>
    <t>2.048.488,75</t>
  </si>
  <si>
    <t>364.250,00</t>
  </si>
  <si>
    <t>577.500,00</t>
  </si>
  <si>
    <t>39.775,00</t>
  </si>
  <si>
    <t>950,00</t>
  </si>
  <si>
    <t>1.700,00</t>
  </si>
  <si>
    <t>5.812,50</t>
  </si>
  <si>
    <t>12.975,00</t>
  </si>
  <si>
    <t>4.650,00</t>
  </si>
  <si>
    <t>9.662,50</t>
  </si>
  <si>
    <t>10.475,00</t>
  </si>
  <si>
    <t>4.112,50</t>
  </si>
  <si>
    <t>6.962,50</t>
  </si>
  <si>
    <t>12.375,00</t>
  </si>
  <si>
    <t>8.400,00</t>
  </si>
  <si>
    <t>8.650,00</t>
  </si>
  <si>
    <t>3.050,00</t>
  </si>
  <si>
    <t>54.235,81</t>
  </si>
  <si>
    <t>2.109.625,00</t>
  </si>
  <si>
    <t>602.750,00</t>
  </si>
  <si>
    <t>73.425,00</t>
  </si>
  <si>
    <t>297.825,00</t>
  </si>
  <si>
    <t>3.035,00</t>
  </si>
  <si>
    <t>45.412,50</t>
  </si>
  <si>
    <t>2.175,00</t>
  </si>
  <si>
    <t>5.750,00</t>
  </si>
  <si>
    <t>19.800,00</t>
  </si>
  <si>
    <t>2.625,00</t>
  </si>
  <si>
    <t>24.825,00</t>
  </si>
  <si>
    <t>61.387,50</t>
  </si>
  <si>
    <t>16.600,00</t>
  </si>
  <si>
    <t>1.400,00</t>
  </si>
  <si>
    <t>2.687,50</t>
  </si>
  <si>
    <t>10.950,00</t>
  </si>
  <si>
    <t>550,00</t>
  </si>
  <si>
    <t>650,00</t>
  </si>
  <si>
    <t>312,50</t>
  </si>
  <si>
    <t>1.100,00</t>
  </si>
  <si>
    <t>4.150,00</t>
  </si>
  <si>
    <t>10.725,00</t>
  </si>
  <si>
    <t>18.582,50</t>
  </si>
  <si>
    <t>1.600,00</t>
  </si>
  <si>
    <t>23.450,00</t>
  </si>
  <si>
    <t>20.225,00</t>
  </si>
  <si>
    <t>2.650,00</t>
  </si>
  <si>
    <t>14.700,00</t>
  </si>
  <si>
    <t>9.987,50</t>
  </si>
  <si>
    <t>14.450,00</t>
  </si>
  <si>
    <t>675,00</t>
  </si>
  <si>
    <t>305.000,00</t>
  </si>
  <si>
    <t>76.250,00</t>
  </si>
  <si>
    <t>61.875,00</t>
  </si>
  <si>
    <t>38.812,50</t>
  </si>
  <si>
    <t>1.750,00</t>
  </si>
  <si>
    <t>20.596,25</t>
  </si>
  <si>
    <t>12.093,75</t>
  </si>
  <si>
    <t>17.430,00</t>
  </si>
  <si>
    <t>48.847,50</t>
  </si>
  <si>
    <t>1.040.250,00</t>
  </si>
  <si>
    <t>448.500,00</t>
  </si>
  <si>
    <t>342.500,00</t>
  </si>
  <si>
    <t>100.000,00</t>
  </si>
  <si>
    <t>93.125,00</t>
  </si>
  <si>
    <t>65.625,00</t>
  </si>
  <si>
    <t>146.875,00</t>
  </si>
  <si>
    <t>86.562,50</t>
  </si>
  <si>
    <t>9.976.250,40</t>
  </si>
  <si>
    <t>118.608,33</t>
  </si>
  <si>
    <t>18.891,44</t>
  </si>
  <si>
    <t>37.784,48</t>
  </si>
  <si>
    <t>37.664,10</t>
  </si>
  <si>
    <t>62.081,59</t>
  </si>
  <si>
    <t>2.612,50</t>
  </si>
  <si>
    <t>250,00</t>
  </si>
  <si>
    <t>863,63</t>
  </si>
  <si>
    <t>1.137,50</t>
  </si>
  <si>
    <t>5.005,54</t>
  </si>
  <si>
    <t>2.511,19</t>
  </si>
  <si>
    <t>877,85</t>
  </si>
  <si>
    <t>818,75</t>
  </si>
  <si>
    <t>651,25</t>
  </si>
  <si>
    <t>625,00</t>
  </si>
  <si>
    <t>3.010,00</t>
  </si>
  <si>
    <t>1.785,50</t>
  </si>
  <si>
    <t>2.236,25</t>
  </si>
  <si>
    <t>83.250,00</t>
  </si>
  <si>
    <t>24.187,50</t>
  </si>
  <si>
    <t>34.687,50</t>
  </si>
  <si>
    <t>14.250,00</t>
  </si>
  <si>
    <t>461.487,17</t>
  </si>
  <si>
    <t>234.959,36</t>
  </si>
  <si>
    <t>547.216,39</t>
  </si>
  <si>
    <t>178.964,40</t>
  </si>
  <si>
    <t>325.575,00</t>
  </si>
  <si>
    <t>2.790.082,50</t>
  </si>
  <si>
    <t>2.641.887,50</t>
  </si>
  <si>
    <t>6.559,18</t>
  </si>
  <si>
    <t>3.947,50</t>
  </si>
  <si>
    <t>3.225,25</t>
  </si>
  <si>
    <t>19.733,76</t>
  </si>
  <si>
    <t>1.273,80</t>
  </si>
  <si>
    <t>59.564,88</t>
  </si>
  <si>
    <t>10.987,50</t>
  </si>
  <si>
    <t>25.400,00</t>
  </si>
  <si>
    <t>20.804,38</t>
  </si>
  <si>
    <t>9.712,50</t>
  </si>
  <si>
    <t>14.875,00</t>
  </si>
  <si>
    <t>7.524,38</t>
  </si>
  <si>
    <t>4.137,50</t>
  </si>
  <si>
    <t>1.762,50</t>
  </si>
  <si>
    <t>1.050,00</t>
  </si>
  <si>
    <t>43.425,00</t>
  </si>
  <si>
    <t>502,13</t>
  </si>
  <si>
    <t>2.392,13</t>
  </si>
  <si>
    <t>1.437,50</t>
  </si>
  <si>
    <t>6.510,63</t>
  </si>
  <si>
    <t>2.421,75</t>
  </si>
  <si>
    <t>8.750,00</t>
  </si>
  <si>
    <t>6.750,00</t>
  </si>
  <si>
    <t>11.937,50</t>
  </si>
  <si>
    <t>14.733,75</t>
  </si>
  <si>
    <t>10.166,25</t>
  </si>
  <si>
    <t>33.500,00</t>
  </si>
  <si>
    <t>34.816,25</t>
  </si>
  <si>
    <t>17.817,50</t>
  </si>
  <si>
    <t>3.961,25</t>
  </si>
  <si>
    <t>23.950,00</t>
  </si>
  <si>
    <t>10.437,50</t>
  </si>
  <si>
    <t>8.450,00</t>
  </si>
  <si>
    <t>262,50</t>
  </si>
  <si>
    <t>298.211,80</t>
  </si>
  <si>
    <t>1.504.182,97</t>
  </si>
  <si>
    <t>838.496,15</t>
  </si>
  <si>
    <t>115.080,00</t>
  </si>
  <si>
    <t>135.863,67</t>
  </si>
  <si>
    <t>174.695,39</t>
  </si>
  <si>
    <t>135.559,62</t>
  </si>
  <si>
    <t>92.126,93</t>
  </si>
  <si>
    <t>22.497,51</t>
  </si>
  <si>
    <t>96.547,56</t>
  </si>
  <si>
    <t>21.813,65</t>
  </si>
  <si>
    <t>175.624,42</t>
  </si>
  <si>
    <t>238.500,00</t>
  </si>
  <si>
    <t>249.312,50</t>
  </si>
  <si>
    <t>258.156,25</t>
  </si>
  <si>
    <t>1.579.610,00</t>
  </si>
  <si>
    <t>1.232.424,09</t>
  </si>
  <si>
    <t>62.256,25</t>
  </si>
  <si>
    <t>125.000,00</t>
  </si>
  <si>
    <t>436.250,00</t>
  </si>
  <si>
    <t>62.500,00</t>
  </si>
  <si>
    <t>75.000,00</t>
  </si>
  <si>
    <t>43.500,00</t>
  </si>
  <si>
    <t>6.020.645,00</t>
  </si>
  <si>
    <t>3.392.725,00</t>
  </si>
  <si>
    <t>326.740,00</t>
  </si>
  <si>
    <t>662.675,63</t>
  </si>
  <si>
    <t>37.096,25</t>
  </si>
  <si>
    <t>299.422,32</t>
  </si>
  <si>
    <t>24.800,00</t>
  </si>
  <si>
    <t>11.800,00</t>
  </si>
  <si>
    <t>47.137,50</t>
  </si>
  <si>
    <t>1.200,00</t>
  </si>
  <si>
    <t>173.500,00</t>
  </si>
  <si>
    <t>110.000,00</t>
  </si>
  <si>
    <t>327.000,00</t>
  </si>
  <si>
    <t>172.713,75</t>
  </si>
  <si>
    <t>38.342,50</t>
  </si>
  <si>
    <t>12.165,00</t>
  </si>
  <si>
    <t>704,25</t>
  </si>
  <si>
    <t>336.297,39</t>
  </si>
  <si>
    <t>88.018,13</t>
  </si>
  <si>
    <t>97.500,00</t>
  </si>
  <si>
    <t>5.937,50</t>
  </si>
  <si>
    <t>40.125,00</t>
  </si>
  <si>
    <t>264.375,00</t>
  </si>
  <si>
    <t>9.149,80</t>
  </si>
  <si>
    <t>34.602,36</t>
  </si>
  <si>
    <t>5.462,50</t>
  </si>
  <si>
    <t>2.419,75</t>
  </si>
  <si>
    <t>1.617,00</t>
  </si>
  <si>
    <t>3.584,74</t>
  </si>
  <si>
    <t>8.968,44</t>
  </si>
  <si>
    <t>86.007,09</t>
  </si>
  <si>
    <t>222.119,31</t>
  </si>
  <si>
    <t>36.896,64</t>
  </si>
  <si>
    <t>2.409,98</t>
  </si>
  <si>
    <t>1.073,38</t>
  </si>
  <si>
    <t>24.497,36</t>
  </si>
  <si>
    <t>78.416,72</t>
  </si>
  <si>
    <t>13.218,05</t>
  </si>
  <si>
    <t>6.708,63</t>
  </si>
  <si>
    <t>15.663,90</t>
  </si>
  <si>
    <t>4.390,55</t>
  </si>
  <si>
    <t>79.137,50</t>
  </si>
  <si>
    <t>98.517,50</t>
  </si>
  <si>
    <t>10.425,00</t>
  </si>
  <si>
    <t>57.100,00</t>
  </si>
  <si>
    <t>25.883,75</t>
  </si>
  <si>
    <t>148.066,00</t>
  </si>
  <si>
    <t>3.229,05</t>
  </si>
  <si>
    <t>204.891,52</t>
  </si>
  <si>
    <t>6.335.595,58</t>
  </si>
  <si>
    <t>1.361.917,55</t>
  </si>
  <si>
    <t>299.231,09</t>
  </si>
  <si>
    <t>578.723,94</t>
  </si>
  <si>
    <t>57.871,98</t>
  </si>
  <si>
    <t>657.569,84</t>
  </si>
  <si>
    <t>89.488,42</t>
  </si>
  <si>
    <t>29.080,31</t>
  </si>
  <si>
    <t>30.465,10</t>
  </si>
  <si>
    <t>15.690,14</t>
  </si>
  <si>
    <t>16.328,00</t>
  </si>
  <si>
    <t>15.618,08</t>
  </si>
  <si>
    <t>8.687,50</t>
  </si>
  <si>
    <t>2.198.140,01</t>
  </si>
  <si>
    <t>24.437,50</t>
  </si>
  <si>
    <t>110.062,50</t>
  </si>
  <si>
    <t>9.372,50</t>
  </si>
  <si>
    <t>43.735,00</t>
  </si>
  <si>
    <t>13.950,00</t>
  </si>
  <si>
    <t>812,50</t>
  </si>
  <si>
    <t>2.079.944,15</t>
  </si>
  <si>
    <t>1.917.071,85</t>
  </si>
  <si>
    <t>573.542,80</t>
  </si>
  <si>
    <t>27.345,00</t>
  </si>
  <si>
    <t>18.985,00</t>
  </si>
  <si>
    <t>7.567,10</t>
  </si>
  <si>
    <t>6.547,45</t>
  </si>
  <si>
    <t>6.762,60</t>
  </si>
  <si>
    <t>3.973,24</t>
  </si>
  <si>
    <t>88.337,92</t>
  </si>
  <si>
    <t>52.020,95</t>
  </si>
  <si>
    <t>202.080,38</t>
  </si>
  <si>
    <t>17.311,95</t>
  </si>
  <si>
    <t>135.779,98</t>
  </si>
  <si>
    <t>126.800,00</t>
  </si>
  <si>
    <t>27.562,50</t>
  </si>
  <si>
    <t>21.225,00</t>
  </si>
  <si>
    <t>91.875,00</t>
  </si>
  <si>
    <t>58.430,40</t>
  </si>
  <si>
    <t>232.750,00</t>
  </si>
  <si>
    <t>63.000,00</t>
  </si>
  <si>
    <t>23.250,00</t>
  </si>
  <si>
    <t>28.125,00</t>
  </si>
  <si>
    <t>7.125,00</t>
  </si>
  <si>
    <t>3.162.822,17</t>
  </si>
  <si>
    <t>1.553.953,18</t>
  </si>
  <si>
    <t>36.575,00</t>
  </si>
  <si>
    <t>30.956,25</t>
  </si>
  <si>
    <t>43.252,50</t>
  </si>
  <si>
    <t>34.462,50</t>
  </si>
  <si>
    <t>19.035,63</t>
  </si>
  <si>
    <t>35.147,50</t>
  </si>
  <si>
    <t>29.128,75</t>
  </si>
  <si>
    <t>31.761,25</t>
  </si>
  <si>
    <t>29.520,00</t>
  </si>
  <si>
    <t>37.248,44</t>
  </si>
  <si>
    <t>45.854,90</t>
  </si>
  <si>
    <t>55.640,00</t>
  </si>
  <si>
    <t>52.125,00</t>
  </si>
  <si>
    <t>21.212,50</t>
  </si>
  <si>
    <t>157.657,51</t>
  </si>
  <si>
    <t>45.637,50</t>
  </si>
  <si>
    <t>148.500,01</t>
  </si>
  <si>
    <t>6.250,00</t>
  </si>
  <si>
    <t>105.372,27</t>
  </si>
  <si>
    <t>33.607,88</t>
  </si>
  <si>
    <t>265.814,12</t>
  </si>
  <si>
    <t>50.184,27</t>
  </si>
  <si>
    <t>536.737,96</t>
  </si>
  <si>
    <t>542.500,00</t>
  </si>
  <si>
    <t>135.625,00</t>
  </si>
  <si>
    <t>207.900,00</t>
  </si>
  <si>
    <t>171.187,50</t>
  </si>
  <si>
    <t>39.187,50</t>
  </si>
  <si>
    <t>57.750,00</t>
  </si>
  <si>
    <t>443.156,25</t>
  </si>
  <si>
    <t>7.040,25</t>
  </si>
  <si>
    <t>8.342,50</t>
  </si>
  <si>
    <t>25.425,00</t>
  </si>
  <si>
    <t>21.450,39</t>
  </si>
  <si>
    <t>13.479,63</t>
  </si>
  <si>
    <t>1.698,75</t>
  </si>
  <si>
    <t>6.227,13</t>
  </si>
  <si>
    <t>78.841,25</t>
  </si>
  <si>
    <t>110.753,75</t>
  </si>
  <si>
    <t>306.737,50</t>
  </si>
  <si>
    <t>72.568,75</t>
  </si>
  <si>
    <t>152.087,50</t>
  </si>
  <si>
    <t>46.586,25</t>
  </si>
  <si>
    <t>27.171,25</t>
  </si>
  <si>
    <t>1.308,13</t>
  </si>
  <si>
    <t>46.077,06</t>
  </si>
  <si>
    <t>26.656,25</t>
  </si>
  <si>
    <t>3.812,50</t>
  </si>
  <si>
    <t>7.525,00</t>
  </si>
  <si>
    <t>13.625,00</t>
  </si>
  <si>
    <t>1.125,00</t>
  </si>
  <si>
    <t>2.062,50</t>
  </si>
  <si>
    <t>1.376,25</t>
  </si>
  <si>
    <t>3.168,75</t>
  </si>
  <si>
    <t>12.579,78</t>
  </si>
  <si>
    <t>17.356,36</t>
  </si>
  <si>
    <t>13.044,08</t>
  </si>
  <si>
    <t>8.196,25</t>
  </si>
  <si>
    <t>9.399,81</t>
  </si>
  <si>
    <t>48.179,73</t>
  </si>
  <si>
    <t>28.238,94</t>
  </si>
  <si>
    <t>3.859,95</t>
  </si>
  <si>
    <t>12.224,00</t>
  </si>
  <si>
    <t>7.636,45</t>
  </si>
  <si>
    <t>985,74</t>
  </si>
  <si>
    <t>1.650,00</t>
  </si>
  <si>
    <t>12.845,34</t>
  </si>
  <si>
    <t>8.638,01</t>
  </si>
  <si>
    <t>316.693,75</t>
  </si>
  <si>
    <t>36.593,75</t>
  </si>
  <si>
    <t>442.000,00</t>
  </si>
  <si>
    <t>33.398,55</t>
  </si>
  <si>
    <t>213.698,79</t>
  </si>
  <si>
    <t>73.275,29</t>
  </si>
  <si>
    <t>15.800,00</t>
  </si>
  <si>
    <t>492.600,00</t>
  </si>
  <si>
    <t>128.100,00</t>
  </si>
  <si>
    <t>7.950,00</t>
  </si>
  <si>
    <t>763.500,00</t>
  </si>
  <si>
    <t>66.425,00</t>
  </si>
  <si>
    <t>29.787,50</t>
  </si>
  <si>
    <t>175.175,00</t>
  </si>
  <si>
    <t>65.787,50</t>
  </si>
  <si>
    <t>40.975,00</t>
  </si>
  <si>
    <t>32.175,00</t>
  </si>
  <si>
    <t>12.100,00</t>
  </si>
  <si>
    <t>59.535,00</t>
  </si>
  <si>
    <t>329.714,20</t>
  </si>
  <si>
    <t>8.018.965,78</t>
  </si>
  <si>
    <t>2.395.501,22</t>
  </si>
  <si>
    <t>2.957.219,32</t>
  </si>
  <si>
    <t>1.300.327,22</t>
  </si>
  <si>
    <t>570.283,88</t>
  </si>
  <si>
    <t>353.439,38</t>
  </si>
  <si>
    <t>644.105,77</t>
  </si>
  <si>
    <t>12.438,96</t>
  </si>
  <si>
    <t>1.368,61</t>
  </si>
  <si>
    <t>290.504,83</t>
  </si>
  <si>
    <t>19.071,84</t>
  </si>
  <si>
    <t>178.720,93</t>
  </si>
  <si>
    <t>557.024,31</t>
  </si>
  <si>
    <t>660,00</t>
  </si>
  <si>
    <t>71.055,00</t>
  </si>
  <si>
    <t>22.902,98</t>
  </si>
  <si>
    <t>5.023,48</t>
  </si>
  <si>
    <t>23.704,38</t>
  </si>
  <si>
    <t>369.875,39</t>
  </si>
  <si>
    <t>1.505.000,00</t>
  </si>
  <si>
    <t>2.101,25</t>
  </si>
  <si>
    <t>1.021,88</t>
  </si>
  <si>
    <t>33.086,25</t>
  </si>
  <si>
    <t>32.773,86</t>
  </si>
  <si>
    <t>13.821,50</t>
  </si>
  <si>
    <t>48.066,75</t>
  </si>
  <si>
    <t>4.775,55</t>
  </si>
  <si>
    <t>35.000,00</t>
  </si>
  <si>
    <t>11.250,00</t>
  </si>
  <si>
    <t>55.615,38</t>
  </si>
  <si>
    <t>81.668,75</t>
  </si>
  <si>
    <t>4.162,50</t>
  </si>
  <si>
    <t>49.890,00</t>
  </si>
  <si>
    <t>2.192,75</t>
  </si>
  <si>
    <t>937,50</t>
  </si>
  <si>
    <t>27.027,00</t>
  </si>
  <si>
    <t>912.337,50</t>
  </si>
  <si>
    <t>6.637,50</t>
  </si>
  <si>
    <t>31.837,50</t>
  </si>
  <si>
    <t>8.775,00</t>
  </si>
  <si>
    <t>316.350,00</t>
  </si>
  <si>
    <t>5.962,50</t>
  </si>
  <si>
    <t>9.337,50</t>
  </si>
  <si>
    <t>6.000,00</t>
  </si>
  <si>
    <t>48.612,50</t>
  </si>
  <si>
    <t>57.375,00</t>
  </si>
  <si>
    <t>65.562,50</t>
  </si>
  <si>
    <t>60.949,10</t>
  </si>
  <si>
    <t>33.945,14</t>
  </si>
  <si>
    <t>23.625,00</t>
  </si>
  <si>
    <t>4.950,00</t>
  </si>
  <si>
    <t>21.750,00</t>
  </si>
  <si>
    <t>83.625,00</t>
  </si>
  <si>
    <t>7.274.278,22</t>
  </si>
  <si>
    <t>23.000,00</t>
  </si>
  <si>
    <t>135.683,60</t>
  </si>
  <si>
    <t>97.548,00</t>
  </si>
  <si>
    <t>107.050,00</t>
  </si>
  <si>
    <t>136.737,50</t>
  </si>
  <si>
    <t>36.465,38</t>
  </si>
  <si>
    <t>21.425,00</t>
  </si>
  <si>
    <t>303.082,52</t>
  </si>
  <si>
    <t>881.183,13</t>
  </si>
  <si>
    <t>82.780,00</t>
  </si>
  <si>
    <t>121.318,75</t>
  </si>
  <si>
    <t>5.583,68</t>
  </si>
  <si>
    <t>532.850,00</t>
  </si>
  <si>
    <t>1.391.235,51</t>
  </si>
  <si>
    <t>24.375,68</t>
  </si>
  <si>
    <t>204.950,06</t>
  </si>
  <si>
    <t>48.030,73</t>
  </si>
  <si>
    <t>41.000,00</t>
  </si>
  <si>
    <t>17.546,63</t>
  </si>
  <si>
    <t>23.090,55</t>
  </si>
  <si>
    <t>36.350,15</t>
  </si>
  <si>
    <t>18.675,80</t>
  </si>
  <si>
    <t>194.113,75</t>
  </si>
  <si>
    <t>15.750,00</t>
  </si>
  <si>
    <t>200.296,14</t>
  </si>
  <si>
    <t>802.886,68</t>
  </si>
  <si>
    <t>42.688,13</t>
  </si>
  <si>
    <t>7.337,50</t>
  </si>
  <si>
    <t>10.600,00</t>
  </si>
  <si>
    <t>3.137,50</t>
  </si>
  <si>
    <t>28.505,00</t>
  </si>
  <si>
    <t>6.625,00</t>
  </si>
  <si>
    <t>103.895,00</t>
  </si>
  <si>
    <t>160.753,13</t>
  </si>
  <si>
    <t>300.900,00</t>
  </si>
  <si>
    <t>210.500,00</t>
  </si>
  <si>
    <t>13.593,75</t>
  </si>
  <si>
    <t>222.720,82</t>
  </si>
  <si>
    <t>273.614,28</t>
  </si>
  <si>
    <t>74.250,00</t>
  </si>
  <si>
    <t>180.365,96</t>
  </si>
  <si>
    <t>17.027,24</t>
  </si>
  <si>
    <t>11.146,88</t>
  </si>
  <si>
    <t>6.328,13</t>
  </si>
  <si>
    <t>35.845,00</t>
  </si>
  <si>
    <t>46.838,51</t>
  </si>
  <si>
    <t>174.375,00</t>
  </si>
  <si>
    <t>11.062,50</t>
  </si>
  <si>
    <t>49.827,19</t>
  </si>
  <si>
    <t>195.985,65</t>
  </si>
  <si>
    <t>207.850,00</t>
  </si>
  <si>
    <t>185.650,00</t>
  </si>
  <si>
    <t>1.625,00</t>
  </si>
  <si>
    <t>258.034,61</t>
  </si>
  <si>
    <t>14.247,50</t>
  </si>
  <si>
    <t>348.011,23</t>
  </si>
  <si>
    <t>2.146.548,36</t>
  </si>
  <si>
    <t>13.975,00</t>
  </si>
  <si>
    <t>148.993,01</t>
  </si>
  <si>
    <t>60.601,46</t>
  </si>
  <si>
    <t>636.085,59</t>
  </si>
  <si>
    <t>251.556,48</t>
  </si>
  <si>
    <t>278.092,50</t>
  </si>
  <si>
    <t>174.246,03</t>
  </si>
  <si>
    <t>30.530,80</t>
  </si>
  <si>
    <t>511.579,27</t>
  </si>
  <si>
    <t>70.560,00</t>
  </si>
  <si>
    <t>711.072,88</t>
  </si>
  <si>
    <t>803.239,73</t>
  </si>
  <si>
    <t>153.300,00</t>
  </si>
  <si>
    <t>374.875,00</t>
  </si>
  <si>
    <t>271.126,70</t>
  </si>
  <si>
    <t>120.543,53</t>
  </si>
  <si>
    <t>493.750,00</t>
  </si>
  <si>
    <t>175.091,25</t>
  </si>
  <si>
    <t>10.750,00</t>
  </si>
  <si>
    <t>1.108.082,01</t>
  </si>
  <si>
    <t>196.000,00</t>
  </si>
  <si>
    <t>4.937.500,00</t>
  </si>
  <si>
    <t>168.731,25</t>
  </si>
  <si>
    <t>58.578,00</t>
  </si>
  <si>
    <t>744.860,00</t>
  </si>
  <si>
    <t>3.055.750,00</t>
  </si>
  <si>
    <t>1.998.712,50</t>
  </si>
  <si>
    <t>55.487,50</t>
  </si>
  <si>
    <t>850.551,25</t>
  </si>
  <si>
    <t>21.667,37</t>
  </si>
  <si>
    <t>240.285,63</t>
  </si>
  <si>
    <t>22.725,96</t>
  </si>
  <si>
    <t>77.833,58</t>
  </si>
  <si>
    <t>210.000,00</t>
  </si>
  <si>
    <t>1.818.123,38</t>
  </si>
  <si>
    <t>5.288.729,60</t>
  </si>
  <si>
    <t>5.964.651,15</t>
  </si>
  <si>
    <t>866.738,21</t>
  </si>
  <si>
    <t>5.590.307,52</t>
  </si>
  <si>
    <t>5.786.808,44</t>
  </si>
  <si>
    <t>108.750,00</t>
  </si>
  <si>
    <t>286.907,49</t>
  </si>
  <si>
    <t>4.034.031,25</t>
  </si>
  <si>
    <t>300.155,00</t>
  </si>
  <si>
    <t>2.686.701,62</t>
  </si>
  <si>
    <t>156.833,74</t>
  </si>
  <si>
    <t>149.785,00</t>
  </si>
  <si>
    <t>1.494.240,00</t>
  </si>
  <si>
    <t>437.250,00</t>
  </si>
  <si>
    <t>87.440,11</t>
  </si>
  <si>
    <t>267.545,09</t>
  </si>
  <si>
    <t>137.279,10</t>
  </si>
  <si>
    <t>261.187,50</t>
  </si>
  <si>
    <t>482.750,00</t>
  </si>
  <si>
    <t>246.750,00</t>
  </si>
  <si>
    <t>998.250,00</t>
  </si>
  <si>
    <t>530.322,30</t>
  </si>
  <si>
    <t>415.637,50</t>
  </si>
  <si>
    <t>136.056,25</t>
  </si>
  <si>
    <t>49.895,38</t>
  </si>
  <si>
    <t>269.218,75</t>
  </si>
  <si>
    <t>1.211.642,50</t>
  </si>
  <si>
    <t>677.600,04</t>
  </si>
  <si>
    <t>1.296.554,53</t>
  </si>
  <si>
    <t>87.354,92</t>
  </si>
  <si>
    <t>83.239.328,37</t>
  </si>
  <si>
    <t>955.032,91</t>
  </si>
  <si>
    <t>809.405,00</t>
  </si>
  <si>
    <t>577.044,90</t>
  </si>
  <si>
    <t>1.862.375,00</t>
  </si>
  <si>
    <t>583.144,06</t>
  </si>
  <si>
    <t>102.922,12</t>
  </si>
  <si>
    <t>674.095,00</t>
  </si>
  <si>
    <t>2.358.012,64</t>
  </si>
  <si>
    <t>90.000,00</t>
  </si>
  <si>
    <t>500.000,00</t>
  </si>
  <si>
    <t>963.810,51</t>
  </si>
  <si>
    <t>1.212.450,00</t>
  </si>
  <si>
    <t>392.217,50</t>
  </si>
  <si>
    <t>747.375,00</t>
  </si>
  <si>
    <t>1.035.425,00</t>
  </si>
  <si>
    <t>308.000,00</t>
  </si>
  <si>
    <t>281.800,00</t>
  </si>
  <si>
    <t>874.916,79</t>
  </si>
  <si>
    <t>344.264,38</t>
  </si>
  <si>
    <t>660.296,25</t>
  </si>
  <si>
    <t>617.636,85</t>
  </si>
  <si>
    <t>31.250,00</t>
  </si>
  <si>
    <t>158.380,00</t>
  </si>
  <si>
    <t>366.660,00</t>
  </si>
  <si>
    <t>127.725,00</t>
  </si>
  <si>
    <t>388.380,00</t>
  </si>
  <si>
    <t>120.104,78</t>
  </si>
  <si>
    <t>243.000,00</t>
  </si>
  <si>
    <t>268.170,00</t>
  </si>
  <si>
    <t>50.000,00</t>
  </si>
  <si>
    <t>1.663.459,21</t>
  </si>
  <si>
    <t>137.700,00</t>
  </si>
  <si>
    <t>58.700,00</t>
  </si>
  <si>
    <t>35.287,50</t>
  </si>
  <si>
    <t>17.838,75</t>
  </si>
  <si>
    <t>6.958,89</t>
  </si>
  <si>
    <t>101.677,83</t>
  </si>
  <si>
    <t>102.762,00</t>
  </si>
  <si>
    <t>136.687,50</t>
  </si>
  <si>
    <t>248.437,50</t>
  </si>
  <si>
    <t>36.512,50</t>
  </si>
  <si>
    <t>222.750,00</t>
  </si>
  <si>
    <t>35.042,50</t>
  </si>
  <si>
    <t>84.375,00</t>
  </si>
  <si>
    <t>98.002,13</t>
  </si>
  <si>
    <t>20.042,33</t>
  </si>
  <si>
    <t>23.437,50</t>
  </si>
  <si>
    <t>243.750,00</t>
  </si>
  <si>
    <t>93.750,00</t>
  </si>
  <si>
    <t>115.524,44</t>
  </si>
  <si>
    <t>147.839,99</t>
  </si>
  <si>
    <t>212.566,92</t>
  </si>
  <si>
    <t>124.033,21</t>
  </si>
  <si>
    <t>148.590,02</t>
  </si>
  <si>
    <t>74.458,75</t>
  </si>
  <si>
    <t>35.625,00</t>
  </si>
  <si>
    <t>193.500,00</t>
  </si>
  <si>
    <t>87.500,00</t>
  </si>
  <si>
    <t>89.797,50</t>
  </si>
  <si>
    <t>14.500,00</t>
  </si>
  <si>
    <t>143.875,00</t>
  </si>
  <si>
    <t>51.970,63</t>
  </si>
  <si>
    <t>2.579,13</t>
  </si>
  <si>
    <t>123.197,50</t>
  </si>
  <si>
    <t>45.493,88</t>
  </si>
  <si>
    <t>80.618,82</t>
  </si>
  <si>
    <t>104.297,91</t>
  </si>
  <si>
    <t>248.700,00</t>
  </si>
  <si>
    <t>83.069,93</t>
  </si>
  <si>
    <t>155.000,00</t>
  </si>
  <si>
    <t>59.041,61</t>
  </si>
  <si>
    <t>9.292,50</t>
  </si>
  <si>
    <t>17.935,00</t>
  </si>
  <si>
    <t>5.500,00</t>
  </si>
  <si>
    <t>6.875,00</t>
  </si>
  <si>
    <t>743,90</t>
  </si>
  <si>
    <t>56.400,00</t>
  </si>
  <si>
    <t>110.202,25</t>
  </si>
  <si>
    <t>86.083,75</t>
  </si>
  <si>
    <t>24.999,19</t>
  </si>
  <si>
    <t>84.000,00</t>
  </si>
  <si>
    <t>77.142,33</t>
  </si>
  <si>
    <t>751,56</t>
  </si>
  <si>
    <t>150.000,00</t>
  </si>
  <si>
    <t>74,39</t>
  </si>
  <si>
    <t>3.583,14</t>
  </si>
  <si>
    <t>78.765,13</t>
  </si>
  <si>
    <t>45.702,75</t>
  </si>
  <si>
    <t>169.792,94</t>
  </si>
  <si>
    <t>236.985,91</t>
  </si>
  <si>
    <t>99.125,00</t>
  </si>
  <si>
    <t>28.000,00</t>
  </si>
  <si>
    <t>109.812,50</t>
  </si>
  <si>
    <t>327.012,50</t>
  </si>
  <si>
    <t>52.766,19</t>
  </si>
  <si>
    <t>564.625,00</t>
  </si>
  <si>
    <t>239.625,00</t>
  </si>
  <si>
    <t>171.050,00</t>
  </si>
  <si>
    <t>123.285,94</t>
  </si>
  <si>
    <t>212.448,25</t>
  </si>
  <si>
    <t>35.301,14</t>
  </si>
  <si>
    <t>177.500,00</t>
  </si>
  <si>
    <t>21.000,00</t>
  </si>
  <si>
    <t>6.615,00</t>
  </si>
  <si>
    <t>23.512,50</t>
  </si>
  <si>
    <t>172.187,50</t>
  </si>
  <si>
    <t>99.750,00</t>
  </si>
  <si>
    <t>163.650,03</t>
  </si>
  <si>
    <t>1.525,00</t>
  </si>
  <si>
    <t>246.000,00</t>
  </si>
  <si>
    <t>44.700,00</t>
  </si>
  <si>
    <t>69.000,00</t>
  </si>
  <si>
    <t>115.425,00</t>
  </si>
  <si>
    <t>27.500,00</t>
  </si>
  <si>
    <t>61.119,55</t>
  </si>
  <si>
    <t>20.823,78</t>
  </si>
  <si>
    <t>3.806,25</t>
  </si>
  <si>
    <t>3.758,75</t>
  </si>
  <si>
    <t>15.954,85</t>
  </si>
  <si>
    <t>13.912,50</t>
  </si>
  <si>
    <t>5.987,50</t>
  </si>
  <si>
    <t>10.625,00</t>
  </si>
  <si>
    <t>36.627,50</t>
  </si>
  <si>
    <t>9.893,75</t>
  </si>
  <si>
    <t>40.400,00</t>
  </si>
  <si>
    <t>15.662,00</t>
  </si>
  <si>
    <t>12.325,00</t>
  </si>
  <si>
    <t>1.373,59</t>
  </si>
  <si>
    <t>493,75</t>
  </si>
  <si>
    <t>157.564,75</t>
  </si>
  <si>
    <t>160.177,50</t>
  </si>
  <si>
    <t>498.980,00</t>
  </si>
  <si>
    <t>1.087,50</t>
  </si>
  <si>
    <t>3.886,25</t>
  </si>
  <si>
    <t>130.000,00</t>
  </si>
  <si>
    <t>24.182,50</t>
  </si>
  <si>
    <t>5.100,00</t>
  </si>
  <si>
    <t>1.237,50</t>
  </si>
  <si>
    <t>1.197,50</t>
  </si>
  <si>
    <t>2.037,50</t>
  </si>
  <si>
    <t>1.065,99</t>
  </si>
  <si>
    <t>4.353,75</t>
  </si>
  <si>
    <t>248.050,00</t>
  </si>
  <si>
    <t>37.500,00</t>
  </si>
  <si>
    <t>46.250,00</t>
  </si>
  <si>
    <t>10.977,25</t>
  </si>
  <si>
    <t>1.153,50</t>
  </si>
  <si>
    <t>6.010,80</t>
  </si>
  <si>
    <t>2.562,50</t>
  </si>
  <si>
    <t>850,00</t>
  </si>
  <si>
    <t>6.540,75</t>
  </si>
  <si>
    <t>12.446,06</t>
  </si>
  <si>
    <t>8.430,19</t>
  </si>
  <si>
    <t>10.310,00</t>
  </si>
  <si>
    <t>4.213,58</t>
  </si>
  <si>
    <t>16.562,50</t>
  </si>
  <si>
    <t>6.010,47</t>
  </si>
  <si>
    <t>9.342,50</t>
  </si>
  <si>
    <t>1.563,75</t>
  </si>
  <si>
    <t>17.500,00</t>
  </si>
  <si>
    <t>1.407,38</t>
  </si>
  <si>
    <t>24.375,00</t>
  </si>
  <si>
    <t>9.187,50</t>
  </si>
  <si>
    <t>197.500,00</t>
  </si>
  <si>
    <t>6.581,25</t>
  </si>
  <si>
    <t>108.027,57</t>
  </si>
  <si>
    <t>62.250,00</t>
  </si>
  <si>
    <t>20.200,00</t>
  </si>
  <si>
    <t>4.510,63</t>
  </si>
  <si>
    <t>21.019,40</t>
  </si>
  <si>
    <t>1.080,00</t>
  </si>
  <si>
    <t>34.750,00</t>
  </si>
  <si>
    <t>24.828,13</t>
  </si>
  <si>
    <t>55.856,25</t>
  </si>
  <si>
    <t>8.525,00</t>
  </si>
  <si>
    <t>99.888,75</t>
  </si>
  <si>
    <t>49.875,00</t>
  </si>
  <si>
    <t>34.997,50</t>
  </si>
  <si>
    <t>14.362,50</t>
  </si>
  <si>
    <t>5.117,50</t>
  </si>
  <si>
    <t>892,70</t>
  </si>
  <si>
    <t>193.282,37</t>
  </si>
  <si>
    <t>31.495,00</t>
  </si>
  <si>
    <t>31.025,00</t>
  </si>
  <si>
    <t>26.297,95</t>
  </si>
  <si>
    <t>42.328,75</t>
  </si>
  <si>
    <t>2.922,50</t>
  </si>
  <si>
    <t>31.137,50</t>
  </si>
  <si>
    <t>18.575,00</t>
  </si>
  <si>
    <t>6.025,75</t>
  </si>
  <si>
    <t>1.633,75</t>
  </si>
  <si>
    <t>517,50</t>
  </si>
  <si>
    <t>17.855,63</t>
  </si>
  <si>
    <t>13.118,63</t>
  </si>
  <si>
    <t>12.050,13</t>
  </si>
  <si>
    <t>42.888,06</t>
  </si>
  <si>
    <t>18.780,96</t>
  </si>
  <si>
    <t>5.633,00</t>
  </si>
  <si>
    <t>117.443,75</t>
  </si>
  <si>
    <t>52.000,00</t>
  </si>
  <si>
    <t>2.834,18</t>
  </si>
  <si>
    <t>38.531,25</t>
  </si>
  <si>
    <t>6.818,00</t>
  </si>
  <si>
    <t>19.762,50</t>
  </si>
  <si>
    <t>31.200,00</t>
  </si>
  <si>
    <t>29.199,88</t>
  </si>
  <si>
    <t>4.375,00</t>
  </si>
  <si>
    <t>30.251,43</t>
  </si>
  <si>
    <t>29.875,00</t>
  </si>
  <si>
    <t>11.426,25</t>
  </si>
  <si>
    <t>12.500,00</t>
  </si>
  <si>
    <t>5.747,50</t>
  </si>
  <si>
    <t>58.750,00</t>
  </si>
  <si>
    <t>2.185,25</t>
  </si>
  <si>
    <t>74.500,00</t>
  </si>
  <si>
    <t>11.237,50</t>
  </si>
  <si>
    <t>7.999,51</t>
  </si>
  <si>
    <t>2.880,00</t>
  </si>
  <si>
    <t>5.548,75</t>
  </si>
  <si>
    <t>3.625,00</t>
  </si>
  <si>
    <t>1.504,50</t>
  </si>
  <si>
    <t>7.375,00</t>
  </si>
  <si>
    <t>6.803,75</t>
  </si>
  <si>
    <t>2.001,45</t>
  </si>
  <si>
    <t>6.562,50</t>
  </si>
  <si>
    <t>3.222,50</t>
  </si>
  <si>
    <t>12.075,00</t>
  </si>
  <si>
    <t>1.435,00</t>
  </si>
  <si>
    <t>2.232,50</t>
  </si>
  <si>
    <t>1.016,25</t>
  </si>
  <si>
    <t>3.108,75</t>
  </si>
  <si>
    <t>498,50</t>
  </si>
  <si>
    <t>12.387,51</t>
  </si>
  <si>
    <t>34.842,50</t>
  </si>
  <si>
    <t>7.885,01</t>
  </si>
  <si>
    <t>43.034,25</t>
  </si>
  <si>
    <t>7.155,00</t>
  </si>
  <si>
    <t>17.875,00</t>
  </si>
  <si>
    <t>4.475,00</t>
  </si>
  <si>
    <t>765,00</t>
  </si>
  <si>
    <t>32.500,00</t>
  </si>
  <si>
    <t>13.140,00</t>
  </si>
  <si>
    <t>6.037,50</t>
  </si>
  <si>
    <t>11.725,00</t>
  </si>
  <si>
    <t>6.186,00</t>
  </si>
  <si>
    <t>5.035,50</t>
  </si>
  <si>
    <t>1.464,50</t>
  </si>
  <si>
    <t>2.125,00</t>
  </si>
  <si>
    <t>56.820,64</t>
  </si>
  <si>
    <t>114.500,00</t>
  </si>
  <si>
    <t>5.200,00</t>
  </si>
  <si>
    <t>6.475,00</t>
  </si>
  <si>
    <t>1.562,50</t>
  </si>
  <si>
    <t>5.226,00</t>
  </si>
  <si>
    <t>1.286,25</t>
  </si>
  <si>
    <t>1.250,00</t>
  </si>
  <si>
    <t>23.170,00</t>
  </si>
  <si>
    <t>87.000,00</t>
  </si>
  <si>
    <t>4.509,38</t>
  </si>
  <si>
    <t>4.935,00</t>
  </si>
  <si>
    <t>2.750,00</t>
  </si>
  <si>
    <t>29.635,50</t>
  </si>
  <si>
    <t>9.614,84</t>
  </si>
  <si>
    <t>3.341,25</t>
  </si>
  <si>
    <t>747,50</t>
  </si>
  <si>
    <t>2.850,00</t>
  </si>
  <si>
    <t>1.225,00</t>
  </si>
  <si>
    <t>6.514,26</t>
  </si>
  <si>
    <t>10.012,50</t>
  </si>
  <si>
    <t>9.620,38</t>
  </si>
  <si>
    <t>4.140,00</t>
  </si>
  <si>
    <t>3.699,00</t>
  </si>
  <si>
    <t>4.033,98</t>
  </si>
  <si>
    <t>1.657,38</t>
  </si>
  <si>
    <t>2.937,50</t>
  </si>
  <si>
    <t>645,63</t>
  </si>
  <si>
    <t>19.656,25</t>
  </si>
  <si>
    <t>16.350,00</t>
  </si>
  <si>
    <t>2.532,18</t>
  </si>
  <si>
    <t>2.086,88</t>
  </si>
  <si>
    <t>462,50</t>
  </si>
  <si>
    <t>940,01</t>
  </si>
  <si>
    <t>3.615,00</t>
  </si>
  <si>
    <t>1.498,75</t>
  </si>
  <si>
    <t>2.512,50</t>
  </si>
  <si>
    <t>1.827,58</t>
  </si>
  <si>
    <t>25.130,00</t>
  </si>
  <si>
    <t>48.912,50</t>
  </si>
  <si>
    <t>7.619,59</t>
  </si>
  <si>
    <t>6.478,75</t>
  </si>
  <si>
    <t>7.721,31</t>
  </si>
  <si>
    <t>33.650,00</t>
  </si>
  <si>
    <t>3.774,73</t>
  </si>
  <si>
    <t>14.836,88</t>
  </si>
  <si>
    <t>2.313,75</t>
  </si>
  <si>
    <t>2.313,45</t>
  </si>
  <si>
    <t>3.683,06</t>
  </si>
  <si>
    <t>21.875,00</t>
  </si>
  <si>
    <t>229.281,25</t>
  </si>
  <si>
    <t>5.062,50</t>
  </si>
  <si>
    <t>9.148,75</t>
  </si>
  <si>
    <t>3.497,00</t>
  </si>
  <si>
    <t>123.965,88</t>
  </si>
  <si>
    <t>1.056,00</t>
  </si>
  <si>
    <t>7.440,12</t>
  </si>
  <si>
    <t>3.748,75</t>
  </si>
  <si>
    <t>45.755,75</t>
  </si>
  <si>
    <t>65.725,00</t>
  </si>
  <si>
    <t>1.288,41</t>
  </si>
  <si>
    <t>3.881,25</t>
  </si>
  <si>
    <t>6.254,13</t>
  </si>
  <si>
    <t>1.856,25</t>
  </si>
  <si>
    <t>7.630,00</t>
  </si>
  <si>
    <t>483,13</t>
  </si>
  <si>
    <t>19.400,00</t>
  </si>
  <si>
    <t>15.547,25</t>
  </si>
  <si>
    <t>6.187,50</t>
  </si>
  <si>
    <t>3.491,25</t>
  </si>
  <si>
    <t>5.980,00</t>
  </si>
  <si>
    <t>2.437,50</t>
  </si>
  <si>
    <t>9.150,00</t>
  </si>
  <si>
    <t>17.908,13</t>
  </si>
  <si>
    <t>4.794,11</t>
  </si>
  <si>
    <t>16.587,50</t>
  </si>
  <si>
    <t>203.237,50</t>
  </si>
  <si>
    <t>18.038,75</t>
  </si>
  <si>
    <t>897,32</t>
  </si>
  <si>
    <t>3.664,53</t>
  </si>
  <si>
    <t>9.225,00</t>
  </si>
  <si>
    <t>11.115,00</t>
  </si>
  <si>
    <t>1.971,63</t>
  </si>
  <si>
    <t>1.375,00</t>
  </si>
  <si>
    <t>8.618,75</t>
  </si>
  <si>
    <t>3.882,00</t>
  </si>
  <si>
    <t>1.093,75</t>
  </si>
  <si>
    <t>31.243,75</t>
  </si>
  <si>
    <t>1.466,25</t>
  </si>
  <si>
    <t>5.702,50</t>
  </si>
  <si>
    <t>11.627,75</t>
  </si>
  <si>
    <t>8.305,00</t>
  </si>
  <si>
    <t>15.037,50</t>
  </si>
  <si>
    <t>748,75</t>
  </si>
  <si>
    <t>51.704,50</t>
  </si>
  <si>
    <t>19.125,00</t>
  </si>
  <si>
    <t>618,75</t>
  </si>
  <si>
    <t>11.949,88</t>
  </si>
  <si>
    <t>18.375,00</t>
  </si>
  <si>
    <t>12.335,00</t>
  </si>
  <si>
    <t>1.440,00</t>
  </si>
  <si>
    <t>23.375,00</t>
  </si>
  <si>
    <t>86.445,00</t>
  </si>
  <si>
    <t>5.775,00</t>
  </si>
  <si>
    <t>10.372,50</t>
  </si>
  <si>
    <t>4.896,75</t>
  </si>
  <si>
    <t>2.926,25</t>
  </si>
  <si>
    <t>2.795,00</t>
  </si>
  <si>
    <t>1.245,00</t>
  </si>
  <si>
    <t>2.774,00</t>
  </si>
  <si>
    <t>7.516,25</t>
  </si>
  <si>
    <t>7.087,50</t>
  </si>
  <si>
    <t>61.781,25</t>
  </si>
  <si>
    <t>1.975,00</t>
  </si>
  <si>
    <t>4.000,00</t>
  </si>
  <si>
    <t>8.512,50</t>
  </si>
  <si>
    <t>5.311,25</t>
  </si>
  <si>
    <t>28.750,00</t>
  </si>
  <si>
    <t>17.908,75</t>
  </si>
  <si>
    <t>58.062,50</t>
  </si>
  <si>
    <t>3.315,00</t>
  </si>
  <si>
    <t>1.640,00</t>
  </si>
  <si>
    <t>2.208,00</t>
  </si>
  <si>
    <t>25.973,11</t>
  </si>
  <si>
    <t>1.450,00</t>
  </si>
  <si>
    <t>13.675,00</t>
  </si>
  <si>
    <t>562,50</t>
  </si>
  <si>
    <t>8.995,98</t>
  </si>
  <si>
    <t>21.664,69</t>
  </si>
  <si>
    <t>108.887,50</t>
  </si>
  <si>
    <t>18.555,75</t>
  </si>
  <si>
    <t>2.113,60</t>
  </si>
  <si>
    <t>1.187,50</t>
  </si>
  <si>
    <t>3.692,14</t>
  </si>
  <si>
    <t>1.560,91</t>
  </si>
  <si>
    <t>2.353,75</t>
  </si>
  <si>
    <t>977,50</t>
  </si>
  <si>
    <t>119.210,00</t>
  </si>
  <si>
    <t>1.900,00</t>
  </si>
  <si>
    <t>3.824,44</t>
  </si>
  <si>
    <t>5.156,25</t>
  </si>
  <si>
    <t>6.150,00</t>
  </si>
  <si>
    <t>11.232,63</t>
  </si>
  <si>
    <t>6.821,04</t>
  </si>
  <si>
    <t>2.645,13</t>
  </si>
  <si>
    <t>2.415,25</t>
  </si>
  <si>
    <t>5.755,00</t>
  </si>
  <si>
    <t>65.450,00</t>
  </si>
  <si>
    <t>4.481,25</t>
  </si>
  <si>
    <t>725,00</t>
  </si>
  <si>
    <t>9.316,89</t>
  </si>
  <si>
    <t>10.716,46</t>
  </si>
  <si>
    <t>10.450,00</t>
  </si>
  <si>
    <t>3.867,50</t>
  </si>
  <si>
    <t>27.343,75</t>
  </si>
  <si>
    <t>1.055,00</t>
  </si>
  <si>
    <t>2.412,50</t>
  </si>
  <si>
    <t>16.746,60</t>
  </si>
  <si>
    <t>1.829,68</t>
  </si>
  <si>
    <t>17.372,50</t>
  </si>
  <si>
    <t>21.083,37</t>
  </si>
  <si>
    <t>4.953,75</t>
  </si>
  <si>
    <t>425,00</t>
  </si>
  <si>
    <t>2.461,40</t>
  </si>
  <si>
    <t>2.161,50</t>
  </si>
  <si>
    <t>635,15</t>
  </si>
  <si>
    <t>8.700,00</t>
  </si>
  <si>
    <t>1.185,00</t>
  </si>
  <si>
    <t>5.606,50</t>
  </si>
  <si>
    <t>55.689,94</t>
  </si>
  <si>
    <t>69.932,50</t>
  </si>
  <si>
    <t>3.751,49</t>
  </si>
  <si>
    <t>7.751,38</t>
  </si>
  <si>
    <t>147.000,00</t>
  </si>
  <si>
    <t>5.287,50</t>
  </si>
  <si>
    <t>7.620,36</t>
  </si>
  <si>
    <t>2.382,50</t>
  </si>
  <si>
    <t>746,00</t>
  </si>
  <si>
    <t>13.203,00</t>
  </si>
  <si>
    <t>11.287,50</t>
  </si>
  <si>
    <t>41.103,75</t>
  </si>
  <si>
    <t>540,00</t>
  </si>
  <si>
    <t>5.280,00</t>
  </si>
  <si>
    <t>4.462,50</t>
  </si>
  <si>
    <t>338,63</t>
  </si>
  <si>
    <t>14.945,14</t>
  </si>
  <si>
    <t>16.263,31</t>
  </si>
  <si>
    <t>1.982,35</t>
  </si>
  <si>
    <t>4.890,00</t>
  </si>
  <si>
    <t>2.091,50</t>
  </si>
  <si>
    <t>23.543,10</t>
  </si>
  <si>
    <t>1.312,50</t>
  </si>
  <si>
    <t>7.313,00</t>
  </si>
  <si>
    <t>31.232,25</t>
  </si>
  <si>
    <t>8.612,50</t>
  </si>
  <si>
    <t>76.000,00</t>
  </si>
  <si>
    <t>3.059,11</t>
  </si>
  <si>
    <t>5.256,25</t>
  </si>
  <si>
    <t>24.062,50</t>
  </si>
  <si>
    <t>3.350,84</t>
  </si>
  <si>
    <t>22.600,00</t>
  </si>
  <si>
    <t>6.091,65</t>
  </si>
  <si>
    <t>10.265,35</t>
  </si>
  <si>
    <t>20.908,62</t>
  </si>
  <si>
    <t>53.176,01</t>
  </si>
  <si>
    <t>298,75</t>
  </si>
  <si>
    <t>3.475,00</t>
  </si>
  <si>
    <t>22.312,50</t>
  </si>
  <si>
    <t>12.372,50</t>
  </si>
  <si>
    <t>4.854,63</t>
  </si>
  <si>
    <t>1.175,00</t>
  </si>
  <si>
    <t>1.546,88</t>
  </si>
  <si>
    <t>7.552,35</t>
  </si>
  <si>
    <t>3.963,75</t>
  </si>
  <si>
    <t>1.795,63</t>
  </si>
  <si>
    <t>3.175,00</t>
  </si>
  <si>
    <t>16.725,00</t>
  </si>
  <si>
    <t>164.302,50</t>
  </si>
  <si>
    <t>3.712,50</t>
  </si>
  <si>
    <t>1.111,25</t>
  </si>
  <si>
    <t>7.354,00</t>
  </si>
  <si>
    <t>48.889,81</t>
  </si>
  <si>
    <t>375,59</t>
  </si>
  <si>
    <t>1.037,50</t>
  </si>
  <si>
    <t>32.956,25</t>
  </si>
  <si>
    <t>6.504,00</t>
  </si>
  <si>
    <t>7.437,50</t>
  </si>
  <si>
    <t>14.494,90</t>
  </si>
  <si>
    <t>18.150,00</t>
  </si>
  <si>
    <t>1.911,86</t>
  </si>
  <si>
    <t>9.712,00</t>
  </si>
  <si>
    <t>4.134,68</t>
  </si>
  <si>
    <t>3.759,38</t>
  </si>
  <si>
    <t>2.448,98</t>
  </si>
  <si>
    <t>9.500,00</t>
  </si>
  <si>
    <t>2.162,50</t>
  </si>
  <si>
    <t>1.350,00</t>
  </si>
  <si>
    <t>593,38</t>
  </si>
  <si>
    <t>4.967,50</t>
  </si>
  <si>
    <t>848,00</t>
  </si>
  <si>
    <t>6.238,75</t>
  </si>
  <si>
    <t>743,75</t>
  </si>
  <si>
    <t>63.961,75</t>
  </si>
  <si>
    <t>2.396,20</t>
  </si>
  <si>
    <t>237.364,18</t>
  </si>
  <si>
    <t>2.806,25</t>
  </si>
  <si>
    <t>850,75</t>
  </si>
  <si>
    <t>1.108,13</t>
  </si>
  <si>
    <t>4.825,73</t>
  </si>
  <si>
    <t>1.493,75</t>
  </si>
  <si>
    <t>3.897,50</t>
  </si>
  <si>
    <t>2.975,00</t>
  </si>
  <si>
    <t>7.647,19</t>
  </si>
  <si>
    <t>203.887,50</t>
  </si>
  <si>
    <t>4.293,88</t>
  </si>
  <si>
    <t>886,25</t>
  </si>
  <si>
    <t>2.031,25</t>
  </si>
  <si>
    <t>14.081,25</t>
  </si>
  <si>
    <t>20.871,16</t>
  </si>
  <si>
    <t>1.288,58</t>
  </si>
  <si>
    <t>20.292,43</t>
  </si>
  <si>
    <t>997,50</t>
  </si>
  <si>
    <t>6.297,63</t>
  </si>
  <si>
    <t>2.995,30</t>
  </si>
  <si>
    <t>14.563,75</t>
  </si>
  <si>
    <t>311,88</t>
  </si>
  <si>
    <t>6.152,50</t>
  </si>
  <si>
    <t>693,75</t>
  </si>
  <si>
    <t>975,00</t>
  </si>
  <si>
    <t>19.920,00</t>
  </si>
  <si>
    <t>3.567,50</t>
  </si>
  <si>
    <t>2.067,00</t>
  </si>
  <si>
    <t>3.675,00</t>
  </si>
  <si>
    <t>1.965,88</t>
  </si>
  <si>
    <t>54.975,00</t>
  </si>
  <si>
    <t>24.812,50</t>
  </si>
  <si>
    <t>412,50</t>
  </si>
  <si>
    <t>1.175,49</t>
  </si>
  <si>
    <t>36.000,00</t>
  </si>
  <si>
    <t>53.412,50</t>
  </si>
  <si>
    <t>552,08</t>
  </si>
  <si>
    <t>7.383,75</t>
  </si>
  <si>
    <t>5.912,50</t>
  </si>
  <si>
    <t>71.088,75</t>
  </si>
  <si>
    <t>35.308,69</t>
  </si>
  <si>
    <t>4.699,08</t>
  </si>
  <si>
    <t>838,75</t>
  </si>
  <si>
    <t>1.402,50</t>
  </si>
  <si>
    <t>18.125,00</t>
  </si>
  <si>
    <t>8.907,58</t>
  </si>
  <si>
    <t>29.484,38</t>
  </si>
  <si>
    <t>2.875,00</t>
  </si>
  <si>
    <t>1.293,75</t>
  </si>
  <si>
    <t>800,00</t>
  </si>
  <si>
    <t>15.737,80</t>
  </si>
  <si>
    <t>2.814,75</t>
  </si>
  <si>
    <t>380,00</t>
  </si>
  <si>
    <t>18.898,88</t>
  </si>
  <si>
    <t>4.325,50</t>
  </si>
  <si>
    <t>3.225,00</t>
  </si>
  <si>
    <t>9.268,75</t>
  </si>
  <si>
    <t>1.425,00</t>
  </si>
  <si>
    <t>8.764,56</t>
  </si>
  <si>
    <t>5.480,00</t>
  </si>
  <si>
    <t>9.896,70</t>
  </si>
  <si>
    <t>7.838,75</t>
  </si>
  <si>
    <t>4.278,00</t>
  </si>
  <si>
    <t>245.210,00</t>
  </si>
  <si>
    <t>249.370,00</t>
  </si>
  <si>
    <t>20.000,00</t>
  </si>
  <si>
    <t>49.099,25</t>
  </si>
  <si>
    <t>1.409,56</t>
  </si>
  <si>
    <t>1.772,55</t>
  </si>
  <si>
    <t>18.405,00</t>
  </si>
  <si>
    <t>19.586,00</t>
  </si>
  <si>
    <t>745,13</t>
  </si>
  <si>
    <t>656,25</t>
  </si>
  <si>
    <t>922,50</t>
  </si>
  <si>
    <t>3.450,00</t>
  </si>
  <si>
    <t>6.375,00</t>
  </si>
  <si>
    <t>11.815,53</t>
  </si>
  <si>
    <t>30.375,00</t>
  </si>
  <si>
    <t>6.281,25</t>
  </si>
  <si>
    <t>4.574,09</t>
  </si>
  <si>
    <t>86.887,50</t>
  </si>
  <si>
    <t>514,38</t>
  </si>
  <si>
    <t>65.485,00</t>
  </si>
  <si>
    <t>570,00</t>
  </si>
  <si>
    <t>4.626,05</t>
  </si>
  <si>
    <t>12.368,75</t>
  </si>
  <si>
    <t>5.053,75</t>
  </si>
  <si>
    <t>8.125,00</t>
  </si>
  <si>
    <t>836,25</t>
  </si>
  <si>
    <t>2.231,25</t>
  </si>
  <si>
    <t>1.260,00</t>
  </si>
  <si>
    <t>246.638,50</t>
  </si>
  <si>
    <t>51.500,00</t>
  </si>
  <si>
    <t>7.425,00</t>
  </si>
  <si>
    <t>3.750,00</t>
  </si>
  <si>
    <t>3.877,16</t>
  </si>
  <si>
    <t>59.477,90</t>
  </si>
  <si>
    <t>14.235,98</t>
  </si>
  <si>
    <t>100.287,50</t>
  </si>
  <si>
    <t>22.717,50</t>
  </si>
  <si>
    <t>1.575,00</t>
  </si>
  <si>
    <t>24.191,25</t>
  </si>
  <si>
    <t>4.370,00</t>
  </si>
  <si>
    <t>1.937,50</t>
  </si>
  <si>
    <t>18.106,25</t>
  </si>
  <si>
    <t>28.500,00</t>
  </si>
  <si>
    <t>18.956,25</t>
  </si>
  <si>
    <t>41.483,75</t>
  </si>
  <si>
    <t>9.050,00</t>
  </si>
  <si>
    <t>6.695,00</t>
  </si>
  <si>
    <t>3.002,33</t>
  </si>
  <si>
    <t>1.655,19</t>
  </si>
  <si>
    <t>5.440,50</t>
  </si>
  <si>
    <t>12.766,25</t>
  </si>
  <si>
    <t>3.412,50</t>
  </si>
  <si>
    <t>1.282,50</t>
  </si>
  <si>
    <t>3.157,50</t>
  </si>
  <si>
    <t>14.303,10</t>
  </si>
  <si>
    <t>12.122,00</t>
  </si>
  <si>
    <t>4.750,00</t>
  </si>
  <si>
    <t>1.118,75</t>
  </si>
  <si>
    <t>12.250,00</t>
  </si>
  <si>
    <t>1.492,00</t>
  </si>
  <si>
    <t>39.000,00</t>
  </si>
  <si>
    <t>828,75</t>
  </si>
  <si>
    <t>3.525,00</t>
  </si>
  <si>
    <t>12.771,79</t>
  </si>
  <si>
    <t>4.700,00</t>
  </si>
  <si>
    <t>4.331,25</t>
  </si>
  <si>
    <t>1.950,00</t>
  </si>
  <si>
    <t>3.346,50</t>
  </si>
  <si>
    <t>1.262,50</t>
  </si>
  <si>
    <t>2.851,89</t>
  </si>
  <si>
    <t>1.092,75</t>
  </si>
  <si>
    <t>1.397,00</t>
  </si>
  <si>
    <t>810,00</t>
  </si>
  <si>
    <t>13.391,73</t>
  </si>
  <si>
    <t>3.243,75</t>
  </si>
  <si>
    <t>14.231,25</t>
  </si>
  <si>
    <t>3.610,38</t>
  </si>
  <si>
    <t>2.248,88</t>
  </si>
  <si>
    <t>26.900,00</t>
  </si>
  <si>
    <t>2.662,50</t>
  </si>
  <si>
    <t>2.881,25</t>
  </si>
  <si>
    <t>15.231,25</t>
  </si>
  <si>
    <t>10.831,25</t>
  </si>
  <si>
    <t>29.332,88</t>
  </si>
  <si>
    <t>241.430,32</t>
  </si>
  <si>
    <t>236.687,50</t>
  </si>
  <si>
    <t>111.000,00</t>
  </si>
  <si>
    <t>44.177,00</t>
  </si>
  <si>
    <t>473,00</t>
  </si>
  <si>
    <t>15.675,00</t>
  </si>
  <si>
    <t>2.836,25</t>
  </si>
  <si>
    <t>14.600,00</t>
  </si>
  <si>
    <t>12.220,00</t>
  </si>
  <si>
    <t>8.633,36</t>
  </si>
  <si>
    <t>1.481,25</t>
  </si>
  <si>
    <t>8.890,00</t>
  </si>
  <si>
    <t>3.101,83</t>
  </si>
  <si>
    <t>17.597,50</t>
  </si>
  <si>
    <t>492,15</t>
  </si>
  <si>
    <t>38.437,86</t>
  </si>
  <si>
    <t>20.625,00</t>
  </si>
  <si>
    <t>5.560,00</t>
  </si>
  <si>
    <t>18.260,00</t>
  </si>
  <si>
    <t>41.826,77</t>
  </si>
  <si>
    <t>24.750,00</t>
  </si>
  <si>
    <t>13.998,75</t>
  </si>
  <si>
    <t>2.612,51</t>
  </si>
  <si>
    <t>6.103,05</t>
  </si>
  <si>
    <t>8.500,00</t>
  </si>
  <si>
    <t>36.796,88</t>
  </si>
  <si>
    <t>7.774,90</t>
  </si>
  <si>
    <t>16.712,50</t>
  </si>
  <si>
    <t>2.325,00</t>
  </si>
  <si>
    <t>2.592,78</t>
  </si>
  <si>
    <t>10.318,75</t>
  </si>
  <si>
    <t>2.282,50</t>
  </si>
  <si>
    <t>1.740,50</t>
  </si>
  <si>
    <t>10.762,50</t>
  </si>
  <si>
    <t>8.440,00</t>
  </si>
  <si>
    <t>6.043,75</t>
  </si>
  <si>
    <t>3.904,38</t>
  </si>
  <si>
    <t>8.968,75</t>
  </si>
  <si>
    <t>24.511,25</t>
  </si>
  <si>
    <t>43.850,00</t>
  </si>
  <si>
    <t>64.325,00</t>
  </si>
  <si>
    <t>911,45</t>
  </si>
  <si>
    <t>1.920,00</t>
  </si>
  <si>
    <t>66.764,55</t>
  </si>
  <si>
    <t>13.780,58</t>
  </si>
  <si>
    <t>59.925,00</t>
  </si>
  <si>
    <t>19.675,00</t>
  </si>
  <si>
    <t>6.437,50</t>
  </si>
  <si>
    <t>86.850,00</t>
  </si>
  <si>
    <t>3.237,50</t>
  </si>
  <si>
    <t>5.568,75</t>
  </si>
  <si>
    <t>10.500,00</t>
  </si>
  <si>
    <t>1.675,00</t>
  </si>
  <si>
    <t>3.515,66</t>
  </si>
  <si>
    <t>87.487,50</t>
  </si>
  <si>
    <t>24.464,79</t>
  </si>
  <si>
    <t>28.730,86</t>
  </si>
  <si>
    <t>21.235,55</t>
  </si>
  <si>
    <t>180.264,17</t>
  </si>
  <si>
    <t>163.631,25</t>
  </si>
  <si>
    <t>9.790,39</t>
  </si>
  <si>
    <t>3.969,25</t>
  </si>
  <si>
    <t>474.456,25</t>
  </si>
  <si>
    <t>49.983,75</t>
  </si>
  <si>
    <t>2.974,46</t>
  </si>
  <si>
    <t>30.875,00</t>
  </si>
  <si>
    <t>66.947,07</t>
  </si>
  <si>
    <t>7.128,25</t>
  </si>
  <si>
    <t>11.639,99</t>
  </si>
  <si>
    <t>2.477,81</t>
  </si>
  <si>
    <t>4.840,06</t>
  </si>
  <si>
    <t>8.690,81</t>
  </si>
  <si>
    <t>2.088,00</t>
  </si>
  <si>
    <t>10.687,50</t>
  </si>
  <si>
    <t>4.312,50</t>
  </si>
  <si>
    <t>8.045,25</t>
  </si>
  <si>
    <t>2.526,25</t>
  </si>
  <si>
    <t>5.693,75</t>
  </si>
  <si>
    <t>742,50</t>
  </si>
  <si>
    <t>3.080,63</t>
  </si>
  <si>
    <t>10.591,71</t>
  </si>
  <si>
    <t>23.003,75</t>
  </si>
  <si>
    <t>8.103,13</t>
  </si>
  <si>
    <t>3.417,00</t>
  </si>
  <si>
    <t>15.402,50</t>
  </si>
  <si>
    <t>8.915,00</t>
  </si>
  <si>
    <t>67.638,60</t>
  </si>
  <si>
    <t>25.437,50</t>
  </si>
  <si>
    <t>80.527,35</t>
  </si>
  <si>
    <t>164.046,25</t>
  </si>
  <si>
    <t>23.151,00</t>
  </si>
  <si>
    <t>10.156,23</t>
  </si>
  <si>
    <t>820,00</t>
  </si>
  <si>
    <t>1.805,00</t>
  </si>
  <si>
    <t>1.838,75</t>
  </si>
  <si>
    <t>1.442,50</t>
  </si>
  <si>
    <t>4.158,60</t>
  </si>
  <si>
    <t>22.750,00</t>
  </si>
  <si>
    <t>3.380,75</t>
  </si>
  <si>
    <t>13.050,00</t>
  </si>
  <si>
    <t>35.623,75</t>
  </si>
  <si>
    <t>5.874,00</t>
  </si>
  <si>
    <t>827,50</t>
  </si>
  <si>
    <t>3.613,95</t>
  </si>
  <si>
    <t>775,00</t>
  </si>
  <si>
    <t>47.197,50</t>
  </si>
  <si>
    <t>7.478,75</t>
  </si>
  <si>
    <t>2.741,25</t>
  </si>
  <si>
    <t>2.990,00</t>
  </si>
  <si>
    <t>4.631,25</t>
  </si>
  <si>
    <t>47.662,50</t>
  </si>
  <si>
    <t>81.840,00</t>
  </si>
  <si>
    <t>17.101,13</t>
  </si>
  <si>
    <t>10.384,38</t>
  </si>
  <si>
    <t>19.200,00</t>
  </si>
  <si>
    <t>10.581,25</t>
  </si>
  <si>
    <t>6.592,50</t>
  </si>
  <si>
    <t>3.262,50</t>
  </si>
  <si>
    <t>168,75</t>
  </si>
  <si>
    <t>4.962,50</t>
  </si>
  <si>
    <t>507,50</t>
  </si>
  <si>
    <t>6.163,56</t>
  </si>
  <si>
    <t>20.692,75</t>
  </si>
  <si>
    <t>4.725,00</t>
  </si>
  <si>
    <t>15.186,25</t>
  </si>
  <si>
    <t>23.218,61</t>
  </si>
  <si>
    <t>11.256,65</t>
  </si>
  <si>
    <t>11.321,38</t>
  </si>
  <si>
    <t>117.125,00</t>
  </si>
  <si>
    <t>5.991,93</t>
  </si>
  <si>
    <t>3.473,00</t>
  </si>
  <si>
    <t>4.306,25</t>
  </si>
  <si>
    <t>3.500,00</t>
  </si>
  <si>
    <t>2.398,75</t>
  </si>
  <si>
    <t>825,00</t>
  </si>
  <si>
    <t>11.222,50</t>
  </si>
  <si>
    <t>3.596,25</t>
  </si>
  <si>
    <t>817,50</t>
  </si>
  <si>
    <t>4.125,00</t>
  </si>
  <si>
    <t>55.975,00</t>
  </si>
  <si>
    <t>10.678,75</t>
  </si>
  <si>
    <t>870,00</t>
  </si>
  <si>
    <t>4.977,50</t>
  </si>
  <si>
    <t>4.981,25</t>
  </si>
  <si>
    <t>17.376,25</t>
  </si>
  <si>
    <t>2.016,75</t>
  </si>
  <si>
    <t>6.093,75</t>
  </si>
  <si>
    <t>10.320,51</t>
  </si>
  <si>
    <t>8.640,00</t>
  </si>
  <si>
    <t>36.926,25</t>
  </si>
  <si>
    <t>24.512,50</t>
  </si>
  <si>
    <t>98.700,00</t>
  </si>
  <si>
    <t>1.259,00</t>
  </si>
  <si>
    <t>1.723,50</t>
  </si>
  <si>
    <t>17.801,25</t>
  </si>
  <si>
    <t>48.933,75</t>
  </si>
  <si>
    <t>28.261,25</t>
  </si>
  <si>
    <t>487,50</t>
  </si>
  <si>
    <t>14.064,00</t>
  </si>
  <si>
    <t>8.000,00</t>
  </si>
  <si>
    <t>580.925,00</t>
  </si>
  <si>
    <t>81.862,50</t>
  </si>
  <si>
    <t>16.501,25</t>
  </si>
  <si>
    <t>107.875,00</t>
  </si>
  <si>
    <t>170.949,57</t>
  </si>
  <si>
    <t>93.375,00</t>
  </si>
  <si>
    <t>40.650,00</t>
  </si>
  <si>
    <t>365.450,00</t>
  </si>
  <si>
    <t>101.987,50</t>
  </si>
  <si>
    <t>18.042,52</t>
  </si>
  <si>
    <t>110.940,56</t>
  </si>
  <si>
    <t>59.800,00</t>
  </si>
  <si>
    <t>23.750,00</t>
  </si>
  <si>
    <t>48.842,50</t>
  </si>
  <si>
    <t>68.500,00</t>
  </si>
  <si>
    <t>45.187,50</t>
  </si>
  <si>
    <t>123.063,72</t>
  </si>
  <si>
    <t>6.737,30</t>
  </si>
  <si>
    <t>4.833,50</t>
  </si>
  <si>
    <t>21.977,50</t>
  </si>
  <si>
    <t>4.025,26</t>
  </si>
  <si>
    <t>10.237,50</t>
  </si>
  <si>
    <t>2.325,90</t>
  </si>
  <si>
    <t>34.398,50</t>
  </si>
  <si>
    <t>2.461,46</t>
  </si>
  <si>
    <t>453,13</t>
  </si>
  <si>
    <t>1.556,25</t>
  </si>
  <si>
    <t>6.137,50</t>
  </si>
  <si>
    <t>9.247,88</t>
  </si>
  <si>
    <t>5.512,50</t>
  </si>
  <si>
    <t>24.625,00</t>
  </si>
  <si>
    <t>38.645,40</t>
  </si>
  <si>
    <t>1.837,50</t>
  </si>
  <si>
    <t>6.435,00</t>
  </si>
  <si>
    <t>3.681,25</t>
  </si>
  <si>
    <t>49.837,50</t>
  </si>
  <si>
    <t>24.837,50</t>
  </si>
  <si>
    <t>62.362,87</t>
  </si>
  <si>
    <t>5.717,97</t>
  </si>
  <si>
    <t>24.962,50</t>
  </si>
  <si>
    <t>7.255,00</t>
  </si>
  <si>
    <t>14.625,00</t>
  </si>
  <si>
    <t>9.562,50</t>
  </si>
  <si>
    <t>7.481,25</t>
  </si>
  <si>
    <t>1.558,75</t>
  </si>
  <si>
    <t>11.206,25</t>
  </si>
  <si>
    <t>600,00</t>
  </si>
  <si>
    <t>53.650,05</t>
  </si>
  <si>
    <t>25.100,00</t>
  </si>
  <si>
    <t>5.749,13</t>
  </si>
  <si>
    <t>12.801,59</t>
  </si>
  <si>
    <t>12.472,50</t>
  </si>
  <si>
    <t>7.319,75</t>
  </si>
  <si>
    <t>9.166,25</t>
  </si>
  <si>
    <t>1.688,75</t>
  </si>
  <si>
    <t>1.512,50</t>
  </si>
  <si>
    <t>2.190,93</t>
  </si>
  <si>
    <t>4.665,75</t>
  </si>
  <si>
    <t>1.240,00</t>
  </si>
  <si>
    <t>9.693,25</t>
  </si>
  <si>
    <t>1.645,63</t>
  </si>
  <si>
    <t>5.375,00</t>
  </si>
  <si>
    <t>78.500,00</t>
  </si>
  <si>
    <t>72.000,00</t>
  </si>
  <si>
    <t>82.731,96</t>
  </si>
  <si>
    <t>12.500,38</t>
  </si>
  <si>
    <t>7.628,86</t>
  </si>
  <si>
    <t>3.378,75</t>
  </si>
  <si>
    <t>555,35</t>
  </si>
  <si>
    <t>4.301,25</t>
  </si>
  <si>
    <t>2.994,75</t>
  </si>
  <si>
    <t>210,05</t>
  </si>
  <si>
    <t>13.159,13</t>
  </si>
  <si>
    <t>4.653,00</t>
  </si>
  <si>
    <t>23.552,50</t>
  </si>
  <si>
    <t>10.462,50</t>
  </si>
  <si>
    <t>1.424,65</t>
  </si>
  <si>
    <t>6.607,50</t>
  </si>
  <si>
    <t>9.056,81</t>
  </si>
  <si>
    <t>3.165,00</t>
  </si>
  <si>
    <t>1.727,55</t>
  </si>
  <si>
    <t>68.750,00</t>
  </si>
  <si>
    <t>74.315,00</t>
  </si>
  <si>
    <t>10.390,00</t>
  </si>
  <si>
    <t>8.025,00</t>
  </si>
  <si>
    <t>3.962,50</t>
  </si>
  <si>
    <t>22.904,39</t>
  </si>
  <si>
    <t>37.372,37</t>
  </si>
  <si>
    <t>38.737,50</t>
  </si>
  <si>
    <t>6.167,16</t>
  </si>
  <si>
    <t>1.132,58</t>
  </si>
  <si>
    <t>1.651,25</t>
  </si>
  <si>
    <t>3.123,75</t>
  </si>
  <si>
    <t>1.918,75</t>
  </si>
  <si>
    <t>6.206,25</t>
  </si>
  <si>
    <t>4.924,04</t>
  </si>
  <si>
    <t>4.031,25</t>
  </si>
  <si>
    <t>345,00</t>
  </si>
  <si>
    <t>6.107,79</t>
  </si>
  <si>
    <t>1.950,50</t>
  </si>
  <si>
    <t>50.275,00</t>
  </si>
  <si>
    <t>30.418,38</t>
  </si>
  <si>
    <t>37.159,33</t>
  </si>
  <si>
    <t>10.562,50</t>
  </si>
  <si>
    <t>10.352,60</t>
  </si>
  <si>
    <t>2.146,65</t>
  </si>
  <si>
    <t>11.694,00</t>
  </si>
  <si>
    <t>47.420,35</t>
  </si>
  <si>
    <t>6.265,63</t>
  </si>
  <si>
    <t>5.990,00</t>
  </si>
  <si>
    <t>15.412,50</t>
  </si>
  <si>
    <t>6.585,00</t>
  </si>
  <si>
    <t>1.835,00</t>
  </si>
  <si>
    <t>245.250,82</t>
  </si>
  <si>
    <t>240.350,00</t>
  </si>
  <si>
    <t>89.750,00</t>
  </si>
  <si>
    <t>127.900,00</t>
  </si>
  <si>
    <t>9.394,64</t>
  </si>
  <si>
    <t>18.400,00</t>
  </si>
  <si>
    <t>64.925,00</t>
  </si>
  <si>
    <t>97.893,75</t>
  </si>
  <si>
    <t>106.425,00</t>
  </si>
  <si>
    <t>215.450,00</t>
  </si>
  <si>
    <t>44.225,00</t>
  </si>
  <si>
    <t>119.187,50</t>
  </si>
  <si>
    <t>49.775,00</t>
  </si>
  <si>
    <t>20.943,75</t>
  </si>
  <si>
    <t>7.093,75</t>
  </si>
  <si>
    <t>235.556,25</t>
  </si>
  <si>
    <t>17.250,00</t>
  </si>
  <si>
    <t>112.700,00</t>
  </si>
  <si>
    <t>1.184,40</t>
  </si>
  <si>
    <t>21.315,00</t>
  </si>
  <si>
    <t>24.875,00</t>
  </si>
  <si>
    <t>4.545,00</t>
  </si>
  <si>
    <t>4.540,00</t>
  </si>
  <si>
    <t>5.040,00</t>
  </si>
  <si>
    <t>48.750,00</t>
  </si>
  <si>
    <t>12.000,00</t>
  </si>
  <si>
    <t>7.781,25</t>
  </si>
  <si>
    <t>1.972,78</t>
  </si>
  <si>
    <t>1.864,44</t>
  </si>
  <si>
    <t>344,88</t>
  </si>
  <si>
    <t>212,50</t>
  </si>
  <si>
    <t>8.056,25</t>
  </si>
  <si>
    <t>32.921,03</t>
  </si>
  <si>
    <t>8.952,50</t>
  </si>
  <si>
    <t>17.604,66</t>
  </si>
  <si>
    <t>35.591,38</t>
  </si>
  <si>
    <t>607,94</t>
  </si>
  <si>
    <t>3.206,25</t>
  </si>
  <si>
    <t>2.600,00</t>
  </si>
  <si>
    <t>2.822,72</t>
  </si>
  <si>
    <t>34.272,00</t>
  </si>
  <si>
    <t>12.724,10</t>
  </si>
  <si>
    <t>7.567,50</t>
  </si>
  <si>
    <t>33.681,75</t>
  </si>
  <si>
    <t>411,25</t>
  </si>
  <si>
    <t>49.332,50</t>
  </si>
  <si>
    <t>2.668,75</t>
  </si>
  <si>
    <t>147.500,00</t>
  </si>
  <si>
    <t>44.500,00</t>
  </si>
  <si>
    <t>5.123,00</t>
  </si>
  <si>
    <t>7.040,00</t>
  </si>
  <si>
    <t>5.107,63</t>
  </si>
  <si>
    <t>23.427,50</t>
  </si>
  <si>
    <t>12.890,30</t>
  </si>
  <si>
    <t>5.158,13</t>
  </si>
  <si>
    <t>171.009,38</t>
  </si>
  <si>
    <t>9.632,50</t>
  </si>
  <si>
    <t>1.660,90</t>
  </si>
  <si>
    <t>6.988,25</t>
  </si>
  <si>
    <t>17.536,25</t>
  </si>
  <si>
    <t>5.380,00</t>
  </si>
  <si>
    <t>20.875,00</t>
  </si>
  <si>
    <t>9.375,00</t>
  </si>
  <si>
    <t>14.995,00</t>
  </si>
  <si>
    <t>5.787,50</t>
  </si>
  <si>
    <t>5.134,06</t>
  </si>
  <si>
    <t>5.332,50</t>
  </si>
  <si>
    <t>6.412,50</t>
  </si>
  <si>
    <t>22.973,75</t>
  </si>
  <si>
    <t>123.718,75</t>
  </si>
  <si>
    <t>131.285,00</t>
  </si>
  <si>
    <t>17.097,62</t>
  </si>
  <si>
    <t>9.738,48</t>
  </si>
  <si>
    <t>15.513,19</t>
  </si>
  <si>
    <t>6.100,00</t>
  </si>
  <si>
    <t>112.275,00</t>
  </si>
  <si>
    <t>1.462,50</t>
  </si>
  <si>
    <t>400,00</t>
  </si>
  <si>
    <t>4.575,00</t>
  </si>
  <si>
    <t>5.413,75</t>
  </si>
  <si>
    <t>2.010,00</t>
  </si>
  <si>
    <t>827,44</t>
  </si>
  <si>
    <t>13.473,77</t>
  </si>
  <si>
    <t>2.220,00</t>
  </si>
  <si>
    <t>1.387,00</t>
  </si>
  <si>
    <t>49.134,50</t>
  </si>
  <si>
    <t>39.562,50</t>
  </si>
  <si>
    <t>8.158,75</t>
  </si>
  <si>
    <t>1.578,75</t>
  </si>
  <si>
    <t>16.438,75</t>
  </si>
  <si>
    <t>11.775,00</t>
  </si>
  <si>
    <t>789,50</t>
  </si>
  <si>
    <t>1.925,00</t>
  </si>
  <si>
    <t>4.614,70</t>
  </si>
  <si>
    <t>31.325,00</t>
  </si>
  <si>
    <t>29.581,25</t>
  </si>
  <si>
    <t>8.019,00</t>
  </si>
  <si>
    <t>1.526,25</t>
  </si>
  <si>
    <t>4.200,99</t>
  </si>
  <si>
    <t>3.180,00</t>
  </si>
  <si>
    <t>4.625,00</t>
  </si>
  <si>
    <t>4.794,50</t>
  </si>
  <si>
    <t>9.315,00</t>
  </si>
  <si>
    <t>8.390,00</t>
  </si>
  <si>
    <t>8.395,00</t>
  </si>
  <si>
    <t>7.785,00</t>
  </si>
  <si>
    <t>17.806,25</t>
  </si>
  <si>
    <t>107.687,50</t>
  </si>
  <si>
    <t>14.170,89</t>
  </si>
  <si>
    <t>1.227,50</t>
  </si>
  <si>
    <t>27.030,00</t>
  </si>
  <si>
    <t>1.709,25</t>
  </si>
  <si>
    <t>10.525,00</t>
  </si>
  <si>
    <t>7.971,50</t>
  </si>
  <si>
    <t>537,50</t>
  </si>
  <si>
    <t>3.843,75</t>
  </si>
  <si>
    <t>18.062,50</t>
  </si>
  <si>
    <t>7.910,00</t>
  </si>
  <si>
    <t>8.541,25</t>
  </si>
  <si>
    <t>55.221,30</t>
  </si>
  <si>
    <t>7.780,65</t>
  </si>
  <si>
    <t>1.771,25</t>
  </si>
  <si>
    <t>7.875,00</t>
  </si>
  <si>
    <t>16.815,00</t>
  </si>
  <si>
    <t>1.580,00</t>
  </si>
  <si>
    <t>2.118,75</t>
  </si>
  <si>
    <t>2.297,50</t>
  </si>
  <si>
    <t>4.440,00</t>
  </si>
  <si>
    <t>65.740,18</t>
  </si>
  <si>
    <t>4.350,00</t>
  </si>
  <si>
    <t>821,25</t>
  </si>
  <si>
    <t>237,25</t>
  </si>
  <si>
    <t>8.585,18</t>
  </si>
  <si>
    <t>12.484,63</t>
  </si>
  <si>
    <t>22.500,00</t>
  </si>
  <si>
    <t>67.837,50</t>
  </si>
  <si>
    <t>2.025,00</t>
  </si>
  <si>
    <t>3.253,13</t>
  </si>
  <si>
    <t>862,50</t>
  </si>
  <si>
    <t>598,75</t>
  </si>
  <si>
    <t>24.920,00</t>
  </si>
  <si>
    <t>6.011,25</t>
  </si>
  <si>
    <t>375,00</t>
  </si>
  <si>
    <t>215,75</t>
  </si>
  <si>
    <t>1.681,25</t>
  </si>
  <si>
    <t>22.760,00</t>
  </si>
  <si>
    <t>23.927,10</t>
  </si>
  <si>
    <t>136.675,00</t>
  </si>
  <si>
    <t>20.850,00</t>
  </si>
  <si>
    <t>42.125,00</t>
  </si>
  <si>
    <t>15.608,75</t>
  </si>
  <si>
    <t>61.371,59</t>
  </si>
  <si>
    <t>973,26</t>
  </si>
  <si>
    <t>1.267,75</t>
  </si>
  <si>
    <t>14.025,00</t>
  </si>
  <si>
    <t>16.944,89</t>
  </si>
  <si>
    <t>34.822,98</t>
  </si>
  <si>
    <t>1.203,75</t>
  </si>
  <si>
    <t>1.895,75</t>
  </si>
  <si>
    <t>13.262,80</t>
  </si>
  <si>
    <t>2.581,88</t>
  </si>
  <si>
    <t>3.150,00</t>
  </si>
  <si>
    <t>23.925,00</t>
  </si>
  <si>
    <t>16.379,50</t>
  </si>
  <si>
    <t>4.321,50</t>
  </si>
  <si>
    <t>799,00</t>
  </si>
  <si>
    <t>18.713,75</t>
  </si>
  <si>
    <t>83.221,98</t>
  </si>
  <si>
    <t>1.057,50</t>
  </si>
  <si>
    <t>5.641,25</t>
  </si>
  <si>
    <t>6.788,75</t>
  </si>
  <si>
    <t>31.875,00</t>
  </si>
  <si>
    <t>9.011,25</t>
  </si>
  <si>
    <t>8.835,00</t>
  </si>
  <si>
    <t>3.123,88</t>
  </si>
  <si>
    <t>27.496,25</t>
  </si>
  <si>
    <t>7.012,50</t>
  </si>
  <si>
    <t>11.587,50</t>
  </si>
  <si>
    <t>3.906,00</t>
  </si>
  <si>
    <t>2.465,00</t>
  </si>
  <si>
    <t>24.761,00</t>
  </si>
  <si>
    <t>625,51</t>
  </si>
  <si>
    <t>7.042,50</t>
  </si>
  <si>
    <t>7.285,00</t>
  </si>
  <si>
    <t>68.075,00</t>
  </si>
  <si>
    <t>36.881,94</t>
  </si>
  <si>
    <t>2.703,90</t>
  </si>
  <si>
    <t>6.350,00</t>
  </si>
  <si>
    <t>1.110,00</t>
  </si>
  <si>
    <t>37.455,00</t>
  </si>
  <si>
    <t>55.750,00</t>
  </si>
  <si>
    <t>11.733,00</t>
  </si>
  <si>
    <t>9.937,50</t>
  </si>
  <si>
    <t>242.250,00</t>
  </si>
  <si>
    <t>56.298,00</t>
  </si>
  <si>
    <t>165.700,00</t>
  </si>
  <si>
    <t>26.250,00</t>
  </si>
  <si>
    <t>7.877,75</t>
  </si>
  <si>
    <t>10.241,25</t>
  </si>
  <si>
    <t>1.351,00</t>
  </si>
  <si>
    <t>1.690,00</t>
  </si>
  <si>
    <t>29.936,25</t>
  </si>
  <si>
    <t>6.908,18</t>
  </si>
  <si>
    <t>5.528,76</t>
  </si>
  <si>
    <t>15.222,88</t>
  </si>
  <si>
    <t>50.062,50</t>
  </si>
  <si>
    <t>376,25</t>
  </si>
  <si>
    <t>449,25</t>
  </si>
  <si>
    <t>16.418,75</t>
  </si>
  <si>
    <t>560,28</t>
  </si>
  <si>
    <t>17.375,10</t>
  </si>
  <si>
    <t>2.001,51</t>
  </si>
  <si>
    <t>3.255,00</t>
  </si>
  <si>
    <t>1.247,50</t>
  </si>
  <si>
    <t>1.748,75</t>
  </si>
  <si>
    <t>3.825,00</t>
  </si>
  <si>
    <t>1.846,23</t>
  </si>
  <si>
    <t>1.339,88</t>
  </si>
  <si>
    <t>3.396,38</t>
  </si>
  <si>
    <t>140.625,00</t>
  </si>
  <si>
    <t>24.000,00</t>
  </si>
  <si>
    <t>5.980,80</t>
  </si>
  <si>
    <t>7.232,50</t>
  </si>
  <si>
    <t>8.156,25</t>
  </si>
  <si>
    <t>1.416,88</t>
  </si>
  <si>
    <t>23.906,25</t>
  </si>
  <si>
    <t>2.245,00</t>
  </si>
  <si>
    <t>1.850,00</t>
  </si>
  <si>
    <t>3.410,00</t>
  </si>
  <si>
    <t>1.258,75</t>
  </si>
  <si>
    <t>4.465,00</t>
  </si>
  <si>
    <t>3.598,75</t>
  </si>
  <si>
    <t>4.479,00</t>
  </si>
  <si>
    <t>21.725,00</t>
  </si>
  <si>
    <t>2.059,73</t>
  </si>
  <si>
    <t>4.629,50</t>
  </si>
  <si>
    <t>23.214,38</t>
  </si>
  <si>
    <t>21.391,25</t>
  </si>
  <si>
    <t>43.250,00</t>
  </si>
  <si>
    <t>13.047,50</t>
  </si>
  <si>
    <t>28.490,00</t>
  </si>
  <si>
    <t>35.243,75</t>
  </si>
  <si>
    <t>11.906,75</t>
  </si>
  <si>
    <t>10.905,38</t>
  </si>
  <si>
    <t>3.413,75</t>
  </si>
  <si>
    <t>6.103,41</t>
  </si>
  <si>
    <t>8.562,50</t>
  </si>
  <si>
    <t>10.302,25</t>
  </si>
  <si>
    <t>1.335,00</t>
  </si>
  <si>
    <t>6.079,00</t>
  </si>
  <si>
    <t>2.025,88</t>
  </si>
  <si>
    <t>18.452,50</t>
  </si>
  <si>
    <t>2.192,99</t>
  </si>
  <si>
    <t>12.150,00</t>
  </si>
  <si>
    <t>1.640,33</t>
  </si>
  <si>
    <t>255,00</t>
  </si>
  <si>
    <t>21.221,25</t>
  </si>
  <si>
    <t>6.993,75</t>
  </si>
  <si>
    <t>26.948,75</t>
  </si>
  <si>
    <t>906,25</t>
  </si>
  <si>
    <t>808,75</t>
  </si>
  <si>
    <t>1.517,50</t>
  </si>
  <si>
    <t>2.475,00</t>
  </si>
  <si>
    <t>806,25</t>
  </si>
  <si>
    <t>4.620,00</t>
  </si>
  <si>
    <t>75.481,25</t>
  </si>
  <si>
    <t>44.798,75</t>
  </si>
  <si>
    <t>28.583,37</t>
  </si>
  <si>
    <t>19.138,95</t>
  </si>
  <si>
    <t>2.095,00</t>
  </si>
  <si>
    <t>27.738,75</t>
  </si>
  <si>
    <t>10.631,49</t>
  </si>
  <si>
    <t>225,00</t>
  </si>
  <si>
    <t>18.250,00</t>
  </si>
  <si>
    <t>16.120,00</t>
  </si>
  <si>
    <t>455,00</t>
  </si>
  <si>
    <t>36.318,75</t>
  </si>
  <si>
    <t>54.475,00</t>
  </si>
  <si>
    <t>12.999,79</t>
  </si>
  <si>
    <t>16.500,00</t>
  </si>
  <si>
    <t>52.062,50</t>
  </si>
  <si>
    <t>2.147,50</t>
  </si>
  <si>
    <t>183.706,68</t>
  </si>
  <si>
    <t>5.917,50</t>
  </si>
  <si>
    <t>43.367,00</t>
  </si>
  <si>
    <t>71.355,65</t>
  </si>
  <si>
    <t>19.975,00</t>
  </si>
  <si>
    <t>19.010,00</t>
  </si>
  <si>
    <t>181.282,19</t>
  </si>
  <si>
    <t>598,00</t>
  </si>
  <si>
    <t>59.308,75</t>
  </si>
  <si>
    <t>42.948,75</t>
  </si>
  <si>
    <t>34.000,00</t>
  </si>
  <si>
    <t>7.258,13</t>
  </si>
  <si>
    <t>20.252,50</t>
  </si>
  <si>
    <t>565,31</t>
  </si>
  <si>
    <t>23.610,00</t>
  </si>
  <si>
    <t>3.988,29</t>
  </si>
  <si>
    <t>1.059,94</t>
  </si>
  <si>
    <t>26.601,25</t>
  </si>
  <si>
    <t>404,51</t>
  </si>
  <si>
    <t>33.030,90</t>
  </si>
  <si>
    <t>82.000,00</t>
  </si>
  <si>
    <t>26.303,65</t>
  </si>
  <si>
    <t>4.212,50</t>
  </si>
  <si>
    <t>2.157,50</t>
  </si>
  <si>
    <t>15.245,60</t>
  </si>
  <si>
    <t>731,25</t>
  </si>
  <si>
    <t>742,00</t>
  </si>
  <si>
    <t>15.106,25</t>
  </si>
  <si>
    <t>587,50</t>
  </si>
  <si>
    <t>1.488,90</t>
  </si>
  <si>
    <t>63.467,74</t>
  </si>
  <si>
    <t>19.375,00</t>
  </si>
  <si>
    <t>2.342,50</t>
  </si>
  <si>
    <t>50.694,32</t>
  </si>
  <si>
    <t>1.015,00</t>
  </si>
  <si>
    <t>6.470,08</t>
  </si>
  <si>
    <t>33.058,99</t>
  </si>
  <si>
    <t>1.112,50</t>
  </si>
  <si>
    <t>3.132,36</t>
  </si>
  <si>
    <t>8.900,00</t>
  </si>
  <si>
    <t>8.437,50</t>
  </si>
  <si>
    <t>904,73</t>
  </si>
  <si>
    <t>450,38</t>
  </si>
  <si>
    <t>37.254,75</t>
  </si>
  <si>
    <t>2.855,30</t>
  </si>
  <si>
    <t>36.153,72</t>
  </si>
  <si>
    <t>5.637,33</t>
  </si>
  <si>
    <t>6.937,50</t>
  </si>
  <si>
    <t>1.500,03</t>
  </si>
  <si>
    <t>22.541,25</t>
  </si>
  <si>
    <t>919,80</t>
  </si>
  <si>
    <t>2.853,80</t>
  </si>
  <si>
    <t>13.700,00</t>
  </si>
  <si>
    <t>6.805,00</t>
  </si>
  <si>
    <t>20.144,50</t>
  </si>
  <si>
    <t>6.263,07</t>
  </si>
  <si>
    <t>630,00</t>
  </si>
  <si>
    <t>2.388,83</t>
  </si>
  <si>
    <t>16.200,00</t>
  </si>
  <si>
    <t>9.687,50</t>
  </si>
  <si>
    <t>2.400,00</t>
  </si>
  <si>
    <t>29.988,00</t>
  </si>
  <si>
    <t>1.900,72</t>
  </si>
  <si>
    <t>225.000,00</t>
  </si>
  <si>
    <t>121.000,00</t>
  </si>
  <si>
    <t>143.797,65</t>
  </si>
  <si>
    <t>25.875,00</t>
  </si>
  <si>
    <t>59.250,00</t>
  </si>
  <si>
    <t>5.257,23</t>
  </si>
  <si>
    <t>33.368,40</t>
  </si>
  <si>
    <t>6.930,20</t>
  </si>
  <si>
    <t>190,35</t>
  </si>
  <si>
    <t>49.000,00</t>
  </si>
  <si>
    <t>181.005,40</t>
  </si>
  <si>
    <t>17.686,88</t>
  </si>
  <si>
    <t>3.250,00</t>
  </si>
  <si>
    <t>131.587,50</t>
  </si>
  <si>
    <t>1.235,00</t>
  </si>
  <si>
    <t>1.525,18</t>
  </si>
  <si>
    <t>4.488,13</t>
  </si>
  <si>
    <t>2.050,00</t>
  </si>
  <si>
    <t>1.232,50</t>
  </si>
  <si>
    <t>11.932,50</t>
  </si>
  <si>
    <t>71.756,25</t>
  </si>
  <si>
    <t>4.281,25</t>
  </si>
  <si>
    <t>22.502,00</t>
  </si>
  <si>
    <t>2.407,50</t>
  </si>
  <si>
    <t>96.421,25</t>
  </si>
  <si>
    <t>1.905,12</t>
  </si>
  <si>
    <t>69.319,05</t>
  </si>
  <si>
    <t>3.227,50</t>
  </si>
  <si>
    <t>94.694,00</t>
  </si>
  <si>
    <t>7.838,50</t>
  </si>
  <si>
    <t>1.706,25</t>
  </si>
  <si>
    <t>948,75</t>
  </si>
  <si>
    <t>14.612,50</t>
  </si>
  <si>
    <t>8.100,00</t>
  </si>
  <si>
    <t>44.950,00</t>
  </si>
  <si>
    <t>2.415,00</t>
  </si>
  <si>
    <t>39.921,13</t>
  </si>
  <si>
    <t>40.673,20</t>
  </si>
  <si>
    <t>20.622,00</t>
  </si>
  <si>
    <t>146.806,27</t>
  </si>
  <si>
    <t>135.035,97</t>
  </si>
  <si>
    <t>100.890,64</t>
  </si>
  <si>
    <t>216.525,04</t>
  </si>
  <si>
    <t>121.212,52</t>
  </si>
  <si>
    <t>69.938,00</t>
  </si>
  <si>
    <t>226.754,00</t>
  </si>
  <si>
    <t>227.626,50</t>
  </si>
  <si>
    <t>226.492,00</t>
  </si>
  <si>
    <t>46.712,50</t>
  </si>
  <si>
    <t>1.982,06</t>
  </si>
  <si>
    <t>22.375,00</t>
  </si>
  <si>
    <t>9.725,00</t>
  </si>
  <si>
    <t>96.223,01</t>
  </si>
  <si>
    <t>2.200,00</t>
  </si>
  <si>
    <t>16.275,00</t>
  </si>
  <si>
    <t>948,25</t>
  </si>
  <si>
    <t>9.986,51</t>
  </si>
  <si>
    <t>4.466,25</t>
  </si>
  <si>
    <t>21.942,50</t>
  </si>
  <si>
    <t>19.635,00</t>
  </si>
  <si>
    <t>6.112,76</t>
  </si>
  <si>
    <t>7.625,00</t>
  </si>
  <si>
    <t>1.081,25</t>
  </si>
  <si>
    <t>5.479,13</t>
  </si>
  <si>
    <t>157,00</t>
  </si>
  <si>
    <t>3.160,00</t>
  </si>
  <si>
    <t>13.153,32</t>
  </si>
  <si>
    <t>4.187,50</t>
  </si>
  <si>
    <t>13.400,43</t>
  </si>
  <si>
    <t>3.890,20</t>
  </si>
  <si>
    <t>10.912,50</t>
  </si>
  <si>
    <t>5.678,75</t>
  </si>
  <si>
    <t>2.493,75</t>
  </si>
  <si>
    <t>114.242,50</t>
  </si>
  <si>
    <t>27.725,00</t>
  </si>
  <si>
    <t>29.481,25</t>
  </si>
  <si>
    <t>78.000,00</t>
  </si>
  <si>
    <t>1.688,40</t>
  </si>
  <si>
    <t>13.282,50</t>
  </si>
  <si>
    <t>5.550,00</t>
  </si>
  <si>
    <t>74.073,34</t>
  </si>
  <si>
    <t>2.061,25</t>
  </si>
  <si>
    <t>13.750,00</t>
  </si>
  <si>
    <t>7.187,50</t>
  </si>
  <si>
    <t>12.487,50</t>
  </si>
  <si>
    <t>81.994,25</t>
  </si>
  <si>
    <t>222.430,81</t>
  </si>
  <si>
    <t>2.112,98</t>
  </si>
  <si>
    <t>24.802,20</t>
  </si>
  <si>
    <t>45.487,50</t>
  </si>
  <si>
    <t>45.407,25</t>
  </si>
  <si>
    <t>84.687,50</t>
  </si>
  <si>
    <t>842,50</t>
  </si>
  <si>
    <t>202.500,00</t>
  </si>
  <si>
    <t>1.819,20</t>
  </si>
  <si>
    <t>4.577,50</t>
  </si>
  <si>
    <t>3.841,25</t>
  </si>
  <si>
    <t>8.138,75</t>
  </si>
  <si>
    <t>15.318,70</t>
  </si>
  <si>
    <t>1.042,09</t>
  </si>
  <si>
    <t>31.710,00</t>
  </si>
  <si>
    <t>4.436,48</t>
  </si>
  <si>
    <t>9.762,44</t>
  </si>
  <si>
    <t>9.677,50</t>
  </si>
  <si>
    <t>1.077,50</t>
  </si>
  <si>
    <t>29.321,25</t>
  </si>
  <si>
    <t>7.162,50</t>
  </si>
  <si>
    <t>6.981,69</t>
  </si>
  <si>
    <t>11.400,00</t>
  </si>
  <si>
    <t>58.875,00</t>
  </si>
  <si>
    <t>22.786,70</t>
  </si>
  <si>
    <t>5.362,50</t>
  </si>
  <si>
    <t>17.025,00</t>
  </si>
  <si>
    <t>112,50</t>
  </si>
  <si>
    <t>5.193,75</t>
  </si>
  <si>
    <t>26.631,25</t>
  </si>
  <si>
    <t>92.873,55</t>
  </si>
  <si>
    <t>8.124,71</t>
  </si>
  <si>
    <t>10.034,25</t>
  </si>
  <si>
    <t>3.961,51</t>
  </si>
  <si>
    <t>955,75</t>
  </si>
  <si>
    <t>937,51</t>
  </si>
  <si>
    <t>3.800,00</t>
  </si>
  <si>
    <t>3.256,80</t>
  </si>
  <si>
    <t>29.812,50</t>
  </si>
  <si>
    <t>2.507,00</t>
  </si>
  <si>
    <t>8.250,00</t>
  </si>
  <si>
    <t>8.416,53</t>
  </si>
  <si>
    <t>5.184,63</t>
  </si>
  <si>
    <t>3.728,75</t>
  </si>
  <si>
    <t>28.972,50</t>
  </si>
  <si>
    <t>32.000,00</t>
  </si>
  <si>
    <t>35.405,00</t>
  </si>
  <si>
    <t>19.980,00</t>
  </si>
  <si>
    <t>1.258,93</t>
  </si>
  <si>
    <t>5.433,13</t>
  </si>
  <si>
    <t>43.507,50</t>
  </si>
  <si>
    <t>4.806,25</t>
  </si>
  <si>
    <t>11.525,00</t>
  </si>
  <si>
    <t>15.350,00</t>
  </si>
  <si>
    <t>3.062,50</t>
  </si>
  <si>
    <t>28.875,00</t>
  </si>
  <si>
    <t>2.368,75</t>
  </si>
  <si>
    <t>13.160,00</t>
  </si>
  <si>
    <t>58.822,18</t>
  </si>
  <si>
    <t>10.247,45</t>
  </si>
  <si>
    <t>16.312,50</t>
  </si>
  <si>
    <t>13.875,00</t>
  </si>
  <si>
    <t>700,00</t>
  </si>
  <si>
    <t>11.228,75</t>
  </si>
  <si>
    <t>2.808,00</t>
  </si>
  <si>
    <t>1.264,00</t>
  </si>
  <si>
    <t>30.700,00</t>
  </si>
  <si>
    <t>23.408,25</t>
  </si>
  <si>
    <t>60.231,25</t>
  </si>
  <si>
    <t>2.450,00</t>
  </si>
  <si>
    <t>35.186,25</t>
  </si>
  <si>
    <t>3.701,63</t>
  </si>
  <si>
    <t>4.562,50</t>
  </si>
  <si>
    <t>2.312,50</t>
  </si>
  <si>
    <t>12.993,75</t>
  </si>
  <si>
    <t>2.575,00</t>
  </si>
  <si>
    <t>9.601,88</t>
  </si>
  <si>
    <t>167.332,50</t>
  </si>
  <si>
    <t>61.112,50</t>
  </si>
  <si>
    <t>9.506,25</t>
  </si>
  <si>
    <t>9.558,88</t>
  </si>
  <si>
    <t>13.927,50</t>
  </si>
  <si>
    <t>513,43</t>
  </si>
  <si>
    <t>5.430,00</t>
  </si>
  <si>
    <t>993,75</t>
  </si>
  <si>
    <t>225.872,50</t>
  </si>
  <si>
    <t>1.768,00</t>
  </si>
  <si>
    <t>31.763,18</t>
  </si>
  <si>
    <t>14.148,75</t>
  </si>
  <si>
    <t>52.421,35</t>
  </si>
  <si>
    <t>175.000,00</t>
  </si>
  <si>
    <t>263.408,67</t>
  </si>
  <si>
    <t>49.382,25</t>
  </si>
  <si>
    <t>850,80</t>
  </si>
  <si>
    <t>2.543.427,50</t>
  </si>
  <si>
    <t>254.513,19</t>
  </si>
  <si>
    <t>162.361,88</t>
  </si>
  <si>
    <t>280.362,94</t>
  </si>
  <si>
    <t>188.554,00</t>
  </si>
  <si>
    <t>267.491,02</t>
  </si>
  <si>
    <t>185.659,56</t>
  </si>
  <si>
    <t>538.236,25</t>
  </si>
  <si>
    <t>129.082,50</t>
  </si>
  <si>
    <t>2.815.665,42</t>
  </si>
  <si>
    <t>1.420.000,00</t>
  </si>
  <si>
    <t>465.327,00</t>
  </si>
  <si>
    <t>385.231,45</t>
  </si>
  <si>
    <t>826.169,44</t>
  </si>
  <si>
    <t>647.508,44</t>
  </si>
  <si>
    <t>406.611,01</t>
  </si>
  <si>
    <t>1.596.450,85</t>
  </si>
  <si>
    <t>1.140.148,48</t>
  </si>
  <si>
    <t>210.145,11</t>
  </si>
  <si>
    <t>11.474.145,71</t>
  </si>
  <si>
    <t>251.250,00</t>
  </si>
  <si>
    <t>362.812,50</t>
  </si>
  <si>
    <t>690.126,82</t>
  </si>
  <si>
    <t>539.371,83</t>
  </si>
  <si>
    <t>297.429,31</t>
  </si>
  <si>
    <t>1.429.152,53</t>
  </si>
  <si>
    <t>1.740.393,08</t>
  </si>
  <si>
    <t>58.177,36</t>
  </si>
  <si>
    <t>1.344.478,75</t>
  </si>
  <si>
    <t>1.025.815,14</t>
  </si>
  <si>
    <t>203.917,50</t>
  </si>
  <si>
    <t>460.312,05</t>
  </si>
  <si>
    <t>126.275,92</t>
  </si>
  <si>
    <t>760.497,38</t>
  </si>
  <si>
    <t>204.034,12</t>
  </si>
  <si>
    <t>1.287.544,84</t>
  </si>
  <si>
    <t>482.117,61</t>
  </si>
  <si>
    <t>92.400,00</t>
  </si>
  <si>
    <t>82.400,00</t>
  </si>
  <si>
    <t>1.291.285,45</t>
  </si>
  <si>
    <t>1.125.224,34</t>
  </si>
  <si>
    <t>1.247.951,05</t>
  </si>
  <si>
    <t>2.100.745,06</t>
  </si>
  <si>
    <t>2.104.050,48</t>
  </si>
  <si>
    <t>276.217,70</t>
  </si>
  <si>
    <t>633.301,25</t>
  </si>
  <si>
    <t>658.386,25</t>
  </si>
  <si>
    <t>206.602,21</t>
  </si>
  <si>
    <t>232.637,13</t>
  </si>
  <si>
    <t>1.237.705,51</t>
  </si>
  <si>
    <t>191.635,00</t>
  </si>
  <si>
    <t>802.757,50</t>
  </si>
  <si>
    <t>700.369,56</t>
  </si>
  <si>
    <t>762.170,65</t>
  </si>
  <si>
    <t>1.060.844,84</t>
  </si>
  <si>
    <t>2.167.483,04</t>
  </si>
  <si>
    <t>769.158,80</t>
  </si>
  <si>
    <t>583.175,00</t>
  </si>
  <si>
    <t>1.012.500,00</t>
  </si>
  <si>
    <t>1.969.828,92</t>
  </si>
  <si>
    <t>232.451,75</t>
  </si>
  <si>
    <t>960.310,86</t>
  </si>
  <si>
    <t>1.052.447,06</t>
  </si>
  <si>
    <t>1.030.441,75</t>
  </si>
  <si>
    <t>3.893,34</t>
  </si>
  <si>
    <t>814.425,88</t>
  </si>
  <si>
    <t>2.667.089,35</t>
  </si>
  <si>
    <t>428.989,38</t>
  </si>
  <si>
    <t>6.057.874,56</t>
  </si>
  <si>
    <t>4.685.850,95</t>
  </si>
  <si>
    <t>4.140.583,18</t>
  </si>
  <si>
    <t>122.273,34</t>
  </si>
  <si>
    <t>4.010.300,01</t>
  </si>
  <si>
    <t>897.759,82</t>
  </si>
  <si>
    <t>373.775,00</t>
  </si>
  <si>
    <t>257.931,25</t>
  </si>
  <si>
    <t>1.798.433,18</t>
  </si>
  <si>
    <t>892.425,98</t>
  </si>
  <si>
    <t>938.000,00</t>
  </si>
  <si>
    <t>683.335,33</t>
  </si>
  <si>
    <t>12.056.076,25</t>
  </si>
  <si>
    <t>796.172,38</t>
  </si>
  <si>
    <t>531.389,85</t>
  </si>
  <si>
    <t>2.360.062,50</t>
  </si>
  <si>
    <t>1.233.025,84</t>
  </si>
  <si>
    <t>725.000,00</t>
  </si>
  <si>
    <t>439.983,75</t>
  </si>
  <si>
    <t>1.144.583,03</t>
  </si>
  <si>
    <t>402.118,56</t>
  </si>
  <si>
    <t>297.500,00</t>
  </si>
  <si>
    <t>311.298,75</t>
  </si>
  <si>
    <t>1.084.548,02</t>
  </si>
  <si>
    <t>214.051,28</t>
  </si>
  <si>
    <t>872.139,61</t>
  </si>
  <si>
    <t>11.478.218,30</t>
  </si>
  <si>
    <t>1.620.641,06</t>
  </si>
  <si>
    <t>1.247.751,10</t>
  </si>
  <si>
    <t>640.532,50</t>
  </si>
  <si>
    <t>53.656,25</t>
  </si>
  <si>
    <t>5.301.212,53</t>
  </si>
  <si>
    <t>137.720,00</t>
  </si>
  <si>
    <t>101.600,00</t>
  </si>
  <si>
    <t>6.048,00</t>
  </si>
  <si>
    <t>589.185,50</t>
  </si>
  <si>
    <t>38.264.769,36</t>
  </si>
  <si>
    <t>673.453,27</t>
  </si>
  <si>
    <t>2.776.334,20</t>
  </si>
  <si>
    <t>1.041.700,95</t>
  </si>
  <si>
    <t>185.338,73</t>
  </si>
  <si>
    <t>1.501.467,88</t>
  </si>
  <si>
    <t>1.330.017,88</t>
  </si>
  <si>
    <t>1.104.903,28</t>
  </si>
  <si>
    <t>34.815,60</t>
  </si>
  <si>
    <t>592.541,44</t>
  </si>
  <si>
    <t>833.630,35</t>
  </si>
  <si>
    <t>5.497.360,17</t>
  </si>
  <si>
    <t>541.855,02</t>
  </si>
  <si>
    <t>343.750,00</t>
  </si>
  <si>
    <t>411.512,00</t>
  </si>
  <si>
    <t>330.675,00</t>
  </si>
  <si>
    <t>1.787.043,41</t>
  </si>
  <si>
    <t>1.221.887,42</t>
  </si>
  <si>
    <t>413.087,50</t>
  </si>
  <si>
    <t>1.039.659,95</t>
  </si>
  <si>
    <t>691.768,75</t>
  </si>
  <si>
    <t>2.554.164,42</t>
  </si>
  <si>
    <t>859.744,36</t>
  </si>
  <si>
    <t>15.562,50</t>
  </si>
  <si>
    <t>238.920,00</t>
  </si>
  <si>
    <t>727.960,75</t>
  </si>
  <si>
    <t>82.720,00</t>
  </si>
  <si>
    <t>5.864.284,30</t>
  </si>
  <si>
    <t>335.312,50</t>
  </si>
  <si>
    <t>3.583.405,24</t>
  </si>
  <si>
    <t>843.000,00</t>
  </si>
  <si>
    <t>262.430,00</t>
  </si>
  <si>
    <t>986.371,30</t>
  </si>
  <si>
    <t>1.334.801,18</t>
  </si>
  <si>
    <t>1.128.368,32</t>
  </si>
  <si>
    <t>726.186,26</t>
  </si>
  <si>
    <t>1.335.271,96</t>
  </si>
  <si>
    <t>753.173,50</t>
  </si>
  <si>
    <t>271.231,25</t>
  </si>
  <si>
    <t>1.277.917,64</t>
  </si>
  <si>
    <t>2.941.099,65</t>
  </si>
  <si>
    <t>639.657,39</t>
  </si>
  <si>
    <t>1.365.145,69</t>
  </si>
  <si>
    <t>458.996,54</t>
  </si>
  <si>
    <t>3.743.177,41</t>
  </si>
  <si>
    <t>1.681.547,65</t>
  </si>
  <si>
    <t>1.927.409,64</t>
  </si>
  <si>
    <t>1.617.987,50</t>
  </si>
  <si>
    <t>201.517,11</t>
  </si>
  <si>
    <t>853.989,61</t>
  </si>
  <si>
    <t>14.400,00</t>
  </si>
  <si>
    <t>1.580.222,25</t>
  </si>
  <si>
    <t>34.486,92</t>
  </si>
  <si>
    <t>1.578.262,50</t>
  </si>
  <si>
    <t>717.747,99</t>
  </si>
  <si>
    <t>1.716.490,66</t>
  </si>
  <si>
    <t>4.565.847,04</t>
  </si>
  <si>
    <t>218.190,00</t>
  </si>
  <si>
    <t>30.275,00</t>
  </si>
  <si>
    <t>2.085.529,23</t>
  </si>
  <si>
    <t>2.766.709,45</t>
  </si>
  <si>
    <t>205.979,85</t>
  </si>
  <si>
    <t>6.515.823,00</t>
  </si>
  <si>
    <t>653.082,04</t>
  </si>
  <si>
    <t>618.676,75</t>
  </si>
  <si>
    <t>1.688.701,22</t>
  </si>
  <si>
    <t>4.170.353,69</t>
  </si>
  <si>
    <t>2.365.669,96</t>
  </si>
  <si>
    <t>3.646.329,71</t>
  </si>
  <si>
    <t>361.769,90</t>
  </si>
  <si>
    <t>2.521.718,41</t>
  </si>
  <si>
    <t>694.117,00</t>
  </si>
  <si>
    <t>359.959,82</t>
  </si>
  <si>
    <t>63.293,30</t>
  </si>
  <si>
    <t>74.483,50</t>
  </si>
  <si>
    <t>383.814,36</t>
  </si>
  <si>
    <t>721.966,31</t>
  </si>
  <si>
    <t>535.583,10</t>
  </si>
  <si>
    <t>652.629,54</t>
  </si>
  <si>
    <t>1.899.293,41</t>
  </si>
  <si>
    <t>507.466,75</t>
  </si>
  <si>
    <t>1.319.453,84</t>
  </si>
  <si>
    <t>779.576,88</t>
  </si>
  <si>
    <t>2.313.394,92</t>
  </si>
  <si>
    <t>1.841.310,00</t>
  </si>
  <si>
    <t>593.402,69</t>
  </si>
  <si>
    <t>15.375,00</t>
  </si>
  <si>
    <t>2.854.087,50</t>
  </si>
  <si>
    <t>9.339.984,38</t>
  </si>
  <si>
    <t>1.005.221,19</t>
  </si>
  <si>
    <t>94.500,00</t>
  </si>
  <si>
    <t>2.822.377,14</t>
  </si>
  <si>
    <t>969.788,34</t>
  </si>
  <si>
    <t>1.628.998,54</t>
  </si>
  <si>
    <t>571.234,95</t>
  </si>
  <si>
    <t>9.833.982,45</t>
  </si>
  <si>
    <t>1.109.403,08</t>
  </si>
  <si>
    <t>420.998,28</t>
  </si>
  <si>
    <t>1.449.720,21</t>
  </si>
  <si>
    <t>108.490,62</t>
  </si>
  <si>
    <t>13.708.883,33</t>
  </si>
  <si>
    <t>1.732.287,26</t>
  </si>
  <si>
    <t>3.359.337,05</t>
  </si>
  <si>
    <t>790.625,00</t>
  </si>
  <si>
    <t>622.812,50</t>
  </si>
  <si>
    <t>992.218,26</t>
  </si>
  <si>
    <t>2.816.372,07</t>
  </si>
  <si>
    <t>125.497,36</t>
  </si>
  <si>
    <t>91.672,00</t>
  </si>
  <si>
    <t>2.912.021,88</t>
  </si>
  <si>
    <t>3.140.835,31</t>
  </si>
  <si>
    <t>690.916,88</t>
  </si>
  <si>
    <t>1.954.906,44</t>
  </si>
  <si>
    <t>1.147.246,25</t>
  </si>
  <si>
    <t>102.704,68</t>
  </si>
  <si>
    <t>202.702,34</t>
  </si>
  <si>
    <t>7.312,99</t>
  </si>
  <si>
    <t>171.670,88</t>
  </si>
  <si>
    <t>590.750,00</t>
  </si>
  <si>
    <t>502.875,12</t>
  </si>
  <si>
    <t>2.564.014,50</t>
  </si>
  <si>
    <t>581.636,35</t>
  </si>
  <si>
    <t>1.652.856,64</t>
  </si>
  <si>
    <t>766.468,61</t>
  </si>
  <si>
    <t>20.761,85</t>
  </si>
  <si>
    <t>40.131,07</t>
  </si>
  <si>
    <t>81.371,69</t>
  </si>
  <si>
    <t>493.475,00</t>
  </si>
  <si>
    <t>208.187,50</t>
  </si>
  <si>
    <t>1.398.497,54</t>
  </si>
  <si>
    <t>3.880.241,45</t>
  </si>
  <si>
    <t>49.612,88</t>
  </si>
  <si>
    <t>50.270,00</t>
  </si>
  <si>
    <t>250.985,24</t>
  </si>
  <si>
    <t>1.049.453,36</t>
  </si>
  <si>
    <t>226.418,55</t>
  </si>
  <si>
    <t>774.702,64</t>
  </si>
  <si>
    <t>105.025,88</t>
  </si>
  <si>
    <t>38.177,61</t>
  </si>
  <si>
    <t>24.442,75</t>
  </si>
  <si>
    <t>303.021,21</t>
  </si>
  <si>
    <t>37.198,75</t>
  </si>
  <si>
    <t>3.359.646,95</t>
  </si>
  <si>
    <t>808.785,31</t>
  </si>
  <si>
    <t>67.437,50</t>
  </si>
  <si>
    <t>37.681,19</t>
  </si>
  <si>
    <t>45.765,87</t>
  </si>
  <si>
    <t>162.685,68</t>
  </si>
  <si>
    <t>522.708,34</t>
  </si>
  <si>
    <t>1.594.097,05</t>
  </si>
  <si>
    <t>208.447,22</t>
  </si>
  <si>
    <t>208.645,76</t>
  </si>
  <si>
    <t>185.625,00</t>
  </si>
  <si>
    <t>110.625,00</t>
  </si>
  <si>
    <t>67.559,74</t>
  </si>
  <si>
    <t>85.450,00</t>
  </si>
  <si>
    <t>57.500,00</t>
  </si>
  <si>
    <t>67.268,80</t>
  </si>
  <si>
    <t>396.118,84</t>
  </si>
  <si>
    <t>34.190,00</t>
  </si>
  <si>
    <t>259.725,15</t>
  </si>
  <si>
    <t>288.980,00</t>
  </si>
  <si>
    <t>373.966,60</t>
  </si>
  <si>
    <t>355.226,35</t>
  </si>
  <si>
    <t>93.117,50</t>
  </si>
  <si>
    <t>183.527,68</t>
  </si>
  <si>
    <t>253.476,15</t>
  </si>
  <si>
    <t>290.017,91</t>
  </si>
  <si>
    <t>256.579,36</t>
  </si>
  <si>
    <t>447.597,28</t>
  </si>
  <si>
    <t>331.453,88</t>
  </si>
  <si>
    <t>70.112,50</t>
  </si>
  <si>
    <t>82.287,50</t>
  </si>
  <si>
    <t>309.825,62</t>
  </si>
  <si>
    <t>206.812,36</t>
  </si>
  <si>
    <t>29.250,00</t>
  </si>
  <si>
    <t>233.910,00</t>
  </si>
  <si>
    <t>197.124,12</t>
  </si>
  <si>
    <t>124.375,00</t>
  </si>
  <si>
    <t>352.982,88</t>
  </si>
  <si>
    <t>172.701,08</t>
  </si>
  <si>
    <t>155.873,75</t>
  </si>
  <si>
    <t>84.875,00</t>
  </si>
  <si>
    <t>74.534,66</t>
  </si>
  <si>
    <t>119.007,50</t>
  </si>
  <si>
    <t>47.500,00</t>
  </si>
  <si>
    <t>104.343,90</t>
  </si>
  <si>
    <t>294.474,45</t>
  </si>
  <si>
    <t>32.984,13</t>
  </si>
  <si>
    <t>37.337,50</t>
  </si>
  <si>
    <t>58.340,00</t>
  </si>
  <si>
    <t>498.302,00</t>
  </si>
  <si>
    <t>175.800,00</t>
  </si>
  <si>
    <t>178.104,17</t>
  </si>
  <si>
    <t>118.233,09</t>
  </si>
  <si>
    <t>161.500,00</t>
  </si>
  <si>
    <t>26.460,00</t>
  </si>
  <si>
    <t>95.833,34</t>
  </si>
  <si>
    <t>242.812,50</t>
  </si>
  <si>
    <t>83.196,88</t>
  </si>
  <si>
    <t>195.243,15</t>
  </si>
  <si>
    <t>31.478,36</t>
  </si>
  <si>
    <t>34.113,75</t>
  </si>
  <si>
    <t>235.883,53</t>
  </si>
  <si>
    <t>168.250,00</t>
  </si>
  <si>
    <t>53.537,83</t>
  </si>
  <si>
    <t>366.098,75</t>
  </si>
  <si>
    <t>21.865,63</t>
  </si>
  <si>
    <t>172.532,00</t>
  </si>
  <si>
    <t>457.517,67</t>
  </si>
  <si>
    <t>174.902,26</t>
  </si>
  <si>
    <t>125.287,04</t>
  </si>
  <si>
    <t>77.578,00</t>
  </si>
  <si>
    <t>359.273,63</t>
  </si>
  <si>
    <t>139.062,50</t>
  </si>
  <si>
    <t>33.535,00</t>
  </si>
  <si>
    <t>299.237,04</t>
  </si>
  <si>
    <t>277.661,25</t>
  </si>
  <si>
    <t>1.812,50</t>
  </si>
  <si>
    <t>33.215,30</t>
  </si>
  <si>
    <t>194.168,49</t>
  </si>
  <si>
    <t>252.540,75</t>
  </si>
  <si>
    <t>76.668,75</t>
  </si>
  <si>
    <t>182.678,62</t>
  </si>
  <si>
    <t>7.787,50</t>
  </si>
  <si>
    <t>305.541,79</t>
  </si>
  <si>
    <t>78.750,00</t>
  </si>
  <si>
    <t>217.882,50</t>
  </si>
  <si>
    <t>268.957,24</t>
  </si>
  <si>
    <t>264.146,64</t>
  </si>
  <si>
    <t>240.314,69</t>
  </si>
  <si>
    <t>323.533,95</t>
  </si>
  <si>
    <t>596.483,96</t>
  </si>
  <si>
    <t>239.045,10</t>
  </si>
  <si>
    <t>199.749,18</t>
  </si>
  <si>
    <t>126.108,18</t>
  </si>
  <si>
    <t>454.617,75</t>
  </si>
  <si>
    <t>95.359,50</t>
  </si>
  <si>
    <t>21.500,00</t>
  </si>
  <si>
    <t>550.242,84</t>
  </si>
  <si>
    <t>297.511,76</t>
  </si>
  <si>
    <t>37.274,38</t>
  </si>
  <si>
    <t>102.951,28</t>
  </si>
  <si>
    <t>92.748,18</t>
  </si>
  <si>
    <t>242.262,01</t>
  </si>
  <si>
    <t>113.862,50</t>
  </si>
  <si>
    <t>155.064,00</t>
  </si>
  <si>
    <t>74.437,50</t>
  </si>
  <si>
    <t>189.671,50</t>
  </si>
  <si>
    <t>59.455,33</t>
  </si>
  <si>
    <t>240.275,00</t>
  </si>
  <si>
    <t>237.697,37</t>
  </si>
  <si>
    <t>85.625,00</t>
  </si>
  <si>
    <t>165.579,21</t>
  </si>
  <si>
    <t>71.375,00</t>
  </si>
  <si>
    <t>214.008,75</t>
  </si>
  <si>
    <t>397.497,26</t>
  </si>
  <si>
    <t>43.750,00</t>
  </si>
  <si>
    <t>119.328,22</t>
  </si>
  <si>
    <t>487.441,83</t>
  </si>
  <si>
    <t>358.112,18</t>
  </si>
  <si>
    <t>349.890,70</t>
  </si>
  <si>
    <t>105.987,50</t>
  </si>
  <si>
    <t>40.363,75</t>
  </si>
  <si>
    <t>5.001,75</t>
  </si>
  <si>
    <t>73.712,50</t>
  </si>
  <si>
    <t>106.335,00</t>
  </si>
  <si>
    <t>72.812,50</t>
  </si>
  <si>
    <t>72.975,95</t>
  </si>
  <si>
    <t>19.529,08</t>
  </si>
  <si>
    <t>37.125,00</t>
  </si>
  <si>
    <t>78.526,12</t>
  </si>
  <si>
    <t>33.456,25</t>
  </si>
  <si>
    <t>199.401,75</t>
  </si>
  <si>
    <t>105.640,00</t>
  </si>
  <si>
    <t>82.732,01</t>
  </si>
  <si>
    <t>24.276,04</t>
  </si>
  <si>
    <t>11.000,00</t>
  </si>
  <si>
    <t>76.388,00</t>
  </si>
  <si>
    <t>73.429,08</t>
  </si>
  <si>
    <t>85.862,11</t>
  </si>
  <si>
    <t>88.972,50</t>
  </si>
  <si>
    <t>145.094,25</t>
  </si>
  <si>
    <t>152.250,00</t>
  </si>
  <si>
    <t>82.731,99</t>
  </si>
  <si>
    <t>36.689,70</t>
  </si>
  <si>
    <t>123.461,98</t>
  </si>
  <si>
    <t>80.416,36</t>
  </si>
  <si>
    <t>105.796,40</t>
  </si>
  <si>
    <t>610.953,24</t>
  </si>
  <si>
    <t>53.871,34</t>
  </si>
  <si>
    <t>606.971,75</t>
  </si>
  <si>
    <t>112.500,00</t>
  </si>
  <si>
    <t>82.731,98</t>
  </si>
  <si>
    <t>95.306,44</t>
  </si>
  <si>
    <t>8.106,15</t>
  </si>
  <si>
    <t>244.687,50</t>
  </si>
  <si>
    <t>6.900,00</t>
  </si>
  <si>
    <t>121.076,02</t>
  </si>
  <si>
    <t>16.212,72</t>
  </si>
  <si>
    <t>14.077,50</t>
  </si>
  <si>
    <t>77.336,33</t>
  </si>
  <si>
    <t>12.384,74</t>
  </si>
  <si>
    <t>20.957,50</t>
  </si>
  <si>
    <t>80.762,16</t>
  </si>
  <si>
    <t>6.050,00</t>
  </si>
  <si>
    <t>8.587,50</t>
  </si>
  <si>
    <t>27.817,50</t>
  </si>
  <si>
    <t>121.268,31</t>
  </si>
  <si>
    <t>82.730,00</t>
  </si>
  <si>
    <t>92.743,44</t>
  </si>
  <si>
    <t>67.218,75</t>
  </si>
  <si>
    <t>73.762,50</t>
  </si>
  <si>
    <t>13.689,50</t>
  </si>
  <si>
    <t>13.652,00</t>
  </si>
  <si>
    <t>19.128,45</t>
  </si>
  <si>
    <t>65.648,55</t>
  </si>
  <si>
    <t>175.932,50</t>
  </si>
  <si>
    <t>5.687,50</t>
  </si>
  <si>
    <t>34.062,50</t>
  </si>
  <si>
    <t>90.821,58</t>
  </si>
  <si>
    <t>18.761,62</t>
  </si>
  <si>
    <t>34.894,66</t>
  </si>
  <si>
    <t>2.252,50</t>
  </si>
  <si>
    <t>7.157,06</t>
  </si>
  <si>
    <t>18.521,25</t>
  </si>
  <si>
    <t>12.684,38</t>
  </si>
  <si>
    <t>126,00</t>
  </si>
  <si>
    <t>16.649,59</t>
  </si>
  <si>
    <t>11.922,50</t>
  </si>
  <si>
    <t>94.495,99</t>
  </si>
  <si>
    <t>4.852,99</t>
  </si>
  <si>
    <t>2.558,75</t>
  </si>
  <si>
    <t>7.799,88</t>
  </si>
  <si>
    <t>7.562,50</t>
  </si>
  <si>
    <t>1.739,06</t>
  </si>
  <si>
    <t>4.286,45</t>
  </si>
  <si>
    <t>771,75</t>
  </si>
  <si>
    <t>24.380,00</t>
  </si>
  <si>
    <t>6.696,20</t>
  </si>
  <si>
    <t>5.654,39</t>
  </si>
  <si>
    <t>8.941,14</t>
  </si>
  <si>
    <t>8.024,40</t>
  </si>
  <si>
    <t>66.000,00</t>
  </si>
  <si>
    <t>16.125,00</t>
  </si>
  <si>
    <t>2.968,75</t>
  </si>
  <si>
    <t>1.434,38</t>
  </si>
  <si>
    <t>3.285,56</t>
  </si>
  <si>
    <t>1.754,38</t>
  </si>
  <si>
    <t>672,50</t>
  </si>
  <si>
    <t>12.884,00</t>
  </si>
  <si>
    <t>12.060,15</t>
  </si>
  <si>
    <t>8.855,00</t>
  </si>
  <si>
    <t>23.150,00</t>
  </si>
  <si>
    <t>7.175,00</t>
  </si>
  <si>
    <t>44.000,72</t>
  </si>
  <si>
    <t>18.697,20</t>
  </si>
  <si>
    <t>2.434,85</t>
  </si>
  <si>
    <t>2.955,98</t>
  </si>
  <si>
    <t>3.231,75</t>
  </si>
  <si>
    <t>2.304,38</t>
  </si>
  <si>
    <t>17.937,50</t>
  </si>
  <si>
    <t>103.750,00</t>
  </si>
  <si>
    <t>12.507,75</t>
  </si>
  <si>
    <t>2.018,75</t>
  </si>
  <si>
    <t>1.887,50</t>
  </si>
  <si>
    <t>10.799,99</t>
  </si>
  <si>
    <t>11.117,68</t>
  </si>
  <si>
    <t>84.331,25</t>
  </si>
  <si>
    <t>8.715,04</t>
  </si>
  <si>
    <t>27.846,25</t>
  </si>
  <si>
    <t>210.867,48</t>
  </si>
  <si>
    <t>237.291,25</t>
  </si>
  <si>
    <t>3.112,92</t>
  </si>
  <si>
    <t>6.572,02</t>
  </si>
  <si>
    <t>86.839,50</t>
  </si>
  <si>
    <t>23.406,84</t>
  </si>
  <si>
    <t>5.513,73</t>
  </si>
  <si>
    <t>270,00</t>
  </si>
  <si>
    <t>1.550,63</t>
  </si>
  <si>
    <t>29.153,38</t>
  </si>
  <si>
    <t>24.950,34</t>
  </si>
  <si>
    <t>1.855,00</t>
  </si>
  <si>
    <t>605,13</t>
  </si>
  <si>
    <t>18.034,89</t>
  </si>
  <si>
    <t>1.120,00</t>
  </si>
  <si>
    <t>770,25</t>
  </si>
  <si>
    <t>4.695,75</t>
  </si>
  <si>
    <t>99.650,00</t>
  </si>
  <si>
    <t>8.686,04</t>
  </si>
  <si>
    <t>1.913,50</t>
  </si>
  <si>
    <t>5.195,35</t>
  </si>
  <si>
    <t>32.098,75</t>
  </si>
  <si>
    <t>167.563,71</t>
  </si>
  <si>
    <t>18.337,50</t>
  </si>
  <si>
    <t>67.417,15</t>
  </si>
  <si>
    <t>25.398,24</t>
  </si>
  <si>
    <t>62.191,46</t>
  </si>
  <si>
    <t>12.750,00</t>
  </si>
  <si>
    <t>1.566,72</t>
  </si>
  <si>
    <t>29.625,00</t>
  </si>
  <si>
    <t>25.974,25</t>
  </si>
  <si>
    <t>19.329,75</t>
  </si>
  <si>
    <t>806,56</t>
  </si>
  <si>
    <t>9.750,00</t>
  </si>
  <si>
    <t>557.000,00</t>
  </si>
  <si>
    <t>79.305,00</t>
  </si>
  <si>
    <t>178.945,31</t>
  </si>
  <si>
    <t>92.812,50</t>
  </si>
  <si>
    <t>149.902,12</t>
  </si>
  <si>
    <t>2.903,04</t>
  </si>
  <si>
    <t>5.921,30</t>
  </si>
  <si>
    <t>52.766,65</t>
  </si>
  <si>
    <t>5.590,00</t>
  </si>
  <si>
    <t>28.532,50</t>
  </si>
  <si>
    <t>80.222,50</t>
  </si>
  <si>
    <t>18.525,00</t>
  </si>
  <si>
    <t>13.087,00</t>
  </si>
  <si>
    <t>1.181,25</t>
  </si>
  <si>
    <t>10.085,00</t>
  </si>
  <si>
    <t>1.984,94</t>
  </si>
  <si>
    <t>3.014,55</t>
  </si>
  <si>
    <t>186.375,00</t>
  </si>
  <si>
    <t>6.498,38</t>
  </si>
  <si>
    <t>219.750,00</t>
  </si>
  <si>
    <t>4.635,00</t>
  </si>
  <si>
    <t>27.110,00</t>
  </si>
  <si>
    <t>3.714,36</t>
  </si>
  <si>
    <t>5.112,25</t>
  </si>
  <si>
    <t>7.128,29</t>
  </si>
  <si>
    <t>1.049,00</t>
  </si>
  <si>
    <t>10.312,50</t>
  </si>
  <si>
    <t>4.567,06</t>
  </si>
  <si>
    <t>1.362,50</t>
  </si>
  <si>
    <t>10.562,26</t>
  </si>
  <si>
    <t>2.860,00</t>
  </si>
  <si>
    <t>81.520,86</t>
  </si>
  <si>
    <t>4.672,02</t>
  </si>
  <si>
    <t>9.355,72</t>
  </si>
  <si>
    <t>7.627,68</t>
  </si>
  <si>
    <t>86.150,00</t>
  </si>
  <si>
    <t>41.837,50</t>
  </si>
  <si>
    <t>4.275,50</t>
  </si>
  <si>
    <t>5.253,75</t>
  </si>
  <si>
    <t>36.625,00</t>
  </si>
  <si>
    <t>119.112,45</t>
  </si>
  <si>
    <t>38.236,50</t>
  </si>
  <si>
    <t>13.835,00</t>
  </si>
  <si>
    <t>4.035,00</t>
  </si>
  <si>
    <t>39.937,50</t>
  </si>
  <si>
    <t>132.250,00</t>
  </si>
  <si>
    <t>10.797,50</t>
  </si>
  <si>
    <t>27.512,50</t>
  </si>
  <si>
    <t>29.145,76</t>
  </si>
  <si>
    <t>32.837,50</t>
  </si>
  <si>
    <t>718,75</t>
  </si>
  <si>
    <t>9.702,50</t>
  </si>
  <si>
    <t>4.881,50</t>
  </si>
  <si>
    <t>7.262,50</t>
  </si>
  <si>
    <t>38.647,13</t>
  </si>
  <si>
    <t>58.725,25</t>
  </si>
  <si>
    <t>14.372,93</t>
  </si>
  <si>
    <t>47.359,32</t>
  </si>
  <si>
    <t>49.550,00</t>
  </si>
  <si>
    <t>163.900,00</t>
  </si>
  <si>
    <t>87.963,61</t>
  </si>
  <si>
    <t>5.880,00</t>
  </si>
  <si>
    <t>6.365,00</t>
  </si>
  <si>
    <t>98.707,50</t>
  </si>
  <si>
    <t>24.786,76</t>
  </si>
  <si>
    <t>486.888,80</t>
  </si>
  <si>
    <t>14.800,00</t>
  </si>
  <si>
    <t>11.208,75</t>
  </si>
  <si>
    <t>480,61</t>
  </si>
  <si>
    <t>21.373,04</t>
  </si>
  <si>
    <t>5.089,50</t>
  </si>
  <si>
    <t>942,18</t>
  </si>
  <si>
    <t>20.440,00</t>
  </si>
  <si>
    <t>35.537,50</t>
  </si>
  <si>
    <t>30.770,00</t>
  </si>
  <si>
    <t>50.257,55</t>
  </si>
  <si>
    <t>24.480,00</t>
  </si>
  <si>
    <t>42.947,92</t>
  </si>
  <si>
    <t>627,75</t>
  </si>
  <si>
    <t>167.878,05</t>
  </si>
  <si>
    <t>5.289,60</t>
  </si>
  <si>
    <t>330.817,05</t>
  </si>
  <si>
    <t>40.837,50</t>
  </si>
  <si>
    <t>7.220,08</t>
  </si>
  <si>
    <t>6.700,00</t>
  </si>
  <si>
    <t>85.515,75</t>
  </si>
  <si>
    <t>134.112,49</t>
  </si>
  <si>
    <t>194.597,19</t>
  </si>
  <si>
    <t>9.787,50</t>
  </si>
  <si>
    <t>18.875,00</t>
  </si>
  <si>
    <t>70.192,42</t>
  </si>
  <si>
    <t>134.962,50</t>
  </si>
  <si>
    <t>110.132,50</t>
  </si>
  <si>
    <t>17.525,00</t>
  </si>
  <si>
    <t>16.032,40</t>
  </si>
  <si>
    <t>6.426,00</t>
  </si>
  <si>
    <t>246.982,82</t>
  </si>
  <si>
    <t>34.282,00</t>
  </si>
  <si>
    <t>12.475,00</t>
  </si>
  <si>
    <t>125,00</t>
  </si>
  <si>
    <t>59.239,67</t>
  </si>
  <si>
    <t>18.614,48</t>
  </si>
  <si>
    <t>31.238,06</t>
  </si>
  <si>
    <t>4.008,75</t>
  </si>
  <si>
    <t>9.428,79</t>
  </si>
  <si>
    <t>7.403,50</t>
  </si>
  <si>
    <t>2.549,38</t>
  </si>
  <si>
    <t>3.322,40</t>
  </si>
  <si>
    <t>218.625,00</t>
  </si>
  <si>
    <t>181.350,00</t>
  </si>
  <si>
    <t>4.900,18</t>
  </si>
  <si>
    <t>476.501,75</t>
  </si>
  <si>
    <t>110.830,63</t>
  </si>
  <si>
    <t>23.852,25</t>
  </si>
  <si>
    <t>195.000,00</t>
  </si>
  <si>
    <t>172.456,45</t>
  </si>
  <si>
    <t>76.577,98</t>
  </si>
  <si>
    <t>11.029,62</t>
  </si>
  <si>
    <t>90.005,00</t>
  </si>
  <si>
    <t>4.329,90</t>
  </si>
  <si>
    <t>3.487,50</t>
  </si>
  <si>
    <t>87.474,95</t>
  </si>
  <si>
    <t>2.010,80</t>
  </si>
  <si>
    <t>6.289,54</t>
  </si>
  <si>
    <t>10.076,96</t>
  </si>
  <si>
    <t>55.224,88</t>
  </si>
  <si>
    <t>1.067,50</t>
  </si>
  <si>
    <t>9.590,86</t>
  </si>
  <si>
    <t>186.964,66</t>
  </si>
  <si>
    <t>1.283,98</t>
  </si>
  <si>
    <t>2.972,50</t>
  </si>
  <si>
    <t>15.540,00</t>
  </si>
  <si>
    <t>42.802,75</t>
  </si>
  <si>
    <t>13.166,58</t>
  </si>
  <si>
    <t>21.437,58</t>
  </si>
  <si>
    <t>8.893,75</t>
  </si>
  <si>
    <t>26.147,50</t>
  </si>
  <si>
    <t>195.342,50</t>
  </si>
  <si>
    <t>19.530,00</t>
  </si>
  <si>
    <t>61.444,33</t>
  </si>
  <si>
    <t>154.475,00</t>
  </si>
  <si>
    <t>10.192,50</t>
  </si>
  <si>
    <t>5.391,71</t>
  </si>
  <si>
    <t>1.082,50</t>
  </si>
  <si>
    <t>2.550,00</t>
  </si>
  <si>
    <t>4.885,44</t>
  </si>
  <si>
    <t>1.381,26</t>
  </si>
  <si>
    <t>319,19</t>
  </si>
  <si>
    <t>69.927,42</t>
  </si>
  <si>
    <t>8.925,00</t>
  </si>
  <si>
    <t>95.208,75</t>
  </si>
  <si>
    <t>108.191,60</t>
  </si>
  <si>
    <t>2.314,98</t>
  </si>
  <si>
    <t>11.862,19</t>
  </si>
  <si>
    <t>88.732,50</t>
  </si>
  <si>
    <t>84.849,54</t>
  </si>
  <si>
    <t>74.252,50</t>
  </si>
  <si>
    <t>855,00</t>
  </si>
  <si>
    <t>8.170,00</t>
  </si>
  <si>
    <t>80.525,00</t>
  </si>
  <si>
    <t>52.580,00</t>
  </si>
  <si>
    <t>151.123,57</t>
  </si>
  <si>
    <t>935,76</t>
  </si>
  <si>
    <t>38.285,20</t>
  </si>
  <si>
    <t>197.524,00</t>
  </si>
  <si>
    <t>1.168,75</t>
  </si>
  <si>
    <t>80.500,00</t>
  </si>
  <si>
    <t>15.481,94</t>
  </si>
  <si>
    <t>26.593,75</t>
  </si>
  <si>
    <t>12.298,50</t>
  </si>
  <si>
    <t>55.000,00</t>
  </si>
  <si>
    <t>718,85</t>
  </si>
  <si>
    <t>7.350,00</t>
  </si>
  <si>
    <t>65.368,00</t>
  </si>
  <si>
    <t>9.406,25</t>
  </si>
  <si>
    <t>13.168,75</t>
  </si>
  <si>
    <t>1.134,38</t>
  </si>
  <si>
    <t>12.207,81</t>
  </si>
  <si>
    <t>1.889,18</t>
  </si>
  <si>
    <t>24.717,81</t>
  </si>
  <si>
    <t>6.960,00</t>
  </si>
  <si>
    <t>34.133,23</t>
  </si>
  <si>
    <t>3.090,60</t>
  </si>
  <si>
    <t>28.981,25</t>
  </si>
  <si>
    <t>246.950,00</t>
  </si>
  <si>
    <t>54.700,00</t>
  </si>
  <si>
    <t>1.230,00</t>
  </si>
  <si>
    <t>54.342,09</t>
  </si>
  <si>
    <t>74.520,00</t>
  </si>
  <si>
    <t>22.978,13</t>
  </si>
  <si>
    <t>10.696,06</t>
  </si>
  <si>
    <t>22.649,39</t>
  </si>
  <si>
    <t>29.574,28</t>
  </si>
  <si>
    <t>64.925,93</t>
  </si>
  <si>
    <t>4.270,70</t>
  </si>
  <si>
    <t>16.850,61</t>
  </si>
  <si>
    <t>30.241,04</t>
  </si>
  <si>
    <t>10.634,83</t>
  </si>
  <si>
    <t>8.295,00</t>
  </si>
  <si>
    <t>7.285,65</t>
  </si>
  <si>
    <t>5.271,25</t>
  </si>
  <si>
    <t>65.615,66</t>
  </si>
  <si>
    <t>5.843,88</t>
  </si>
  <si>
    <t>45.284,44</t>
  </si>
  <si>
    <t>4.174,89</t>
  </si>
  <si>
    <t>202.576,56</t>
  </si>
  <si>
    <t>196.981,14</t>
  </si>
  <si>
    <t>957,50</t>
  </si>
  <si>
    <t>41.499,83</t>
  </si>
  <si>
    <t>2.364,38</t>
  </si>
  <si>
    <t>1.291,26</t>
  </si>
  <si>
    <t>491.888,60</t>
  </si>
  <si>
    <t>420.062,50</t>
  </si>
  <si>
    <t>9.850,18</t>
  </si>
  <si>
    <t>326.712,48</t>
  </si>
  <si>
    <t>62.212,36</t>
  </si>
  <si>
    <t>6.265,16</t>
  </si>
  <si>
    <t>48.670,63</t>
  </si>
  <si>
    <t>2.292,36</t>
  </si>
  <si>
    <t>5.623,15</t>
  </si>
  <si>
    <t>2.512,25</t>
  </si>
  <si>
    <t>19.052,75</t>
  </si>
  <si>
    <t>18.900,00</t>
  </si>
  <si>
    <t>24.312,00</t>
  </si>
  <si>
    <t>2.854,00</t>
  </si>
  <si>
    <t>1.082,88</t>
  </si>
  <si>
    <t>98.175,00</t>
  </si>
  <si>
    <t>5.080,41</t>
  </si>
  <si>
    <t>5.578,75</t>
  </si>
  <si>
    <t>20.802,26</t>
  </si>
  <si>
    <t>5.465,83</t>
  </si>
  <si>
    <t>4.348,88</t>
  </si>
  <si>
    <t>112.725,00</t>
  </si>
  <si>
    <t>1.755,55</t>
  </si>
  <si>
    <t>120.906,00</t>
  </si>
  <si>
    <t>48.618,75</t>
  </si>
  <si>
    <t>2.387,78</t>
  </si>
  <si>
    <t>20.958,75</t>
  </si>
  <si>
    <t>138.965,00</t>
  </si>
  <si>
    <t>10.904,00</t>
  </si>
  <si>
    <t>3.996,99</t>
  </si>
  <si>
    <t>2.362,50</t>
  </si>
  <si>
    <t>2.410,25</t>
  </si>
  <si>
    <t>41.737,50</t>
  </si>
  <si>
    <t>7.044,50</t>
  </si>
  <si>
    <t>2.695,80</t>
  </si>
  <si>
    <t>15.141,69</t>
  </si>
  <si>
    <t>3.599,99</t>
  </si>
  <si>
    <t>7.878,13</t>
  </si>
  <si>
    <t>8.331,25</t>
  </si>
  <si>
    <t>133.500,00</t>
  </si>
  <si>
    <t>5.610,00</t>
  </si>
  <si>
    <t>6.408,75</t>
  </si>
  <si>
    <t>23.176,25</t>
  </si>
  <si>
    <t>21.094,29</t>
  </si>
  <si>
    <t>53.311,25</t>
  </si>
  <si>
    <t>635,71</t>
  </si>
  <si>
    <t>13.500,00</t>
  </si>
  <si>
    <t>17.182,50</t>
  </si>
  <si>
    <t>138.253,85</t>
  </si>
  <si>
    <t>85.000,00</t>
  </si>
  <si>
    <t>20.662,50</t>
  </si>
  <si>
    <t>16.320,00</t>
  </si>
  <si>
    <t>64.162,50</t>
  </si>
  <si>
    <t>45.100,00</t>
  </si>
  <si>
    <t>5.652,05</t>
  </si>
  <si>
    <t>6.468,75</t>
  </si>
  <si>
    <t>66.557,00</t>
  </si>
  <si>
    <t>118.107,50</t>
  </si>
  <si>
    <t>5.345,51</t>
  </si>
  <si>
    <t>5.126,29</t>
  </si>
  <si>
    <t>59.859,83</t>
  </si>
  <si>
    <t>1.687,50</t>
  </si>
  <si>
    <t>934,50</t>
  </si>
  <si>
    <t>2.315,39</t>
  </si>
  <si>
    <t>1.758,38</t>
  </si>
  <si>
    <t>112.050,00</t>
  </si>
  <si>
    <t>87.550,00</t>
  </si>
  <si>
    <t>3.168,85</t>
  </si>
  <si>
    <t>10.693,50</t>
  </si>
  <si>
    <t>7.590,00</t>
  </si>
  <si>
    <t>6.825,00</t>
  </si>
  <si>
    <t>90.650,91</t>
  </si>
  <si>
    <t>6.795,00</t>
  </si>
  <si>
    <t>141.540,54</t>
  </si>
  <si>
    <t>61.936,30</t>
  </si>
  <si>
    <t>25.712,50</t>
  </si>
  <si>
    <t>243.327,50</t>
  </si>
  <si>
    <t>2.355,00</t>
  </si>
  <si>
    <t>120.886,68</t>
  </si>
  <si>
    <t>23.237,81</t>
  </si>
  <si>
    <t>3.763,98</t>
  </si>
  <si>
    <t>53.720,00</t>
  </si>
  <si>
    <t>4.844,22</t>
  </si>
  <si>
    <t>9.294,75</t>
  </si>
  <si>
    <t>2.448,13</t>
  </si>
  <si>
    <t>50.210,00</t>
  </si>
  <si>
    <t>114.551,79</t>
  </si>
  <si>
    <t>26.208,22</t>
  </si>
  <si>
    <t>13.375,00</t>
  </si>
  <si>
    <t>209.004,40</t>
  </si>
  <si>
    <t>11.910,23</t>
  </si>
  <si>
    <t>112.837,50</t>
  </si>
  <si>
    <t>4.019,25</t>
  </si>
  <si>
    <t>3.089,62</t>
  </si>
  <si>
    <t>6.810,06</t>
  </si>
  <si>
    <t>26.263,58</t>
  </si>
  <si>
    <t>9.358,00</t>
  </si>
  <si>
    <t>9.438,44</t>
  </si>
  <si>
    <t>43.164,12</t>
  </si>
  <si>
    <t>20.761,25</t>
  </si>
  <si>
    <t>9.143,10</t>
  </si>
  <si>
    <t>6.616,25</t>
  </si>
  <si>
    <t>17.450,00</t>
  </si>
  <si>
    <t>1.750,56</t>
  </si>
  <si>
    <t>2.483,66</t>
  </si>
  <si>
    <t>41.075,62</t>
  </si>
  <si>
    <t>58.076,31</t>
  </si>
  <si>
    <r>
      <t xml:space="preserve">REGISTAR UGOVORA O JAVNOJ NABAVI I OKVIRNIH SPORAZUMA </t>
    </r>
    <r>
      <rPr>
        <sz val="11"/>
        <rFont val="Calibri"/>
        <family val="2"/>
        <charset val="238"/>
        <scheme val="minor"/>
      </rPr>
      <t xml:space="preserve">zaključenih u razdoblju od </t>
    </r>
    <r>
      <rPr>
        <b/>
        <sz val="11"/>
        <rFont val="Calibri"/>
        <family val="2"/>
        <charset val="238"/>
        <scheme val="minor"/>
      </rPr>
      <t>01.01.2022.</t>
    </r>
    <r>
      <rPr>
        <sz val="11"/>
        <rFont val="Calibri"/>
        <family val="2"/>
        <charset val="238"/>
        <scheme val="minor"/>
      </rPr>
      <t xml:space="preserve"> do </t>
    </r>
    <r>
      <rPr>
        <b/>
        <sz val="11"/>
        <rFont val="Calibri"/>
        <family val="2"/>
        <charset val="238"/>
        <scheme val="minor"/>
      </rPr>
      <t>23.12.2022.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</si>
</sst>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_k_n"/>
  </numFmts>
  <fonts count="22"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name val="Calibri"/>
      <family val="2"/>
      <charset val="238"/>
      <scheme val="minor"/>
    </font>
    <font>
      <b/>
      <sz val="11"/>
      <name val="Calibri"/>
      <family val="2"/>
      <charset val="238"/>
      <scheme val="minor"/>
    </font>
    <font>
      <sz val="11"/>
      <name val="Calibri"/>
      <family val="2"/>
      <charset val="238"/>
      <scheme val="minor"/>
    </font>
    <font>
      <b/>
      <sz val="10"/>
      <name val="Calibri"/>
      <family val="2"/>
      <charset val="23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42">
    <xf numFmtId="0" fontId="0" fillId="0" borderId="0" xfId="0"/>
    <xf numFmtId="0" fontId="18" fillId="0" borderId="10" xfId="0" applyFont="1" applyBorder="1" applyAlignment="1">
      <alignment vertical="top" wrapText="1"/>
    </xf>
    <xf numFmtId="4" fontId="18" fillId="0" borderId="10" xfId="0" applyNumberFormat="1" applyFont="1" applyBorder="1" applyAlignment="1">
      <alignment horizontal="right" vertical="top" wrapText="1"/>
    </xf>
    <xf numFmtId="0" fontId="19" fillId="0" borderId="0" xfId="0" applyFont="1"/>
    <xf numFmtId="0" fontId="20" fillId="0" borderId="0" xfId="0" applyFont="1"/>
    <xf numFmtId="4" fontId="20" fillId="0" borderId="0" xfId="0" applyNumberFormat="1" applyFont="1"/>
    <xf numFmtId="0" fontId="18" fillId="0" borderId="10" xfId="0" applyFont="1" applyBorder="1" applyAlignment="1">
      <alignment horizontal="right" vertical="top" wrapText="1"/>
    </xf>
    <xf numFmtId="0" fontId="20" fillId="0" borderId="10" xfId="0" applyFont="1" applyBorder="1" applyAlignment="1">
      <alignment vertical="top" wrapText="1"/>
    </xf>
    <xf numFmtId="0" fontId="18" fillId="0" borderId="10" xfId="0" applyFont="1" applyBorder="1" applyAlignment="1">
      <alignment horizontal="center" vertical="top" wrapText="1"/>
    </xf>
    <xf numFmtId="14" fontId="18" fillId="0" borderId="10" xfId="0" applyNumberFormat="1" applyFont="1" applyBorder="1" applyAlignment="1">
      <alignment horizontal="center" vertical="top" wrapText="1"/>
    </xf>
    <xf numFmtId="0" fontId="18" fillId="0" borderId="11" xfId="0" applyFont="1" applyBorder="1" applyAlignment="1">
      <alignment horizontal="right" vertical="top" wrapText="1"/>
    </xf>
    <xf numFmtId="0" fontId="18" fillId="0" borderId="11" xfId="0" applyFont="1" applyBorder="1" applyAlignment="1">
      <alignment vertical="top" wrapText="1"/>
    </xf>
    <xf numFmtId="0" fontId="20" fillId="0" borderId="11" xfId="0" applyFont="1" applyBorder="1" applyAlignment="1">
      <alignment vertical="top" wrapText="1"/>
    </xf>
    <xf numFmtId="0" fontId="18" fillId="0" borderId="11" xfId="0" applyFont="1" applyBorder="1" applyAlignment="1">
      <alignment horizontal="center" vertical="top" wrapText="1"/>
    </xf>
    <xf numFmtId="4" fontId="18" fillId="0" borderId="11" xfId="0" applyNumberFormat="1" applyFont="1" applyBorder="1" applyAlignment="1">
      <alignment horizontal="right" vertical="top" wrapText="1"/>
    </xf>
    <xf numFmtId="0" fontId="18" fillId="0" borderId="12" xfId="0" applyFont="1" applyBorder="1" applyAlignment="1">
      <alignment vertical="top" wrapText="1"/>
    </xf>
    <xf numFmtId="0" fontId="18" fillId="0" borderId="13" xfId="0" applyFont="1" applyBorder="1" applyAlignment="1">
      <alignment vertical="top" wrapText="1"/>
    </xf>
    <xf numFmtId="0" fontId="20" fillId="0" borderId="13" xfId="0" applyFont="1" applyBorder="1" applyAlignment="1">
      <alignment vertical="top" wrapText="1"/>
    </xf>
    <xf numFmtId="0" fontId="20" fillId="0" borderId="13" xfId="0" applyFont="1" applyBorder="1"/>
    <xf numFmtId="4" fontId="20" fillId="0" borderId="13" xfId="0" applyNumberFormat="1" applyFont="1" applyBorder="1"/>
    <xf numFmtId="0" fontId="20" fillId="0" borderId="12" xfId="0" applyFont="1" applyBorder="1"/>
    <xf numFmtId="4" fontId="20" fillId="0" borderId="12" xfId="0" applyNumberFormat="1" applyFont="1" applyBorder="1"/>
    <xf numFmtId="164" fontId="18" fillId="0" borderId="10" xfId="0" applyNumberFormat="1" applyFont="1" applyBorder="1" applyAlignment="1">
      <alignment horizontal="right" vertical="top" wrapText="1"/>
    </xf>
    <xf numFmtId="0" fontId="21" fillId="33" borderId="10" xfId="0" applyFont="1" applyFill="1" applyBorder="1" applyAlignment="1">
      <alignment horizontal="right" vertical="top" wrapText="1"/>
    </xf>
    <xf numFmtId="0" fontId="21" fillId="33" borderId="10" xfId="0" applyFont="1" applyFill="1" applyBorder="1" applyAlignment="1">
      <alignment vertical="top" wrapText="1"/>
    </xf>
    <xf numFmtId="0" fontId="21" fillId="33" borderId="10" xfId="0" applyFont="1" applyFill="1" applyBorder="1" applyAlignment="1">
      <alignment horizontal="center" vertical="top" wrapText="1"/>
    </xf>
    <xf numFmtId="4" fontId="21" fillId="33" borderId="10" xfId="0" applyNumberFormat="1" applyFont="1" applyFill="1" applyBorder="1" applyAlignment="1">
      <alignment horizontal="right" vertical="top" wrapText="1"/>
    </xf>
    <xf numFmtId="0" fontId="18" fillId="0" borderId="11" xfId="0" applyFont="1" applyBorder="1" applyAlignment="1">
      <alignment horizontal="right" vertical="top" wrapText="1"/>
    </xf>
    <xf numFmtId="0" fontId="18" fillId="0" borderId="12" xfId="0" applyFont="1" applyBorder="1" applyAlignment="1">
      <alignment horizontal="right" vertical="top" wrapText="1"/>
    </xf>
    <xf numFmtId="0" fontId="18" fillId="0" borderId="11" xfId="0" applyFont="1" applyBorder="1" applyAlignment="1">
      <alignment vertical="top" wrapText="1"/>
    </xf>
    <xf numFmtId="0" fontId="18" fillId="0" borderId="12" xfId="0" applyFont="1" applyBorder="1" applyAlignment="1">
      <alignment vertical="top" wrapText="1"/>
    </xf>
    <xf numFmtId="0" fontId="18" fillId="0" borderId="13" xfId="0" applyFont="1" applyBorder="1" applyAlignment="1">
      <alignment vertical="top" wrapText="1"/>
    </xf>
    <xf numFmtId="0" fontId="18" fillId="0" borderId="11" xfId="0" applyFont="1" applyBorder="1" applyAlignment="1">
      <alignment horizontal="center" vertical="top" wrapText="1"/>
    </xf>
    <xf numFmtId="0" fontId="18" fillId="0" borderId="12" xfId="0" applyFont="1" applyBorder="1" applyAlignment="1">
      <alignment horizontal="center"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18" fillId="0" borderId="13" xfId="0" applyFont="1" applyBorder="1" applyAlignment="1">
      <alignment horizontal="right" vertical="top" wrapText="1"/>
    </xf>
    <xf numFmtId="0" fontId="20" fillId="0" borderId="13" xfId="0" applyFont="1" applyBorder="1" applyAlignment="1">
      <alignment vertical="top" wrapText="1"/>
    </xf>
    <xf numFmtId="4" fontId="18" fillId="0" borderId="11" xfId="0" applyNumberFormat="1" applyFont="1" applyBorder="1" applyAlignment="1">
      <alignment horizontal="right" vertical="top" wrapText="1"/>
    </xf>
    <xf numFmtId="4" fontId="18" fillId="0" borderId="12" xfId="0" applyNumberFormat="1" applyFont="1" applyBorder="1" applyAlignment="1">
      <alignment horizontal="right" vertical="top" wrapText="1"/>
    </xf>
    <xf numFmtId="0" fontId="18" fillId="0" borderId="13" xfId="0" applyFont="1" applyBorder="1" applyAlignment="1">
      <alignment horizontal="center" vertical="top" wrapText="1"/>
    </xf>
    <xf numFmtId="4" fontId="18" fillId="0" borderId="13" xfId="0" applyNumberFormat="1" applyFont="1" applyBorder="1" applyAlignment="1">
      <alignment horizontal="right" vertical="top"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colors>
    <mruColors>
      <color rgb="FF96C8F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694"/>
  <sheetViews>
    <sheetView showGridLines="0" tabSelected="1" zoomScale="90" zoomScaleNormal="90" workbookViewId="0">
      <pane xSplit="1" ySplit="3" topLeftCell="B7685" activePane="bottomRight" state="frozen"/>
      <selection pane="topRight" activeCell="B1" sqref="B1"/>
      <selection pane="bottomLeft" activeCell="A6" sqref="A6"/>
      <selection pane="bottomRight" activeCell="C5" sqref="C5"/>
    </sheetView>
  </sheetViews>
  <sheetFormatPr defaultRowHeight="15" x14ac:dyDescent="0.25"/>
  <cols>
    <col min="1" max="1" width="6.42578125" style="4" customWidth="1"/>
    <col min="2" max="2" width="8.7109375" style="4" customWidth="1"/>
    <col min="3" max="3" width="25.5703125" style="4" customWidth="1"/>
    <col min="4" max="4" width="10.5703125" style="4" customWidth="1"/>
    <col min="5" max="5" width="11.7109375" style="4" customWidth="1"/>
    <col min="6" max="6" width="11.85546875" style="4" customWidth="1"/>
    <col min="7" max="7" width="19.42578125" style="4" customWidth="1"/>
    <col min="8" max="8" width="14.140625" style="4" customWidth="1"/>
    <col min="9" max="9" width="10.7109375" style="4" customWidth="1"/>
    <col min="10" max="10" width="11.28515625" style="4" customWidth="1"/>
    <col min="11" max="11" width="12" style="4" customWidth="1"/>
    <col min="12" max="12" width="11.85546875" style="4" customWidth="1"/>
    <col min="13" max="13" width="12.85546875" style="4" customWidth="1"/>
    <col min="14" max="14" width="11.7109375" style="4" customWidth="1"/>
    <col min="15" max="15" width="16.5703125" style="4" customWidth="1"/>
    <col min="16" max="16" width="14.7109375" style="5" customWidth="1"/>
    <col min="17" max="17" width="16.7109375" style="4" customWidth="1"/>
    <col min="18" max="18" width="18.42578125" style="4" customWidth="1"/>
    <col min="19" max="19" width="15.28515625" style="4" customWidth="1"/>
    <col min="20" max="20" width="18.28515625" style="4" customWidth="1"/>
    <col min="21" max="16384" width="9.140625" style="4"/>
  </cols>
  <sheetData>
    <row r="1" spans="1:20" x14ac:dyDescent="0.25">
      <c r="A1" s="3" t="s">
        <v>9248</v>
      </c>
    </row>
    <row r="3" spans="1:20" ht="102" x14ac:dyDescent="0.25">
      <c r="A3" s="23" t="s">
        <v>0</v>
      </c>
      <c r="B3" s="24" t="s">
        <v>1</v>
      </c>
      <c r="C3" s="24" t="s">
        <v>2</v>
      </c>
      <c r="D3" s="24" t="s">
        <v>3</v>
      </c>
      <c r="E3" s="24" t="s">
        <v>4</v>
      </c>
      <c r="F3" s="24" t="s">
        <v>5</v>
      </c>
      <c r="G3" s="24" t="s">
        <v>6</v>
      </c>
      <c r="H3" s="24" t="s">
        <v>7</v>
      </c>
      <c r="I3" s="25" t="s">
        <v>8</v>
      </c>
      <c r="J3" s="25" t="s">
        <v>9</v>
      </c>
      <c r="K3" s="23" t="s">
        <v>10</v>
      </c>
      <c r="L3" s="23" t="s">
        <v>11</v>
      </c>
      <c r="M3" s="23" t="s">
        <v>12</v>
      </c>
      <c r="N3" s="25" t="s">
        <v>13</v>
      </c>
      <c r="O3" s="25" t="s">
        <v>14</v>
      </c>
      <c r="P3" s="26" t="s">
        <v>15</v>
      </c>
      <c r="Q3" s="24" t="s">
        <v>16</v>
      </c>
      <c r="R3" s="24" t="s">
        <v>17</v>
      </c>
      <c r="S3" s="24" t="s">
        <v>18</v>
      </c>
      <c r="T3" s="24" t="s">
        <v>19</v>
      </c>
    </row>
    <row r="4" spans="1:20" ht="153" x14ac:dyDescent="0.25">
      <c r="A4" s="6">
        <v>1</v>
      </c>
      <c r="B4" s="1" t="str">
        <f>"2017-441"</f>
        <v>2017-441</v>
      </c>
      <c r="C4" s="1" t="s">
        <v>20</v>
      </c>
      <c r="D4" s="1" t="s">
        <v>21</v>
      </c>
      <c r="E4" s="1" t="str">
        <f>"2017/S 0F2-0007091"</f>
        <v>2017/S 0F2-0007091</v>
      </c>
      <c r="F4" s="1" t="s">
        <v>22</v>
      </c>
      <c r="G4" s="1"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4" s="7"/>
      <c r="I4" s="8" t="s">
        <v>23</v>
      </c>
      <c r="J4" s="8" t="s">
        <v>24</v>
      </c>
      <c r="K4" s="6" t="str">
        <f>"1.590.000,00"</f>
        <v>1.590.000,00</v>
      </c>
      <c r="L4" s="6" t="str">
        <f>"397.500,00"</f>
        <v>397.500,00</v>
      </c>
      <c r="M4" s="6" t="str">
        <f>"1.987.500,00"</f>
        <v>1.987.500,00</v>
      </c>
      <c r="N4" s="8" t="s">
        <v>25</v>
      </c>
      <c r="O4" s="7"/>
      <c r="P4" s="2" t="s">
        <v>5614</v>
      </c>
      <c r="Q4" s="7"/>
      <c r="R4" s="1" t="s">
        <v>26</v>
      </c>
      <c r="S4" s="1" t="str">
        <f>"NOS-13/17"</f>
        <v>NOS-13/17</v>
      </c>
      <c r="T4" s="1" t="s">
        <v>27</v>
      </c>
    </row>
    <row r="5" spans="1:20" ht="51" x14ac:dyDescent="0.25">
      <c r="A5" s="6">
        <v>2</v>
      </c>
      <c r="B5" s="1" t="str">
        <f>"2017-441"</f>
        <v>2017-441</v>
      </c>
      <c r="C5" s="1" t="s">
        <v>20</v>
      </c>
      <c r="D5" s="1" t="s">
        <v>21</v>
      </c>
      <c r="E5" s="1" t="str">
        <f>""</f>
        <v/>
      </c>
      <c r="F5" s="1" t="s">
        <v>28</v>
      </c>
      <c r="G5" s="1" t="str">
        <f>CONCATENATE("PURIĆ D.O.O.,"," ANDRIJE HEBRANGA 54,"," 10430 SAMOBOR,"," OIB: 56717147376")</f>
        <v>PURIĆ D.O.O., ANDRIJE HEBRANGA 54, 10430 SAMOBOR, OIB: 56717147376</v>
      </c>
      <c r="H5" s="7"/>
      <c r="I5" s="8" t="s">
        <v>29</v>
      </c>
      <c r="J5" s="8" t="s">
        <v>30</v>
      </c>
      <c r="K5" s="6" t="str">
        <f>"79.953,58"</f>
        <v>79.953,58</v>
      </c>
      <c r="L5" s="6" t="str">
        <f>"19.988,40"</f>
        <v>19.988,40</v>
      </c>
      <c r="M5" s="6" t="str">
        <f>"99.941,98"</f>
        <v>99.941,98</v>
      </c>
      <c r="N5" s="8" t="s">
        <v>31</v>
      </c>
      <c r="O5" s="7"/>
      <c r="P5" s="2" t="s">
        <v>5615</v>
      </c>
      <c r="Q5" s="7"/>
      <c r="R5" s="1"/>
      <c r="S5" s="1" t="str">
        <f>"2-21/NOS-13/17"</f>
        <v>2-21/NOS-13/17</v>
      </c>
      <c r="T5" s="1" t="s">
        <v>32</v>
      </c>
    </row>
    <row r="6" spans="1:20" ht="153" x14ac:dyDescent="0.25">
      <c r="A6" s="6">
        <v>3</v>
      </c>
      <c r="B6" s="1" t="str">
        <f>"2017-442"</f>
        <v>2017-442</v>
      </c>
      <c r="C6" s="1" t="s">
        <v>33</v>
      </c>
      <c r="D6" s="1" t="s">
        <v>34</v>
      </c>
      <c r="E6" s="1" t="str">
        <f>"2017/S 0F2-0008115"</f>
        <v>2017/S 0F2-0008115</v>
      </c>
      <c r="F6" s="1" t="s">
        <v>22</v>
      </c>
      <c r="G6" s="1" t="str">
        <f>CONCATENATE("URIHO - ZAGREB,"," AVENIJA MARINA DRŽIĆA 1,"," 10000 ZAGREB,"," OIB: 77931216562")</f>
        <v>URIHO - ZAGREB, AVENIJA MARINA DRŽIĆA 1, 10000 ZAGREB, OIB: 77931216562</v>
      </c>
      <c r="H6" s="7"/>
      <c r="I6" s="8" t="s">
        <v>35</v>
      </c>
      <c r="J6" s="8" t="s">
        <v>36</v>
      </c>
      <c r="K6" s="6" t="str">
        <f>"18.100.000,00"</f>
        <v>18.100.000,00</v>
      </c>
      <c r="L6" s="6" t="str">
        <f>"4.525.000,00"</f>
        <v>4.525.000,00</v>
      </c>
      <c r="M6" s="6" t="str">
        <f>"22.625.000,00"</f>
        <v>22.625.000,00</v>
      </c>
      <c r="N6" s="8" t="s">
        <v>37</v>
      </c>
      <c r="O6" s="7"/>
      <c r="P6" s="2" t="s">
        <v>5616</v>
      </c>
      <c r="Q6" s="7"/>
      <c r="R6" s="1"/>
      <c r="S6" s="1" t="str">
        <f>"NOS-20/17"</f>
        <v>NOS-20/17</v>
      </c>
      <c r="T6" s="1" t="s">
        <v>38</v>
      </c>
    </row>
    <row r="7" spans="1:20" ht="63.75" x14ac:dyDescent="0.25">
      <c r="A7" s="6">
        <v>4</v>
      </c>
      <c r="B7" s="1" t="str">
        <f>"2017-442"</f>
        <v>2017-442</v>
      </c>
      <c r="C7" s="1" t="s">
        <v>33</v>
      </c>
      <c r="D7" s="1" t="s">
        <v>39</v>
      </c>
      <c r="E7" s="1" t="str">
        <f>""</f>
        <v/>
      </c>
      <c r="F7" s="1" t="s">
        <v>28</v>
      </c>
      <c r="G7" s="1" t="str">
        <f>CONCATENATE("URIHO - ZAGREB,"," AVENIJA MARINA DRŽIĆA 1,"," 10000 ZAGREB,"," OIB: 77931216562")</f>
        <v>URIHO - ZAGREB, AVENIJA MARINA DRŽIĆA 1, 10000 ZAGREB, OIB: 77931216562</v>
      </c>
      <c r="H7" s="7"/>
      <c r="I7" s="8" t="s">
        <v>40</v>
      </c>
      <c r="J7" s="8" t="s">
        <v>41</v>
      </c>
      <c r="K7" s="6" t="str">
        <f>"402.400,00"</f>
        <v>402.400,00</v>
      </c>
      <c r="L7" s="6" t="str">
        <f>"100.600,00"</f>
        <v>100.600,00</v>
      </c>
      <c r="M7" s="6" t="str">
        <f>"503.000,00"</f>
        <v>503.000,00</v>
      </c>
      <c r="N7" s="8" t="s">
        <v>42</v>
      </c>
      <c r="O7" s="7"/>
      <c r="P7" s="2" t="s">
        <v>5617</v>
      </c>
      <c r="Q7" s="7"/>
      <c r="R7" s="1"/>
      <c r="S7" s="1" t="str">
        <f>"22-21/NOS-20/17"</f>
        <v>22-21/NOS-20/17</v>
      </c>
      <c r="T7" s="1" t="s">
        <v>43</v>
      </c>
    </row>
    <row r="8" spans="1:20" ht="409.5" x14ac:dyDescent="0.25">
      <c r="A8" s="6">
        <v>5</v>
      </c>
      <c r="B8" s="1" t="str">
        <f>"2017-429"</f>
        <v>2017-429</v>
      </c>
      <c r="C8" s="1" t="s">
        <v>44</v>
      </c>
      <c r="D8" s="1" t="s">
        <v>45</v>
      </c>
      <c r="E8" s="1" t="str">
        <f>"2017/S 0F2-0009777"</f>
        <v>2017/S 0F2-0009777</v>
      </c>
      <c r="F8" s="1" t="s">
        <v>22</v>
      </c>
      <c r="G8" s="1"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8" s="7"/>
      <c r="I8" s="8" t="s">
        <v>46</v>
      </c>
      <c r="J8" s="8" t="s">
        <v>47</v>
      </c>
      <c r="K8" s="6" t="str">
        <f>"2.894.000,00"</f>
        <v>2.894.000,00</v>
      </c>
      <c r="L8" s="6" t="str">
        <f>"723.500,00"</f>
        <v>723.500,00</v>
      </c>
      <c r="M8" s="6" t="str">
        <f>"3.617.500,00"</f>
        <v>3.617.500,00</v>
      </c>
      <c r="N8" s="8" t="s">
        <v>48</v>
      </c>
      <c r="O8" s="7"/>
      <c r="P8" s="2" t="s">
        <v>5618</v>
      </c>
      <c r="Q8" s="7"/>
      <c r="R8" s="1"/>
      <c r="S8" s="1" t="str">
        <f>"NOS-23-A/17"</f>
        <v>NOS-23-A/17</v>
      </c>
      <c r="T8" s="1" t="s">
        <v>49</v>
      </c>
    </row>
    <row r="9" spans="1:20" ht="409.5" x14ac:dyDescent="0.25">
      <c r="A9" s="6">
        <v>6</v>
      </c>
      <c r="B9" s="1" t="str">
        <f>"2017-429"</f>
        <v>2017-429</v>
      </c>
      <c r="C9" s="1" t="s">
        <v>50</v>
      </c>
      <c r="D9" s="1" t="s">
        <v>51</v>
      </c>
      <c r="E9" s="1" t="str">
        <f>""</f>
        <v/>
      </c>
      <c r="F9" s="1" t="s">
        <v>28</v>
      </c>
      <c r="G9" s="1"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9" s="7"/>
      <c r="I9" s="8" t="s">
        <v>52</v>
      </c>
      <c r="J9" s="8" t="s">
        <v>53</v>
      </c>
      <c r="K9" s="6" t="str">
        <f>"204.802,39"</f>
        <v>204.802,39</v>
      </c>
      <c r="L9" s="6" t="str">
        <f>"51.200,60"</f>
        <v>51.200,60</v>
      </c>
      <c r="M9" s="6" t="str">
        <f>"256.002,99"</f>
        <v>256.002,99</v>
      </c>
      <c r="N9" s="8" t="s">
        <v>54</v>
      </c>
      <c r="O9" s="7"/>
      <c r="P9" s="2" t="s">
        <v>5619</v>
      </c>
      <c r="Q9" s="7"/>
      <c r="R9" s="1"/>
      <c r="S9" s="1" t="str">
        <f>"1-21/NOS-23-A/17"</f>
        <v>1-21/NOS-23-A/17</v>
      </c>
      <c r="T9" s="1" t="s">
        <v>55</v>
      </c>
    </row>
    <row r="10" spans="1:20" ht="409.5" x14ac:dyDescent="0.25">
      <c r="A10" s="6">
        <v>7</v>
      </c>
      <c r="B10" s="1" t="str">
        <f>"2017-429"</f>
        <v>2017-429</v>
      </c>
      <c r="C10" s="1" t="s">
        <v>56</v>
      </c>
      <c r="D10" s="1" t="s">
        <v>51</v>
      </c>
      <c r="E10" s="1" t="str">
        <f>""</f>
        <v/>
      </c>
      <c r="F10" s="1" t="s">
        <v>28</v>
      </c>
      <c r="G10" s="1"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10" s="7"/>
      <c r="I10" s="8" t="s">
        <v>29</v>
      </c>
      <c r="J10" s="8" t="s">
        <v>57</v>
      </c>
      <c r="K10" s="6" t="str">
        <f>"1.063.808,79"</f>
        <v>1.063.808,79</v>
      </c>
      <c r="L10" s="6" t="str">
        <f>"265.952,20"</f>
        <v>265.952,20</v>
      </c>
      <c r="M10" s="6" t="str">
        <f>"1.329.760,99"</f>
        <v>1.329.760,99</v>
      </c>
      <c r="N10" s="8" t="s">
        <v>58</v>
      </c>
      <c r="O10" s="7"/>
      <c r="P10" s="2" t="s">
        <v>5620</v>
      </c>
      <c r="Q10" s="1"/>
      <c r="R10" s="1"/>
      <c r="S10" s="1" t="str">
        <f>"3-21/NOS-23-A/17"</f>
        <v>3-21/NOS-23-A/17</v>
      </c>
      <c r="T10" s="1" t="s">
        <v>32</v>
      </c>
    </row>
    <row r="11" spans="1:20" ht="409.5" x14ac:dyDescent="0.25">
      <c r="A11" s="6">
        <v>8</v>
      </c>
      <c r="B11" s="1" t="str">
        <f>"2017-429"</f>
        <v>2017-429</v>
      </c>
      <c r="C11" s="1" t="s">
        <v>59</v>
      </c>
      <c r="D11" s="1" t="s">
        <v>45</v>
      </c>
      <c r="E11" s="1" t="str">
        <f>"2017/S 0F2-0009777"</f>
        <v>2017/S 0F2-0009777</v>
      </c>
      <c r="F11" s="1" t="s">
        <v>22</v>
      </c>
      <c r="G11" s="1"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11" s="7"/>
      <c r="I11" s="8" t="s">
        <v>46</v>
      </c>
      <c r="J11" s="8" t="s">
        <v>47</v>
      </c>
      <c r="K11" s="6" t="str">
        <f>"4.395.000,00"</f>
        <v>4.395.000,00</v>
      </c>
      <c r="L11" s="6" t="str">
        <f>"1.098.750,00"</f>
        <v>1.098.750,00</v>
      </c>
      <c r="M11" s="6" t="str">
        <f>"5.493.750,00"</f>
        <v>5.493.750,00</v>
      </c>
      <c r="N11" s="8" t="s">
        <v>48</v>
      </c>
      <c r="O11" s="7"/>
      <c r="P11" s="2" t="s">
        <v>5621</v>
      </c>
      <c r="Q11" s="7"/>
      <c r="R11" s="1"/>
      <c r="S11" s="1" t="str">
        <f>"NOS-23-B/17"</f>
        <v>NOS-23-B/17</v>
      </c>
      <c r="T11" s="1" t="s">
        <v>49</v>
      </c>
    </row>
    <row r="12" spans="1:20" ht="409.5" x14ac:dyDescent="0.25">
      <c r="A12" s="6">
        <v>9</v>
      </c>
      <c r="B12" s="1" t="str">
        <f>"2017-429"</f>
        <v>2017-429</v>
      </c>
      <c r="C12" s="1" t="s">
        <v>60</v>
      </c>
      <c r="D12" s="1" t="s">
        <v>51</v>
      </c>
      <c r="E12" s="1" t="str">
        <f>""</f>
        <v/>
      </c>
      <c r="F12" s="1" t="s">
        <v>28</v>
      </c>
      <c r="G12" s="1" t="str">
        <f>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19212513210ZUBAK GRUPA D.O.O. ZAGREBAČKA 117, 10410 VELIKA GORICA, OIB: 39135989747</v>
      </c>
      <c r="H12" s="7"/>
      <c r="I12" s="8" t="s">
        <v>52</v>
      </c>
      <c r="J12" s="8" t="s">
        <v>61</v>
      </c>
      <c r="K12" s="6" t="str">
        <f>"131.147,68"</f>
        <v>131.147,68</v>
      </c>
      <c r="L12" s="6" t="str">
        <f>"32.786,92"</f>
        <v>32.786,92</v>
      </c>
      <c r="M12" s="6" t="str">
        <f>"163.934,60"</f>
        <v>163.934,60</v>
      </c>
      <c r="N12" s="8" t="s">
        <v>62</v>
      </c>
      <c r="O12" s="7"/>
      <c r="P12" s="2" t="s">
        <v>5622</v>
      </c>
      <c r="Q12" s="1"/>
      <c r="R12" s="1"/>
      <c r="S12" s="1" t="str">
        <f>"1-21/NOS-23-B/17"</f>
        <v>1-21/NOS-23-B/17</v>
      </c>
      <c r="T12" s="1" t="s">
        <v>55</v>
      </c>
    </row>
    <row r="13" spans="1:20" ht="63.75" x14ac:dyDescent="0.25">
      <c r="A13" s="6">
        <v>10</v>
      </c>
      <c r="B13" s="1" t="str">
        <f>"2017-2469"</f>
        <v>2017-2469</v>
      </c>
      <c r="C13" s="1" t="s">
        <v>63</v>
      </c>
      <c r="D13" s="1" t="s">
        <v>64</v>
      </c>
      <c r="E13" s="1" t="str">
        <f>"2017/S 0F2-0006428"</f>
        <v>2017/S 0F2-0006428</v>
      </c>
      <c r="F13" s="1" t="s">
        <v>22</v>
      </c>
      <c r="G13" s="1" t="str">
        <f>CONCATENATE("TOI TOI D.O.O.,"," KVINTIČKA 16,"," 10000 ZAGREB,"," OIB: 73497369534")</f>
        <v>TOI TOI D.O.O., KVINTIČKA 16, 10000 ZAGREB, OIB: 73497369534</v>
      </c>
      <c r="H13" s="7"/>
      <c r="I13" s="8" t="s">
        <v>65</v>
      </c>
      <c r="J13" s="8" t="s">
        <v>66</v>
      </c>
      <c r="K13" s="6" t="str">
        <f>"5.200.000,00"</f>
        <v>5.200.000,00</v>
      </c>
      <c r="L13" s="6" t="str">
        <f>"1.300.000,00"</f>
        <v>1.300.000,00</v>
      </c>
      <c r="M13" s="6" t="str">
        <f>"6.500.000,00"</f>
        <v>6.500.000,00</v>
      </c>
      <c r="N13" s="8" t="s">
        <v>67</v>
      </c>
      <c r="O13" s="7"/>
      <c r="P13" s="2" t="s">
        <v>5614</v>
      </c>
      <c r="Q13" s="7"/>
      <c r="R13" s="1"/>
      <c r="S13" s="1" t="str">
        <f>"NOS-25/17"</f>
        <v>NOS-25/17</v>
      </c>
      <c r="T13" s="1" t="s">
        <v>68</v>
      </c>
    </row>
    <row r="14" spans="1:20" ht="51" x14ac:dyDescent="0.25">
      <c r="A14" s="6">
        <v>11</v>
      </c>
      <c r="B14" s="1" t="str">
        <f>"2017-2469"</f>
        <v>2017-2469</v>
      </c>
      <c r="C14" s="1" t="s">
        <v>63</v>
      </c>
      <c r="D14" s="1" t="s">
        <v>69</v>
      </c>
      <c r="E14" s="1" t="str">
        <f>""</f>
        <v/>
      </c>
      <c r="F14" s="1" t="s">
        <v>28</v>
      </c>
      <c r="G14" s="1" t="str">
        <f>CONCATENATE("TOI TOI D.O.O.,"," KVINTIČKA 16,"," 10000 ZAGREB,"," OIB: 73497369534")</f>
        <v>TOI TOI D.O.O., KVINTIČKA 16, 10000 ZAGREB, OIB: 73497369534</v>
      </c>
      <c r="H14" s="7"/>
      <c r="I14" s="8" t="s">
        <v>70</v>
      </c>
      <c r="J14" s="8" t="s">
        <v>71</v>
      </c>
      <c r="K14" s="6" t="str">
        <f>"218.400,00"</f>
        <v>218.400,00</v>
      </c>
      <c r="L14" s="6" t="str">
        <f>"54.600,00"</f>
        <v>54.600,00</v>
      </c>
      <c r="M14" s="6" t="str">
        <f>"273.000,00"</f>
        <v>273.000,00</v>
      </c>
      <c r="N14" s="8" t="s">
        <v>72</v>
      </c>
      <c r="O14" s="7"/>
      <c r="P14" s="2" t="s">
        <v>5623</v>
      </c>
      <c r="Q14" s="1"/>
      <c r="R14" s="1"/>
      <c r="S14" s="1" t="str">
        <f>"5-21/NOS-25/17"</f>
        <v>5-21/NOS-25/17</v>
      </c>
      <c r="T14" s="1" t="s">
        <v>32</v>
      </c>
    </row>
    <row r="15" spans="1:20" ht="63.75" x14ac:dyDescent="0.25">
      <c r="A15" s="6">
        <v>12</v>
      </c>
      <c r="B15" s="1" t="str">
        <f>"2017-2526"</f>
        <v>2017-2526</v>
      </c>
      <c r="C15" s="1" t="s">
        <v>73</v>
      </c>
      <c r="D15" s="1" t="s">
        <v>74</v>
      </c>
      <c r="E15" s="1" t="str">
        <f>"2017/S 0F2-0010002"</f>
        <v>2017/S 0F2-0010002</v>
      </c>
      <c r="F15" s="1" t="s">
        <v>22</v>
      </c>
      <c r="G15" s="1" t="str">
        <f>CONCATENATE("XAGENT D.O.O.,"," SAMOBORSKA CESTA 145,"," 10000 ZAGREB,"," OIB: 98512685259")</f>
        <v>XAGENT D.O.O., SAMOBORSKA CESTA 145, 10000 ZAGREB, OIB: 98512685259</v>
      </c>
      <c r="H15" s="7"/>
      <c r="I15" s="8" t="s">
        <v>75</v>
      </c>
      <c r="J15" s="8" t="s">
        <v>76</v>
      </c>
      <c r="K15" s="6" t="str">
        <f>"3.000.000,00"</f>
        <v>3.000.000,00</v>
      </c>
      <c r="L15" s="6" t="str">
        <f>"750.000,00"</f>
        <v>750.000,00</v>
      </c>
      <c r="M15" s="6" t="str">
        <f>"3.750.000,00"</f>
        <v>3.750.000,00</v>
      </c>
      <c r="N15" s="8" t="s">
        <v>77</v>
      </c>
      <c r="O15" s="7"/>
      <c r="P15" s="2" t="s">
        <v>5614</v>
      </c>
      <c r="Q15" s="7"/>
      <c r="R15" s="1"/>
      <c r="S15" s="1" t="str">
        <f>"NOS-41/17"</f>
        <v>NOS-41/17</v>
      </c>
      <c r="T15" s="1" t="s">
        <v>43</v>
      </c>
    </row>
    <row r="16" spans="1:20" ht="63.75" x14ac:dyDescent="0.25">
      <c r="A16" s="6">
        <v>13</v>
      </c>
      <c r="B16" s="1" t="str">
        <f>"2017-2526"</f>
        <v>2017-2526</v>
      </c>
      <c r="C16" s="1" t="s">
        <v>73</v>
      </c>
      <c r="D16" s="1" t="s">
        <v>78</v>
      </c>
      <c r="E16" s="1" t="str">
        <f>""</f>
        <v/>
      </c>
      <c r="F16" s="1" t="s">
        <v>28</v>
      </c>
      <c r="G16" s="1" t="str">
        <f>CONCATENATE("XAGENT D.O.O.,"," SAMOBORSKA CESTA 145,"," 10000 ZAGREB,"," OIB: 98512685259")</f>
        <v>XAGENT D.O.O., SAMOBORSKA CESTA 145, 10000 ZAGREB, OIB: 98512685259</v>
      </c>
      <c r="H16" s="7"/>
      <c r="I16" s="8" t="s">
        <v>79</v>
      </c>
      <c r="J16" s="8" t="s">
        <v>80</v>
      </c>
      <c r="K16" s="6" t="str">
        <f>"710.711,52"</f>
        <v>710.711,52</v>
      </c>
      <c r="L16" s="6" t="str">
        <f>"177.677,88"</f>
        <v>177.677,88</v>
      </c>
      <c r="M16" s="6" t="str">
        <f>"888.389,40"</f>
        <v>888.389,40</v>
      </c>
      <c r="N16" s="8" t="s">
        <v>81</v>
      </c>
      <c r="O16" s="7"/>
      <c r="P16" s="2" t="s">
        <v>5624</v>
      </c>
      <c r="Q16" s="7"/>
      <c r="R16" s="1"/>
      <c r="S16" s="1" t="str">
        <f>"4-21/NOS-41/17"</f>
        <v>4-21/NOS-41/17</v>
      </c>
      <c r="T16" s="1" t="s">
        <v>43</v>
      </c>
    </row>
    <row r="17" spans="1:20" ht="51" x14ac:dyDescent="0.25">
      <c r="A17" s="6">
        <v>14</v>
      </c>
      <c r="B17" s="1" t="str">
        <f>"2017-2499"</f>
        <v>2017-2499</v>
      </c>
      <c r="C17" s="1" t="s">
        <v>82</v>
      </c>
      <c r="D17" s="1" t="s">
        <v>83</v>
      </c>
      <c r="E17" s="1" t="str">
        <f>" 2017/S 0F2-0013433"</f>
        <v xml:space="preserve"> 2017/S 0F2-0013433</v>
      </c>
      <c r="F17" s="1" t="s">
        <v>22</v>
      </c>
      <c r="G17" s="1" t="str">
        <f>CONCATENATE("M-COM USLUGE D.O.O.,"," TRG KREŠIMIRA ĆOSIĆA 10,"," 10000 ZAGREB,"," OIB: 85546467214")</f>
        <v>M-COM USLUGE D.O.O., TRG KREŠIMIRA ĆOSIĆA 10, 10000 ZAGREB, OIB: 85546467214</v>
      </c>
      <c r="H17" s="7"/>
      <c r="I17" s="8" t="s">
        <v>75</v>
      </c>
      <c r="J17" s="8" t="s">
        <v>76</v>
      </c>
      <c r="K17" s="6" t="str">
        <f>"18.000.000,00"</f>
        <v>18.000.000,00</v>
      </c>
      <c r="L17" s="6" t="str">
        <f>"4.500.000,00"</f>
        <v>4.500.000,00</v>
      </c>
      <c r="M17" s="6" t="str">
        <f>"22.500.000,00"</f>
        <v>22.500.000,00</v>
      </c>
      <c r="N17" s="8" t="s">
        <v>84</v>
      </c>
      <c r="O17" s="7"/>
      <c r="P17" s="2" t="s">
        <v>5614</v>
      </c>
      <c r="Q17" s="7"/>
      <c r="R17" s="1" t="s">
        <v>85</v>
      </c>
      <c r="S17" s="1" t="str">
        <f>"NOS-40/17"</f>
        <v>NOS-40/17</v>
      </c>
      <c r="T17" s="1" t="s">
        <v>86</v>
      </c>
    </row>
    <row r="18" spans="1:20" ht="51" x14ac:dyDescent="0.25">
      <c r="A18" s="6">
        <v>15</v>
      </c>
      <c r="B18" s="1" t="str">
        <f>"2017-2499"</f>
        <v>2017-2499</v>
      </c>
      <c r="C18" s="1" t="s">
        <v>82</v>
      </c>
      <c r="D18" s="1" t="s">
        <v>87</v>
      </c>
      <c r="E18" s="1" t="str">
        <f>""</f>
        <v/>
      </c>
      <c r="F18" s="1" t="s">
        <v>28</v>
      </c>
      <c r="G18" s="1" t="str">
        <f>CONCATENATE("M-COM USLUGE D.O.O.,"," TRG KREŠIMIRA ĆOSIĆA 10,"," 10000 ZAGREB,"," OIB: 85546467214")</f>
        <v>M-COM USLUGE D.O.O., TRG KREŠIMIRA ĆOSIĆA 10, 10000 ZAGREB, OIB: 85546467214</v>
      </c>
      <c r="H18" s="7"/>
      <c r="I18" s="8" t="s">
        <v>88</v>
      </c>
      <c r="J18" s="8" t="s">
        <v>89</v>
      </c>
      <c r="K18" s="6" t="str">
        <f>"1.427.396,00"</f>
        <v>1.427.396,00</v>
      </c>
      <c r="L18" s="6" t="str">
        <f>"356.849,00"</f>
        <v>356.849,00</v>
      </c>
      <c r="M18" s="6" t="str">
        <f>"1.784.245,00"</f>
        <v>1.784.245,00</v>
      </c>
      <c r="N18" s="8" t="s">
        <v>90</v>
      </c>
      <c r="O18" s="7"/>
      <c r="P18" s="2" t="s">
        <v>5625</v>
      </c>
      <c r="Q18" s="7"/>
      <c r="R18" s="1"/>
      <c r="S18" s="1" t="str">
        <f>"13-21/NOS-40/17"</f>
        <v>13-21/NOS-40/17</v>
      </c>
      <c r="T18" s="1" t="s">
        <v>86</v>
      </c>
    </row>
    <row r="19" spans="1:20" ht="102" x14ac:dyDescent="0.25">
      <c r="A19" s="6">
        <v>16</v>
      </c>
      <c r="B19" s="1" t="str">
        <f>"2017-2499"</f>
        <v>2017-2499</v>
      </c>
      <c r="C19" s="1" t="s">
        <v>91</v>
      </c>
      <c r="D19" s="1" t="s">
        <v>87</v>
      </c>
      <c r="E19" s="1" t="str">
        <f>""</f>
        <v/>
      </c>
      <c r="F19" s="1" t="s">
        <v>92</v>
      </c>
      <c r="G19" s="1" t="str">
        <f>CONCATENATE("M-COM USLUGE D.O.O.,"," TRG KREŠIMIRA ĆOSIĆA 10,"," 10000 ZAGREB,"," OIB: 85546467214")</f>
        <v>M-COM USLUGE D.O.O., TRG KREŠIMIRA ĆOSIĆA 10, 10000 ZAGREB, OIB: 85546467214</v>
      </c>
      <c r="H19" s="7"/>
      <c r="I19" s="8" t="s">
        <v>89</v>
      </c>
      <c r="J19" s="8" t="s">
        <v>93</v>
      </c>
      <c r="K19" s="6" t="str">
        <f>"300.000,00"</f>
        <v>300.000,00</v>
      </c>
      <c r="L19" s="6" t="str">
        <f>"75.000,00"</f>
        <v>75.000,00</v>
      </c>
      <c r="M19" s="6" t="str">
        <f>"375.000,00"</f>
        <v>375.000,00</v>
      </c>
      <c r="N19" s="8" t="s">
        <v>94</v>
      </c>
      <c r="O19" s="7"/>
      <c r="P19" s="2" t="s">
        <v>5626</v>
      </c>
      <c r="Q19" s="7"/>
      <c r="R19" s="1"/>
      <c r="S19" s="1" t="str">
        <f>"13-21/NOS-40/17#1"</f>
        <v>13-21/NOS-40/17#1</v>
      </c>
      <c r="T19" s="1" t="s">
        <v>86</v>
      </c>
    </row>
    <row r="20" spans="1:20" ht="255" x14ac:dyDescent="0.25">
      <c r="A20" s="6">
        <v>17</v>
      </c>
      <c r="B20" s="1" t="str">
        <f>"2017-1"</f>
        <v>2017-1</v>
      </c>
      <c r="C20" s="1" t="s">
        <v>95</v>
      </c>
      <c r="D20" s="1" t="s">
        <v>96</v>
      </c>
      <c r="E20" s="1" t="str">
        <f>"2017/S 0F2-0004355"</f>
        <v>2017/S 0F2-0004355</v>
      </c>
      <c r="F20" s="1" t="s">
        <v>22</v>
      </c>
      <c r="G20" s="1"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20" s="7"/>
      <c r="I20" s="8" t="s">
        <v>97</v>
      </c>
      <c r="J20" s="8" t="s">
        <v>98</v>
      </c>
      <c r="K20" s="6" t="str">
        <f>"10.108.000,00"</f>
        <v>10.108.000,00</v>
      </c>
      <c r="L20" s="6" t="str">
        <f>"2.527.000,00"</f>
        <v>2.527.000,00</v>
      </c>
      <c r="M20" s="6" t="str">
        <f>"12.635.000,00"</f>
        <v>12.635.000,00</v>
      </c>
      <c r="N20" s="8" t="s">
        <v>99</v>
      </c>
      <c r="O20" s="7"/>
      <c r="P20" s="2" t="s">
        <v>5614</v>
      </c>
      <c r="Q20" s="7"/>
      <c r="R20" s="1"/>
      <c r="S20" s="1" t="str">
        <f>"NOS-19-A/17"</f>
        <v>NOS-19-A/17</v>
      </c>
      <c r="T20" s="1" t="s">
        <v>32</v>
      </c>
    </row>
    <row r="21" spans="1:20" ht="51" x14ac:dyDescent="0.25">
      <c r="A21" s="6">
        <v>18</v>
      </c>
      <c r="B21" s="1" t="str">
        <f>"2017-1"</f>
        <v>2017-1</v>
      </c>
      <c r="C21" s="1" t="s">
        <v>100</v>
      </c>
      <c r="D21" s="1" t="s">
        <v>101</v>
      </c>
      <c r="E21" s="1" t="str">
        <f>""</f>
        <v/>
      </c>
      <c r="F21" s="1" t="s">
        <v>28</v>
      </c>
      <c r="G21" s="1" t="str">
        <f>CONCATENATE("GRADATIN D.O.O.,"," LIVADARSKI PUT 19,"," 10360 SESVETE,"," OIB: 79147056526")</f>
        <v>GRADATIN D.O.O., LIVADARSKI PUT 19, 10360 SESVETE, OIB: 79147056526</v>
      </c>
      <c r="H21" s="7"/>
      <c r="I21" s="8" t="s">
        <v>98</v>
      </c>
      <c r="J21" s="8" t="s">
        <v>102</v>
      </c>
      <c r="K21" s="6" t="str">
        <f>"145.400,00"</f>
        <v>145.400,00</v>
      </c>
      <c r="L21" s="6" t="str">
        <f>"36.350,00"</f>
        <v>36.350,00</v>
      </c>
      <c r="M21" s="6" t="str">
        <f>"181.750,00"</f>
        <v>181.750,00</v>
      </c>
      <c r="N21" s="8" t="s">
        <v>103</v>
      </c>
      <c r="O21" s="7"/>
      <c r="P21" s="2" t="s">
        <v>5627</v>
      </c>
      <c r="Q21" s="7"/>
      <c r="R21" s="1"/>
      <c r="S21" s="1" t="str">
        <f>"3-21/NOS-19-A/17"</f>
        <v>3-21/NOS-19-A/17</v>
      </c>
      <c r="T21" s="1" t="s">
        <v>32</v>
      </c>
    </row>
    <row r="22" spans="1:20" ht="165.75" x14ac:dyDescent="0.25">
      <c r="A22" s="6">
        <v>19</v>
      </c>
      <c r="B22" s="1" t="str">
        <f>"2017-2818"</f>
        <v>2017-2818</v>
      </c>
      <c r="C22" s="1" t="s">
        <v>104</v>
      </c>
      <c r="D22" s="1" t="s">
        <v>105</v>
      </c>
      <c r="E22" s="1" t="str">
        <f>"2018/S 0F3-0003012"</f>
        <v>2018/S 0F3-0003012</v>
      </c>
      <c r="F22" s="1" t="s">
        <v>22</v>
      </c>
      <c r="G22" s="1" t="str">
        <f>CONCATENATE("ADRIA ZAPOSLENICI D.O.O.,"," HEINZELOVA 53/A,"," 10000 ZAGREB,"," OIB: 45462110557")</f>
        <v>ADRIA ZAPOSLENICI D.O.O., HEINZELOVA 53/A, 10000 ZAGREB, OIB: 45462110557</v>
      </c>
      <c r="H22" s="7"/>
      <c r="I22" s="8" t="s">
        <v>106</v>
      </c>
      <c r="J22" s="8" t="s">
        <v>107</v>
      </c>
      <c r="K22" s="6" t="str">
        <f>"117.100.000,00"</f>
        <v>117.100.000,00</v>
      </c>
      <c r="L22" s="6" t="str">
        <f>"29.275.000,00"</f>
        <v>29.275.000,00</v>
      </c>
      <c r="M22" s="6" t="str">
        <f>"146.375.000,00"</f>
        <v>146.375.000,00</v>
      </c>
      <c r="N22" s="8" t="s">
        <v>108</v>
      </c>
      <c r="O22" s="7"/>
      <c r="P22" s="2" t="s">
        <v>5628</v>
      </c>
      <c r="Q22" s="7"/>
      <c r="R22" s="1"/>
      <c r="S22" s="1" t="str">
        <f>"NOS-117/17"</f>
        <v>NOS-117/17</v>
      </c>
      <c r="T22" s="1" t="s">
        <v>49</v>
      </c>
    </row>
    <row r="23" spans="1:20" ht="51" x14ac:dyDescent="0.25">
      <c r="A23" s="6">
        <v>20</v>
      </c>
      <c r="B23" s="1" t="str">
        <f>"2017-2818"</f>
        <v>2017-2818</v>
      </c>
      <c r="C23" s="1" t="s">
        <v>104</v>
      </c>
      <c r="D23" s="1" t="s">
        <v>109</v>
      </c>
      <c r="E23" s="1" t="str">
        <f>""</f>
        <v/>
      </c>
      <c r="F23" s="1" t="s">
        <v>28</v>
      </c>
      <c r="G23" s="1" t="str">
        <f>CONCATENATE("ADRIA ZAPOSLENICI D.O.O.,"," HEINZELOVA 53/A,"," 10000 ZAGREB,"," OIB: 45462110557")</f>
        <v>ADRIA ZAPOSLENICI D.O.O., HEINZELOVA 53/A, 10000 ZAGREB, OIB: 45462110557</v>
      </c>
      <c r="H23" s="7"/>
      <c r="I23" s="8" t="s">
        <v>110</v>
      </c>
      <c r="J23" s="8" t="s">
        <v>111</v>
      </c>
      <c r="K23" s="6" t="str">
        <f>"10.000.000,00"</f>
        <v>10.000.000,00</v>
      </c>
      <c r="L23" s="6" t="str">
        <f>"2.500.000,00"</f>
        <v>2.500.000,00</v>
      </c>
      <c r="M23" s="6" t="str">
        <f>"12.500.000,00"</f>
        <v>12.500.000,00</v>
      </c>
      <c r="N23" s="8" t="s">
        <v>112</v>
      </c>
      <c r="O23" s="7"/>
      <c r="P23" s="2" t="s">
        <v>5629</v>
      </c>
      <c r="Q23" s="1" t="s">
        <v>5603</v>
      </c>
      <c r="R23" s="1"/>
      <c r="S23" s="1" t="str">
        <f>"1-21/NOS-117/17"</f>
        <v>1-21/NOS-117/17</v>
      </c>
      <c r="T23" s="1" t="s">
        <v>32</v>
      </c>
    </row>
    <row r="24" spans="1:20" ht="165.75" x14ac:dyDescent="0.25">
      <c r="A24" s="6">
        <v>21</v>
      </c>
      <c r="B24" s="1" t="str">
        <f t="shared" ref="B24:B37" si="0">"2017-2479"</f>
        <v>2017-2479</v>
      </c>
      <c r="C24" s="1" t="s">
        <v>113</v>
      </c>
      <c r="D24" s="1" t="s">
        <v>114</v>
      </c>
      <c r="E24" s="1" t="str">
        <f>"2017/S F14-0017428"</f>
        <v>2017/S F14-0017428</v>
      </c>
      <c r="F24" s="1" t="s">
        <v>22</v>
      </c>
      <c r="G24" s="1" t="str">
        <f>CONCATENATE("URIHO - ZAGREB,"," AVENIJA MARINA DRŽIĆA 1,"," 10000 ZAGREB,"," OIB: 77931216562")</f>
        <v>URIHO - ZAGREB, AVENIJA MARINA DRŽIĆA 1, 10000 ZAGREB, OIB: 77931216562</v>
      </c>
      <c r="H24" s="7"/>
      <c r="I24" s="8" t="s">
        <v>115</v>
      </c>
      <c r="J24" s="8" t="s">
        <v>116</v>
      </c>
      <c r="K24" s="6" t="str">
        <f>"20.276.000,00"</f>
        <v>20.276.000,00</v>
      </c>
      <c r="L24" s="6" t="str">
        <f>"5.069.000,00"</f>
        <v>5.069.000,00</v>
      </c>
      <c r="M24" s="6" t="str">
        <f>"25.345.000,00"</f>
        <v>25.345.000,00</v>
      </c>
      <c r="N24" s="8" t="s">
        <v>117</v>
      </c>
      <c r="O24" s="7"/>
      <c r="P24" s="2" t="s">
        <v>5630</v>
      </c>
      <c r="Q24" s="7"/>
      <c r="R24" s="1"/>
      <c r="S24" s="1" t="str">
        <f>"NOS-113-A/17"</f>
        <v>NOS-113-A/17</v>
      </c>
      <c r="T24" s="1" t="s">
        <v>49</v>
      </c>
    </row>
    <row r="25" spans="1:20" ht="63.75" x14ac:dyDescent="0.25">
      <c r="A25" s="6">
        <v>22</v>
      </c>
      <c r="B25" s="1" t="str">
        <f t="shared" si="0"/>
        <v>2017-2479</v>
      </c>
      <c r="C25" s="1" t="s">
        <v>118</v>
      </c>
      <c r="D25" s="1" t="s">
        <v>119</v>
      </c>
      <c r="E25" s="1" t="str">
        <f>""</f>
        <v/>
      </c>
      <c r="F25" s="1" t="s">
        <v>28</v>
      </c>
      <c r="G25" s="1" t="str">
        <f>CONCATENATE("URIHO - ZAGREB,"," AVENIJA MARINA DRŽIĆA 1,"," 10000 ZAGREB,"," OIB: 77931216562")</f>
        <v>URIHO - ZAGREB, AVENIJA MARINA DRŽIĆA 1, 10000 ZAGREB, OIB: 77931216562</v>
      </c>
      <c r="H25" s="7"/>
      <c r="I25" s="8" t="s">
        <v>120</v>
      </c>
      <c r="J25" s="8" t="s">
        <v>53</v>
      </c>
      <c r="K25" s="6" t="str">
        <f>"39.893,00"</f>
        <v>39.893,00</v>
      </c>
      <c r="L25" s="6" t="str">
        <f>"9.973,25"</f>
        <v>9.973,25</v>
      </c>
      <c r="M25" s="6" t="str">
        <f>"49.866,25"</f>
        <v>49.866,25</v>
      </c>
      <c r="N25" s="8" t="s">
        <v>121</v>
      </c>
      <c r="O25" s="7"/>
      <c r="P25" s="2" t="s">
        <v>5631</v>
      </c>
      <c r="Q25" s="7"/>
      <c r="R25" s="1"/>
      <c r="S25" s="1" t="str">
        <f>"20-21/NOS-113-A/17"</f>
        <v>20-21/NOS-113-A/17</v>
      </c>
      <c r="T25" s="1" t="s">
        <v>32</v>
      </c>
    </row>
    <row r="26" spans="1:20" ht="63.75" x14ac:dyDescent="0.25">
      <c r="A26" s="6">
        <v>23</v>
      </c>
      <c r="B26" s="1" t="str">
        <f t="shared" si="0"/>
        <v>2017-2479</v>
      </c>
      <c r="C26" s="1" t="s">
        <v>122</v>
      </c>
      <c r="D26" s="1" t="s">
        <v>119</v>
      </c>
      <c r="E26" s="1" t="str">
        <f>""</f>
        <v/>
      </c>
      <c r="F26" s="1" t="s">
        <v>28</v>
      </c>
      <c r="G26" s="1" t="str">
        <f>CONCATENATE("URIHO - ZAGREB,"," AVENIJA MARINA DRŽIĆA 1,"," 10000 ZAGREB,"," OIB: 77931216562")</f>
        <v>URIHO - ZAGREB, AVENIJA MARINA DRŽIĆA 1, 10000 ZAGREB, OIB: 77931216562</v>
      </c>
      <c r="H26" s="7"/>
      <c r="I26" s="8" t="s">
        <v>120</v>
      </c>
      <c r="J26" s="8" t="s">
        <v>123</v>
      </c>
      <c r="K26" s="6" t="str">
        <f>"2.264.835,00"</f>
        <v>2.264.835,00</v>
      </c>
      <c r="L26" s="6" t="str">
        <f>"566.208,75"</f>
        <v>566.208,75</v>
      </c>
      <c r="M26" s="6" t="str">
        <f>"2.831.043,75"</f>
        <v>2.831.043,75</v>
      </c>
      <c r="N26" s="8" t="s">
        <v>124</v>
      </c>
      <c r="O26" s="7"/>
      <c r="P26" s="2" t="s">
        <v>5632</v>
      </c>
      <c r="Q26" s="7"/>
      <c r="R26" s="1"/>
      <c r="S26" s="1" t="str">
        <f>"21-21/NOS-113-A/17"</f>
        <v>21-21/NOS-113-A/17</v>
      </c>
      <c r="T26" s="1" t="s">
        <v>32</v>
      </c>
    </row>
    <row r="27" spans="1:20" ht="63.75" x14ac:dyDescent="0.25">
      <c r="A27" s="6">
        <v>24</v>
      </c>
      <c r="B27" s="1" t="str">
        <f t="shared" si="0"/>
        <v>2017-2479</v>
      </c>
      <c r="C27" s="1" t="s">
        <v>125</v>
      </c>
      <c r="D27" s="1" t="s">
        <v>119</v>
      </c>
      <c r="E27" s="1" t="str">
        <f>""</f>
        <v/>
      </c>
      <c r="F27" s="1" t="s">
        <v>28</v>
      </c>
      <c r="G27" s="1" t="str">
        <f>CONCATENATE("URIHO - ZAGREB,"," AVENIJA MARINA DRŽIĆA 1,"," 10000 ZAGREB,"," OIB: 77931216562")</f>
        <v>URIHO - ZAGREB, AVENIJA MARINA DRŽIĆA 1, 10000 ZAGREB, OIB: 77931216562</v>
      </c>
      <c r="H27" s="7"/>
      <c r="I27" s="8" t="s">
        <v>126</v>
      </c>
      <c r="J27" s="8" t="s">
        <v>123</v>
      </c>
      <c r="K27" s="6" t="str">
        <f>"194.660,00"</f>
        <v>194.660,00</v>
      </c>
      <c r="L27" s="6" t="str">
        <f>"48.665,00"</f>
        <v>48.665,00</v>
      </c>
      <c r="M27" s="6" t="str">
        <f>"243.325,00"</f>
        <v>243.325,00</v>
      </c>
      <c r="N27" s="8" t="s">
        <v>127</v>
      </c>
      <c r="O27" s="7"/>
      <c r="P27" s="2" t="s">
        <v>5633</v>
      </c>
      <c r="Q27" s="7"/>
      <c r="R27" s="1"/>
      <c r="S27" s="1" t="str">
        <f>"23-21/NOS-113-A/17"</f>
        <v>23-21/NOS-113-A/17</v>
      </c>
      <c r="T27" s="1" t="s">
        <v>55</v>
      </c>
    </row>
    <row r="28" spans="1:20" ht="63.75" x14ac:dyDescent="0.25">
      <c r="A28" s="6">
        <v>25</v>
      </c>
      <c r="B28" s="1" t="str">
        <f t="shared" si="0"/>
        <v>2017-2479</v>
      </c>
      <c r="C28" s="1" t="s">
        <v>128</v>
      </c>
      <c r="D28" s="1" t="s">
        <v>119</v>
      </c>
      <c r="E28" s="1" t="str">
        <f>""</f>
        <v/>
      </c>
      <c r="F28" s="1" t="s">
        <v>28</v>
      </c>
      <c r="G28" s="1" t="str">
        <f>CONCATENATE("URIHO - ZAGREB,"," AVENIJA MARINA DRŽIĆA 1,"," 10000 ZAGREB,"," OIB: 77931216562")</f>
        <v>URIHO - ZAGREB, AVENIJA MARINA DRŽIĆA 1, 10000 ZAGREB, OIB: 77931216562</v>
      </c>
      <c r="H28" s="7"/>
      <c r="I28" s="8" t="s">
        <v>98</v>
      </c>
      <c r="J28" s="8" t="s">
        <v>129</v>
      </c>
      <c r="K28" s="6" t="str">
        <f>"352.517,00"</f>
        <v>352.517,00</v>
      </c>
      <c r="L28" s="6" t="str">
        <f>"88.129,25"</f>
        <v>88.129,25</v>
      </c>
      <c r="M28" s="6" t="str">
        <f>"440.646,25"</f>
        <v>440.646,25</v>
      </c>
      <c r="N28" s="8" t="s">
        <v>94</v>
      </c>
      <c r="O28" s="7"/>
      <c r="P28" s="2" t="s">
        <v>5634</v>
      </c>
      <c r="Q28" s="7"/>
      <c r="R28" s="1"/>
      <c r="S28" s="1" t="str">
        <f>"16-21/NOS-113-A/17"</f>
        <v>16-21/NOS-113-A/17</v>
      </c>
      <c r="T28" s="1" t="s">
        <v>32</v>
      </c>
    </row>
    <row r="29" spans="1:20" ht="267.75" x14ac:dyDescent="0.25">
      <c r="A29" s="6">
        <v>26</v>
      </c>
      <c r="B29" s="1" t="str">
        <f t="shared" si="0"/>
        <v>2017-2479</v>
      </c>
      <c r="C29" s="1" t="s">
        <v>130</v>
      </c>
      <c r="D29" s="1" t="s">
        <v>114</v>
      </c>
      <c r="E29" s="1" t="str">
        <f>"2017/S F14-0017428"</f>
        <v>2017/S F14-0017428</v>
      </c>
      <c r="F29" s="1" t="s">
        <v>22</v>
      </c>
      <c r="G29" s="1"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29" s="7"/>
      <c r="I29" s="8" t="s">
        <v>115</v>
      </c>
      <c r="J29" s="8" t="s">
        <v>116</v>
      </c>
      <c r="K29" s="6" t="str">
        <f>"12.831.500,00"</f>
        <v>12.831.500,00</v>
      </c>
      <c r="L29" s="6" t="str">
        <f>"3.207.875,00"</f>
        <v>3.207.875,00</v>
      </c>
      <c r="M29" s="6" t="str">
        <f>"16.039.375,00"</f>
        <v>16.039.375,00</v>
      </c>
      <c r="N29" s="8" t="s">
        <v>117</v>
      </c>
      <c r="O29" s="7"/>
      <c r="P29" s="2" t="s">
        <v>5635</v>
      </c>
      <c r="Q29" s="7"/>
      <c r="R29" s="1"/>
      <c r="S29" s="1" t="str">
        <f>"NOS-113-B/17"</f>
        <v>NOS-113-B/17</v>
      </c>
      <c r="T29" s="1" t="s">
        <v>49</v>
      </c>
    </row>
    <row r="30" spans="1:20" ht="114.75" x14ac:dyDescent="0.25">
      <c r="A30" s="6">
        <v>27</v>
      </c>
      <c r="B30" s="1" t="str">
        <f t="shared" si="0"/>
        <v>2017-2479</v>
      </c>
      <c r="C30" s="1" t="s">
        <v>131</v>
      </c>
      <c r="D30" s="1" t="s">
        <v>119</v>
      </c>
      <c r="E30" s="1" t="str">
        <f>""</f>
        <v/>
      </c>
      <c r="F30" s="1" t="s">
        <v>28</v>
      </c>
      <c r="G30" s="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30" s="7"/>
      <c r="I30" s="8" t="s">
        <v>120</v>
      </c>
      <c r="J30" s="8" t="s">
        <v>123</v>
      </c>
      <c r="K30" s="6" t="str">
        <f>"1.222.361,63"</f>
        <v>1.222.361,63</v>
      </c>
      <c r="L30" s="6" t="str">
        <f>"305.590,41"</f>
        <v>305.590,41</v>
      </c>
      <c r="M30" s="6" t="str">
        <f>"1.527.952,04"</f>
        <v>1.527.952,04</v>
      </c>
      <c r="N30" s="8" t="s">
        <v>124</v>
      </c>
      <c r="O30" s="7"/>
      <c r="P30" s="2" t="s">
        <v>5636</v>
      </c>
      <c r="Q30" s="7"/>
      <c r="R30" s="1"/>
      <c r="S30" s="1" t="str">
        <f>"18-21/NOS-113-B/17"</f>
        <v>18-21/NOS-113-B/17</v>
      </c>
      <c r="T30" s="1" t="s">
        <v>32</v>
      </c>
    </row>
    <row r="31" spans="1:20" ht="114.75" x14ac:dyDescent="0.25">
      <c r="A31" s="6">
        <v>28</v>
      </c>
      <c r="B31" s="1" t="str">
        <f t="shared" si="0"/>
        <v>2017-2479</v>
      </c>
      <c r="C31" s="1" t="s">
        <v>132</v>
      </c>
      <c r="D31" s="1" t="s">
        <v>119</v>
      </c>
      <c r="E31" s="1" t="str">
        <f>""</f>
        <v/>
      </c>
      <c r="F31" s="1" t="s">
        <v>28</v>
      </c>
      <c r="G31" s="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31" s="7"/>
      <c r="I31" s="8" t="s">
        <v>120</v>
      </c>
      <c r="J31" s="8" t="s">
        <v>123</v>
      </c>
      <c r="K31" s="6" t="str">
        <f>"361.105,00"</f>
        <v>361.105,00</v>
      </c>
      <c r="L31" s="6" t="str">
        <f>"90.276,25"</f>
        <v>90.276,25</v>
      </c>
      <c r="M31" s="6" t="str">
        <f>"451.381,25"</f>
        <v>451.381,25</v>
      </c>
      <c r="N31" s="8" t="s">
        <v>133</v>
      </c>
      <c r="O31" s="7"/>
      <c r="P31" s="2" t="s">
        <v>5637</v>
      </c>
      <c r="Q31" s="7"/>
      <c r="R31" s="1"/>
      <c r="S31" s="1" t="str">
        <f>"19-21/NOS-113-B/17"</f>
        <v>19-21/NOS-113-B/17</v>
      </c>
      <c r="T31" s="1" t="s">
        <v>55</v>
      </c>
    </row>
    <row r="32" spans="1:20" ht="51" x14ac:dyDescent="0.25">
      <c r="A32" s="6">
        <v>29</v>
      </c>
      <c r="B32" s="1" t="str">
        <f t="shared" si="0"/>
        <v>2017-2479</v>
      </c>
      <c r="C32" s="1" t="s">
        <v>128</v>
      </c>
      <c r="D32" s="1" t="s">
        <v>119</v>
      </c>
      <c r="E32" s="1" t="str">
        <f>""</f>
        <v/>
      </c>
      <c r="F32" s="1" t="s">
        <v>28</v>
      </c>
      <c r="G32" s="1" t="str">
        <f>CONCATENATE("TED D.O.O.,"," VRHOVČEV VIJENAC 84,"," 10000 ZAGREB,"," OIB: 22740118957")</f>
        <v>TED D.O.O., VRHOVČEV VIJENAC 84, 10000 ZAGREB, OIB: 22740118957</v>
      </c>
      <c r="H32" s="7"/>
      <c r="I32" s="8" t="s">
        <v>134</v>
      </c>
      <c r="J32" s="8" t="s">
        <v>129</v>
      </c>
      <c r="K32" s="6" t="str">
        <f>"185.823,80"</f>
        <v>185.823,80</v>
      </c>
      <c r="L32" s="6" t="str">
        <f>"46.455,95"</f>
        <v>46.455,95</v>
      </c>
      <c r="M32" s="6" t="str">
        <f>"232.279,75"</f>
        <v>232.279,75</v>
      </c>
      <c r="N32" s="8" t="s">
        <v>93</v>
      </c>
      <c r="O32" s="7"/>
      <c r="P32" s="2" t="s">
        <v>5638</v>
      </c>
      <c r="Q32" s="1" t="s">
        <v>135</v>
      </c>
      <c r="R32" s="1"/>
      <c r="S32" s="1" t="str">
        <f>"14-21/NOS-113-B/17"</f>
        <v>14-21/NOS-113-B/17</v>
      </c>
      <c r="T32" s="1" t="s">
        <v>32</v>
      </c>
    </row>
    <row r="33" spans="1:20" ht="165.75" x14ac:dyDescent="0.25">
      <c r="A33" s="6">
        <v>30</v>
      </c>
      <c r="B33" s="1" t="str">
        <f t="shared" si="0"/>
        <v>2017-2479</v>
      </c>
      <c r="C33" s="1" t="s">
        <v>136</v>
      </c>
      <c r="D33" s="1" t="s">
        <v>114</v>
      </c>
      <c r="E33" s="1" t="str">
        <f>"2017/S F14-0017428"</f>
        <v>2017/S F14-0017428</v>
      </c>
      <c r="F33" s="1" t="s">
        <v>22</v>
      </c>
      <c r="G33" s="1" t="str">
        <f>CONCATENATE("SIGA PRO D.O.O.,"," MEĐIMURSKA 12,"," 42000 VARAŽDIN,"," OIB: 00204195795")</f>
        <v>SIGA PRO D.O.O., MEĐIMURSKA 12, 42000 VARAŽDIN, OIB: 00204195795</v>
      </c>
      <c r="H33" s="7"/>
      <c r="I33" s="8" t="s">
        <v>115</v>
      </c>
      <c r="J33" s="8" t="s">
        <v>117</v>
      </c>
      <c r="K33" s="6" t="str">
        <f>"450.600,00"</f>
        <v>450.600,00</v>
      </c>
      <c r="L33" s="6" t="str">
        <f>"112.650,00"</f>
        <v>112.650,00</v>
      </c>
      <c r="M33" s="6" t="str">
        <f>"563.250,00"</f>
        <v>563.250,00</v>
      </c>
      <c r="N33" s="8" t="s">
        <v>137</v>
      </c>
      <c r="O33" s="7"/>
      <c r="P33" s="2" t="s">
        <v>5639</v>
      </c>
      <c r="Q33" s="7"/>
      <c r="R33" s="1"/>
      <c r="S33" s="1" t="str">
        <f>"NOS-113-C/17"</f>
        <v>NOS-113-C/17</v>
      </c>
      <c r="T33" s="1" t="s">
        <v>49</v>
      </c>
    </row>
    <row r="34" spans="1:20" ht="51" x14ac:dyDescent="0.25">
      <c r="A34" s="6">
        <v>31</v>
      </c>
      <c r="B34" s="1" t="str">
        <f t="shared" si="0"/>
        <v>2017-2479</v>
      </c>
      <c r="C34" s="1" t="s">
        <v>138</v>
      </c>
      <c r="D34" s="1" t="s">
        <v>119</v>
      </c>
      <c r="E34" s="1" t="str">
        <f>""</f>
        <v/>
      </c>
      <c r="F34" s="1" t="s">
        <v>28</v>
      </c>
      <c r="G34" s="1" t="str">
        <f>CONCATENATE("SIGA PRO D.O.O.,"," MEĐIMURSKA 12,"," 42000 VARAŽDIN,"," OIB: 00204195795")</f>
        <v>SIGA PRO D.O.O., MEĐIMURSKA 12, 42000 VARAŽDIN, OIB: 00204195795</v>
      </c>
      <c r="H34" s="7"/>
      <c r="I34" s="8" t="s">
        <v>120</v>
      </c>
      <c r="J34" s="8" t="s">
        <v>123</v>
      </c>
      <c r="K34" s="6" t="str">
        <f>"14.430,80"</f>
        <v>14.430,80</v>
      </c>
      <c r="L34" s="6" t="str">
        <f>"3.607,70"</f>
        <v>3.607,70</v>
      </c>
      <c r="M34" s="6" t="str">
        <f>"18.038,50"</f>
        <v>18.038,50</v>
      </c>
      <c r="N34" s="8" t="s">
        <v>124</v>
      </c>
      <c r="O34" s="7"/>
      <c r="P34" s="2" t="s">
        <v>5640</v>
      </c>
      <c r="Q34" s="7"/>
      <c r="R34" s="1"/>
      <c r="S34" s="1" t="str">
        <f>"8-21/NOS-113-C/17"</f>
        <v>8-21/NOS-113-C/17</v>
      </c>
      <c r="T34" s="1" t="s">
        <v>32</v>
      </c>
    </row>
    <row r="35" spans="1:20" ht="165.75" x14ac:dyDescent="0.25">
      <c r="A35" s="6">
        <v>32</v>
      </c>
      <c r="B35" s="1" t="str">
        <f t="shared" si="0"/>
        <v>2017-2479</v>
      </c>
      <c r="C35" s="1" t="s">
        <v>139</v>
      </c>
      <c r="D35" s="1" t="s">
        <v>114</v>
      </c>
      <c r="E35" s="1" t="str">
        <f>"2017/S F14-0017428"</f>
        <v>2017/S F14-0017428</v>
      </c>
      <c r="F35" s="1" t="s">
        <v>22</v>
      </c>
      <c r="G35" s="1"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35" s="7"/>
      <c r="I35" s="8" t="s">
        <v>115</v>
      </c>
      <c r="J35" s="8" t="s">
        <v>116</v>
      </c>
      <c r="K35" s="6" t="str">
        <f>"1.480.000,00"</f>
        <v>1.480.000,00</v>
      </c>
      <c r="L35" s="6" t="str">
        <f>"370.000,00"</f>
        <v>370.000,00</v>
      </c>
      <c r="M35" s="6" t="str">
        <f>"1.850.000,00"</f>
        <v>1.850.000,00</v>
      </c>
      <c r="N35" s="8" t="s">
        <v>117</v>
      </c>
      <c r="O35" s="7"/>
      <c r="P35" s="2" t="s">
        <v>5641</v>
      </c>
      <c r="Q35" s="7"/>
      <c r="R35" s="1"/>
      <c r="S35" s="1" t="str">
        <f>"NOS-113-D/17"</f>
        <v>NOS-113-D/17</v>
      </c>
      <c r="T35" s="1" t="s">
        <v>49</v>
      </c>
    </row>
    <row r="36" spans="1:20" ht="63.75" x14ac:dyDescent="0.25">
      <c r="A36" s="6">
        <v>33</v>
      </c>
      <c r="B36" s="1" t="str">
        <f t="shared" si="0"/>
        <v>2017-2479</v>
      </c>
      <c r="C36" s="1" t="s">
        <v>140</v>
      </c>
      <c r="D36" s="1" t="s">
        <v>119</v>
      </c>
      <c r="E36" s="1" t="str">
        <f>""</f>
        <v/>
      </c>
      <c r="F36" s="1" t="s">
        <v>28</v>
      </c>
      <c r="G36" s="1" t="str">
        <f>CONCATENATE("DRÄGER SAFETY D.O.O.,"," AVENIJA VEĆESLAVA HOLJEVCA 40,"," 10010 ZAGREB,"," OIB: 32874587842")</f>
        <v>DRÄGER SAFETY D.O.O., AVENIJA VEĆESLAVA HOLJEVCA 40, 10010 ZAGREB, OIB: 32874587842</v>
      </c>
      <c r="H36" s="7"/>
      <c r="I36" s="8" t="s">
        <v>120</v>
      </c>
      <c r="J36" s="8" t="s">
        <v>123</v>
      </c>
      <c r="K36" s="6" t="str">
        <f>"72.750,00"</f>
        <v>72.750,00</v>
      </c>
      <c r="L36" s="6" t="str">
        <f>"18.187,50"</f>
        <v>18.187,50</v>
      </c>
      <c r="M36" s="6" t="str">
        <f>"90.937,50"</f>
        <v>90.937,50</v>
      </c>
      <c r="N36" s="8" t="s">
        <v>103</v>
      </c>
      <c r="O36" s="7"/>
      <c r="P36" s="2" t="s">
        <v>5642</v>
      </c>
      <c r="Q36" s="7"/>
      <c r="R36" s="1"/>
      <c r="S36" s="1" t="str">
        <f>"10-21/NOS-113-D/17"</f>
        <v>10-21/NOS-113-D/17</v>
      </c>
      <c r="T36" s="1" t="s">
        <v>55</v>
      </c>
    </row>
    <row r="37" spans="1:20" ht="63.75" x14ac:dyDescent="0.25">
      <c r="A37" s="6">
        <v>34</v>
      </c>
      <c r="B37" s="1" t="str">
        <f t="shared" si="0"/>
        <v>2017-2479</v>
      </c>
      <c r="C37" s="1" t="s">
        <v>141</v>
      </c>
      <c r="D37" s="1" t="s">
        <v>119</v>
      </c>
      <c r="E37" s="1" t="str">
        <f>""</f>
        <v/>
      </c>
      <c r="F37" s="1" t="s">
        <v>28</v>
      </c>
      <c r="G37" s="1" t="str">
        <f>CONCATENATE("DRÄGER SAFETY D.O.O.,"," AVENIJA VEĆESLAVA HOLJEVCA 40,"," 10010 ZAGREB,"," OIB: 32874587842")</f>
        <v>DRÄGER SAFETY D.O.O., AVENIJA VEĆESLAVA HOLJEVCA 40, 10010 ZAGREB, OIB: 32874587842</v>
      </c>
      <c r="H37" s="7"/>
      <c r="I37" s="8" t="s">
        <v>126</v>
      </c>
      <c r="J37" s="8" t="s">
        <v>123</v>
      </c>
      <c r="K37" s="6" t="str">
        <f>"67.379,00"</f>
        <v>67.379,00</v>
      </c>
      <c r="L37" s="6" t="str">
        <f>"16.844,75"</f>
        <v>16.844,75</v>
      </c>
      <c r="M37" s="6" t="str">
        <f>"84.223,75"</f>
        <v>84.223,75</v>
      </c>
      <c r="N37" s="8" t="s">
        <v>124</v>
      </c>
      <c r="O37" s="7"/>
      <c r="P37" s="2" t="s">
        <v>5643</v>
      </c>
      <c r="Q37" s="7"/>
      <c r="R37" s="1"/>
      <c r="S37" s="1" t="str">
        <f>"9-21/NOS-113-D/17"</f>
        <v>9-21/NOS-113-D/17</v>
      </c>
      <c r="T37" s="1" t="s">
        <v>32</v>
      </c>
    </row>
    <row r="38" spans="1:20" ht="153" x14ac:dyDescent="0.25">
      <c r="A38" s="6">
        <v>35</v>
      </c>
      <c r="B38" s="1" t="str">
        <f>"2017-490"</f>
        <v>2017-490</v>
      </c>
      <c r="C38" s="1" t="s">
        <v>142</v>
      </c>
      <c r="D38" s="1" t="s">
        <v>143</v>
      </c>
      <c r="E38" s="1" t="str">
        <f>"2017/S 0F2-0012816"</f>
        <v>2017/S 0F2-0012816</v>
      </c>
      <c r="F38" s="1" t="s">
        <v>22</v>
      </c>
      <c r="G38" s="1"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38" s="1" t="str">
        <f>CONCATENATE("VIS PROMOTEX D.O.O.,"," OIB: 9721332065")</f>
        <v>VIS PROMOTEX D.O.O., OIB: 9721332065</v>
      </c>
      <c r="I38" s="8" t="s">
        <v>97</v>
      </c>
      <c r="J38" s="8" t="s">
        <v>98</v>
      </c>
      <c r="K38" s="6" t="str">
        <f>"5.200.000,00"</f>
        <v>5.200.000,00</v>
      </c>
      <c r="L38" s="6" t="str">
        <f>"1.300.000,00"</f>
        <v>1.300.000,00</v>
      </c>
      <c r="M38" s="6" t="str">
        <f>"6.500.000,00"</f>
        <v>6.500.000,00</v>
      </c>
      <c r="N38" s="8" t="s">
        <v>99</v>
      </c>
      <c r="O38" s="7"/>
      <c r="P38" s="2" t="s">
        <v>5614</v>
      </c>
      <c r="Q38" s="7"/>
      <c r="R38" s="1"/>
      <c r="S38" s="1" t="str">
        <f>"NOS-112/17"</f>
        <v>NOS-112/17</v>
      </c>
      <c r="T38" s="1" t="s">
        <v>86</v>
      </c>
    </row>
    <row r="39" spans="1:20" ht="76.5" x14ac:dyDescent="0.25">
      <c r="A39" s="6">
        <v>36</v>
      </c>
      <c r="B39" s="1" t="str">
        <f>"2017-490"</f>
        <v>2017-490</v>
      </c>
      <c r="C39" s="1" t="s">
        <v>142</v>
      </c>
      <c r="D39" s="1" t="s">
        <v>144</v>
      </c>
      <c r="E39" s="1" t="str">
        <f>""</f>
        <v/>
      </c>
      <c r="F39" s="1" t="s">
        <v>28</v>
      </c>
      <c r="G39" s="1" t="str">
        <f>CONCATENATE("SOCIJALNA ZADRUGA HUMANA NOVA ČAKOVEC,"," ULICA ŽRTAVA FAŠIZMA 3,"," 40000 ČAKOVEC,"," OIB: 27711345503")</f>
        <v>SOCIJALNA ZADRUGA HUMANA NOVA ČAKOVEC, ULICA ŽRTAVA FAŠIZMA 3, 40000 ČAKOVEC, OIB: 27711345503</v>
      </c>
      <c r="H39" s="7"/>
      <c r="I39" s="8" t="s">
        <v>145</v>
      </c>
      <c r="J39" s="8" t="s">
        <v>41</v>
      </c>
      <c r="K39" s="6" t="str">
        <f>"281.571,00"</f>
        <v>281.571,00</v>
      </c>
      <c r="L39" s="6" t="str">
        <f>"70.392,75"</f>
        <v>70.392,75</v>
      </c>
      <c r="M39" s="6" t="str">
        <f>"351.963,75"</f>
        <v>351.963,75</v>
      </c>
      <c r="N39" s="8" t="s">
        <v>146</v>
      </c>
      <c r="O39" s="7"/>
      <c r="P39" s="2" t="s">
        <v>5644</v>
      </c>
      <c r="Q39" s="7"/>
      <c r="R39" s="1"/>
      <c r="S39" s="1" t="str">
        <f>"2-21/NOS-112/17"</f>
        <v>2-21/NOS-112/17</v>
      </c>
      <c r="T39" s="1" t="s">
        <v>86</v>
      </c>
    </row>
    <row r="40" spans="1:20" ht="165.75" x14ac:dyDescent="0.25">
      <c r="A40" s="6">
        <v>37</v>
      </c>
      <c r="B40" s="1" t="str">
        <f t="shared" ref="B40:B53" si="1">"2017-2479"</f>
        <v>2017-2479</v>
      </c>
      <c r="C40" s="1" t="s">
        <v>147</v>
      </c>
      <c r="D40" s="1" t="s">
        <v>114</v>
      </c>
      <c r="E40" s="1" t="str">
        <f>"2017/S F14-0017428"</f>
        <v>2017/S F14-0017428</v>
      </c>
      <c r="F40" s="1" t="s">
        <v>22</v>
      </c>
      <c r="G40" s="1"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40" s="7"/>
      <c r="I40" s="8" t="s">
        <v>115</v>
      </c>
      <c r="J40" s="8" t="s">
        <v>117</v>
      </c>
      <c r="K40" s="6" t="str">
        <f>"116.080,00"</f>
        <v>116.080,00</v>
      </c>
      <c r="L40" s="6" t="str">
        <f>"29.020,00"</f>
        <v>29.020,00</v>
      </c>
      <c r="M40" s="6" t="str">
        <f>"145.100,00"</f>
        <v>145.100,00</v>
      </c>
      <c r="N40" s="8" t="s">
        <v>137</v>
      </c>
      <c r="O40" s="7"/>
      <c r="P40" s="2" t="s">
        <v>5645</v>
      </c>
      <c r="Q40" s="7"/>
      <c r="R40" s="1"/>
      <c r="S40" s="1" t="str">
        <f>"NOS-113-E/17"</f>
        <v>NOS-113-E/17</v>
      </c>
      <c r="T40" s="1" t="s">
        <v>49</v>
      </c>
    </row>
    <row r="41" spans="1:20" ht="51" x14ac:dyDescent="0.25">
      <c r="A41" s="6">
        <v>38</v>
      </c>
      <c r="B41" s="1" t="str">
        <f t="shared" si="1"/>
        <v>2017-2479</v>
      </c>
      <c r="C41" s="1" t="s">
        <v>148</v>
      </c>
      <c r="D41" s="1" t="s">
        <v>119</v>
      </c>
      <c r="E41" s="1" t="str">
        <f>""</f>
        <v/>
      </c>
      <c r="F41" s="1" t="s">
        <v>28</v>
      </c>
      <c r="G41" s="1" t="str">
        <f>CONCATENATE("SIGA PRO D.O.O.,"," MEĐIMURSKA 12,"," 42000 VARAŽDIN,"," OIB: 00204195795")</f>
        <v>SIGA PRO D.O.O., MEĐIMURSKA 12, 42000 VARAŽDIN, OIB: 00204195795</v>
      </c>
      <c r="H41" s="7"/>
      <c r="I41" s="8" t="s">
        <v>126</v>
      </c>
      <c r="J41" s="8" t="s">
        <v>123</v>
      </c>
      <c r="K41" s="6" t="str">
        <f>"10.230,10"</f>
        <v>10.230,10</v>
      </c>
      <c r="L41" s="6" t="str">
        <f>"2.557,53"</f>
        <v>2.557,53</v>
      </c>
      <c r="M41" s="6" t="str">
        <f>"12.787,63"</f>
        <v>12.787,63</v>
      </c>
      <c r="N41" s="8" t="s">
        <v>124</v>
      </c>
      <c r="O41" s="7"/>
      <c r="P41" s="2" t="s">
        <v>5614</v>
      </c>
      <c r="Q41" s="7"/>
      <c r="R41" s="1"/>
      <c r="S41" s="1" t="str">
        <f>"5-21/NOS-113-E/17"</f>
        <v>5-21/NOS-113-E/17</v>
      </c>
      <c r="T41" s="1" t="s">
        <v>32</v>
      </c>
    </row>
    <row r="42" spans="1:20" ht="165.75" x14ac:dyDescent="0.25">
      <c r="A42" s="6">
        <v>39</v>
      </c>
      <c r="B42" s="1" t="str">
        <f t="shared" si="1"/>
        <v>2017-2479</v>
      </c>
      <c r="C42" s="1" t="s">
        <v>149</v>
      </c>
      <c r="D42" s="1" t="s">
        <v>114</v>
      </c>
      <c r="E42" s="1" t="str">
        <f>"2017/S F14-0017428"</f>
        <v>2017/S F14-0017428</v>
      </c>
      <c r="F42" s="1" t="s">
        <v>22</v>
      </c>
      <c r="G42" s="1"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42" s="7"/>
      <c r="I42" s="8" t="s">
        <v>115</v>
      </c>
      <c r="J42" s="8" t="s">
        <v>116</v>
      </c>
      <c r="K42" s="6" t="str">
        <f>"540.000,00"</f>
        <v>540.000,00</v>
      </c>
      <c r="L42" s="6" t="str">
        <f>"135.000,00"</f>
        <v>135.000,00</v>
      </c>
      <c r="M42" s="6" t="str">
        <f>"675.000,00"</f>
        <v>675.000,00</v>
      </c>
      <c r="N42" s="8" t="s">
        <v>117</v>
      </c>
      <c r="O42" s="7"/>
      <c r="P42" s="2" t="s">
        <v>5646</v>
      </c>
      <c r="Q42" s="7"/>
      <c r="R42" s="1"/>
      <c r="S42" s="1" t="str">
        <f>"NOS-113-G/17"</f>
        <v>NOS-113-G/17</v>
      </c>
      <c r="T42" s="1" t="s">
        <v>49</v>
      </c>
    </row>
    <row r="43" spans="1:20" ht="51" x14ac:dyDescent="0.25">
      <c r="A43" s="6">
        <v>40</v>
      </c>
      <c r="B43" s="1" t="str">
        <f t="shared" si="1"/>
        <v>2017-2479</v>
      </c>
      <c r="C43" s="1" t="s">
        <v>150</v>
      </c>
      <c r="D43" s="1" t="s">
        <v>119</v>
      </c>
      <c r="E43" s="1" t="str">
        <f>""</f>
        <v/>
      </c>
      <c r="F43" s="1" t="s">
        <v>28</v>
      </c>
      <c r="G43" s="1" t="str">
        <f>CONCATENATE("SIGA PRO D.O.O.,"," MEĐIMURSKA 12,"," 42000 VARAŽDIN,"," OIB: 00204195795")</f>
        <v>SIGA PRO D.O.O., MEĐIMURSKA 12, 42000 VARAŽDIN, OIB: 00204195795</v>
      </c>
      <c r="H43" s="7"/>
      <c r="I43" s="8" t="s">
        <v>120</v>
      </c>
      <c r="J43" s="8" t="s">
        <v>123</v>
      </c>
      <c r="K43" s="6" t="str">
        <f>"6.630,00"</f>
        <v>6.630,00</v>
      </c>
      <c r="L43" s="6" t="str">
        <f>"1.657,50"</f>
        <v>1.657,50</v>
      </c>
      <c r="M43" s="6" t="str">
        <f>"8.287,50"</f>
        <v>8.287,50</v>
      </c>
      <c r="N43" s="8" t="s">
        <v>127</v>
      </c>
      <c r="O43" s="7"/>
      <c r="P43" s="2" t="s">
        <v>5647</v>
      </c>
      <c r="Q43" s="7"/>
      <c r="R43" s="1"/>
      <c r="S43" s="1" t="str">
        <f>"11-21/NOS-113-G/17"</f>
        <v>11-21/NOS-113-G/17</v>
      </c>
      <c r="T43" s="1" t="s">
        <v>55</v>
      </c>
    </row>
    <row r="44" spans="1:20" ht="51" x14ac:dyDescent="0.25">
      <c r="A44" s="6">
        <v>41</v>
      </c>
      <c r="B44" s="1" t="str">
        <f t="shared" si="1"/>
        <v>2017-2479</v>
      </c>
      <c r="C44" s="1" t="s">
        <v>151</v>
      </c>
      <c r="D44" s="1" t="s">
        <v>119</v>
      </c>
      <c r="E44" s="1" t="str">
        <f>""</f>
        <v/>
      </c>
      <c r="F44" s="1" t="s">
        <v>28</v>
      </c>
      <c r="G44" s="1" t="str">
        <f>CONCATENATE("SIGA PRO D.O.O.,"," MEĐIMURSKA 12,"," 42000 VARAŽDIN,"," OIB: 00204195795")</f>
        <v>SIGA PRO D.O.O., MEĐIMURSKA 12, 42000 VARAŽDIN, OIB: 00204195795</v>
      </c>
      <c r="H44" s="7"/>
      <c r="I44" s="8" t="s">
        <v>126</v>
      </c>
      <c r="J44" s="8" t="s">
        <v>123</v>
      </c>
      <c r="K44" s="6" t="str">
        <f>"37.066,00"</f>
        <v>37.066,00</v>
      </c>
      <c r="L44" s="6" t="str">
        <f>"9.266,50"</f>
        <v>9.266,50</v>
      </c>
      <c r="M44" s="6" t="str">
        <f>"46.332,50"</f>
        <v>46.332,50</v>
      </c>
      <c r="N44" s="8" t="s">
        <v>124</v>
      </c>
      <c r="O44" s="7"/>
      <c r="P44" s="2" t="s">
        <v>5648</v>
      </c>
      <c r="Q44" s="7"/>
      <c r="R44" s="1"/>
      <c r="S44" s="1" t="str">
        <f>"10-21/NOS-113-G/17"</f>
        <v>10-21/NOS-113-G/17</v>
      </c>
      <c r="T44" s="1" t="s">
        <v>32</v>
      </c>
    </row>
    <row r="45" spans="1:20" ht="165.75" x14ac:dyDescent="0.25">
      <c r="A45" s="6">
        <v>42</v>
      </c>
      <c r="B45" s="1" t="str">
        <f t="shared" si="1"/>
        <v>2017-2479</v>
      </c>
      <c r="C45" s="1" t="s">
        <v>152</v>
      </c>
      <c r="D45" s="1" t="s">
        <v>114</v>
      </c>
      <c r="E45" s="1" t="str">
        <f>"2017/S F14-0017428"</f>
        <v>2017/S F14-0017428</v>
      </c>
      <c r="F45" s="1" t="s">
        <v>22</v>
      </c>
      <c r="G45" s="1"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45" s="7"/>
      <c r="I45" s="8" t="s">
        <v>115</v>
      </c>
      <c r="J45" s="8" t="s">
        <v>116</v>
      </c>
      <c r="K45" s="6" t="str">
        <f>"870.000,00"</f>
        <v>870.000,00</v>
      </c>
      <c r="L45" s="6" t="str">
        <f>"217.500,00"</f>
        <v>217.500,00</v>
      </c>
      <c r="M45" s="6" t="str">
        <f>"1.087.500,00"</f>
        <v>1.087.500,00</v>
      </c>
      <c r="N45" s="8" t="s">
        <v>117</v>
      </c>
      <c r="O45" s="7"/>
      <c r="P45" s="2" t="s">
        <v>5614</v>
      </c>
      <c r="Q45" s="7"/>
      <c r="R45" s="1"/>
      <c r="S45" s="1" t="str">
        <f>"NOS-113-H/17"</f>
        <v>NOS-113-H/17</v>
      </c>
      <c r="T45" s="1" t="s">
        <v>49</v>
      </c>
    </row>
    <row r="46" spans="1:20" ht="63.75" x14ac:dyDescent="0.25">
      <c r="A46" s="6">
        <v>43</v>
      </c>
      <c r="B46" s="1" t="str">
        <f t="shared" si="1"/>
        <v>2017-2479</v>
      </c>
      <c r="C46" s="1" t="s">
        <v>153</v>
      </c>
      <c r="D46" s="1" t="s">
        <v>119</v>
      </c>
      <c r="E46" s="1" t="str">
        <f>""</f>
        <v/>
      </c>
      <c r="F46" s="1" t="s">
        <v>28</v>
      </c>
      <c r="G46" s="1" t="str">
        <f>CONCATENATE("KOM-TRADE D.O.O.,"," ZDENCI BRDOVEČKI,"," ZDENAČKA 90,"," 10291 PRIGORJE BRDOVEČKO,"," OIB: 65743247826")</f>
        <v>KOM-TRADE D.O.O., ZDENCI BRDOVEČKI, ZDENAČKA 90, 10291 PRIGORJE BRDOVEČKO, OIB: 65743247826</v>
      </c>
      <c r="H46" s="7"/>
      <c r="I46" s="8" t="s">
        <v>120</v>
      </c>
      <c r="J46" s="8" t="s">
        <v>123</v>
      </c>
      <c r="K46" s="6" t="str">
        <f>"49.739,00"</f>
        <v>49.739,00</v>
      </c>
      <c r="L46" s="6" t="str">
        <f>"12.434,75"</f>
        <v>12.434,75</v>
      </c>
      <c r="M46" s="6" t="str">
        <f>"62.173,75"</f>
        <v>62.173,75</v>
      </c>
      <c r="N46" s="8" t="s">
        <v>154</v>
      </c>
      <c r="O46" s="7"/>
      <c r="P46" s="2" t="s">
        <v>5649</v>
      </c>
      <c r="Q46" s="7"/>
      <c r="R46" s="1"/>
      <c r="S46" s="1" t="str">
        <f>"4-21/NOS-113-H/17"</f>
        <v>4-21/NOS-113-H/17</v>
      </c>
      <c r="T46" s="1" t="s">
        <v>55</v>
      </c>
    </row>
    <row r="47" spans="1:20" ht="165.75" x14ac:dyDescent="0.25">
      <c r="A47" s="6">
        <v>44</v>
      </c>
      <c r="B47" s="1" t="str">
        <f t="shared" si="1"/>
        <v>2017-2479</v>
      </c>
      <c r="C47" s="1" t="s">
        <v>155</v>
      </c>
      <c r="D47" s="1" t="s">
        <v>114</v>
      </c>
      <c r="E47" s="1" t="str">
        <f>"2017/S F14-0017428"</f>
        <v>2017/S F14-0017428</v>
      </c>
      <c r="F47" s="1" t="s">
        <v>22</v>
      </c>
      <c r="G47" s="1" t="str">
        <f>CONCATENATE("DOMENA DEA D.O.O.,"," TOMISLAVOVA 3,"," 10000 ZAGREB,"," OIB: 93639623152")</f>
        <v>DOMENA DEA D.O.O., TOMISLAVOVA 3, 10000 ZAGREB, OIB: 93639623152</v>
      </c>
      <c r="H47" s="7"/>
      <c r="I47" s="8" t="s">
        <v>115</v>
      </c>
      <c r="J47" s="8" t="s">
        <v>116</v>
      </c>
      <c r="K47" s="6" t="str">
        <f>"12.780.000,00"</f>
        <v>12.780.000,00</v>
      </c>
      <c r="L47" s="6" t="str">
        <f>"3.195.000,00"</f>
        <v>3.195.000,00</v>
      </c>
      <c r="M47" s="6" t="str">
        <f>"15.975.000,00"</f>
        <v>15.975.000,00</v>
      </c>
      <c r="N47" s="8" t="s">
        <v>117</v>
      </c>
      <c r="O47" s="7"/>
      <c r="P47" s="2" t="s">
        <v>5650</v>
      </c>
      <c r="Q47" s="7"/>
      <c r="R47" s="1"/>
      <c r="S47" s="1" t="str">
        <f>"NOS-113-I/17"</f>
        <v>NOS-113-I/17</v>
      </c>
      <c r="T47" s="1" t="s">
        <v>49</v>
      </c>
    </row>
    <row r="48" spans="1:20" ht="51" x14ac:dyDescent="0.25">
      <c r="A48" s="6">
        <v>45</v>
      </c>
      <c r="B48" s="1" t="str">
        <f t="shared" si="1"/>
        <v>2017-2479</v>
      </c>
      <c r="C48" s="1" t="s">
        <v>156</v>
      </c>
      <c r="D48" s="1" t="s">
        <v>119</v>
      </c>
      <c r="E48" s="1" t="str">
        <f>""</f>
        <v/>
      </c>
      <c r="F48" s="1" t="s">
        <v>28</v>
      </c>
      <c r="G48" s="1" t="str">
        <f>CONCATENATE("DOMENA DEA D.O.O.,"," TOMISLAVOVA 3,"," 10000 ZAGREB,"," OIB: 93639623152")</f>
        <v>DOMENA DEA D.O.O., TOMISLAVOVA 3, 10000 ZAGREB, OIB: 93639623152</v>
      </c>
      <c r="H48" s="7"/>
      <c r="I48" s="8" t="s">
        <v>126</v>
      </c>
      <c r="J48" s="8" t="s">
        <v>123</v>
      </c>
      <c r="K48" s="6" t="str">
        <f>"2.031.887,00"</f>
        <v>2.031.887,00</v>
      </c>
      <c r="L48" s="6" t="str">
        <f>"507.971,75"</f>
        <v>507.971,75</v>
      </c>
      <c r="M48" s="6" t="str">
        <f>"2.539.858,75"</f>
        <v>2.539.858,75</v>
      </c>
      <c r="N48" s="8" t="s">
        <v>124</v>
      </c>
      <c r="O48" s="7"/>
      <c r="P48" s="2" t="s">
        <v>5651</v>
      </c>
      <c r="Q48" s="7"/>
      <c r="R48" s="1"/>
      <c r="S48" s="1" t="str">
        <f>"9-21/NOS-113-I/17"</f>
        <v>9-21/NOS-113-I/17</v>
      </c>
      <c r="T48" s="1" t="s">
        <v>32</v>
      </c>
    </row>
    <row r="49" spans="1:20" ht="165.75" x14ac:dyDescent="0.25">
      <c r="A49" s="6">
        <v>46</v>
      </c>
      <c r="B49" s="1" t="str">
        <f t="shared" si="1"/>
        <v>2017-2479</v>
      </c>
      <c r="C49" s="1" t="s">
        <v>157</v>
      </c>
      <c r="D49" s="1" t="s">
        <v>114</v>
      </c>
      <c r="E49" s="1" t="str">
        <f>"2017/S F14-0017428"</f>
        <v>2017/S F14-0017428</v>
      </c>
      <c r="F49" s="1" t="s">
        <v>22</v>
      </c>
      <c r="G49" s="1" t="str">
        <f>CONCATENATE("URIHO - ZAGREB,"," AVENIJA MARINA DRŽIĆA 1,"," 10000 ZAGREB,"," OIB: 77931216562")</f>
        <v>URIHO - ZAGREB, AVENIJA MARINA DRŽIĆA 1, 10000 ZAGREB, OIB: 77931216562</v>
      </c>
      <c r="H49" s="7"/>
      <c r="I49" s="8" t="s">
        <v>115</v>
      </c>
      <c r="J49" s="8" t="s">
        <v>116</v>
      </c>
      <c r="K49" s="6" t="str">
        <f>"45.677.820,00"</f>
        <v>45.677.820,00</v>
      </c>
      <c r="L49" s="6" t="str">
        <f>"11.419.455,00"</f>
        <v>11.419.455,00</v>
      </c>
      <c r="M49" s="6" t="str">
        <f>"57.097.275,00"</f>
        <v>57.097.275,00</v>
      </c>
      <c r="N49" s="8" t="s">
        <v>117</v>
      </c>
      <c r="O49" s="7"/>
      <c r="P49" s="2" t="s">
        <v>5652</v>
      </c>
      <c r="Q49" s="7"/>
      <c r="R49" s="1"/>
      <c r="S49" s="1" t="str">
        <f>"NOS-113-J/17"</f>
        <v>NOS-113-J/17</v>
      </c>
      <c r="T49" s="1" t="s">
        <v>49</v>
      </c>
    </row>
    <row r="50" spans="1:20" ht="63.75" x14ac:dyDescent="0.25">
      <c r="A50" s="6">
        <v>47</v>
      </c>
      <c r="B50" s="1" t="str">
        <f t="shared" si="1"/>
        <v>2017-2479</v>
      </c>
      <c r="C50" s="1" t="s">
        <v>158</v>
      </c>
      <c r="D50" s="1" t="s">
        <v>119</v>
      </c>
      <c r="E50" s="1" t="str">
        <f>""</f>
        <v/>
      </c>
      <c r="F50" s="1" t="s">
        <v>28</v>
      </c>
      <c r="G50" s="1" t="str">
        <f>CONCATENATE("URIHO - ZAGREB,"," AVENIJA MARINA DRŽIĆA 1,"," 10000 ZAGREB,"," OIB: 77931216562")</f>
        <v>URIHO - ZAGREB, AVENIJA MARINA DRŽIĆA 1, 10000 ZAGREB, OIB: 77931216562</v>
      </c>
      <c r="H50" s="7"/>
      <c r="I50" s="8" t="s">
        <v>159</v>
      </c>
      <c r="J50" s="8" t="s">
        <v>93</v>
      </c>
      <c r="K50" s="6" t="str">
        <f>"779.246,00"</f>
        <v>779.246,00</v>
      </c>
      <c r="L50" s="6" t="str">
        <f>"194.811,50"</f>
        <v>194.811,50</v>
      </c>
      <c r="M50" s="6" t="str">
        <f>"974.057,50"</f>
        <v>974.057,50</v>
      </c>
      <c r="N50" s="8" t="s">
        <v>160</v>
      </c>
      <c r="O50" s="7"/>
      <c r="P50" s="2" t="s">
        <v>5653</v>
      </c>
      <c r="Q50" s="7"/>
      <c r="R50" s="1"/>
      <c r="S50" s="1" t="str">
        <f>"12-21/NOS-113-J/17"</f>
        <v>12-21/NOS-113-J/17</v>
      </c>
      <c r="T50" s="1" t="s">
        <v>55</v>
      </c>
    </row>
    <row r="51" spans="1:20" ht="63.75" x14ac:dyDescent="0.25">
      <c r="A51" s="6">
        <v>48</v>
      </c>
      <c r="B51" s="1" t="str">
        <f t="shared" si="1"/>
        <v>2017-2479</v>
      </c>
      <c r="C51" s="1" t="s">
        <v>161</v>
      </c>
      <c r="D51" s="1" t="s">
        <v>119</v>
      </c>
      <c r="E51" s="1" t="str">
        <f>""</f>
        <v/>
      </c>
      <c r="F51" s="1" t="s">
        <v>28</v>
      </c>
      <c r="G51" s="1" t="str">
        <f>CONCATENATE("URIHO - ZAGREB,"," AVENIJA MARINA DRŽIĆA 1,"," 10000 ZAGREB,"," OIB: 77931216562")</f>
        <v>URIHO - ZAGREB, AVENIJA MARINA DRŽIĆA 1, 10000 ZAGREB, OIB: 77931216562</v>
      </c>
      <c r="H51" s="7"/>
      <c r="I51" s="8" t="s">
        <v>120</v>
      </c>
      <c r="J51" s="8" t="s">
        <v>123</v>
      </c>
      <c r="K51" s="6" t="str">
        <f>"1.079.450,00"</f>
        <v>1.079.450,00</v>
      </c>
      <c r="L51" s="6" t="str">
        <f>"269.862,50"</f>
        <v>269.862,50</v>
      </c>
      <c r="M51" s="6" t="str">
        <f>"1.349.312,50"</f>
        <v>1.349.312,50</v>
      </c>
      <c r="N51" s="8" t="s">
        <v>102</v>
      </c>
      <c r="O51" s="7"/>
      <c r="P51" s="2" t="s">
        <v>5654</v>
      </c>
      <c r="Q51" s="7"/>
      <c r="R51" s="1"/>
      <c r="S51" s="1" t="str">
        <f>"23-21/NOS-113-J/17"</f>
        <v>23-21/NOS-113-J/17</v>
      </c>
      <c r="T51" s="1" t="s">
        <v>55</v>
      </c>
    </row>
    <row r="52" spans="1:20" ht="63.75" x14ac:dyDescent="0.25">
      <c r="A52" s="6">
        <v>49</v>
      </c>
      <c r="B52" s="1" t="str">
        <f t="shared" si="1"/>
        <v>2017-2479</v>
      </c>
      <c r="C52" s="1" t="s">
        <v>162</v>
      </c>
      <c r="D52" s="1" t="s">
        <v>119</v>
      </c>
      <c r="E52" s="1" t="str">
        <f>""</f>
        <v/>
      </c>
      <c r="F52" s="1" t="s">
        <v>28</v>
      </c>
      <c r="G52" s="1" t="str">
        <f>CONCATENATE("URIHO - ZAGREB,"," AVENIJA MARINA DRŽIĆA 1,"," 10000 ZAGREB,"," OIB: 77931216562")</f>
        <v>URIHO - ZAGREB, AVENIJA MARINA DRŽIĆA 1, 10000 ZAGREB, OIB: 77931216562</v>
      </c>
      <c r="H52" s="7"/>
      <c r="I52" s="8" t="s">
        <v>126</v>
      </c>
      <c r="J52" s="8" t="s">
        <v>123</v>
      </c>
      <c r="K52" s="6" t="str">
        <f>"3.977.306,00"</f>
        <v>3.977.306,00</v>
      </c>
      <c r="L52" s="6" t="str">
        <f>"994.326,50"</f>
        <v>994.326,50</v>
      </c>
      <c r="M52" s="6" t="str">
        <f>"4.971.632,50"</f>
        <v>4.971.632,50</v>
      </c>
      <c r="N52" s="8" t="s">
        <v>124</v>
      </c>
      <c r="O52" s="7"/>
      <c r="P52" s="2" t="s">
        <v>5655</v>
      </c>
      <c r="Q52" s="7"/>
      <c r="R52" s="1"/>
      <c r="S52" s="1" t="str">
        <f>"21-21/NOS-113-J/17"</f>
        <v>21-21/NOS-113-J/17</v>
      </c>
      <c r="T52" s="1" t="s">
        <v>32</v>
      </c>
    </row>
    <row r="53" spans="1:20" ht="63.75" x14ac:dyDescent="0.25">
      <c r="A53" s="6">
        <v>50</v>
      </c>
      <c r="B53" s="1" t="str">
        <f t="shared" si="1"/>
        <v>2017-2479</v>
      </c>
      <c r="C53" s="1" t="s">
        <v>128</v>
      </c>
      <c r="D53" s="1" t="s">
        <v>119</v>
      </c>
      <c r="E53" s="1" t="str">
        <f>""</f>
        <v/>
      </c>
      <c r="F53" s="1" t="s">
        <v>28</v>
      </c>
      <c r="G53" s="1" t="str">
        <f>CONCATENATE("URIHO - ZAGREB,"," AVENIJA MARINA DRŽIĆA 1,"," 10000 ZAGREB,"," OIB: 77931216562")</f>
        <v>URIHO - ZAGREB, AVENIJA MARINA DRŽIĆA 1, 10000 ZAGREB, OIB: 77931216562</v>
      </c>
      <c r="H53" s="7"/>
      <c r="I53" s="8" t="s">
        <v>98</v>
      </c>
      <c r="J53" s="8" t="s">
        <v>129</v>
      </c>
      <c r="K53" s="6" t="str">
        <f>"502.310,00"</f>
        <v>502.310,00</v>
      </c>
      <c r="L53" s="6" t="str">
        <f>"125.577,50"</f>
        <v>125.577,50</v>
      </c>
      <c r="M53" s="6" t="str">
        <f>"627.887,50"</f>
        <v>627.887,50</v>
      </c>
      <c r="N53" s="8" t="s">
        <v>163</v>
      </c>
      <c r="O53" s="7"/>
      <c r="P53" s="2" t="s">
        <v>5656</v>
      </c>
      <c r="Q53" s="7"/>
      <c r="R53" s="1"/>
      <c r="S53" s="1" t="str">
        <f>"17-21/NOS-113-J/17"</f>
        <v>17-21/NOS-113-J/17</v>
      </c>
      <c r="T53" s="1" t="s">
        <v>32</v>
      </c>
    </row>
    <row r="54" spans="1:20" ht="191.25" x14ac:dyDescent="0.25">
      <c r="A54" s="6">
        <v>51</v>
      </c>
      <c r="B54" s="1" t="str">
        <f>"2017-423"</f>
        <v>2017-423</v>
      </c>
      <c r="C54" s="1" t="s">
        <v>164</v>
      </c>
      <c r="D54" s="1" t="s">
        <v>165</v>
      </c>
      <c r="E54" s="1" t="str">
        <f>"2017/S 0F2-0019139"</f>
        <v>2017/S 0F2-0019139</v>
      </c>
      <c r="F54" s="1" t="s">
        <v>22</v>
      </c>
      <c r="G54" s="1"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54" s="7"/>
      <c r="I54" s="8" t="s">
        <v>106</v>
      </c>
      <c r="J54" s="8" t="s">
        <v>111</v>
      </c>
      <c r="K54" s="6" t="str">
        <f>"2.670.000,00"</f>
        <v>2.670.000,00</v>
      </c>
      <c r="L54" s="6" t="str">
        <f>"667.500,00"</f>
        <v>667.500,00</v>
      </c>
      <c r="M54" s="6" t="str">
        <f>"3.337.500,00"</f>
        <v>3.337.500,00</v>
      </c>
      <c r="N54" s="8" t="s">
        <v>166</v>
      </c>
      <c r="O54" s="7"/>
      <c r="P54" s="2" t="s">
        <v>5614</v>
      </c>
      <c r="Q54" s="7"/>
      <c r="R54" s="1"/>
      <c r="S54" s="1" t="str">
        <f>"NOS-119/17"</f>
        <v>NOS-119/17</v>
      </c>
      <c r="T54" s="1" t="s">
        <v>32</v>
      </c>
    </row>
    <row r="55" spans="1:20" ht="51" x14ac:dyDescent="0.25">
      <c r="A55" s="6">
        <v>52</v>
      </c>
      <c r="B55" s="1" t="str">
        <f>"2017-423"</f>
        <v>2017-423</v>
      </c>
      <c r="C55" s="1" t="s">
        <v>164</v>
      </c>
      <c r="D55" s="1" t="s">
        <v>167</v>
      </c>
      <c r="E55" s="1" t="str">
        <f>""</f>
        <v/>
      </c>
      <c r="F55" s="1" t="s">
        <v>28</v>
      </c>
      <c r="G55" s="1" t="str">
        <f>CONCATENATE("MC ČIŠĆENJE D.O.O.,"," NIKOLE TESLE 17,"," 44000 SISAK,"," OIB: 17783496119")</f>
        <v>MC ČIŠĆENJE D.O.O., NIKOLE TESLE 17, 44000 SISAK, OIB: 17783496119</v>
      </c>
      <c r="H55" s="7"/>
      <c r="I55" s="8" t="s">
        <v>168</v>
      </c>
      <c r="J55" s="8" t="s">
        <v>169</v>
      </c>
      <c r="K55" s="6" t="str">
        <f>"219.740,00"</f>
        <v>219.740,00</v>
      </c>
      <c r="L55" s="6" t="str">
        <f>"54.935,00"</f>
        <v>54.935,00</v>
      </c>
      <c r="M55" s="6" t="str">
        <f>"274.675,00"</f>
        <v>274.675,00</v>
      </c>
      <c r="N55" s="8" t="s">
        <v>170</v>
      </c>
      <c r="O55" s="7"/>
      <c r="P55" s="2" t="s">
        <v>5657</v>
      </c>
      <c r="Q55" s="7"/>
      <c r="R55" s="1"/>
      <c r="S55" s="1" t="str">
        <f>"17-21/NOS-119/17"</f>
        <v>17-21/NOS-119/17</v>
      </c>
      <c r="T55" s="1" t="s">
        <v>32</v>
      </c>
    </row>
    <row r="56" spans="1:20" ht="51" x14ac:dyDescent="0.25">
      <c r="A56" s="6">
        <v>53</v>
      </c>
      <c r="B56" s="1" t="str">
        <f>"2017-423"</f>
        <v>2017-423</v>
      </c>
      <c r="C56" s="1" t="s">
        <v>164</v>
      </c>
      <c r="D56" s="1" t="s">
        <v>167</v>
      </c>
      <c r="E56" s="1" t="str">
        <f>""</f>
        <v/>
      </c>
      <c r="F56" s="1" t="s">
        <v>28</v>
      </c>
      <c r="G56" s="1" t="str">
        <f>CONCATENATE("MC ČIŠĆENJE D.O.O.,"," NIKOLE TESLE 17,"," 44000 SISAK,"," OIB: 17783496119")</f>
        <v>MC ČIŠĆENJE D.O.O., NIKOLE TESLE 17, 44000 SISAK, OIB: 17783496119</v>
      </c>
      <c r="H56" s="7"/>
      <c r="I56" s="8" t="s">
        <v>117</v>
      </c>
      <c r="J56" s="8" t="s">
        <v>171</v>
      </c>
      <c r="K56" s="6" t="str">
        <f>"20.000,00"</f>
        <v>20.000,00</v>
      </c>
      <c r="L56" s="6" t="str">
        <f>"4.990,00"</f>
        <v>4.990,00</v>
      </c>
      <c r="M56" s="6" t="str">
        <f>"24.990,00"</f>
        <v>24.990,00</v>
      </c>
      <c r="N56" s="8" t="s">
        <v>172</v>
      </c>
      <c r="O56" s="7"/>
      <c r="P56" s="2" t="s">
        <v>5658</v>
      </c>
      <c r="Q56" s="7"/>
      <c r="R56" s="1"/>
      <c r="S56" s="1" t="str">
        <f>"18-21/NOS-119/17"</f>
        <v>18-21/NOS-119/17</v>
      </c>
      <c r="T56" s="1" t="s">
        <v>32</v>
      </c>
    </row>
    <row r="57" spans="1:20" ht="409.5" x14ac:dyDescent="0.25">
      <c r="A57" s="6">
        <v>54</v>
      </c>
      <c r="B57" s="1" t="str">
        <f>"2017-2475"</f>
        <v>2017-2475</v>
      </c>
      <c r="C57" s="1" t="s">
        <v>173</v>
      </c>
      <c r="D57" s="1" t="s">
        <v>174</v>
      </c>
      <c r="E57" s="1" t="str">
        <f>"2017/S 0F2-0016569"</f>
        <v>2017/S 0F2-0016569</v>
      </c>
      <c r="F57" s="1" t="s">
        <v>22</v>
      </c>
      <c r="G57" s="1" t="str">
        <f>CONCATENATE("M.SOLDO D.O.O.,"," DEBANIĆEVA 39,"," 10000 ZAGREB,"," OIB: 58353605637",CHAR(10),"",CHAR(10),"ŠUŠKOVIĆ-GRAĐENJE d.o.o.,"," ,","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57" s="1" t="str">
        <f>CONCATENATE("GRADKO D.O.O.,"," OIB: 35610274315",CHAR(10),"MAGBA GRADNJA D.O.O.,"," OIB: 49280496152",CHAR(10),"NISKOGRADNJA HREN D.O.O.,"," OIB: 27587651734")</f>
        <v>GRADKO D.O.O., OIB: 35610274315
MAGBA GRADNJA D.O.O., OIB: 49280496152
NISKOGRADNJA HREN D.O.O., OIB: 27587651734</v>
      </c>
      <c r="I57" s="8" t="s">
        <v>175</v>
      </c>
      <c r="J57" s="8" t="s">
        <v>176</v>
      </c>
      <c r="K57" s="6" t="str">
        <f>"40.000.000,00"</f>
        <v>40.000.000,00</v>
      </c>
      <c r="L57" s="6" t="str">
        <f>"10.000.000,00"</f>
        <v>10.000.000,00</v>
      </c>
      <c r="M57" s="6" t="str">
        <f>"50.000.000,00"</f>
        <v>50.000.000,00</v>
      </c>
      <c r="N57" s="8" t="s">
        <v>177</v>
      </c>
      <c r="O57" s="7"/>
      <c r="P57" s="2" t="s">
        <v>5614</v>
      </c>
      <c r="Q57" s="7"/>
      <c r="R57" s="1"/>
      <c r="S57" s="1" t="str">
        <f>"NOS-100-A/17"</f>
        <v>NOS-100-A/17</v>
      </c>
      <c r="T57" s="1" t="s">
        <v>32</v>
      </c>
    </row>
    <row r="58" spans="1:20" ht="178.5" x14ac:dyDescent="0.25">
      <c r="A58" s="6">
        <v>55</v>
      </c>
      <c r="B58" s="1" t="str">
        <f>"2017-2475"</f>
        <v>2017-2475</v>
      </c>
      <c r="C58" s="1" t="s">
        <v>178</v>
      </c>
      <c r="D58" s="1" t="s">
        <v>174</v>
      </c>
      <c r="E58" s="1" t="str">
        <f>""</f>
        <v/>
      </c>
      <c r="F58" s="1" t="s">
        <v>28</v>
      </c>
      <c r="G58" s="1" t="str">
        <f>CONCATENATE("GRADITELJ SVRATIŠTA D.O.O.,"," IVANA ČESMIČKOG 16,"," 10000 ZAGREB,"," OIB: 5204465757")</f>
        <v>GRADITELJ SVRATIŠTA D.O.O., IVANA ČESMIČKOG 16, 10000 ZAGREB, OIB: 5204465757</v>
      </c>
      <c r="H58" s="7"/>
      <c r="I58" s="8" t="s">
        <v>179</v>
      </c>
      <c r="J58" s="8" t="s">
        <v>57</v>
      </c>
      <c r="K58" s="6" t="str">
        <f>"246.100,00"</f>
        <v>246.100,00</v>
      </c>
      <c r="L58" s="6" t="str">
        <f>"61.525,00"</f>
        <v>61.525,00</v>
      </c>
      <c r="M58" s="6" t="str">
        <f>"307.625,00"</f>
        <v>307.625,00</v>
      </c>
      <c r="N58" s="8" t="s">
        <v>89</v>
      </c>
      <c r="O58" s="7"/>
      <c r="P58" s="2" t="s">
        <v>5659</v>
      </c>
      <c r="Q58" s="7"/>
      <c r="R58" s="1"/>
      <c r="S58" s="1" t="str">
        <f>"5-21/NOS-100-A/17"</f>
        <v>5-21/NOS-100-A/17</v>
      </c>
      <c r="T58" s="1" t="s">
        <v>32</v>
      </c>
    </row>
    <row r="59" spans="1:20" ht="409.5" x14ac:dyDescent="0.25">
      <c r="A59" s="6">
        <v>56</v>
      </c>
      <c r="B59" s="1" t="str">
        <f>"2017-2475"</f>
        <v>2017-2475</v>
      </c>
      <c r="C59" s="1" t="s">
        <v>180</v>
      </c>
      <c r="D59" s="1" t="s">
        <v>174</v>
      </c>
      <c r="E59" s="1" t="str">
        <f>"2017/S 0F2-0016569"</f>
        <v>2017/S 0F2-0016569</v>
      </c>
      <c r="F59" s="1" t="s">
        <v>22</v>
      </c>
      <c r="G59" s="1" t="str">
        <f>CONCATENATE("GEORAD D.O.O.,"," KORNATSKA 1,"," 10000 ZAGREB,"," OIB: 49756748234",CHAR(10),"",CHAR(10),"ŠUŠKOVIĆ-GRAĐENJE d.o.o.,"," ,","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59" s="1" t="str">
        <f>CONCATENATE("GRADKO D.O.O.,"," OIB: 35610274315",CHAR(10),"MAGBA GRADNJA D.O.O.,"," OIB: 49280496152",CHAR(10),"NISKOGRADNJA HREN D.O.O.,"," OIB: 27587651734")</f>
        <v>GRADKO D.O.O., OIB: 35610274315
MAGBA GRADNJA D.O.O., OIB: 49280496152
NISKOGRADNJA HREN D.O.O., OIB: 27587651734</v>
      </c>
      <c r="I59" s="8" t="s">
        <v>175</v>
      </c>
      <c r="J59" s="8" t="s">
        <v>176</v>
      </c>
      <c r="K59" s="6" t="str">
        <f>"40.000.000,00"</f>
        <v>40.000.000,00</v>
      </c>
      <c r="L59" s="6" t="str">
        <f>"10.000.000,00"</f>
        <v>10.000.000,00</v>
      </c>
      <c r="M59" s="6" t="str">
        <f>"50.000.000,00"</f>
        <v>50.000.000,00</v>
      </c>
      <c r="N59" s="8" t="s">
        <v>177</v>
      </c>
      <c r="O59" s="7"/>
      <c r="P59" s="2" t="s">
        <v>5614</v>
      </c>
      <c r="Q59" s="7"/>
      <c r="R59" s="1"/>
      <c r="S59" s="1" t="str">
        <f>"NOS-100-B/17"</f>
        <v>NOS-100-B/17</v>
      </c>
      <c r="T59" s="1" t="s">
        <v>32</v>
      </c>
    </row>
    <row r="60" spans="1:20" ht="140.25" x14ac:dyDescent="0.25">
      <c r="A60" s="6">
        <v>57</v>
      </c>
      <c r="B60" s="1" t="str">
        <f>"2017-2475"</f>
        <v>2017-2475</v>
      </c>
      <c r="C60" s="1" t="s">
        <v>181</v>
      </c>
      <c r="D60" s="1" t="s">
        <v>174</v>
      </c>
      <c r="E60" s="1" t="str">
        <f>""</f>
        <v/>
      </c>
      <c r="F60" s="1" t="s">
        <v>28</v>
      </c>
      <c r="G60" s="1" t="str">
        <f>CONCATENATE("GRADITELJ SVRATIŠTA D.O.O.,"," IVANA ČESMIČKOG 16,"," 10000 ZAGREB,"," OIB: 5204465757")</f>
        <v>GRADITELJ SVRATIŠTA D.O.O., IVANA ČESMIČKOG 16, 10000 ZAGREB, OIB: 5204465757</v>
      </c>
      <c r="H60" s="7"/>
      <c r="I60" s="8" t="s">
        <v>182</v>
      </c>
      <c r="J60" s="8" t="s">
        <v>57</v>
      </c>
      <c r="K60" s="6" t="str">
        <f>"246.100,00"</f>
        <v>246.100,00</v>
      </c>
      <c r="L60" s="6" t="str">
        <f>"61.525,00"</f>
        <v>61.525,00</v>
      </c>
      <c r="M60" s="6" t="str">
        <f>"307.625,00"</f>
        <v>307.625,00</v>
      </c>
      <c r="N60" s="8" t="s">
        <v>183</v>
      </c>
      <c r="O60" s="7"/>
      <c r="P60" s="2" t="s">
        <v>5660</v>
      </c>
      <c r="Q60" s="7"/>
      <c r="R60" s="1"/>
      <c r="S60" s="1" t="str">
        <f>"2-21/NOS-100-B/17"</f>
        <v>2-21/NOS-100-B/17</v>
      </c>
      <c r="T60" s="1" t="s">
        <v>32</v>
      </c>
    </row>
    <row r="61" spans="1:20" ht="229.5" x14ac:dyDescent="0.25">
      <c r="A61" s="6">
        <v>58</v>
      </c>
      <c r="B61" s="1" t="str">
        <f>"2017-2679"</f>
        <v>2017-2679</v>
      </c>
      <c r="C61" s="1" t="s">
        <v>184</v>
      </c>
      <c r="D61" s="1" t="s">
        <v>185</v>
      </c>
      <c r="E61" s="1" t="str">
        <f>"2017/S 0F2-0017368"</f>
        <v>2017/S 0F2-0017368</v>
      </c>
      <c r="F61" s="1" t="s">
        <v>22</v>
      </c>
      <c r="G61" s="1"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61" s="1"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61" s="8" t="s">
        <v>186</v>
      </c>
      <c r="J61" s="8" t="s">
        <v>177</v>
      </c>
      <c r="K61" s="6" t="str">
        <f>"250.000.000,00"</f>
        <v>250.000.000,00</v>
      </c>
      <c r="L61" s="6" t="str">
        <f>"62.500.000,00"</f>
        <v>62.500.000,00</v>
      </c>
      <c r="M61" s="6" t="str">
        <f>"312.500.000,00"</f>
        <v>312.500.000,00</v>
      </c>
      <c r="N61" s="8" t="s">
        <v>183</v>
      </c>
      <c r="O61" s="7"/>
      <c r="P61" s="2" t="s">
        <v>5614</v>
      </c>
      <c r="Q61" s="7"/>
      <c r="R61" s="1"/>
      <c r="S61" s="1" t="str">
        <f>"NOS-104/17"</f>
        <v>NOS-104/17</v>
      </c>
      <c r="T61" s="1" t="s">
        <v>32</v>
      </c>
    </row>
    <row r="62" spans="1:20" ht="204" x14ac:dyDescent="0.25">
      <c r="A62" s="6">
        <v>59</v>
      </c>
      <c r="B62" s="1" t="str">
        <f>"2017-2679"</f>
        <v>2017-2679</v>
      </c>
      <c r="C62" s="1" t="s">
        <v>184</v>
      </c>
      <c r="D62" s="1" t="s">
        <v>185</v>
      </c>
      <c r="E62" s="1" t="str">
        <f>""</f>
        <v/>
      </c>
      <c r="F62" s="1" t="s">
        <v>28</v>
      </c>
      <c r="G62" s="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2" s="7"/>
      <c r="I62" s="8" t="s">
        <v>187</v>
      </c>
      <c r="J62" s="8" t="s">
        <v>53</v>
      </c>
      <c r="K62" s="6" t="str">
        <f>"43.980.502,36"</f>
        <v>43.980.502,36</v>
      </c>
      <c r="L62" s="6" t="str">
        <f>"10.995.125,59"</f>
        <v>10.995.125,59</v>
      </c>
      <c r="M62" s="6" t="str">
        <f>"54.975.627,95"</f>
        <v>54.975.627,95</v>
      </c>
      <c r="N62" s="8" t="s">
        <v>188</v>
      </c>
      <c r="O62" s="7"/>
      <c r="P62" s="2" t="s">
        <v>5661</v>
      </c>
      <c r="Q62" s="7"/>
      <c r="R62" s="1"/>
      <c r="S62" s="1" t="str">
        <f>"2-21/NOS-104/17"</f>
        <v>2-21/NOS-104/17</v>
      </c>
      <c r="T62" s="1" t="s">
        <v>32</v>
      </c>
    </row>
    <row r="63" spans="1:20" ht="204" x14ac:dyDescent="0.25">
      <c r="A63" s="6">
        <v>60</v>
      </c>
      <c r="B63" s="1" t="str">
        <f>"2017-2679"</f>
        <v>2017-2679</v>
      </c>
      <c r="C63" s="1" t="s">
        <v>189</v>
      </c>
      <c r="D63" s="1" t="s">
        <v>185</v>
      </c>
      <c r="E63" s="1" t="str">
        <f>""</f>
        <v/>
      </c>
      <c r="F63" s="1" t="s">
        <v>92</v>
      </c>
      <c r="G63" s="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3" s="7"/>
      <c r="I63" s="8" t="s">
        <v>190</v>
      </c>
      <c r="J63" s="8" t="s">
        <v>53</v>
      </c>
      <c r="K63" s="6" t="str">
        <f>"663.077,78"</f>
        <v>663.077,78</v>
      </c>
      <c r="L63" s="6" t="str">
        <f>"165.769,45"</f>
        <v>165.769,45</v>
      </c>
      <c r="M63" s="6" t="str">
        <f>"828.847,23"</f>
        <v>828.847,23</v>
      </c>
      <c r="N63" s="8" t="s">
        <v>31</v>
      </c>
      <c r="O63" s="7"/>
      <c r="P63" s="2" t="s">
        <v>5662</v>
      </c>
      <c r="Q63" s="7"/>
      <c r="R63" s="1" t="s">
        <v>191</v>
      </c>
      <c r="S63" s="1" t="str">
        <f>"2-21/NOS-104/17#1"</f>
        <v>2-21/NOS-104/17#1</v>
      </c>
      <c r="T63" s="1" t="s">
        <v>32</v>
      </c>
    </row>
    <row r="64" spans="1:20" ht="204" x14ac:dyDescent="0.25">
      <c r="A64" s="6">
        <v>61</v>
      </c>
      <c r="B64" s="1" t="str">
        <f>"2017-2679"</f>
        <v>2017-2679</v>
      </c>
      <c r="C64" s="1" t="s">
        <v>189</v>
      </c>
      <c r="D64" s="1" t="s">
        <v>185</v>
      </c>
      <c r="E64" s="1" t="str">
        <f>""</f>
        <v/>
      </c>
      <c r="F64" s="1" t="s">
        <v>92</v>
      </c>
      <c r="G64" s="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4" s="7"/>
      <c r="I64" s="8" t="s">
        <v>192</v>
      </c>
      <c r="J64" s="8" t="s">
        <v>193</v>
      </c>
      <c r="K64" s="6" t="str">
        <f>"1.579.823,12"</f>
        <v>1.579.823,12</v>
      </c>
      <c r="L64" s="6" t="str">
        <f>"394.955,78"</f>
        <v>394.955,78</v>
      </c>
      <c r="M64" s="6" t="str">
        <f>"1.974.778,90"</f>
        <v>1.974.778,90</v>
      </c>
      <c r="N64" s="8" t="s">
        <v>124</v>
      </c>
      <c r="O64" s="7"/>
      <c r="P64" s="2" t="s">
        <v>5663</v>
      </c>
      <c r="Q64" s="7"/>
      <c r="R64" s="1" t="s">
        <v>191</v>
      </c>
      <c r="S64" s="1" t="str">
        <f>"2-21/NOS-104/17#3"</f>
        <v>2-21/NOS-104/17#3</v>
      </c>
      <c r="T64" s="1" t="s">
        <v>32</v>
      </c>
    </row>
    <row r="65" spans="1:20" ht="204" x14ac:dyDescent="0.25">
      <c r="A65" s="6">
        <v>62</v>
      </c>
      <c r="B65" s="1" t="str">
        <f>"2017-2679"</f>
        <v>2017-2679</v>
      </c>
      <c r="C65" s="1" t="s">
        <v>184</v>
      </c>
      <c r="D65" s="1" t="s">
        <v>185</v>
      </c>
      <c r="E65" s="1" t="str">
        <f>""</f>
        <v/>
      </c>
      <c r="F65" s="1" t="s">
        <v>28</v>
      </c>
      <c r="G65" s="1"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65" s="7"/>
      <c r="I65" s="8" t="s">
        <v>177</v>
      </c>
      <c r="J65" s="8" t="s">
        <v>193</v>
      </c>
      <c r="K65" s="6" t="str">
        <f>"26.944.608,95"</f>
        <v>26.944.608,95</v>
      </c>
      <c r="L65" s="6" t="str">
        <f>"6.736.152,24"</f>
        <v>6.736.152,24</v>
      </c>
      <c r="M65" s="6" t="str">
        <f>"33.680.761,19"</f>
        <v>33.680.761,19</v>
      </c>
      <c r="N65" s="8" t="s">
        <v>124</v>
      </c>
      <c r="O65" s="7"/>
      <c r="P65" s="2" t="s">
        <v>5664</v>
      </c>
      <c r="Q65" s="7"/>
      <c r="R65" s="1"/>
      <c r="S65" s="1" t="str">
        <f>"3-21/NOS-104/17"</f>
        <v>3-21/NOS-104/17</v>
      </c>
      <c r="T65" s="1" t="s">
        <v>32</v>
      </c>
    </row>
    <row r="66" spans="1:20" ht="63.75" x14ac:dyDescent="0.25">
      <c r="A66" s="6">
        <v>63</v>
      </c>
      <c r="B66" s="1" t="str">
        <f>"2017-2471"</f>
        <v>2017-2471</v>
      </c>
      <c r="C66" s="1" t="s">
        <v>194</v>
      </c>
      <c r="D66" s="1" t="s">
        <v>195</v>
      </c>
      <c r="E66" s="1" t="str">
        <f>"2017/S 0F2-0023766"</f>
        <v>2017/S 0F2-0023766</v>
      </c>
      <c r="F66" s="1" t="s">
        <v>22</v>
      </c>
      <c r="G66" s="1" t="str">
        <f>CONCATENATE("BIJELA HARMONIJA D.O.O.,"," SAMOBORSKA CESTA 266,"," 10000 ZAGREB,"," OIB: 31022857153")</f>
        <v>BIJELA HARMONIJA D.O.O., SAMOBORSKA CESTA 266, 10000 ZAGREB, OIB: 31022857153</v>
      </c>
      <c r="H66" s="7"/>
      <c r="I66" s="8" t="s">
        <v>196</v>
      </c>
      <c r="J66" s="8" t="s">
        <v>197</v>
      </c>
      <c r="K66" s="6" t="str">
        <f>"1.430.000,00"</f>
        <v>1.430.000,00</v>
      </c>
      <c r="L66" s="6" t="str">
        <f>"357.500,00"</f>
        <v>357.500,00</v>
      </c>
      <c r="M66" s="6" t="str">
        <f>"1.787.500,00"</f>
        <v>1.787.500,00</v>
      </c>
      <c r="N66" s="8" t="s">
        <v>198</v>
      </c>
      <c r="O66" s="7"/>
      <c r="P66" s="2" t="s">
        <v>5614</v>
      </c>
      <c r="Q66" s="7"/>
      <c r="R66" s="1"/>
      <c r="S66" s="1" t="str">
        <f>"NOS-135-A/17"</f>
        <v>NOS-135-A/17</v>
      </c>
      <c r="T66" s="1" t="s">
        <v>199</v>
      </c>
    </row>
    <row r="67" spans="1:20" ht="89.25" x14ac:dyDescent="0.25">
      <c r="A67" s="6">
        <v>64</v>
      </c>
      <c r="B67" s="1" t="str">
        <f>"2017-2471"</f>
        <v>2017-2471</v>
      </c>
      <c r="C67" s="1" t="s">
        <v>200</v>
      </c>
      <c r="D67" s="1" t="s">
        <v>201</v>
      </c>
      <c r="E67" s="1" t="str">
        <f>""</f>
        <v/>
      </c>
      <c r="F67" s="1" t="s">
        <v>28</v>
      </c>
      <c r="G67" s="1" t="str">
        <f>CONCATENATE("BIJELA HARMONIJA D.O.O.,"," SAMOBORSKA CESTA 266,"," 10000 ZAGREB,"," OIB: 31022857153")</f>
        <v>BIJELA HARMONIJA D.O.O., SAMOBORSKA CESTA 266, 10000 ZAGREB, OIB: 31022857153</v>
      </c>
      <c r="H67" s="7"/>
      <c r="I67" s="8" t="s">
        <v>202</v>
      </c>
      <c r="J67" s="8" t="s">
        <v>57</v>
      </c>
      <c r="K67" s="6" t="str">
        <f>"81.349,50"</f>
        <v>81.349,50</v>
      </c>
      <c r="L67" s="6" t="str">
        <f>"20.337,38"</f>
        <v>20.337,38</v>
      </c>
      <c r="M67" s="6" t="str">
        <f>"101.686,88"</f>
        <v>101.686,88</v>
      </c>
      <c r="N67" s="8" t="s">
        <v>203</v>
      </c>
      <c r="O67" s="7"/>
      <c r="P67" s="2" t="s">
        <v>5665</v>
      </c>
      <c r="Q67" s="7"/>
      <c r="R67" s="1"/>
      <c r="S67" s="1" t="str">
        <f>"1-22/NOS-135-A/17"</f>
        <v>1-22/NOS-135-A/17</v>
      </c>
      <c r="T67" s="1" t="s">
        <v>32</v>
      </c>
    </row>
    <row r="68" spans="1:20" ht="63.75" x14ac:dyDescent="0.25">
      <c r="A68" s="6">
        <v>65</v>
      </c>
      <c r="B68" s="1" t="str">
        <f>"2017-2471"</f>
        <v>2017-2471</v>
      </c>
      <c r="C68" s="1" t="s">
        <v>204</v>
      </c>
      <c r="D68" s="1" t="s">
        <v>195</v>
      </c>
      <c r="E68" s="1" t="str">
        <f>"2017/S 0F2-0023766"</f>
        <v>2017/S 0F2-0023766</v>
      </c>
      <c r="F68" s="1" t="s">
        <v>22</v>
      </c>
      <c r="G68" s="1" t="str">
        <f>CONCATENATE("KROKOTEKS D.O.O.,"," ZAGREBAČKA 60,"," 10380 SV.IVAN ZELINA,"," OIB: 47621316514")</f>
        <v>KROKOTEKS D.O.O., ZAGREBAČKA 60, 10380 SV.IVAN ZELINA, OIB: 47621316514</v>
      </c>
      <c r="H68" s="7"/>
      <c r="I68" s="8" t="s">
        <v>196</v>
      </c>
      <c r="J68" s="8" t="s">
        <v>197</v>
      </c>
      <c r="K68" s="6" t="str">
        <f>"2.986.400,00"</f>
        <v>2.986.400,00</v>
      </c>
      <c r="L68" s="6" t="str">
        <f>"746.600,00"</f>
        <v>746.600,00</v>
      </c>
      <c r="M68" s="6" t="str">
        <f>"3.733.000,00"</f>
        <v>3.733.000,00</v>
      </c>
      <c r="N68" s="8" t="s">
        <v>198</v>
      </c>
      <c r="O68" s="7"/>
      <c r="P68" s="2" t="s">
        <v>5614</v>
      </c>
      <c r="Q68" s="7"/>
      <c r="R68" s="1"/>
      <c r="S68" s="1" t="str">
        <f>"NOS-135-C/17"</f>
        <v>NOS-135-C/17</v>
      </c>
      <c r="T68" s="1" t="s">
        <v>199</v>
      </c>
    </row>
    <row r="69" spans="1:20" ht="76.5" x14ac:dyDescent="0.25">
      <c r="A69" s="6">
        <v>66</v>
      </c>
      <c r="B69" s="1" t="str">
        <f>"2017-2471"</f>
        <v>2017-2471</v>
      </c>
      <c r="C69" s="1" t="s">
        <v>205</v>
      </c>
      <c r="D69" s="1" t="s">
        <v>201</v>
      </c>
      <c r="E69" s="1" t="str">
        <f>""</f>
        <v/>
      </c>
      <c r="F69" s="1" t="s">
        <v>28</v>
      </c>
      <c r="G69" s="1" t="str">
        <f>CONCATENATE("KROKOTEKS D.O.O.,"," ZAGREBAČKA 60,"," 10380 SV.IVAN ZELINA,"," OIB: 47621316514")</f>
        <v>KROKOTEKS D.O.O., ZAGREBAČKA 60, 10380 SV.IVAN ZELINA, OIB: 47621316514</v>
      </c>
      <c r="H69" s="7"/>
      <c r="I69" s="8" t="s">
        <v>206</v>
      </c>
      <c r="J69" s="8" t="s">
        <v>207</v>
      </c>
      <c r="K69" s="6" t="str">
        <f>"15.000,00"</f>
        <v>15.000,00</v>
      </c>
      <c r="L69" s="6" t="str">
        <f>"3.750,00"</f>
        <v>3.750,00</v>
      </c>
      <c r="M69" s="6" t="str">
        <f>"18.750,00"</f>
        <v>18.750,00</v>
      </c>
      <c r="N69" s="8" t="s">
        <v>208</v>
      </c>
      <c r="O69" s="7"/>
      <c r="P69" s="2" t="s">
        <v>5666</v>
      </c>
      <c r="Q69" s="7"/>
      <c r="R69" s="1"/>
      <c r="S69" s="1" t="str">
        <f>"1-21/NOS-135-C/17"</f>
        <v>1-21/NOS-135-C/17</v>
      </c>
      <c r="T69" s="1" t="s">
        <v>32</v>
      </c>
    </row>
    <row r="70" spans="1:20" ht="51" x14ac:dyDescent="0.25">
      <c r="A70" s="6">
        <v>67</v>
      </c>
      <c r="B70" s="1" t="str">
        <f>"2017-2482"</f>
        <v>2017-2482</v>
      </c>
      <c r="C70" s="1" t="s">
        <v>209</v>
      </c>
      <c r="D70" s="1" t="s">
        <v>78</v>
      </c>
      <c r="E70" s="1" t="str">
        <f>"2017/S 0F2-0026407"</f>
        <v>2017/S 0F2-0026407</v>
      </c>
      <c r="F70" s="1" t="s">
        <v>22</v>
      </c>
      <c r="G70" s="1" t="str">
        <f>CONCATENATE("INFOART D.O.O.,"," LASTOVSKA 23,"," 10000 ZAGREB,"," OIB: 88255578438")</f>
        <v>INFOART D.O.O., LASTOVSKA 23, 10000 ZAGREB, OIB: 88255578438</v>
      </c>
      <c r="H70" s="7"/>
      <c r="I70" s="8" t="s">
        <v>210</v>
      </c>
      <c r="J70" s="8" t="s">
        <v>211</v>
      </c>
      <c r="K70" s="6" t="str">
        <f>"3.400.000,00"</f>
        <v>3.400.000,00</v>
      </c>
      <c r="L70" s="6" t="str">
        <f>"850.000,00"</f>
        <v>850.000,00</v>
      </c>
      <c r="M70" s="6" t="str">
        <f>"4.250.000,00"</f>
        <v>4.250.000,00</v>
      </c>
      <c r="N70" s="8" t="s">
        <v>212</v>
      </c>
      <c r="O70" s="7"/>
      <c r="P70" s="2" t="s">
        <v>5614</v>
      </c>
      <c r="Q70" s="7"/>
      <c r="R70" s="1"/>
      <c r="S70" s="1" t="str">
        <f>"NOS-150/17"</f>
        <v>NOS-150/17</v>
      </c>
      <c r="T70" s="1" t="s">
        <v>27</v>
      </c>
    </row>
    <row r="71" spans="1:20" ht="51" x14ac:dyDescent="0.25">
      <c r="A71" s="6">
        <v>68</v>
      </c>
      <c r="B71" s="1" t="str">
        <f>"2017-2482"</f>
        <v>2017-2482</v>
      </c>
      <c r="C71" s="1" t="s">
        <v>209</v>
      </c>
      <c r="D71" s="1" t="s">
        <v>78</v>
      </c>
      <c r="E71" s="1" t="str">
        <f>""</f>
        <v/>
      </c>
      <c r="F71" s="1" t="s">
        <v>28</v>
      </c>
      <c r="G71" s="1" t="str">
        <f>CONCATENATE("INFOART D.O.O.,"," LASTOVSKA 23,"," 10000 ZAGREB,"," OIB: 88255578438")</f>
        <v>INFOART D.O.O., LASTOVSKA 23, 10000 ZAGREB, OIB: 88255578438</v>
      </c>
      <c r="H71" s="7"/>
      <c r="I71" s="8" t="s">
        <v>213</v>
      </c>
      <c r="J71" s="8" t="s">
        <v>214</v>
      </c>
      <c r="K71" s="6" t="str">
        <f>"225.000,00"</f>
        <v>225.000,00</v>
      </c>
      <c r="L71" s="6" t="str">
        <f>"56.250,00"</f>
        <v>56.250,00</v>
      </c>
      <c r="M71" s="6" t="str">
        <f>"281.250,00"</f>
        <v>281.250,00</v>
      </c>
      <c r="N71" s="8" t="s">
        <v>215</v>
      </c>
      <c r="O71" s="7"/>
      <c r="P71" s="2" t="s">
        <v>5667</v>
      </c>
      <c r="Q71" s="7"/>
      <c r="R71" s="1"/>
      <c r="S71" s="1" t="str">
        <f>"8-21/NOS-150/17"</f>
        <v>8-21/NOS-150/17</v>
      </c>
      <c r="T71" s="1" t="s">
        <v>32</v>
      </c>
    </row>
    <row r="72" spans="1:20" ht="89.25" x14ac:dyDescent="0.25">
      <c r="A72" s="6">
        <v>69</v>
      </c>
      <c r="B72" s="1" t="str">
        <f t="shared" ref="B72:B77" si="2">"2017-342"</f>
        <v>2017-342</v>
      </c>
      <c r="C72" s="1" t="s">
        <v>216</v>
      </c>
      <c r="D72" s="1" t="s">
        <v>217</v>
      </c>
      <c r="E72" s="1" t="str">
        <f>"2017/S 0F2-0012681"</f>
        <v>2017/S 0F2-0012681</v>
      </c>
      <c r="F72" s="1" t="s">
        <v>22</v>
      </c>
      <c r="G72" s="1" t="str">
        <f t="shared" ref="G72:G77" si="3">CONCATENATE("GDI D.O.O.,"," BAŠTIJANOVA 52A,"," 10000 ZAGREB,"," OIB: 95032181708")</f>
        <v>GDI D.O.O., BAŠTIJANOVA 52A, 10000 ZAGREB, OIB: 95032181708</v>
      </c>
      <c r="H72" s="1" t="str">
        <f>CONCATENATE("ECCOS-INŽENJERING D.O.O.,"," OIB: 71629027685",CHAR(10),"RAPTOR D.O.O.,"," OIB: 7158639729")</f>
        <v>ECCOS-INŽENJERING D.O.O., OIB: 71629027685
RAPTOR D.O.O., OIB: 7158639729</v>
      </c>
      <c r="I72" s="8" t="s">
        <v>218</v>
      </c>
      <c r="J72" s="8" t="s">
        <v>219</v>
      </c>
      <c r="K72" s="6" t="str">
        <f>"6.500.000,00"</f>
        <v>6.500.000,00</v>
      </c>
      <c r="L72" s="6" t="str">
        <f>"1.625.000,00"</f>
        <v>1.625.000,00</v>
      </c>
      <c r="M72" s="6" t="str">
        <f>"8.125.000,00"</f>
        <v>8.125.000,00</v>
      </c>
      <c r="N72" s="8" t="s">
        <v>220</v>
      </c>
      <c r="O72" s="7"/>
      <c r="P72" s="2" t="s">
        <v>5614</v>
      </c>
      <c r="Q72" s="7"/>
      <c r="R72" s="1"/>
      <c r="S72" s="1" t="str">
        <f>"NOS-154/17"</f>
        <v>NOS-154/17</v>
      </c>
      <c r="T72" s="1" t="s">
        <v>27</v>
      </c>
    </row>
    <row r="73" spans="1:20" ht="51" x14ac:dyDescent="0.25">
      <c r="A73" s="6">
        <v>70</v>
      </c>
      <c r="B73" s="1" t="str">
        <f t="shared" si="2"/>
        <v>2017-342</v>
      </c>
      <c r="C73" s="1" t="s">
        <v>216</v>
      </c>
      <c r="D73" s="1" t="s">
        <v>217</v>
      </c>
      <c r="E73" s="1" t="str">
        <f>""</f>
        <v/>
      </c>
      <c r="F73" s="1" t="s">
        <v>28</v>
      </c>
      <c r="G73" s="1" t="str">
        <f t="shared" si="3"/>
        <v>GDI D.O.O., BAŠTIJANOVA 52A, 10000 ZAGREB, OIB: 95032181708</v>
      </c>
      <c r="H73" s="7"/>
      <c r="I73" s="8" t="s">
        <v>221</v>
      </c>
      <c r="J73" s="8" t="s">
        <v>30</v>
      </c>
      <c r="K73" s="6" t="str">
        <f>"99.453,84"</f>
        <v>99.453,84</v>
      </c>
      <c r="L73" s="6" t="str">
        <f>"24.863,46"</f>
        <v>24.863,46</v>
      </c>
      <c r="M73" s="6" t="str">
        <f>"124.317,30"</f>
        <v>124.317,30</v>
      </c>
      <c r="N73" s="8" t="s">
        <v>222</v>
      </c>
      <c r="O73" s="7"/>
      <c r="P73" s="2" t="s">
        <v>5668</v>
      </c>
      <c r="Q73" s="7"/>
      <c r="R73" s="1"/>
      <c r="S73" s="1" t="str">
        <f>"3-21/NOS-154/17"</f>
        <v>3-21/NOS-154/17</v>
      </c>
      <c r="T73" s="1" t="s">
        <v>32</v>
      </c>
    </row>
    <row r="74" spans="1:20" ht="51" x14ac:dyDescent="0.25">
      <c r="A74" s="6">
        <v>71</v>
      </c>
      <c r="B74" s="1" t="str">
        <f t="shared" si="2"/>
        <v>2017-342</v>
      </c>
      <c r="C74" s="1" t="s">
        <v>216</v>
      </c>
      <c r="D74" s="1" t="s">
        <v>217</v>
      </c>
      <c r="E74" s="1" t="str">
        <f>""</f>
        <v/>
      </c>
      <c r="F74" s="1" t="s">
        <v>28</v>
      </c>
      <c r="G74" s="1" t="str">
        <f t="shared" si="3"/>
        <v>GDI D.O.O., BAŠTIJANOVA 52A, 10000 ZAGREB, OIB: 95032181708</v>
      </c>
      <c r="H74" s="7"/>
      <c r="I74" s="8" t="s">
        <v>223</v>
      </c>
      <c r="J74" s="8" t="s">
        <v>57</v>
      </c>
      <c r="K74" s="6" t="str">
        <f>"176.646,60"</f>
        <v>176.646,60</v>
      </c>
      <c r="L74" s="6" t="str">
        <f>"44.161,65"</f>
        <v>44.161,65</v>
      </c>
      <c r="M74" s="6" t="str">
        <f>"220.808,25"</f>
        <v>220.808,25</v>
      </c>
      <c r="N74" s="8" t="s">
        <v>224</v>
      </c>
      <c r="O74" s="7"/>
      <c r="P74" s="2" t="s">
        <v>5669</v>
      </c>
      <c r="Q74" s="7"/>
      <c r="R74" s="1"/>
      <c r="S74" s="1" t="str">
        <f>"4-21/NOS-154/17"</f>
        <v>4-21/NOS-154/17</v>
      </c>
      <c r="T74" s="1" t="s">
        <v>55</v>
      </c>
    </row>
    <row r="75" spans="1:20" ht="51" x14ac:dyDescent="0.25">
      <c r="A75" s="6">
        <v>72</v>
      </c>
      <c r="B75" s="1" t="str">
        <f t="shared" si="2"/>
        <v>2017-342</v>
      </c>
      <c r="C75" s="1" t="s">
        <v>216</v>
      </c>
      <c r="D75" s="1" t="s">
        <v>217</v>
      </c>
      <c r="E75" s="1" t="str">
        <f>""</f>
        <v/>
      </c>
      <c r="F75" s="1" t="s">
        <v>28</v>
      </c>
      <c r="G75" s="1" t="str">
        <f t="shared" si="3"/>
        <v>GDI D.O.O., BAŠTIJANOVA 52A, 10000 ZAGREB, OIB: 95032181708</v>
      </c>
      <c r="H75" s="7"/>
      <c r="I75" s="8" t="s">
        <v>225</v>
      </c>
      <c r="J75" s="8" t="s">
        <v>53</v>
      </c>
      <c r="K75" s="6" t="str">
        <f>"174.879,95"</f>
        <v>174.879,95</v>
      </c>
      <c r="L75" s="6" t="str">
        <f>"43.719,99"</f>
        <v>43.719,99</v>
      </c>
      <c r="M75" s="6" t="str">
        <f>"218.599,94"</f>
        <v>218.599,94</v>
      </c>
      <c r="N75" s="8" t="s">
        <v>31</v>
      </c>
      <c r="O75" s="7"/>
      <c r="P75" s="2" t="s">
        <v>5670</v>
      </c>
      <c r="Q75" s="7"/>
      <c r="R75" s="1"/>
      <c r="S75" s="1" t="str">
        <f>"8-21/NOS-154/17"</f>
        <v>8-21/NOS-154/17</v>
      </c>
      <c r="T75" s="1" t="s">
        <v>32</v>
      </c>
    </row>
    <row r="76" spans="1:20" ht="51" x14ac:dyDescent="0.25">
      <c r="A76" s="6">
        <v>73</v>
      </c>
      <c r="B76" s="1" t="str">
        <f t="shared" si="2"/>
        <v>2017-342</v>
      </c>
      <c r="C76" s="1" t="s">
        <v>216</v>
      </c>
      <c r="D76" s="1" t="s">
        <v>217</v>
      </c>
      <c r="E76" s="1" t="str">
        <f>""</f>
        <v/>
      </c>
      <c r="F76" s="1" t="s">
        <v>28</v>
      </c>
      <c r="G76" s="1" t="str">
        <f t="shared" si="3"/>
        <v>GDI D.O.O., BAŠTIJANOVA 52A, 10000 ZAGREB, OIB: 95032181708</v>
      </c>
      <c r="H76" s="7"/>
      <c r="I76" s="8" t="s">
        <v>226</v>
      </c>
      <c r="J76" s="8" t="s">
        <v>123</v>
      </c>
      <c r="K76" s="6" t="str">
        <f>"518.214,26"</f>
        <v>518.214,26</v>
      </c>
      <c r="L76" s="6" t="str">
        <f>"129.553,57"</f>
        <v>129.553,57</v>
      </c>
      <c r="M76" s="6" t="str">
        <f>"647.767,83"</f>
        <v>647.767,83</v>
      </c>
      <c r="N76" s="8" t="s">
        <v>124</v>
      </c>
      <c r="O76" s="7"/>
      <c r="P76" s="2" t="s">
        <v>5671</v>
      </c>
      <c r="Q76" s="7"/>
      <c r="R76" s="1"/>
      <c r="S76" s="1" t="str">
        <f>"2-22/NOS-154/17"</f>
        <v>2-22/NOS-154/17</v>
      </c>
      <c r="T76" s="1" t="s">
        <v>32</v>
      </c>
    </row>
    <row r="77" spans="1:20" ht="51" x14ac:dyDescent="0.25">
      <c r="A77" s="6">
        <v>74</v>
      </c>
      <c r="B77" s="1" t="str">
        <f t="shared" si="2"/>
        <v>2017-342</v>
      </c>
      <c r="C77" s="1" t="s">
        <v>216</v>
      </c>
      <c r="D77" s="1" t="s">
        <v>217</v>
      </c>
      <c r="E77" s="1" t="str">
        <f>""</f>
        <v/>
      </c>
      <c r="F77" s="1" t="s">
        <v>28</v>
      </c>
      <c r="G77" s="1" t="str">
        <f t="shared" si="3"/>
        <v>GDI D.O.O., BAŠTIJANOVA 52A, 10000 ZAGREB, OIB: 95032181708</v>
      </c>
      <c r="H77" s="7"/>
      <c r="I77" s="8" t="s">
        <v>226</v>
      </c>
      <c r="J77" s="8" t="s">
        <v>123</v>
      </c>
      <c r="K77" s="6" t="str">
        <f>"120.678,90"</f>
        <v>120.678,90</v>
      </c>
      <c r="L77" s="6" t="str">
        <f>"30.169,73"</f>
        <v>30.169,73</v>
      </c>
      <c r="M77" s="6" t="str">
        <f>"150.848,63"</f>
        <v>150.848,63</v>
      </c>
      <c r="N77" s="8" t="s">
        <v>227</v>
      </c>
      <c r="O77" s="7"/>
      <c r="P77" s="2" t="s">
        <v>5672</v>
      </c>
      <c r="Q77" s="7"/>
      <c r="R77" s="1"/>
      <c r="S77" s="1" t="str">
        <f>"1-22/NOS-154/17"</f>
        <v>1-22/NOS-154/17</v>
      </c>
      <c r="T77" s="1" t="s">
        <v>55</v>
      </c>
    </row>
    <row r="78" spans="1:20" ht="38.25" x14ac:dyDescent="0.25">
      <c r="A78" s="6">
        <v>75</v>
      </c>
      <c r="B78" s="1" t="str">
        <f>"2017-2940"</f>
        <v>2017-2940</v>
      </c>
      <c r="C78" s="1" t="s">
        <v>228</v>
      </c>
      <c r="D78" s="1" t="s">
        <v>229</v>
      </c>
      <c r="E78" s="1" t="str">
        <f>"2017/S 0F2-0025675"</f>
        <v>2017/S 0F2-0025675</v>
      </c>
      <c r="F78" s="1" t="s">
        <v>22</v>
      </c>
      <c r="G78" s="1" t="str">
        <f>CONCATENATE("HIDROTERM-SD D.O.O.,"," ,"," OIB: 929030013")</f>
        <v>HIDROTERM-SD D.O.O., , OIB: 929030013</v>
      </c>
      <c r="H78" s="7"/>
      <c r="I78" s="8" t="s">
        <v>230</v>
      </c>
      <c r="J78" s="8" t="s">
        <v>129</v>
      </c>
      <c r="K78" s="6" t="str">
        <f>"800.000,00"</f>
        <v>800.000,00</v>
      </c>
      <c r="L78" s="6" t="str">
        <f>"200.000,00"</f>
        <v>200.000,00</v>
      </c>
      <c r="M78" s="6" t="str">
        <f>"1.000.000,00"</f>
        <v>1.000.000,00</v>
      </c>
      <c r="N78" s="8" t="s">
        <v>89</v>
      </c>
      <c r="O78" s="7"/>
      <c r="P78" s="2" t="s">
        <v>5614</v>
      </c>
      <c r="Q78" s="7"/>
      <c r="R78" s="1"/>
      <c r="S78" s="1" t="str">
        <f>"NOS-124/17"</f>
        <v>NOS-124/17</v>
      </c>
      <c r="T78" s="1" t="s">
        <v>32</v>
      </c>
    </row>
    <row r="79" spans="1:20" ht="51" x14ac:dyDescent="0.25">
      <c r="A79" s="6">
        <v>76</v>
      </c>
      <c r="B79" s="1" t="str">
        <f>"2017-2940"</f>
        <v>2017-2940</v>
      </c>
      <c r="C79" s="1" t="s">
        <v>228</v>
      </c>
      <c r="D79" s="1" t="s">
        <v>229</v>
      </c>
      <c r="E79" s="1" t="str">
        <f>""</f>
        <v/>
      </c>
      <c r="F79" s="1" t="s">
        <v>28</v>
      </c>
      <c r="G79" s="1" t="str">
        <f>CONCATENATE("HIDROTERM-SD D.O.O.,"," OIB: 929030013")</f>
        <v>HIDROTERM-SD D.O.O., OIB: 929030013</v>
      </c>
      <c r="H79" s="7"/>
      <c r="I79" s="8" t="s">
        <v>137</v>
      </c>
      <c r="J79" s="8" t="s">
        <v>231</v>
      </c>
      <c r="K79" s="6" t="str">
        <f>"69.560,00"</f>
        <v>69.560,00</v>
      </c>
      <c r="L79" s="6" t="str">
        <f>"17.390,00"</f>
        <v>17.390,00</v>
      </c>
      <c r="M79" s="6" t="str">
        <f>"86.950,00"</f>
        <v>86.950,00</v>
      </c>
      <c r="N79" s="8" t="s">
        <v>232</v>
      </c>
      <c r="O79" s="7"/>
      <c r="P79" s="2" t="s">
        <v>5673</v>
      </c>
      <c r="Q79" s="7"/>
      <c r="R79" s="1"/>
      <c r="S79" s="1" t="str">
        <f>"4-21/NOS-124/17"</f>
        <v>4-21/NOS-124/17</v>
      </c>
      <c r="T79" s="1" t="s">
        <v>32</v>
      </c>
    </row>
    <row r="80" spans="1:20" ht="267.75" x14ac:dyDescent="0.25">
      <c r="A80" s="6">
        <v>77</v>
      </c>
      <c r="B80" s="1" t="str">
        <f>"2017-2500"</f>
        <v>2017-2500</v>
      </c>
      <c r="C80" s="1" t="s">
        <v>233</v>
      </c>
      <c r="D80" s="1" t="s">
        <v>234</v>
      </c>
      <c r="E80" s="1" t="str">
        <f>"2017/S 0F2-0023320"</f>
        <v>2017/S 0F2-0023320</v>
      </c>
      <c r="F80" s="1" t="s">
        <v>22</v>
      </c>
      <c r="G80" s="1" t="str">
        <f>CONCATENATE("BAZENI - FONTANE,","  VL. EDIN KAHRIMANOVIĆ,"," STJEPANA LACKA 32B,"," 10040 ZAGREB-DUBRAVA,"," OIB: 95070283178",CHAR(10),"",CHAR(10),"Zajednica ponuditelja",CHAR(10),"VODOTEHNIKA D.D.,"," KOTURAŠKA CESTA 49,"," 10000 ZAGREB,"," OIB: 17631431320KOMUNALNI SERVISI MARČEC D.O.O. STRLEČKO 2,"," 44000 SISAK,"," OIB: 82494922492",CHAR(10),"",CHAR(10),"NIVETO D.O.O.,"," DRAGUTINA MANDLA 1,"," 10000 ZAGREB,"," OIB: 46572491389")</f>
        <v>BAZENI - FONTANE,  VL. EDIN KAHRIMANOVIĆ, STJEPANA LACKA 32B, 10040 ZAGREB-DUBRAVA, OIB: 95070283178
Zajednica ponuditelja
VODOTEHNIKA D.D., KOTURAŠKA CESTA 49, 10000 ZAGREB, OIB: 17631431320KOMUNALNI SERVISI MARČEC D.O.O. STRLEČKO 2, 44000 SISAK, OIB: 82494922492
NIVETO D.O.O., DRAGUTINA MANDLA 1, 10000 ZAGREB, OIB: 46572491389</v>
      </c>
      <c r="H80" s="7"/>
      <c r="I80" s="8" t="s">
        <v>235</v>
      </c>
      <c r="J80" s="8" t="s">
        <v>236</v>
      </c>
      <c r="K80" s="6" t="str">
        <f>"16.000.000,00"</f>
        <v>16.000.000,00</v>
      </c>
      <c r="L80" s="6" t="str">
        <f>"4.000.000,00"</f>
        <v>4.000.000,00</v>
      </c>
      <c r="M80" s="6" t="str">
        <f>"20.000.000,00"</f>
        <v>20.000.000,00</v>
      </c>
      <c r="N80" s="8" t="s">
        <v>237</v>
      </c>
      <c r="O80" s="7"/>
      <c r="P80" s="2" t="s">
        <v>5614</v>
      </c>
      <c r="Q80" s="7"/>
      <c r="R80" s="1"/>
      <c r="S80" s="1" t="str">
        <f>"NOS-157/17"</f>
        <v>NOS-157/17</v>
      </c>
      <c r="T80" s="1" t="s">
        <v>86</v>
      </c>
    </row>
    <row r="81" spans="1:20" ht="76.5" x14ac:dyDescent="0.25">
      <c r="A81" s="6">
        <v>78</v>
      </c>
      <c r="B81" s="1" t="str">
        <f>"2017-2500"</f>
        <v>2017-2500</v>
      </c>
      <c r="C81" s="1" t="s">
        <v>233</v>
      </c>
      <c r="D81" s="1" t="s">
        <v>234</v>
      </c>
      <c r="E81" s="1" t="str">
        <f>""</f>
        <v/>
      </c>
      <c r="F81" s="1" t="s">
        <v>28</v>
      </c>
      <c r="G81" s="1" t="str">
        <f>CONCATENATE("BAZENI - FONTANE,","  VL. EDIN KAHRIMANOVIĆ,"," STJEPANA LACKA 32B,"," 10040 ZAGREB-DUBRAVA,"," OIB: 95070283178")</f>
        <v>BAZENI - FONTANE,  VL. EDIN KAHRIMANOVIĆ, STJEPANA LACKA 32B, 10040 ZAGREB-DUBRAVA, OIB: 95070283178</v>
      </c>
      <c r="H81" s="7"/>
      <c r="I81" s="8" t="s">
        <v>88</v>
      </c>
      <c r="J81" s="8" t="s">
        <v>41</v>
      </c>
      <c r="K81" s="6" t="str">
        <f>"474.428,50"</f>
        <v>474.428,50</v>
      </c>
      <c r="L81" s="6" t="str">
        <f>"118.607,13"</f>
        <v>118.607,13</v>
      </c>
      <c r="M81" s="6" t="str">
        <f>"593.035,63"</f>
        <v>593.035,63</v>
      </c>
      <c r="N81" s="8" t="s">
        <v>238</v>
      </c>
      <c r="O81" s="7"/>
      <c r="P81" s="2" t="s">
        <v>5674</v>
      </c>
      <c r="Q81" s="7"/>
      <c r="R81" s="1"/>
      <c r="S81" s="1" t="str">
        <f>"10-21/NOS-157/17"</f>
        <v>10-21/NOS-157/17</v>
      </c>
      <c r="T81" s="1" t="s">
        <v>86</v>
      </c>
    </row>
    <row r="82" spans="1:20" ht="76.5" x14ac:dyDescent="0.25">
      <c r="A82" s="6">
        <v>79</v>
      </c>
      <c r="B82" s="1" t="str">
        <f>"2017-2500"</f>
        <v>2017-2500</v>
      </c>
      <c r="C82" s="1" t="s">
        <v>233</v>
      </c>
      <c r="D82" s="1" t="s">
        <v>234</v>
      </c>
      <c r="E82" s="1" t="str">
        <f>""</f>
        <v/>
      </c>
      <c r="F82" s="1" t="s">
        <v>28</v>
      </c>
      <c r="G82" s="1" t="str">
        <f>CONCATENATE("BAZENI - FONTANE,","  VL. EDIN KAHRIMANOVIĆ,"," STJEPANA LACKA 32B,"," 10040 ZAGREB-DUBRAVA,"," OIB: 95070283178")</f>
        <v>BAZENI - FONTANE,  VL. EDIN KAHRIMANOVIĆ, STJEPANA LACKA 32B, 10040 ZAGREB-DUBRAVA, OIB: 95070283178</v>
      </c>
      <c r="H82" s="7"/>
      <c r="I82" s="8" t="s">
        <v>239</v>
      </c>
      <c r="J82" s="8" t="s">
        <v>57</v>
      </c>
      <c r="K82" s="6" t="str">
        <f>"599.449,00"</f>
        <v>599.449,00</v>
      </c>
      <c r="L82" s="6" t="str">
        <f>"149.862,25"</f>
        <v>149.862,25</v>
      </c>
      <c r="M82" s="6" t="str">
        <f>"749.311,25"</f>
        <v>749.311,25</v>
      </c>
      <c r="N82" s="8" t="s">
        <v>240</v>
      </c>
      <c r="O82" s="7"/>
      <c r="P82" s="2" t="s">
        <v>5675</v>
      </c>
      <c r="Q82" s="7"/>
      <c r="R82" s="1"/>
      <c r="S82" s="1" t="str">
        <f>"1-22/NOS-157/17"</f>
        <v>1-22/NOS-157/17</v>
      </c>
      <c r="T82" s="1" t="s">
        <v>86</v>
      </c>
    </row>
    <row r="83" spans="1:20" ht="76.5" x14ac:dyDescent="0.25">
      <c r="A83" s="6">
        <v>80</v>
      </c>
      <c r="B83" s="1" t="str">
        <f>"2017-2500"</f>
        <v>2017-2500</v>
      </c>
      <c r="C83" s="1" t="s">
        <v>233</v>
      </c>
      <c r="D83" s="1" t="s">
        <v>234</v>
      </c>
      <c r="E83" s="1" t="str">
        <f>""</f>
        <v/>
      </c>
      <c r="F83" s="1" t="s">
        <v>28</v>
      </c>
      <c r="G83" s="1" t="str">
        <f>CONCATENATE("BAZENI - FONTANE,","  VL. EDIN KAHRIMANOVIĆ,"," STJEPANA LACKA 32B,"," 10040 ZAGREB-DUBRAVA,"," OIB: 95070283178")</f>
        <v>BAZENI - FONTANE,  VL. EDIN KAHRIMANOVIĆ, STJEPANA LACKA 32B, 10040 ZAGREB-DUBRAVA, OIB: 95070283178</v>
      </c>
      <c r="H83" s="7"/>
      <c r="I83" s="8" t="s">
        <v>219</v>
      </c>
      <c r="J83" s="8" t="s">
        <v>241</v>
      </c>
      <c r="K83" s="6" t="str">
        <f>"26.253,96"</f>
        <v>26.253,96</v>
      </c>
      <c r="L83" s="6" t="str">
        <f>"6.563,49"</f>
        <v>6.563,49</v>
      </c>
      <c r="M83" s="6" t="str">
        <f>"32.817,45"</f>
        <v>32.817,45</v>
      </c>
      <c r="N83" s="8" t="s">
        <v>242</v>
      </c>
      <c r="O83" s="7"/>
      <c r="P83" s="2" t="s">
        <v>5676</v>
      </c>
      <c r="Q83" s="7"/>
      <c r="R83" s="1"/>
      <c r="S83" s="1" t="str">
        <f>"2-22/NOS-157/17"</f>
        <v>2-22/NOS-157/17</v>
      </c>
      <c r="T83" s="1" t="s">
        <v>86</v>
      </c>
    </row>
    <row r="84" spans="1:20" ht="165.75" x14ac:dyDescent="0.25">
      <c r="A84" s="6">
        <v>81</v>
      </c>
      <c r="B84" s="1" t="str">
        <f t="shared" ref="B84:B96" si="4">"2017-419"</f>
        <v>2017-419</v>
      </c>
      <c r="C84" s="1" t="s">
        <v>243</v>
      </c>
      <c r="D84" s="1" t="s">
        <v>244</v>
      </c>
      <c r="E84" s="1" t="str">
        <f>"2017/S 0F2-0025772"</f>
        <v>2017/S 0F2-0025772</v>
      </c>
      <c r="F84" s="1" t="s">
        <v>22</v>
      </c>
      <c r="G84" s="1" t="str">
        <f t="shared" ref="G84:G96" si="5">CONCATENATE("ID EKO D.O.O.,"," POREČKA 11,"," 10000 ZAGREB,"," OIB: 72667678548")</f>
        <v>ID EKO D.O.O., POREČKA 11, 10000 ZAGREB, OIB: 72667678548</v>
      </c>
      <c r="H84" s="7"/>
      <c r="I84" s="8" t="s">
        <v>245</v>
      </c>
      <c r="J84" s="8" t="s">
        <v>246</v>
      </c>
      <c r="K84" s="6" t="str">
        <f>"9.119.190,00"</f>
        <v>9.119.190,00</v>
      </c>
      <c r="L84" s="6" t="str">
        <f>"2.279.797,50"</f>
        <v>2.279.797,50</v>
      </c>
      <c r="M84" s="6" t="str">
        <f>"11.398.987,50"</f>
        <v>11.398.987,50</v>
      </c>
      <c r="N84" s="8" t="s">
        <v>247</v>
      </c>
      <c r="O84" s="7"/>
      <c r="P84" s="2" t="s">
        <v>5677</v>
      </c>
      <c r="Q84" s="7"/>
      <c r="R84" s="1"/>
      <c r="S84" s="1" t="str">
        <f>"NOS-165-A/17"</f>
        <v>NOS-165-A/17</v>
      </c>
      <c r="T84" s="1" t="s">
        <v>49</v>
      </c>
    </row>
    <row r="85" spans="1:20" ht="165.75" x14ac:dyDescent="0.25">
      <c r="A85" s="6">
        <v>82</v>
      </c>
      <c r="B85" s="1" t="str">
        <f t="shared" si="4"/>
        <v>2017-419</v>
      </c>
      <c r="C85" s="1" t="s">
        <v>248</v>
      </c>
      <c r="D85" s="1" t="s">
        <v>249</v>
      </c>
      <c r="E85" s="1" t="str">
        <f>""</f>
        <v/>
      </c>
      <c r="F85" s="1" t="s">
        <v>28</v>
      </c>
      <c r="G85" s="1" t="str">
        <f t="shared" si="5"/>
        <v>ID EKO D.O.O., POREČKA 11, 10000 ZAGREB, OIB: 72667678548</v>
      </c>
      <c r="H85" s="7"/>
      <c r="I85" s="8" t="s">
        <v>250</v>
      </c>
      <c r="J85" s="8" t="s">
        <v>123</v>
      </c>
      <c r="K85" s="6" t="str">
        <f>"135.461,00"</f>
        <v>135.461,00</v>
      </c>
      <c r="L85" s="6" t="str">
        <f>"33.865,25"</f>
        <v>33.865,25</v>
      </c>
      <c r="M85" s="6" t="str">
        <f>"169.326,25"</f>
        <v>169.326,25</v>
      </c>
      <c r="N85" s="8" t="s">
        <v>124</v>
      </c>
      <c r="O85" s="7"/>
      <c r="P85" s="2" t="s">
        <v>5678</v>
      </c>
      <c r="Q85" s="7"/>
      <c r="R85" s="1"/>
      <c r="S85" s="1" t="str">
        <f>"8-22/NOS-165-A/17"</f>
        <v>8-22/NOS-165-A/17</v>
      </c>
      <c r="T85" s="1" t="s">
        <v>32</v>
      </c>
    </row>
    <row r="86" spans="1:20" ht="102" x14ac:dyDescent="0.25">
      <c r="A86" s="6">
        <v>83</v>
      </c>
      <c r="B86" s="1" t="str">
        <f t="shared" si="4"/>
        <v>2017-419</v>
      </c>
      <c r="C86" s="1" t="s">
        <v>251</v>
      </c>
      <c r="D86" s="1" t="s">
        <v>249</v>
      </c>
      <c r="E86" s="1" t="str">
        <f>""</f>
        <v/>
      </c>
      <c r="F86" s="1" t="s">
        <v>92</v>
      </c>
      <c r="G86" s="1" t="str">
        <f t="shared" si="5"/>
        <v>ID EKO D.O.O., POREČKA 11, 10000 ZAGREB, OIB: 72667678548</v>
      </c>
      <c r="H86" s="7"/>
      <c r="I86" s="8" t="s">
        <v>252</v>
      </c>
      <c r="J86" s="8" t="s">
        <v>123</v>
      </c>
      <c r="K86" s="6" t="str">
        <f>"835,00"</f>
        <v>835,00</v>
      </c>
      <c r="L86" s="6" t="str">
        <f>"208,75"</f>
        <v>208,75</v>
      </c>
      <c r="M86" s="6" t="str">
        <f>"1.043,75"</f>
        <v>1.043,75</v>
      </c>
      <c r="N86" s="8" t="s">
        <v>124</v>
      </c>
      <c r="O86" s="7"/>
      <c r="P86" s="2" t="s">
        <v>5614</v>
      </c>
      <c r="Q86" s="7"/>
      <c r="R86" s="1" t="s">
        <v>191</v>
      </c>
      <c r="S86" s="1" t="str">
        <f>"8-22/NOS-165-A/17#1"</f>
        <v>8-22/NOS-165-A/17#1</v>
      </c>
      <c r="T86" s="1" t="s">
        <v>32</v>
      </c>
    </row>
    <row r="87" spans="1:20" ht="153" x14ac:dyDescent="0.25">
      <c r="A87" s="6">
        <v>84</v>
      </c>
      <c r="B87" s="1" t="str">
        <f t="shared" si="4"/>
        <v>2017-419</v>
      </c>
      <c r="C87" s="1" t="s">
        <v>243</v>
      </c>
      <c r="D87" s="1" t="s">
        <v>249</v>
      </c>
      <c r="E87" s="1" t="str">
        <f>""</f>
        <v/>
      </c>
      <c r="F87" s="1" t="s">
        <v>28</v>
      </c>
      <c r="G87" s="1" t="str">
        <f t="shared" si="5"/>
        <v>ID EKO D.O.O., POREČKA 11, 10000 ZAGREB, OIB: 72667678548</v>
      </c>
      <c r="H87" s="7"/>
      <c r="I87" s="8" t="s">
        <v>253</v>
      </c>
      <c r="J87" s="8" t="s">
        <v>254</v>
      </c>
      <c r="K87" s="6" t="str">
        <f>"5.770,00"</f>
        <v>5.770,00</v>
      </c>
      <c r="L87" s="6" t="str">
        <f>"1.442,50"</f>
        <v>1.442,50</v>
      </c>
      <c r="M87" s="6" t="str">
        <f>"7.212,50"</f>
        <v>7.212,50</v>
      </c>
      <c r="N87" s="8" t="s">
        <v>255</v>
      </c>
      <c r="O87" s="7"/>
      <c r="P87" s="2" t="s">
        <v>5679</v>
      </c>
      <c r="Q87" s="7"/>
      <c r="R87" s="1"/>
      <c r="S87" s="1" t="str">
        <f>"1-22/NOS-165-A/17"</f>
        <v>1-22/NOS-165-A/17</v>
      </c>
      <c r="T87" s="1" t="s">
        <v>32</v>
      </c>
    </row>
    <row r="88" spans="1:20" ht="153" x14ac:dyDescent="0.25">
      <c r="A88" s="6">
        <v>85</v>
      </c>
      <c r="B88" s="1" t="str">
        <f t="shared" si="4"/>
        <v>2017-419</v>
      </c>
      <c r="C88" s="1" t="s">
        <v>243</v>
      </c>
      <c r="D88" s="1" t="s">
        <v>249</v>
      </c>
      <c r="E88" s="1" t="str">
        <f>""</f>
        <v/>
      </c>
      <c r="F88" s="1" t="s">
        <v>28</v>
      </c>
      <c r="G88" s="1" t="str">
        <f t="shared" si="5"/>
        <v>ID EKO D.O.O., POREČKA 11, 10000 ZAGREB, OIB: 72667678548</v>
      </c>
      <c r="H88" s="7"/>
      <c r="I88" s="8" t="s">
        <v>220</v>
      </c>
      <c r="J88" s="8" t="s">
        <v>256</v>
      </c>
      <c r="K88" s="6" t="str">
        <f>"13.835,00"</f>
        <v>13.835,00</v>
      </c>
      <c r="L88" s="6" t="str">
        <f>"3.458,75"</f>
        <v>3.458,75</v>
      </c>
      <c r="M88" s="6" t="str">
        <f>"17.293,75"</f>
        <v>17.293,75</v>
      </c>
      <c r="N88" s="8" t="s">
        <v>257</v>
      </c>
      <c r="O88" s="7"/>
      <c r="P88" s="2" t="s">
        <v>5680</v>
      </c>
      <c r="Q88" s="7"/>
      <c r="R88" s="1"/>
      <c r="S88" s="1" t="str">
        <f>"2-22/NOS-165-A/17"</f>
        <v>2-22/NOS-165-A/17</v>
      </c>
      <c r="T88" s="1" t="s">
        <v>32</v>
      </c>
    </row>
    <row r="89" spans="1:20" ht="153" x14ac:dyDescent="0.25">
      <c r="A89" s="6">
        <v>86</v>
      </c>
      <c r="B89" s="1" t="str">
        <f t="shared" si="4"/>
        <v>2017-419</v>
      </c>
      <c r="C89" s="1" t="s">
        <v>243</v>
      </c>
      <c r="D89" s="1" t="s">
        <v>249</v>
      </c>
      <c r="E89" s="1" t="str">
        <f>""</f>
        <v/>
      </c>
      <c r="F89" s="1" t="s">
        <v>28</v>
      </c>
      <c r="G89" s="1" t="str">
        <f t="shared" si="5"/>
        <v>ID EKO D.O.O., POREČKA 11, 10000 ZAGREB, OIB: 72667678548</v>
      </c>
      <c r="H89" s="7"/>
      <c r="I89" s="8" t="s">
        <v>258</v>
      </c>
      <c r="J89" s="8" t="s">
        <v>171</v>
      </c>
      <c r="K89" s="6" t="str">
        <f>"15.230,00"</f>
        <v>15.230,00</v>
      </c>
      <c r="L89" s="6" t="str">
        <f>"0,00"</f>
        <v>0,00</v>
      </c>
      <c r="M89" s="6" t="str">
        <f>"15.230,00"</f>
        <v>15.230,00</v>
      </c>
      <c r="N89" s="8" t="s">
        <v>124</v>
      </c>
      <c r="O89" s="7"/>
      <c r="P89" s="2" t="s">
        <v>5614</v>
      </c>
      <c r="Q89" s="7"/>
      <c r="R89" s="1"/>
      <c r="S89" s="1" t="str">
        <f>"3-22/NOS-165-A/17"</f>
        <v>3-22/NOS-165-A/17</v>
      </c>
      <c r="T89" s="1" t="s">
        <v>32</v>
      </c>
    </row>
    <row r="90" spans="1:20" ht="153" x14ac:dyDescent="0.25">
      <c r="A90" s="6">
        <v>87</v>
      </c>
      <c r="B90" s="1" t="str">
        <f t="shared" si="4"/>
        <v>2017-419</v>
      </c>
      <c r="C90" s="1" t="s">
        <v>243</v>
      </c>
      <c r="D90" s="1" t="s">
        <v>249</v>
      </c>
      <c r="E90" s="1" t="str">
        <f>""</f>
        <v/>
      </c>
      <c r="F90" s="1" t="s">
        <v>28</v>
      </c>
      <c r="G90" s="1" t="str">
        <f t="shared" si="5"/>
        <v>ID EKO D.O.O., POREČKA 11, 10000 ZAGREB, OIB: 72667678548</v>
      </c>
      <c r="H90" s="7"/>
      <c r="I90" s="8" t="s">
        <v>259</v>
      </c>
      <c r="J90" s="8" t="s">
        <v>256</v>
      </c>
      <c r="K90" s="6" t="str">
        <f>"2.710,00"</f>
        <v>2.710,00</v>
      </c>
      <c r="L90" s="6" t="str">
        <f>"0,00"</f>
        <v>0,00</v>
      </c>
      <c r="M90" s="6" t="str">
        <f>"2.710,00"</f>
        <v>2.710,00</v>
      </c>
      <c r="N90" s="8" t="s">
        <v>124</v>
      </c>
      <c r="O90" s="7"/>
      <c r="P90" s="2" t="s">
        <v>5614</v>
      </c>
      <c r="Q90" s="7"/>
      <c r="R90" s="1"/>
      <c r="S90" s="1" t="str">
        <f>"4-22/NOS-165-A/17"</f>
        <v>4-22/NOS-165-A/17</v>
      </c>
      <c r="T90" s="1" t="s">
        <v>32</v>
      </c>
    </row>
    <row r="91" spans="1:20" ht="153" x14ac:dyDescent="0.25">
      <c r="A91" s="6">
        <v>88</v>
      </c>
      <c r="B91" s="1" t="str">
        <f t="shared" si="4"/>
        <v>2017-419</v>
      </c>
      <c r="C91" s="1" t="s">
        <v>243</v>
      </c>
      <c r="D91" s="1" t="s">
        <v>249</v>
      </c>
      <c r="E91" s="1" t="str">
        <f>""</f>
        <v/>
      </c>
      <c r="F91" s="1" t="s">
        <v>28</v>
      </c>
      <c r="G91" s="1" t="str">
        <f t="shared" si="5"/>
        <v>ID EKO D.O.O., POREČKA 11, 10000 ZAGREB, OIB: 72667678548</v>
      </c>
      <c r="H91" s="7"/>
      <c r="I91" s="8" t="s">
        <v>260</v>
      </c>
      <c r="J91" s="8" t="s">
        <v>256</v>
      </c>
      <c r="K91" s="6" t="str">
        <f>"11.660,00"</f>
        <v>11.660,00</v>
      </c>
      <c r="L91" s="6" t="str">
        <f>"0,00"</f>
        <v>0,00</v>
      </c>
      <c r="M91" s="6" t="str">
        <f>"11.660,00"</f>
        <v>11.660,00</v>
      </c>
      <c r="N91" s="8" t="s">
        <v>124</v>
      </c>
      <c r="O91" s="7"/>
      <c r="P91" s="2" t="s">
        <v>5614</v>
      </c>
      <c r="Q91" s="7"/>
      <c r="R91" s="1"/>
      <c r="S91" s="1" t="str">
        <f>"5-22/NOS-165-A/17"</f>
        <v>5-22/NOS-165-A/17</v>
      </c>
      <c r="T91" s="1" t="s">
        <v>32</v>
      </c>
    </row>
    <row r="92" spans="1:20" ht="153" x14ac:dyDescent="0.25">
      <c r="A92" s="6">
        <v>89</v>
      </c>
      <c r="B92" s="1" t="str">
        <f t="shared" si="4"/>
        <v>2017-419</v>
      </c>
      <c r="C92" s="1" t="s">
        <v>243</v>
      </c>
      <c r="D92" s="1" t="s">
        <v>249</v>
      </c>
      <c r="E92" s="1" t="str">
        <f>""</f>
        <v/>
      </c>
      <c r="F92" s="1" t="s">
        <v>28</v>
      </c>
      <c r="G92" s="1" t="str">
        <f t="shared" si="5"/>
        <v>ID EKO D.O.O., POREČKA 11, 10000 ZAGREB, OIB: 72667678548</v>
      </c>
      <c r="H92" s="7"/>
      <c r="I92" s="8" t="s">
        <v>261</v>
      </c>
      <c r="J92" s="8" t="s">
        <v>231</v>
      </c>
      <c r="K92" s="6" t="str">
        <f>"4.970,00"</f>
        <v>4.970,00</v>
      </c>
      <c r="L92" s="6" t="str">
        <f>"1.242,50"</f>
        <v>1.242,50</v>
      </c>
      <c r="M92" s="6" t="str">
        <f>"6.212,50"</f>
        <v>6.212,50</v>
      </c>
      <c r="N92" s="8" t="s">
        <v>240</v>
      </c>
      <c r="O92" s="7"/>
      <c r="P92" s="2" t="s">
        <v>5681</v>
      </c>
      <c r="Q92" s="7"/>
      <c r="R92" s="1"/>
      <c r="S92" s="1" t="str">
        <f>"7-22/NOS-165-A/17"</f>
        <v>7-22/NOS-165-A/17</v>
      </c>
      <c r="T92" s="1" t="s">
        <v>32</v>
      </c>
    </row>
    <row r="93" spans="1:20" ht="153" x14ac:dyDescent="0.25">
      <c r="A93" s="6">
        <v>90</v>
      </c>
      <c r="B93" s="1" t="str">
        <f t="shared" si="4"/>
        <v>2017-419</v>
      </c>
      <c r="C93" s="1" t="s">
        <v>243</v>
      </c>
      <c r="D93" s="1" t="s">
        <v>249</v>
      </c>
      <c r="E93" s="1" t="str">
        <f>""</f>
        <v/>
      </c>
      <c r="F93" s="1" t="s">
        <v>28</v>
      </c>
      <c r="G93" s="1" t="str">
        <f t="shared" si="5"/>
        <v>ID EKO D.O.O., POREČKA 11, 10000 ZAGREB, OIB: 72667678548</v>
      </c>
      <c r="H93" s="7"/>
      <c r="I93" s="8" t="s">
        <v>262</v>
      </c>
      <c r="J93" s="8" t="s">
        <v>256</v>
      </c>
      <c r="K93" s="6" t="str">
        <f>"850,00"</f>
        <v>850,00</v>
      </c>
      <c r="L93" s="6" t="str">
        <f>"212,50"</f>
        <v>212,50</v>
      </c>
      <c r="M93" s="6" t="str">
        <f>"1.062,50"</f>
        <v>1.062,50</v>
      </c>
      <c r="N93" s="8" t="s">
        <v>263</v>
      </c>
      <c r="O93" s="7"/>
      <c r="P93" s="2" t="s">
        <v>5682</v>
      </c>
      <c r="Q93" s="7"/>
      <c r="R93" s="1"/>
      <c r="S93" s="1" t="str">
        <f>"6-22/NOS-165-A/17"</f>
        <v>6-22/NOS-165-A/17</v>
      </c>
      <c r="T93" s="1" t="s">
        <v>32</v>
      </c>
    </row>
    <row r="94" spans="1:20" ht="165.75" x14ac:dyDescent="0.25">
      <c r="A94" s="6">
        <v>91</v>
      </c>
      <c r="B94" s="1" t="str">
        <f t="shared" si="4"/>
        <v>2017-419</v>
      </c>
      <c r="C94" s="1" t="s">
        <v>264</v>
      </c>
      <c r="D94" s="1" t="s">
        <v>244</v>
      </c>
      <c r="E94" s="1" t="str">
        <f>"2017/S 0F2-0025772"</f>
        <v>2017/S 0F2-0025772</v>
      </c>
      <c r="F94" s="1" t="s">
        <v>22</v>
      </c>
      <c r="G94" s="1" t="str">
        <f t="shared" si="5"/>
        <v>ID EKO D.O.O., POREČKA 11, 10000 ZAGREB, OIB: 72667678548</v>
      </c>
      <c r="H94" s="7"/>
      <c r="I94" s="8" t="s">
        <v>245</v>
      </c>
      <c r="J94" s="8" t="s">
        <v>246</v>
      </c>
      <c r="K94" s="6" t="str">
        <f>"379.708,00"</f>
        <v>379.708,00</v>
      </c>
      <c r="L94" s="6" t="str">
        <f>"94.927,00"</f>
        <v>94.927,00</v>
      </c>
      <c r="M94" s="6" t="str">
        <f>"474.635,00"</f>
        <v>474.635,00</v>
      </c>
      <c r="N94" s="8" t="s">
        <v>265</v>
      </c>
      <c r="O94" s="7"/>
      <c r="P94" s="2" t="s">
        <v>5614</v>
      </c>
      <c r="Q94" s="7"/>
      <c r="R94" s="1"/>
      <c r="S94" s="1" t="str">
        <f>"NOS-165-B/17"</f>
        <v>NOS-165-B/17</v>
      </c>
      <c r="T94" s="1" t="s">
        <v>49</v>
      </c>
    </row>
    <row r="95" spans="1:20" ht="153" x14ac:dyDescent="0.25">
      <c r="A95" s="6">
        <v>92</v>
      </c>
      <c r="B95" s="1" t="str">
        <f t="shared" si="4"/>
        <v>2017-419</v>
      </c>
      <c r="C95" s="1" t="s">
        <v>264</v>
      </c>
      <c r="D95" s="1" t="s">
        <v>249</v>
      </c>
      <c r="E95" s="1" t="str">
        <f>""</f>
        <v/>
      </c>
      <c r="F95" s="1" t="s">
        <v>28</v>
      </c>
      <c r="G95" s="1" t="str">
        <f t="shared" si="5"/>
        <v>ID EKO D.O.O., POREČKA 11, 10000 ZAGREB, OIB: 72667678548</v>
      </c>
      <c r="H95" s="7"/>
      <c r="I95" s="8" t="s">
        <v>253</v>
      </c>
      <c r="J95" s="8" t="s">
        <v>254</v>
      </c>
      <c r="K95" s="6" t="str">
        <f>"7.690,00"</f>
        <v>7.690,00</v>
      </c>
      <c r="L95" s="6" t="str">
        <f>"1.922,50"</f>
        <v>1.922,50</v>
      </c>
      <c r="M95" s="6" t="str">
        <f>"9.612,50"</f>
        <v>9.612,50</v>
      </c>
      <c r="N95" s="8" t="s">
        <v>255</v>
      </c>
      <c r="O95" s="7"/>
      <c r="P95" s="2" t="s">
        <v>5683</v>
      </c>
      <c r="Q95" s="7"/>
      <c r="R95" s="1"/>
      <c r="S95" s="1" t="str">
        <f>"1-22/NOS-165-B/17"</f>
        <v>1-22/NOS-165-B/17</v>
      </c>
      <c r="T95" s="1" t="s">
        <v>32</v>
      </c>
    </row>
    <row r="96" spans="1:20" ht="153" x14ac:dyDescent="0.25">
      <c r="A96" s="6">
        <v>93</v>
      </c>
      <c r="B96" s="1" t="str">
        <f t="shared" si="4"/>
        <v>2017-419</v>
      </c>
      <c r="C96" s="1" t="s">
        <v>264</v>
      </c>
      <c r="D96" s="1" t="s">
        <v>249</v>
      </c>
      <c r="E96" s="1" t="str">
        <f>""</f>
        <v/>
      </c>
      <c r="F96" s="1" t="s">
        <v>28</v>
      </c>
      <c r="G96" s="1" t="str">
        <f t="shared" si="5"/>
        <v>ID EKO D.O.O., POREČKA 11, 10000 ZAGREB, OIB: 72667678548</v>
      </c>
      <c r="H96" s="7"/>
      <c r="I96" s="8" t="s">
        <v>250</v>
      </c>
      <c r="J96" s="8" t="s">
        <v>256</v>
      </c>
      <c r="K96" s="6" t="str">
        <f>"4.940,00"</f>
        <v>4.940,00</v>
      </c>
      <c r="L96" s="6" t="str">
        <f>"0,00"</f>
        <v>0,00</v>
      </c>
      <c r="M96" s="6" t="str">
        <f>"4.940,00"</f>
        <v>4.940,00</v>
      </c>
      <c r="N96" s="8" t="s">
        <v>124</v>
      </c>
      <c r="O96" s="7"/>
      <c r="P96" s="2" t="s">
        <v>5614</v>
      </c>
      <c r="Q96" s="7"/>
      <c r="R96" s="1"/>
      <c r="S96" s="1" t="str">
        <f>"3-22/NOS-165-B/17"</f>
        <v>3-22/NOS-165-B/17</v>
      </c>
      <c r="T96" s="1" t="s">
        <v>32</v>
      </c>
    </row>
    <row r="97" spans="1:20" ht="140.25" x14ac:dyDescent="0.25">
      <c r="A97" s="6">
        <v>94</v>
      </c>
      <c r="B97" s="1" t="str">
        <f>"2018-1929"</f>
        <v>2018-1929</v>
      </c>
      <c r="C97" s="1" t="s">
        <v>266</v>
      </c>
      <c r="D97" s="1" t="s">
        <v>267</v>
      </c>
      <c r="E97" s="1" t="str">
        <f>"2018/S 0F2-0008517"</f>
        <v>2018/S 0F2-0008517</v>
      </c>
      <c r="F97" s="1" t="s">
        <v>22</v>
      </c>
      <c r="G97" s="1"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97" s="7"/>
      <c r="I97" s="8" t="s">
        <v>268</v>
      </c>
      <c r="J97" s="8" t="s">
        <v>269</v>
      </c>
      <c r="K97" s="6" t="str">
        <f>"1.600.000,00"</f>
        <v>1.600.000,00</v>
      </c>
      <c r="L97" s="6" t="str">
        <f>"400.000,00"</f>
        <v>400.000,00</v>
      </c>
      <c r="M97" s="6" t="str">
        <f>"2.000.000,00"</f>
        <v>2.000.000,00</v>
      </c>
      <c r="N97" s="8" t="s">
        <v>270</v>
      </c>
      <c r="O97" s="7"/>
      <c r="P97" s="2" t="s">
        <v>5614</v>
      </c>
      <c r="Q97" s="7"/>
      <c r="R97" s="1"/>
      <c r="S97" s="1" t="str">
        <f>"NOS-4/18"</f>
        <v>NOS-4/18</v>
      </c>
      <c r="T97" s="1" t="s">
        <v>86</v>
      </c>
    </row>
    <row r="98" spans="1:20" ht="63.75" x14ac:dyDescent="0.25">
      <c r="A98" s="6">
        <v>95</v>
      </c>
      <c r="B98" s="1" t="str">
        <f>"2018-1929"</f>
        <v>2018-1929</v>
      </c>
      <c r="C98" s="1" t="s">
        <v>266</v>
      </c>
      <c r="D98" s="1" t="s">
        <v>267</v>
      </c>
      <c r="E98" s="1" t="str">
        <f>""</f>
        <v/>
      </c>
      <c r="F98" s="1" t="s">
        <v>28</v>
      </c>
      <c r="G98" s="1" t="str">
        <f>CONCATENATE("OTIS DIZALA D.O.O.,"," PRILAZ VLADISLAVA BRAJKOVIĆA 15,"," 10000 ZAGREB,"," OIB: 76080865307")</f>
        <v>OTIS DIZALA D.O.O., PRILAZ VLADISLAVA BRAJKOVIĆA 15, 10000 ZAGREB, OIB: 76080865307</v>
      </c>
      <c r="H98" s="7"/>
      <c r="I98" s="8" t="s">
        <v>271</v>
      </c>
      <c r="J98" s="8" t="s">
        <v>53</v>
      </c>
      <c r="K98" s="6" t="str">
        <f>"208.720,00"</f>
        <v>208.720,00</v>
      </c>
      <c r="L98" s="6" t="str">
        <f>"52.180,00"</f>
        <v>52.180,00</v>
      </c>
      <c r="M98" s="6" t="str">
        <f>"260.900,00"</f>
        <v>260.900,00</v>
      </c>
      <c r="N98" s="8" t="s">
        <v>272</v>
      </c>
      <c r="O98" s="7"/>
      <c r="P98" s="2" t="s">
        <v>5684</v>
      </c>
      <c r="Q98" s="7"/>
      <c r="R98" s="1"/>
      <c r="S98" s="1" t="str">
        <f>"2-21/NOS-4/18"</f>
        <v>2-21/NOS-4/18</v>
      </c>
      <c r="T98" s="1" t="s">
        <v>86</v>
      </c>
    </row>
    <row r="99" spans="1:20" ht="63.75" x14ac:dyDescent="0.25">
      <c r="A99" s="6">
        <v>96</v>
      </c>
      <c r="B99" s="1" t="str">
        <f>"2018-1929"</f>
        <v>2018-1929</v>
      </c>
      <c r="C99" s="1" t="s">
        <v>266</v>
      </c>
      <c r="D99" s="1" t="s">
        <v>267</v>
      </c>
      <c r="E99" s="1" t="str">
        <f>""</f>
        <v/>
      </c>
      <c r="F99" s="1" t="s">
        <v>28</v>
      </c>
      <c r="G99" s="1" t="str">
        <f>CONCATENATE("OTIS DIZALA D.O.O.,"," PRILAZ VLADISLAVA BRAJKOVIĆA 15,"," 10000 ZAGREB,"," OIB: 76080865307")</f>
        <v>OTIS DIZALA D.O.O., PRILAZ VLADISLAVA BRAJKOVIĆA 15, 10000 ZAGREB, OIB: 76080865307</v>
      </c>
      <c r="H99" s="7"/>
      <c r="I99" s="8" t="s">
        <v>273</v>
      </c>
      <c r="J99" s="8" t="s">
        <v>123</v>
      </c>
      <c r="K99" s="6" t="str">
        <f>"139.840,00"</f>
        <v>139.840,00</v>
      </c>
      <c r="L99" s="6" t="str">
        <f>"34.960,00"</f>
        <v>34.960,00</v>
      </c>
      <c r="M99" s="6" t="str">
        <f>"174.800,00"</f>
        <v>174.800,00</v>
      </c>
      <c r="N99" s="8" t="s">
        <v>124</v>
      </c>
      <c r="O99" s="7"/>
      <c r="P99" s="2" t="s">
        <v>5614</v>
      </c>
      <c r="Q99" s="7"/>
      <c r="R99" s="1"/>
      <c r="S99" s="1" t="str">
        <f>"1-22/NOS-4/18"</f>
        <v>1-22/NOS-4/18</v>
      </c>
      <c r="T99" s="1" t="s">
        <v>86</v>
      </c>
    </row>
    <row r="100" spans="1:20" ht="63.75" x14ac:dyDescent="0.25">
      <c r="A100" s="6">
        <v>97</v>
      </c>
      <c r="B100" s="1" t="str">
        <f t="shared" ref="B100:B115" si="6">"2018-1146"</f>
        <v>2018-1146</v>
      </c>
      <c r="C100" s="1" t="s">
        <v>274</v>
      </c>
      <c r="D100" s="1" t="s">
        <v>275</v>
      </c>
      <c r="E100" s="1" t="str">
        <f>"2018/S 0F2-0011457"</f>
        <v>2018/S 0F2-0011457</v>
      </c>
      <c r="F100" s="1" t="s">
        <v>22</v>
      </c>
      <c r="G100" s="1" t="str">
        <f t="shared" ref="G100:G115" si="7">CONCATENATE("M-COM USLUGE D.O.O.,"," TRG KREŠIMIRA ĆOSIĆA 10,"," 10000 ZAGREB,"," OIB: 85546467214")</f>
        <v>M-COM USLUGE D.O.O., TRG KREŠIMIRA ĆOSIĆA 10, 10000 ZAGREB, OIB: 85546467214</v>
      </c>
      <c r="H100" s="7"/>
      <c r="I100" s="8" t="s">
        <v>276</v>
      </c>
      <c r="J100" s="8" t="s">
        <v>277</v>
      </c>
      <c r="K100" s="6" t="str">
        <f>"2.400.000,00"</f>
        <v>2.400.000,00</v>
      </c>
      <c r="L100" s="6" t="str">
        <f>"600.000,00"</f>
        <v>600.000,00</v>
      </c>
      <c r="M100" s="6" t="str">
        <f>"3.000.000,00"</f>
        <v>3.000.000,00</v>
      </c>
      <c r="N100" s="8" t="s">
        <v>278</v>
      </c>
      <c r="O100" s="7"/>
      <c r="P100" s="2" t="s">
        <v>5614</v>
      </c>
      <c r="Q100" s="7"/>
      <c r="R100" s="1"/>
      <c r="S100" s="1" t="str">
        <f>"NOS-9-A/18"</f>
        <v>NOS-9-A/18</v>
      </c>
      <c r="T100" s="1" t="s">
        <v>86</v>
      </c>
    </row>
    <row r="101" spans="1:20" ht="89.25" x14ac:dyDescent="0.25">
      <c r="A101" s="6">
        <v>98</v>
      </c>
      <c r="B101" s="1" t="str">
        <f t="shared" si="6"/>
        <v>2018-1146</v>
      </c>
      <c r="C101" s="1" t="s">
        <v>279</v>
      </c>
      <c r="D101" s="1" t="s">
        <v>275</v>
      </c>
      <c r="E101" s="1" t="str">
        <f>""</f>
        <v/>
      </c>
      <c r="F101" s="1" t="s">
        <v>28</v>
      </c>
      <c r="G101" s="1" t="str">
        <f t="shared" si="7"/>
        <v>M-COM USLUGE D.O.O., TRG KREŠIMIRA ĆOSIĆA 10, 10000 ZAGREB, OIB: 85546467214</v>
      </c>
      <c r="H101" s="7"/>
      <c r="I101" s="8" t="s">
        <v>280</v>
      </c>
      <c r="J101" s="8" t="s">
        <v>277</v>
      </c>
      <c r="K101" s="6" t="str">
        <f>"334.952,00"</f>
        <v>334.952,00</v>
      </c>
      <c r="L101" s="6" t="str">
        <f>"83.738,00"</f>
        <v>83.738,00</v>
      </c>
      <c r="M101" s="6" t="str">
        <f>"418.690,00"</f>
        <v>418.690,00</v>
      </c>
      <c r="N101" s="8" t="s">
        <v>281</v>
      </c>
      <c r="O101" s="7"/>
      <c r="P101" s="2" t="s">
        <v>5685</v>
      </c>
      <c r="Q101" s="7"/>
      <c r="R101" s="1"/>
      <c r="S101" s="1" t="str">
        <f>"5-21/NOS-9-A/18"</f>
        <v>5-21/NOS-9-A/18</v>
      </c>
      <c r="T101" s="1" t="s">
        <v>86</v>
      </c>
    </row>
    <row r="102" spans="1:20" ht="63.75" x14ac:dyDescent="0.25">
      <c r="A102" s="6">
        <v>99</v>
      </c>
      <c r="B102" s="1" t="str">
        <f t="shared" si="6"/>
        <v>2018-1146</v>
      </c>
      <c r="C102" s="1" t="s">
        <v>274</v>
      </c>
      <c r="D102" s="1" t="s">
        <v>275</v>
      </c>
      <c r="E102" s="1" t="str">
        <f>""</f>
        <v/>
      </c>
      <c r="F102" s="1" t="s">
        <v>28</v>
      </c>
      <c r="G102" s="1" t="str">
        <f t="shared" si="7"/>
        <v>M-COM USLUGE D.O.O., TRG KREŠIMIRA ĆOSIĆA 10, 10000 ZAGREB, OIB: 85546467214</v>
      </c>
      <c r="H102" s="7"/>
      <c r="I102" s="8" t="s">
        <v>258</v>
      </c>
      <c r="J102" s="8" t="s">
        <v>282</v>
      </c>
      <c r="K102" s="6" t="str">
        <f>"14.948,00"</f>
        <v>14.948,00</v>
      </c>
      <c r="L102" s="6" t="str">
        <f>"3.737,00"</f>
        <v>3.737,00</v>
      </c>
      <c r="M102" s="6" t="str">
        <f>"18.685,00"</f>
        <v>18.685,00</v>
      </c>
      <c r="N102" s="8" t="s">
        <v>242</v>
      </c>
      <c r="O102" s="7"/>
      <c r="P102" s="2" t="s">
        <v>5686</v>
      </c>
      <c r="Q102" s="7"/>
      <c r="R102" s="1"/>
      <c r="S102" s="1" t="str">
        <f>"1-22/NOS-9-A/18"</f>
        <v>1-22/NOS-9-A/18</v>
      </c>
      <c r="T102" s="1" t="s">
        <v>86</v>
      </c>
    </row>
    <row r="103" spans="1:20" ht="63.75" x14ac:dyDescent="0.25">
      <c r="A103" s="6">
        <v>100</v>
      </c>
      <c r="B103" s="1" t="str">
        <f t="shared" si="6"/>
        <v>2018-1146</v>
      </c>
      <c r="C103" s="1" t="s">
        <v>274</v>
      </c>
      <c r="D103" s="1" t="s">
        <v>275</v>
      </c>
      <c r="E103" s="1" t="str">
        <f>""</f>
        <v/>
      </c>
      <c r="F103" s="1" t="s">
        <v>28</v>
      </c>
      <c r="G103" s="1" t="str">
        <f t="shared" si="7"/>
        <v>M-COM USLUGE D.O.O., TRG KREŠIMIRA ĆOSIĆA 10, 10000 ZAGREB, OIB: 85546467214</v>
      </c>
      <c r="H103" s="7"/>
      <c r="I103" s="8" t="s">
        <v>258</v>
      </c>
      <c r="J103" s="8" t="s">
        <v>283</v>
      </c>
      <c r="K103" s="6" t="str">
        <f>"20.330,00"</f>
        <v>20.330,00</v>
      </c>
      <c r="L103" s="6" t="str">
        <f>"5.082,50"</f>
        <v>5.082,50</v>
      </c>
      <c r="M103" s="6" t="str">
        <f>"25.412,50"</f>
        <v>25.412,50</v>
      </c>
      <c r="N103" s="8" t="s">
        <v>242</v>
      </c>
      <c r="O103" s="7"/>
      <c r="P103" s="2" t="s">
        <v>5687</v>
      </c>
      <c r="Q103" s="7"/>
      <c r="R103" s="1"/>
      <c r="S103" s="1" t="str">
        <f>"2-22/NOS-9-A/18"</f>
        <v>2-22/NOS-9-A/18</v>
      </c>
      <c r="T103" s="1" t="s">
        <v>86</v>
      </c>
    </row>
    <row r="104" spans="1:20" ht="63.75" x14ac:dyDescent="0.25">
      <c r="A104" s="6">
        <v>101</v>
      </c>
      <c r="B104" s="1" t="str">
        <f t="shared" si="6"/>
        <v>2018-1146</v>
      </c>
      <c r="C104" s="1" t="s">
        <v>274</v>
      </c>
      <c r="D104" s="1" t="s">
        <v>275</v>
      </c>
      <c r="E104" s="1" t="str">
        <f>""</f>
        <v/>
      </c>
      <c r="F104" s="1" t="s">
        <v>28</v>
      </c>
      <c r="G104" s="1" t="str">
        <f t="shared" si="7"/>
        <v>M-COM USLUGE D.O.O., TRG KREŠIMIRA ĆOSIĆA 10, 10000 ZAGREB, OIB: 85546467214</v>
      </c>
      <c r="H104" s="7"/>
      <c r="I104" s="8" t="s">
        <v>260</v>
      </c>
      <c r="J104" s="8" t="s">
        <v>241</v>
      </c>
      <c r="K104" s="6" t="str">
        <f>"11.694,00"</f>
        <v>11.694,00</v>
      </c>
      <c r="L104" s="6" t="str">
        <f>"2.923,50"</f>
        <v>2.923,50</v>
      </c>
      <c r="M104" s="6" t="str">
        <f>"14.617,50"</f>
        <v>14.617,50</v>
      </c>
      <c r="N104" s="8" t="s">
        <v>284</v>
      </c>
      <c r="O104" s="7"/>
      <c r="P104" s="2" t="s">
        <v>5688</v>
      </c>
      <c r="Q104" s="7"/>
      <c r="R104" s="1"/>
      <c r="S104" s="1" t="str">
        <f>"3-22/NOS-9-A/18"</f>
        <v>3-22/NOS-9-A/18</v>
      </c>
      <c r="T104" s="1" t="s">
        <v>86</v>
      </c>
    </row>
    <row r="105" spans="1:20" ht="63.75" x14ac:dyDescent="0.25">
      <c r="A105" s="6">
        <v>102</v>
      </c>
      <c r="B105" s="1" t="str">
        <f t="shared" si="6"/>
        <v>2018-1146</v>
      </c>
      <c r="C105" s="1" t="s">
        <v>274</v>
      </c>
      <c r="D105" s="1" t="s">
        <v>275</v>
      </c>
      <c r="E105" s="1" t="str">
        <f>""</f>
        <v/>
      </c>
      <c r="F105" s="1" t="s">
        <v>28</v>
      </c>
      <c r="G105" s="1" t="str">
        <f t="shared" si="7"/>
        <v>M-COM USLUGE D.O.O., TRG KREŠIMIRA ĆOSIĆA 10, 10000 ZAGREB, OIB: 85546467214</v>
      </c>
      <c r="H105" s="7"/>
      <c r="I105" s="8" t="s">
        <v>238</v>
      </c>
      <c r="J105" s="8" t="s">
        <v>282</v>
      </c>
      <c r="K105" s="6" t="str">
        <f>"52.752,00"</f>
        <v>52.752,00</v>
      </c>
      <c r="L105" s="6" t="str">
        <f>"13.188,00"</f>
        <v>13.188,00</v>
      </c>
      <c r="M105" s="6" t="str">
        <f>"65.940,00"</f>
        <v>65.940,00</v>
      </c>
      <c r="N105" s="8" t="s">
        <v>285</v>
      </c>
      <c r="O105" s="7"/>
      <c r="P105" s="2" t="s">
        <v>5689</v>
      </c>
      <c r="Q105" s="7"/>
      <c r="R105" s="1"/>
      <c r="S105" s="1" t="str">
        <f>"4-22/NOS-9-A/18"</f>
        <v>4-22/NOS-9-A/18</v>
      </c>
      <c r="T105" s="1" t="s">
        <v>86</v>
      </c>
    </row>
    <row r="106" spans="1:20" ht="63.75" x14ac:dyDescent="0.25">
      <c r="A106" s="6">
        <v>103</v>
      </c>
      <c r="B106" s="1" t="str">
        <f t="shared" si="6"/>
        <v>2018-1146</v>
      </c>
      <c r="C106" s="1" t="s">
        <v>286</v>
      </c>
      <c r="D106" s="1" t="s">
        <v>275</v>
      </c>
      <c r="E106" s="1" t="str">
        <f>"2018/S 0F2-0011457"</f>
        <v>2018/S 0F2-0011457</v>
      </c>
      <c r="F106" s="1" t="s">
        <v>22</v>
      </c>
      <c r="G106" s="1" t="str">
        <f t="shared" si="7"/>
        <v>M-COM USLUGE D.O.O., TRG KREŠIMIRA ĆOSIĆA 10, 10000 ZAGREB, OIB: 85546467214</v>
      </c>
      <c r="H106" s="7"/>
      <c r="I106" s="8" t="s">
        <v>276</v>
      </c>
      <c r="J106" s="8" t="s">
        <v>169</v>
      </c>
      <c r="K106" s="6" t="str">
        <f>"1.800.000,00"</f>
        <v>1.800.000,00</v>
      </c>
      <c r="L106" s="6" t="str">
        <f>"450.000,00"</f>
        <v>450.000,00</v>
      </c>
      <c r="M106" s="6" t="str">
        <f>"2.250.000,00"</f>
        <v>2.250.000,00</v>
      </c>
      <c r="N106" s="8" t="s">
        <v>287</v>
      </c>
      <c r="O106" s="7"/>
      <c r="P106" s="2" t="s">
        <v>5614</v>
      </c>
      <c r="Q106" s="7"/>
      <c r="R106" s="1"/>
      <c r="S106" s="1" t="str">
        <f>"NOS-9-B/18"</f>
        <v>NOS-9-B/18</v>
      </c>
      <c r="T106" s="1" t="s">
        <v>86</v>
      </c>
    </row>
    <row r="107" spans="1:20" ht="89.25" x14ac:dyDescent="0.25">
      <c r="A107" s="6">
        <v>104</v>
      </c>
      <c r="B107" s="1" t="str">
        <f t="shared" si="6"/>
        <v>2018-1146</v>
      </c>
      <c r="C107" s="1" t="s">
        <v>289</v>
      </c>
      <c r="D107" s="1" t="s">
        <v>275</v>
      </c>
      <c r="E107" s="1" t="str">
        <f>""</f>
        <v/>
      </c>
      <c r="F107" s="1" t="s">
        <v>28</v>
      </c>
      <c r="G107" s="1" t="str">
        <f t="shared" si="7"/>
        <v>M-COM USLUGE D.O.O., TRG KREŠIMIRA ĆOSIĆA 10, 10000 ZAGREB, OIB: 85546467214</v>
      </c>
      <c r="H107" s="7"/>
      <c r="I107" s="8" t="s">
        <v>280</v>
      </c>
      <c r="J107" s="8" t="s">
        <v>277</v>
      </c>
      <c r="K107" s="6" t="str">
        <f>"187.754,00"</f>
        <v>187.754,00</v>
      </c>
      <c r="L107" s="6" t="str">
        <f>"46.938,50"</f>
        <v>46.938,50</v>
      </c>
      <c r="M107" s="6" t="str">
        <f>"234.692,50"</f>
        <v>234.692,50</v>
      </c>
      <c r="N107" s="8" t="s">
        <v>281</v>
      </c>
      <c r="O107" s="7"/>
      <c r="P107" s="2" t="s">
        <v>5690</v>
      </c>
      <c r="Q107" s="7"/>
      <c r="R107" s="1"/>
      <c r="S107" s="1" t="str">
        <f>"1-21/NOS-9-B/18"</f>
        <v>1-21/NOS-9-B/18</v>
      </c>
      <c r="T107" s="1" t="s">
        <v>86</v>
      </c>
    </row>
    <row r="108" spans="1:20" ht="63.75" x14ac:dyDescent="0.25">
      <c r="A108" s="6">
        <v>105</v>
      </c>
      <c r="B108" s="1" t="str">
        <f t="shared" si="6"/>
        <v>2018-1146</v>
      </c>
      <c r="C108" s="1" t="s">
        <v>286</v>
      </c>
      <c r="D108" s="1" t="s">
        <v>275</v>
      </c>
      <c r="E108" s="1" t="str">
        <f>""</f>
        <v/>
      </c>
      <c r="F108" s="1" t="s">
        <v>28</v>
      </c>
      <c r="G108" s="1" t="str">
        <f t="shared" si="7"/>
        <v>M-COM USLUGE D.O.O., TRG KREŠIMIRA ĆOSIĆA 10, 10000 ZAGREB, OIB: 85546467214</v>
      </c>
      <c r="H108" s="7"/>
      <c r="I108" s="8" t="s">
        <v>258</v>
      </c>
      <c r="J108" s="8" t="s">
        <v>290</v>
      </c>
      <c r="K108" s="6" t="str">
        <f>"3.438,75"</f>
        <v>3.438,75</v>
      </c>
      <c r="L108" s="6" t="str">
        <f>"859,69"</f>
        <v>859,69</v>
      </c>
      <c r="M108" s="6" t="str">
        <f>"4.298,44"</f>
        <v>4.298,44</v>
      </c>
      <c r="N108" s="8" t="s">
        <v>242</v>
      </c>
      <c r="O108" s="7"/>
      <c r="P108" s="2" t="s">
        <v>5691</v>
      </c>
      <c r="Q108" s="7"/>
      <c r="R108" s="1"/>
      <c r="S108" s="1" t="str">
        <f>"1-22/NOS-9-B/18"</f>
        <v>1-22/NOS-9-B/18</v>
      </c>
      <c r="T108" s="1" t="s">
        <v>86</v>
      </c>
    </row>
    <row r="109" spans="1:20" ht="63.75" x14ac:dyDescent="0.25">
      <c r="A109" s="6">
        <v>106</v>
      </c>
      <c r="B109" s="1" t="str">
        <f t="shared" si="6"/>
        <v>2018-1146</v>
      </c>
      <c r="C109" s="1" t="s">
        <v>286</v>
      </c>
      <c r="D109" s="1" t="s">
        <v>275</v>
      </c>
      <c r="E109" s="1" t="str">
        <f>""</f>
        <v/>
      </c>
      <c r="F109" s="1" t="s">
        <v>28</v>
      </c>
      <c r="G109" s="1" t="str">
        <f t="shared" si="7"/>
        <v>M-COM USLUGE D.O.O., TRG KREŠIMIRA ĆOSIĆA 10, 10000 ZAGREB, OIB: 85546467214</v>
      </c>
      <c r="H109" s="7"/>
      <c r="I109" s="8" t="s">
        <v>291</v>
      </c>
      <c r="J109" s="8" t="s">
        <v>292</v>
      </c>
      <c r="K109" s="6" t="str">
        <f>"3.338,20"</f>
        <v>3.338,20</v>
      </c>
      <c r="L109" s="6" t="str">
        <f>"834,55"</f>
        <v>834,55</v>
      </c>
      <c r="M109" s="6" t="str">
        <f>"4.172,75"</f>
        <v>4.172,75</v>
      </c>
      <c r="N109" s="8" t="s">
        <v>272</v>
      </c>
      <c r="O109" s="7"/>
      <c r="P109" s="2" t="s">
        <v>5692</v>
      </c>
      <c r="Q109" s="7"/>
      <c r="R109" s="1"/>
      <c r="S109" s="1" t="str">
        <f>"2-22/NOS-9-B/18"</f>
        <v>2-22/NOS-9-B/18</v>
      </c>
      <c r="T109" s="1" t="s">
        <v>86</v>
      </c>
    </row>
    <row r="110" spans="1:20" ht="63.75" x14ac:dyDescent="0.25">
      <c r="A110" s="6">
        <v>107</v>
      </c>
      <c r="B110" s="1" t="str">
        <f t="shared" si="6"/>
        <v>2018-1146</v>
      </c>
      <c r="C110" s="1" t="s">
        <v>286</v>
      </c>
      <c r="D110" s="1" t="s">
        <v>275</v>
      </c>
      <c r="E110" s="1" t="str">
        <f>""</f>
        <v/>
      </c>
      <c r="F110" s="1" t="s">
        <v>28</v>
      </c>
      <c r="G110" s="1" t="str">
        <f t="shared" si="7"/>
        <v>M-COM USLUGE D.O.O., TRG KREŠIMIRA ĆOSIĆA 10, 10000 ZAGREB, OIB: 85546467214</v>
      </c>
      <c r="H110" s="7"/>
      <c r="I110" s="8" t="s">
        <v>293</v>
      </c>
      <c r="J110" s="8" t="s">
        <v>292</v>
      </c>
      <c r="K110" s="6" t="str">
        <f>"25.978,80"</f>
        <v>25.978,80</v>
      </c>
      <c r="L110" s="6" t="str">
        <f>"2.183,90"</f>
        <v>2.183,90</v>
      </c>
      <c r="M110" s="6" t="str">
        <f>"28.162,70"</f>
        <v>28.162,70</v>
      </c>
      <c r="N110" s="8" t="s">
        <v>281</v>
      </c>
      <c r="O110" s="7"/>
      <c r="P110" s="2" t="s">
        <v>5693</v>
      </c>
      <c r="Q110" s="7"/>
      <c r="R110" s="1"/>
      <c r="S110" s="1" t="str">
        <f>"3-22/NOS-9-B/18"</f>
        <v>3-22/NOS-9-B/18</v>
      </c>
      <c r="T110" s="1" t="s">
        <v>86</v>
      </c>
    </row>
    <row r="111" spans="1:20" ht="63.75" x14ac:dyDescent="0.25">
      <c r="A111" s="6">
        <v>108</v>
      </c>
      <c r="B111" s="1" t="str">
        <f t="shared" si="6"/>
        <v>2018-1146</v>
      </c>
      <c r="C111" s="1" t="s">
        <v>286</v>
      </c>
      <c r="D111" s="1" t="s">
        <v>275</v>
      </c>
      <c r="E111" s="1" t="str">
        <f>""</f>
        <v/>
      </c>
      <c r="F111" s="1" t="s">
        <v>28</v>
      </c>
      <c r="G111" s="1" t="str">
        <f t="shared" si="7"/>
        <v>M-COM USLUGE D.O.O., TRG KREŠIMIRA ĆOSIĆA 10, 10000 ZAGREB, OIB: 85546467214</v>
      </c>
      <c r="H111" s="7"/>
      <c r="I111" s="8" t="s">
        <v>238</v>
      </c>
      <c r="J111" s="8" t="s">
        <v>282</v>
      </c>
      <c r="K111" s="6" t="str">
        <f>"30.964,00"</f>
        <v>30.964,00</v>
      </c>
      <c r="L111" s="6" t="str">
        <f>"7.741,00"</f>
        <v>7.741,00</v>
      </c>
      <c r="M111" s="6" t="str">
        <f>"38.705,00"</f>
        <v>38.705,00</v>
      </c>
      <c r="N111" s="8" t="s">
        <v>285</v>
      </c>
      <c r="O111" s="7"/>
      <c r="P111" s="2" t="s">
        <v>5694</v>
      </c>
      <c r="Q111" s="7"/>
      <c r="R111" s="1"/>
      <c r="S111" s="1" t="str">
        <f>"4-22/NOS-9-B/18"</f>
        <v>4-22/NOS-9-B/18</v>
      </c>
      <c r="T111" s="1" t="s">
        <v>86</v>
      </c>
    </row>
    <row r="112" spans="1:20" ht="51" x14ac:dyDescent="0.25">
      <c r="A112" s="6">
        <v>109</v>
      </c>
      <c r="B112" s="1" t="str">
        <f t="shared" si="6"/>
        <v>2018-1146</v>
      </c>
      <c r="C112" s="1" t="s">
        <v>294</v>
      </c>
      <c r="D112" s="1" t="s">
        <v>275</v>
      </c>
      <c r="E112" s="1" t="str">
        <f>"2018/S 0F2-0011457"</f>
        <v>2018/S 0F2-0011457</v>
      </c>
      <c r="F112" s="1" t="s">
        <v>22</v>
      </c>
      <c r="G112" s="1" t="str">
        <f t="shared" si="7"/>
        <v>M-COM USLUGE D.O.O., TRG KREŠIMIRA ĆOSIĆA 10, 10000 ZAGREB, OIB: 85546467214</v>
      </c>
      <c r="H112" s="7"/>
      <c r="I112" s="8" t="s">
        <v>276</v>
      </c>
      <c r="J112" s="8" t="s">
        <v>277</v>
      </c>
      <c r="K112" s="6" t="str">
        <f>"1.000.000,00"</f>
        <v>1.000.000,00</v>
      </c>
      <c r="L112" s="6" t="str">
        <f>"250.000,00"</f>
        <v>250.000,00</v>
      </c>
      <c r="M112" s="6" t="str">
        <f>"1.250.000,00"</f>
        <v>1.250.000,00</v>
      </c>
      <c r="N112" s="8" t="s">
        <v>278</v>
      </c>
      <c r="O112" s="7"/>
      <c r="P112" s="2" t="s">
        <v>5614</v>
      </c>
      <c r="Q112" s="7"/>
      <c r="R112" s="1"/>
      <c r="S112" s="1" t="str">
        <f>"NOS-9-C/18"</f>
        <v>NOS-9-C/18</v>
      </c>
      <c r="T112" s="1" t="s">
        <v>86</v>
      </c>
    </row>
    <row r="113" spans="1:20" ht="63.75" x14ac:dyDescent="0.25">
      <c r="A113" s="6">
        <v>110</v>
      </c>
      <c r="B113" s="1" t="str">
        <f t="shared" si="6"/>
        <v>2018-1146</v>
      </c>
      <c r="C113" s="1" t="s">
        <v>295</v>
      </c>
      <c r="D113" s="1" t="s">
        <v>275</v>
      </c>
      <c r="E113" s="1" t="str">
        <f>""</f>
        <v/>
      </c>
      <c r="F113" s="1" t="s">
        <v>28</v>
      </c>
      <c r="G113" s="1" t="str">
        <f t="shared" si="7"/>
        <v>M-COM USLUGE D.O.O., TRG KREŠIMIRA ĆOSIĆA 10, 10000 ZAGREB, OIB: 85546467214</v>
      </c>
      <c r="H113" s="7"/>
      <c r="I113" s="8" t="s">
        <v>280</v>
      </c>
      <c r="J113" s="8" t="s">
        <v>277</v>
      </c>
      <c r="K113" s="6" t="str">
        <f>"151.500,00"</f>
        <v>151.500,00</v>
      </c>
      <c r="L113" s="6" t="str">
        <f>"37.875,00"</f>
        <v>37.875,00</v>
      </c>
      <c r="M113" s="6" t="str">
        <f>"189.375,00"</f>
        <v>189.375,00</v>
      </c>
      <c r="N113" s="8" t="s">
        <v>281</v>
      </c>
      <c r="O113" s="7"/>
      <c r="P113" s="2" t="s">
        <v>5695</v>
      </c>
      <c r="Q113" s="7"/>
      <c r="R113" s="1"/>
      <c r="S113" s="1" t="str">
        <f>"1-21/NOS-9-C/18"</f>
        <v>1-21/NOS-9-C/18</v>
      </c>
      <c r="T113" s="1" t="s">
        <v>86</v>
      </c>
    </row>
    <row r="114" spans="1:20" ht="51" x14ac:dyDescent="0.25">
      <c r="A114" s="6">
        <v>111</v>
      </c>
      <c r="B114" s="1" t="str">
        <f t="shared" si="6"/>
        <v>2018-1146</v>
      </c>
      <c r="C114" s="1" t="s">
        <v>294</v>
      </c>
      <c r="D114" s="1" t="s">
        <v>275</v>
      </c>
      <c r="E114" s="1" t="str">
        <f>""</f>
        <v/>
      </c>
      <c r="F114" s="1" t="s">
        <v>28</v>
      </c>
      <c r="G114" s="1" t="str">
        <f t="shared" si="7"/>
        <v>M-COM USLUGE D.O.O., TRG KREŠIMIRA ĆOSIĆA 10, 10000 ZAGREB, OIB: 85546467214</v>
      </c>
      <c r="H114" s="7"/>
      <c r="I114" s="8" t="s">
        <v>296</v>
      </c>
      <c r="J114" s="8" t="s">
        <v>241</v>
      </c>
      <c r="K114" s="6" t="str">
        <f>"11.622,50"</f>
        <v>11.622,50</v>
      </c>
      <c r="L114" s="6" t="str">
        <f>"2.905,63"</f>
        <v>2.905,63</v>
      </c>
      <c r="M114" s="6" t="str">
        <f>"14.528,13"</f>
        <v>14.528,13</v>
      </c>
      <c r="N114" s="8" t="s">
        <v>284</v>
      </c>
      <c r="O114" s="7"/>
      <c r="P114" s="2" t="s">
        <v>5696</v>
      </c>
      <c r="Q114" s="7"/>
      <c r="R114" s="1"/>
      <c r="S114" s="1" t="str">
        <f>"1-22/NOS-9-C/18"</f>
        <v>1-22/NOS-9-C/18</v>
      </c>
      <c r="T114" s="1" t="s">
        <v>86</v>
      </c>
    </row>
    <row r="115" spans="1:20" ht="51" x14ac:dyDescent="0.25">
      <c r="A115" s="6">
        <v>112</v>
      </c>
      <c r="B115" s="1" t="str">
        <f t="shared" si="6"/>
        <v>2018-1146</v>
      </c>
      <c r="C115" s="1" t="s">
        <v>294</v>
      </c>
      <c r="D115" s="1" t="s">
        <v>275</v>
      </c>
      <c r="E115" s="1" t="str">
        <f>""</f>
        <v/>
      </c>
      <c r="F115" s="1" t="s">
        <v>28</v>
      </c>
      <c r="G115" s="1" t="str">
        <f t="shared" si="7"/>
        <v>M-COM USLUGE D.O.O., TRG KREŠIMIRA ĆOSIĆA 10, 10000 ZAGREB, OIB: 85546467214</v>
      </c>
      <c r="H115" s="7"/>
      <c r="I115" s="8" t="s">
        <v>238</v>
      </c>
      <c r="J115" s="8" t="s">
        <v>282</v>
      </c>
      <c r="K115" s="6" t="str">
        <f>"24.800,00"</f>
        <v>24.800,00</v>
      </c>
      <c r="L115" s="6" t="str">
        <f>"6.200,00"</f>
        <v>6.200,00</v>
      </c>
      <c r="M115" s="6" t="str">
        <f>"31.000,00"</f>
        <v>31.000,00</v>
      </c>
      <c r="N115" s="8" t="s">
        <v>285</v>
      </c>
      <c r="O115" s="7"/>
      <c r="P115" s="2" t="s">
        <v>5697</v>
      </c>
      <c r="Q115" s="7"/>
      <c r="R115" s="1"/>
      <c r="S115" s="1" t="str">
        <f>"2-22/NOS-9-C/18"</f>
        <v>2-22/NOS-9-C/18</v>
      </c>
      <c r="T115" s="1" t="s">
        <v>86</v>
      </c>
    </row>
    <row r="116" spans="1:20" ht="409.5" x14ac:dyDescent="0.25">
      <c r="A116" s="6">
        <v>113</v>
      </c>
      <c r="B116" s="1" t="str">
        <f t="shared" ref="B116:B147" si="8">"2018-2772"</f>
        <v>2018-2772</v>
      </c>
      <c r="C116" s="1" t="s">
        <v>297</v>
      </c>
      <c r="D116" s="1" t="s">
        <v>298</v>
      </c>
      <c r="E116" s="1" t="str">
        <f>"2018/S 0F2-0016776"</f>
        <v>2018/S 0F2-0016776</v>
      </c>
      <c r="F116" s="1" t="s">
        <v>22</v>
      </c>
      <c r="G116" s="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16"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16" s="8" t="s">
        <v>299</v>
      </c>
      <c r="J116" s="8" t="s">
        <v>300</v>
      </c>
      <c r="K116" s="6" t="str">
        <f>"12.500.000,00"</f>
        <v>12.500.000,00</v>
      </c>
      <c r="L116" s="6" t="str">
        <f>"3.125.000,00"</f>
        <v>3.125.000,00</v>
      </c>
      <c r="M116" s="6" t="str">
        <f>"15.625.000,00"</f>
        <v>15.625.000,00</v>
      </c>
      <c r="N116" s="8" t="s">
        <v>301</v>
      </c>
      <c r="O116" s="7"/>
      <c r="P116" s="2" t="s">
        <v>5614</v>
      </c>
      <c r="Q116" s="7"/>
      <c r="R116" s="1"/>
      <c r="S116" s="1" t="str">
        <f>"NOS-39-A/18"</f>
        <v>NOS-39-A/18</v>
      </c>
      <c r="T116" s="1" t="s">
        <v>32</v>
      </c>
    </row>
    <row r="117" spans="1:20" ht="114.75" x14ac:dyDescent="0.25">
      <c r="A117" s="6">
        <v>114</v>
      </c>
      <c r="B117" s="1" t="str">
        <f t="shared" si="8"/>
        <v>2018-2772</v>
      </c>
      <c r="C117" s="1" t="s">
        <v>302</v>
      </c>
      <c r="D117" s="1" t="s">
        <v>303</v>
      </c>
      <c r="E117" s="1" t="str">
        <f>""</f>
        <v/>
      </c>
      <c r="F117" s="1" t="s">
        <v>28</v>
      </c>
      <c r="G117" s="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17" s="7"/>
      <c r="I117" s="8" t="s">
        <v>190</v>
      </c>
      <c r="J117" s="8" t="s">
        <v>259</v>
      </c>
      <c r="K117" s="6" t="str">
        <f>"2.333.974,00"</f>
        <v>2.333.974,00</v>
      </c>
      <c r="L117" s="6" t="str">
        <f>"583.493,50"</f>
        <v>583.493,50</v>
      </c>
      <c r="M117" s="6" t="str">
        <f>"2.917.467,50"</f>
        <v>2.917.467,50</v>
      </c>
      <c r="N117" s="8" t="s">
        <v>250</v>
      </c>
      <c r="O117" s="7"/>
      <c r="P117" s="2" t="s">
        <v>5698</v>
      </c>
      <c r="Q117" s="7"/>
      <c r="R117" s="1"/>
      <c r="S117" s="1" t="str">
        <f>"1-21/NOS-39-A/18"</f>
        <v>1-21/NOS-39-A/18</v>
      </c>
      <c r="T117" s="1" t="s">
        <v>32</v>
      </c>
    </row>
    <row r="118" spans="1:20" ht="114.75" x14ac:dyDescent="0.25">
      <c r="A118" s="6">
        <v>115</v>
      </c>
      <c r="B118" s="1" t="str">
        <f t="shared" si="8"/>
        <v>2018-2772</v>
      </c>
      <c r="C118" s="1" t="s">
        <v>304</v>
      </c>
      <c r="D118" s="1" t="s">
        <v>303</v>
      </c>
      <c r="E118" s="1" t="str">
        <f>""</f>
        <v/>
      </c>
      <c r="F118" s="1" t="s">
        <v>28</v>
      </c>
      <c r="G118" s="1"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18" s="7"/>
      <c r="I118" s="8" t="s">
        <v>54</v>
      </c>
      <c r="J118" s="8" t="s">
        <v>305</v>
      </c>
      <c r="K118" s="6" t="str">
        <f>"2.352.950,00"</f>
        <v>2.352.950,00</v>
      </c>
      <c r="L118" s="6" t="str">
        <f>"588.237,50"</f>
        <v>588.237,50</v>
      </c>
      <c r="M118" s="6" t="str">
        <f>"2.941.187,50"</f>
        <v>2.941.187,50</v>
      </c>
      <c r="N118" s="8" t="s">
        <v>124</v>
      </c>
      <c r="O118" s="7"/>
      <c r="P118" s="2" t="s">
        <v>5699</v>
      </c>
      <c r="Q118" s="7"/>
      <c r="R118" s="1"/>
      <c r="S118" s="1" t="str">
        <f>"1-22/NOS-39-A/18"</f>
        <v>1-22/NOS-39-A/18</v>
      </c>
      <c r="T118" s="1" t="s">
        <v>32</v>
      </c>
    </row>
    <row r="119" spans="1:20" ht="409.5" x14ac:dyDescent="0.25">
      <c r="A119" s="6">
        <v>116</v>
      </c>
      <c r="B119" s="1" t="str">
        <f t="shared" si="8"/>
        <v>2018-2772</v>
      </c>
      <c r="C119" s="1" t="s">
        <v>306</v>
      </c>
      <c r="D119" s="1" t="s">
        <v>298</v>
      </c>
      <c r="E119" s="1" t="str">
        <f>"2018/S 0F2-0016776"</f>
        <v>2018/S 0F2-0016776</v>
      </c>
      <c r="F119" s="1" t="s">
        <v>22</v>
      </c>
      <c r="G119" s="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19"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19" s="8" t="s">
        <v>299</v>
      </c>
      <c r="J119" s="8" t="s">
        <v>300</v>
      </c>
      <c r="K119" s="6" t="str">
        <f>"11.000.000,00"</f>
        <v>11.000.000,00</v>
      </c>
      <c r="L119" s="6" t="str">
        <f>"2.750.000,00"</f>
        <v>2.750.000,00</v>
      </c>
      <c r="M119" s="6" t="str">
        <f>"13.750.000,00"</f>
        <v>13.750.000,00</v>
      </c>
      <c r="N119" s="8" t="s">
        <v>301</v>
      </c>
      <c r="O119" s="7"/>
      <c r="P119" s="2" t="s">
        <v>5614</v>
      </c>
      <c r="Q119" s="7"/>
      <c r="R119" s="1"/>
      <c r="S119" s="1" t="str">
        <f>"NOS-39-C/18"</f>
        <v>NOS-39-C/18</v>
      </c>
      <c r="T119" s="1" t="s">
        <v>32</v>
      </c>
    </row>
    <row r="120" spans="1:20" ht="127.5" x14ac:dyDescent="0.25">
      <c r="A120" s="6">
        <v>117</v>
      </c>
      <c r="B120" s="1" t="str">
        <f t="shared" si="8"/>
        <v>2018-2772</v>
      </c>
      <c r="C120" s="1" t="s">
        <v>307</v>
      </c>
      <c r="D120" s="1" t="s">
        <v>303</v>
      </c>
      <c r="E120" s="1" t="str">
        <f>""</f>
        <v/>
      </c>
      <c r="F120" s="1" t="s">
        <v>28</v>
      </c>
      <c r="G120" s="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20" s="7"/>
      <c r="I120" s="8" t="s">
        <v>190</v>
      </c>
      <c r="J120" s="8" t="s">
        <v>259</v>
      </c>
      <c r="K120" s="6" t="str">
        <f>"2.073.880,00"</f>
        <v>2.073.880,00</v>
      </c>
      <c r="L120" s="6" t="str">
        <f>"518.470,00"</f>
        <v>518.470,00</v>
      </c>
      <c r="M120" s="6" t="str">
        <f>"2.592.350,00"</f>
        <v>2.592.350,00</v>
      </c>
      <c r="N120" s="8" t="s">
        <v>308</v>
      </c>
      <c r="O120" s="7"/>
      <c r="P120" s="2" t="s">
        <v>5700</v>
      </c>
      <c r="Q120" s="7"/>
      <c r="R120" s="1"/>
      <c r="S120" s="1" t="str">
        <f>"1-21/NOS-39-C/18"</f>
        <v>1-21/NOS-39-C/18</v>
      </c>
      <c r="T120" s="1" t="s">
        <v>32</v>
      </c>
    </row>
    <row r="121" spans="1:20" ht="127.5" x14ac:dyDescent="0.25">
      <c r="A121" s="6">
        <v>118</v>
      </c>
      <c r="B121" s="1" t="str">
        <f t="shared" si="8"/>
        <v>2018-2772</v>
      </c>
      <c r="C121" s="1" t="s">
        <v>309</v>
      </c>
      <c r="D121" s="1" t="s">
        <v>303</v>
      </c>
      <c r="E121" s="1" t="str">
        <f>""</f>
        <v/>
      </c>
      <c r="F121" s="1" t="s">
        <v>28</v>
      </c>
      <c r="G121" s="1"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21" s="7"/>
      <c r="I121" s="8" t="s">
        <v>310</v>
      </c>
      <c r="J121" s="8" t="s">
        <v>305</v>
      </c>
      <c r="K121" s="6" t="str">
        <f>"2.399.880,00"</f>
        <v>2.399.880,00</v>
      </c>
      <c r="L121" s="6" t="str">
        <f>"599.970,00"</f>
        <v>599.970,00</v>
      </c>
      <c r="M121" s="6" t="str">
        <f>"2.999.850,00"</f>
        <v>2.999.850,00</v>
      </c>
      <c r="N121" s="8" t="s">
        <v>124</v>
      </c>
      <c r="O121" s="7"/>
      <c r="P121" s="2" t="s">
        <v>5701</v>
      </c>
      <c r="Q121" s="7"/>
      <c r="R121" s="1"/>
      <c r="S121" s="1" t="str">
        <f>"1-22/NOS-39-C/18"</f>
        <v>1-22/NOS-39-C/18</v>
      </c>
      <c r="T121" s="1" t="s">
        <v>32</v>
      </c>
    </row>
    <row r="122" spans="1:20" ht="409.5" x14ac:dyDescent="0.25">
      <c r="A122" s="6">
        <v>119</v>
      </c>
      <c r="B122" s="1" t="str">
        <f t="shared" si="8"/>
        <v>2018-2772</v>
      </c>
      <c r="C122" s="1" t="s">
        <v>311</v>
      </c>
      <c r="D122" s="1" t="s">
        <v>298</v>
      </c>
      <c r="E122" s="1" t="str">
        <f>"2018/S 0F2-0016776"</f>
        <v>2018/S 0F2-0016776</v>
      </c>
      <c r="F122" s="1" t="s">
        <v>22</v>
      </c>
      <c r="G122" s="1" t="str">
        <f>CONCATENATE("PMB-BAUTRANS D.O.O.,"," VARAŽDINSKA 48,"," 10363 BELOVAR,"," OIB: 50021390192")</f>
        <v>PMB-BAUTRANS D.O.O., VARAŽDINSKA 48, 10363 BELOVAR, OIB: 50021390192</v>
      </c>
      <c r="H122"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22" s="8" t="s">
        <v>299</v>
      </c>
      <c r="J122" s="8" t="s">
        <v>300</v>
      </c>
      <c r="K122" s="6" t="str">
        <f>"11.000.000,00"</f>
        <v>11.000.000,00</v>
      </c>
      <c r="L122" s="6" t="str">
        <f>"2.750.000,00"</f>
        <v>2.750.000,00</v>
      </c>
      <c r="M122" s="6" t="str">
        <f>"13.750.000,00"</f>
        <v>13.750.000,00</v>
      </c>
      <c r="N122" s="8" t="s">
        <v>301</v>
      </c>
      <c r="O122" s="7"/>
      <c r="P122" s="2" t="s">
        <v>5614</v>
      </c>
      <c r="Q122" s="7"/>
      <c r="R122" s="1"/>
      <c r="S122" s="1" t="str">
        <f>"NOS-39-D/18"</f>
        <v>NOS-39-D/18</v>
      </c>
      <c r="T122" s="1" t="s">
        <v>32</v>
      </c>
    </row>
    <row r="123" spans="1:20" ht="63.75" x14ac:dyDescent="0.25">
      <c r="A123" s="6">
        <v>120</v>
      </c>
      <c r="B123" s="1" t="str">
        <f t="shared" si="8"/>
        <v>2018-2772</v>
      </c>
      <c r="C123" s="1" t="s">
        <v>312</v>
      </c>
      <c r="D123" s="1" t="s">
        <v>303</v>
      </c>
      <c r="E123" s="1" t="str">
        <f>""</f>
        <v/>
      </c>
      <c r="F123" s="1" t="s">
        <v>28</v>
      </c>
      <c r="G123" s="1" t="str">
        <f>CONCATENATE("PMB-BAUTRANS D.O.O.,"," VARAŽDINSKA 48,"," 10363 BELOVAR,"," OIB: 50021390192")</f>
        <v>PMB-BAUTRANS D.O.O., VARAŽDINSKA 48, 10363 BELOVAR, OIB: 50021390192</v>
      </c>
      <c r="H123" s="7"/>
      <c r="I123" s="8" t="s">
        <v>313</v>
      </c>
      <c r="J123" s="8" t="s">
        <v>259</v>
      </c>
      <c r="K123" s="6" t="str">
        <f>"2.022.870,00"</f>
        <v>2.022.870,00</v>
      </c>
      <c r="L123" s="6" t="str">
        <f>"505.717,50"</f>
        <v>505.717,50</v>
      </c>
      <c r="M123" s="6" t="str">
        <f>"2.528.587,50"</f>
        <v>2.528.587,50</v>
      </c>
      <c r="N123" s="8" t="s">
        <v>261</v>
      </c>
      <c r="O123" s="7"/>
      <c r="P123" s="2" t="s">
        <v>5702</v>
      </c>
      <c r="Q123" s="7"/>
      <c r="R123" s="1"/>
      <c r="S123" s="1" t="str">
        <f>"1-21/NOS-39-D/18"</f>
        <v>1-21/NOS-39-D/18</v>
      </c>
      <c r="T123" s="1" t="s">
        <v>32</v>
      </c>
    </row>
    <row r="124" spans="1:20" ht="63.75" x14ac:dyDescent="0.25">
      <c r="A124" s="6">
        <v>121</v>
      </c>
      <c r="B124" s="1" t="str">
        <f t="shared" si="8"/>
        <v>2018-2772</v>
      </c>
      <c r="C124" s="1" t="s">
        <v>314</v>
      </c>
      <c r="D124" s="1" t="s">
        <v>303</v>
      </c>
      <c r="E124" s="1" t="str">
        <f>""</f>
        <v/>
      </c>
      <c r="F124" s="1" t="s">
        <v>28</v>
      </c>
      <c r="G124" s="1" t="str">
        <f>CONCATENATE("PMB-BAUTRANS D.O.O.,"," VARAŽDINSKA 48,"," 10363 BELOVAR,"," OIB: 50021390192")</f>
        <v>PMB-BAUTRANS D.O.O., VARAŽDINSKA 48, 10363 BELOVAR, OIB: 50021390192</v>
      </c>
      <c r="H124" s="7"/>
      <c r="I124" s="8" t="s">
        <v>190</v>
      </c>
      <c r="J124" s="8" t="s">
        <v>259</v>
      </c>
      <c r="K124" s="6" t="str">
        <f>"198.990,00"</f>
        <v>198.990,00</v>
      </c>
      <c r="L124" s="6" t="str">
        <f>"49.747,50"</f>
        <v>49.747,50</v>
      </c>
      <c r="M124" s="6" t="str">
        <f>"248.737,50"</f>
        <v>248.737,50</v>
      </c>
      <c r="N124" s="8" t="s">
        <v>261</v>
      </c>
      <c r="O124" s="7"/>
      <c r="P124" s="2" t="s">
        <v>5703</v>
      </c>
      <c r="Q124" s="7"/>
      <c r="R124" s="1"/>
      <c r="S124" s="1" t="str">
        <f>"2-21/NOS-39-D/18"</f>
        <v>2-21/NOS-39-D/18</v>
      </c>
      <c r="T124" s="1" t="s">
        <v>32</v>
      </c>
    </row>
    <row r="125" spans="1:20" ht="63.75" x14ac:dyDescent="0.25">
      <c r="A125" s="6">
        <v>122</v>
      </c>
      <c r="B125" s="1" t="str">
        <f t="shared" si="8"/>
        <v>2018-2772</v>
      </c>
      <c r="C125" s="1" t="s">
        <v>315</v>
      </c>
      <c r="D125" s="1" t="s">
        <v>303</v>
      </c>
      <c r="E125" s="1" t="str">
        <f>""</f>
        <v/>
      </c>
      <c r="F125" s="1" t="s">
        <v>28</v>
      </c>
      <c r="G125" s="1" t="str">
        <f>CONCATENATE("PMB-BAUTRANS D.O.O.,"," VARAŽDINSKA 48,"," 10363 BELOVAR,"," OIB: 50021390192")</f>
        <v>PMB-BAUTRANS D.O.O., VARAŽDINSKA 48, 10363 BELOVAR, OIB: 50021390192</v>
      </c>
      <c r="H125" s="7"/>
      <c r="I125" s="8" t="s">
        <v>310</v>
      </c>
      <c r="J125" s="8" t="s">
        <v>305</v>
      </c>
      <c r="K125" s="6" t="str">
        <f>"1.880.844,00"</f>
        <v>1.880.844,00</v>
      </c>
      <c r="L125" s="6" t="str">
        <f>"470.211,00"</f>
        <v>470.211,00</v>
      </c>
      <c r="M125" s="6" t="str">
        <f>"2.351.055,00"</f>
        <v>2.351.055,00</v>
      </c>
      <c r="N125" s="8" t="s">
        <v>124</v>
      </c>
      <c r="O125" s="7"/>
      <c r="P125" s="2" t="s">
        <v>5704</v>
      </c>
      <c r="Q125" s="7"/>
      <c r="R125" s="1"/>
      <c r="S125" s="1" t="str">
        <f>"1-22/NOS-39-D/18"</f>
        <v>1-22/NOS-39-D/18</v>
      </c>
      <c r="T125" s="1" t="s">
        <v>32</v>
      </c>
    </row>
    <row r="126" spans="1:20" ht="51" x14ac:dyDescent="0.25">
      <c r="A126" s="6">
        <v>123</v>
      </c>
      <c r="B126" s="1" t="str">
        <f t="shared" si="8"/>
        <v>2018-2772</v>
      </c>
      <c r="C126" s="1" t="s">
        <v>316</v>
      </c>
      <c r="D126" s="1" t="s">
        <v>303</v>
      </c>
      <c r="E126" s="1" t="str">
        <f>""</f>
        <v/>
      </c>
      <c r="F126" s="1" t="s">
        <v>28</v>
      </c>
      <c r="G126" s="1" t="str">
        <f>CONCATENATE("PMB-BAUTRANS D.O.O.,"," VARAŽDINSKA 48,"," 10363 BELOVAR,"," OIB: 50021390192")</f>
        <v>PMB-BAUTRANS D.O.O., VARAŽDINSKA 48, 10363 BELOVAR, OIB: 50021390192</v>
      </c>
      <c r="H126" s="7"/>
      <c r="I126" s="8" t="s">
        <v>317</v>
      </c>
      <c r="J126" s="8" t="s">
        <v>305</v>
      </c>
      <c r="K126" s="6" t="str">
        <f>"198.990,00"</f>
        <v>198.990,00</v>
      </c>
      <c r="L126" s="6" t="str">
        <f>"49.747,50"</f>
        <v>49.747,50</v>
      </c>
      <c r="M126" s="6" t="str">
        <f>"248.737,50"</f>
        <v>248.737,50</v>
      </c>
      <c r="N126" s="8" t="s">
        <v>124</v>
      </c>
      <c r="O126" s="7"/>
      <c r="P126" s="2" t="s">
        <v>5705</v>
      </c>
      <c r="Q126" s="7"/>
      <c r="R126" s="1"/>
      <c r="S126" s="1" t="str">
        <f>"2-22/NOS-39-D/18"</f>
        <v>2-22/NOS-39-D/18</v>
      </c>
      <c r="T126" s="1" t="s">
        <v>32</v>
      </c>
    </row>
    <row r="127" spans="1:20" ht="409.5" x14ac:dyDescent="0.25">
      <c r="A127" s="6">
        <v>124</v>
      </c>
      <c r="B127" s="1" t="str">
        <f t="shared" si="8"/>
        <v>2018-2772</v>
      </c>
      <c r="C127" s="1" t="s">
        <v>318</v>
      </c>
      <c r="D127" s="1" t="s">
        <v>298</v>
      </c>
      <c r="E127" s="1" t="str">
        <f>"2018/S 0F2-0016776"</f>
        <v>2018/S 0F2-0016776</v>
      </c>
      <c r="F127" s="1" t="s">
        <v>22</v>
      </c>
      <c r="G127" s="1" t="str">
        <f>CONCATENATE("BISTRA-KOP OBRT,"," VL. MARKO ŠKRLIN-BATINA,"," BUKOVJE BISTRANSKO,"," M. GUPCA 11/1,"," 10298 DONJA BISTRA,"," OIB: 94184541105")</f>
        <v>BISTRA-KOP OBRT, VL. MARKO ŠKRLIN-BATINA, BUKOVJE BISTRANSKO, M. GUPCA 11/1, 10298 DONJA BISTRA, OIB: 94184541105</v>
      </c>
      <c r="H127"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27" s="8" t="s">
        <v>299</v>
      </c>
      <c r="J127" s="8" t="s">
        <v>300</v>
      </c>
      <c r="K127" s="6" t="str">
        <f>"11.500.000,00"</f>
        <v>11.500.000,00</v>
      </c>
      <c r="L127" s="6" t="str">
        <f>"2.875.000,00"</f>
        <v>2.875.000,00</v>
      </c>
      <c r="M127" s="6" t="str">
        <f>"14.375.000,00"</f>
        <v>14.375.000,00</v>
      </c>
      <c r="N127" s="8" t="s">
        <v>301</v>
      </c>
      <c r="O127" s="7"/>
      <c r="P127" s="2" t="s">
        <v>5614</v>
      </c>
      <c r="Q127" s="7"/>
      <c r="R127" s="1"/>
      <c r="S127" s="1" t="str">
        <f>"NOS-39-E/18"</f>
        <v>NOS-39-E/18</v>
      </c>
      <c r="T127" s="1" t="s">
        <v>32</v>
      </c>
    </row>
    <row r="128" spans="1:20" ht="76.5" x14ac:dyDescent="0.25">
      <c r="A128" s="6">
        <v>125</v>
      </c>
      <c r="B128" s="1" t="str">
        <f t="shared" si="8"/>
        <v>2018-2772</v>
      </c>
      <c r="C128" s="1" t="s">
        <v>319</v>
      </c>
      <c r="D128" s="1" t="s">
        <v>303</v>
      </c>
      <c r="E128" s="1" t="str">
        <f>""</f>
        <v/>
      </c>
      <c r="F128" s="1" t="s">
        <v>28</v>
      </c>
      <c r="G128" s="1" t="str">
        <f>CONCATENATE("BISTRA-KOP OBRT,"," VL. MARKO ŠKRLIN-BATINA,"," BUKOVJE BISTRANSKO,"," M. GUPCA 11/1,"," 10298 DONJA BISTRA,"," OIB: 94184541105")</f>
        <v>BISTRA-KOP OBRT, VL. MARKO ŠKRLIN-BATINA, BUKOVJE BISTRANSKO, M. GUPCA 11/1, 10298 DONJA BISTRA, OIB: 94184541105</v>
      </c>
      <c r="H128" s="7"/>
      <c r="I128" s="8" t="s">
        <v>190</v>
      </c>
      <c r="J128" s="8" t="s">
        <v>259</v>
      </c>
      <c r="K128" s="6" t="str">
        <f>"2.139.999,30"</f>
        <v>2.139.999,30</v>
      </c>
      <c r="L128" s="6" t="str">
        <f>"534.999,83"</f>
        <v>534.999,83</v>
      </c>
      <c r="M128" s="6" t="str">
        <f>"2.674.999,13"</f>
        <v>2.674.999,13</v>
      </c>
      <c r="N128" s="8" t="s">
        <v>250</v>
      </c>
      <c r="O128" s="7"/>
      <c r="P128" s="2" t="s">
        <v>5706</v>
      </c>
      <c r="Q128" s="7"/>
      <c r="R128" s="1"/>
      <c r="S128" s="1" t="str">
        <f>"1-21/NOS-39-E/18"</f>
        <v>1-21/NOS-39-E/18</v>
      </c>
      <c r="T128" s="1" t="s">
        <v>32</v>
      </c>
    </row>
    <row r="129" spans="1:20" ht="76.5" x14ac:dyDescent="0.25">
      <c r="A129" s="6">
        <v>126</v>
      </c>
      <c r="B129" s="1" t="str">
        <f t="shared" si="8"/>
        <v>2018-2772</v>
      </c>
      <c r="C129" s="1" t="s">
        <v>320</v>
      </c>
      <c r="D129" s="1" t="s">
        <v>303</v>
      </c>
      <c r="E129" s="1" t="str">
        <f>""</f>
        <v/>
      </c>
      <c r="F129" s="1" t="s">
        <v>28</v>
      </c>
      <c r="G129" s="1" t="str">
        <f>CONCATENATE("BISTRA-KOP OBRT,"," VL. MARKO ŠKRLIN-BATINA,"," BUKOVJE BISTRANSKO,"," M. GUPCA 11/1,"," 10298 DONJA BISTRA,"," OIB: 94184541105")</f>
        <v>BISTRA-KOP OBRT, VL. MARKO ŠKRLIN-BATINA, BUKOVJE BISTRANSKO, M. GUPCA 11/1, 10298 DONJA BISTRA, OIB: 94184541105</v>
      </c>
      <c r="H129" s="7"/>
      <c r="I129" s="8" t="s">
        <v>310</v>
      </c>
      <c r="J129" s="8" t="s">
        <v>305</v>
      </c>
      <c r="K129" s="6" t="str">
        <f>"2.353.244,50"</f>
        <v>2.353.244,50</v>
      </c>
      <c r="L129" s="6" t="str">
        <f>"588.311,13"</f>
        <v>588.311,13</v>
      </c>
      <c r="M129" s="6" t="str">
        <f>"2.941.555,63"</f>
        <v>2.941.555,63</v>
      </c>
      <c r="N129" s="8" t="s">
        <v>124</v>
      </c>
      <c r="O129" s="7"/>
      <c r="P129" s="2" t="s">
        <v>5707</v>
      </c>
      <c r="Q129" s="7"/>
      <c r="R129" s="1"/>
      <c r="S129" s="1" t="str">
        <f>"1-22/NOS-39-E/18"</f>
        <v>1-22/NOS-39-E/18</v>
      </c>
      <c r="T129" s="1" t="s">
        <v>32</v>
      </c>
    </row>
    <row r="130" spans="1:20" ht="409.5" x14ac:dyDescent="0.25">
      <c r="A130" s="6">
        <v>127</v>
      </c>
      <c r="B130" s="1" t="str">
        <f t="shared" si="8"/>
        <v>2018-2772</v>
      </c>
      <c r="C130" s="1" t="s">
        <v>321</v>
      </c>
      <c r="D130" s="1" t="s">
        <v>298</v>
      </c>
      <c r="E130" s="1" t="str">
        <f>"2018/S 0F2-0016776"</f>
        <v>2018/S 0F2-0016776</v>
      </c>
      <c r="F130" s="1" t="s">
        <v>22</v>
      </c>
      <c r="G130" s="1" t="str">
        <f>CONCATENATE("POLJO-PROM,"," VL. ZLATKO KRIŽANIĆ,"," HRAŠĆE TUROPOLJSKO,"," KRIŽANIĆI 27,"," 10020 ZAGREB-NOVI ZAGREB,"," OIB: 22277452223")</f>
        <v>POLJO-PROM, VL. ZLATKO KRIŽANIĆ, HRAŠĆE TUROPOLJSKO, KRIŽANIĆI 27, 10020 ZAGREB-NOVI ZAGREB, OIB: 22277452223</v>
      </c>
      <c r="H130"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30" s="8" t="s">
        <v>299</v>
      </c>
      <c r="J130" s="8" t="s">
        <v>300</v>
      </c>
      <c r="K130" s="6" t="str">
        <f>"9.000.000,00"</f>
        <v>9.000.000,00</v>
      </c>
      <c r="L130" s="6" t="str">
        <f>"2.250.000,00"</f>
        <v>2.250.000,00</v>
      </c>
      <c r="M130" s="6" t="str">
        <f>"11.250.000,00"</f>
        <v>11.250.000,00</v>
      </c>
      <c r="N130" s="8" t="s">
        <v>301</v>
      </c>
      <c r="O130" s="7"/>
      <c r="P130" s="2" t="s">
        <v>5614</v>
      </c>
      <c r="Q130" s="7"/>
      <c r="R130" s="1"/>
      <c r="S130" s="1" t="str">
        <f>"NOS-39-F/18"</f>
        <v>NOS-39-F/18</v>
      </c>
      <c r="T130" s="1" t="s">
        <v>32</v>
      </c>
    </row>
    <row r="131" spans="1:20" ht="76.5" x14ac:dyDescent="0.25">
      <c r="A131" s="6">
        <v>128</v>
      </c>
      <c r="B131" s="1" t="str">
        <f t="shared" si="8"/>
        <v>2018-2772</v>
      </c>
      <c r="C131" s="1" t="s">
        <v>322</v>
      </c>
      <c r="D131" s="1" t="s">
        <v>303</v>
      </c>
      <c r="E131" s="1" t="str">
        <f>""</f>
        <v/>
      </c>
      <c r="F131" s="1" t="s">
        <v>28</v>
      </c>
      <c r="G131" s="1" t="str">
        <f>CONCATENATE("POLJO-PROM,"," VL. ZLATKO KRIŽANIĆ,"," HRAŠĆE TUROPOLJSKO,"," KRIŽANIĆI 27,"," 10020 ZAGREB-NOVI ZAGREB,"," OIB: 22277452223")</f>
        <v>POLJO-PROM, VL. ZLATKO KRIŽANIĆ, HRAŠĆE TUROPOLJSKO, KRIŽANIĆI 27, 10020 ZAGREB-NOVI ZAGREB, OIB: 22277452223</v>
      </c>
      <c r="H131" s="7"/>
      <c r="I131" s="8" t="s">
        <v>190</v>
      </c>
      <c r="J131" s="8" t="s">
        <v>259</v>
      </c>
      <c r="K131" s="6" t="str">
        <f>"1.573.997,00"</f>
        <v>1.573.997,00</v>
      </c>
      <c r="L131" s="6" t="str">
        <f>"393.499,25"</f>
        <v>393.499,25</v>
      </c>
      <c r="M131" s="6" t="str">
        <f>"1.967.496,25"</f>
        <v>1.967.496,25</v>
      </c>
      <c r="N131" s="8" t="s">
        <v>250</v>
      </c>
      <c r="O131" s="7"/>
      <c r="P131" s="2" t="s">
        <v>5708</v>
      </c>
      <c r="Q131" s="7"/>
      <c r="R131" s="1"/>
      <c r="S131" s="1" t="str">
        <f>"1-21/NOS-39-F/18"</f>
        <v>1-21/NOS-39-F/18</v>
      </c>
      <c r="T131" s="1" t="s">
        <v>32</v>
      </c>
    </row>
    <row r="132" spans="1:20" ht="76.5" x14ac:dyDescent="0.25">
      <c r="A132" s="6">
        <v>129</v>
      </c>
      <c r="B132" s="1" t="str">
        <f t="shared" si="8"/>
        <v>2018-2772</v>
      </c>
      <c r="C132" s="1" t="s">
        <v>323</v>
      </c>
      <c r="D132" s="1" t="s">
        <v>303</v>
      </c>
      <c r="E132" s="1" t="str">
        <f>""</f>
        <v/>
      </c>
      <c r="F132" s="1" t="s">
        <v>28</v>
      </c>
      <c r="G132" s="1" t="str">
        <f>CONCATENATE("POLJO-PROM,"," VL. ZLATKO KRIŽANIĆ,"," HRAŠĆE TUROPOLJSKO,"," KRIŽANIĆI 27,"," 10020 ZAGREB-NOVI ZAGREB,"," OIB: 22277452223")</f>
        <v>POLJO-PROM, VL. ZLATKO KRIŽANIĆ, HRAŠĆE TUROPOLJSKO, KRIŽANIĆI 27, 10020 ZAGREB-NOVI ZAGREB, OIB: 22277452223</v>
      </c>
      <c r="H132" s="7"/>
      <c r="I132" s="8" t="s">
        <v>310</v>
      </c>
      <c r="J132" s="8" t="s">
        <v>305</v>
      </c>
      <c r="K132" s="6" t="str">
        <f>"1.706.997,00"</f>
        <v>1.706.997,00</v>
      </c>
      <c r="L132" s="6" t="str">
        <f>"426.749,25"</f>
        <v>426.749,25</v>
      </c>
      <c r="M132" s="6" t="str">
        <f>"2.133.746,25"</f>
        <v>2.133.746,25</v>
      </c>
      <c r="N132" s="8" t="s">
        <v>124</v>
      </c>
      <c r="O132" s="7"/>
      <c r="P132" s="2" t="s">
        <v>5709</v>
      </c>
      <c r="Q132" s="7"/>
      <c r="R132" s="1"/>
      <c r="S132" s="1" t="str">
        <f>"1-22/NOS-39-F/18"</f>
        <v>1-22/NOS-39-F/18</v>
      </c>
      <c r="T132" s="1" t="s">
        <v>32</v>
      </c>
    </row>
    <row r="133" spans="1:20" ht="409.5" x14ac:dyDescent="0.25">
      <c r="A133" s="6">
        <v>130</v>
      </c>
      <c r="B133" s="1" t="str">
        <f t="shared" si="8"/>
        <v>2018-2772</v>
      </c>
      <c r="C133" s="1" t="s">
        <v>324</v>
      </c>
      <c r="D133" s="1" t="s">
        <v>298</v>
      </c>
      <c r="E133" s="1" t="str">
        <f>"2018/S 0F2-0016776"</f>
        <v>2018/S 0F2-0016776</v>
      </c>
      <c r="F133" s="1" t="s">
        <v>22</v>
      </c>
      <c r="G133" s="1" t="str">
        <f>CONCATENATE("GRADNJA i TRGOVINA - GAJ d.o.o.,"," ČULINEČKA CESTA 181,"," 10000 ZAGREB,"," OIB: 30603399085")</f>
        <v>GRADNJA i TRGOVINA - GAJ d.o.o., ČULINEČKA CESTA 181, 10000 ZAGREB, OIB: 30603399085</v>
      </c>
      <c r="H133"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33" s="8" t="s">
        <v>299</v>
      </c>
      <c r="J133" s="8" t="s">
        <v>300</v>
      </c>
      <c r="K133" s="6" t="str">
        <f>"12.000.000,00"</f>
        <v>12.000.000,00</v>
      </c>
      <c r="L133" s="6" t="str">
        <f>"3.000.000,00"</f>
        <v>3.000.000,00</v>
      </c>
      <c r="M133" s="6" t="str">
        <f>"15.000.000,00"</f>
        <v>15.000.000,00</v>
      </c>
      <c r="N133" s="8" t="s">
        <v>301</v>
      </c>
      <c r="O133" s="7"/>
      <c r="P133" s="2" t="s">
        <v>5614</v>
      </c>
      <c r="Q133" s="7"/>
      <c r="R133" s="1"/>
      <c r="S133" s="1" t="str">
        <f>"NOS-39-G/18"</f>
        <v>NOS-39-G/18</v>
      </c>
      <c r="T133" s="1" t="s">
        <v>32</v>
      </c>
    </row>
    <row r="134" spans="1:20" ht="76.5" x14ac:dyDescent="0.25">
      <c r="A134" s="6">
        <v>131</v>
      </c>
      <c r="B134" s="1" t="str">
        <f t="shared" si="8"/>
        <v>2018-2772</v>
      </c>
      <c r="C134" s="1" t="s">
        <v>325</v>
      </c>
      <c r="D134" s="1" t="s">
        <v>303</v>
      </c>
      <c r="E134" s="1" t="str">
        <f>""</f>
        <v/>
      </c>
      <c r="F134" s="1" t="s">
        <v>28</v>
      </c>
      <c r="G134" s="1" t="str">
        <f>CONCATENATE("GRADNJA i TRGOVINA - GAJ d.o.o.,"," ČULINEČKA CESTA 181,"," 10000 ZAGREB,"," OIB: 30603399085")</f>
        <v>GRADNJA i TRGOVINA - GAJ d.o.o., ČULINEČKA CESTA 181, 10000 ZAGREB, OIB: 30603399085</v>
      </c>
      <c r="H134" s="7"/>
      <c r="I134" s="8" t="s">
        <v>190</v>
      </c>
      <c r="J134" s="8" t="s">
        <v>259</v>
      </c>
      <c r="K134" s="6" t="str">
        <f>"280.000,00"</f>
        <v>280.000,00</v>
      </c>
      <c r="L134" s="6" t="str">
        <f>"70.000,00"</f>
        <v>70.000,00</v>
      </c>
      <c r="M134" s="6" t="str">
        <f>"350.000,00"</f>
        <v>350.000,00</v>
      </c>
      <c r="N134" s="8" t="s">
        <v>250</v>
      </c>
      <c r="O134" s="7"/>
      <c r="P134" s="2" t="s">
        <v>5710</v>
      </c>
      <c r="Q134" s="7"/>
      <c r="R134" s="1"/>
      <c r="S134" s="1" t="str">
        <f>"2-21/NOS-39-G/18"</f>
        <v>2-21/NOS-39-G/18</v>
      </c>
      <c r="T134" s="1" t="s">
        <v>32</v>
      </c>
    </row>
    <row r="135" spans="1:20" ht="63.75" x14ac:dyDescent="0.25">
      <c r="A135" s="6">
        <v>132</v>
      </c>
      <c r="B135" s="1" t="str">
        <f t="shared" si="8"/>
        <v>2018-2772</v>
      </c>
      <c r="C135" s="1" t="s">
        <v>326</v>
      </c>
      <c r="D135" s="1" t="s">
        <v>303</v>
      </c>
      <c r="E135" s="1" t="str">
        <f>""</f>
        <v/>
      </c>
      <c r="F135" s="1" t="s">
        <v>28</v>
      </c>
      <c r="G135" s="1" t="str">
        <f>CONCATENATE("GRADNJA i TRGOVINA - GAJ d.o.o.,"," ČULINEČKA CESTA 181,"," 10000 ZAGREB,"," OIB: 30603399085")</f>
        <v>GRADNJA i TRGOVINA - GAJ d.o.o., ČULINEČKA CESTA 181, 10000 ZAGREB, OIB: 30603399085</v>
      </c>
      <c r="H135" s="7"/>
      <c r="I135" s="8" t="s">
        <v>327</v>
      </c>
      <c r="J135" s="8" t="s">
        <v>259</v>
      </c>
      <c r="K135" s="6" t="str">
        <f>"1.752.996,00"</f>
        <v>1.752.996,00</v>
      </c>
      <c r="L135" s="6" t="str">
        <f>"438.249,00"</f>
        <v>438.249,00</v>
      </c>
      <c r="M135" s="6" t="str">
        <f>"2.191.245,00"</f>
        <v>2.191.245,00</v>
      </c>
      <c r="N135" s="8" t="s">
        <v>250</v>
      </c>
      <c r="O135" s="7"/>
      <c r="P135" s="2" t="s">
        <v>5711</v>
      </c>
      <c r="Q135" s="7"/>
      <c r="R135" s="1"/>
      <c r="S135" s="1" t="str">
        <f>"1-21/NOS-39-G/18"</f>
        <v>1-21/NOS-39-G/18</v>
      </c>
      <c r="T135" s="1" t="s">
        <v>32</v>
      </c>
    </row>
    <row r="136" spans="1:20" ht="63.75" x14ac:dyDescent="0.25">
      <c r="A136" s="6">
        <v>133</v>
      </c>
      <c r="B136" s="1" t="str">
        <f t="shared" si="8"/>
        <v>2018-2772</v>
      </c>
      <c r="C136" s="1" t="s">
        <v>328</v>
      </c>
      <c r="D136" s="1" t="s">
        <v>303</v>
      </c>
      <c r="E136" s="1" t="str">
        <f>""</f>
        <v/>
      </c>
      <c r="F136" s="1" t="s">
        <v>28</v>
      </c>
      <c r="G136" s="1" t="str">
        <f>CONCATENATE("GRADNJA i TRGOVINA - GAJ d.o.o.,"," ČULINEČKA CESTA 181,"," 10000 ZAGREB,"," OIB: 30603399085")</f>
        <v>GRADNJA i TRGOVINA - GAJ d.o.o., ČULINEČKA CESTA 181, 10000 ZAGREB, OIB: 30603399085</v>
      </c>
      <c r="H136" s="7"/>
      <c r="I136" s="8" t="s">
        <v>310</v>
      </c>
      <c r="J136" s="8" t="s">
        <v>305</v>
      </c>
      <c r="K136" s="6" t="str">
        <f>"2.006.996,00"</f>
        <v>2.006.996,00</v>
      </c>
      <c r="L136" s="6" t="str">
        <f>"501.749,00"</f>
        <v>501.749,00</v>
      </c>
      <c r="M136" s="6" t="str">
        <f>"2.508.745,00"</f>
        <v>2.508.745,00</v>
      </c>
      <c r="N136" s="8" t="s">
        <v>124</v>
      </c>
      <c r="O136" s="7"/>
      <c r="P136" s="2" t="s">
        <v>5614</v>
      </c>
      <c r="Q136" s="7"/>
      <c r="R136" s="1"/>
      <c r="S136" s="1" t="str">
        <f>"1-22/NOS-39-G/18"</f>
        <v>1-22/NOS-39-G/18</v>
      </c>
      <c r="T136" s="1" t="s">
        <v>32</v>
      </c>
    </row>
    <row r="137" spans="1:20" ht="63.75" x14ac:dyDescent="0.25">
      <c r="A137" s="6">
        <v>134</v>
      </c>
      <c r="B137" s="1" t="str">
        <f t="shared" si="8"/>
        <v>2018-2772</v>
      </c>
      <c r="C137" s="1" t="s">
        <v>329</v>
      </c>
      <c r="D137" s="1" t="s">
        <v>303</v>
      </c>
      <c r="E137" s="1" t="str">
        <f>""</f>
        <v/>
      </c>
      <c r="F137" s="1" t="s">
        <v>28</v>
      </c>
      <c r="G137" s="1" t="str">
        <f>CONCATENATE("GRADNJA i TRGOVINA - GAJ d.o.o.,"," ČULINEČKA CESTA 181,"," 10000 ZAGREB,"," OIB: 30603399085")</f>
        <v>GRADNJA i TRGOVINA - GAJ d.o.o., ČULINEČKA CESTA 181, 10000 ZAGREB, OIB: 30603399085</v>
      </c>
      <c r="H137" s="7"/>
      <c r="I137" s="8" t="s">
        <v>317</v>
      </c>
      <c r="J137" s="8" t="s">
        <v>305</v>
      </c>
      <c r="K137" s="6" t="str">
        <f>"280.000,00"</f>
        <v>280.000,00</v>
      </c>
      <c r="L137" s="6" t="str">
        <f>"70.000,00"</f>
        <v>70.000,00</v>
      </c>
      <c r="M137" s="6" t="str">
        <f>"350.000,00"</f>
        <v>350.000,00</v>
      </c>
      <c r="N137" s="8" t="s">
        <v>124</v>
      </c>
      <c r="O137" s="7"/>
      <c r="P137" s="2" t="s">
        <v>5614</v>
      </c>
      <c r="Q137" s="7"/>
      <c r="R137" s="1"/>
      <c r="S137" s="1" t="str">
        <f>"2-22/NOS-39-G/18"</f>
        <v>2-22/NOS-39-G/18</v>
      </c>
      <c r="T137" s="1" t="s">
        <v>32</v>
      </c>
    </row>
    <row r="138" spans="1:20" ht="409.5" x14ac:dyDescent="0.25">
      <c r="A138" s="6">
        <v>135</v>
      </c>
      <c r="B138" s="1" t="str">
        <f t="shared" si="8"/>
        <v>2018-2772</v>
      </c>
      <c r="C138" s="1" t="s">
        <v>330</v>
      </c>
      <c r="D138" s="1" t="s">
        <v>298</v>
      </c>
      <c r="E138" s="1" t="str">
        <f>"2018/S 0F2-0016776"</f>
        <v>2018/S 0F2-0016776</v>
      </c>
      <c r="F138" s="1" t="s">
        <v>22</v>
      </c>
      <c r="G138" s="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38"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38" s="8" t="s">
        <v>299</v>
      </c>
      <c r="J138" s="8" t="s">
        <v>300</v>
      </c>
      <c r="K138" s="6" t="str">
        <f>"8.000.000,00"</f>
        <v>8.000.000,00</v>
      </c>
      <c r="L138" s="6" t="str">
        <f>"2.000.000,00"</f>
        <v>2.000.000,00</v>
      </c>
      <c r="M138" s="6" t="str">
        <f>"10.000.000,00"</f>
        <v>10.000.000,00</v>
      </c>
      <c r="N138" s="8" t="s">
        <v>301</v>
      </c>
      <c r="O138" s="7"/>
      <c r="P138" s="2" t="s">
        <v>5614</v>
      </c>
      <c r="Q138" s="7"/>
      <c r="R138" s="1"/>
      <c r="S138" s="1" t="str">
        <f>"NOS-39-H/18"</f>
        <v>NOS-39-H/18</v>
      </c>
      <c r="T138" s="1" t="s">
        <v>32</v>
      </c>
    </row>
    <row r="139" spans="1:20" ht="318.75" x14ac:dyDescent="0.25">
      <c r="A139" s="6">
        <v>136</v>
      </c>
      <c r="B139" s="1" t="str">
        <f t="shared" si="8"/>
        <v>2018-2772</v>
      </c>
      <c r="C139" s="1" t="s">
        <v>331</v>
      </c>
      <c r="D139" s="1" t="s">
        <v>303</v>
      </c>
      <c r="E139" s="1" t="str">
        <f>""</f>
        <v/>
      </c>
      <c r="F139" s="1" t="s">
        <v>28</v>
      </c>
      <c r="G139" s="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39" s="7"/>
      <c r="I139" s="8" t="s">
        <v>327</v>
      </c>
      <c r="J139" s="8" t="s">
        <v>259</v>
      </c>
      <c r="K139" s="6" t="str">
        <f>"1.326.485,76"</f>
        <v>1.326.485,76</v>
      </c>
      <c r="L139" s="6" t="str">
        <f>"331.621,44"</f>
        <v>331.621,44</v>
      </c>
      <c r="M139" s="6" t="str">
        <f>"1.658.107,20"</f>
        <v>1.658.107,20</v>
      </c>
      <c r="N139" s="8" t="s">
        <v>250</v>
      </c>
      <c r="O139" s="7"/>
      <c r="P139" s="2" t="s">
        <v>5712</v>
      </c>
      <c r="Q139" s="7"/>
      <c r="R139" s="1"/>
      <c r="S139" s="1" t="str">
        <f>"1-21/NOS-39-H/18"</f>
        <v>1-21/NOS-39-H/18</v>
      </c>
      <c r="T139" s="1" t="s">
        <v>32</v>
      </c>
    </row>
    <row r="140" spans="1:20" ht="318.75" x14ac:dyDescent="0.25">
      <c r="A140" s="6">
        <v>137</v>
      </c>
      <c r="B140" s="1" t="str">
        <f t="shared" si="8"/>
        <v>2018-2772</v>
      </c>
      <c r="C140" s="1" t="s">
        <v>332</v>
      </c>
      <c r="D140" s="1" t="s">
        <v>303</v>
      </c>
      <c r="E140" s="1" t="str">
        <f>""</f>
        <v/>
      </c>
      <c r="F140" s="1" t="s">
        <v>28</v>
      </c>
      <c r="G140" s="1"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40" s="7"/>
      <c r="I140" s="8" t="s">
        <v>54</v>
      </c>
      <c r="J140" s="8" t="s">
        <v>305</v>
      </c>
      <c r="K140" s="6" t="str">
        <f>"1.539.467,76"</f>
        <v>1.539.467,76</v>
      </c>
      <c r="L140" s="6" t="str">
        <f>"384.866,94"</f>
        <v>384.866,94</v>
      </c>
      <c r="M140" s="6" t="str">
        <f>"1.924.334,70"</f>
        <v>1.924.334,70</v>
      </c>
      <c r="N140" s="8" t="s">
        <v>124</v>
      </c>
      <c r="O140" s="7"/>
      <c r="P140" s="2" t="s">
        <v>5713</v>
      </c>
      <c r="Q140" s="7"/>
      <c r="R140" s="1"/>
      <c r="S140" s="1" t="str">
        <f>"1-22/NOS-39-H/18"</f>
        <v>1-22/NOS-39-H/18</v>
      </c>
      <c r="T140" s="1" t="s">
        <v>32</v>
      </c>
    </row>
    <row r="141" spans="1:20" ht="409.5" x14ac:dyDescent="0.25">
      <c r="A141" s="6">
        <v>138</v>
      </c>
      <c r="B141" s="1" t="str">
        <f t="shared" si="8"/>
        <v>2018-2772</v>
      </c>
      <c r="C141" s="1" t="s">
        <v>333</v>
      </c>
      <c r="D141" s="1" t="s">
        <v>298</v>
      </c>
      <c r="E141" s="1" t="str">
        <f>"2018/S 0F2-0016776"</f>
        <v>2018/S 0F2-0016776</v>
      </c>
      <c r="F141" s="1" t="s">
        <v>22</v>
      </c>
      <c r="G141" s="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1"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1" s="8" t="s">
        <v>299</v>
      </c>
      <c r="J141" s="8" t="s">
        <v>300</v>
      </c>
      <c r="K141" s="6" t="str">
        <f>"17.500.000,00"</f>
        <v>17.500.000,00</v>
      </c>
      <c r="L141" s="6" t="str">
        <f>"4.375.000,00"</f>
        <v>4.375.000,00</v>
      </c>
      <c r="M141" s="6" t="str">
        <f>"21.875.000,00"</f>
        <v>21.875.000,00</v>
      </c>
      <c r="N141" s="8" t="s">
        <v>301</v>
      </c>
      <c r="O141" s="7"/>
      <c r="P141" s="2" t="s">
        <v>5614</v>
      </c>
      <c r="Q141" s="7"/>
      <c r="R141" s="1"/>
      <c r="S141" s="1" t="str">
        <f>"NOS-39-I/18"</f>
        <v>NOS-39-I/18</v>
      </c>
      <c r="T141" s="1" t="s">
        <v>32</v>
      </c>
    </row>
    <row r="142" spans="1:20" ht="127.5" x14ac:dyDescent="0.25">
      <c r="A142" s="6">
        <v>139</v>
      </c>
      <c r="B142" s="1" t="str">
        <f t="shared" si="8"/>
        <v>2018-2772</v>
      </c>
      <c r="C142" s="1" t="s">
        <v>334</v>
      </c>
      <c r="D142" s="1" t="s">
        <v>303</v>
      </c>
      <c r="E142" s="1" t="str">
        <f>""</f>
        <v/>
      </c>
      <c r="F142" s="1" t="s">
        <v>28</v>
      </c>
      <c r="G142" s="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2" s="7"/>
      <c r="I142" s="8" t="s">
        <v>335</v>
      </c>
      <c r="J142" s="8" t="s">
        <v>259</v>
      </c>
      <c r="K142" s="6" t="str">
        <f>"2.745.388,00"</f>
        <v>2.745.388,00</v>
      </c>
      <c r="L142" s="6" t="str">
        <f>"686.347,00"</f>
        <v>686.347,00</v>
      </c>
      <c r="M142" s="6" t="str">
        <f>"3.431.735,00"</f>
        <v>3.431.735,00</v>
      </c>
      <c r="N142" s="8" t="s">
        <v>293</v>
      </c>
      <c r="O142" s="7"/>
      <c r="P142" s="2" t="s">
        <v>5714</v>
      </c>
      <c r="Q142" s="7"/>
      <c r="R142" s="1"/>
      <c r="S142" s="1" t="str">
        <f>"1-21/NOS-39-I/18"</f>
        <v>1-21/NOS-39-I/18</v>
      </c>
      <c r="T142" s="1" t="s">
        <v>32</v>
      </c>
    </row>
    <row r="143" spans="1:20" ht="127.5" x14ac:dyDescent="0.25">
      <c r="A143" s="6">
        <v>140</v>
      </c>
      <c r="B143" s="1" t="str">
        <f t="shared" si="8"/>
        <v>2018-2772</v>
      </c>
      <c r="C143" s="1" t="s">
        <v>336</v>
      </c>
      <c r="D143" s="1" t="s">
        <v>303</v>
      </c>
      <c r="E143" s="1" t="str">
        <f>""</f>
        <v/>
      </c>
      <c r="F143" s="1" t="s">
        <v>28</v>
      </c>
      <c r="G143" s="1"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3" s="7"/>
      <c r="I143" s="8" t="s">
        <v>310</v>
      </c>
      <c r="J143" s="8" t="s">
        <v>305</v>
      </c>
      <c r="K143" s="6" t="str">
        <f>"3.086.788,00"</f>
        <v>3.086.788,00</v>
      </c>
      <c r="L143" s="6" t="str">
        <f>"771.697,00"</f>
        <v>771.697,00</v>
      </c>
      <c r="M143" s="6" t="str">
        <f>"3.858.485,00"</f>
        <v>3.858.485,00</v>
      </c>
      <c r="N143" s="8" t="s">
        <v>124</v>
      </c>
      <c r="O143" s="7"/>
      <c r="P143" s="2" t="s">
        <v>5715</v>
      </c>
      <c r="Q143" s="7"/>
      <c r="R143" s="1"/>
      <c r="S143" s="1" t="str">
        <f>"1-22/NOS-39-I/18"</f>
        <v>1-22/NOS-39-I/18</v>
      </c>
      <c r="T143" s="1" t="s">
        <v>32</v>
      </c>
    </row>
    <row r="144" spans="1:20" ht="409.5" x14ac:dyDescent="0.25">
      <c r="A144" s="6">
        <v>141</v>
      </c>
      <c r="B144" s="1" t="str">
        <f t="shared" si="8"/>
        <v>2018-2772</v>
      </c>
      <c r="C144" s="1" t="s">
        <v>337</v>
      </c>
      <c r="D144" s="1" t="s">
        <v>298</v>
      </c>
      <c r="E144" s="1" t="str">
        <f>"2018/S 0F2-0016776"</f>
        <v>2018/S 0F2-0016776</v>
      </c>
      <c r="F144" s="1" t="s">
        <v>22</v>
      </c>
      <c r="G144" s="1" t="str">
        <f>CONCATENATE("DIJANEŽEVIĆ,"," OBRT ZA AUTOPRIJEVOZ I GRADNJU,"," VL. MIROSLAV DIJANEŽEVIĆ,"," STEPANSKA 64,"," 10412 DONJA LOMNICA,"," OIB: 77923502229")</f>
        <v>DIJANEŽEVIĆ, OBRT ZA AUTOPRIJEVOZ I GRADNJU, VL. MIROSLAV DIJANEŽEVIĆ, STEPANSKA 64, 10412 DONJA LOMNICA, OIB: 77923502229</v>
      </c>
      <c r="H144"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4" s="8" t="s">
        <v>299</v>
      </c>
      <c r="J144" s="8" t="s">
        <v>300</v>
      </c>
      <c r="K144" s="6" t="str">
        <f>"24.000.000,00"</f>
        <v>24.000.000,00</v>
      </c>
      <c r="L144" s="6" t="str">
        <f>"6.000.000,00"</f>
        <v>6.000.000,00</v>
      </c>
      <c r="M144" s="6" t="str">
        <f>"30.000.000,00"</f>
        <v>30.000.000,00</v>
      </c>
      <c r="N144" s="8" t="s">
        <v>301</v>
      </c>
      <c r="O144" s="7"/>
      <c r="P144" s="2" t="s">
        <v>5614</v>
      </c>
      <c r="Q144" s="7"/>
      <c r="R144" s="1"/>
      <c r="S144" s="1" t="str">
        <f>"NOS-39-J/18"</f>
        <v>NOS-39-J/18</v>
      </c>
      <c r="T144" s="1" t="s">
        <v>32</v>
      </c>
    </row>
    <row r="145" spans="1:20" ht="102" x14ac:dyDescent="0.25">
      <c r="A145" s="6">
        <v>142</v>
      </c>
      <c r="B145" s="1" t="str">
        <f t="shared" si="8"/>
        <v>2018-2772</v>
      </c>
      <c r="C145" s="1" t="s">
        <v>338</v>
      </c>
      <c r="D145" s="1" t="s">
        <v>303</v>
      </c>
      <c r="E145" s="1" t="str">
        <f>""</f>
        <v/>
      </c>
      <c r="F145" s="1" t="s">
        <v>28</v>
      </c>
      <c r="G145" s="1" t="str">
        <f>CONCATENATE("DIJANEŽEVIĆ,"," OBRT ZA AUTOPRIJEVOZ I GRADNJU,"," VL. MIROSLAV DIJANEŽEVIĆ,"," STEPANSKA 64,"," 10412 DONJA LOMNICA,"," OIB: 77923502229")</f>
        <v>DIJANEŽEVIĆ, OBRT ZA AUTOPRIJEVOZ I GRADNJU, VL. MIROSLAV DIJANEŽEVIĆ, STEPANSKA 64, 10412 DONJA LOMNICA, OIB: 77923502229</v>
      </c>
      <c r="H145" s="7"/>
      <c r="I145" s="8" t="s">
        <v>327</v>
      </c>
      <c r="J145" s="8" t="s">
        <v>259</v>
      </c>
      <c r="K145" s="6" t="str">
        <f>"126.670,00"</f>
        <v>126.670,00</v>
      </c>
      <c r="L145" s="6" t="str">
        <f>"31.667,50"</f>
        <v>31.667,50</v>
      </c>
      <c r="M145" s="6" t="str">
        <f>"158.337,50"</f>
        <v>158.337,50</v>
      </c>
      <c r="N145" s="8" t="s">
        <v>250</v>
      </c>
      <c r="O145" s="7"/>
      <c r="P145" s="2" t="s">
        <v>5716</v>
      </c>
      <c r="Q145" s="7"/>
      <c r="R145" s="1"/>
      <c r="S145" s="1" t="str">
        <f>"5-21/NOS-39-J/18"</f>
        <v>5-21/NOS-39-J/18</v>
      </c>
      <c r="T145" s="1" t="s">
        <v>32</v>
      </c>
    </row>
    <row r="146" spans="1:20" ht="102" x14ac:dyDescent="0.25">
      <c r="A146" s="6">
        <v>143</v>
      </c>
      <c r="B146" s="1" t="str">
        <f t="shared" si="8"/>
        <v>2018-2772</v>
      </c>
      <c r="C146" s="1" t="s">
        <v>339</v>
      </c>
      <c r="D146" s="1" t="s">
        <v>303</v>
      </c>
      <c r="E146" s="1" t="str">
        <f>""</f>
        <v/>
      </c>
      <c r="F146" s="1" t="s">
        <v>28</v>
      </c>
      <c r="G146" s="1" t="str">
        <f>CONCATENATE("DIJANEŽEVIĆ,"," OBRT ZA AUTOPRIJEVOZ I GRADNJU,"," VL. MIROSLAV DIJANEŽEVIĆ,"," STEPANSKA 64,"," 10412 DONJA LOMNICA,"," OIB: 77923502229")</f>
        <v>DIJANEŽEVIĆ, OBRT ZA AUTOPRIJEVOZ I GRADNJU, VL. MIROSLAV DIJANEŽEVIĆ, STEPANSKA 64, 10412 DONJA LOMNICA, OIB: 77923502229</v>
      </c>
      <c r="H146" s="7"/>
      <c r="I146" s="8" t="s">
        <v>327</v>
      </c>
      <c r="J146" s="8" t="s">
        <v>259</v>
      </c>
      <c r="K146" s="6" t="str">
        <f>"4.693.636,00"</f>
        <v>4.693.636,00</v>
      </c>
      <c r="L146" s="6" t="str">
        <f>"1.173.409,00"</f>
        <v>1.173.409,00</v>
      </c>
      <c r="M146" s="6" t="str">
        <f>"5.867.045,00"</f>
        <v>5.867.045,00</v>
      </c>
      <c r="N146" s="8" t="s">
        <v>250</v>
      </c>
      <c r="O146" s="7"/>
      <c r="P146" s="2" t="s">
        <v>5717</v>
      </c>
      <c r="Q146" s="7"/>
      <c r="R146" s="1"/>
      <c r="S146" s="1" t="str">
        <f>"6-21/NOS-39-J/18"</f>
        <v>6-21/NOS-39-J/18</v>
      </c>
      <c r="T146" s="1" t="s">
        <v>32</v>
      </c>
    </row>
    <row r="147" spans="1:20" ht="102" x14ac:dyDescent="0.25">
      <c r="A147" s="6">
        <v>144</v>
      </c>
      <c r="B147" s="1" t="str">
        <f t="shared" si="8"/>
        <v>2018-2772</v>
      </c>
      <c r="C147" s="1" t="s">
        <v>340</v>
      </c>
      <c r="D147" s="1" t="s">
        <v>303</v>
      </c>
      <c r="E147" s="1" t="str">
        <f>""</f>
        <v/>
      </c>
      <c r="F147" s="1" t="s">
        <v>28</v>
      </c>
      <c r="G147" s="1" t="str">
        <f>CONCATENATE("DIJANEŽEVIĆ,"," OBRT ZA AUTOPRIJEVOZ I GRADNJU,"," VL. MIROSLAV DIJANEŽEVIĆ,"," STEPANSKA 64,"," 10412 DONJA LOMNICA,"," OIB: 77923502229")</f>
        <v>DIJANEŽEVIĆ, OBRT ZA AUTOPRIJEVOZ I GRADNJU, VL. MIROSLAV DIJANEŽEVIĆ, STEPANSKA 64, 10412 DONJA LOMNICA, OIB: 77923502229</v>
      </c>
      <c r="H147" s="7"/>
      <c r="I147" s="8" t="s">
        <v>310</v>
      </c>
      <c r="J147" s="8" t="s">
        <v>305</v>
      </c>
      <c r="K147" s="6" t="str">
        <f>"4.285.321,00"</f>
        <v>4.285.321,00</v>
      </c>
      <c r="L147" s="6" t="str">
        <f>"1.071.330,25"</f>
        <v>1.071.330,25</v>
      </c>
      <c r="M147" s="6" t="str">
        <f>"5.356.651,25"</f>
        <v>5.356.651,25</v>
      </c>
      <c r="N147" s="8" t="s">
        <v>124</v>
      </c>
      <c r="O147" s="7"/>
      <c r="P147" s="2" t="s">
        <v>5614</v>
      </c>
      <c r="Q147" s="7"/>
      <c r="R147" s="1"/>
      <c r="S147" s="1" t="str">
        <f>"1-22/NOS-39-J/18"</f>
        <v>1-22/NOS-39-J/18</v>
      </c>
      <c r="T147" s="1" t="s">
        <v>32</v>
      </c>
    </row>
    <row r="148" spans="1:20" ht="102" x14ac:dyDescent="0.25">
      <c r="A148" s="6">
        <v>145</v>
      </c>
      <c r="B148" s="1" t="str">
        <f t="shared" ref="B148:B168" si="9">"2018-2772"</f>
        <v>2018-2772</v>
      </c>
      <c r="C148" s="1" t="s">
        <v>341</v>
      </c>
      <c r="D148" s="1" t="s">
        <v>303</v>
      </c>
      <c r="E148" s="1" t="str">
        <f>""</f>
        <v/>
      </c>
      <c r="F148" s="1" t="s">
        <v>28</v>
      </c>
      <c r="G148" s="1" t="str">
        <f>CONCATENATE("DIJANEŽEVIĆ,"," OBRT ZA AUTOPRIJEVOZ I GRADNJU,"," VL. MIROSLAV DIJANEŽEVIĆ,"," STEPANSKA 64,"," 10412 DONJA LOMNICA,"," OIB: 77923502229")</f>
        <v>DIJANEŽEVIĆ, OBRT ZA AUTOPRIJEVOZ I GRADNJU, VL. MIROSLAV DIJANEŽEVIĆ, STEPANSKA 64, 10412 DONJA LOMNICA, OIB: 77923502229</v>
      </c>
      <c r="H148" s="7"/>
      <c r="I148" s="8" t="s">
        <v>317</v>
      </c>
      <c r="J148" s="8" t="s">
        <v>305</v>
      </c>
      <c r="K148" s="6" t="str">
        <f>"126.930,00"</f>
        <v>126.930,00</v>
      </c>
      <c r="L148" s="6" t="str">
        <f>"31.732,50"</f>
        <v>31.732,50</v>
      </c>
      <c r="M148" s="6" t="str">
        <f>"158.662,50"</f>
        <v>158.662,50</v>
      </c>
      <c r="N148" s="8" t="s">
        <v>124</v>
      </c>
      <c r="O148" s="7"/>
      <c r="P148" s="2" t="s">
        <v>5614</v>
      </c>
      <c r="Q148" s="7"/>
      <c r="R148" s="1"/>
      <c r="S148" s="1" t="str">
        <f>"2-22/NOS-39-J/18"</f>
        <v>2-22/NOS-39-J/18</v>
      </c>
      <c r="T148" s="1" t="s">
        <v>32</v>
      </c>
    </row>
    <row r="149" spans="1:20" ht="409.5" x14ac:dyDescent="0.25">
      <c r="A149" s="6">
        <v>146</v>
      </c>
      <c r="B149" s="1" t="str">
        <f t="shared" si="9"/>
        <v>2018-2772</v>
      </c>
      <c r="C149" s="1" t="s">
        <v>342</v>
      </c>
      <c r="D149" s="1" t="s">
        <v>298</v>
      </c>
      <c r="E149" s="1" t="str">
        <f>"2018/S 0F2-0016776"</f>
        <v>2018/S 0F2-0016776</v>
      </c>
      <c r="F149" s="1" t="s">
        <v>22</v>
      </c>
      <c r="G149" s="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9"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9" s="8" t="s">
        <v>299</v>
      </c>
      <c r="J149" s="8" t="s">
        <v>300</v>
      </c>
      <c r="K149" s="6" t="str">
        <f>"10.000.000,00"</f>
        <v>10.000.000,00</v>
      </c>
      <c r="L149" s="6" t="str">
        <f>"2.500.000,00"</f>
        <v>2.500.000,00</v>
      </c>
      <c r="M149" s="6" t="str">
        <f>"12.500.000,00"</f>
        <v>12.500.000,00</v>
      </c>
      <c r="N149" s="8" t="s">
        <v>54</v>
      </c>
      <c r="O149" s="7"/>
      <c r="P149" s="2" t="s">
        <v>5614</v>
      </c>
      <c r="Q149" s="7"/>
      <c r="R149" s="1"/>
      <c r="S149" s="1" t="str">
        <f>"NOS-39-K/18"</f>
        <v>NOS-39-K/18</v>
      </c>
      <c r="T149" s="1" t="s">
        <v>32</v>
      </c>
    </row>
    <row r="150" spans="1:20" ht="102" x14ac:dyDescent="0.25">
      <c r="A150" s="6">
        <v>147</v>
      </c>
      <c r="B150" s="1" t="str">
        <f t="shared" si="9"/>
        <v>2018-2772</v>
      </c>
      <c r="C150" s="1" t="s">
        <v>343</v>
      </c>
      <c r="D150" s="1" t="s">
        <v>303</v>
      </c>
      <c r="E150" s="1" t="str">
        <f>""</f>
        <v/>
      </c>
      <c r="F150" s="1" t="s">
        <v>28</v>
      </c>
      <c r="G150" s="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50" s="7"/>
      <c r="I150" s="8" t="s">
        <v>327</v>
      </c>
      <c r="J150" s="8" t="s">
        <v>259</v>
      </c>
      <c r="K150" s="6" t="str">
        <f>"1.794.924,00"</f>
        <v>1.794.924,00</v>
      </c>
      <c r="L150" s="6" t="str">
        <f>"448.731,00"</f>
        <v>448.731,00</v>
      </c>
      <c r="M150" s="6" t="str">
        <f>"2.243.655,00"</f>
        <v>2.243.655,00</v>
      </c>
      <c r="N150" s="8" t="s">
        <v>261</v>
      </c>
      <c r="O150" s="7"/>
      <c r="P150" s="2" t="s">
        <v>5718</v>
      </c>
      <c r="Q150" s="7"/>
      <c r="R150" s="1"/>
      <c r="S150" s="1" t="str">
        <f>"1-21/NOS-39-K/18"</f>
        <v>1-21/NOS-39-K/18</v>
      </c>
      <c r="T150" s="1" t="s">
        <v>32</v>
      </c>
    </row>
    <row r="151" spans="1:20" ht="102" x14ac:dyDescent="0.25">
      <c r="A151" s="6">
        <v>148</v>
      </c>
      <c r="B151" s="1" t="str">
        <f t="shared" si="9"/>
        <v>2018-2772</v>
      </c>
      <c r="C151" s="1" t="s">
        <v>344</v>
      </c>
      <c r="D151" s="1" t="s">
        <v>303</v>
      </c>
      <c r="E151" s="1" t="str">
        <f>""</f>
        <v/>
      </c>
      <c r="F151" s="1" t="s">
        <v>28</v>
      </c>
      <c r="G151" s="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51" s="7"/>
      <c r="I151" s="8" t="s">
        <v>327</v>
      </c>
      <c r="J151" s="8" t="s">
        <v>259</v>
      </c>
      <c r="K151" s="6" t="str">
        <f>"198.888,00"</f>
        <v>198.888,00</v>
      </c>
      <c r="L151" s="6" t="str">
        <f>"49.722,00"</f>
        <v>49.722,00</v>
      </c>
      <c r="M151" s="6" t="str">
        <f>"248.610,00"</f>
        <v>248.610,00</v>
      </c>
      <c r="N151" s="8" t="s">
        <v>345</v>
      </c>
      <c r="O151" s="7"/>
      <c r="P151" s="2" t="s">
        <v>5719</v>
      </c>
      <c r="Q151" s="7"/>
      <c r="R151" s="1"/>
      <c r="S151" s="1" t="str">
        <f>"2-21/NOS-39-K/18"</f>
        <v>2-21/NOS-39-K/18</v>
      </c>
      <c r="T151" s="1" t="s">
        <v>32</v>
      </c>
    </row>
    <row r="152" spans="1:20" ht="102" x14ac:dyDescent="0.25">
      <c r="A152" s="6">
        <v>149</v>
      </c>
      <c r="B152" s="1" t="str">
        <f t="shared" si="9"/>
        <v>2018-2772</v>
      </c>
      <c r="C152" s="1" t="s">
        <v>346</v>
      </c>
      <c r="D152" s="1" t="s">
        <v>303</v>
      </c>
      <c r="E152" s="1" t="str">
        <f>""</f>
        <v/>
      </c>
      <c r="F152" s="1" t="s">
        <v>28</v>
      </c>
      <c r="G152" s="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52" s="7"/>
      <c r="I152" s="8" t="s">
        <v>102</v>
      </c>
      <c r="J152" s="8" t="s">
        <v>305</v>
      </c>
      <c r="K152" s="6" t="str">
        <f>"1.794.924,00"</f>
        <v>1.794.924,00</v>
      </c>
      <c r="L152" s="6" t="str">
        <f>"448.731,00"</f>
        <v>448.731,00</v>
      </c>
      <c r="M152" s="6" t="str">
        <f>"2.243.655,00"</f>
        <v>2.243.655,00</v>
      </c>
      <c r="N152" s="8" t="s">
        <v>124</v>
      </c>
      <c r="O152" s="7"/>
      <c r="P152" s="2" t="s">
        <v>5720</v>
      </c>
      <c r="Q152" s="7"/>
      <c r="R152" s="1"/>
      <c r="S152" s="1" t="str">
        <f>"1-22/NOS-39-K/18"</f>
        <v>1-22/NOS-39-K/18</v>
      </c>
      <c r="T152" s="1" t="s">
        <v>32</v>
      </c>
    </row>
    <row r="153" spans="1:20" ht="102" x14ac:dyDescent="0.25">
      <c r="A153" s="6">
        <v>150</v>
      </c>
      <c r="B153" s="1" t="str">
        <f t="shared" si="9"/>
        <v>2018-2772</v>
      </c>
      <c r="C153" s="1" t="s">
        <v>347</v>
      </c>
      <c r="D153" s="1" t="s">
        <v>303</v>
      </c>
      <c r="E153" s="1" t="str">
        <f>""</f>
        <v/>
      </c>
      <c r="F153" s="1" t="s">
        <v>28</v>
      </c>
      <c r="G153" s="1"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53" s="7"/>
      <c r="I153" s="8" t="s">
        <v>317</v>
      </c>
      <c r="J153" s="8" t="s">
        <v>305</v>
      </c>
      <c r="K153" s="6" t="str">
        <f>"189.734,00"</f>
        <v>189.734,00</v>
      </c>
      <c r="L153" s="6" t="str">
        <f>"47.433,50"</f>
        <v>47.433,50</v>
      </c>
      <c r="M153" s="6" t="str">
        <f>"237.167,50"</f>
        <v>237.167,50</v>
      </c>
      <c r="N153" s="8" t="s">
        <v>124</v>
      </c>
      <c r="O153" s="7"/>
      <c r="P153" s="2" t="s">
        <v>5721</v>
      </c>
      <c r="Q153" s="7"/>
      <c r="R153" s="1"/>
      <c r="S153" s="1" t="str">
        <f>"2-22/NOS-39-K/18"</f>
        <v>2-22/NOS-39-K/18</v>
      </c>
      <c r="T153" s="1" t="s">
        <v>32</v>
      </c>
    </row>
    <row r="154" spans="1:20" ht="409.5" x14ac:dyDescent="0.25">
      <c r="A154" s="6">
        <v>151</v>
      </c>
      <c r="B154" s="1" t="str">
        <f t="shared" si="9"/>
        <v>2018-2772</v>
      </c>
      <c r="C154" s="1" t="s">
        <v>348</v>
      </c>
      <c r="D154" s="1" t="s">
        <v>298</v>
      </c>
      <c r="E154" s="1" t="str">
        <f>"2018/S 0F2-0016776"</f>
        <v>2018/S 0F2-0016776</v>
      </c>
      <c r="F154" s="1" t="s">
        <v>22</v>
      </c>
      <c r="G154" s="1" t="str">
        <f>CONCATENATE("GIP PIONIR D.O.O.,"," ZAGREBAČKA 145B,"," 10000 ZAGREB,"," OIB: 38262788673")</f>
        <v>GIP PIONIR D.O.O., ZAGREBAČKA 145B, 10000 ZAGREB, OIB: 38262788673</v>
      </c>
      <c r="H154"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54" s="8" t="s">
        <v>299</v>
      </c>
      <c r="J154" s="8" t="s">
        <v>300</v>
      </c>
      <c r="K154" s="6" t="str">
        <f>"13.000.000,00"</f>
        <v>13.000.000,00</v>
      </c>
      <c r="L154" s="6" t="str">
        <f>"3.250.000,00"</f>
        <v>3.250.000,00</v>
      </c>
      <c r="M154" s="6" t="str">
        <f>"16.250.000,00"</f>
        <v>16.250.000,00</v>
      </c>
      <c r="N154" s="8" t="s">
        <v>301</v>
      </c>
      <c r="O154" s="7"/>
      <c r="P154" s="2" t="s">
        <v>5614</v>
      </c>
      <c r="Q154" s="7"/>
      <c r="R154" s="1"/>
      <c r="S154" s="1" t="str">
        <f>"NOS-39-L/18"</f>
        <v>NOS-39-L/18</v>
      </c>
      <c r="T154" s="1" t="s">
        <v>32</v>
      </c>
    </row>
    <row r="155" spans="1:20" ht="63.75" x14ac:dyDescent="0.25">
      <c r="A155" s="6">
        <v>152</v>
      </c>
      <c r="B155" s="1" t="str">
        <f t="shared" si="9"/>
        <v>2018-2772</v>
      </c>
      <c r="C155" s="1" t="s">
        <v>349</v>
      </c>
      <c r="D155" s="1" t="s">
        <v>303</v>
      </c>
      <c r="E155" s="1" t="str">
        <f>""</f>
        <v/>
      </c>
      <c r="F155" s="1" t="s">
        <v>28</v>
      </c>
      <c r="G155" s="1" t="str">
        <f>CONCATENATE("GIP PIONIR D.O.O.,"," ZAGREBAČKA 145B,"," 10000 ZAGREB,"," OIB: 38262788673")</f>
        <v>GIP PIONIR D.O.O., ZAGREBAČKA 145B, 10000 ZAGREB, OIB: 38262788673</v>
      </c>
      <c r="H155" s="7"/>
      <c r="I155" s="8" t="s">
        <v>327</v>
      </c>
      <c r="J155" s="8" t="s">
        <v>259</v>
      </c>
      <c r="K155" s="6" t="str">
        <f>"2.095.860,00"</f>
        <v>2.095.860,00</v>
      </c>
      <c r="L155" s="6" t="str">
        <f>"523.965,00"</f>
        <v>523.965,00</v>
      </c>
      <c r="M155" s="6" t="str">
        <f>"2.619.825,00"</f>
        <v>2.619.825,00</v>
      </c>
      <c r="N155" s="8" t="s">
        <v>350</v>
      </c>
      <c r="O155" s="7"/>
      <c r="P155" s="2" t="s">
        <v>5722</v>
      </c>
      <c r="Q155" s="7"/>
      <c r="R155" s="1"/>
      <c r="S155" s="1" t="str">
        <f>"1-21/NOS-39-L/18"</f>
        <v>1-21/NOS-39-L/18</v>
      </c>
      <c r="T155" s="1" t="s">
        <v>32</v>
      </c>
    </row>
    <row r="156" spans="1:20" ht="63.75" x14ac:dyDescent="0.25">
      <c r="A156" s="6">
        <v>153</v>
      </c>
      <c r="B156" s="1" t="str">
        <f t="shared" si="9"/>
        <v>2018-2772</v>
      </c>
      <c r="C156" s="1" t="s">
        <v>351</v>
      </c>
      <c r="D156" s="1" t="s">
        <v>303</v>
      </c>
      <c r="E156" s="1" t="str">
        <f>""</f>
        <v/>
      </c>
      <c r="F156" s="1" t="s">
        <v>28</v>
      </c>
      <c r="G156" s="1" t="str">
        <f>CONCATENATE("GIP PIONIR D.O.O.,"," ZAGREBAČKA 145B,"," 10000 ZAGREB,"," OIB: 38262788673")</f>
        <v>GIP PIONIR D.O.O., ZAGREBAČKA 145B, 10000 ZAGREB, OIB: 38262788673</v>
      </c>
      <c r="H156" s="7"/>
      <c r="I156" s="8" t="s">
        <v>102</v>
      </c>
      <c r="J156" s="8" t="s">
        <v>305</v>
      </c>
      <c r="K156" s="6" t="str">
        <f>"2.400.610,00"</f>
        <v>2.400.610,00</v>
      </c>
      <c r="L156" s="6" t="str">
        <f>"600.152,50"</f>
        <v>600.152,50</v>
      </c>
      <c r="M156" s="6" t="str">
        <f>"3.000.762,50"</f>
        <v>3.000.762,50</v>
      </c>
      <c r="N156" s="8" t="s">
        <v>124</v>
      </c>
      <c r="O156" s="7"/>
      <c r="P156" s="2" t="s">
        <v>5723</v>
      </c>
      <c r="Q156" s="7"/>
      <c r="R156" s="1"/>
      <c r="S156" s="1" t="str">
        <f>"1-22/NOS-39-L/18"</f>
        <v>1-22/NOS-39-L/18</v>
      </c>
      <c r="T156" s="1" t="s">
        <v>32</v>
      </c>
    </row>
    <row r="157" spans="1:20" ht="409.5" x14ac:dyDescent="0.25">
      <c r="A157" s="6">
        <v>154</v>
      </c>
      <c r="B157" s="1" t="str">
        <f t="shared" si="9"/>
        <v>2018-2772</v>
      </c>
      <c r="C157" s="1" t="s">
        <v>352</v>
      </c>
      <c r="D157" s="1" t="s">
        <v>298</v>
      </c>
      <c r="E157" s="1" t="str">
        <f>"2018/S 0F2-0016776"</f>
        <v>2018/S 0F2-0016776</v>
      </c>
      <c r="F157" s="1" t="s">
        <v>22</v>
      </c>
      <c r="G157" s="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57"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57" s="8" t="s">
        <v>299</v>
      </c>
      <c r="J157" s="8" t="s">
        <v>300</v>
      </c>
      <c r="K157" s="6" t="str">
        <f>"18.000.000,00"</f>
        <v>18.000.000,00</v>
      </c>
      <c r="L157" s="6" t="str">
        <f>"4.500.000,00"</f>
        <v>4.500.000,00</v>
      </c>
      <c r="M157" s="6" t="str">
        <f>"22.500.000,00"</f>
        <v>22.500.000,00</v>
      </c>
      <c r="N157" s="8" t="s">
        <v>301</v>
      </c>
      <c r="O157" s="7"/>
      <c r="P157" s="2" t="s">
        <v>5614</v>
      </c>
      <c r="Q157" s="7"/>
      <c r="R157" s="1"/>
      <c r="S157" s="1" t="str">
        <f>"NOS-39-M/18"</f>
        <v>NOS-39-M/18</v>
      </c>
      <c r="T157" s="1" t="s">
        <v>32</v>
      </c>
    </row>
    <row r="158" spans="1:20" ht="140.25" x14ac:dyDescent="0.25">
      <c r="A158" s="6">
        <v>155</v>
      </c>
      <c r="B158" s="1" t="str">
        <f t="shared" si="9"/>
        <v>2018-2772</v>
      </c>
      <c r="C158" s="1" t="s">
        <v>353</v>
      </c>
      <c r="D158" s="1" t="s">
        <v>303</v>
      </c>
      <c r="E158" s="1" t="str">
        <f>""</f>
        <v/>
      </c>
      <c r="F158" s="1" t="s">
        <v>28</v>
      </c>
      <c r="G158" s="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58" s="7"/>
      <c r="I158" s="8" t="s">
        <v>327</v>
      </c>
      <c r="J158" s="8" t="s">
        <v>259</v>
      </c>
      <c r="K158" s="6" t="str">
        <f>"3.472.987,50"</f>
        <v>3.472.987,50</v>
      </c>
      <c r="L158" s="6" t="str">
        <f>"868.246,88"</f>
        <v>868.246,88</v>
      </c>
      <c r="M158" s="6" t="str">
        <f>"4.341.234,38"</f>
        <v>4.341.234,38</v>
      </c>
      <c r="N158" s="8" t="s">
        <v>354</v>
      </c>
      <c r="O158" s="7"/>
      <c r="P158" s="2" t="s">
        <v>5724</v>
      </c>
      <c r="Q158" s="7"/>
      <c r="R158" s="1"/>
      <c r="S158" s="1" t="str">
        <f>"1-21/NOS-39-M/18"</f>
        <v>1-21/NOS-39-M/18</v>
      </c>
      <c r="T158" s="1" t="s">
        <v>32</v>
      </c>
    </row>
    <row r="159" spans="1:20" ht="140.25" x14ac:dyDescent="0.25">
      <c r="A159" s="6">
        <v>156</v>
      </c>
      <c r="B159" s="1" t="str">
        <f t="shared" si="9"/>
        <v>2018-2772</v>
      </c>
      <c r="C159" s="1" t="s">
        <v>355</v>
      </c>
      <c r="D159" s="1" t="s">
        <v>303</v>
      </c>
      <c r="E159" s="1" t="str">
        <f>""</f>
        <v/>
      </c>
      <c r="F159" s="1" t="s">
        <v>28</v>
      </c>
      <c r="G159" s="1"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59" s="7"/>
      <c r="I159" s="8" t="s">
        <v>102</v>
      </c>
      <c r="J159" s="8" t="s">
        <v>305</v>
      </c>
      <c r="K159" s="6" t="str">
        <f>"3.090.989,00"</f>
        <v>3.090.989,00</v>
      </c>
      <c r="L159" s="6" t="str">
        <f>"772.747,25"</f>
        <v>772.747,25</v>
      </c>
      <c r="M159" s="6" t="str">
        <f>"3.863.736,25"</f>
        <v>3.863.736,25</v>
      </c>
      <c r="N159" s="8" t="s">
        <v>124</v>
      </c>
      <c r="O159" s="7"/>
      <c r="P159" s="2" t="s">
        <v>5725</v>
      </c>
      <c r="Q159" s="7"/>
      <c r="R159" s="1"/>
      <c r="S159" s="1" t="str">
        <f>"1-22/NOS-39-M/18"</f>
        <v>1-22/NOS-39-M/18</v>
      </c>
      <c r="T159" s="1" t="s">
        <v>32</v>
      </c>
    </row>
    <row r="160" spans="1:20" ht="409.5" x14ac:dyDescent="0.25">
      <c r="A160" s="6">
        <v>157</v>
      </c>
      <c r="B160" s="1" t="str">
        <f t="shared" si="9"/>
        <v>2018-2772</v>
      </c>
      <c r="C160" s="1" t="s">
        <v>356</v>
      </c>
      <c r="D160" s="1" t="s">
        <v>298</v>
      </c>
      <c r="E160" s="1" t="str">
        <f>"2018/S 0F2-0016776"</f>
        <v>2018/S 0F2-0016776</v>
      </c>
      <c r="F160" s="1" t="s">
        <v>22</v>
      </c>
      <c r="G160" s="1" t="str">
        <f>CONCATENATE("KINDER GRADNJA D.O.O.,"," SELSKA 57,"," 10360 SESVETE,"," OIB: 71001411174")</f>
        <v>KINDER GRADNJA D.O.O., SELSKA 57, 10360 SESVETE, OIB: 71001411174</v>
      </c>
      <c r="H160"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60" s="8" t="s">
        <v>299</v>
      </c>
      <c r="J160" s="8" t="s">
        <v>300</v>
      </c>
      <c r="K160" s="6" t="str">
        <f>"7.000.000,00"</f>
        <v>7.000.000,00</v>
      </c>
      <c r="L160" s="6" t="str">
        <f>"1.750.000,00"</f>
        <v>1.750.000,00</v>
      </c>
      <c r="M160" s="6" t="str">
        <f>"8.750.000,00"</f>
        <v>8.750.000,00</v>
      </c>
      <c r="N160" s="8" t="s">
        <v>301</v>
      </c>
      <c r="O160" s="7"/>
      <c r="P160" s="2" t="s">
        <v>5614</v>
      </c>
      <c r="Q160" s="7"/>
      <c r="R160" s="1"/>
      <c r="S160" s="1" t="str">
        <f>"NOS-39-N/18"</f>
        <v>NOS-39-N/18</v>
      </c>
      <c r="T160" s="1" t="s">
        <v>32</v>
      </c>
    </row>
    <row r="161" spans="1:20" ht="63.75" x14ac:dyDescent="0.25">
      <c r="A161" s="6">
        <v>158</v>
      </c>
      <c r="B161" s="1" t="str">
        <f t="shared" si="9"/>
        <v>2018-2772</v>
      </c>
      <c r="C161" s="1" t="s">
        <v>357</v>
      </c>
      <c r="D161" s="1" t="s">
        <v>303</v>
      </c>
      <c r="E161" s="1" t="str">
        <f>""</f>
        <v/>
      </c>
      <c r="F161" s="1" t="s">
        <v>28</v>
      </c>
      <c r="G161" s="1" t="str">
        <f>CONCATENATE("KINDER GRADNJA D.O.O.,"," SELSKA 57,"," 10360 SESVETE,"," OIB: 71001411174")</f>
        <v>KINDER GRADNJA D.O.O., SELSKA 57, 10360 SESVETE, OIB: 71001411174</v>
      </c>
      <c r="H161" s="7"/>
      <c r="I161" s="8" t="s">
        <v>327</v>
      </c>
      <c r="J161" s="8" t="s">
        <v>259</v>
      </c>
      <c r="K161" s="6" t="str">
        <f>"1.446.400,00"</f>
        <v>1.446.400,00</v>
      </c>
      <c r="L161" s="6" t="str">
        <f>"361.600,00"</f>
        <v>361.600,00</v>
      </c>
      <c r="M161" s="6" t="str">
        <f>"1.808.000,00"</f>
        <v>1.808.000,00</v>
      </c>
      <c r="N161" s="8" t="s">
        <v>250</v>
      </c>
      <c r="O161" s="7"/>
      <c r="P161" s="2" t="s">
        <v>5726</v>
      </c>
      <c r="Q161" s="7"/>
      <c r="R161" s="1"/>
      <c r="S161" s="1" t="str">
        <f>"1-21/NOS-39-N/18"</f>
        <v>1-21/NOS-39-N/18</v>
      </c>
      <c r="T161" s="1" t="s">
        <v>32</v>
      </c>
    </row>
    <row r="162" spans="1:20" ht="63.75" x14ac:dyDescent="0.25">
      <c r="A162" s="6">
        <v>159</v>
      </c>
      <c r="B162" s="1" t="str">
        <f t="shared" si="9"/>
        <v>2018-2772</v>
      </c>
      <c r="C162" s="1" t="s">
        <v>358</v>
      </c>
      <c r="D162" s="1" t="s">
        <v>303</v>
      </c>
      <c r="E162" s="1" t="str">
        <f>""</f>
        <v/>
      </c>
      <c r="F162" s="1" t="s">
        <v>28</v>
      </c>
      <c r="G162" s="1" t="str">
        <f>CONCATENATE("KINDER GRADNJA D.O.O.,"," SELSKA 57,"," 10360 SESVETE,"," OIB: 71001411174")</f>
        <v>KINDER GRADNJA D.O.O., SELSKA 57, 10360 SESVETE, OIB: 71001411174</v>
      </c>
      <c r="H162" s="7"/>
      <c r="I162" s="8" t="s">
        <v>102</v>
      </c>
      <c r="J162" s="8" t="s">
        <v>305</v>
      </c>
      <c r="K162" s="6" t="str">
        <f>"1.618.945,00"</f>
        <v>1.618.945,00</v>
      </c>
      <c r="L162" s="6" t="str">
        <f>"404.736,25"</f>
        <v>404.736,25</v>
      </c>
      <c r="M162" s="6" t="str">
        <f>"2.023.681,25"</f>
        <v>2.023.681,25</v>
      </c>
      <c r="N162" s="8" t="s">
        <v>124</v>
      </c>
      <c r="O162" s="7"/>
      <c r="P162" s="2" t="s">
        <v>5727</v>
      </c>
      <c r="Q162" s="7"/>
      <c r="R162" s="1"/>
      <c r="S162" s="1" t="str">
        <f>"1-22/NOS-39-N/18"</f>
        <v>1-22/NOS-39-N/18</v>
      </c>
      <c r="T162" s="1" t="s">
        <v>32</v>
      </c>
    </row>
    <row r="163" spans="1:20" ht="409.5" x14ac:dyDescent="0.25">
      <c r="A163" s="6">
        <v>160</v>
      </c>
      <c r="B163" s="1" t="str">
        <f t="shared" si="9"/>
        <v>2018-2772</v>
      </c>
      <c r="C163" s="1" t="s">
        <v>359</v>
      </c>
      <c r="D163" s="1" t="s">
        <v>298</v>
      </c>
      <c r="E163" s="1" t="str">
        <f>"2018/S 0F2-0016776"</f>
        <v>2018/S 0F2-0016776</v>
      </c>
      <c r="F163" s="1" t="s">
        <v>22</v>
      </c>
      <c r="G163" s="1" t="str">
        <f>CONCATENATE("P.G.P. D.O.O.,"," KUTJEVAČKA 8,"," 10000 ZAGREB,"," OIB: 1298877269")</f>
        <v>P.G.P. D.O.O., KUTJEVAČKA 8, 10000 ZAGREB, OIB: 1298877269</v>
      </c>
      <c r="H163"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63" s="8" t="s">
        <v>299</v>
      </c>
      <c r="J163" s="8" t="s">
        <v>300</v>
      </c>
      <c r="K163" s="6" t="str">
        <f>"8.000.000,00"</f>
        <v>8.000.000,00</v>
      </c>
      <c r="L163" s="6" t="str">
        <f>"2.000.000,00"</f>
        <v>2.000.000,00</v>
      </c>
      <c r="M163" s="6" t="str">
        <f>"10.000.000,00"</f>
        <v>10.000.000,00</v>
      </c>
      <c r="N163" s="8" t="s">
        <v>301</v>
      </c>
      <c r="O163" s="7"/>
      <c r="P163" s="2" t="s">
        <v>5614</v>
      </c>
      <c r="Q163" s="7"/>
      <c r="R163" s="1"/>
      <c r="S163" s="1" t="str">
        <f>"NOS-39-O/18"</f>
        <v>NOS-39-O/18</v>
      </c>
      <c r="T163" s="1" t="s">
        <v>32</v>
      </c>
    </row>
    <row r="164" spans="1:20" ht="63.75" x14ac:dyDescent="0.25">
      <c r="A164" s="6">
        <v>161</v>
      </c>
      <c r="B164" s="1" t="str">
        <f t="shared" si="9"/>
        <v>2018-2772</v>
      </c>
      <c r="C164" s="1" t="s">
        <v>360</v>
      </c>
      <c r="D164" s="1" t="s">
        <v>303</v>
      </c>
      <c r="E164" s="1" t="str">
        <f>""</f>
        <v/>
      </c>
      <c r="F164" s="1" t="s">
        <v>28</v>
      </c>
      <c r="G164" s="1" t="str">
        <f>CONCATENATE("P.G.P. D.O.O.,"," KUTJEVAČKA 8,"," 10000 ZAGREB,"," OIB: 1298877269")</f>
        <v>P.G.P. D.O.O., KUTJEVAČKA 8, 10000 ZAGREB, OIB: 1298877269</v>
      </c>
      <c r="H164" s="7"/>
      <c r="I164" s="8" t="s">
        <v>327</v>
      </c>
      <c r="J164" s="8" t="s">
        <v>259</v>
      </c>
      <c r="K164" s="6" t="str">
        <f>"1.066.000,00"</f>
        <v>1.066.000,00</v>
      </c>
      <c r="L164" s="6" t="str">
        <f>"266.500,00"</f>
        <v>266.500,00</v>
      </c>
      <c r="M164" s="6" t="str">
        <f>"1.332.500,00"</f>
        <v>1.332.500,00</v>
      </c>
      <c r="N164" s="8" t="s">
        <v>354</v>
      </c>
      <c r="O164" s="7"/>
      <c r="P164" s="2" t="s">
        <v>5728</v>
      </c>
      <c r="Q164" s="7"/>
      <c r="R164" s="1"/>
      <c r="S164" s="1" t="str">
        <f>"1-21/NOS-39-O/18"</f>
        <v>1-21/NOS-39-O/18</v>
      </c>
      <c r="T164" s="1" t="s">
        <v>32</v>
      </c>
    </row>
    <row r="165" spans="1:20" ht="63.75" x14ac:dyDescent="0.25">
      <c r="A165" s="6">
        <v>162</v>
      </c>
      <c r="B165" s="1" t="str">
        <f t="shared" si="9"/>
        <v>2018-2772</v>
      </c>
      <c r="C165" s="1" t="s">
        <v>361</v>
      </c>
      <c r="D165" s="1" t="s">
        <v>303</v>
      </c>
      <c r="E165" s="1" t="str">
        <f>""</f>
        <v/>
      </c>
      <c r="F165" s="1" t="s">
        <v>28</v>
      </c>
      <c r="G165" s="1" t="str">
        <f>CONCATENATE("P.G.P. D.O.O.,"," KUTJEVAČKA 8,"," 10000 ZAGREB,"," OIB: 1298877269")</f>
        <v>P.G.P. D.O.O., KUTJEVAČKA 8, 10000 ZAGREB, OIB: 1298877269</v>
      </c>
      <c r="H165" s="7"/>
      <c r="I165" s="8" t="s">
        <v>102</v>
      </c>
      <c r="J165" s="8" t="s">
        <v>305</v>
      </c>
      <c r="K165" s="6" t="str">
        <f>"1.240.870,00"</f>
        <v>1.240.870,00</v>
      </c>
      <c r="L165" s="6" t="str">
        <f>"310.217,50"</f>
        <v>310.217,50</v>
      </c>
      <c r="M165" s="6" t="str">
        <f>"1.551.087,50"</f>
        <v>1.551.087,50</v>
      </c>
      <c r="N165" s="8" t="s">
        <v>124</v>
      </c>
      <c r="O165" s="7"/>
      <c r="P165" s="2" t="s">
        <v>5729</v>
      </c>
      <c r="Q165" s="7"/>
      <c r="R165" s="1"/>
      <c r="S165" s="1" t="str">
        <f>"1-22/NOS-39-O/18"</f>
        <v>1-22/NOS-39-O/18</v>
      </c>
      <c r="T165" s="1" t="s">
        <v>32</v>
      </c>
    </row>
    <row r="166" spans="1:20" ht="409.5" x14ac:dyDescent="0.25">
      <c r="A166" s="6">
        <v>163</v>
      </c>
      <c r="B166" s="1" t="str">
        <f t="shared" si="9"/>
        <v>2018-2772</v>
      </c>
      <c r="C166" s="1" t="s">
        <v>362</v>
      </c>
      <c r="D166" s="1" t="s">
        <v>298</v>
      </c>
      <c r="E166" s="1" t="str">
        <f>"2018/S 0F2-0016776"</f>
        <v>2018/S 0F2-0016776</v>
      </c>
      <c r="F166" s="1" t="s">
        <v>22</v>
      </c>
      <c r="G166" s="1" t="str">
        <f>CONCATENATE("NERING D.O.O.,"," LIVADARSKI PUT 24,"," 10360 SESVETE,"," OIB: 85965934616")</f>
        <v>NERING D.O.O., LIVADARSKI PUT 24, 10360 SESVETE, OIB: 85965934616</v>
      </c>
      <c r="H166" s="1"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66" s="8" t="s">
        <v>299</v>
      </c>
      <c r="J166" s="8" t="s">
        <v>300</v>
      </c>
      <c r="K166" s="6" t="str">
        <f>"2.200.000,00"</f>
        <v>2.200.000,00</v>
      </c>
      <c r="L166" s="6" t="str">
        <f>"550.000,00"</f>
        <v>550.000,00</v>
      </c>
      <c r="M166" s="6" t="str">
        <f>"2.750.000,00"</f>
        <v>2.750.000,00</v>
      </c>
      <c r="N166" s="8" t="s">
        <v>301</v>
      </c>
      <c r="O166" s="7"/>
      <c r="P166" s="2" t="s">
        <v>5614</v>
      </c>
      <c r="Q166" s="7"/>
      <c r="R166" s="1"/>
      <c r="S166" s="1" t="str">
        <f>"NOS-39-P/18"</f>
        <v>NOS-39-P/18</v>
      </c>
      <c r="T166" s="1" t="s">
        <v>32</v>
      </c>
    </row>
    <row r="167" spans="1:20" ht="63.75" x14ac:dyDescent="0.25">
      <c r="A167" s="6">
        <v>164</v>
      </c>
      <c r="B167" s="1" t="str">
        <f t="shared" si="9"/>
        <v>2018-2772</v>
      </c>
      <c r="C167" s="1" t="s">
        <v>363</v>
      </c>
      <c r="D167" s="1" t="s">
        <v>303</v>
      </c>
      <c r="E167" s="1" t="str">
        <f>""</f>
        <v/>
      </c>
      <c r="F167" s="1" t="s">
        <v>28</v>
      </c>
      <c r="G167" s="1" t="str">
        <f>CONCATENATE("NERING D.O.O.,"," LIVADARSKI PUT 24,"," 10360 SESVETE,"," OIB: 85965934616")</f>
        <v>NERING D.O.O., LIVADARSKI PUT 24, 10360 SESVETE, OIB: 85965934616</v>
      </c>
      <c r="H167" s="7"/>
      <c r="I167" s="8" t="s">
        <v>327</v>
      </c>
      <c r="J167" s="8" t="s">
        <v>259</v>
      </c>
      <c r="K167" s="6" t="str">
        <f>"269.000,00"</f>
        <v>269.000,00</v>
      </c>
      <c r="L167" s="6" t="str">
        <f>"67.250,00"</f>
        <v>67.250,00</v>
      </c>
      <c r="M167" s="6" t="str">
        <f>"336.250,00"</f>
        <v>336.250,00</v>
      </c>
      <c r="N167" s="8" t="s">
        <v>124</v>
      </c>
      <c r="O167" s="7"/>
      <c r="P167" s="2" t="s">
        <v>5614</v>
      </c>
      <c r="Q167" s="7"/>
      <c r="R167" s="1"/>
      <c r="S167" s="1" t="str">
        <f>"1-21/NOS-39-P/18"</f>
        <v>1-21/NOS-39-P/18</v>
      </c>
      <c r="T167" s="1" t="s">
        <v>32</v>
      </c>
    </row>
    <row r="168" spans="1:20" ht="51" x14ac:dyDescent="0.25">
      <c r="A168" s="6">
        <v>165</v>
      </c>
      <c r="B168" s="1" t="str">
        <f t="shared" si="9"/>
        <v>2018-2772</v>
      </c>
      <c r="C168" s="1" t="s">
        <v>364</v>
      </c>
      <c r="D168" s="1" t="s">
        <v>303</v>
      </c>
      <c r="E168" s="1" t="str">
        <f>""</f>
        <v/>
      </c>
      <c r="F168" s="1" t="s">
        <v>28</v>
      </c>
      <c r="G168" s="1" t="str">
        <f>CONCATENATE("NERING D.O.O.,"," LIVADARSKI PUT 24,"," 10360 SESVETE,"," OIB: 85965934616")</f>
        <v>NERING D.O.O., LIVADARSKI PUT 24, 10360 SESVETE, OIB: 85965934616</v>
      </c>
      <c r="H168" s="7"/>
      <c r="I168" s="8" t="s">
        <v>365</v>
      </c>
      <c r="J168" s="8" t="s">
        <v>305</v>
      </c>
      <c r="K168" s="6" t="str">
        <f>"307.600,00"</f>
        <v>307.600,00</v>
      </c>
      <c r="L168" s="6" t="str">
        <f>"76.900,00"</f>
        <v>76.900,00</v>
      </c>
      <c r="M168" s="6" t="str">
        <f>"384.500,00"</f>
        <v>384.500,00</v>
      </c>
      <c r="N168" s="8" t="s">
        <v>124</v>
      </c>
      <c r="O168" s="7"/>
      <c r="P168" s="2" t="s">
        <v>5614</v>
      </c>
      <c r="Q168" s="7"/>
      <c r="R168" s="1"/>
      <c r="S168" s="1" t="str">
        <f>"1-22/NOS-39-P/18"</f>
        <v>1-22/NOS-39-P/18</v>
      </c>
      <c r="T168" s="1" t="s">
        <v>32</v>
      </c>
    </row>
    <row r="169" spans="1:20" ht="140.25" x14ac:dyDescent="0.25">
      <c r="A169" s="6">
        <v>166</v>
      </c>
      <c r="B169" s="1" t="str">
        <f t="shared" ref="B169:B175" si="10">"2018-2928"</f>
        <v>2018-2928</v>
      </c>
      <c r="C169" s="1" t="s">
        <v>366</v>
      </c>
      <c r="D169" s="1" t="s">
        <v>267</v>
      </c>
      <c r="E169" s="1" t="str">
        <f>"2018/S 0F2-0012619"</f>
        <v>2018/S 0F2-0012619</v>
      </c>
      <c r="F169" s="1" t="s">
        <v>22</v>
      </c>
      <c r="G169" s="1" t="str">
        <f>CONCATENATE("OTIS DIZALA D.O.O.,"," PRILAZ VLADISLAVA BRAJKOVIĆA 15,"," 10000 ZAGREB,"," OIB: 76080865307",CHAR(10),"",CHAR(10),"TK ELEVATOR EASTERN EUROPE GMBH,"," FALLEROVO ŠETALIŠTE 22,"," 10000 ZAGREB,"," OIB: 94505281348")</f>
        <v>OTIS DIZALA D.O.O., PRILAZ VLADISLAVA BRAJKOVIĆA 15, 10000 ZAGREB, OIB: 76080865307
TK ELEVATOR EASTERN EUROPE GMBH, FALLEROVO ŠETALIŠTE 22, 10000 ZAGREB, OIB: 94505281348</v>
      </c>
      <c r="H169" s="7"/>
      <c r="I169" s="8" t="s">
        <v>367</v>
      </c>
      <c r="J169" s="8" t="s">
        <v>54</v>
      </c>
      <c r="K169" s="6" t="str">
        <f>"1.250.000,00"</f>
        <v>1.250.000,00</v>
      </c>
      <c r="L169" s="6" t="str">
        <f>"312.500,00"</f>
        <v>312.500,00</v>
      </c>
      <c r="M169" s="6" t="str">
        <f>"1.562.500,00"</f>
        <v>1.562.500,00</v>
      </c>
      <c r="N169" s="8" t="s">
        <v>368</v>
      </c>
      <c r="O169" s="7"/>
      <c r="P169" s="2" t="s">
        <v>5614</v>
      </c>
      <c r="Q169" s="7"/>
      <c r="R169" s="1" t="s">
        <v>288</v>
      </c>
      <c r="S169" s="1" t="str">
        <f>"NOS-41-A/18"</f>
        <v>NOS-41-A/18</v>
      </c>
      <c r="T169" s="1" t="s">
        <v>86</v>
      </c>
    </row>
    <row r="170" spans="1:20" ht="63.75" x14ac:dyDescent="0.25">
      <c r="A170" s="6">
        <v>167</v>
      </c>
      <c r="B170" s="1" t="str">
        <f t="shared" si="10"/>
        <v>2018-2928</v>
      </c>
      <c r="C170" s="1" t="s">
        <v>369</v>
      </c>
      <c r="D170" s="1" t="s">
        <v>267</v>
      </c>
      <c r="E170" s="1" t="str">
        <f>""</f>
        <v/>
      </c>
      <c r="F170" s="1" t="s">
        <v>28</v>
      </c>
      <c r="G170" s="1" t="str">
        <f>CONCATENATE("TK ELEVATOR EASTERN EUROPE GMBH,"," FALLEROVO ŠETALIŠTE 22,"," 10000 ZAGREB,"," OIB: 94505281348")</f>
        <v>TK ELEVATOR EASTERN EUROPE GMBH, FALLEROVO ŠETALIŠTE 22, 10000 ZAGREB, OIB: 94505281348</v>
      </c>
      <c r="H170" s="7"/>
      <c r="I170" s="8" t="s">
        <v>370</v>
      </c>
      <c r="J170" s="8" t="s">
        <v>93</v>
      </c>
      <c r="K170" s="6" t="str">
        <f>"3.600,00"</f>
        <v>3.600,00</v>
      </c>
      <c r="L170" s="6" t="str">
        <f>"900,00"</f>
        <v>900,00</v>
      </c>
      <c r="M170" s="6" t="str">
        <f>"4.500,00"</f>
        <v>4.500,00</v>
      </c>
      <c r="N170" s="8" t="s">
        <v>371</v>
      </c>
      <c r="O170" s="7"/>
      <c r="P170" s="2" t="s">
        <v>5730</v>
      </c>
      <c r="Q170" s="7"/>
      <c r="R170" s="1"/>
      <c r="S170" s="1" t="str">
        <f>"1-21/NOS-41-A/18"</f>
        <v>1-21/NOS-41-A/18</v>
      </c>
      <c r="T170" s="1" t="s">
        <v>86</v>
      </c>
    </row>
    <row r="171" spans="1:20" ht="63.75" x14ac:dyDescent="0.25">
      <c r="A171" s="6">
        <v>168</v>
      </c>
      <c r="B171" s="1" t="str">
        <f t="shared" si="10"/>
        <v>2018-2928</v>
      </c>
      <c r="C171" s="1" t="s">
        <v>366</v>
      </c>
      <c r="D171" s="1" t="s">
        <v>267</v>
      </c>
      <c r="E171" s="1" t="str">
        <f>""</f>
        <v/>
      </c>
      <c r="F171" s="1" t="s">
        <v>28</v>
      </c>
      <c r="G171" s="1" t="str">
        <f>CONCATENATE("TK ELEVATOR EASTERN EUROPE GMBH,"," FALLEROVO ŠETALIŠTE 22,"," 10000 ZAGREB,"," OIB: 94505281348")</f>
        <v>TK ELEVATOR EASTERN EUROPE GMBH, FALLEROVO ŠETALIŠTE 22, 10000 ZAGREB, OIB: 94505281348</v>
      </c>
      <c r="H171" s="7"/>
      <c r="I171" s="8" t="s">
        <v>372</v>
      </c>
      <c r="J171" s="8" t="s">
        <v>373</v>
      </c>
      <c r="K171" s="6" t="str">
        <f>"12.400,00"</f>
        <v>12.400,00</v>
      </c>
      <c r="L171" s="6" t="str">
        <f>"0,00"</f>
        <v>0,00</v>
      </c>
      <c r="M171" s="6" t="str">
        <f>"12.400,00"</f>
        <v>12.400,00</v>
      </c>
      <c r="N171" s="8" t="s">
        <v>124</v>
      </c>
      <c r="O171" s="7"/>
      <c r="P171" s="2" t="s">
        <v>5614</v>
      </c>
      <c r="Q171" s="7"/>
      <c r="R171" s="1"/>
      <c r="S171" s="1" t="str">
        <f>"1-22/NOS-41-A/18"</f>
        <v>1-22/NOS-41-A/18</v>
      </c>
      <c r="T171" s="1" t="s">
        <v>86</v>
      </c>
    </row>
    <row r="172" spans="1:20" ht="63.75" x14ac:dyDescent="0.25">
      <c r="A172" s="6">
        <v>169</v>
      </c>
      <c r="B172" s="1" t="str">
        <f t="shared" si="10"/>
        <v>2018-2928</v>
      </c>
      <c r="C172" s="1" t="s">
        <v>366</v>
      </c>
      <c r="D172" s="1" t="s">
        <v>267</v>
      </c>
      <c r="E172" s="1" t="str">
        <f>""</f>
        <v/>
      </c>
      <c r="F172" s="1" t="s">
        <v>28</v>
      </c>
      <c r="G172" s="1" t="str">
        <f>CONCATENATE("TK ELEVATOR EASTERN EUROPE GMBH,"," FALLEROVO ŠETALIŠTE 22,"," 10000 ZAGREB,"," OIB: 94505281348")</f>
        <v>TK ELEVATOR EASTERN EUROPE GMBH, FALLEROVO ŠETALIŠTE 22, 10000 ZAGREB, OIB: 94505281348</v>
      </c>
      <c r="H172" s="7"/>
      <c r="I172" s="8" t="s">
        <v>374</v>
      </c>
      <c r="J172" s="8" t="s">
        <v>375</v>
      </c>
      <c r="K172" s="6" t="str">
        <f>"10.140,00"</f>
        <v>10.140,00</v>
      </c>
      <c r="L172" s="6" t="str">
        <f>"0,00"</f>
        <v>0,00</v>
      </c>
      <c r="M172" s="6" t="str">
        <f>"10.140,00"</f>
        <v>10.140,00</v>
      </c>
      <c r="N172" s="8" t="s">
        <v>124</v>
      </c>
      <c r="O172" s="7"/>
      <c r="P172" s="2" t="s">
        <v>5614</v>
      </c>
      <c r="Q172" s="7"/>
      <c r="R172" s="1"/>
      <c r="S172" s="1" t="str">
        <f>"2-22/NOS-41-A/18"</f>
        <v>2-22/NOS-41-A/18</v>
      </c>
      <c r="T172" s="1" t="s">
        <v>86</v>
      </c>
    </row>
    <row r="173" spans="1:20" ht="140.25" x14ac:dyDescent="0.25">
      <c r="A173" s="6">
        <v>170</v>
      </c>
      <c r="B173" s="1" t="str">
        <f t="shared" si="10"/>
        <v>2018-2928</v>
      </c>
      <c r="C173" s="1" t="s">
        <v>376</v>
      </c>
      <c r="D173" s="1" t="s">
        <v>267</v>
      </c>
      <c r="E173" s="1" t="str">
        <f>"2018/S 0F2-0012619"</f>
        <v>2018/S 0F2-0012619</v>
      </c>
      <c r="F173" s="1" t="s">
        <v>22</v>
      </c>
      <c r="G173" s="1" t="str">
        <f>CONCATENATE("OTIS DIZALA D.O.O.,"," PRILAZ VLADISLAVA BRAJKOVIĆA 15,"," 10000 ZAGREB,"," OIB: 76080865307",CHAR(10),"",CHAR(10),"KONE d.o.o.,"," ZAGREBAČKA CESTA 145A/III,"," 10000 ZAGREB,"," OIB: 15526597734")</f>
        <v>OTIS DIZALA D.O.O., PRILAZ VLADISLAVA BRAJKOVIĆA 15, 10000 ZAGREB, OIB: 76080865307
KONE d.o.o., ZAGREBAČKA CESTA 145A/III, 10000 ZAGREB, OIB: 15526597734</v>
      </c>
      <c r="H173" s="7"/>
      <c r="I173" s="8" t="s">
        <v>367</v>
      </c>
      <c r="J173" s="8" t="s">
        <v>377</v>
      </c>
      <c r="K173" s="6" t="str">
        <f>"250.000,00"</f>
        <v>250.000,00</v>
      </c>
      <c r="L173" s="6" t="str">
        <f>"62.500,00"</f>
        <v>62.500,00</v>
      </c>
      <c r="M173" s="6" t="str">
        <f>"312.500,00"</f>
        <v>312.500,00</v>
      </c>
      <c r="N173" s="8" t="s">
        <v>368</v>
      </c>
      <c r="O173" s="7"/>
      <c r="P173" s="2" t="s">
        <v>5614</v>
      </c>
      <c r="Q173" s="7"/>
      <c r="R173" s="1" t="s">
        <v>378</v>
      </c>
      <c r="S173" s="1" t="str">
        <f>"NOS-41-B/18"</f>
        <v>NOS-41-B/18</v>
      </c>
      <c r="T173" s="1" t="s">
        <v>86</v>
      </c>
    </row>
    <row r="174" spans="1:20" ht="89.25" x14ac:dyDescent="0.25">
      <c r="A174" s="6">
        <v>171</v>
      </c>
      <c r="B174" s="1" t="str">
        <f t="shared" si="10"/>
        <v>2018-2928</v>
      </c>
      <c r="C174" s="1" t="s">
        <v>379</v>
      </c>
      <c r="D174" s="1" t="s">
        <v>267</v>
      </c>
      <c r="E174" s="1" t="str">
        <f>""</f>
        <v/>
      </c>
      <c r="F174" s="1" t="s">
        <v>28</v>
      </c>
      <c r="G174" s="1" t="str">
        <f>CONCATENATE("OTIS DIZALA D.O.O.,"," PRILAZ VLADISLAVA BRAJKOVIĆA 15,"," 10000 ZAGREB,"," OIB: 76080865307")</f>
        <v>OTIS DIZALA D.O.O., PRILAZ VLADISLAVA BRAJKOVIĆA 15, 10000 ZAGREB, OIB: 76080865307</v>
      </c>
      <c r="H174" s="7"/>
      <c r="I174" s="8" t="s">
        <v>213</v>
      </c>
      <c r="J174" s="8" t="s">
        <v>207</v>
      </c>
      <c r="K174" s="6" t="str">
        <f>"12.960,00"</f>
        <v>12.960,00</v>
      </c>
      <c r="L174" s="6" t="str">
        <f>"3.240,00"</f>
        <v>3.240,00</v>
      </c>
      <c r="M174" s="6" t="str">
        <f>"16.200,00"</f>
        <v>16.200,00</v>
      </c>
      <c r="N174" s="8" t="s">
        <v>146</v>
      </c>
      <c r="O174" s="7"/>
      <c r="P174" s="2" t="s">
        <v>5731</v>
      </c>
      <c r="Q174" s="7"/>
      <c r="R174" s="1"/>
      <c r="S174" s="1" t="str">
        <f>"3-21/NOS-41-B/18"</f>
        <v>3-21/NOS-41-B/18</v>
      </c>
      <c r="T174" s="1" t="s">
        <v>86</v>
      </c>
    </row>
    <row r="175" spans="1:20" ht="63.75" x14ac:dyDescent="0.25">
      <c r="A175" s="6">
        <v>172</v>
      </c>
      <c r="B175" s="1" t="str">
        <f t="shared" si="10"/>
        <v>2018-2928</v>
      </c>
      <c r="C175" s="1" t="s">
        <v>376</v>
      </c>
      <c r="D175" s="1" t="s">
        <v>267</v>
      </c>
      <c r="E175" s="1" t="str">
        <f>""</f>
        <v/>
      </c>
      <c r="F175" s="1" t="s">
        <v>28</v>
      </c>
      <c r="G175" s="1" t="str">
        <f>CONCATENATE("OTIS DIZALA D.O.O.,"," PRILAZ VLADISLAVA BRAJKOVIĆA 15,"," 10000 ZAGREB,"," OIB: 76080865307")</f>
        <v>OTIS DIZALA D.O.O., PRILAZ VLADISLAVA BRAJKOVIĆA 15, 10000 ZAGREB, OIB: 76080865307</v>
      </c>
      <c r="H175" s="7"/>
      <c r="I175" s="8" t="s">
        <v>374</v>
      </c>
      <c r="J175" s="8" t="s">
        <v>375</v>
      </c>
      <c r="K175" s="6" t="str">
        <f>"25.460,00"</f>
        <v>25.460,00</v>
      </c>
      <c r="L175" s="6" t="str">
        <f>"0,00"</f>
        <v>0,00</v>
      </c>
      <c r="M175" s="6" t="str">
        <f>"25.460,00"</f>
        <v>25.460,00</v>
      </c>
      <c r="N175" s="8" t="s">
        <v>124</v>
      </c>
      <c r="O175" s="7"/>
      <c r="P175" s="2" t="s">
        <v>5614</v>
      </c>
      <c r="Q175" s="7"/>
      <c r="R175" s="1"/>
      <c r="S175" s="1" t="str">
        <f>"1-22/NOS-41-B/18"</f>
        <v>1-22/NOS-41-B/18</v>
      </c>
      <c r="T175" s="1" t="s">
        <v>86</v>
      </c>
    </row>
    <row r="176" spans="1:20" ht="140.25" x14ac:dyDescent="0.25">
      <c r="A176" s="6">
        <v>173</v>
      </c>
      <c r="B176" s="1" t="str">
        <f t="shared" ref="B176:B188" si="11">"2018-2800"</f>
        <v>2018-2800</v>
      </c>
      <c r="C176" s="1" t="s">
        <v>380</v>
      </c>
      <c r="D176" s="1" t="s">
        <v>381</v>
      </c>
      <c r="E176" s="1" t="str">
        <f>"2018/S 0F2-0013467"</f>
        <v>2018/S 0F2-0013467</v>
      </c>
      <c r="F176" s="1" t="s">
        <v>22</v>
      </c>
      <c r="G176" s="1" t="str">
        <f t="shared" ref="G176:G188" si="12">CONCATENATE("ZIK D.O.O.,"," LJUDEVITA GAJA 17/III,"," 10000 ZAGREB,"," OIB: 74121470605")</f>
        <v>ZIK D.O.O., LJUDEVITA GAJA 17/III, 10000 ZAGREB, OIB: 74121470605</v>
      </c>
      <c r="H176" s="1" t="str">
        <f>CONCATENATE("INSPEKT KONTROLA D.O.O.,"," OIB: 39743636796",CHAR(10),"CENTAR ZA MJERENJA U OKOLIŠU D.O.O.,"," OIB: 07853820432")</f>
        <v>INSPEKT KONTROLA D.O.O., OIB: 39743636796
CENTAR ZA MJERENJA U OKOLIŠU D.O.O., OIB: 07853820432</v>
      </c>
      <c r="I176" s="8" t="s">
        <v>382</v>
      </c>
      <c r="J176" s="8" t="s">
        <v>383</v>
      </c>
      <c r="K176" s="6" t="str">
        <f>"744.000,00"</f>
        <v>744.000,00</v>
      </c>
      <c r="L176" s="6" t="str">
        <f>"186.000,00"</f>
        <v>186.000,00</v>
      </c>
      <c r="M176" s="6" t="str">
        <f>"930.000,00"</f>
        <v>930.000,00</v>
      </c>
      <c r="N176" s="8" t="s">
        <v>384</v>
      </c>
      <c r="O176" s="7"/>
      <c r="P176" s="2" t="s">
        <v>5614</v>
      </c>
      <c r="Q176" s="7"/>
      <c r="R176" s="1" t="s">
        <v>385</v>
      </c>
      <c r="S176" s="1" t="str">
        <f>"NOS-79-A/18"</f>
        <v>NOS-79-A/18</v>
      </c>
      <c r="T176" s="1" t="s">
        <v>386</v>
      </c>
    </row>
    <row r="177" spans="1:20" ht="153" x14ac:dyDescent="0.25">
      <c r="A177" s="6">
        <v>174</v>
      </c>
      <c r="B177" s="1" t="str">
        <f t="shared" si="11"/>
        <v>2018-2800</v>
      </c>
      <c r="C177" s="1" t="s">
        <v>387</v>
      </c>
      <c r="D177" s="1" t="s">
        <v>51</v>
      </c>
      <c r="E177" s="1" t="str">
        <f>""</f>
        <v/>
      </c>
      <c r="F177" s="1" t="s">
        <v>28</v>
      </c>
      <c r="G177" s="1" t="str">
        <f t="shared" si="12"/>
        <v>ZIK D.O.O., LJUDEVITA GAJA 17/III, 10000 ZAGREB, OIB: 74121470605</v>
      </c>
      <c r="H177" s="7"/>
      <c r="I177" s="8" t="s">
        <v>388</v>
      </c>
      <c r="J177" s="8" t="s">
        <v>389</v>
      </c>
      <c r="K177" s="6" t="str">
        <f>"33.150,00"</f>
        <v>33.150,00</v>
      </c>
      <c r="L177" s="6" t="str">
        <f>"8.287,50"</f>
        <v>8.287,50</v>
      </c>
      <c r="M177" s="6" t="str">
        <f>"41.437,50"</f>
        <v>41.437,50</v>
      </c>
      <c r="N177" s="8" t="s">
        <v>124</v>
      </c>
      <c r="O177" s="7"/>
      <c r="P177" s="2" t="s">
        <v>5614</v>
      </c>
      <c r="Q177" s="7"/>
      <c r="R177" s="1"/>
      <c r="S177" s="1" t="str">
        <f>"12-22/NOS-79-A/18"</f>
        <v>12-22/NOS-79-A/18</v>
      </c>
      <c r="T177" s="1" t="s">
        <v>32</v>
      </c>
    </row>
    <row r="178" spans="1:20" ht="102" x14ac:dyDescent="0.25">
      <c r="A178" s="6">
        <v>175</v>
      </c>
      <c r="B178" s="1" t="str">
        <f t="shared" si="11"/>
        <v>2018-2800</v>
      </c>
      <c r="C178" s="1" t="s">
        <v>390</v>
      </c>
      <c r="D178" s="1" t="s">
        <v>51</v>
      </c>
      <c r="E178" s="1" t="str">
        <f>""</f>
        <v/>
      </c>
      <c r="F178" s="1" t="s">
        <v>28</v>
      </c>
      <c r="G178" s="1" t="str">
        <f t="shared" si="12"/>
        <v>ZIK D.O.O., LJUDEVITA GAJA 17/III, 10000 ZAGREB, OIB: 74121470605</v>
      </c>
      <c r="H178" s="7"/>
      <c r="I178" s="8" t="s">
        <v>383</v>
      </c>
      <c r="J178" s="8" t="s">
        <v>391</v>
      </c>
      <c r="K178" s="6" t="str">
        <f>"38.800,00"</f>
        <v>38.800,00</v>
      </c>
      <c r="L178" s="6" t="str">
        <f>"9.700,00"</f>
        <v>9.700,00</v>
      </c>
      <c r="M178" s="6" t="str">
        <f>"48.500,00"</f>
        <v>48.500,00</v>
      </c>
      <c r="N178" s="8" t="s">
        <v>124</v>
      </c>
      <c r="O178" s="7"/>
      <c r="P178" s="2" t="s">
        <v>5614</v>
      </c>
      <c r="Q178" s="7"/>
      <c r="R178" s="1"/>
      <c r="S178" s="1" t="str">
        <f>"18-22/NOS-79-A/18"</f>
        <v>18-22/NOS-79-A/18</v>
      </c>
      <c r="T178" s="1" t="s">
        <v>32</v>
      </c>
    </row>
    <row r="179" spans="1:20" ht="140.25" x14ac:dyDescent="0.25">
      <c r="A179" s="6">
        <v>176</v>
      </c>
      <c r="B179" s="1" t="str">
        <f t="shared" si="11"/>
        <v>2018-2800</v>
      </c>
      <c r="C179" s="1" t="s">
        <v>380</v>
      </c>
      <c r="D179" s="1" t="s">
        <v>51</v>
      </c>
      <c r="E179" s="1" t="str">
        <f>""</f>
        <v/>
      </c>
      <c r="F179" s="1" t="s">
        <v>28</v>
      </c>
      <c r="G179" s="1" t="str">
        <f t="shared" si="12"/>
        <v>ZIK D.O.O., LJUDEVITA GAJA 17/III, 10000 ZAGREB, OIB: 74121470605</v>
      </c>
      <c r="H179" s="1" t="str">
        <f>CONCATENATE("INSPEKT KONTROLA D.O.O.,"," OIB: 39743636796",CHAR(10),"CENTAR ZA MJERENJA U OKOLIŠU D.O.O.,"," OIB: 07853820432")</f>
        <v>INSPEKT KONTROLA D.O.O., OIB: 39743636796
CENTAR ZA MJERENJA U OKOLIŠU D.O.O., OIB: 07853820432</v>
      </c>
      <c r="I179" s="8" t="s">
        <v>392</v>
      </c>
      <c r="J179" s="8" t="s">
        <v>393</v>
      </c>
      <c r="K179" s="6" t="str">
        <f>"4.850,00"</f>
        <v>4.850,00</v>
      </c>
      <c r="L179" s="6" t="str">
        <f>"1.212,50"</f>
        <v>1.212,50</v>
      </c>
      <c r="M179" s="6" t="str">
        <f>"6.062,50"</f>
        <v>6.062,50</v>
      </c>
      <c r="N179" s="8" t="s">
        <v>219</v>
      </c>
      <c r="O179" s="7"/>
      <c r="P179" s="2" t="s">
        <v>5732</v>
      </c>
      <c r="Q179" s="7"/>
      <c r="R179" s="1"/>
      <c r="S179" s="1" t="str">
        <f>"13-21/NOS-79-A/18"</f>
        <v>13-21/NOS-79-A/18</v>
      </c>
      <c r="T179" s="1" t="s">
        <v>32</v>
      </c>
    </row>
    <row r="180" spans="1:20" ht="140.25" x14ac:dyDescent="0.25">
      <c r="A180" s="6">
        <v>177</v>
      </c>
      <c r="B180" s="1" t="str">
        <f t="shared" si="11"/>
        <v>2018-2800</v>
      </c>
      <c r="C180" s="1" t="s">
        <v>380</v>
      </c>
      <c r="D180" s="1" t="s">
        <v>51</v>
      </c>
      <c r="E180" s="1" t="str">
        <f>""</f>
        <v/>
      </c>
      <c r="F180" s="1" t="s">
        <v>28</v>
      </c>
      <c r="G180" s="1" t="str">
        <f t="shared" si="12"/>
        <v>ZIK D.O.O., LJUDEVITA GAJA 17/III, 10000 ZAGREB, OIB: 74121470605</v>
      </c>
      <c r="H180" s="1" t="str">
        <f>CONCATENATE("INSPEKT KONTROLA D.O.O.,"," OIB: 39743636796",CHAR(10),"CENTAR ZA MJERENJA U OKOLIŠU D.O.O.,"," OIB: 07853820432")</f>
        <v>INSPEKT KONTROLA D.O.O., OIB: 39743636796
CENTAR ZA MJERENJA U OKOLIŠU D.O.O., OIB: 07853820432</v>
      </c>
      <c r="I180" s="8" t="s">
        <v>257</v>
      </c>
      <c r="J180" s="8" t="s">
        <v>394</v>
      </c>
      <c r="K180" s="6" t="str">
        <f>"4.120,00"</f>
        <v>4.120,00</v>
      </c>
      <c r="L180" s="6" t="str">
        <f>"1.030,00"</f>
        <v>1.030,00</v>
      </c>
      <c r="M180" s="6" t="str">
        <f>"5.150,00"</f>
        <v>5.150,00</v>
      </c>
      <c r="N180" s="8" t="s">
        <v>224</v>
      </c>
      <c r="O180" s="7"/>
      <c r="P180" s="2" t="s">
        <v>5733</v>
      </c>
      <c r="Q180" s="7"/>
      <c r="R180" s="1"/>
      <c r="S180" s="1" t="str">
        <f>"4-22/NOS-79-A/18"</f>
        <v>4-22/NOS-79-A/18</v>
      </c>
      <c r="T180" s="1" t="s">
        <v>55</v>
      </c>
    </row>
    <row r="181" spans="1:20" ht="63.75" x14ac:dyDescent="0.25">
      <c r="A181" s="6">
        <v>178</v>
      </c>
      <c r="B181" s="1" t="str">
        <f t="shared" si="11"/>
        <v>2018-2800</v>
      </c>
      <c r="C181" s="1" t="s">
        <v>395</v>
      </c>
      <c r="D181" s="1" t="s">
        <v>51</v>
      </c>
      <c r="E181" s="1" t="str">
        <f>""</f>
        <v/>
      </c>
      <c r="F181" s="1" t="s">
        <v>28</v>
      </c>
      <c r="G181" s="1" t="str">
        <f t="shared" si="12"/>
        <v>ZIK D.O.O., LJUDEVITA GAJA 17/III, 10000 ZAGREB, OIB: 74121470605</v>
      </c>
      <c r="H181" s="7"/>
      <c r="I181" s="8" t="s">
        <v>396</v>
      </c>
      <c r="J181" s="8" t="s">
        <v>397</v>
      </c>
      <c r="K181" s="6" t="str">
        <f>"5.465,00"</f>
        <v>5.465,00</v>
      </c>
      <c r="L181" s="6" t="str">
        <f>"1.366,25"</f>
        <v>1.366,25</v>
      </c>
      <c r="M181" s="6" t="str">
        <f>"6.831,25"</f>
        <v>6.831,25</v>
      </c>
      <c r="N181" s="8" t="s">
        <v>398</v>
      </c>
      <c r="O181" s="7"/>
      <c r="P181" s="2" t="s">
        <v>5734</v>
      </c>
      <c r="Q181" s="7"/>
      <c r="R181" s="1"/>
      <c r="S181" s="1" t="str">
        <f>"2-22/NOS-79-A/18"</f>
        <v>2-22/NOS-79-A/18</v>
      </c>
      <c r="T181" s="1" t="s">
        <v>32</v>
      </c>
    </row>
    <row r="182" spans="1:20" ht="63.75" x14ac:dyDescent="0.25">
      <c r="A182" s="6">
        <v>179</v>
      </c>
      <c r="B182" s="1" t="str">
        <f t="shared" si="11"/>
        <v>2018-2800</v>
      </c>
      <c r="C182" s="1" t="s">
        <v>395</v>
      </c>
      <c r="D182" s="1" t="s">
        <v>51</v>
      </c>
      <c r="E182" s="1" t="str">
        <f>""</f>
        <v/>
      </c>
      <c r="F182" s="1" t="s">
        <v>28</v>
      </c>
      <c r="G182" s="1" t="str">
        <f t="shared" si="12"/>
        <v>ZIK D.O.O., LJUDEVITA GAJA 17/III, 10000 ZAGREB, OIB: 74121470605</v>
      </c>
      <c r="H182" s="7"/>
      <c r="I182" s="8" t="s">
        <v>42</v>
      </c>
      <c r="J182" s="8" t="s">
        <v>53</v>
      </c>
      <c r="K182" s="6" t="str">
        <f>"10.840,00"</f>
        <v>10.840,00</v>
      </c>
      <c r="L182" s="6" t="str">
        <f>"2.710,00"</f>
        <v>2.710,00</v>
      </c>
      <c r="M182" s="6" t="str">
        <f>"13.550,00"</f>
        <v>13.550,00</v>
      </c>
      <c r="N182" s="8" t="s">
        <v>399</v>
      </c>
      <c r="O182" s="7"/>
      <c r="P182" s="2" t="s">
        <v>5735</v>
      </c>
      <c r="Q182" s="7"/>
      <c r="R182" s="1"/>
      <c r="S182" s="1" t="str">
        <f>"3-22/NOS-79-A/18"</f>
        <v>3-22/NOS-79-A/18</v>
      </c>
      <c r="T182" s="1" t="s">
        <v>32</v>
      </c>
    </row>
    <row r="183" spans="1:20" ht="63.75" x14ac:dyDescent="0.25">
      <c r="A183" s="6">
        <v>180</v>
      </c>
      <c r="B183" s="1" t="str">
        <f t="shared" si="11"/>
        <v>2018-2800</v>
      </c>
      <c r="C183" s="1" t="s">
        <v>395</v>
      </c>
      <c r="D183" s="1" t="s">
        <v>51</v>
      </c>
      <c r="E183" s="1" t="str">
        <f>""</f>
        <v/>
      </c>
      <c r="F183" s="1" t="s">
        <v>28</v>
      </c>
      <c r="G183" s="1" t="str">
        <f t="shared" si="12"/>
        <v>ZIK D.O.O., LJUDEVITA GAJA 17/III, 10000 ZAGREB, OIB: 74121470605</v>
      </c>
      <c r="H183" s="7"/>
      <c r="I183" s="8" t="s">
        <v>400</v>
      </c>
      <c r="J183" s="8" t="s">
        <v>401</v>
      </c>
      <c r="K183" s="6" t="str">
        <f>"8.650,00"</f>
        <v>8.650,00</v>
      </c>
      <c r="L183" s="6" t="str">
        <f>"2.162,50"</f>
        <v>2.162,50</v>
      </c>
      <c r="M183" s="6" t="str">
        <f>"10.812,50"</f>
        <v>10.812,50</v>
      </c>
      <c r="N183" s="8" t="s">
        <v>402</v>
      </c>
      <c r="O183" s="7"/>
      <c r="P183" s="2" t="s">
        <v>5736</v>
      </c>
      <c r="Q183" s="7"/>
      <c r="R183" s="1"/>
      <c r="S183" s="1" t="str">
        <f>"5-22/NOS-79-A/18"</f>
        <v>5-22/NOS-79-A/18</v>
      </c>
      <c r="T183" s="1" t="s">
        <v>32</v>
      </c>
    </row>
    <row r="184" spans="1:20" ht="63.75" x14ac:dyDescent="0.25">
      <c r="A184" s="6">
        <v>181</v>
      </c>
      <c r="B184" s="1" t="str">
        <f t="shared" si="11"/>
        <v>2018-2800</v>
      </c>
      <c r="C184" s="1" t="s">
        <v>395</v>
      </c>
      <c r="D184" s="1" t="s">
        <v>51</v>
      </c>
      <c r="E184" s="1" t="str">
        <f>""</f>
        <v/>
      </c>
      <c r="F184" s="1" t="s">
        <v>28</v>
      </c>
      <c r="G184" s="1" t="str">
        <f t="shared" si="12"/>
        <v>ZIK D.O.O., LJUDEVITA GAJA 17/III, 10000 ZAGREB, OIB: 74121470605</v>
      </c>
      <c r="H184" s="7"/>
      <c r="I184" s="8" t="s">
        <v>403</v>
      </c>
      <c r="J184" s="8" t="s">
        <v>404</v>
      </c>
      <c r="K184" s="6" t="str">
        <f>"685,00"</f>
        <v>685,00</v>
      </c>
      <c r="L184" s="6" t="str">
        <f>"171,25"</f>
        <v>171,25</v>
      </c>
      <c r="M184" s="6" t="str">
        <f>"856,25"</f>
        <v>856,25</v>
      </c>
      <c r="N184" s="8" t="s">
        <v>405</v>
      </c>
      <c r="O184" s="7"/>
      <c r="P184" s="2" t="s">
        <v>5737</v>
      </c>
      <c r="Q184" s="7"/>
      <c r="R184" s="1"/>
      <c r="S184" s="1" t="str">
        <f>"6-22/NOS-79-A/18"</f>
        <v>6-22/NOS-79-A/18</v>
      </c>
      <c r="T184" s="1" t="s">
        <v>32</v>
      </c>
    </row>
    <row r="185" spans="1:20" ht="63.75" x14ac:dyDescent="0.25">
      <c r="A185" s="6">
        <v>182</v>
      </c>
      <c r="B185" s="1" t="str">
        <f t="shared" si="11"/>
        <v>2018-2800</v>
      </c>
      <c r="C185" s="1" t="s">
        <v>395</v>
      </c>
      <c r="D185" s="1" t="s">
        <v>51</v>
      </c>
      <c r="E185" s="1" t="str">
        <f>""</f>
        <v/>
      </c>
      <c r="F185" s="1" t="s">
        <v>28</v>
      </c>
      <c r="G185" s="1" t="str">
        <f t="shared" si="12"/>
        <v>ZIK D.O.O., LJUDEVITA GAJA 17/III, 10000 ZAGREB, OIB: 74121470605</v>
      </c>
      <c r="H185" s="7"/>
      <c r="I185" s="8" t="s">
        <v>406</v>
      </c>
      <c r="J185" s="8" t="s">
        <v>407</v>
      </c>
      <c r="K185" s="6" t="str">
        <f>"13.055,00"</f>
        <v>13.055,00</v>
      </c>
      <c r="L185" s="6" t="str">
        <f>"3.263,75"</f>
        <v>3.263,75</v>
      </c>
      <c r="M185" s="6" t="str">
        <f>"16.318,75"</f>
        <v>16.318,75</v>
      </c>
      <c r="N185" s="8" t="s">
        <v>124</v>
      </c>
      <c r="O185" s="7"/>
      <c r="P185" s="2" t="s">
        <v>5614</v>
      </c>
      <c r="Q185" s="7"/>
      <c r="R185" s="1"/>
      <c r="S185" s="1" t="str">
        <f>"7-22/NOS-79-A/18"</f>
        <v>7-22/NOS-79-A/18</v>
      </c>
      <c r="T185" s="1" t="s">
        <v>32</v>
      </c>
    </row>
    <row r="186" spans="1:20" ht="63.75" x14ac:dyDescent="0.25">
      <c r="A186" s="6">
        <v>183</v>
      </c>
      <c r="B186" s="1" t="str">
        <f t="shared" si="11"/>
        <v>2018-2800</v>
      </c>
      <c r="C186" s="1" t="s">
        <v>395</v>
      </c>
      <c r="D186" s="1" t="s">
        <v>51</v>
      </c>
      <c r="E186" s="1" t="str">
        <f>""</f>
        <v/>
      </c>
      <c r="F186" s="1" t="s">
        <v>28</v>
      </c>
      <c r="G186" s="1" t="str">
        <f t="shared" si="12"/>
        <v>ZIK D.O.O., LJUDEVITA GAJA 17/III, 10000 ZAGREB, OIB: 74121470605</v>
      </c>
      <c r="H186" s="7"/>
      <c r="I186" s="8" t="s">
        <v>408</v>
      </c>
      <c r="J186" s="8" t="s">
        <v>54</v>
      </c>
      <c r="K186" s="6" t="str">
        <f>"8.415,00"</f>
        <v>8.415,00</v>
      </c>
      <c r="L186" s="6" t="str">
        <f>"2.103,75"</f>
        <v>2.103,75</v>
      </c>
      <c r="M186" s="6" t="str">
        <f>"10.518,75"</f>
        <v>10.518,75</v>
      </c>
      <c r="N186" s="8" t="s">
        <v>399</v>
      </c>
      <c r="O186" s="7"/>
      <c r="P186" s="2" t="s">
        <v>5738</v>
      </c>
      <c r="Q186" s="7"/>
      <c r="R186" s="1"/>
      <c r="S186" s="1" t="str">
        <f>"8-22/NOS-79-A/18"</f>
        <v>8-22/NOS-79-A/18</v>
      </c>
      <c r="T186" s="1" t="s">
        <v>32</v>
      </c>
    </row>
    <row r="187" spans="1:20" ht="63.75" x14ac:dyDescent="0.25">
      <c r="A187" s="6">
        <v>184</v>
      </c>
      <c r="B187" s="1" t="str">
        <f t="shared" si="11"/>
        <v>2018-2800</v>
      </c>
      <c r="C187" s="1" t="s">
        <v>395</v>
      </c>
      <c r="D187" s="1" t="s">
        <v>51</v>
      </c>
      <c r="E187" s="1" t="str">
        <f>""</f>
        <v/>
      </c>
      <c r="F187" s="1" t="s">
        <v>28</v>
      </c>
      <c r="G187" s="1" t="str">
        <f t="shared" si="12"/>
        <v>ZIK D.O.O., LJUDEVITA GAJA 17/III, 10000 ZAGREB, OIB: 74121470605</v>
      </c>
      <c r="H187" s="7"/>
      <c r="I187" s="8" t="s">
        <v>58</v>
      </c>
      <c r="J187" s="8" t="s">
        <v>409</v>
      </c>
      <c r="K187" s="6" t="str">
        <f>"1.750,00"</f>
        <v>1.750,00</v>
      </c>
      <c r="L187" s="6" t="str">
        <f>"437,50"</f>
        <v>437,50</v>
      </c>
      <c r="M187" s="6" t="str">
        <f>"2.187,50"</f>
        <v>2.187,50</v>
      </c>
      <c r="N187" s="8" t="s">
        <v>410</v>
      </c>
      <c r="O187" s="7"/>
      <c r="P187" s="2" t="s">
        <v>5739</v>
      </c>
      <c r="Q187" s="7"/>
      <c r="R187" s="1"/>
      <c r="S187" s="1" t="str">
        <f>"9-22/NOS-79-A/18"</f>
        <v>9-22/NOS-79-A/18</v>
      </c>
      <c r="T187" s="1" t="s">
        <v>32</v>
      </c>
    </row>
    <row r="188" spans="1:20" ht="63.75" x14ac:dyDescent="0.25">
      <c r="A188" s="6">
        <v>185</v>
      </c>
      <c r="B188" s="1" t="str">
        <f t="shared" si="11"/>
        <v>2018-2800</v>
      </c>
      <c r="C188" s="1" t="s">
        <v>395</v>
      </c>
      <c r="D188" s="1" t="s">
        <v>51</v>
      </c>
      <c r="E188" s="1" t="str">
        <f>""</f>
        <v/>
      </c>
      <c r="F188" s="1" t="s">
        <v>28</v>
      </c>
      <c r="G188" s="1" t="str">
        <f t="shared" si="12"/>
        <v>ZIK D.O.O., LJUDEVITA GAJA 17/III, 10000 ZAGREB, OIB: 74121470605</v>
      </c>
      <c r="H188" s="7"/>
      <c r="I188" s="8" t="s">
        <v>388</v>
      </c>
      <c r="J188" s="8" t="s">
        <v>411</v>
      </c>
      <c r="K188" s="6" t="str">
        <f>"1.905,00"</f>
        <v>1.905,00</v>
      </c>
      <c r="L188" s="6" t="str">
        <f>"476,25"</f>
        <v>476,25</v>
      </c>
      <c r="M188" s="6" t="str">
        <f>"2.381,25"</f>
        <v>2.381,25</v>
      </c>
      <c r="N188" s="8" t="s">
        <v>124</v>
      </c>
      <c r="O188" s="7"/>
      <c r="P188" s="2" t="s">
        <v>5614</v>
      </c>
      <c r="Q188" s="7"/>
      <c r="R188" s="1"/>
      <c r="S188" s="1" t="str">
        <f>"11-22/NOS-79-A/18"</f>
        <v>11-22/NOS-79-A/18</v>
      </c>
      <c r="T188" s="1" t="s">
        <v>32</v>
      </c>
    </row>
    <row r="189" spans="1:20" ht="76.5" x14ac:dyDescent="0.25">
      <c r="A189" s="6">
        <v>186</v>
      </c>
      <c r="B189" s="1" t="str">
        <f>"2018-1834"</f>
        <v>2018-1834</v>
      </c>
      <c r="C189" s="1" t="s">
        <v>412</v>
      </c>
      <c r="D189" s="1" t="s">
        <v>74</v>
      </c>
      <c r="E189" s="1" t="str">
        <f>"2018/S 0F2-0017739"</f>
        <v>2018/S 0F2-0017739</v>
      </c>
      <c r="F189" s="1" t="s">
        <v>22</v>
      </c>
      <c r="G189" s="1" t="str">
        <f>CONCATENATE("LIBUSOFT CICOM,"," REMETINEČKA CESTA 7a,"," 10000 ZAGREB,"," OIB: 1450657254")</f>
        <v>LIBUSOFT CICOM, REMETINEČKA CESTA 7a, 10000 ZAGREB, OIB: 1450657254</v>
      </c>
      <c r="H189" s="7"/>
      <c r="I189" s="8" t="s">
        <v>413</v>
      </c>
      <c r="J189" s="8" t="s">
        <v>414</v>
      </c>
      <c r="K189" s="6" t="str">
        <f>"3.600.000,00"</f>
        <v>3.600.000,00</v>
      </c>
      <c r="L189" s="6" t="str">
        <f>"900.000,00"</f>
        <v>900.000,00</v>
      </c>
      <c r="M189" s="6" t="str">
        <f>"4.500.000,00"</f>
        <v>4.500.000,00</v>
      </c>
      <c r="N189" s="8" t="s">
        <v>415</v>
      </c>
      <c r="O189" s="7"/>
      <c r="P189" s="2" t="s">
        <v>5614</v>
      </c>
      <c r="Q189" s="7"/>
      <c r="R189" s="1"/>
      <c r="S189" s="1" t="str">
        <f>"NOS-42/18"</f>
        <v>NOS-42/18</v>
      </c>
      <c r="T189" s="1" t="s">
        <v>86</v>
      </c>
    </row>
    <row r="190" spans="1:20" ht="76.5" x14ac:dyDescent="0.25">
      <c r="A190" s="6">
        <v>187</v>
      </c>
      <c r="B190" s="1" t="str">
        <f>"2018-1834"</f>
        <v>2018-1834</v>
      </c>
      <c r="C190" s="1" t="s">
        <v>412</v>
      </c>
      <c r="D190" s="1" t="s">
        <v>78</v>
      </c>
      <c r="E190" s="1" t="str">
        <f>""</f>
        <v/>
      </c>
      <c r="F190" s="1" t="s">
        <v>28</v>
      </c>
      <c r="G190" s="1" t="str">
        <f>CONCATENATE("LIBUSOFT CICOM,"," REMETINEČKA CESTA 7a,"," 10000 ZAGREB,"," OIB: 1450657254")</f>
        <v>LIBUSOFT CICOM, REMETINEČKA CESTA 7a, 10000 ZAGREB, OIB: 1450657254</v>
      </c>
      <c r="H190" s="7"/>
      <c r="I190" s="8" t="s">
        <v>416</v>
      </c>
      <c r="J190" s="8" t="s">
        <v>123</v>
      </c>
      <c r="K190" s="6" t="str">
        <f>"524.640,00"</f>
        <v>524.640,00</v>
      </c>
      <c r="L190" s="6" t="str">
        <f>"131.160,00"</f>
        <v>131.160,00</v>
      </c>
      <c r="M190" s="6" t="str">
        <f>"655.800,00"</f>
        <v>655.800,00</v>
      </c>
      <c r="N190" s="8" t="s">
        <v>124</v>
      </c>
      <c r="O190" s="7"/>
      <c r="P190" s="2" t="s">
        <v>5740</v>
      </c>
      <c r="Q190" s="7"/>
      <c r="R190" s="1"/>
      <c r="S190" s="1" t="str">
        <f>"1-21/NOS-42/18"</f>
        <v>1-21/NOS-42/18</v>
      </c>
      <c r="T190" s="1" t="s">
        <v>86</v>
      </c>
    </row>
    <row r="191" spans="1:20" ht="76.5" x14ac:dyDescent="0.25">
      <c r="A191" s="6">
        <v>188</v>
      </c>
      <c r="B191" s="1" t="str">
        <f>"2018-1834"</f>
        <v>2018-1834</v>
      </c>
      <c r="C191" s="1" t="s">
        <v>412</v>
      </c>
      <c r="D191" s="1" t="s">
        <v>78</v>
      </c>
      <c r="E191" s="1" t="str">
        <f>""</f>
        <v/>
      </c>
      <c r="F191" s="1" t="s">
        <v>28</v>
      </c>
      <c r="G191" s="1" t="str">
        <f>CONCATENATE("LIBUSOFT CICOM,"," REMETINEČKA CESTA 7a,"," 10000 ZAGREB,"," OIB: 1450657254")</f>
        <v>LIBUSOFT CICOM, REMETINEČKA CESTA 7a, 10000 ZAGREB, OIB: 1450657254</v>
      </c>
      <c r="H191" s="7"/>
      <c r="I191" s="8" t="s">
        <v>408</v>
      </c>
      <c r="J191" s="8" t="s">
        <v>417</v>
      </c>
      <c r="K191" s="6" t="str">
        <f>"399.760,60"</f>
        <v>399.760,60</v>
      </c>
      <c r="L191" s="6" t="str">
        <f>"99.940,15"</f>
        <v>99.940,15</v>
      </c>
      <c r="M191" s="6" t="str">
        <f>"499.700,75"</f>
        <v>499.700,75</v>
      </c>
      <c r="N191" s="8" t="s">
        <v>124</v>
      </c>
      <c r="O191" s="7"/>
      <c r="P191" s="2" t="s">
        <v>5741</v>
      </c>
      <c r="Q191" s="7"/>
      <c r="R191" s="1"/>
      <c r="S191" s="1" t="str">
        <f>"2-22/NOS-42/18"</f>
        <v>2-22/NOS-42/18</v>
      </c>
      <c r="T191" s="1" t="s">
        <v>86</v>
      </c>
    </row>
    <row r="192" spans="1:20" ht="178.5" x14ac:dyDescent="0.25">
      <c r="A192" s="6">
        <v>189</v>
      </c>
      <c r="B192" s="1" t="str">
        <f t="shared" ref="B192:B214" si="13">"2018-2652"</f>
        <v>2018-2652</v>
      </c>
      <c r="C192" s="1" t="s">
        <v>418</v>
      </c>
      <c r="D192" s="1" t="s">
        <v>174</v>
      </c>
      <c r="E192" s="1" t="str">
        <f>"2018/S 0F2-0018181"</f>
        <v>2018/S 0F2-0018181</v>
      </c>
      <c r="F192" s="1" t="s">
        <v>22</v>
      </c>
      <c r="G192" s="1" t="str">
        <f>CONCATENATE("M-COM USLUGE D.O.O.,"," TRG KREŠIMIRA ĆOSIĆA 10,"," 10000 ZAGREB,"," OIB: 85546467214",CHAR(10),"",CHAR(10),"TEHMAR D.O.O.,"," STAJNIČKA 5,"," 10251 HRVATSKI LESKOVAC,"," OIB: 78055843019",CHAR(10),"",CHAR(10),"APEX-ING D.O.O.,"," PIRINOVA 3,"," 10360 SESVETE,"," OIB: 52469461639")</f>
        <v>M-COM USLUGE D.O.O., TRG KREŠIMIRA ĆOSIĆA 10, 10000 ZAGREB, OIB: 85546467214
TEHMAR D.O.O., STAJNIČKA 5, 10251 HRVATSKI LESKOVAC, OIB: 78055843019
APEX-ING D.O.O., PIRINOVA 3, 10360 SESVETE, OIB: 52469461639</v>
      </c>
      <c r="H192" s="7"/>
      <c r="I192" s="8" t="s">
        <v>419</v>
      </c>
      <c r="J192" s="8" t="s">
        <v>81</v>
      </c>
      <c r="K192" s="6" t="str">
        <f>"2.500.000,00"</f>
        <v>2.500.000,00</v>
      </c>
      <c r="L192" s="6" t="str">
        <f>"625.000,00"</f>
        <v>625.000,00</v>
      </c>
      <c r="M192" s="6" t="str">
        <f>"3.125.000,00"</f>
        <v>3.125.000,00</v>
      </c>
      <c r="N192" s="8" t="s">
        <v>420</v>
      </c>
      <c r="O192" s="7"/>
      <c r="P192" s="2" t="s">
        <v>5614</v>
      </c>
      <c r="Q192" s="7"/>
      <c r="R192" s="1"/>
      <c r="S192" s="1" t="str">
        <f>"NOS-76/18"</f>
        <v>NOS-76/18</v>
      </c>
      <c r="T192" s="1" t="s">
        <v>86</v>
      </c>
    </row>
    <row r="193" spans="1:20" ht="51" x14ac:dyDescent="0.25">
      <c r="A193" s="6">
        <v>190</v>
      </c>
      <c r="B193" s="1" t="str">
        <f t="shared" si="13"/>
        <v>2018-2652</v>
      </c>
      <c r="C193" s="1" t="s">
        <v>418</v>
      </c>
      <c r="D193" s="1" t="s">
        <v>174</v>
      </c>
      <c r="E193" s="1" t="str">
        <f>""</f>
        <v/>
      </c>
      <c r="F193" s="1" t="s">
        <v>28</v>
      </c>
      <c r="G193" s="1" t="str">
        <f t="shared" ref="G193:G198" si="14">CONCATENATE("TEHMAR D.O.O.,"," STAJNIČKA 5,"," 10251 HRVATSKI LESKOVAC,"," OIB: 78055843019")</f>
        <v>TEHMAR D.O.O., STAJNIČKA 5, 10251 HRVATSKI LESKOVAC, OIB: 78055843019</v>
      </c>
      <c r="H193" s="7"/>
      <c r="I193" s="8" t="s">
        <v>421</v>
      </c>
      <c r="J193" s="8" t="s">
        <v>241</v>
      </c>
      <c r="K193" s="6" t="str">
        <f>"10.332,00"</f>
        <v>10.332,00</v>
      </c>
      <c r="L193" s="6" t="str">
        <f>"2.583,00"</f>
        <v>2.583,00</v>
      </c>
      <c r="M193" s="6" t="str">
        <f>"12.915,00"</f>
        <v>12.915,00</v>
      </c>
      <c r="N193" s="8" t="s">
        <v>224</v>
      </c>
      <c r="O193" s="7"/>
      <c r="P193" s="2" t="s">
        <v>5742</v>
      </c>
      <c r="Q193" s="7"/>
      <c r="R193" s="1"/>
      <c r="S193" s="1" t="str">
        <f>"1-22/NOS-76/18"</f>
        <v>1-22/NOS-76/18</v>
      </c>
      <c r="T193" s="1" t="s">
        <v>86</v>
      </c>
    </row>
    <row r="194" spans="1:20" ht="51" x14ac:dyDescent="0.25">
      <c r="A194" s="6">
        <v>191</v>
      </c>
      <c r="B194" s="1" t="str">
        <f t="shared" si="13"/>
        <v>2018-2652</v>
      </c>
      <c r="C194" s="1" t="s">
        <v>418</v>
      </c>
      <c r="D194" s="1" t="s">
        <v>174</v>
      </c>
      <c r="E194" s="1" t="str">
        <f>""</f>
        <v/>
      </c>
      <c r="F194" s="1" t="s">
        <v>28</v>
      </c>
      <c r="G194" s="1" t="str">
        <f t="shared" si="14"/>
        <v>TEHMAR D.O.O., STAJNIČKA 5, 10251 HRVATSKI LESKOVAC, OIB: 78055843019</v>
      </c>
      <c r="H194" s="7"/>
      <c r="I194" s="8" t="s">
        <v>422</v>
      </c>
      <c r="J194" s="8" t="s">
        <v>231</v>
      </c>
      <c r="K194" s="6" t="str">
        <f>"24.973,00"</f>
        <v>24.973,00</v>
      </c>
      <c r="L194" s="6" t="str">
        <f>"6.243,25"</f>
        <v>6.243,25</v>
      </c>
      <c r="M194" s="6" t="str">
        <f>"31.216,25"</f>
        <v>31.216,25</v>
      </c>
      <c r="N194" s="8" t="s">
        <v>272</v>
      </c>
      <c r="O194" s="7"/>
      <c r="P194" s="2" t="s">
        <v>5743</v>
      </c>
      <c r="Q194" s="7"/>
      <c r="R194" s="1"/>
      <c r="S194" s="1" t="str">
        <f>"3-22/NOS-76/18"</f>
        <v>3-22/NOS-76/18</v>
      </c>
      <c r="T194" s="1" t="s">
        <v>86</v>
      </c>
    </row>
    <row r="195" spans="1:20" ht="51" x14ac:dyDescent="0.25">
      <c r="A195" s="6">
        <v>192</v>
      </c>
      <c r="B195" s="1" t="str">
        <f t="shared" si="13"/>
        <v>2018-2652</v>
      </c>
      <c r="C195" s="1" t="s">
        <v>418</v>
      </c>
      <c r="D195" s="1" t="s">
        <v>174</v>
      </c>
      <c r="E195" s="1" t="str">
        <f>""</f>
        <v/>
      </c>
      <c r="F195" s="1" t="s">
        <v>28</v>
      </c>
      <c r="G195" s="1" t="str">
        <f t="shared" si="14"/>
        <v>TEHMAR D.O.O., STAJNIČKA 5, 10251 HRVATSKI LESKOVAC, OIB: 78055843019</v>
      </c>
      <c r="H195" s="7"/>
      <c r="I195" s="8" t="s">
        <v>422</v>
      </c>
      <c r="J195" s="8" t="s">
        <v>231</v>
      </c>
      <c r="K195" s="6" t="str">
        <f>"27.986,58"</f>
        <v>27.986,58</v>
      </c>
      <c r="L195" s="6" t="str">
        <f>"6.996,65"</f>
        <v>6.996,65</v>
      </c>
      <c r="M195" s="6" t="str">
        <f>"34.983,23"</f>
        <v>34.983,23</v>
      </c>
      <c r="N195" s="8" t="s">
        <v>284</v>
      </c>
      <c r="O195" s="7"/>
      <c r="P195" s="2" t="s">
        <v>5744</v>
      </c>
      <c r="Q195" s="7"/>
      <c r="R195" s="1"/>
      <c r="S195" s="1" t="str">
        <f>"2-22/NOS-76/18"</f>
        <v>2-22/NOS-76/18</v>
      </c>
      <c r="T195" s="1" t="s">
        <v>86</v>
      </c>
    </row>
    <row r="196" spans="1:20" ht="51" x14ac:dyDescent="0.25">
      <c r="A196" s="6">
        <v>193</v>
      </c>
      <c r="B196" s="1" t="str">
        <f t="shared" si="13"/>
        <v>2018-2652</v>
      </c>
      <c r="C196" s="1" t="s">
        <v>418</v>
      </c>
      <c r="D196" s="1" t="s">
        <v>174</v>
      </c>
      <c r="E196" s="1" t="str">
        <f>""</f>
        <v/>
      </c>
      <c r="F196" s="1" t="s">
        <v>28</v>
      </c>
      <c r="G196" s="1" t="str">
        <f t="shared" si="14"/>
        <v>TEHMAR D.O.O., STAJNIČKA 5, 10251 HRVATSKI LESKOVAC, OIB: 78055843019</v>
      </c>
      <c r="H196" s="7"/>
      <c r="I196" s="8" t="s">
        <v>403</v>
      </c>
      <c r="J196" s="8" t="s">
        <v>423</v>
      </c>
      <c r="K196" s="6" t="str">
        <f>"10.164,50"</f>
        <v>10.164,50</v>
      </c>
      <c r="L196" s="6" t="str">
        <f>"0,00"</f>
        <v>0,00</v>
      </c>
      <c r="M196" s="6" t="str">
        <f>"10.164,50"</f>
        <v>10.164,50</v>
      </c>
      <c r="N196" s="8" t="s">
        <v>124</v>
      </c>
      <c r="O196" s="7"/>
      <c r="P196" s="2" t="s">
        <v>5614</v>
      </c>
      <c r="Q196" s="7"/>
      <c r="R196" s="1"/>
      <c r="S196" s="1" t="str">
        <f>"4-22/NOS-76/18"</f>
        <v>4-22/NOS-76/18</v>
      </c>
      <c r="T196" s="1" t="s">
        <v>86</v>
      </c>
    </row>
    <row r="197" spans="1:20" ht="51" x14ac:dyDescent="0.25">
      <c r="A197" s="6">
        <v>194</v>
      </c>
      <c r="B197" s="1" t="str">
        <f t="shared" si="13"/>
        <v>2018-2652</v>
      </c>
      <c r="C197" s="1" t="s">
        <v>418</v>
      </c>
      <c r="D197" s="1" t="s">
        <v>174</v>
      </c>
      <c r="E197" s="1" t="str">
        <f>""</f>
        <v/>
      </c>
      <c r="F197" s="1" t="s">
        <v>28</v>
      </c>
      <c r="G197" s="1" t="str">
        <f t="shared" si="14"/>
        <v>TEHMAR D.O.O., STAJNIČKA 5, 10251 HRVATSKI LESKOVAC, OIB: 78055843019</v>
      </c>
      <c r="H197" s="7"/>
      <c r="I197" s="8" t="s">
        <v>403</v>
      </c>
      <c r="J197" s="8" t="s">
        <v>292</v>
      </c>
      <c r="K197" s="6" t="str">
        <f>"24.985,00"</f>
        <v>24.985,00</v>
      </c>
      <c r="L197" s="6" t="str">
        <f>"6.246,25"</f>
        <v>6.246,25</v>
      </c>
      <c r="M197" s="6" t="str">
        <f>"31.231,25"</f>
        <v>31.231,25</v>
      </c>
      <c r="N197" s="8" t="s">
        <v>272</v>
      </c>
      <c r="O197" s="7"/>
      <c r="P197" s="2" t="s">
        <v>5745</v>
      </c>
      <c r="Q197" s="7"/>
      <c r="R197" s="1"/>
      <c r="S197" s="1" t="str">
        <f>"5-22/NOS-76/18"</f>
        <v>5-22/NOS-76/18</v>
      </c>
      <c r="T197" s="1" t="s">
        <v>86</v>
      </c>
    </row>
    <row r="198" spans="1:20" ht="51" x14ac:dyDescent="0.25">
      <c r="A198" s="6">
        <v>195</v>
      </c>
      <c r="B198" s="1" t="str">
        <f t="shared" si="13"/>
        <v>2018-2652</v>
      </c>
      <c r="C198" s="1" t="s">
        <v>418</v>
      </c>
      <c r="D198" s="1" t="s">
        <v>174</v>
      </c>
      <c r="E198" s="1" t="str">
        <f>""</f>
        <v/>
      </c>
      <c r="F198" s="1" t="s">
        <v>28</v>
      </c>
      <c r="G198" s="1" t="str">
        <f t="shared" si="14"/>
        <v>TEHMAR D.O.O., STAJNIČKA 5, 10251 HRVATSKI LESKOVAC, OIB: 78055843019</v>
      </c>
      <c r="H198" s="7"/>
      <c r="I198" s="8" t="s">
        <v>403</v>
      </c>
      <c r="J198" s="8" t="s">
        <v>423</v>
      </c>
      <c r="K198" s="6" t="str">
        <f>"17.377,00"</f>
        <v>17.377,00</v>
      </c>
      <c r="L198" s="6" t="str">
        <f>"4.344,25"</f>
        <v>4.344,25</v>
      </c>
      <c r="M198" s="6" t="str">
        <f>"21.721,25"</f>
        <v>21.721,25</v>
      </c>
      <c r="N198" s="8" t="s">
        <v>281</v>
      </c>
      <c r="O198" s="7"/>
      <c r="P198" s="2" t="s">
        <v>5746</v>
      </c>
      <c r="Q198" s="7"/>
      <c r="R198" s="1"/>
      <c r="S198" s="1" t="str">
        <f>"7-22/NOS-76/18"</f>
        <v>7-22/NOS-76/18</v>
      </c>
      <c r="T198" s="1" t="s">
        <v>86</v>
      </c>
    </row>
    <row r="199" spans="1:20" ht="51" x14ac:dyDescent="0.25">
      <c r="A199" s="6">
        <v>196</v>
      </c>
      <c r="B199" s="1" t="str">
        <f t="shared" si="13"/>
        <v>2018-2652</v>
      </c>
      <c r="C199" s="1" t="s">
        <v>418</v>
      </c>
      <c r="D199" s="1" t="s">
        <v>174</v>
      </c>
      <c r="E199" s="1" t="str">
        <f>""</f>
        <v/>
      </c>
      <c r="F199" s="1" t="s">
        <v>28</v>
      </c>
      <c r="G199" s="1" t="str">
        <f>CONCATENATE("M-COM USLUGE D.O.O.,"," TRG KREŠIMIRA ĆOSIĆA 10,"," 10000 ZAGREB,"," OIB: 85546467214")</f>
        <v>M-COM USLUGE D.O.O., TRG KREŠIMIRA ĆOSIĆA 10, 10000 ZAGREB, OIB: 85546467214</v>
      </c>
      <c r="H199" s="7"/>
      <c r="I199" s="8" t="s">
        <v>403</v>
      </c>
      <c r="J199" s="8" t="s">
        <v>292</v>
      </c>
      <c r="K199" s="6" t="str">
        <f>"15.825,00"</f>
        <v>15.825,00</v>
      </c>
      <c r="L199" s="6" t="str">
        <f>"3.956,25"</f>
        <v>3.956,25</v>
      </c>
      <c r="M199" s="6" t="str">
        <f>"19.781,25"</f>
        <v>19.781,25</v>
      </c>
      <c r="N199" s="8" t="s">
        <v>272</v>
      </c>
      <c r="O199" s="7"/>
      <c r="P199" s="2" t="s">
        <v>5747</v>
      </c>
      <c r="Q199" s="7"/>
      <c r="R199" s="1"/>
      <c r="S199" s="1" t="str">
        <f>"6-22/NOS-76/18"</f>
        <v>6-22/NOS-76/18</v>
      </c>
      <c r="T199" s="1" t="s">
        <v>86</v>
      </c>
    </row>
    <row r="200" spans="1:20" ht="51" x14ac:dyDescent="0.25">
      <c r="A200" s="6">
        <v>197</v>
      </c>
      <c r="B200" s="1" t="str">
        <f t="shared" si="13"/>
        <v>2018-2652</v>
      </c>
      <c r="C200" s="1" t="s">
        <v>418</v>
      </c>
      <c r="D200" s="1" t="s">
        <v>174</v>
      </c>
      <c r="E200" s="1" t="str">
        <f>""</f>
        <v/>
      </c>
      <c r="F200" s="1" t="s">
        <v>28</v>
      </c>
      <c r="G200" s="1" t="str">
        <f t="shared" ref="G200:G214" si="15">CONCATENATE("TEHMAR D.O.O.,"," STAJNIČKA 5,"," 10251 HRVATSKI LESKOVAC,"," OIB: 78055843019")</f>
        <v>TEHMAR D.O.O., STAJNIČKA 5, 10251 HRVATSKI LESKOVAC, OIB: 78055843019</v>
      </c>
      <c r="H200" s="7"/>
      <c r="I200" s="8" t="s">
        <v>405</v>
      </c>
      <c r="J200" s="8" t="s">
        <v>423</v>
      </c>
      <c r="K200" s="6" t="str">
        <f>"7.177,95"</f>
        <v>7.177,95</v>
      </c>
      <c r="L200" s="6" t="str">
        <f>"1.794,49"</f>
        <v>1.794,49</v>
      </c>
      <c r="M200" s="6" t="str">
        <f>"8.972,44"</f>
        <v>8.972,44</v>
      </c>
      <c r="N200" s="8" t="s">
        <v>272</v>
      </c>
      <c r="O200" s="7"/>
      <c r="P200" s="2" t="s">
        <v>5748</v>
      </c>
      <c r="Q200" s="7"/>
      <c r="R200" s="1"/>
      <c r="S200" s="1" t="str">
        <f>"8-22/NOS-76/18"</f>
        <v>8-22/NOS-76/18</v>
      </c>
      <c r="T200" s="1" t="s">
        <v>86</v>
      </c>
    </row>
    <row r="201" spans="1:20" ht="51" x14ac:dyDescent="0.25">
      <c r="A201" s="6">
        <v>198</v>
      </c>
      <c r="B201" s="1" t="str">
        <f t="shared" si="13"/>
        <v>2018-2652</v>
      </c>
      <c r="C201" s="1" t="s">
        <v>418</v>
      </c>
      <c r="D201" s="1" t="s">
        <v>174</v>
      </c>
      <c r="E201" s="1" t="str">
        <f>""</f>
        <v/>
      </c>
      <c r="F201" s="1" t="s">
        <v>28</v>
      </c>
      <c r="G201" s="1" t="str">
        <f t="shared" si="15"/>
        <v>TEHMAR D.O.O., STAJNIČKA 5, 10251 HRVATSKI LESKOVAC, OIB: 78055843019</v>
      </c>
      <c r="H201" s="7"/>
      <c r="I201" s="8" t="s">
        <v>424</v>
      </c>
      <c r="J201" s="8" t="s">
        <v>292</v>
      </c>
      <c r="K201" s="6" t="str">
        <f>"8.651,00"</f>
        <v>8.651,00</v>
      </c>
      <c r="L201" s="6" t="str">
        <f>"2.162,75"</f>
        <v>2.162,75</v>
      </c>
      <c r="M201" s="6" t="str">
        <f>"10.813,75"</f>
        <v>10.813,75</v>
      </c>
      <c r="N201" s="8" t="s">
        <v>425</v>
      </c>
      <c r="O201" s="7"/>
      <c r="P201" s="2" t="s">
        <v>5749</v>
      </c>
      <c r="Q201" s="7"/>
      <c r="R201" s="1"/>
      <c r="S201" s="1" t="str">
        <f>"9-22/NOS-76/18"</f>
        <v>9-22/NOS-76/18</v>
      </c>
      <c r="T201" s="1" t="s">
        <v>86</v>
      </c>
    </row>
    <row r="202" spans="1:20" ht="51" x14ac:dyDescent="0.25">
      <c r="A202" s="6">
        <v>199</v>
      </c>
      <c r="B202" s="1" t="str">
        <f t="shared" si="13"/>
        <v>2018-2652</v>
      </c>
      <c r="C202" s="1" t="s">
        <v>418</v>
      </c>
      <c r="D202" s="1" t="s">
        <v>174</v>
      </c>
      <c r="E202" s="1" t="str">
        <f>""</f>
        <v/>
      </c>
      <c r="F202" s="1" t="s">
        <v>28</v>
      </c>
      <c r="G202" s="1" t="str">
        <f t="shared" si="15"/>
        <v>TEHMAR D.O.O., STAJNIČKA 5, 10251 HRVATSKI LESKOVAC, OIB: 78055843019</v>
      </c>
      <c r="H202" s="7"/>
      <c r="I202" s="8" t="s">
        <v>238</v>
      </c>
      <c r="J202" s="8" t="s">
        <v>231</v>
      </c>
      <c r="K202" s="6" t="str">
        <f>"17.136,00"</f>
        <v>17.136,00</v>
      </c>
      <c r="L202" s="6" t="str">
        <f>"4.284,00"</f>
        <v>4.284,00</v>
      </c>
      <c r="M202" s="6" t="str">
        <f>"21.420,00"</f>
        <v>21.420,00</v>
      </c>
      <c r="N202" s="8" t="s">
        <v>425</v>
      </c>
      <c r="O202" s="7"/>
      <c r="P202" s="2" t="s">
        <v>5750</v>
      </c>
      <c r="Q202" s="7"/>
      <c r="R202" s="1"/>
      <c r="S202" s="1" t="str">
        <f>"10-22/NOS-76/18"</f>
        <v>10-22/NOS-76/18</v>
      </c>
      <c r="T202" s="1" t="s">
        <v>86</v>
      </c>
    </row>
    <row r="203" spans="1:20" ht="51" x14ac:dyDescent="0.25">
      <c r="A203" s="6">
        <v>200</v>
      </c>
      <c r="B203" s="1" t="str">
        <f t="shared" si="13"/>
        <v>2018-2652</v>
      </c>
      <c r="C203" s="1" t="s">
        <v>418</v>
      </c>
      <c r="D203" s="1" t="s">
        <v>174</v>
      </c>
      <c r="E203" s="1" t="str">
        <f>""</f>
        <v/>
      </c>
      <c r="F203" s="1" t="s">
        <v>28</v>
      </c>
      <c r="G203" s="1" t="str">
        <f t="shared" si="15"/>
        <v>TEHMAR D.O.O., STAJNIČKA 5, 10251 HRVATSKI LESKOVAC, OIB: 78055843019</v>
      </c>
      <c r="H203" s="7"/>
      <c r="I203" s="8" t="s">
        <v>426</v>
      </c>
      <c r="J203" s="8" t="s">
        <v>423</v>
      </c>
      <c r="K203" s="6" t="str">
        <f>"16.126,00"</f>
        <v>16.126,00</v>
      </c>
      <c r="L203" s="6" t="str">
        <f>"4.031,50"</f>
        <v>4.031,50</v>
      </c>
      <c r="M203" s="6" t="str">
        <f>"20.157,50"</f>
        <v>20.157,50</v>
      </c>
      <c r="N203" s="8" t="s">
        <v>281</v>
      </c>
      <c r="O203" s="7"/>
      <c r="P203" s="2" t="s">
        <v>5751</v>
      </c>
      <c r="Q203" s="7"/>
      <c r="R203" s="1"/>
      <c r="S203" s="1" t="str">
        <f>"11-22/NOS-76/18"</f>
        <v>11-22/NOS-76/18</v>
      </c>
      <c r="T203" s="1" t="s">
        <v>86</v>
      </c>
    </row>
    <row r="204" spans="1:20" ht="51" x14ac:dyDescent="0.25">
      <c r="A204" s="6">
        <v>201</v>
      </c>
      <c r="B204" s="1" t="str">
        <f t="shared" si="13"/>
        <v>2018-2652</v>
      </c>
      <c r="C204" s="1" t="s">
        <v>418</v>
      </c>
      <c r="D204" s="1" t="s">
        <v>174</v>
      </c>
      <c r="E204" s="1" t="str">
        <f>""</f>
        <v/>
      </c>
      <c r="F204" s="1" t="s">
        <v>28</v>
      </c>
      <c r="G204" s="1" t="str">
        <f t="shared" si="15"/>
        <v>TEHMAR D.O.O., STAJNIČKA 5, 10251 HRVATSKI LESKOVAC, OIB: 78055843019</v>
      </c>
      <c r="H204" s="7"/>
      <c r="I204" s="8" t="s">
        <v>427</v>
      </c>
      <c r="J204" s="8" t="s">
        <v>241</v>
      </c>
      <c r="K204" s="6" t="str">
        <f>"2.973,72"</f>
        <v>2.973,72</v>
      </c>
      <c r="L204" s="6" t="str">
        <f>"743,43"</f>
        <v>743,43</v>
      </c>
      <c r="M204" s="6" t="str">
        <f>"3.717,15"</f>
        <v>3.717,15</v>
      </c>
      <c r="N204" s="8" t="s">
        <v>281</v>
      </c>
      <c r="O204" s="7"/>
      <c r="P204" s="2" t="s">
        <v>5752</v>
      </c>
      <c r="Q204" s="7"/>
      <c r="R204" s="1"/>
      <c r="S204" s="1" t="str">
        <f>"12-22/NOS-76/18"</f>
        <v>12-22/NOS-76/18</v>
      </c>
      <c r="T204" s="1" t="s">
        <v>86</v>
      </c>
    </row>
    <row r="205" spans="1:20" ht="51" x14ac:dyDescent="0.25">
      <c r="A205" s="6">
        <v>202</v>
      </c>
      <c r="B205" s="1" t="str">
        <f t="shared" si="13"/>
        <v>2018-2652</v>
      </c>
      <c r="C205" s="1" t="s">
        <v>418</v>
      </c>
      <c r="D205" s="1" t="s">
        <v>174</v>
      </c>
      <c r="E205" s="1" t="str">
        <f>""</f>
        <v/>
      </c>
      <c r="F205" s="1" t="s">
        <v>28</v>
      </c>
      <c r="G205" s="1" t="str">
        <f t="shared" si="15"/>
        <v>TEHMAR D.O.O., STAJNIČKA 5, 10251 HRVATSKI LESKOVAC, OIB: 78055843019</v>
      </c>
      <c r="H205" s="7"/>
      <c r="I205" s="8" t="s">
        <v>428</v>
      </c>
      <c r="J205" s="8" t="s">
        <v>231</v>
      </c>
      <c r="K205" s="6" t="str">
        <f>"23.035,10"</f>
        <v>23.035,10</v>
      </c>
      <c r="L205" s="6" t="str">
        <f>"5.758,78"</f>
        <v>5.758,78</v>
      </c>
      <c r="M205" s="6" t="str">
        <f>"28.793,88"</f>
        <v>28.793,88</v>
      </c>
      <c r="N205" s="8" t="s">
        <v>146</v>
      </c>
      <c r="O205" s="7"/>
      <c r="P205" s="2" t="s">
        <v>5753</v>
      </c>
      <c r="Q205" s="7"/>
      <c r="R205" s="1"/>
      <c r="S205" s="1" t="str">
        <f>"13-22/NOS-76/18"</f>
        <v>13-22/NOS-76/18</v>
      </c>
      <c r="T205" s="1" t="s">
        <v>86</v>
      </c>
    </row>
    <row r="206" spans="1:20" ht="51" x14ac:dyDescent="0.25">
      <c r="A206" s="6">
        <v>203</v>
      </c>
      <c r="B206" s="1" t="str">
        <f t="shared" si="13"/>
        <v>2018-2652</v>
      </c>
      <c r="C206" s="1" t="s">
        <v>418</v>
      </c>
      <c r="D206" s="1" t="s">
        <v>174</v>
      </c>
      <c r="E206" s="1" t="str">
        <f>""</f>
        <v/>
      </c>
      <c r="F206" s="1" t="s">
        <v>28</v>
      </c>
      <c r="G206" s="1" t="str">
        <f t="shared" si="15"/>
        <v>TEHMAR D.O.O., STAJNIČKA 5, 10251 HRVATSKI LESKOVAC, OIB: 78055843019</v>
      </c>
      <c r="H206" s="7"/>
      <c r="I206" s="8" t="s">
        <v>428</v>
      </c>
      <c r="J206" s="8" t="s">
        <v>231</v>
      </c>
      <c r="K206" s="6" t="str">
        <f>"9.166,80"</f>
        <v>9.166,80</v>
      </c>
      <c r="L206" s="6" t="str">
        <f>"2.291,70"</f>
        <v>2.291,70</v>
      </c>
      <c r="M206" s="6" t="str">
        <f>"11.458,50"</f>
        <v>11.458,50</v>
      </c>
      <c r="N206" s="8" t="s">
        <v>281</v>
      </c>
      <c r="O206" s="7"/>
      <c r="P206" s="2" t="s">
        <v>5754</v>
      </c>
      <c r="Q206" s="7"/>
      <c r="R206" s="1"/>
      <c r="S206" s="1" t="str">
        <f>"14-22/NOS-76/18"</f>
        <v>14-22/NOS-76/18</v>
      </c>
      <c r="T206" s="1" t="s">
        <v>86</v>
      </c>
    </row>
    <row r="207" spans="1:20" ht="51" x14ac:dyDescent="0.25">
      <c r="A207" s="6">
        <v>204</v>
      </c>
      <c r="B207" s="1" t="str">
        <f t="shared" si="13"/>
        <v>2018-2652</v>
      </c>
      <c r="C207" s="1" t="s">
        <v>418</v>
      </c>
      <c r="D207" s="1" t="s">
        <v>174</v>
      </c>
      <c r="E207" s="1" t="str">
        <f>""</f>
        <v/>
      </c>
      <c r="F207" s="1" t="s">
        <v>28</v>
      </c>
      <c r="G207" s="1" t="str">
        <f t="shared" si="15"/>
        <v>TEHMAR D.O.O., STAJNIČKA 5, 10251 HRVATSKI LESKOVAC, OIB: 78055843019</v>
      </c>
      <c r="H207" s="7"/>
      <c r="I207" s="8" t="s">
        <v>428</v>
      </c>
      <c r="J207" s="8" t="s">
        <v>231</v>
      </c>
      <c r="K207" s="6" t="str">
        <f>"6.713,50"</f>
        <v>6.713,50</v>
      </c>
      <c r="L207" s="6" t="str">
        <f>"1.678,38"</f>
        <v>1.678,38</v>
      </c>
      <c r="M207" s="6" t="str">
        <f>"8.391,88"</f>
        <v>8.391,88</v>
      </c>
      <c r="N207" s="8" t="s">
        <v>222</v>
      </c>
      <c r="O207" s="7"/>
      <c r="P207" s="2" t="s">
        <v>5755</v>
      </c>
      <c r="Q207" s="7"/>
      <c r="R207" s="1"/>
      <c r="S207" s="1" t="str">
        <f>"15-22/NOS-76/18"</f>
        <v>15-22/NOS-76/18</v>
      </c>
      <c r="T207" s="1" t="s">
        <v>86</v>
      </c>
    </row>
    <row r="208" spans="1:20" ht="51" x14ac:dyDescent="0.25">
      <c r="A208" s="6">
        <v>205</v>
      </c>
      <c r="B208" s="1" t="str">
        <f t="shared" si="13"/>
        <v>2018-2652</v>
      </c>
      <c r="C208" s="1" t="s">
        <v>418</v>
      </c>
      <c r="D208" s="1" t="s">
        <v>174</v>
      </c>
      <c r="E208" s="1" t="str">
        <f>""</f>
        <v/>
      </c>
      <c r="F208" s="1" t="s">
        <v>28</v>
      </c>
      <c r="G208" s="1" t="str">
        <f t="shared" si="15"/>
        <v>TEHMAR D.O.O., STAJNIČKA 5, 10251 HRVATSKI LESKOVAC, OIB: 78055843019</v>
      </c>
      <c r="H208" s="7"/>
      <c r="I208" s="8" t="s">
        <v>428</v>
      </c>
      <c r="J208" s="8" t="s">
        <v>231</v>
      </c>
      <c r="K208" s="6" t="str">
        <f>"2.509,00"</f>
        <v>2.509,00</v>
      </c>
      <c r="L208" s="6" t="str">
        <f>"627,25"</f>
        <v>627,25</v>
      </c>
      <c r="M208" s="6" t="str">
        <f>"3.136,25"</f>
        <v>3.136,25</v>
      </c>
      <c r="N208" s="8" t="s">
        <v>222</v>
      </c>
      <c r="O208" s="7"/>
      <c r="P208" s="2" t="s">
        <v>5756</v>
      </c>
      <c r="Q208" s="7"/>
      <c r="R208" s="1"/>
      <c r="S208" s="1" t="str">
        <f>"16-22/NOS-76/18"</f>
        <v>16-22/NOS-76/18</v>
      </c>
      <c r="T208" s="1" t="s">
        <v>86</v>
      </c>
    </row>
    <row r="209" spans="1:20" ht="51" x14ac:dyDescent="0.25">
      <c r="A209" s="6">
        <v>206</v>
      </c>
      <c r="B209" s="1" t="str">
        <f t="shared" si="13"/>
        <v>2018-2652</v>
      </c>
      <c r="C209" s="1" t="s">
        <v>418</v>
      </c>
      <c r="D209" s="1" t="s">
        <v>174</v>
      </c>
      <c r="E209" s="1" t="str">
        <f>""</f>
        <v/>
      </c>
      <c r="F209" s="1" t="s">
        <v>28</v>
      </c>
      <c r="G209" s="1" t="str">
        <f t="shared" si="15"/>
        <v>TEHMAR D.O.O., STAJNIČKA 5, 10251 HRVATSKI LESKOVAC, OIB: 78055843019</v>
      </c>
      <c r="H209" s="7"/>
      <c r="I209" s="8" t="s">
        <v>429</v>
      </c>
      <c r="J209" s="8" t="s">
        <v>292</v>
      </c>
      <c r="K209" s="6" t="str">
        <f>"29.252,50"</f>
        <v>29.252,50</v>
      </c>
      <c r="L209" s="6" t="str">
        <f>"7.313,13"</f>
        <v>7.313,13</v>
      </c>
      <c r="M209" s="6" t="str">
        <f>"36.565,63"</f>
        <v>36.565,63</v>
      </c>
      <c r="N209" s="8" t="s">
        <v>146</v>
      </c>
      <c r="O209" s="7"/>
      <c r="P209" s="2" t="s">
        <v>5757</v>
      </c>
      <c r="Q209" s="7"/>
      <c r="R209" s="1"/>
      <c r="S209" s="1" t="str">
        <f>"19-22/NOS-76/18"</f>
        <v>19-22/NOS-76/18</v>
      </c>
      <c r="T209" s="1" t="s">
        <v>86</v>
      </c>
    </row>
    <row r="210" spans="1:20" ht="51" x14ac:dyDescent="0.25">
      <c r="A210" s="6">
        <v>207</v>
      </c>
      <c r="B210" s="1" t="str">
        <f t="shared" si="13"/>
        <v>2018-2652</v>
      </c>
      <c r="C210" s="1" t="s">
        <v>418</v>
      </c>
      <c r="D210" s="1" t="s">
        <v>174</v>
      </c>
      <c r="E210" s="1" t="str">
        <f>""</f>
        <v/>
      </c>
      <c r="F210" s="1" t="s">
        <v>28</v>
      </c>
      <c r="G210" s="1" t="str">
        <f t="shared" si="15"/>
        <v>TEHMAR D.O.O., STAJNIČKA 5, 10251 HRVATSKI LESKOVAC, OIB: 78055843019</v>
      </c>
      <c r="H210" s="7"/>
      <c r="I210" s="8" t="s">
        <v>430</v>
      </c>
      <c r="J210" s="8" t="s">
        <v>292</v>
      </c>
      <c r="K210" s="6" t="str">
        <f>"2.371,75"</f>
        <v>2.371,75</v>
      </c>
      <c r="L210" s="6" t="str">
        <f>"592,94"</f>
        <v>592,94</v>
      </c>
      <c r="M210" s="6" t="str">
        <f>"2.964,69"</f>
        <v>2.964,69</v>
      </c>
      <c r="N210" s="8" t="s">
        <v>146</v>
      </c>
      <c r="O210" s="7"/>
      <c r="P210" s="2" t="s">
        <v>5758</v>
      </c>
      <c r="Q210" s="7"/>
      <c r="R210" s="1"/>
      <c r="S210" s="1" t="str">
        <f>"17-22/NOS-76/18"</f>
        <v>17-22/NOS-76/18</v>
      </c>
      <c r="T210" s="1" t="s">
        <v>86</v>
      </c>
    </row>
    <row r="211" spans="1:20" ht="51" x14ac:dyDescent="0.25">
      <c r="A211" s="6">
        <v>208</v>
      </c>
      <c r="B211" s="1" t="str">
        <f t="shared" si="13"/>
        <v>2018-2652</v>
      </c>
      <c r="C211" s="1" t="s">
        <v>418</v>
      </c>
      <c r="D211" s="1" t="s">
        <v>174</v>
      </c>
      <c r="E211" s="1" t="str">
        <f>""</f>
        <v/>
      </c>
      <c r="F211" s="1" t="s">
        <v>28</v>
      </c>
      <c r="G211" s="1" t="str">
        <f t="shared" si="15"/>
        <v>TEHMAR D.O.O., STAJNIČKA 5, 10251 HRVATSKI LESKOVAC, OIB: 78055843019</v>
      </c>
      <c r="H211" s="7"/>
      <c r="I211" s="8" t="s">
        <v>431</v>
      </c>
      <c r="J211" s="8" t="s">
        <v>231</v>
      </c>
      <c r="K211" s="6" t="str">
        <f>"27.909,80"</f>
        <v>27.909,80</v>
      </c>
      <c r="L211" s="6" t="str">
        <f>"6.977,45"</f>
        <v>6.977,45</v>
      </c>
      <c r="M211" s="6" t="str">
        <f>"34.887,25"</f>
        <v>34.887,25</v>
      </c>
      <c r="N211" s="8" t="s">
        <v>285</v>
      </c>
      <c r="O211" s="7"/>
      <c r="P211" s="2" t="s">
        <v>5759</v>
      </c>
      <c r="Q211" s="7"/>
      <c r="R211" s="1"/>
      <c r="S211" s="1" t="str">
        <f>"18-22/NOS-76/18"</f>
        <v>18-22/NOS-76/18</v>
      </c>
      <c r="T211" s="1" t="s">
        <v>86</v>
      </c>
    </row>
    <row r="212" spans="1:20" ht="51" x14ac:dyDescent="0.25">
      <c r="A212" s="6">
        <v>209</v>
      </c>
      <c r="B212" s="1" t="str">
        <f t="shared" si="13"/>
        <v>2018-2652</v>
      </c>
      <c r="C212" s="1" t="s">
        <v>418</v>
      </c>
      <c r="D212" s="1" t="s">
        <v>174</v>
      </c>
      <c r="E212" s="1" t="str">
        <f>""</f>
        <v/>
      </c>
      <c r="F212" s="1" t="s">
        <v>28</v>
      </c>
      <c r="G212" s="1" t="str">
        <f t="shared" si="15"/>
        <v>TEHMAR D.O.O., STAJNIČKA 5, 10251 HRVATSKI LESKOVAC, OIB: 78055843019</v>
      </c>
      <c r="H212" s="7"/>
      <c r="I212" s="8" t="s">
        <v>374</v>
      </c>
      <c r="J212" s="8" t="s">
        <v>231</v>
      </c>
      <c r="K212" s="6" t="str">
        <f>"10.088,20"</f>
        <v>10.088,20</v>
      </c>
      <c r="L212" s="6" t="str">
        <f>"2.522,05"</f>
        <v>2.522,05</v>
      </c>
      <c r="M212" s="6" t="str">
        <f>"12.610,25"</f>
        <v>12.610,25</v>
      </c>
      <c r="N212" s="8" t="s">
        <v>146</v>
      </c>
      <c r="O212" s="7"/>
      <c r="P212" s="2" t="s">
        <v>5760</v>
      </c>
      <c r="Q212" s="7"/>
      <c r="R212" s="1"/>
      <c r="S212" s="1" t="str">
        <f>"20-22/NOS-76/18"</f>
        <v>20-22/NOS-76/18</v>
      </c>
      <c r="T212" s="1" t="s">
        <v>86</v>
      </c>
    </row>
    <row r="213" spans="1:20" ht="51" x14ac:dyDescent="0.25">
      <c r="A213" s="6">
        <v>210</v>
      </c>
      <c r="B213" s="1" t="str">
        <f t="shared" si="13"/>
        <v>2018-2652</v>
      </c>
      <c r="C213" s="1" t="s">
        <v>418</v>
      </c>
      <c r="D213" s="1" t="s">
        <v>174</v>
      </c>
      <c r="E213" s="1" t="str">
        <f>""</f>
        <v/>
      </c>
      <c r="F213" s="1" t="s">
        <v>28</v>
      </c>
      <c r="G213" s="1" t="str">
        <f t="shared" si="15"/>
        <v>TEHMAR D.O.O., STAJNIČKA 5, 10251 HRVATSKI LESKOVAC, OIB: 78055843019</v>
      </c>
      <c r="H213" s="7"/>
      <c r="I213" s="8" t="s">
        <v>432</v>
      </c>
      <c r="J213" s="8" t="s">
        <v>292</v>
      </c>
      <c r="K213" s="6" t="str">
        <f>"99.810,00"</f>
        <v>99.810,00</v>
      </c>
      <c r="L213" s="6" t="str">
        <f>"5.905,13"</f>
        <v>5.905,13</v>
      </c>
      <c r="M213" s="6" t="str">
        <f>"105.715,13"</f>
        <v>105.715,13</v>
      </c>
      <c r="N213" s="8" t="s">
        <v>433</v>
      </c>
      <c r="O213" s="7"/>
      <c r="P213" s="2" t="s">
        <v>5761</v>
      </c>
      <c r="Q213" s="7"/>
      <c r="R213" s="1"/>
      <c r="S213" s="1" t="str">
        <f>"22-22/NOS-76/18"</f>
        <v>22-22/NOS-76/18</v>
      </c>
      <c r="T213" s="1" t="s">
        <v>86</v>
      </c>
    </row>
    <row r="214" spans="1:20" ht="51" x14ac:dyDescent="0.25">
      <c r="A214" s="6">
        <v>211</v>
      </c>
      <c r="B214" s="1" t="str">
        <f t="shared" si="13"/>
        <v>2018-2652</v>
      </c>
      <c r="C214" s="1" t="s">
        <v>418</v>
      </c>
      <c r="D214" s="1" t="s">
        <v>174</v>
      </c>
      <c r="E214" s="1" t="str">
        <f>""</f>
        <v/>
      </c>
      <c r="F214" s="1" t="s">
        <v>28</v>
      </c>
      <c r="G214" s="1" t="str">
        <f t="shared" si="15"/>
        <v>TEHMAR D.O.O., STAJNIČKA 5, 10251 HRVATSKI LESKOVAC, OIB: 78055843019</v>
      </c>
      <c r="H214" s="7"/>
      <c r="I214" s="8" t="s">
        <v>432</v>
      </c>
      <c r="J214" s="8" t="s">
        <v>292</v>
      </c>
      <c r="K214" s="6" t="str">
        <f>"105.403,00"</f>
        <v>105.403,00</v>
      </c>
      <c r="L214" s="6" t="str">
        <f>"8.285,38"</f>
        <v>8.285,38</v>
      </c>
      <c r="M214" s="6" t="str">
        <f>"113.688,38"</f>
        <v>113.688,38</v>
      </c>
      <c r="N214" s="8" t="s">
        <v>146</v>
      </c>
      <c r="O214" s="7"/>
      <c r="P214" s="2" t="s">
        <v>5762</v>
      </c>
      <c r="Q214" s="7"/>
      <c r="R214" s="1"/>
      <c r="S214" s="1" t="str">
        <f>"21-22/NOS-76/18"</f>
        <v>21-22/NOS-76/18</v>
      </c>
      <c r="T214" s="1" t="s">
        <v>86</v>
      </c>
    </row>
    <row r="215" spans="1:20" ht="140.25" x14ac:dyDescent="0.25">
      <c r="A215" s="6">
        <v>212</v>
      </c>
      <c r="B215" s="1" t="str">
        <f>"2018-2832"</f>
        <v>2018-2832</v>
      </c>
      <c r="C215" s="1" t="s">
        <v>434</v>
      </c>
      <c r="D215" s="1" t="s">
        <v>435</v>
      </c>
      <c r="E215" s="1" t="str">
        <f>"2018/S 0F2-0031544"</f>
        <v>2018/S 0F2-0031544</v>
      </c>
      <c r="F215" s="1" t="s">
        <v>22</v>
      </c>
      <c r="G215" s="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15" s="7"/>
      <c r="I215" s="8" t="s">
        <v>436</v>
      </c>
      <c r="J215" s="8" t="s">
        <v>437</v>
      </c>
      <c r="K215" s="6" t="str">
        <f>"1.500.000,00"</f>
        <v>1.500.000,00</v>
      </c>
      <c r="L215" s="6" t="str">
        <f>"375.000,00"</f>
        <v>375.000,00</v>
      </c>
      <c r="M215" s="6" t="str">
        <f>"1.875.000,00"</f>
        <v>1.875.000,00</v>
      </c>
      <c r="N215" s="8" t="s">
        <v>438</v>
      </c>
      <c r="O215" s="7"/>
      <c r="P215" s="2" t="s">
        <v>5614</v>
      </c>
      <c r="Q215" s="7"/>
      <c r="R215" s="1"/>
      <c r="S215" s="1" t="str">
        <f>"NOS-95/18"</f>
        <v>NOS-95/18</v>
      </c>
      <c r="T215" s="1" t="s">
        <v>32</v>
      </c>
    </row>
    <row r="216" spans="1:20" ht="140.25" x14ac:dyDescent="0.25">
      <c r="A216" s="6">
        <v>213</v>
      </c>
      <c r="B216" s="1" t="str">
        <f>"2018-2832"</f>
        <v>2018-2832</v>
      </c>
      <c r="C216" s="1" t="s">
        <v>434</v>
      </c>
      <c r="D216" s="1" t="s">
        <v>439</v>
      </c>
      <c r="E216" s="1" t="str">
        <f>""</f>
        <v/>
      </c>
      <c r="F216" s="1" t="s">
        <v>28</v>
      </c>
      <c r="G216" s="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16" s="7"/>
      <c r="I216" s="8" t="s">
        <v>440</v>
      </c>
      <c r="J216" s="8" t="s">
        <v>57</v>
      </c>
      <c r="K216" s="6" t="str">
        <f>"346.275,00"</f>
        <v>346.275,00</v>
      </c>
      <c r="L216" s="6" t="str">
        <f>"86.568,75"</f>
        <v>86.568,75</v>
      </c>
      <c r="M216" s="6" t="str">
        <f>"432.843,75"</f>
        <v>432.843,75</v>
      </c>
      <c r="N216" s="8" t="s">
        <v>441</v>
      </c>
      <c r="O216" s="7"/>
      <c r="P216" s="2" t="s">
        <v>5763</v>
      </c>
      <c r="Q216" s="7"/>
      <c r="R216" s="1"/>
      <c r="S216" s="1" t="str">
        <f>"1-21/NOS-95/18"</f>
        <v>1-21/NOS-95/18</v>
      </c>
      <c r="T216" s="1" t="s">
        <v>32</v>
      </c>
    </row>
    <row r="217" spans="1:20" ht="140.25" x14ac:dyDescent="0.25">
      <c r="A217" s="6">
        <v>214</v>
      </c>
      <c r="B217" s="1" t="str">
        <f>"2018-2832"</f>
        <v>2018-2832</v>
      </c>
      <c r="C217" s="1" t="s">
        <v>434</v>
      </c>
      <c r="D217" s="1" t="s">
        <v>439</v>
      </c>
      <c r="E217" s="1" t="str">
        <f>""</f>
        <v/>
      </c>
      <c r="F217" s="1" t="s">
        <v>28</v>
      </c>
      <c r="G217" s="1"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17" s="7"/>
      <c r="I217" s="8" t="s">
        <v>442</v>
      </c>
      <c r="J217" s="8" t="s">
        <v>123</v>
      </c>
      <c r="K217" s="6" t="str">
        <f>"369.885,00"</f>
        <v>369.885,00</v>
      </c>
      <c r="L217" s="6" t="str">
        <f>"92.471,25"</f>
        <v>92.471,25</v>
      </c>
      <c r="M217" s="6" t="str">
        <f>"462.356,25"</f>
        <v>462.356,25</v>
      </c>
      <c r="N217" s="8" t="s">
        <v>317</v>
      </c>
      <c r="O217" s="7"/>
      <c r="P217" s="2" t="s">
        <v>5764</v>
      </c>
      <c r="Q217" s="7"/>
      <c r="R217" s="1"/>
      <c r="S217" s="1" t="str">
        <f>"1-22/NOS-95/18"</f>
        <v>1-22/NOS-95/18</v>
      </c>
      <c r="T217" s="1" t="s">
        <v>32</v>
      </c>
    </row>
    <row r="218" spans="1:20" ht="216.75" x14ac:dyDescent="0.25">
      <c r="A218" s="6">
        <v>215</v>
      </c>
      <c r="B218" s="1" t="str">
        <f t="shared" ref="B218:B227" si="16">"2018-2912"</f>
        <v>2018-2912</v>
      </c>
      <c r="C218" s="1" t="s">
        <v>443</v>
      </c>
      <c r="D218" s="1" t="s">
        <v>444</v>
      </c>
      <c r="E218" s="1" t="str">
        <f>"2018/S F14-0036261"</f>
        <v>2018/S F14-0036261</v>
      </c>
      <c r="F218" s="1" t="s">
        <v>22</v>
      </c>
      <c r="G218" s="1" t="str">
        <f t="shared" ref="G218:G227" si="17">CONCATENATE("CROATIA OSIGURANJE D.D.,"," ,"," OIB: 26187994862")</f>
        <v>CROATIA OSIGURANJE D.D., , OIB: 26187994862</v>
      </c>
      <c r="H218" s="7"/>
      <c r="I218" s="8" t="s">
        <v>445</v>
      </c>
      <c r="J218" s="8" t="s">
        <v>421</v>
      </c>
      <c r="K218" s="6" t="str">
        <f>"65.156.000,00"</f>
        <v>65.156.000,00</v>
      </c>
      <c r="L218" s="6" t="str">
        <f>"16.289.000,00"</f>
        <v>16.289.000,00</v>
      </c>
      <c r="M218" s="6" t="str">
        <f>"81.445.000,00"</f>
        <v>81.445.000,00</v>
      </c>
      <c r="N218" s="8" t="s">
        <v>446</v>
      </c>
      <c r="O218" s="7"/>
      <c r="P218" s="2" t="s">
        <v>5765</v>
      </c>
      <c r="Q218" s="7"/>
      <c r="R218" s="1"/>
      <c r="S218" s="1" t="str">
        <f>"NOS-113-A/18"</f>
        <v>NOS-113-A/18</v>
      </c>
      <c r="T218" s="1" t="s">
        <v>447</v>
      </c>
    </row>
    <row r="219" spans="1:20" ht="89.25" x14ac:dyDescent="0.25">
      <c r="A219" s="6">
        <v>216</v>
      </c>
      <c r="B219" s="1" t="str">
        <f t="shared" si="16"/>
        <v>2018-2912</v>
      </c>
      <c r="C219" s="1" t="s">
        <v>448</v>
      </c>
      <c r="D219" s="1" t="s">
        <v>449</v>
      </c>
      <c r="E219" s="1" t="str">
        <f>""</f>
        <v/>
      </c>
      <c r="F219" s="1" t="s">
        <v>28</v>
      </c>
      <c r="G219" s="1" t="str">
        <f t="shared" si="17"/>
        <v>CROATIA OSIGURANJE D.D., , OIB: 26187994862</v>
      </c>
      <c r="H219" s="7"/>
      <c r="I219" s="8" t="s">
        <v>29</v>
      </c>
      <c r="J219" s="8" t="s">
        <v>41</v>
      </c>
      <c r="K219" s="6" t="str">
        <f>"1.067.244,45"</f>
        <v>1.067.244,45</v>
      </c>
      <c r="L219" s="6" t="str">
        <f>"266.811,11"</f>
        <v>266.811,11</v>
      </c>
      <c r="M219" s="6" t="str">
        <f>"1.334.055,56"</f>
        <v>1.334.055,56</v>
      </c>
      <c r="N219" s="8" t="s">
        <v>450</v>
      </c>
      <c r="O219" s="7"/>
      <c r="P219" s="2" t="s">
        <v>5766</v>
      </c>
      <c r="Q219" s="7"/>
      <c r="R219" s="1"/>
      <c r="S219" s="1" t="str">
        <f>"4-21/NOS-113-A/18"</f>
        <v>4-21/NOS-113-A/18</v>
      </c>
      <c r="T219" s="1" t="s">
        <v>43</v>
      </c>
    </row>
    <row r="220" spans="1:20" ht="89.25" x14ac:dyDescent="0.25">
      <c r="A220" s="6">
        <v>217</v>
      </c>
      <c r="B220" s="1" t="str">
        <f t="shared" si="16"/>
        <v>2018-2912</v>
      </c>
      <c r="C220" s="1" t="s">
        <v>451</v>
      </c>
      <c r="D220" s="1" t="s">
        <v>449</v>
      </c>
      <c r="E220" s="1" t="str">
        <f>""</f>
        <v/>
      </c>
      <c r="F220" s="1" t="s">
        <v>28</v>
      </c>
      <c r="G220" s="1" t="str">
        <f t="shared" si="17"/>
        <v>CROATIA OSIGURANJE D.D., , OIB: 26187994862</v>
      </c>
      <c r="H220" s="7"/>
      <c r="I220" s="8" t="s">
        <v>29</v>
      </c>
      <c r="J220" s="8" t="s">
        <v>41</v>
      </c>
      <c r="K220" s="6" t="str">
        <f>"1.247.098,36"</f>
        <v>1.247.098,36</v>
      </c>
      <c r="L220" s="6" t="str">
        <f>"311.774,59"</f>
        <v>311.774,59</v>
      </c>
      <c r="M220" s="6" t="str">
        <f>"1.558.872,95"</f>
        <v>1.558.872,95</v>
      </c>
      <c r="N220" s="8" t="s">
        <v>94</v>
      </c>
      <c r="O220" s="7"/>
      <c r="P220" s="2" t="s">
        <v>5767</v>
      </c>
      <c r="Q220" s="7"/>
      <c r="R220" s="1"/>
      <c r="S220" s="1" t="str">
        <f>"3-21/NOS-113-A/18"</f>
        <v>3-21/NOS-113-A/18</v>
      </c>
      <c r="T220" s="1" t="s">
        <v>452</v>
      </c>
    </row>
    <row r="221" spans="1:20" ht="89.25" x14ac:dyDescent="0.25">
      <c r="A221" s="6">
        <v>218</v>
      </c>
      <c r="B221" s="1" t="str">
        <f t="shared" si="16"/>
        <v>2018-2912</v>
      </c>
      <c r="C221" s="1" t="s">
        <v>453</v>
      </c>
      <c r="D221" s="1" t="s">
        <v>449</v>
      </c>
      <c r="E221" s="1" t="str">
        <f>""</f>
        <v/>
      </c>
      <c r="F221" s="1" t="s">
        <v>28</v>
      </c>
      <c r="G221" s="1" t="str">
        <f t="shared" si="17"/>
        <v>CROATIA OSIGURANJE D.D., , OIB: 26187994862</v>
      </c>
      <c r="H221" s="7"/>
      <c r="I221" s="8" t="s">
        <v>36</v>
      </c>
      <c r="J221" s="8" t="s">
        <v>41</v>
      </c>
      <c r="K221" s="6" t="str">
        <f>"108.450,55"</f>
        <v>108.450,55</v>
      </c>
      <c r="L221" s="6" t="str">
        <f>"27.112,64"</f>
        <v>27.112,64</v>
      </c>
      <c r="M221" s="6" t="str">
        <f>"135.563,19"</f>
        <v>135.563,19</v>
      </c>
      <c r="N221" s="8" t="s">
        <v>124</v>
      </c>
      <c r="O221" s="7"/>
      <c r="P221" s="2" t="s">
        <v>5614</v>
      </c>
      <c r="Q221" s="7"/>
      <c r="R221" s="1"/>
      <c r="S221" s="1" t="str">
        <f>"5-21/NOS-113-A/18"</f>
        <v>5-21/NOS-113-A/18</v>
      </c>
      <c r="T221" s="1" t="s">
        <v>86</v>
      </c>
    </row>
    <row r="222" spans="1:20" ht="89.25" x14ac:dyDescent="0.25">
      <c r="A222" s="6">
        <v>219</v>
      </c>
      <c r="B222" s="1" t="str">
        <f t="shared" si="16"/>
        <v>2018-2912</v>
      </c>
      <c r="C222" s="1" t="s">
        <v>454</v>
      </c>
      <c r="D222" s="1" t="s">
        <v>449</v>
      </c>
      <c r="E222" s="1" t="str">
        <f>""</f>
        <v/>
      </c>
      <c r="F222" s="1" t="s">
        <v>28</v>
      </c>
      <c r="G222" s="1" t="str">
        <f t="shared" si="17"/>
        <v>CROATIA OSIGURANJE D.D., , OIB: 26187994862</v>
      </c>
      <c r="H222" s="7"/>
      <c r="I222" s="8" t="s">
        <v>455</v>
      </c>
      <c r="J222" s="8" t="s">
        <v>41</v>
      </c>
      <c r="K222" s="6" t="str">
        <f>"5.739.210,39"</f>
        <v>5.739.210,39</v>
      </c>
      <c r="L222" s="6" t="str">
        <f>"1.434.802,60"</f>
        <v>1.434.802,60</v>
      </c>
      <c r="M222" s="6" t="str">
        <f>"7.174.012,99"</f>
        <v>7.174.012,99</v>
      </c>
      <c r="N222" s="8" t="s">
        <v>112</v>
      </c>
      <c r="O222" s="7"/>
      <c r="P222" s="2" t="s">
        <v>5768</v>
      </c>
      <c r="Q222" s="1"/>
      <c r="R222" s="1"/>
      <c r="S222" s="1" t="str">
        <f>"1-21/NOS-113-A/18"</f>
        <v>1-21/NOS-113-A/18</v>
      </c>
      <c r="T222" s="1" t="s">
        <v>32</v>
      </c>
    </row>
    <row r="223" spans="1:20" ht="216.75" x14ac:dyDescent="0.25">
      <c r="A223" s="6">
        <v>220</v>
      </c>
      <c r="B223" s="1" t="str">
        <f t="shared" si="16"/>
        <v>2018-2912</v>
      </c>
      <c r="C223" s="1" t="s">
        <v>456</v>
      </c>
      <c r="D223" s="1" t="s">
        <v>444</v>
      </c>
      <c r="E223" s="1" t="str">
        <f>"2018/S F14-0036261"</f>
        <v>2018/S F14-0036261</v>
      </c>
      <c r="F223" s="1" t="s">
        <v>22</v>
      </c>
      <c r="G223" s="1" t="str">
        <f t="shared" si="17"/>
        <v>CROATIA OSIGURANJE D.D., , OIB: 26187994862</v>
      </c>
      <c r="H223" s="7"/>
      <c r="I223" s="8" t="s">
        <v>445</v>
      </c>
      <c r="J223" s="8" t="s">
        <v>421</v>
      </c>
      <c r="K223" s="6" t="str">
        <f>"30.844.000,00"</f>
        <v>30.844.000,00</v>
      </c>
      <c r="L223" s="6" t="str">
        <f>"7.711.000,00"</f>
        <v>7.711.000,00</v>
      </c>
      <c r="M223" s="6" t="str">
        <f>"38.555.000,00"</f>
        <v>38.555.000,00</v>
      </c>
      <c r="N223" s="8" t="s">
        <v>446</v>
      </c>
      <c r="O223" s="7"/>
      <c r="P223" s="2" t="s">
        <v>5769</v>
      </c>
      <c r="Q223" s="7"/>
      <c r="R223" s="1"/>
      <c r="S223" s="1" t="str">
        <f>"NOS-113-B/18"</f>
        <v>NOS-113-B/18</v>
      </c>
      <c r="T223" s="1" t="s">
        <v>447</v>
      </c>
    </row>
    <row r="224" spans="1:20" ht="140.25" x14ac:dyDescent="0.25">
      <c r="A224" s="6">
        <v>221</v>
      </c>
      <c r="B224" s="1" t="str">
        <f t="shared" si="16"/>
        <v>2018-2912</v>
      </c>
      <c r="C224" s="1" t="s">
        <v>457</v>
      </c>
      <c r="D224" s="1" t="s">
        <v>449</v>
      </c>
      <c r="E224" s="1" t="str">
        <f>""</f>
        <v/>
      </c>
      <c r="F224" s="1" t="s">
        <v>28</v>
      </c>
      <c r="G224" s="1" t="str">
        <f t="shared" si="17"/>
        <v>CROATIA OSIGURANJE D.D., , OIB: 26187994862</v>
      </c>
      <c r="H224" s="7"/>
      <c r="I224" s="8" t="s">
        <v>29</v>
      </c>
      <c r="J224" s="8" t="s">
        <v>41</v>
      </c>
      <c r="K224" s="6" t="str">
        <f>"196.403,16"</f>
        <v>196.403,16</v>
      </c>
      <c r="L224" s="6" t="str">
        <f>"49.100,79"</f>
        <v>49.100,79</v>
      </c>
      <c r="M224" s="6" t="str">
        <f>"245.503,95"</f>
        <v>245.503,95</v>
      </c>
      <c r="N224" s="8" t="s">
        <v>458</v>
      </c>
      <c r="O224" s="7"/>
      <c r="P224" s="2">
        <v>234707.6</v>
      </c>
      <c r="Q224" s="7"/>
      <c r="R224" s="1"/>
      <c r="S224" s="1" t="str">
        <f>"3-21/NOS-113-B/18"</f>
        <v>3-21/NOS-113-B/18</v>
      </c>
      <c r="T224" s="1" t="s">
        <v>452</v>
      </c>
    </row>
    <row r="225" spans="1:20" ht="140.25" x14ac:dyDescent="0.25">
      <c r="A225" s="6">
        <v>222</v>
      </c>
      <c r="B225" s="1" t="str">
        <f t="shared" si="16"/>
        <v>2018-2912</v>
      </c>
      <c r="C225" s="1" t="s">
        <v>459</v>
      </c>
      <c r="D225" s="1" t="s">
        <v>449</v>
      </c>
      <c r="E225" s="1" t="str">
        <f>""</f>
        <v/>
      </c>
      <c r="F225" s="1" t="s">
        <v>28</v>
      </c>
      <c r="G225" s="1" t="str">
        <f t="shared" si="17"/>
        <v>CROATIA OSIGURANJE D.D., , OIB: 26187994862</v>
      </c>
      <c r="H225" s="7"/>
      <c r="I225" s="8" t="s">
        <v>29</v>
      </c>
      <c r="J225" s="8" t="s">
        <v>41</v>
      </c>
      <c r="K225" s="6" t="str">
        <f>"23.962,93"</f>
        <v>23.962,93</v>
      </c>
      <c r="L225" s="6" t="str">
        <f>"5.990,73"</f>
        <v>5.990,73</v>
      </c>
      <c r="M225" s="6" t="str">
        <f>"29.953,66"</f>
        <v>29.953,66</v>
      </c>
      <c r="N225" s="8" t="s">
        <v>450</v>
      </c>
      <c r="O225" s="7"/>
      <c r="P225" s="2" t="s">
        <v>5770</v>
      </c>
      <c r="Q225" s="7"/>
      <c r="R225" s="1"/>
      <c r="S225" s="1" t="str">
        <f>"4-21/NOS-113-B/18"</f>
        <v>4-21/NOS-113-B/18</v>
      </c>
      <c r="T225" s="1" t="s">
        <v>43</v>
      </c>
    </row>
    <row r="226" spans="1:20" ht="140.25" x14ac:dyDescent="0.25">
      <c r="A226" s="6">
        <v>223</v>
      </c>
      <c r="B226" s="1" t="str">
        <f t="shared" si="16"/>
        <v>2018-2912</v>
      </c>
      <c r="C226" s="1" t="s">
        <v>460</v>
      </c>
      <c r="D226" s="1" t="s">
        <v>449</v>
      </c>
      <c r="E226" s="1" t="str">
        <f>""</f>
        <v/>
      </c>
      <c r="F226" s="1" t="s">
        <v>28</v>
      </c>
      <c r="G226" s="1" t="str">
        <f t="shared" si="17"/>
        <v>CROATIA OSIGURANJE D.D., , OIB: 26187994862</v>
      </c>
      <c r="H226" s="7"/>
      <c r="I226" s="8" t="s">
        <v>36</v>
      </c>
      <c r="J226" s="8" t="s">
        <v>41</v>
      </c>
      <c r="K226" s="6" t="str">
        <f>"60.641,91"</f>
        <v>60.641,91</v>
      </c>
      <c r="L226" s="6" t="str">
        <f>"15.160,48"</f>
        <v>15.160,48</v>
      </c>
      <c r="M226" s="6" t="str">
        <f>"75.802,39"</f>
        <v>75.802,39</v>
      </c>
      <c r="N226" s="8" t="s">
        <v>124</v>
      </c>
      <c r="O226" s="7"/>
      <c r="P226" s="2" t="s">
        <v>5614</v>
      </c>
      <c r="Q226" s="7"/>
      <c r="R226" s="1"/>
      <c r="S226" s="1" t="str">
        <f>"5-21/NOS-113-B/18"</f>
        <v>5-21/NOS-113-B/18</v>
      </c>
      <c r="T226" s="1" t="s">
        <v>86</v>
      </c>
    </row>
    <row r="227" spans="1:20" ht="127.5" x14ac:dyDescent="0.25">
      <c r="A227" s="6">
        <v>224</v>
      </c>
      <c r="B227" s="1" t="str">
        <f t="shared" si="16"/>
        <v>2018-2912</v>
      </c>
      <c r="C227" s="1" t="s">
        <v>461</v>
      </c>
      <c r="D227" s="1" t="s">
        <v>449</v>
      </c>
      <c r="E227" s="1" t="str">
        <f>""</f>
        <v/>
      </c>
      <c r="F227" s="1" t="s">
        <v>28</v>
      </c>
      <c r="G227" s="1" t="str">
        <f t="shared" si="17"/>
        <v>CROATIA OSIGURANJE D.D., , OIB: 26187994862</v>
      </c>
      <c r="H227" s="7"/>
      <c r="I227" s="8" t="s">
        <v>455</v>
      </c>
      <c r="J227" s="8" t="s">
        <v>41</v>
      </c>
      <c r="K227" s="6" t="str">
        <f>"2.187.871,37"</f>
        <v>2.187.871,37</v>
      </c>
      <c r="L227" s="6" t="str">
        <f>"546.967,84"</f>
        <v>546.967,84</v>
      </c>
      <c r="M227" s="6" t="str">
        <f>"2.734.839,21"</f>
        <v>2.734.839,21</v>
      </c>
      <c r="N227" s="8" t="s">
        <v>112</v>
      </c>
      <c r="O227" s="7"/>
      <c r="P227" s="2">
        <v>2702901.71</v>
      </c>
      <c r="Q227" s="1"/>
      <c r="R227" s="1"/>
      <c r="S227" s="1" t="str">
        <f>"2-21/NOS-113-B/18"</f>
        <v>2-21/NOS-113-B/18</v>
      </c>
      <c r="T227" s="1" t="s">
        <v>32</v>
      </c>
    </row>
    <row r="228" spans="1:20" ht="51" x14ac:dyDescent="0.25">
      <c r="A228" s="6">
        <v>225</v>
      </c>
      <c r="B228" s="1" t="str">
        <f>"2018-2730"</f>
        <v>2018-2730</v>
      </c>
      <c r="C228" s="1" t="s">
        <v>462</v>
      </c>
      <c r="D228" s="1" t="s">
        <v>463</v>
      </c>
      <c r="E228" s="1" t="str">
        <f>"2019/S 0F2-0000940"</f>
        <v>2019/S 0F2-0000940</v>
      </c>
      <c r="F228" s="1" t="s">
        <v>22</v>
      </c>
      <c r="G228" s="1" t="str">
        <f>CONCATENATE("IN2 D.O.O.,"," MAROHNIĆEVA 1/1,"," 10000 ZAGREB,"," OIB: 68195665956")</f>
        <v>IN2 D.O.O., MAROHNIĆEVA 1/1, 10000 ZAGREB, OIB: 68195665956</v>
      </c>
      <c r="H228" s="7"/>
      <c r="I228" s="8" t="s">
        <v>464</v>
      </c>
      <c r="J228" s="8" t="s">
        <v>465</v>
      </c>
      <c r="K228" s="6" t="str">
        <f>"6.000.000,00"</f>
        <v>6.000.000,00</v>
      </c>
      <c r="L228" s="6" t="str">
        <f>"1.500.000,00"</f>
        <v>1.500.000,00</v>
      </c>
      <c r="M228" s="6" t="str">
        <f>"7.500.000,00"</f>
        <v>7.500.000,00</v>
      </c>
      <c r="N228" s="8" t="s">
        <v>466</v>
      </c>
      <c r="O228" s="7"/>
      <c r="P228" s="2" t="s">
        <v>5771</v>
      </c>
      <c r="Q228" s="7"/>
      <c r="R228" s="1"/>
      <c r="S228" s="1" t="str">
        <f>"NOS-121/18"</f>
        <v>NOS-121/18</v>
      </c>
      <c r="T228" s="1" t="s">
        <v>32</v>
      </c>
    </row>
    <row r="229" spans="1:20" ht="51" x14ac:dyDescent="0.25">
      <c r="A229" s="6">
        <v>226</v>
      </c>
      <c r="B229" s="1" t="str">
        <f>"2018-2730"</f>
        <v>2018-2730</v>
      </c>
      <c r="C229" s="1" t="s">
        <v>462</v>
      </c>
      <c r="D229" s="1" t="s">
        <v>467</v>
      </c>
      <c r="E229" s="1" t="str">
        <f>""</f>
        <v/>
      </c>
      <c r="F229" s="1" t="s">
        <v>28</v>
      </c>
      <c r="G229" s="1" t="str">
        <f>CONCATENATE("IN2 D.O.O.,"," MAROHNIĆEVA 1/1,"," 10000 ZAGREB,"," OIB: 68195665956")</f>
        <v>IN2 D.O.O., MAROHNIĆEVA 1/1, 10000 ZAGREB, OIB: 68195665956</v>
      </c>
      <c r="H229" s="7"/>
      <c r="I229" s="8" t="s">
        <v>466</v>
      </c>
      <c r="J229" s="8" t="s">
        <v>468</v>
      </c>
      <c r="K229" s="6" t="str">
        <f>"1.200.000,00"</f>
        <v>1.200.000,00</v>
      </c>
      <c r="L229" s="6" t="str">
        <f>"300.000,00"</f>
        <v>300.000,00</v>
      </c>
      <c r="M229" s="6" t="str">
        <f>"1.500.000,00"</f>
        <v>1.500.000,00</v>
      </c>
      <c r="N229" s="8" t="s">
        <v>469</v>
      </c>
      <c r="O229" s="7"/>
      <c r="P229" s="2" t="s">
        <v>5772</v>
      </c>
      <c r="Q229" s="7"/>
      <c r="R229" s="1"/>
      <c r="S229" s="1" t="str">
        <f>"3-21/NOS-121/18"</f>
        <v>3-21/NOS-121/18</v>
      </c>
      <c r="T229" s="1" t="s">
        <v>32</v>
      </c>
    </row>
    <row r="230" spans="1:20" ht="114.75" x14ac:dyDescent="0.25">
      <c r="A230" s="6">
        <v>227</v>
      </c>
      <c r="B230" s="1" t="str">
        <f>"2018-1746"</f>
        <v>2018-1746</v>
      </c>
      <c r="C230" s="1" t="s">
        <v>470</v>
      </c>
      <c r="D230" s="1" t="s">
        <v>471</v>
      </c>
      <c r="E230" s="1" t="str">
        <f>"2019/S 0F2-0000187"</f>
        <v>2019/S 0F2-0000187</v>
      </c>
      <c r="F230" s="1" t="s">
        <v>22</v>
      </c>
      <c r="G230" s="1" t="str">
        <f>CONCATENATE("KING ICT D.O.O.,"," BUZINSKI PRILAZ 10,"," 10010 ZAGREB,"," OIB: 67001695549")</f>
        <v>KING ICT D.O.O., BUZINSKI PRILAZ 10, 10010 ZAGREB, OIB: 67001695549</v>
      </c>
      <c r="H230" s="7"/>
      <c r="I230" s="8" t="s">
        <v>472</v>
      </c>
      <c r="J230" s="8" t="s">
        <v>473</v>
      </c>
      <c r="K230" s="6" t="str">
        <f>"2.000.000,00"</f>
        <v>2.000.000,00</v>
      </c>
      <c r="L230" s="6" t="str">
        <f>"500.000,00"</f>
        <v>500.000,00</v>
      </c>
      <c r="M230" s="6" t="str">
        <f>"2.500.000,00"</f>
        <v>2.500.000,00</v>
      </c>
      <c r="N230" s="8" t="s">
        <v>474</v>
      </c>
      <c r="O230" s="7"/>
      <c r="P230" s="2" t="s">
        <v>5614</v>
      </c>
      <c r="Q230" s="7"/>
      <c r="R230" s="1"/>
      <c r="S230" s="1" t="str">
        <f>"NOS-123-A/18"</f>
        <v>NOS-123-A/18</v>
      </c>
      <c r="T230" s="1" t="s">
        <v>32</v>
      </c>
    </row>
    <row r="231" spans="1:20" ht="76.5" x14ac:dyDescent="0.25">
      <c r="A231" s="6">
        <v>228</v>
      </c>
      <c r="B231" s="1" t="str">
        <f>"2018-1746"</f>
        <v>2018-1746</v>
      </c>
      <c r="C231" s="1" t="s">
        <v>475</v>
      </c>
      <c r="D231" s="1" t="s">
        <v>476</v>
      </c>
      <c r="E231" s="1" t="str">
        <f>""</f>
        <v/>
      </c>
      <c r="F231" s="1" t="s">
        <v>28</v>
      </c>
      <c r="G231" s="1" t="str">
        <f>CONCATENATE("KING ICT D.O.O.,"," BUZINSKI PRILAZ 10,"," 10010 ZAGREB,"," OIB: 67001695549")</f>
        <v>KING ICT D.O.O., BUZINSKI PRILAZ 10, 10010 ZAGREB, OIB: 67001695549</v>
      </c>
      <c r="H231" s="7"/>
      <c r="I231" s="8" t="s">
        <v>477</v>
      </c>
      <c r="J231" s="8" t="s">
        <v>30</v>
      </c>
      <c r="K231" s="6" t="str">
        <f>"493.044,48"</f>
        <v>493.044,48</v>
      </c>
      <c r="L231" s="6" t="str">
        <f>"123.261,12"</f>
        <v>123.261,12</v>
      </c>
      <c r="M231" s="6" t="str">
        <f>"616.305,60"</f>
        <v>616.305,60</v>
      </c>
      <c r="N231" s="8" t="s">
        <v>478</v>
      </c>
      <c r="O231" s="7"/>
      <c r="P231" s="2" t="s">
        <v>5773</v>
      </c>
      <c r="Q231" s="7"/>
      <c r="R231" s="1"/>
      <c r="S231" s="1" t="str">
        <f>"2-21/NOS-123-A/18"</f>
        <v>2-21/NOS-123-A/18</v>
      </c>
      <c r="T231" s="1" t="s">
        <v>32</v>
      </c>
    </row>
    <row r="232" spans="1:20" ht="102" x14ac:dyDescent="0.25">
      <c r="A232" s="6">
        <v>229</v>
      </c>
      <c r="B232" s="1" t="str">
        <f>"2018-1746"</f>
        <v>2018-1746</v>
      </c>
      <c r="C232" s="1" t="s">
        <v>479</v>
      </c>
      <c r="D232" s="1" t="s">
        <v>476</v>
      </c>
      <c r="E232" s="1" t="str">
        <f>""</f>
        <v/>
      </c>
      <c r="F232" s="1" t="s">
        <v>92</v>
      </c>
      <c r="G232" s="1" t="str">
        <f>CONCATENATE("KING ICT D.O.O.,"," BUZINSKI PRILAZ 10,"," 10010 ZAGREB,"," OIB: 67001695549")</f>
        <v>KING ICT D.O.O., BUZINSKI PRILAZ 10, 10010 ZAGREB, OIB: 67001695549</v>
      </c>
      <c r="H232" s="7"/>
      <c r="I232" s="8" t="s">
        <v>213</v>
      </c>
      <c r="J232" s="8" t="s">
        <v>480</v>
      </c>
      <c r="K232" s="6" t="str">
        <f>"13.170,00"</f>
        <v>13.170,00</v>
      </c>
      <c r="L232" s="6" t="str">
        <f>"3.292,50"</f>
        <v>3.292,50</v>
      </c>
      <c r="M232" s="6" t="str">
        <f>"16.462,50"</f>
        <v>16.462,50</v>
      </c>
      <c r="N232" s="8" t="s">
        <v>401</v>
      </c>
      <c r="O232" s="7"/>
      <c r="P232" s="2" t="s">
        <v>5774</v>
      </c>
      <c r="Q232" s="1"/>
      <c r="R232" s="1" t="s">
        <v>191</v>
      </c>
      <c r="S232" s="1" t="str">
        <f>"2-21/NOS-123-A/18#1"</f>
        <v>2-21/NOS-123-A/18#1</v>
      </c>
      <c r="T232" s="1" t="s">
        <v>32</v>
      </c>
    </row>
    <row r="233" spans="1:20" ht="102" x14ac:dyDescent="0.25">
      <c r="A233" s="6">
        <v>230</v>
      </c>
      <c r="B233" s="1" t="str">
        <f>"2018-1746"</f>
        <v>2018-1746</v>
      </c>
      <c r="C233" s="1" t="s">
        <v>479</v>
      </c>
      <c r="D233" s="1" t="s">
        <v>476</v>
      </c>
      <c r="E233" s="1" t="str">
        <f>""</f>
        <v/>
      </c>
      <c r="F233" s="1" t="s">
        <v>92</v>
      </c>
      <c r="G233" s="1" t="str">
        <f>CONCATENATE("KING ICT D.O.O.,"," BUZINSKI PRILAZ 10,"," 10010 ZAGREB,"," OIB: 67001695549")</f>
        <v>KING ICT D.O.O., BUZINSKI PRILAZ 10, 10010 ZAGREB, OIB: 67001695549</v>
      </c>
      <c r="H233" s="7"/>
      <c r="I233" s="8" t="s">
        <v>154</v>
      </c>
      <c r="J233" s="8" t="s">
        <v>30</v>
      </c>
      <c r="K233" s="6" t="str">
        <f>"35.500,00"</f>
        <v>35.500,00</v>
      </c>
      <c r="L233" s="6" t="str">
        <f>"8.875,00"</f>
        <v>8.875,00</v>
      </c>
      <c r="M233" s="6" t="str">
        <f>"44.375,00"</f>
        <v>44.375,00</v>
      </c>
      <c r="N233" s="8" t="s">
        <v>478</v>
      </c>
      <c r="O233" s="7"/>
      <c r="P233" s="2" t="s">
        <v>5775</v>
      </c>
      <c r="Q233" s="1"/>
      <c r="R233" s="1" t="s">
        <v>191</v>
      </c>
      <c r="S233" s="1" t="str">
        <f>"2-21/NOS-123-A/18#2"</f>
        <v>2-21/NOS-123-A/18#2</v>
      </c>
      <c r="T233" s="1" t="s">
        <v>32</v>
      </c>
    </row>
    <row r="234" spans="1:20" ht="242.25" x14ac:dyDescent="0.25">
      <c r="A234" s="6">
        <v>231</v>
      </c>
      <c r="B234" s="1" t="str">
        <f>"2018-421"</f>
        <v>2018-421</v>
      </c>
      <c r="C234" s="1" t="s">
        <v>482</v>
      </c>
      <c r="D234" s="1" t="s">
        <v>483</v>
      </c>
      <c r="E234" s="1" t="str">
        <f>"2019/S 0F2-0005409"</f>
        <v>2019/S 0F2-0005409</v>
      </c>
      <c r="F234" s="1" t="s">
        <v>22</v>
      </c>
      <c r="G234" s="1"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234" s="7"/>
      <c r="I234" s="8" t="s">
        <v>484</v>
      </c>
      <c r="J234" s="8" t="s">
        <v>485</v>
      </c>
      <c r="K234" s="6" t="str">
        <f>"5.000.000,00"</f>
        <v>5.000.000,00</v>
      </c>
      <c r="L234" s="6" t="str">
        <f>"1.250.000,00"</f>
        <v>1.250.000,00</v>
      </c>
      <c r="M234" s="6" t="str">
        <f>"6.250.000,00"</f>
        <v>6.250.000,00</v>
      </c>
      <c r="N234" s="8" t="s">
        <v>124</v>
      </c>
      <c r="O234" s="7"/>
      <c r="P234" s="2" t="s">
        <v>5614</v>
      </c>
      <c r="Q234" s="7"/>
      <c r="R234" s="1"/>
      <c r="S234" s="1" t="str">
        <f>"NOS-136/18"</f>
        <v>NOS-136/18</v>
      </c>
      <c r="T234" s="1" t="s">
        <v>32</v>
      </c>
    </row>
    <row r="235" spans="1:20" ht="63.75" x14ac:dyDescent="0.25">
      <c r="A235" s="6">
        <v>232</v>
      </c>
      <c r="B235" s="1" t="str">
        <f>"2018-421"</f>
        <v>2018-421</v>
      </c>
      <c r="C235" s="1" t="s">
        <v>482</v>
      </c>
      <c r="D235" s="1" t="s">
        <v>486</v>
      </c>
      <c r="E235" s="1" t="str">
        <f>""</f>
        <v/>
      </c>
      <c r="F235" s="1" t="s">
        <v>28</v>
      </c>
      <c r="G235" s="1" t="str">
        <f>CONCATENATE("ELEKTRO IMBER D.O.O.,"," NOVA CESTA 184,"," 10000 ZAGREB,"," OIB: 41188361058")</f>
        <v>ELEKTRO IMBER D.O.O., NOVA CESTA 184, 10000 ZAGREB, OIB: 41188361058</v>
      </c>
      <c r="H235" s="7"/>
      <c r="I235" s="8" t="s">
        <v>67</v>
      </c>
      <c r="J235" s="8" t="s">
        <v>487</v>
      </c>
      <c r="K235" s="6" t="str">
        <f>"424.964,00"</f>
        <v>424.964,00</v>
      </c>
      <c r="L235" s="6" t="str">
        <f>"106.241,00"</f>
        <v>106.241,00</v>
      </c>
      <c r="M235" s="6" t="str">
        <f>"531.205,00"</f>
        <v>531.205,00</v>
      </c>
      <c r="N235" s="8" t="s">
        <v>388</v>
      </c>
      <c r="O235" s="7"/>
      <c r="P235" s="2" t="s">
        <v>5776</v>
      </c>
      <c r="Q235" s="1" t="s">
        <v>488</v>
      </c>
      <c r="R235" s="1"/>
      <c r="S235" s="1" t="str">
        <f>"2-21/NOS-136/18"</f>
        <v>2-21/NOS-136/18</v>
      </c>
      <c r="T235" s="1" t="s">
        <v>32</v>
      </c>
    </row>
    <row r="236" spans="1:20" ht="63.75" x14ac:dyDescent="0.25">
      <c r="A236" s="6">
        <v>233</v>
      </c>
      <c r="B236" s="1" t="str">
        <f>"2018-421"</f>
        <v>2018-421</v>
      </c>
      <c r="C236" s="1" t="s">
        <v>482</v>
      </c>
      <c r="D236" s="1" t="s">
        <v>486</v>
      </c>
      <c r="E236" s="1" t="str">
        <f>""</f>
        <v/>
      </c>
      <c r="F236" s="1" t="s">
        <v>28</v>
      </c>
      <c r="G236" s="1" t="str">
        <f>CONCATENATE("ELEKTRO IMBER D.O.O.,"," NOVA CESTA 184,"," 10000 ZAGREB,"," OIB: 41188361058")</f>
        <v>ELEKTRO IMBER D.O.O., NOVA CESTA 184, 10000 ZAGREB, OIB: 41188361058</v>
      </c>
      <c r="H236" s="7"/>
      <c r="I236" s="8" t="s">
        <v>408</v>
      </c>
      <c r="J236" s="8" t="s">
        <v>123</v>
      </c>
      <c r="K236" s="6" t="str">
        <f>"480.266,00"</f>
        <v>480.266,00</v>
      </c>
      <c r="L236" s="6" t="str">
        <f>"120.066,50"</f>
        <v>120.066,50</v>
      </c>
      <c r="M236" s="6" t="str">
        <f>"600.332,50"</f>
        <v>600.332,50</v>
      </c>
      <c r="N236" s="8" t="s">
        <v>388</v>
      </c>
      <c r="O236" s="7"/>
      <c r="P236" s="2" t="s">
        <v>5777</v>
      </c>
      <c r="Q236" s="7"/>
      <c r="R236" s="1"/>
      <c r="S236" s="1" t="str">
        <f>"1-22/NOS-136/18"</f>
        <v>1-22/NOS-136/18</v>
      </c>
      <c r="T236" s="1" t="s">
        <v>32</v>
      </c>
    </row>
    <row r="237" spans="1:20" ht="63.75" x14ac:dyDescent="0.25">
      <c r="A237" s="6">
        <v>234</v>
      </c>
      <c r="B237" s="1" t="str">
        <f>"2018-421"</f>
        <v>2018-421</v>
      </c>
      <c r="C237" s="1" t="s">
        <v>482</v>
      </c>
      <c r="D237" s="1" t="s">
        <v>486</v>
      </c>
      <c r="E237" s="1" t="str">
        <f>""</f>
        <v/>
      </c>
      <c r="F237" s="1" t="s">
        <v>28</v>
      </c>
      <c r="G237" s="1" t="str">
        <f>CONCATENATE("ELEKTRO IMBER D.O.O.,"," NOVA CESTA 184,"," 10000 ZAGREB,"," OIB: 41188361058")</f>
        <v>ELEKTRO IMBER D.O.O., NOVA CESTA 184, 10000 ZAGREB, OIB: 41188361058</v>
      </c>
      <c r="H237" s="7"/>
      <c r="I237" s="8" t="s">
        <v>489</v>
      </c>
      <c r="J237" s="8" t="s">
        <v>490</v>
      </c>
      <c r="K237" s="6" t="str">
        <f>"323.196,00"</f>
        <v>323.196,00</v>
      </c>
      <c r="L237" s="6" t="str">
        <f>"80.799,00"</f>
        <v>80.799,00</v>
      </c>
      <c r="M237" s="6" t="str">
        <f>"403.995,00"</f>
        <v>403.995,00</v>
      </c>
      <c r="N237" s="8" t="s">
        <v>124</v>
      </c>
      <c r="O237" s="7"/>
      <c r="P237" s="2" t="s">
        <v>5614</v>
      </c>
      <c r="Q237" s="7"/>
      <c r="R237" s="1"/>
      <c r="S237" s="1" t="str">
        <f>"3-22/NOS-136/18"</f>
        <v>3-22/NOS-136/18</v>
      </c>
      <c r="T237" s="1" t="s">
        <v>32</v>
      </c>
    </row>
    <row r="238" spans="1:20" ht="140.25" x14ac:dyDescent="0.25">
      <c r="A238" s="6">
        <v>235</v>
      </c>
      <c r="B238" s="1" t="str">
        <f t="shared" ref="B238:B254" si="18">"2018-2800"</f>
        <v>2018-2800</v>
      </c>
      <c r="C238" s="1" t="s">
        <v>491</v>
      </c>
      <c r="D238" s="1" t="s">
        <v>381</v>
      </c>
      <c r="E238" s="1" t="str">
        <f>"2018/S 0F2-0013467"</f>
        <v>2018/S 0F2-0013467</v>
      </c>
      <c r="F238" s="1" t="s">
        <v>22</v>
      </c>
      <c r="G238" s="1" t="str">
        <f t="shared" ref="G238:G254" si="19">CONCATENATE("ZIK D.O.O.,"," LJUDEVITA GAJA 17/III,"," 10000 ZAGREB,"," OIB: 74121470605")</f>
        <v>ZIK D.O.O., LJUDEVITA GAJA 17/III, 10000 ZAGREB, OIB: 74121470605</v>
      </c>
      <c r="H238" s="1" t="str">
        <f>CONCATENATE("INSPEKT KONTROLA D.O.O.,"," OIB: 39743636796",CHAR(10),"CENTAR ZA MJERENJA U OKOLIŠU D.O.O.,"," OIB: 07853820432")</f>
        <v>INSPEKT KONTROLA D.O.O., OIB: 39743636796
CENTAR ZA MJERENJA U OKOLIŠU D.O.O., OIB: 07853820432</v>
      </c>
      <c r="I238" s="8" t="s">
        <v>492</v>
      </c>
      <c r="J238" s="8" t="s">
        <v>493</v>
      </c>
      <c r="K238" s="6" t="str">
        <f>"5.674.000,00"</f>
        <v>5.674.000,00</v>
      </c>
      <c r="L238" s="6" t="str">
        <f>"1.418.500,00"</f>
        <v>1.418.500,00</v>
      </c>
      <c r="M238" s="6" t="str">
        <f>"7.092.500,00"</f>
        <v>7.092.500,00</v>
      </c>
      <c r="N238" s="8" t="s">
        <v>124</v>
      </c>
      <c r="O238" s="7"/>
      <c r="P238" s="2" t="s">
        <v>5614</v>
      </c>
      <c r="Q238" s="7"/>
      <c r="R238" s="1"/>
      <c r="S238" s="1" t="str">
        <f>"NOS-79-B/18"</f>
        <v>NOS-79-B/18</v>
      </c>
      <c r="T238" s="1" t="s">
        <v>386</v>
      </c>
    </row>
    <row r="239" spans="1:20" ht="153" x14ac:dyDescent="0.25">
      <c r="A239" s="6">
        <v>236</v>
      </c>
      <c r="B239" s="1" t="str">
        <f t="shared" si="18"/>
        <v>2018-2800</v>
      </c>
      <c r="C239" s="1" t="s">
        <v>494</v>
      </c>
      <c r="D239" s="1" t="s">
        <v>495</v>
      </c>
      <c r="E239" s="1" t="str">
        <f>""</f>
        <v/>
      </c>
      <c r="F239" s="1" t="s">
        <v>28</v>
      </c>
      <c r="G239" s="1" t="str">
        <f t="shared" si="19"/>
        <v>ZIK D.O.O., LJUDEVITA GAJA 17/III, 10000 ZAGREB, OIB: 74121470605</v>
      </c>
      <c r="H239" s="7"/>
      <c r="I239" s="8" t="s">
        <v>496</v>
      </c>
      <c r="J239" s="8" t="s">
        <v>497</v>
      </c>
      <c r="K239" s="6" t="str">
        <f>"39.335,00"</f>
        <v>39.335,00</v>
      </c>
      <c r="L239" s="6" t="str">
        <f>"9.833,75"</f>
        <v>9.833,75</v>
      </c>
      <c r="M239" s="6" t="str">
        <f>"49.168,75"</f>
        <v>49.168,75</v>
      </c>
      <c r="N239" s="8" t="s">
        <v>219</v>
      </c>
      <c r="O239" s="7"/>
      <c r="P239" s="2" t="s">
        <v>5778</v>
      </c>
      <c r="Q239" s="7"/>
      <c r="R239" s="1"/>
      <c r="S239" s="1" t="str">
        <f>"17-21/NOS-79-B/18"</f>
        <v>17-21/NOS-79-B/18</v>
      </c>
      <c r="T239" s="1" t="s">
        <v>32</v>
      </c>
    </row>
    <row r="240" spans="1:20" ht="89.25" x14ac:dyDescent="0.25">
      <c r="A240" s="6">
        <v>237</v>
      </c>
      <c r="B240" s="1" t="str">
        <f t="shared" si="18"/>
        <v>2018-2800</v>
      </c>
      <c r="C240" s="1" t="s">
        <v>498</v>
      </c>
      <c r="D240" s="1" t="s">
        <v>51</v>
      </c>
      <c r="E240" s="1" t="str">
        <f>""</f>
        <v/>
      </c>
      <c r="F240" s="1" t="s">
        <v>28</v>
      </c>
      <c r="G240" s="1" t="str">
        <f t="shared" si="19"/>
        <v>ZIK D.O.O., LJUDEVITA GAJA 17/III, 10000 ZAGREB, OIB: 74121470605</v>
      </c>
      <c r="H240" s="7"/>
      <c r="I240" s="8" t="s">
        <v>499</v>
      </c>
      <c r="J240" s="8" t="s">
        <v>57</v>
      </c>
      <c r="K240" s="6" t="str">
        <f>"145.480,00"</f>
        <v>145.480,00</v>
      </c>
      <c r="L240" s="6" t="str">
        <f>"36.370,00"</f>
        <v>36.370,00</v>
      </c>
      <c r="M240" s="6" t="str">
        <f>"181.850,00"</f>
        <v>181.850,00</v>
      </c>
      <c r="N240" s="8" t="s">
        <v>207</v>
      </c>
      <c r="O240" s="7"/>
      <c r="P240" s="2" t="s">
        <v>5779</v>
      </c>
      <c r="Q240" s="7"/>
      <c r="R240" s="1"/>
      <c r="S240" s="1" t="str">
        <f>"6-22/NOS-79-B/18"</f>
        <v>6-22/NOS-79-B/18</v>
      </c>
      <c r="T240" s="1" t="s">
        <v>55</v>
      </c>
    </row>
    <row r="241" spans="1:20" ht="127.5" x14ac:dyDescent="0.25">
      <c r="A241" s="6">
        <v>238</v>
      </c>
      <c r="B241" s="1" t="str">
        <f t="shared" si="18"/>
        <v>2018-2800</v>
      </c>
      <c r="C241" s="1" t="s">
        <v>491</v>
      </c>
      <c r="D241" s="1" t="s">
        <v>51</v>
      </c>
      <c r="E241" s="1" t="str">
        <f>""</f>
        <v/>
      </c>
      <c r="F241" s="1" t="s">
        <v>28</v>
      </c>
      <c r="G241" s="1" t="str">
        <f t="shared" si="19"/>
        <v>ZIK D.O.O., LJUDEVITA GAJA 17/III, 10000 ZAGREB, OIB: 74121470605</v>
      </c>
      <c r="H241" s="1" t="str">
        <f>CONCATENATE("INSPEKT KONTROLA D.O.O.,"," OIB: 39743636796",CHAR(10),"CENTAR ZA MJERENJA U OKOLIŠU D.O.O.,"," OIB: 07853820432")</f>
        <v>INSPEKT KONTROLA D.O.O., OIB: 39743636796
CENTAR ZA MJERENJA U OKOLIŠU D.O.O., OIB: 07853820432</v>
      </c>
      <c r="I241" s="8" t="s">
        <v>500</v>
      </c>
      <c r="J241" s="8" t="s">
        <v>393</v>
      </c>
      <c r="K241" s="6" t="str">
        <f>"3.934,00"</f>
        <v>3.934,00</v>
      </c>
      <c r="L241" s="6" t="str">
        <f>"983,50"</f>
        <v>983,50</v>
      </c>
      <c r="M241" s="6" t="str">
        <f>"4.917,50"</f>
        <v>4.917,50</v>
      </c>
      <c r="N241" s="8" t="s">
        <v>281</v>
      </c>
      <c r="O241" s="7"/>
      <c r="P241" s="2" t="s">
        <v>5780</v>
      </c>
      <c r="Q241" s="7"/>
      <c r="R241" s="1"/>
      <c r="S241" s="1" t="str">
        <f>"5-22/NOS-79-B/18"</f>
        <v>5-22/NOS-79-B/18</v>
      </c>
      <c r="T241" s="1" t="s">
        <v>32</v>
      </c>
    </row>
    <row r="242" spans="1:20" ht="127.5" x14ac:dyDescent="0.25">
      <c r="A242" s="6">
        <v>239</v>
      </c>
      <c r="B242" s="1" t="str">
        <f t="shared" si="18"/>
        <v>2018-2800</v>
      </c>
      <c r="C242" s="1" t="s">
        <v>491</v>
      </c>
      <c r="D242" s="1" t="s">
        <v>51</v>
      </c>
      <c r="E242" s="1" t="str">
        <f>""</f>
        <v/>
      </c>
      <c r="F242" s="1" t="s">
        <v>28</v>
      </c>
      <c r="G242" s="1" t="str">
        <f t="shared" si="19"/>
        <v>ZIK D.O.O., LJUDEVITA GAJA 17/III, 10000 ZAGREB, OIB: 74121470605</v>
      </c>
      <c r="H242" s="1" t="str">
        <f>CONCATENATE("INSPEKT KONTROLA D.O.O.,"," OIB: 39743636796",CHAR(10),"CENTAR ZA MJERENJA U OKOLIŠU D.O.O.,"," OIB: 07853820432")</f>
        <v>INSPEKT KONTROLA D.O.O., OIB: 39743636796
CENTAR ZA MJERENJA U OKOLIŠU D.O.O., OIB: 07853820432</v>
      </c>
      <c r="I242" s="8" t="s">
        <v>420</v>
      </c>
      <c r="J242" s="8" t="s">
        <v>231</v>
      </c>
      <c r="K242" s="6" t="str">
        <f>"13.917,00"</f>
        <v>13.917,00</v>
      </c>
      <c r="L242" s="6" t="str">
        <f>"0,00"</f>
        <v>0,00</v>
      </c>
      <c r="M242" s="6" t="str">
        <f>"13.917,00"</f>
        <v>13.917,00</v>
      </c>
      <c r="N242" s="8" t="s">
        <v>124</v>
      </c>
      <c r="O242" s="7"/>
      <c r="P242" s="2" t="s">
        <v>5614</v>
      </c>
      <c r="Q242" s="7"/>
      <c r="R242" s="1"/>
      <c r="S242" s="1" t="str">
        <f>"17-22/NOS-79-B/18"</f>
        <v>17-22/NOS-79-B/18</v>
      </c>
      <c r="T242" s="1" t="s">
        <v>86</v>
      </c>
    </row>
    <row r="243" spans="1:20" ht="127.5" x14ac:dyDescent="0.25">
      <c r="A243" s="6">
        <v>240</v>
      </c>
      <c r="B243" s="1" t="str">
        <f t="shared" si="18"/>
        <v>2018-2800</v>
      </c>
      <c r="C243" s="1" t="s">
        <v>491</v>
      </c>
      <c r="D243" s="1" t="s">
        <v>51</v>
      </c>
      <c r="E243" s="1" t="str">
        <f>""</f>
        <v/>
      </c>
      <c r="F243" s="1" t="s">
        <v>28</v>
      </c>
      <c r="G243" s="1" t="str">
        <f t="shared" si="19"/>
        <v>ZIK D.O.O., LJUDEVITA GAJA 17/III, 10000 ZAGREB, OIB: 74121470605</v>
      </c>
      <c r="H243" s="1" t="str">
        <f>CONCATENATE("INSPEKT KONTROLA D.O.O.,"," OIB: 39743636796",CHAR(10),"CENTAR ZA MJERENJA U OKOLIŠU D.O.O.,"," OIB: 07853820432")</f>
        <v>INSPEKT KONTROLA D.O.O., OIB: 39743636796
CENTAR ZA MJERENJA U OKOLIŠU D.O.O., OIB: 07853820432</v>
      </c>
      <c r="I243" s="8" t="s">
        <v>501</v>
      </c>
      <c r="J243" s="8" t="s">
        <v>393</v>
      </c>
      <c r="K243" s="6" t="str">
        <f>"5.402,00"</f>
        <v>5.402,00</v>
      </c>
      <c r="L243" s="6" t="str">
        <f>"0,00"</f>
        <v>0,00</v>
      </c>
      <c r="M243" s="6" t="str">
        <f>"5.402,00"</f>
        <v>5.402,00</v>
      </c>
      <c r="N243" s="8" t="s">
        <v>124</v>
      </c>
      <c r="O243" s="7"/>
      <c r="P243" s="2" t="s">
        <v>5614</v>
      </c>
      <c r="Q243" s="7"/>
      <c r="R243" s="1"/>
      <c r="S243" s="1" t="str">
        <f>"19-22/NOS-79-B/18"</f>
        <v>19-22/NOS-79-B/18</v>
      </c>
      <c r="T243" s="1" t="s">
        <v>86</v>
      </c>
    </row>
    <row r="244" spans="1:20" ht="63.75" x14ac:dyDescent="0.25">
      <c r="A244" s="6">
        <v>241</v>
      </c>
      <c r="B244" s="1" t="str">
        <f t="shared" si="18"/>
        <v>2018-2800</v>
      </c>
      <c r="C244" s="1" t="s">
        <v>395</v>
      </c>
      <c r="D244" s="1" t="s">
        <v>495</v>
      </c>
      <c r="E244" s="1" t="str">
        <f>""</f>
        <v/>
      </c>
      <c r="F244" s="1" t="s">
        <v>28</v>
      </c>
      <c r="G244" s="1" t="str">
        <f t="shared" si="19"/>
        <v>ZIK D.O.O., LJUDEVITA GAJA 17/III, 10000 ZAGREB, OIB: 74121470605</v>
      </c>
      <c r="H244" s="7"/>
      <c r="I244" s="8" t="s">
        <v>392</v>
      </c>
      <c r="J244" s="8" t="s">
        <v>502</v>
      </c>
      <c r="K244" s="6" t="str">
        <f>"2.400,00"</f>
        <v>2.400,00</v>
      </c>
      <c r="L244" s="6" t="str">
        <f>"600,00"</f>
        <v>600,00</v>
      </c>
      <c r="M244" s="6" t="str">
        <f>"3.000,00"</f>
        <v>3.000,00</v>
      </c>
      <c r="N244" s="8" t="s">
        <v>239</v>
      </c>
      <c r="O244" s="7"/>
      <c r="P244" s="2" t="s">
        <v>5781</v>
      </c>
      <c r="Q244" s="7"/>
      <c r="R244" s="1"/>
      <c r="S244" s="1" t="str">
        <f>"16-21/NOS-79-B/18"</f>
        <v>16-21/NOS-79-B/18</v>
      </c>
      <c r="T244" s="1" t="s">
        <v>32</v>
      </c>
    </row>
    <row r="245" spans="1:20" ht="63.75" x14ac:dyDescent="0.25">
      <c r="A245" s="6">
        <v>242</v>
      </c>
      <c r="B245" s="1" t="str">
        <f t="shared" si="18"/>
        <v>2018-2800</v>
      </c>
      <c r="C245" s="1" t="s">
        <v>395</v>
      </c>
      <c r="D245" s="1" t="s">
        <v>51</v>
      </c>
      <c r="E245" s="1" t="str">
        <f>""</f>
        <v/>
      </c>
      <c r="F245" s="1" t="s">
        <v>28</v>
      </c>
      <c r="G245" s="1" t="str">
        <f t="shared" si="19"/>
        <v>ZIK D.O.O., LJUDEVITA GAJA 17/III, 10000 ZAGREB, OIB: 74121470605</v>
      </c>
      <c r="H245" s="7"/>
      <c r="I245" s="8" t="s">
        <v>503</v>
      </c>
      <c r="J245" s="8" t="s">
        <v>504</v>
      </c>
      <c r="K245" s="6" t="str">
        <f>"5.226,00"</f>
        <v>5.226,00</v>
      </c>
      <c r="L245" s="6" t="str">
        <f>"1.306,50"</f>
        <v>1.306,50</v>
      </c>
      <c r="M245" s="6" t="str">
        <f>"6.532,50"</f>
        <v>6.532,50</v>
      </c>
      <c r="N245" s="8" t="s">
        <v>398</v>
      </c>
      <c r="O245" s="7"/>
      <c r="P245" s="2" t="s">
        <v>5782</v>
      </c>
      <c r="Q245" s="7"/>
      <c r="R245" s="1"/>
      <c r="S245" s="1" t="str">
        <f>"3-22/NOS-79-B/18"</f>
        <v>3-22/NOS-79-B/18</v>
      </c>
      <c r="T245" s="1" t="s">
        <v>32</v>
      </c>
    </row>
    <row r="246" spans="1:20" ht="63.75" x14ac:dyDescent="0.25">
      <c r="A246" s="6">
        <v>243</v>
      </c>
      <c r="B246" s="1" t="str">
        <f t="shared" si="18"/>
        <v>2018-2800</v>
      </c>
      <c r="C246" s="1" t="s">
        <v>395</v>
      </c>
      <c r="D246" s="1" t="s">
        <v>51</v>
      </c>
      <c r="E246" s="1" t="str">
        <f>""</f>
        <v/>
      </c>
      <c r="F246" s="1" t="s">
        <v>28</v>
      </c>
      <c r="G246" s="1" t="str">
        <f t="shared" si="19"/>
        <v>ZIK D.O.O., LJUDEVITA GAJA 17/III, 10000 ZAGREB, OIB: 74121470605</v>
      </c>
      <c r="H246" s="7"/>
      <c r="I246" s="8" t="s">
        <v>42</v>
      </c>
      <c r="J246" s="8" t="s">
        <v>53</v>
      </c>
      <c r="K246" s="6" t="str">
        <f>"52.490,00"</f>
        <v>52.490,00</v>
      </c>
      <c r="L246" s="6" t="str">
        <f>"13.122,50"</f>
        <v>13.122,50</v>
      </c>
      <c r="M246" s="6" t="str">
        <f>"65.612,50"</f>
        <v>65.612,50</v>
      </c>
      <c r="N246" s="8" t="s">
        <v>102</v>
      </c>
      <c r="O246" s="7"/>
      <c r="P246" s="2" t="s">
        <v>5783</v>
      </c>
      <c r="Q246" s="7"/>
      <c r="R246" s="1"/>
      <c r="S246" s="1" t="str">
        <f>"4-22/NOS-79-B/18"</f>
        <v>4-22/NOS-79-B/18</v>
      </c>
      <c r="T246" s="1" t="s">
        <v>32</v>
      </c>
    </row>
    <row r="247" spans="1:20" ht="63.75" x14ac:dyDescent="0.25">
      <c r="A247" s="6">
        <v>244</v>
      </c>
      <c r="B247" s="1" t="str">
        <f t="shared" si="18"/>
        <v>2018-2800</v>
      </c>
      <c r="C247" s="1" t="s">
        <v>395</v>
      </c>
      <c r="D247" s="1" t="s">
        <v>51</v>
      </c>
      <c r="E247" s="1" t="str">
        <f>""</f>
        <v/>
      </c>
      <c r="F247" s="1" t="s">
        <v>28</v>
      </c>
      <c r="G247" s="1" t="str">
        <f t="shared" si="19"/>
        <v>ZIK D.O.O., LJUDEVITA GAJA 17/III, 10000 ZAGREB, OIB: 74121470605</v>
      </c>
      <c r="H247" s="7"/>
      <c r="I247" s="8" t="s">
        <v>284</v>
      </c>
      <c r="J247" s="8" t="s">
        <v>250</v>
      </c>
      <c r="K247" s="6" t="str">
        <f>"44.527,00"</f>
        <v>44.527,00</v>
      </c>
      <c r="L247" s="6" t="str">
        <f>"11.131,75"</f>
        <v>11.131,75</v>
      </c>
      <c r="M247" s="6" t="str">
        <f>"55.658,75"</f>
        <v>55.658,75</v>
      </c>
      <c r="N247" s="8" t="s">
        <v>124</v>
      </c>
      <c r="O247" s="7"/>
      <c r="P247" s="2" t="s">
        <v>5614</v>
      </c>
      <c r="Q247" s="7"/>
      <c r="R247" s="1"/>
      <c r="S247" s="1" t="str">
        <f>"7-22/NOS-79-B/18"</f>
        <v>7-22/NOS-79-B/18</v>
      </c>
      <c r="T247" s="1" t="s">
        <v>32</v>
      </c>
    </row>
    <row r="248" spans="1:20" ht="63.75" x14ac:dyDescent="0.25">
      <c r="A248" s="6">
        <v>245</v>
      </c>
      <c r="B248" s="1" t="str">
        <f t="shared" si="18"/>
        <v>2018-2800</v>
      </c>
      <c r="C248" s="1" t="s">
        <v>395</v>
      </c>
      <c r="D248" s="1" t="s">
        <v>51</v>
      </c>
      <c r="E248" s="1" t="str">
        <f>""</f>
        <v/>
      </c>
      <c r="F248" s="1" t="s">
        <v>28</v>
      </c>
      <c r="G248" s="1" t="str">
        <f t="shared" si="19"/>
        <v>ZIK D.O.O., LJUDEVITA GAJA 17/III, 10000 ZAGREB, OIB: 74121470605</v>
      </c>
      <c r="H248" s="7"/>
      <c r="I248" s="8" t="s">
        <v>72</v>
      </c>
      <c r="J248" s="8" t="s">
        <v>350</v>
      </c>
      <c r="K248" s="6" t="str">
        <f>"4.925,00"</f>
        <v>4.925,00</v>
      </c>
      <c r="L248" s="6" t="str">
        <f>"1.231,25"</f>
        <v>1.231,25</v>
      </c>
      <c r="M248" s="6" t="str">
        <f>"6.156,25"</f>
        <v>6.156,25</v>
      </c>
      <c r="N248" s="8" t="s">
        <v>227</v>
      </c>
      <c r="O248" s="7"/>
      <c r="P248" s="2" t="s">
        <v>5784</v>
      </c>
      <c r="Q248" s="7"/>
      <c r="R248" s="1"/>
      <c r="S248" s="1" t="str">
        <f>"10-22/NOS-79-B/18"</f>
        <v>10-22/NOS-79-B/18</v>
      </c>
      <c r="T248" s="1" t="s">
        <v>32</v>
      </c>
    </row>
    <row r="249" spans="1:20" ht="63.75" x14ac:dyDescent="0.25">
      <c r="A249" s="6">
        <v>246</v>
      </c>
      <c r="B249" s="1" t="str">
        <f t="shared" si="18"/>
        <v>2018-2800</v>
      </c>
      <c r="C249" s="1" t="s">
        <v>395</v>
      </c>
      <c r="D249" s="1" t="s">
        <v>51</v>
      </c>
      <c r="E249" s="1" t="str">
        <f>""</f>
        <v/>
      </c>
      <c r="F249" s="1" t="s">
        <v>28</v>
      </c>
      <c r="G249" s="1" t="str">
        <f t="shared" si="19"/>
        <v>ZIK D.O.O., LJUDEVITA GAJA 17/III, 10000 ZAGREB, OIB: 74121470605</v>
      </c>
      <c r="H249" s="7"/>
      <c r="I249" s="8" t="s">
        <v>505</v>
      </c>
      <c r="J249" s="8" t="s">
        <v>57</v>
      </c>
      <c r="K249" s="6" t="str">
        <f>"5.120,00"</f>
        <v>5.120,00</v>
      </c>
      <c r="L249" s="6" t="str">
        <f>"1.280,00"</f>
        <v>1.280,00</v>
      </c>
      <c r="M249" s="6" t="str">
        <f>"6.400,00"</f>
        <v>6.400,00</v>
      </c>
      <c r="N249" s="8" t="s">
        <v>506</v>
      </c>
      <c r="O249" s="7"/>
      <c r="P249" s="2" t="s">
        <v>5785</v>
      </c>
      <c r="Q249" s="7"/>
      <c r="R249" s="1"/>
      <c r="S249" s="1" t="str">
        <f>"11-22/NOS-79-B/18"</f>
        <v>11-22/NOS-79-B/18</v>
      </c>
      <c r="T249" s="1" t="s">
        <v>32</v>
      </c>
    </row>
    <row r="250" spans="1:20" ht="63.75" x14ac:dyDescent="0.25">
      <c r="A250" s="6">
        <v>247</v>
      </c>
      <c r="B250" s="1" t="str">
        <f t="shared" si="18"/>
        <v>2018-2800</v>
      </c>
      <c r="C250" s="1" t="s">
        <v>395</v>
      </c>
      <c r="D250" s="1" t="s">
        <v>51</v>
      </c>
      <c r="E250" s="1" t="str">
        <f>""</f>
        <v/>
      </c>
      <c r="F250" s="1" t="s">
        <v>28</v>
      </c>
      <c r="G250" s="1" t="str">
        <f t="shared" si="19"/>
        <v>ZIK D.O.O., LJUDEVITA GAJA 17/III, 10000 ZAGREB, OIB: 74121470605</v>
      </c>
      <c r="H250" s="7"/>
      <c r="I250" s="8" t="s">
        <v>406</v>
      </c>
      <c r="J250" s="8" t="s">
        <v>407</v>
      </c>
      <c r="K250" s="6" t="str">
        <f>"7.627,00"</f>
        <v>7.627,00</v>
      </c>
      <c r="L250" s="6" t="str">
        <f>"1.906,75"</f>
        <v>1.906,75</v>
      </c>
      <c r="M250" s="6" t="str">
        <f>"9.533,75"</f>
        <v>9.533,75</v>
      </c>
      <c r="N250" s="8" t="s">
        <v>208</v>
      </c>
      <c r="O250" s="7"/>
      <c r="P250" s="2" t="s">
        <v>5786</v>
      </c>
      <c r="Q250" s="7"/>
      <c r="R250" s="1"/>
      <c r="S250" s="1" t="str">
        <f>"12-22/NOS-79-B/18"</f>
        <v>12-22/NOS-79-B/18</v>
      </c>
      <c r="T250" s="1" t="s">
        <v>32</v>
      </c>
    </row>
    <row r="251" spans="1:20" ht="63.75" x14ac:dyDescent="0.25">
      <c r="A251" s="6">
        <v>248</v>
      </c>
      <c r="B251" s="1" t="str">
        <f t="shared" si="18"/>
        <v>2018-2800</v>
      </c>
      <c r="C251" s="1" t="s">
        <v>395</v>
      </c>
      <c r="D251" s="1" t="s">
        <v>51</v>
      </c>
      <c r="E251" s="1" t="str">
        <f>""</f>
        <v/>
      </c>
      <c r="F251" s="1" t="s">
        <v>28</v>
      </c>
      <c r="G251" s="1" t="str">
        <f t="shared" si="19"/>
        <v>ZIK D.O.O., LJUDEVITA GAJA 17/III, 10000 ZAGREB, OIB: 74121470605</v>
      </c>
      <c r="H251" s="7"/>
      <c r="I251" s="8" t="s">
        <v>507</v>
      </c>
      <c r="J251" s="8" t="s">
        <v>402</v>
      </c>
      <c r="K251" s="6" t="str">
        <f>"104.970,00"</f>
        <v>104.970,00</v>
      </c>
      <c r="L251" s="6" t="str">
        <f>"26.242,50"</f>
        <v>26.242,50</v>
      </c>
      <c r="M251" s="6" t="str">
        <f>"131.212,50"</f>
        <v>131.212,50</v>
      </c>
      <c r="N251" s="8" t="s">
        <v>508</v>
      </c>
      <c r="O251" s="7"/>
      <c r="P251" s="2" t="s">
        <v>5787</v>
      </c>
      <c r="Q251" s="7"/>
      <c r="R251" s="1"/>
      <c r="S251" s="1" t="str">
        <f>"13-22/NOS-79-B/18"</f>
        <v>13-22/NOS-79-B/18</v>
      </c>
      <c r="T251" s="1" t="s">
        <v>32</v>
      </c>
    </row>
    <row r="252" spans="1:20" ht="63.75" x14ac:dyDescent="0.25">
      <c r="A252" s="6">
        <v>249</v>
      </c>
      <c r="B252" s="1" t="str">
        <f t="shared" si="18"/>
        <v>2018-2800</v>
      </c>
      <c r="C252" s="1" t="s">
        <v>395</v>
      </c>
      <c r="D252" s="1" t="s">
        <v>51</v>
      </c>
      <c r="E252" s="1" t="str">
        <f>""</f>
        <v/>
      </c>
      <c r="F252" s="1" t="s">
        <v>28</v>
      </c>
      <c r="G252" s="1" t="str">
        <f t="shared" si="19"/>
        <v>ZIK D.O.O., LJUDEVITA GAJA 17/III, 10000 ZAGREB, OIB: 74121470605</v>
      </c>
      <c r="H252" s="7"/>
      <c r="I252" s="8" t="s">
        <v>408</v>
      </c>
      <c r="J252" s="8" t="s">
        <v>54</v>
      </c>
      <c r="K252" s="6" t="str">
        <f>"25.468,00"</f>
        <v>25.468,00</v>
      </c>
      <c r="L252" s="6" t="str">
        <f>"6.367,00"</f>
        <v>6.367,00</v>
      </c>
      <c r="M252" s="6" t="str">
        <f>"31.835,00"</f>
        <v>31.835,00</v>
      </c>
      <c r="N252" s="8" t="s">
        <v>124</v>
      </c>
      <c r="O252" s="7"/>
      <c r="P252" s="2" t="s">
        <v>5614</v>
      </c>
      <c r="Q252" s="7"/>
      <c r="R252" s="1"/>
      <c r="S252" s="1" t="str">
        <f>"14-22/NOS-79-B/18"</f>
        <v>14-22/NOS-79-B/18</v>
      </c>
      <c r="T252" s="1" t="s">
        <v>32</v>
      </c>
    </row>
    <row r="253" spans="1:20" ht="63.75" x14ac:dyDescent="0.25">
      <c r="A253" s="6">
        <v>250</v>
      </c>
      <c r="B253" s="1" t="str">
        <f t="shared" si="18"/>
        <v>2018-2800</v>
      </c>
      <c r="C253" s="1" t="s">
        <v>395</v>
      </c>
      <c r="D253" s="1" t="s">
        <v>51</v>
      </c>
      <c r="E253" s="1" t="str">
        <f>""</f>
        <v/>
      </c>
      <c r="F253" s="1" t="s">
        <v>28</v>
      </c>
      <c r="G253" s="1" t="str">
        <f t="shared" si="19"/>
        <v>ZIK D.O.O., LJUDEVITA GAJA 17/III, 10000 ZAGREB, OIB: 74121470605</v>
      </c>
      <c r="H253" s="7"/>
      <c r="I253" s="8" t="s">
        <v>58</v>
      </c>
      <c r="J253" s="8" t="s">
        <v>509</v>
      </c>
      <c r="K253" s="6" t="str">
        <f>"42.126,00"</f>
        <v>42.126,00</v>
      </c>
      <c r="L253" s="6" t="str">
        <f>"10.531,50"</f>
        <v>10.531,50</v>
      </c>
      <c r="M253" s="6" t="str">
        <f>"52.657,50"</f>
        <v>52.657,50</v>
      </c>
      <c r="N253" s="8" t="s">
        <v>383</v>
      </c>
      <c r="O253" s="7"/>
      <c r="P253" s="2" t="s">
        <v>5788</v>
      </c>
      <c r="Q253" s="7"/>
      <c r="R253" s="1"/>
      <c r="S253" s="1" t="str">
        <f>"15-22/NOS-79-B/18"</f>
        <v>15-22/NOS-79-B/18</v>
      </c>
      <c r="T253" s="1" t="s">
        <v>32</v>
      </c>
    </row>
    <row r="254" spans="1:20" ht="63.75" x14ac:dyDescent="0.25">
      <c r="A254" s="6">
        <v>251</v>
      </c>
      <c r="B254" s="1" t="str">
        <f t="shared" si="18"/>
        <v>2018-2800</v>
      </c>
      <c r="C254" s="1" t="s">
        <v>395</v>
      </c>
      <c r="D254" s="1" t="s">
        <v>51</v>
      </c>
      <c r="E254" s="1" t="str">
        <f>""</f>
        <v/>
      </c>
      <c r="F254" s="1" t="s">
        <v>28</v>
      </c>
      <c r="G254" s="1" t="str">
        <f t="shared" si="19"/>
        <v>ZIK D.O.O., LJUDEVITA GAJA 17/III, 10000 ZAGREB, OIB: 74121470605</v>
      </c>
      <c r="H254" s="7"/>
      <c r="I254" s="8" t="s">
        <v>433</v>
      </c>
      <c r="J254" s="8" t="s">
        <v>123</v>
      </c>
      <c r="K254" s="6" t="str">
        <f>"26.812,00"</f>
        <v>26.812,00</v>
      </c>
      <c r="L254" s="6" t="str">
        <f>"6.703,00"</f>
        <v>6.703,00</v>
      </c>
      <c r="M254" s="6" t="str">
        <f>"33.515,00"</f>
        <v>33.515,00</v>
      </c>
      <c r="N254" s="8" t="s">
        <v>124</v>
      </c>
      <c r="O254" s="7"/>
      <c r="P254" s="2" t="s">
        <v>5614</v>
      </c>
      <c r="Q254" s="7"/>
      <c r="R254" s="1"/>
      <c r="S254" s="1" t="str">
        <f>"18-22/NOS-79-B/18"</f>
        <v>18-22/NOS-79-B/18</v>
      </c>
      <c r="T254" s="1" t="s">
        <v>32</v>
      </c>
    </row>
    <row r="255" spans="1:20" ht="114.75" x14ac:dyDescent="0.25">
      <c r="A255" s="6">
        <v>252</v>
      </c>
      <c r="B255" s="1" t="str">
        <f>"2018-2911"</f>
        <v>2018-2911</v>
      </c>
      <c r="C255" s="1" t="s">
        <v>510</v>
      </c>
      <c r="D255" s="1" t="s">
        <v>114</v>
      </c>
      <c r="E255" s="1" t="str">
        <f>"2018/S 0F2-0010060"</f>
        <v>2018/S 0F2-0010060</v>
      </c>
      <c r="F255" s="1" t="s">
        <v>22</v>
      </c>
      <c r="G255" s="1"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55" s="7"/>
      <c r="I255" s="8" t="s">
        <v>511</v>
      </c>
      <c r="J255" s="8" t="s">
        <v>512</v>
      </c>
      <c r="K255" s="6" t="str">
        <f>"2.500.000,00"</f>
        <v>2.500.000,00</v>
      </c>
      <c r="L255" s="6" t="str">
        <f>"625.000,00"</f>
        <v>625.000,00</v>
      </c>
      <c r="M255" s="6" t="str">
        <f>"3.125.000,00"</f>
        <v>3.125.000,00</v>
      </c>
      <c r="N255" s="8" t="s">
        <v>124</v>
      </c>
      <c r="O255" s="7"/>
      <c r="P255" s="2" t="s">
        <v>5789</v>
      </c>
      <c r="Q255" s="7"/>
      <c r="R255" s="1"/>
      <c r="S255" s="1" t="str">
        <f>"NOS-133/18"</f>
        <v>NOS-133/18</v>
      </c>
      <c r="T255" s="1" t="s">
        <v>513</v>
      </c>
    </row>
    <row r="256" spans="1:20" ht="114.75" x14ac:dyDescent="0.25">
      <c r="A256" s="6">
        <v>253</v>
      </c>
      <c r="B256" s="1" t="str">
        <f>"2018-2911"</f>
        <v>2018-2911</v>
      </c>
      <c r="C256" s="1" t="s">
        <v>510</v>
      </c>
      <c r="D256" s="1" t="s">
        <v>119</v>
      </c>
      <c r="E256" s="1" t="str">
        <f>""</f>
        <v/>
      </c>
      <c r="F256" s="1" t="s">
        <v>28</v>
      </c>
      <c r="G256" s="1"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56" s="7"/>
      <c r="I256" s="8" t="s">
        <v>499</v>
      </c>
      <c r="J256" s="8" t="s">
        <v>231</v>
      </c>
      <c r="K256" s="6" t="str">
        <f>"200.000,00"</f>
        <v>200.000,00</v>
      </c>
      <c r="L256" s="6" t="str">
        <f>"50.000,00"</f>
        <v>50.000,00</v>
      </c>
      <c r="M256" s="6" t="str">
        <f>"250.000,00"</f>
        <v>250.000,00</v>
      </c>
      <c r="N256" s="8" t="s">
        <v>424</v>
      </c>
      <c r="O256" s="7"/>
      <c r="P256" s="2" t="s">
        <v>5790</v>
      </c>
      <c r="Q256" s="7"/>
      <c r="R256" s="1"/>
      <c r="S256" s="1" t="str">
        <f>"2-22/NOS-133/18"</f>
        <v>2-22/NOS-133/18</v>
      </c>
      <c r="T256" s="1" t="s">
        <v>55</v>
      </c>
    </row>
    <row r="257" spans="1:20" ht="51" x14ac:dyDescent="0.25">
      <c r="A257" s="6">
        <v>254</v>
      </c>
      <c r="B257" s="1" t="str">
        <f>"2018-2911"</f>
        <v>2018-2911</v>
      </c>
      <c r="C257" s="1" t="s">
        <v>510</v>
      </c>
      <c r="D257" s="1" t="s">
        <v>119</v>
      </c>
      <c r="E257" s="1" t="str">
        <f>""</f>
        <v/>
      </c>
      <c r="F257" s="1" t="s">
        <v>28</v>
      </c>
      <c r="G257" s="1" t="str">
        <f>CONCATENATE("TED D.O.O.,"," VRHOVČEV VIJENAC 84,"," 10000 ZAGREB,"," OIB: 22740118957")</f>
        <v>TED D.O.O., VRHOVČEV VIJENAC 84, 10000 ZAGREB, OIB: 22740118957</v>
      </c>
      <c r="H257" s="7"/>
      <c r="I257" s="8" t="s">
        <v>400</v>
      </c>
      <c r="J257" s="8" t="s">
        <v>401</v>
      </c>
      <c r="K257" s="6" t="str">
        <f>"42.300,00"</f>
        <v>42.300,00</v>
      </c>
      <c r="L257" s="6" t="str">
        <f>"10.575,00"</f>
        <v>10.575,00</v>
      </c>
      <c r="M257" s="6" t="str">
        <f>"52.875,00"</f>
        <v>52.875,00</v>
      </c>
      <c r="N257" s="8" t="s">
        <v>30</v>
      </c>
      <c r="O257" s="7"/>
      <c r="P257" s="2" t="s">
        <v>5791</v>
      </c>
      <c r="Q257" s="7"/>
      <c r="R257" s="1"/>
      <c r="S257" s="1" t="str">
        <f>"1-22/NOS-133/18"</f>
        <v>1-22/NOS-133/18</v>
      </c>
      <c r="T257" s="1" t="s">
        <v>32</v>
      </c>
    </row>
    <row r="258" spans="1:20" ht="51" x14ac:dyDescent="0.25">
      <c r="A258" s="6">
        <v>255</v>
      </c>
      <c r="B258" s="1" t="str">
        <f>"2018-2911"</f>
        <v>2018-2911</v>
      </c>
      <c r="C258" s="1" t="s">
        <v>510</v>
      </c>
      <c r="D258" s="1" t="s">
        <v>119</v>
      </c>
      <c r="E258" s="1" t="str">
        <f>""</f>
        <v/>
      </c>
      <c r="F258" s="1" t="s">
        <v>28</v>
      </c>
      <c r="G258" s="1" t="str">
        <f>CONCATENATE("TED D.O.O.,"," VRHOVČEV VIJENAC 84,"," 10000 ZAGREB,"," OIB: 22740118957")</f>
        <v>TED D.O.O., VRHOVČEV VIJENAC 84, 10000 ZAGREB, OIB: 22740118957</v>
      </c>
      <c r="H258" s="7"/>
      <c r="I258" s="8" t="s">
        <v>384</v>
      </c>
      <c r="J258" s="8" t="s">
        <v>170</v>
      </c>
      <c r="K258" s="6" t="str">
        <f>"35.500,00"</f>
        <v>35.500,00</v>
      </c>
      <c r="L258" s="6" t="str">
        <f>"8.875,00"</f>
        <v>8.875,00</v>
      </c>
      <c r="M258" s="6" t="str">
        <f>"44.375,00"</f>
        <v>44.375,00</v>
      </c>
      <c r="N258" s="8" t="s">
        <v>124</v>
      </c>
      <c r="O258" s="7"/>
      <c r="P258" s="2" t="s">
        <v>5614</v>
      </c>
      <c r="Q258" s="7"/>
      <c r="R258" s="1"/>
      <c r="S258" s="1" t="str">
        <f>"3-22/NOS-133/18"</f>
        <v>3-22/NOS-133/18</v>
      </c>
      <c r="T258" s="1" t="s">
        <v>32</v>
      </c>
    </row>
    <row r="259" spans="1:20" ht="89.25" x14ac:dyDescent="0.25">
      <c r="A259" s="6">
        <v>256</v>
      </c>
      <c r="B259" s="1" t="str">
        <f t="shared" ref="B259:B273" si="20">"2018-2801"</f>
        <v>2018-2801</v>
      </c>
      <c r="C259" s="1" t="s">
        <v>514</v>
      </c>
      <c r="D259" s="1" t="s">
        <v>515</v>
      </c>
      <c r="E259" s="1" t="str">
        <f>"2018/S 0F2-0033294"</f>
        <v>2018/S 0F2-0033294</v>
      </c>
      <c r="F259" s="1" t="s">
        <v>22</v>
      </c>
      <c r="G259" s="1" t="str">
        <f t="shared" ref="G259:G271" si="21">CONCATENATE("NASTAVNI ZAVOD ZA JAVNO ZDRAVSTVO DR. ANDRIJA ŠTAMPAR,"," MIROGOJSKA CESTA 16,"," 10000 ZAGREB,"," OIB: 3339200596")</f>
        <v>NASTAVNI ZAVOD ZA JAVNO ZDRAVSTVO DR. ANDRIJA ŠTAMPAR, MIROGOJSKA CESTA 16, 10000 ZAGREB, OIB: 3339200596</v>
      </c>
      <c r="H259" s="1" t="str">
        <f t="shared" ref="H259:H273" si="22">CONCATENATE("BIOINSTITUT D.O.O.,"," OIB: 42588898414",CHAR(10),"EUROFINS CROATIAKONTROLA D.O.O.,"," OIB: 50024748563")</f>
        <v>BIOINSTITUT D.O.O., OIB: 42588898414
EUROFINS CROATIAKONTROLA D.O.O., OIB: 50024748563</v>
      </c>
      <c r="I259" s="8" t="s">
        <v>516</v>
      </c>
      <c r="J259" s="8" t="s">
        <v>517</v>
      </c>
      <c r="K259" s="6" t="str">
        <f>"1.600.000,00"</f>
        <v>1.600.000,00</v>
      </c>
      <c r="L259" s="6" t="str">
        <f>"400.000,00"</f>
        <v>400.000,00</v>
      </c>
      <c r="M259" s="6" t="str">
        <f>"2.000.000,00"</f>
        <v>2.000.000,00</v>
      </c>
      <c r="N259" s="8" t="s">
        <v>124</v>
      </c>
      <c r="O259" s="7"/>
      <c r="P259" s="2" t="s">
        <v>5614</v>
      </c>
      <c r="Q259" s="7"/>
      <c r="R259" s="1"/>
      <c r="S259" s="1" t="str">
        <f>"NOS-140-A/18"</f>
        <v>NOS-140-A/18</v>
      </c>
      <c r="T259" s="1" t="s">
        <v>32</v>
      </c>
    </row>
    <row r="260" spans="1:20" ht="89.25" x14ac:dyDescent="0.25">
      <c r="A260" s="6">
        <v>257</v>
      </c>
      <c r="B260" s="1" t="str">
        <f t="shared" si="20"/>
        <v>2018-2801</v>
      </c>
      <c r="C260" s="1" t="s">
        <v>514</v>
      </c>
      <c r="D260" s="1" t="s">
        <v>518</v>
      </c>
      <c r="E260" s="1" t="str">
        <f>""</f>
        <v/>
      </c>
      <c r="F260" s="1" t="s">
        <v>28</v>
      </c>
      <c r="G260" s="1" t="str">
        <f t="shared" si="21"/>
        <v>NASTAVNI ZAVOD ZA JAVNO ZDRAVSTVO DR. ANDRIJA ŠTAMPAR, MIROGOJSKA CESTA 16, 10000 ZAGREB, OIB: 3339200596</v>
      </c>
      <c r="H260" s="1" t="str">
        <f t="shared" si="22"/>
        <v>BIOINSTITUT D.O.O., OIB: 42588898414
EUROFINS CROATIAKONTROLA D.O.O., OIB: 50024748563</v>
      </c>
      <c r="I260" s="8" t="s">
        <v>154</v>
      </c>
      <c r="J260" s="8" t="s">
        <v>519</v>
      </c>
      <c r="K260" s="6" t="str">
        <f>"6.274,00"</f>
        <v>6.274,00</v>
      </c>
      <c r="L260" s="6" t="str">
        <f>"1.568,50"</f>
        <v>1.568,50</v>
      </c>
      <c r="M260" s="6" t="str">
        <f>"7.842,50"</f>
        <v>7.842,50</v>
      </c>
      <c r="N260" s="8" t="s">
        <v>500</v>
      </c>
      <c r="O260" s="7"/>
      <c r="P260" s="2" t="s">
        <v>5792</v>
      </c>
      <c r="Q260" s="7"/>
      <c r="R260" s="1"/>
      <c r="S260" s="1" t="str">
        <f>"1-22/NOS-140-A/18"</f>
        <v>1-22/NOS-140-A/18</v>
      </c>
      <c r="T260" s="1" t="s">
        <v>32</v>
      </c>
    </row>
    <row r="261" spans="1:20" ht="89.25" x14ac:dyDescent="0.25">
      <c r="A261" s="6">
        <v>258</v>
      </c>
      <c r="B261" s="1" t="str">
        <f t="shared" si="20"/>
        <v>2018-2801</v>
      </c>
      <c r="C261" s="1" t="s">
        <v>514</v>
      </c>
      <c r="D261" s="1" t="s">
        <v>518</v>
      </c>
      <c r="E261" s="1" t="str">
        <f>""</f>
        <v/>
      </c>
      <c r="F261" s="1" t="s">
        <v>28</v>
      </c>
      <c r="G261" s="1" t="str">
        <f t="shared" si="21"/>
        <v>NASTAVNI ZAVOD ZA JAVNO ZDRAVSTVO DR. ANDRIJA ŠTAMPAR, MIROGOJSKA CESTA 16, 10000 ZAGREB, OIB: 3339200596</v>
      </c>
      <c r="H261" s="1" t="str">
        <f t="shared" si="22"/>
        <v>BIOINSTITUT D.O.O., OIB: 42588898414
EUROFINS CROATIAKONTROLA D.O.O., OIB: 50024748563</v>
      </c>
      <c r="I261" s="8" t="s">
        <v>421</v>
      </c>
      <c r="J261" s="8" t="s">
        <v>519</v>
      </c>
      <c r="K261" s="6" t="str">
        <f>"400,00"</f>
        <v>400,00</v>
      </c>
      <c r="L261" s="6" t="str">
        <f>"0,00"</f>
        <v>0,00</v>
      </c>
      <c r="M261" s="6" t="str">
        <f>"400,00"</f>
        <v>400,00</v>
      </c>
      <c r="N261" s="8" t="s">
        <v>124</v>
      </c>
      <c r="O261" s="7"/>
      <c r="P261" s="2" t="s">
        <v>5614</v>
      </c>
      <c r="Q261" s="7"/>
      <c r="R261" s="1"/>
      <c r="S261" s="1" t="str">
        <f>"2-22/NOS-140-A/18"</f>
        <v>2-22/NOS-140-A/18</v>
      </c>
      <c r="T261" s="1" t="s">
        <v>32</v>
      </c>
    </row>
    <row r="262" spans="1:20" ht="89.25" x14ac:dyDescent="0.25">
      <c r="A262" s="6">
        <v>259</v>
      </c>
      <c r="B262" s="1" t="str">
        <f t="shared" si="20"/>
        <v>2018-2801</v>
      </c>
      <c r="C262" s="1" t="s">
        <v>514</v>
      </c>
      <c r="D262" s="1" t="s">
        <v>518</v>
      </c>
      <c r="E262" s="1" t="str">
        <f>""</f>
        <v/>
      </c>
      <c r="F262" s="1" t="s">
        <v>28</v>
      </c>
      <c r="G262" s="1" t="str">
        <f t="shared" si="21"/>
        <v>NASTAVNI ZAVOD ZA JAVNO ZDRAVSTVO DR. ANDRIJA ŠTAMPAR, MIROGOJSKA CESTA 16, 10000 ZAGREB, OIB: 3339200596</v>
      </c>
      <c r="H262" s="1" t="str">
        <f t="shared" si="22"/>
        <v>BIOINSTITUT D.O.O., OIB: 42588898414
EUROFINS CROATIAKONTROLA D.O.O., OIB: 50024748563</v>
      </c>
      <c r="I262" s="8" t="s">
        <v>296</v>
      </c>
      <c r="J262" s="8" t="s">
        <v>519</v>
      </c>
      <c r="K262" s="6" t="str">
        <f>"14.532,40"</f>
        <v>14.532,40</v>
      </c>
      <c r="L262" s="6" t="str">
        <f>"1.816,55"</f>
        <v>1.816,55</v>
      </c>
      <c r="M262" s="6" t="str">
        <f>"16.348,95"</f>
        <v>16.348,95</v>
      </c>
      <c r="N262" s="8" t="s">
        <v>272</v>
      </c>
      <c r="O262" s="7"/>
      <c r="P262" s="2" t="s">
        <v>5793</v>
      </c>
      <c r="Q262" s="7"/>
      <c r="R262" s="1"/>
      <c r="S262" s="1" t="str">
        <f>"3-22/NOS-140-A/18"</f>
        <v>3-22/NOS-140-A/18</v>
      </c>
      <c r="T262" s="1" t="s">
        <v>32</v>
      </c>
    </row>
    <row r="263" spans="1:20" ht="89.25" x14ac:dyDescent="0.25">
      <c r="A263" s="6">
        <v>260</v>
      </c>
      <c r="B263" s="1" t="str">
        <f t="shared" si="20"/>
        <v>2018-2801</v>
      </c>
      <c r="C263" s="1" t="s">
        <v>514</v>
      </c>
      <c r="D263" s="1" t="s">
        <v>518</v>
      </c>
      <c r="E263" s="1" t="str">
        <f>""</f>
        <v/>
      </c>
      <c r="F263" s="1" t="s">
        <v>28</v>
      </c>
      <c r="G263" s="1" t="str">
        <f t="shared" si="21"/>
        <v>NASTAVNI ZAVOD ZA JAVNO ZDRAVSTVO DR. ANDRIJA ŠTAMPAR, MIROGOJSKA CESTA 16, 10000 ZAGREB, OIB: 3339200596</v>
      </c>
      <c r="H263" s="1" t="str">
        <f t="shared" si="22"/>
        <v>BIOINSTITUT D.O.O., OIB: 42588898414
EUROFINS CROATIAKONTROLA D.O.O., OIB: 50024748563</v>
      </c>
      <c r="I263" s="8" t="s">
        <v>262</v>
      </c>
      <c r="J263" s="8" t="s">
        <v>256</v>
      </c>
      <c r="K263" s="6" t="str">
        <f>"1.770,00"</f>
        <v>1.770,00</v>
      </c>
      <c r="L263" s="6" t="str">
        <f>"295,00"</f>
        <v>295,00</v>
      </c>
      <c r="M263" s="6" t="str">
        <f>"2.065,00"</f>
        <v>2.065,00</v>
      </c>
      <c r="N263" s="8" t="s">
        <v>520</v>
      </c>
      <c r="O263" s="7"/>
      <c r="P263" s="2" t="s">
        <v>5794</v>
      </c>
      <c r="Q263" s="7"/>
      <c r="R263" s="1"/>
      <c r="S263" s="1" t="str">
        <f>"4-22/NOS-140-A/18"</f>
        <v>4-22/NOS-140-A/18</v>
      </c>
      <c r="T263" s="1" t="s">
        <v>32</v>
      </c>
    </row>
    <row r="264" spans="1:20" ht="89.25" x14ac:dyDescent="0.25">
      <c r="A264" s="6">
        <v>261</v>
      </c>
      <c r="B264" s="1" t="str">
        <f t="shared" si="20"/>
        <v>2018-2801</v>
      </c>
      <c r="C264" s="1" t="s">
        <v>514</v>
      </c>
      <c r="D264" s="1" t="s">
        <v>518</v>
      </c>
      <c r="E264" s="1" t="str">
        <f>""</f>
        <v/>
      </c>
      <c r="F264" s="1" t="s">
        <v>28</v>
      </c>
      <c r="G264" s="1" t="str">
        <f t="shared" si="21"/>
        <v>NASTAVNI ZAVOD ZA JAVNO ZDRAVSTVO DR. ANDRIJA ŠTAMPAR, MIROGOJSKA CESTA 16, 10000 ZAGREB, OIB: 3339200596</v>
      </c>
      <c r="H264" s="1" t="str">
        <f t="shared" si="22"/>
        <v>BIOINSTITUT D.O.O., OIB: 42588898414
EUROFINS CROATIAKONTROLA D.O.O., OIB: 50024748563</v>
      </c>
      <c r="I264" s="8" t="s">
        <v>521</v>
      </c>
      <c r="J264" s="8" t="s">
        <v>519</v>
      </c>
      <c r="K264" s="6" t="str">
        <f>"6.274,00"</f>
        <v>6.274,00</v>
      </c>
      <c r="L264" s="6" t="str">
        <f>"1.568,50"</f>
        <v>1.568,50</v>
      </c>
      <c r="M264" s="6" t="str">
        <f>"7.842,50"</f>
        <v>7.842,50</v>
      </c>
      <c r="N264" s="8" t="s">
        <v>438</v>
      </c>
      <c r="O264" s="7"/>
      <c r="P264" s="2" t="s">
        <v>5792</v>
      </c>
      <c r="Q264" s="7"/>
      <c r="R264" s="1"/>
      <c r="S264" s="1" t="str">
        <f>"5-22/NOS-140-A/18"</f>
        <v>5-22/NOS-140-A/18</v>
      </c>
      <c r="T264" s="1" t="s">
        <v>32</v>
      </c>
    </row>
    <row r="265" spans="1:20" ht="89.25" x14ac:dyDescent="0.25">
      <c r="A265" s="6">
        <v>262</v>
      </c>
      <c r="B265" s="1" t="str">
        <f t="shared" si="20"/>
        <v>2018-2801</v>
      </c>
      <c r="C265" s="1" t="s">
        <v>514</v>
      </c>
      <c r="D265" s="1" t="s">
        <v>518</v>
      </c>
      <c r="E265" s="1" t="str">
        <f>""</f>
        <v/>
      </c>
      <c r="F265" s="1" t="s">
        <v>28</v>
      </c>
      <c r="G265" s="1" t="str">
        <f t="shared" si="21"/>
        <v>NASTAVNI ZAVOD ZA JAVNO ZDRAVSTVO DR. ANDRIJA ŠTAMPAR, MIROGOJSKA CESTA 16, 10000 ZAGREB, OIB: 3339200596</v>
      </c>
      <c r="H265" s="1" t="str">
        <f t="shared" si="22"/>
        <v>BIOINSTITUT D.O.O., OIB: 42588898414
EUROFINS CROATIAKONTROLA D.O.O., OIB: 50024748563</v>
      </c>
      <c r="I265" s="8" t="s">
        <v>522</v>
      </c>
      <c r="J265" s="8" t="s">
        <v>519</v>
      </c>
      <c r="K265" s="6" t="str">
        <f>"400,00"</f>
        <v>400,00</v>
      </c>
      <c r="L265" s="6" t="str">
        <f>"0,00"</f>
        <v>0,00</v>
      </c>
      <c r="M265" s="6" t="str">
        <f>"400,00"</f>
        <v>400,00</v>
      </c>
      <c r="N265" s="8" t="s">
        <v>124</v>
      </c>
      <c r="O265" s="7"/>
      <c r="P265" s="2" t="s">
        <v>5614</v>
      </c>
      <c r="Q265" s="7"/>
      <c r="R265" s="1"/>
      <c r="S265" s="1" t="str">
        <f>"6-22/NOS-140-A/18"</f>
        <v>6-22/NOS-140-A/18</v>
      </c>
      <c r="T265" s="1" t="s">
        <v>32</v>
      </c>
    </row>
    <row r="266" spans="1:20" ht="89.25" x14ac:dyDescent="0.25">
      <c r="A266" s="6">
        <v>263</v>
      </c>
      <c r="B266" s="1" t="str">
        <f t="shared" si="20"/>
        <v>2018-2801</v>
      </c>
      <c r="C266" s="1" t="s">
        <v>514</v>
      </c>
      <c r="D266" s="1" t="s">
        <v>518</v>
      </c>
      <c r="E266" s="1" t="str">
        <f>""</f>
        <v/>
      </c>
      <c r="F266" s="1" t="s">
        <v>28</v>
      </c>
      <c r="G266" s="1" t="str">
        <f t="shared" si="21"/>
        <v>NASTAVNI ZAVOD ZA JAVNO ZDRAVSTVO DR. ANDRIJA ŠTAMPAR, MIROGOJSKA CESTA 16, 10000 ZAGREB, OIB: 3339200596</v>
      </c>
      <c r="H266" s="1" t="str">
        <f t="shared" si="22"/>
        <v>BIOINSTITUT D.O.O., OIB: 42588898414
EUROFINS CROATIAKONTROLA D.O.O., OIB: 50024748563</v>
      </c>
      <c r="I266" s="8" t="s">
        <v>523</v>
      </c>
      <c r="J266" s="8" t="s">
        <v>519</v>
      </c>
      <c r="K266" s="6" t="str">
        <f>"2.970,00"</f>
        <v>2.970,00</v>
      </c>
      <c r="L266" s="6" t="str">
        <f>"0,00"</f>
        <v>0,00</v>
      </c>
      <c r="M266" s="6" t="str">
        <f>"2.970,00"</f>
        <v>2.970,00</v>
      </c>
      <c r="N266" s="8" t="s">
        <v>124</v>
      </c>
      <c r="O266" s="7"/>
      <c r="P266" s="2" t="s">
        <v>5614</v>
      </c>
      <c r="Q266" s="7"/>
      <c r="R266" s="1"/>
      <c r="S266" s="1" t="str">
        <f>"7-22/NOS-140-A/18"</f>
        <v>7-22/NOS-140-A/18</v>
      </c>
      <c r="T266" s="1" t="s">
        <v>32</v>
      </c>
    </row>
    <row r="267" spans="1:20" ht="89.25" x14ac:dyDescent="0.25">
      <c r="A267" s="6">
        <v>264</v>
      </c>
      <c r="B267" s="1" t="str">
        <f t="shared" si="20"/>
        <v>2018-2801</v>
      </c>
      <c r="C267" s="1" t="s">
        <v>514</v>
      </c>
      <c r="D267" s="1" t="s">
        <v>518</v>
      </c>
      <c r="E267" s="1" t="str">
        <f>""</f>
        <v/>
      </c>
      <c r="F267" s="1" t="s">
        <v>28</v>
      </c>
      <c r="G267" s="1" t="str">
        <f t="shared" si="21"/>
        <v>NASTAVNI ZAVOD ZA JAVNO ZDRAVSTVO DR. ANDRIJA ŠTAMPAR, MIROGOJSKA CESTA 16, 10000 ZAGREB, OIB: 3339200596</v>
      </c>
      <c r="H267" s="1" t="str">
        <f t="shared" si="22"/>
        <v>BIOINSTITUT D.O.O., OIB: 42588898414
EUROFINS CROATIAKONTROLA D.O.O., OIB: 50024748563</v>
      </c>
      <c r="I267" s="8" t="s">
        <v>524</v>
      </c>
      <c r="J267" s="8" t="s">
        <v>519</v>
      </c>
      <c r="K267" s="6" t="str">
        <f>"7.266,20"</f>
        <v>7.266,20</v>
      </c>
      <c r="L267" s="6" t="str">
        <f>"1.816,55"</f>
        <v>1.816,55</v>
      </c>
      <c r="M267" s="6" t="str">
        <f>"9.082,75"</f>
        <v>9.082,75</v>
      </c>
      <c r="N267" s="8" t="s">
        <v>430</v>
      </c>
      <c r="O267" s="7"/>
      <c r="P267" s="2" t="s">
        <v>5793</v>
      </c>
      <c r="Q267" s="7"/>
      <c r="R267" s="1"/>
      <c r="S267" s="1" t="str">
        <f>"8-22/NOS-140-A/18"</f>
        <v>8-22/NOS-140-A/18</v>
      </c>
      <c r="T267" s="1" t="s">
        <v>32</v>
      </c>
    </row>
    <row r="268" spans="1:20" ht="89.25" x14ac:dyDescent="0.25">
      <c r="A268" s="6">
        <v>265</v>
      </c>
      <c r="B268" s="1" t="str">
        <f t="shared" si="20"/>
        <v>2018-2801</v>
      </c>
      <c r="C268" s="1" t="s">
        <v>514</v>
      </c>
      <c r="D268" s="1" t="s">
        <v>518</v>
      </c>
      <c r="E268" s="1" t="str">
        <f>""</f>
        <v/>
      </c>
      <c r="F268" s="1" t="s">
        <v>28</v>
      </c>
      <c r="G268" s="1" t="str">
        <f t="shared" si="21"/>
        <v>NASTAVNI ZAVOD ZA JAVNO ZDRAVSTVO DR. ANDRIJA ŠTAMPAR, MIROGOJSKA CESTA 16, 10000 ZAGREB, OIB: 3339200596</v>
      </c>
      <c r="H268" s="1" t="str">
        <f t="shared" si="22"/>
        <v>BIOINSTITUT D.O.O., OIB: 42588898414
EUROFINS CROATIAKONTROLA D.O.O., OIB: 50024748563</v>
      </c>
      <c r="I268" s="8" t="s">
        <v>431</v>
      </c>
      <c r="J268" s="8" t="s">
        <v>519</v>
      </c>
      <c r="K268" s="6" t="str">
        <f>"6.258,00"</f>
        <v>6.258,00</v>
      </c>
      <c r="L268" s="6" t="str">
        <f>"100,00"</f>
        <v>100,00</v>
      </c>
      <c r="M268" s="6" t="str">
        <f>"6.358,00"</f>
        <v>6.358,00</v>
      </c>
      <c r="N268" s="8" t="s">
        <v>525</v>
      </c>
      <c r="O268" s="7"/>
      <c r="P268" s="2" t="s">
        <v>5789</v>
      </c>
      <c r="Q268" s="7"/>
      <c r="R268" s="1"/>
      <c r="S268" s="1" t="str">
        <f>"9-22/NOS-140-A/18"</f>
        <v>9-22/NOS-140-A/18</v>
      </c>
      <c r="T268" s="1" t="s">
        <v>32</v>
      </c>
    </row>
    <row r="269" spans="1:20" ht="89.25" x14ac:dyDescent="0.25">
      <c r="A269" s="6">
        <v>266</v>
      </c>
      <c r="B269" s="1" t="str">
        <f t="shared" si="20"/>
        <v>2018-2801</v>
      </c>
      <c r="C269" s="1" t="s">
        <v>514</v>
      </c>
      <c r="D269" s="1" t="s">
        <v>518</v>
      </c>
      <c r="E269" s="1" t="str">
        <f>""</f>
        <v/>
      </c>
      <c r="F269" s="1" t="s">
        <v>28</v>
      </c>
      <c r="G269" s="1" t="str">
        <f t="shared" si="21"/>
        <v>NASTAVNI ZAVOD ZA JAVNO ZDRAVSTVO DR. ANDRIJA ŠTAMPAR, MIROGOJSKA CESTA 16, 10000 ZAGREB, OIB: 3339200596</v>
      </c>
      <c r="H269" s="1" t="str">
        <f t="shared" si="22"/>
        <v>BIOINSTITUT D.O.O., OIB: 42588898414
EUROFINS CROATIAKONTROLA D.O.O., OIB: 50024748563</v>
      </c>
      <c r="I269" s="8" t="s">
        <v>432</v>
      </c>
      <c r="J269" s="8" t="s">
        <v>519</v>
      </c>
      <c r="K269" s="6" t="str">
        <f>"800,00"</f>
        <v>800,00</v>
      </c>
      <c r="L269" s="6" t="str">
        <f>"0,00"</f>
        <v>0,00</v>
      </c>
      <c r="M269" s="6" t="str">
        <f>"800,00"</f>
        <v>800,00</v>
      </c>
      <c r="N269" s="8" t="s">
        <v>124</v>
      </c>
      <c r="O269" s="7"/>
      <c r="P269" s="2" t="s">
        <v>5614</v>
      </c>
      <c r="Q269" s="7"/>
      <c r="R269" s="1"/>
      <c r="S269" s="1" t="str">
        <f>"11-22/NOS-140-A/18"</f>
        <v>11-22/NOS-140-A/18</v>
      </c>
      <c r="T269" s="1" t="s">
        <v>32</v>
      </c>
    </row>
    <row r="270" spans="1:20" ht="89.25" x14ac:dyDescent="0.25">
      <c r="A270" s="6">
        <v>267</v>
      </c>
      <c r="B270" s="1" t="str">
        <f t="shared" si="20"/>
        <v>2018-2801</v>
      </c>
      <c r="C270" s="1" t="s">
        <v>514</v>
      </c>
      <c r="D270" s="1" t="s">
        <v>518</v>
      </c>
      <c r="E270" s="1" t="str">
        <f>""</f>
        <v/>
      </c>
      <c r="F270" s="1" t="s">
        <v>28</v>
      </c>
      <c r="G270" s="1" t="str">
        <f t="shared" si="21"/>
        <v>NASTAVNI ZAVOD ZA JAVNO ZDRAVSTVO DR. ANDRIJA ŠTAMPAR, MIROGOJSKA CESTA 16, 10000 ZAGREB, OIB: 3339200596</v>
      </c>
      <c r="H270" s="1" t="str">
        <f t="shared" si="22"/>
        <v>BIOINSTITUT D.O.O., OIB: 42588898414
EUROFINS CROATIAKONTROLA D.O.O., OIB: 50024748563</v>
      </c>
      <c r="I270" s="8" t="s">
        <v>433</v>
      </c>
      <c r="J270" s="8" t="s">
        <v>519</v>
      </c>
      <c r="K270" s="6" t="str">
        <f>"46.147,20"</f>
        <v>46.147,20</v>
      </c>
      <c r="L270" s="6" t="str">
        <f>"0,00"</f>
        <v>0,00</v>
      </c>
      <c r="M270" s="6" t="str">
        <f>"46.147,20"</f>
        <v>46.147,20</v>
      </c>
      <c r="N270" s="8" t="s">
        <v>124</v>
      </c>
      <c r="O270" s="7"/>
      <c r="P270" s="2" t="s">
        <v>5614</v>
      </c>
      <c r="Q270" s="7"/>
      <c r="R270" s="1"/>
      <c r="S270" s="1" t="str">
        <f>"12-22/NOS-140-A/18"</f>
        <v>12-22/NOS-140-A/18</v>
      </c>
      <c r="T270" s="1" t="s">
        <v>32</v>
      </c>
    </row>
    <row r="271" spans="1:20" ht="89.25" x14ac:dyDescent="0.25">
      <c r="A271" s="6">
        <v>268</v>
      </c>
      <c r="B271" s="1" t="str">
        <f t="shared" si="20"/>
        <v>2018-2801</v>
      </c>
      <c r="C271" s="1" t="s">
        <v>514</v>
      </c>
      <c r="D271" s="1" t="s">
        <v>518</v>
      </c>
      <c r="E271" s="1" t="str">
        <f>""</f>
        <v/>
      </c>
      <c r="F271" s="1" t="s">
        <v>28</v>
      </c>
      <c r="G271" s="1" t="str">
        <f t="shared" si="21"/>
        <v>NASTAVNI ZAVOD ZA JAVNO ZDRAVSTVO DR. ANDRIJA ŠTAMPAR, MIROGOJSKA CESTA 16, 10000 ZAGREB, OIB: 3339200596</v>
      </c>
      <c r="H271" s="1" t="str">
        <f t="shared" si="22"/>
        <v>BIOINSTITUT D.O.O., OIB: 42588898414
EUROFINS CROATIAKONTROLA D.O.O., OIB: 50024748563</v>
      </c>
      <c r="I271" s="8" t="s">
        <v>170</v>
      </c>
      <c r="J271" s="8" t="s">
        <v>519</v>
      </c>
      <c r="K271" s="6" t="str">
        <f>"3.129,00"</f>
        <v>3.129,00</v>
      </c>
      <c r="L271" s="6" t="str">
        <f>"0,00"</f>
        <v>0,00</v>
      </c>
      <c r="M271" s="6" t="str">
        <f>"3.129,00"</f>
        <v>3.129,00</v>
      </c>
      <c r="N271" s="8" t="s">
        <v>124</v>
      </c>
      <c r="O271" s="7"/>
      <c r="P271" s="2" t="s">
        <v>5614</v>
      </c>
      <c r="Q271" s="7"/>
      <c r="R271" s="1"/>
      <c r="S271" s="1" t="str">
        <f>"14-22/NOS-140-A/18"</f>
        <v>14-22/NOS-140-A/18</v>
      </c>
      <c r="T271" s="1" t="s">
        <v>32</v>
      </c>
    </row>
    <row r="272" spans="1:20" ht="178.5" x14ac:dyDescent="0.25">
      <c r="A272" s="6">
        <v>269</v>
      </c>
      <c r="B272" s="1" t="str">
        <f t="shared" si="20"/>
        <v>2018-2801</v>
      </c>
      <c r="C272" s="1" t="s">
        <v>526</v>
      </c>
      <c r="D272" s="1" t="s">
        <v>515</v>
      </c>
      <c r="E272" s="1" t="str">
        <f>"2018/S 0F2-0033294"</f>
        <v>2018/S 0F2-0033294</v>
      </c>
      <c r="F272" s="1" t="s">
        <v>22</v>
      </c>
      <c r="G272" s="1" t="str">
        <f>CONCATENATE("Zajednica ponuditelja",CHAR(10),"CROTEH D.O.O.,"," ,"," OIB: 58574865616IPZ UNIPROJEKT TERRA D.O.O. VOČARSKA CESTA 68,"," 10000 ZAGREB,"," OIB: 55474899192NASTAVNI ZAVOD ZA JAVNO ZDRAVSTVO DR. ANDRIJA ŠTAMPAR MIROGOJSKA CESTA 16,"," 10000 ZAGREB,"," OIB: 3339200596")</f>
        <v>Zajednica ponuditelja
CROTEH D.O.O., , OIB: 58574865616IPZ UNIPROJEKT TERRA D.O.O. VOČARSKA CESTA 68, 10000 ZAGREB, OIB: 55474899192NASTAVNI ZAVOD ZA JAVNO ZDRAVSTVO DR. ANDRIJA ŠTAMPAR MIROGOJSKA CESTA 16, 10000 ZAGREB, OIB: 3339200596</v>
      </c>
      <c r="H272" s="1" t="str">
        <f t="shared" si="22"/>
        <v>BIOINSTITUT D.O.O., OIB: 42588898414
EUROFINS CROATIAKONTROLA D.O.O., OIB: 50024748563</v>
      </c>
      <c r="I272" s="8" t="s">
        <v>516</v>
      </c>
      <c r="J272" s="8" t="s">
        <v>517</v>
      </c>
      <c r="K272" s="6" t="str">
        <f>"500.000,00"</f>
        <v>500.000,00</v>
      </c>
      <c r="L272" s="6" t="str">
        <f>"125.000,00"</f>
        <v>125.000,00</v>
      </c>
      <c r="M272" s="6" t="str">
        <f>"625.000,00"</f>
        <v>625.000,00</v>
      </c>
      <c r="N272" s="8" t="s">
        <v>124</v>
      </c>
      <c r="O272" s="7"/>
      <c r="P272" s="2" t="s">
        <v>5614</v>
      </c>
      <c r="Q272" s="7"/>
      <c r="R272" s="1"/>
      <c r="S272" s="1" t="str">
        <f>"NOS-140-B/18"</f>
        <v>NOS-140-B/18</v>
      </c>
      <c r="T272" s="1" t="s">
        <v>32</v>
      </c>
    </row>
    <row r="273" spans="1:20" ht="204" x14ac:dyDescent="0.25">
      <c r="A273" s="6">
        <v>270</v>
      </c>
      <c r="B273" s="1" t="str">
        <f t="shared" si="20"/>
        <v>2018-2801</v>
      </c>
      <c r="C273" s="1" t="s">
        <v>526</v>
      </c>
      <c r="D273" s="1" t="s">
        <v>518</v>
      </c>
      <c r="E273" s="1" t="str">
        <f>""</f>
        <v/>
      </c>
      <c r="F273" s="1" t="s">
        <v>28</v>
      </c>
      <c r="G273" s="1" t="str">
        <f>CONCATENATE("Zajednica ponuditelja:",CHAR(10),"CROTEH D.O.O.,"," AVENIJA DUBROVNIK 15,"," 10020 ZAGREB,"," OIB: 58574865616",CHAR(10),"IPZ UNIPROJEKT TERRA D.O.O.,"," VOČARSKA CESTA 68,"," 10000 ZAGREB,"," OIB: 55474899192",CHAR(10),"NASTAVNI ZAVOD ZA JAVNO ZDRAVSTVO DR. ANDRIJA ŠTAMPAR,"," MIROGOJSKA CESTA 16,"," 10000 ZAGREB,"," OIB: 3339200596")</f>
        <v>Zajednica ponuditelja:
CROTEH D.O.O., AVENIJA DUBROVNIK 15, 10020 ZAGREB, OIB: 58574865616
IPZ UNIPROJEKT TERRA D.O.O., VOČARSKA CESTA 68, 10000 ZAGREB, OIB: 55474899192
NASTAVNI ZAVOD ZA JAVNO ZDRAVSTVO DR. ANDRIJA ŠTAMPAR, MIROGOJSKA CESTA 16, 10000 ZAGREB, OIB: 3339200596</v>
      </c>
      <c r="H273" s="1" t="str">
        <f t="shared" si="22"/>
        <v>BIOINSTITUT D.O.O., OIB: 42588898414
EUROFINS CROATIAKONTROLA D.O.O., OIB: 50024748563</v>
      </c>
      <c r="I273" s="8" t="s">
        <v>220</v>
      </c>
      <c r="J273" s="8" t="s">
        <v>519</v>
      </c>
      <c r="K273" s="6" t="str">
        <f>"121.500,00"</f>
        <v>121.500,00</v>
      </c>
      <c r="L273" s="6" t="str">
        <f>"30.375,00"</f>
        <v>30.375,00</v>
      </c>
      <c r="M273" s="6" t="str">
        <f>"151.875,00"</f>
        <v>151.875,00</v>
      </c>
      <c r="N273" s="8" t="s">
        <v>317</v>
      </c>
      <c r="O273" s="7"/>
      <c r="P273" s="2" t="s">
        <v>5795</v>
      </c>
      <c r="Q273" s="7"/>
      <c r="R273" s="1"/>
      <c r="S273" s="1" t="str">
        <f>"1-22/NOS-140-B/18"</f>
        <v>1-22/NOS-140-B/18</v>
      </c>
      <c r="T273" s="1" t="s">
        <v>32</v>
      </c>
    </row>
    <row r="274" spans="1:20" ht="178.5" x14ac:dyDescent="0.25">
      <c r="A274" s="6">
        <v>271</v>
      </c>
      <c r="B274" s="1" t="str">
        <f t="shared" ref="B274:B279" si="23">"2018-2831"</f>
        <v>2018-2831</v>
      </c>
      <c r="C274" s="1" t="s">
        <v>527</v>
      </c>
      <c r="D274" s="1" t="s">
        <v>528</v>
      </c>
      <c r="E274" s="1" t="str">
        <f>"2019/S 0F2-0003785"</f>
        <v>2019/S 0F2-0003785</v>
      </c>
      <c r="F274" s="1" t="s">
        <v>22</v>
      </c>
      <c r="G274" s="1" t="str">
        <f t="shared" ref="G274:G279" si="24">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274" s="7"/>
      <c r="I274" s="8" t="s">
        <v>529</v>
      </c>
      <c r="J274" s="8" t="s">
        <v>530</v>
      </c>
      <c r="K274" s="6" t="str">
        <f>"7.752.000,00"</f>
        <v>7.752.000,00</v>
      </c>
      <c r="L274" s="6" t="str">
        <f>"1.938.000,00"</f>
        <v>1.938.000,00</v>
      </c>
      <c r="M274" s="6" t="str">
        <f>"9.690.000,00"</f>
        <v>9.690.000,00</v>
      </c>
      <c r="N274" s="8" t="s">
        <v>124</v>
      </c>
      <c r="O274" s="7"/>
      <c r="P274" s="2" t="s">
        <v>5796</v>
      </c>
      <c r="Q274" s="7"/>
      <c r="R274" s="1"/>
      <c r="S274" s="1" t="str">
        <f>"NOS-141/18"</f>
        <v>NOS-141/18</v>
      </c>
      <c r="T274" s="1" t="s">
        <v>531</v>
      </c>
    </row>
    <row r="275" spans="1:20" ht="114.75" x14ac:dyDescent="0.25">
      <c r="A275" s="6">
        <v>272</v>
      </c>
      <c r="B275" s="1" t="str">
        <f t="shared" si="23"/>
        <v>2018-2831</v>
      </c>
      <c r="C275" s="1" t="s">
        <v>527</v>
      </c>
      <c r="D275" s="1" t="s">
        <v>528</v>
      </c>
      <c r="E275" s="1" t="str">
        <f>""</f>
        <v/>
      </c>
      <c r="F275" s="1" t="s">
        <v>28</v>
      </c>
      <c r="G275" s="1" t="str">
        <f t="shared" si="24"/>
        <v>Zajednica ponuditelja
KING ICT D.O.O., BUZINSKI PRILAZ 10, 10010 ZAGREB, OIB: 67001695549KSU D.O.O. DR. JURJA DOBRILE 50, 10410 VELIKA GORICA, OIB: 349769936</v>
      </c>
      <c r="H275" s="7"/>
      <c r="I275" s="8" t="s">
        <v>532</v>
      </c>
      <c r="J275" s="8" t="s">
        <v>41</v>
      </c>
      <c r="K275" s="6" t="str">
        <f>"45.175,32"</f>
        <v>45.175,32</v>
      </c>
      <c r="L275" s="6" t="str">
        <f>"11.293,83"</f>
        <v>11.293,83</v>
      </c>
      <c r="M275" s="6" t="str">
        <f>"56.469,15"</f>
        <v>56.469,15</v>
      </c>
      <c r="N275" s="8" t="s">
        <v>422</v>
      </c>
      <c r="O275" s="7"/>
      <c r="P275" s="2" t="s">
        <v>5797</v>
      </c>
      <c r="Q275" s="7"/>
      <c r="R275" s="1"/>
      <c r="S275" s="1" t="str">
        <f>"1-21/NOS-141/18"</f>
        <v>1-21/NOS-141/18</v>
      </c>
      <c r="T275" s="1" t="s">
        <v>43</v>
      </c>
    </row>
    <row r="276" spans="1:20" ht="114.75" x14ac:dyDescent="0.25">
      <c r="A276" s="6">
        <v>273</v>
      </c>
      <c r="B276" s="1" t="str">
        <f t="shared" si="23"/>
        <v>2018-2831</v>
      </c>
      <c r="C276" s="1" t="s">
        <v>527</v>
      </c>
      <c r="D276" s="1" t="s">
        <v>528</v>
      </c>
      <c r="E276" s="1" t="str">
        <f>""</f>
        <v/>
      </c>
      <c r="F276" s="1" t="s">
        <v>28</v>
      </c>
      <c r="G276" s="1" t="str">
        <f t="shared" si="24"/>
        <v>Zajednica ponuditelja
KING ICT D.O.O., BUZINSKI PRILAZ 10, 10010 ZAGREB, OIB: 67001695549KSU D.O.O. DR. JURJA DOBRILE 50, 10410 VELIKA GORICA, OIB: 349769936</v>
      </c>
      <c r="H276" s="7"/>
      <c r="I276" s="8" t="s">
        <v>533</v>
      </c>
      <c r="J276" s="8" t="s">
        <v>57</v>
      </c>
      <c r="K276" s="6" t="str">
        <f>"100.581,90"</f>
        <v>100.581,90</v>
      </c>
      <c r="L276" s="6" t="str">
        <f>"25.145,48"</f>
        <v>25.145,48</v>
      </c>
      <c r="M276" s="6" t="str">
        <f>"125.727,38"</f>
        <v>125.727,38</v>
      </c>
      <c r="N276" s="8" t="s">
        <v>124</v>
      </c>
      <c r="O276" s="7"/>
      <c r="P276" s="2" t="s">
        <v>5614</v>
      </c>
      <c r="Q276" s="7"/>
      <c r="R276" s="1"/>
      <c r="S276" s="1" t="str">
        <f>"2-21/NOS-141/18"</f>
        <v>2-21/NOS-141/18</v>
      </c>
      <c r="T276" s="1" t="s">
        <v>55</v>
      </c>
    </row>
    <row r="277" spans="1:20" ht="114.75" x14ac:dyDescent="0.25">
      <c r="A277" s="6">
        <v>274</v>
      </c>
      <c r="B277" s="1" t="str">
        <f t="shared" si="23"/>
        <v>2018-2831</v>
      </c>
      <c r="C277" s="1" t="s">
        <v>527</v>
      </c>
      <c r="D277" s="1" t="s">
        <v>528</v>
      </c>
      <c r="E277" s="1" t="str">
        <f>""</f>
        <v/>
      </c>
      <c r="F277" s="1" t="s">
        <v>28</v>
      </c>
      <c r="G277" s="1" t="str">
        <f t="shared" si="24"/>
        <v>Zajednica ponuditelja
KING ICT D.O.O., BUZINSKI PRILAZ 10, 10010 ZAGREB, OIB: 67001695549KSU D.O.O. DR. JURJA DOBRILE 50, 10410 VELIKA GORICA, OIB: 349769936</v>
      </c>
      <c r="H277" s="7"/>
      <c r="I277" s="8" t="s">
        <v>534</v>
      </c>
      <c r="J277" s="8" t="s">
        <v>123</v>
      </c>
      <c r="K277" s="6" t="str">
        <f>"99.999,47"</f>
        <v>99.999,47</v>
      </c>
      <c r="L277" s="6" t="str">
        <f>"24.999,87"</f>
        <v>24.999,87</v>
      </c>
      <c r="M277" s="6" t="str">
        <f>"124.999,34"</f>
        <v>124.999,34</v>
      </c>
      <c r="N277" s="8" t="s">
        <v>124</v>
      </c>
      <c r="O277" s="7"/>
      <c r="P277" s="2" t="s">
        <v>5614</v>
      </c>
      <c r="Q277" s="7"/>
      <c r="R277" s="1"/>
      <c r="S277" s="1" t="str">
        <f>"4-21/NOS-141/18"</f>
        <v>4-21/NOS-141/18</v>
      </c>
      <c r="T277" s="1" t="s">
        <v>86</v>
      </c>
    </row>
    <row r="278" spans="1:20" ht="114.75" x14ac:dyDescent="0.25">
      <c r="A278" s="6">
        <v>275</v>
      </c>
      <c r="B278" s="1" t="str">
        <f t="shared" si="23"/>
        <v>2018-2831</v>
      </c>
      <c r="C278" s="1" t="s">
        <v>527</v>
      </c>
      <c r="D278" s="1" t="s">
        <v>528</v>
      </c>
      <c r="E278" s="1" t="str">
        <f>""</f>
        <v/>
      </c>
      <c r="F278" s="1" t="s">
        <v>28</v>
      </c>
      <c r="G278" s="1" t="str">
        <f t="shared" si="24"/>
        <v>Zajednica ponuditelja
KING ICT D.O.O., BUZINSKI PRILAZ 10, 10010 ZAGREB, OIB: 67001695549KSU D.O.O. DR. JURJA DOBRILE 50, 10410 VELIKA GORICA, OIB: 349769936</v>
      </c>
      <c r="H278" s="7"/>
      <c r="I278" s="8" t="s">
        <v>534</v>
      </c>
      <c r="J278" s="8" t="s">
        <v>207</v>
      </c>
      <c r="K278" s="6" t="str">
        <f>"1.658.893,19"</f>
        <v>1.658.893,19</v>
      </c>
      <c r="L278" s="6" t="str">
        <f>"414.723,30"</f>
        <v>414.723,30</v>
      </c>
      <c r="M278" s="6" t="str">
        <f>"2.073.616,49"</f>
        <v>2.073.616,49</v>
      </c>
      <c r="N278" s="8" t="s">
        <v>121</v>
      </c>
      <c r="O278" s="7"/>
      <c r="P278" s="2" t="s">
        <v>5798</v>
      </c>
      <c r="Q278" s="1"/>
      <c r="R278" s="1"/>
      <c r="S278" s="1" t="str">
        <f>"3-21/NOS-141/18"</f>
        <v>3-21/NOS-141/18</v>
      </c>
      <c r="T278" s="1" t="s">
        <v>32</v>
      </c>
    </row>
    <row r="279" spans="1:20" ht="114.75" x14ac:dyDescent="0.25">
      <c r="A279" s="6">
        <v>276</v>
      </c>
      <c r="B279" s="1" t="str">
        <f t="shared" si="23"/>
        <v>2018-2831</v>
      </c>
      <c r="C279" s="1" t="s">
        <v>527</v>
      </c>
      <c r="D279" s="1" t="s">
        <v>528</v>
      </c>
      <c r="E279" s="1" t="str">
        <f>""</f>
        <v/>
      </c>
      <c r="F279" s="1" t="s">
        <v>28</v>
      </c>
      <c r="G279" s="1" t="str">
        <f t="shared" si="24"/>
        <v>Zajednica ponuditelja
KING ICT D.O.O., BUZINSKI PRILAZ 10, 10010 ZAGREB, OIB: 67001695549KSU D.O.O. DR. JURJA DOBRILE 50, 10410 VELIKA GORICA, OIB: 349769936</v>
      </c>
      <c r="H279" s="7"/>
      <c r="I279" s="8" t="s">
        <v>535</v>
      </c>
      <c r="J279" s="8" t="s">
        <v>417</v>
      </c>
      <c r="K279" s="6" t="str">
        <f>"102.221,43"</f>
        <v>102.221,43</v>
      </c>
      <c r="L279" s="6" t="str">
        <f>"25.555,36"</f>
        <v>25.555,36</v>
      </c>
      <c r="M279" s="6" t="str">
        <f>"127.776,79"</f>
        <v>127.776,79</v>
      </c>
      <c r="N279" s="8" t="s">
        <v>124</v>
      </c>
      <c r="O279" s="7"/>
      <c r="P279" s="2" t="s">
        <v>5614</v>
      </c>
      <c r="Q279" s="7"/>
      <c r="R279" s="1"/>
      <c r="S279" s="1" t="str">
        <f>"2-22/NOS-141/18"</f>
        <v>2-22/NOS-141/18</v>
      </c>
      <c r="T279" s="1" t="s">
        <v>55</v>
      </c>
    </row>
    <row r="280" spans="1:20" ht="127.5" x14ac:dyDescent="0.25">
      <c r="A280" s="6">
        <v>277</v>
      </c>
      <c r="B280" s="1" t="str">
        <f>"2019-2419"</f>
        <v>2019-2419</v>
      </c>
      <c r="C280" s="1" t="s">
        <v>536</v>
      </c>
      <c r="D280" s="1" t="s">
        <v>537</v>
      </c>
      <c r="E280" s="1" t="str">
        <f>"2019/S 0F2-0023262"</f>
        <v>2019/S 0F2-0023262</v>
      </c>
      <c r="F280" s="1" t="s">
        <v>22</v>
      </c>
      <c r="G280" s="1"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280" s="7"/>
      <c r="I280" s="8" t="s">
        <v>538</v>
      </c>
      <c r="J280" s="8" t="s">
        <v>539</v>
      </c>
      <c r="K280" s="6" t="str">
        <f>"1.380.000,00"</f>
        <v>1.380.000,00</v>
      </c>
      <c r="L280" s="6" t="str">
        <f>"345.000,00"</f>
        <v>345.000,00</v>
      </c>
      <c r="M280" s="6" t="str">
        <f>"1.725.000,00"</f>
        <v>1.725.000,00</v>
      </c>
      <c r="N280" s="8" t="s">
        <v>540</v>
      </c>
      <c r="O280" s="7"/>
      <c r="P280" s="2" t="s">
        <v>5614</v>
      </c>
      <c r="Q280" s="7"/>
      <c r="R280" s="1"/>
      <c r="S280" s="1" t="str">
        <f>"NOS-3/19"</f>
        <v>NOS-3/19</v>
      </c>
      <c r="T280" s="1" t="s">
        <v>32</v>
      </c>
    </row>
    <row r="281" spans="1:20" ht="51" x14ac:dyDescent="0.25">
      <c r="A281" s="6">
        <v>278</v>
      </c>
      <c r="B281" s="1" t="str">
        <f>"2019-2419"</f>
        <v>2019-2419</v>
      </c>
      <c r="C281" s="1" t="s">
        <v>536</v>
      </c>
      <c r="D281" s="1" t="s">
        <v>541</v>
      </c>
      <c r="E281" s="1" t="str">
        <f>""</f>
        <v/>
      </c>
      <c r="F281" s="1" t="s">
        <v>28</v>
      </c>
      <c r="G281" s="1" t="str">
        <f>CONCATENATE("PER-MIG  D.O.O.,"," VARAŽDINSKA CESTA 118,"," 10360 SESVETE,"," OIB: 25400414825")</f>
        <v>PER-MIG  D.O.O., VARAŽDINSKA CESTA 118, 10360 SESVETE, OIB: 25400414825</v>
      </c>
      <c r="H281" s="7"/>
      <c r="I281" s="8" t="s">
        <v>542</v>
      </c>
      <c r="J281" s="8" t="s">
        <v>30</v>
      </c>
      <c r="K281" s="6" t="str">
        <f>"203.000,00"</f>
        <v>203.000,00</v>
      </c>
      <c r="L281" s="6" t="str">
        <f>"50.750,00"</f>
        <v>50.750,00</v>
      </c>
      <c r="M281" s="6" t="str">
        <f>"253.750,00"</f>
        <v>253.750,00</v>
      </c>
      <c r="N281" s="8" t="s">
        <v>124</v>
      </c>
      <c r="O281" s="7"/>
      <c r="P281" s="2" t="s">
        <v>5614</v>
      </c>
      <c r="Q281" s="7"/>
      <c r="R281" s="1"/>
      <c r="S281" s="1" t="str">
        <f>"4-21/NOS-3/19"</f>
        <v>4-21/NOS-3/19</v>
      </c>
      <c r="T281" s="1" t="s">
        <v>32</v>
      </c>
    </row>
    <row r="282" spans="1:20" ht="38.25" x14ac:dyDescent="0.25">
      <c r="A282" s="6">
        <v>279</v>
      </c>
      <c r="B282" s="1" t="str">
        <f>"2018-3121"</f>
        <v>2018-3121</v>
      </c>
      <c r="C282" s="1" t="s">
        <v>543</v>
      </c>
      <c r="D282" s="1" t="s">
        <v>544</v>
      </c>
      <c r="E282" s="1" t="str">
        <f>"2018/S 0F2-0033098"</f>
        <v>2018/S 0F2-0033098</v>
      </c>
      <c r="F282" s="1" t="s">
        <v>22</v>
      </c>
      <c r="G282" s="1" t="str">
        <f>CONCATENATE("RAMNES D.O.O.,"," VUČAK 3,"," 10000 ZAGREB,"," OIB: 7602306637")</f>
        <v>RAMNES D.O.O., VUČAK 3, 10000 ZAGREB, OIB: 7602306637</v>
      </c>
      <c r="H282" s="7"/>
      <c r="I282" s="8" t="s">
        <v>538</v>
      </c>
      <c r="J282" s="8" t="s">
        <v>539</v>
      </c>
      <c r="K282" s="6" t="str">
        <f>"10.000.000,00"</f>
        <v>10.000.000,00</v>
      </c>
      <c r="L282" s="6" t="str">
        <f>"2.500.000,00"</f>
        <v>2.500.000,00</v>
      </c>
      <c r="M282" s="6" t="str">
        <f>"12.500.000,00"</f>
        <v>12.500.000,00</v>
      </c>
      <c r="N282" s="8" t="s">
        <v>540</v>
      </c>
      <c r="O282" s="7"/>
      <c r="P282" s="2" t="s">
        <v>5614</v>
      </c>
      <c r="Q282" s="7"/>
      <c r="R282" s="1"/>
      <c r="S282" s="1" t="str">
        <f>"NOS-142/18"</f>
        <v>NOS-142/18</v>
      </c>
      <c r="T282" s="1" t="s">
        <v>32</v>
      </c>
    </row>
    <row r="283" spans="1:20" ht="51" x14ac:dyDescent="0.25">
      <c r="A283" s="6">
        <v>280</v>
      </c>
      <c r="B283" s="1" t="str">
        <f>"2018-3121"</f>
        <v>2018-3121</v>
      </c>
      <c r="C283" s="1" t="s">
        <v>543</v>
      </c>
      <c r="D283" s="1" t="s">
        <v>545</v>
      </c>
      <c r="E283" s="1" t="str">
        <f>""</f>
        <v/>
      </c>
      <c r="F283" s="1" t="s">
        <v>28</v>
      </c>
      <c r="G283" s="1" t="str">
        <f>CONCATENATE("RAMNES D.O.O.,"," VUČAK 3,"," 10000 ZAGREB,"," OIB: 7602306637")</f>
        <v>RAMNES D.O.O., VUČAK 3, 10000 ZAGREB, OIB: 7602306637</v>
      </c>
      <c r="H283" s="7"/>
      <c r="I283" s="8" t="s">
        <v>223</v>
      </c>
      <c r="J283" s="8" t="s">
        <v>57</v>
      </c>
      <c r="K283" s="6" t="str">
        <f>"2.999.800,00"</f>
        <v>2.999.800,00</v>
      </c>
      <c r="L283" s="6" t="str">
        <f>"749.950,00"</f>
        <v>749.950,00</v>
      </c>
      <c r="M283" s="6" t="str">
        <f>"3.749.750,00"</f>
        <v>3.749.750,00</v>
      </c>
      <c r="N283" s="8" t="s">
        <v>170</v>
      </c>
      <c r="O283" s="7"/>
      <c r="P283" s="2" t="s">
        <v>5799</v>
      </c>
      <c r="Q283" s="7"/>
      <c r="R283" s="1"/>
      <c r="S283" s="1" t="str">
        <f>"13-21/NOS-142/18"</f>
        <v>13-21/NOS-142/18</v>
      </c>
      <c r="T283" s="1" t="s">
        <v>32</v>
      </c>
    </row>
    <row r="284" spans="1:20" ht="204" x14ac:dyDescent="0.25">
      <c r="A284" s="6">
        <v>281</v>
      </c>
      <c r="B284" s="1" t="str">
        <f>"2018-2818"</f>
        <v>2018-2818</v>
      </c>
      <c r="C284" s="1" t="s">
        <v>546</v>
      </c>
      <c r="D284" s="1" t="s">
        <v>547</v>
      </c>
      <c r="E284" s="1" t="str">
        <f>"2018/S 0F2-0036317"</f>
        <v>2018/S 0F2-0036317</v>
      </c>
      <c r="F284" s="1" t="s">
        <v>22</v>
      </c>
      <c r="G284" s="1"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284" s="7"/>
      <c r="I284" s="8" t="s">
        <v>548</v>
      </c>
      <c r="J284" s="8" t="s">
        <v>549</v>
      </c>
      <c r="K284" s="6" t="str">
        <f>"57.000.000,00"</f>
        <v>57.000.000,00</v>
      </c>
      <c r="L284" s="6" t="str">
        <f>"14.250.000,00"</f>
        <v>14.250.000,00</v>
      </c>
      <c r="M284" s="6" t="str">
        <f>"71.250.000,00"</f>
        <v>71.250.000,00</v>
      </c>
      <c r="N284" s="8" t="s">
        <v>124</v>
      </c>
      <c r="O284" s="7"/>
      <c r="P284" s="2" t="s">
        <v>5614</v>
      </c>
      <c r="Q284" s="7"/>
      <c r="R284" s="1"/>
      <c r="S284" s="1" t="str">
        <f>"NOS-143-A/18"</f>
        <v>NOS-143-A/18</v>
      </c>
      <c r="T284" s="1" t="s">
        <v>32</v>
      </c>
    </row>
    <row r="285" spans="1:20" ht="204" x14ac:dyDescent="0.25">
      <c r="A285" s="6">
        <v>282</v>
      </c>
      <c r="B285" s="1" t="str">
        <f>"2018-2818"</f>
        <v>2018-2818</v>
      </c>
      <c r="C285" s="1" t="s">
        <v>550</v>
      </c>
      <c r="D285" s="1" t="s">
        <v>547</v>
      </c>
      <c r="E285" s="1" t="str">
        <f>""</f>
        <v/>
      </c>
      <c r="F285" s="1" t="s">
        <v>28</v>
      </c>
      <c r="G285" s="1"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285" s="7"/>
      <c r="I285" s="8" t="s">
        <v>551</v>
      </c>
      <c r="J285" s="8" t="s">
        <v>30</v>
      </c>
      <c r="K285" s="6" t="str">
        <f>"799.820,00"</f>
        <v>799.820,00</v>
      </c>
      <c r="L285" s="6" t="str">
        <f>"199.955,00"</f>
        <v>199.955,00</v>
      </c>
      <c r="M285" s="6" t="str">
        <f>"999.775,00"</f>
        <v>999.775,00</v>
      </c>
      <c r="N285" s="8" t="s">
        <v>441</v>
      </c>
      <c r="O285" s="7"/>
      <c r="P285" s="2" t="s">
        <v>5800</v>
      </c>
      <c r="Q285" s="7"/>
      <c r="R285" s="1"/>
      <c r="S285" s="1" t="str">
        <f>"6-21/NOS-143-A/18"</f>
        <v>6-21/NOS-143-A/18</v>
      </c>
      <c r="T285" s="1" t="s">
        <v>32</v>
      </c>
    </row>
    <row r="286" spans="1:20" ht="204" x14ac:dyDescent="0.25">
      <c r="A286" s="6">
        <v>283</v>
      </c>
      <c r="B286" s="1" t="str">
        <f>"2018-2818"</f>
        <v>2018-2818</v>
      </c>
      <c r="C286" s="1" t="s">
        <v>552</v>
      </c>
      <c r="D286" s="1" t="s">
        <v>547</v>
      </c>
      <c r="E286" s="1" t="str">
        <f>""</f>
        <v/>
      </c>
      <c r="F286" s="1" t="s">
        <v>28</v>
      </c>
      <c r="G286" s="1"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286" s="7"/>
      <c r="I286" s="8" t="s">
        <v>422</v>
      </c>
      <c r="J286" s="8" t="s">
        <v>123</v>
      </c>
      <c r="K286" s="6" t="str">
        <f>"737.400,00"</f>
        <v>737.400,00</v>
      </c>
      <c r="L286" s="6" t="str">
        <f>"184.350,00"</f>
        <v>184.350,00</v>
      </c>
      <c r="M286" s="6" t="str">
        <f>"921.750,00"</f>
        <v>921.750,00</v>
      </c>
      <c r="N286" s="8" t="s">
        <v>553</v>
      </c>
      <c r="O286" s="7"/>
      <c r="P286" s="2" t="s">
        <v>5801</v>
      </c>
      <c r="Q286" s="7"/>
      <c r="R286" s="1"/>
      <c r="S286" s="1" t="str">
        <f>"1-22/NOS-143-A/18"</f>
        <v>1-22/NOS-143-A/18</v>
      </c>
      <c r="T286" s="1" t="s">
        <v>32</v>
      </c>
    </row>
    <row r="287" spans="1:20" ht="204" x14ac:dyDescent="0.25">
      <c r="A287" s="6">
        <v>284</v>
      </c>
      <c r="B287" s="1" t="str">
        <f>"2018-2818"</f>
        <v>2018-2818</v>
      </c>
      <c r="C287" s="1" t="s">
        <v>554</v>
      </c>
      <c r="D287" s="1" t="s">
        <v>547</v>
      </c>
      <c r="E287" s="1" t="str">
        <f>""</f>
        <v/>
      </c>
      <c r="F287" s="1" t="s">
        <v>28</v>
      </c>
      <c r="G287" s="1" t="str">
        <f>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287" s="7"/>
      <c r="I287" s="8" t="s">
        <v>429</v>
      </c>
      <c r="J287" s="8" t="s">
        <v>490</v>
      </c>
      <c r="K287" s="6" t="str">
        <f>"5.237.300,00"</f>
        <v>5.237.300,00</v>
      </c>
      <c r="L287" s="6" t="str">
        <f>"1.309.325,00"</f>
        <v>1.309.325,00</v>
      </c>
      <c r="M287" s="6" t="str">
        <f>"6.546.625,00"</f>
        <v>6.546.625,00</v>
      </c>
      <c r="N287" s="8" t="s">
        <v>124</v>
      </c>
      <c r="O287" s="7"/>
      <c r="P287" s="2" t="s">
        <v>5802</v>
      </c>
      <c r="Q287" s="7"/>
      <c r="R287" s="1"/>
      <c r="S287" s="1" t="str">
        <f>"3-22/NOS-143-A/18"</f>
        <v>3-22/NOS-143-A/18</v>
      </c>
      <c r="T287" s="1" t="s">
        <v>32</v>
      </c>
    </row>
    <row r="288" spans="1:20" ht="216.75" x14ac:dyDescent="0.25">
      <c r="A288" s="6">
        <v>285</v>
      </c>
      <c r="B288" s="1" t="str">
        <f>"2018-2818"</f>
        <v>2018-2818</v>
      </c>
      <c r="C288" s="1" t="s">
        <v>546</v>
      </c>
      <c r="D288" s="1" t="s">
        <v>547</v>
      </c>
      <c r="E288" s="1" t="str">
        <f>""</f>
        <v/>
      </c>
      <c r="F288" s="1" t="s">
        <v>28</v>
      </c>
      <c r="G288" s="1"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288" s="7"/>
      <c r="I288" s="8" t="s">
        <v>272</v>
      </c>
      <c r="J288" s="8" t="s">
        <v>555</v>
      </c>
      <c r="K288" s="6" t="str">
        <f>"5.220,00"</f>
        <v>5.220,00</v>
      </c>
      <c r="L288" s="6" t="str">
        <f>"1.181,03"</f>
        <v>1.181,03</v>
      </c>
      <c r="M288" s="6" t="str">
        <f>"6.401,03"</f>
        <v>6.401,03</v>
      </c>
      <c r="N288" s="8" t="s">
        <v>523</v>
      </c>
      <c r="O288" s="7"/>
      <c r="P288" s="2" t="s">
        <v>5803</v>
      </c>
      <c r="Q288" s="7"/>
      <c r="R288" s="1"/>
      <c r="S288" s="1" t="str">
        <f>"2-22/NOS-143-A/18"</f>
        <v>2-22/NOS-143-A/18</v>
      </c>
      <c r="T288" s="1" t="s">
        <v>32</v>
      </c>
    </row>
    <row r="289" spans="1:20" ht="140.25" x14ac:dyDescent="0.25">
      <c r="A289" s="6">
        <v>286</v>
      </c>
      <c r="B289" s="1" t="str">
        <f t="shared" ref="B289:B298" si="25">"2019-495"</f>
        <v>2019-495</v>
      </c>
      <c r="C289" s="1" t="s">
        <v>556</v>
      </c>
      <c r="D289" s="1" t="s">
        <v>557</v>
      </c>
      <c r="E289" s="1" t="str">
        <f>"2019/S 0F2-0021177"</f>
        <v>2019/S 0F2-0021177</v>
      </c>
      <c r="F289" s="1" t="s">
        <v>22</v>
      </c>
      <c r="G289" s="1" t="str">
        <f>CONCATENATE("K.G.V.H. EKO D.O.O.,"," ULICA DR. LUJE NALETILIĆA 25,"," 10000 ZAGREB,"," OIB: 85898756579",CHAR(10),"",CHAR(10),"PISMORAD D.O.O.,"," INDUSTRIJSKA 5,"," 10431 SVETA NEDELJA-NOVAKI,"," OIB: 33260306505")</f>
        <v>K.G.V.H. EKO D.O.O., ULICA DR. LUJE NALETILIĆA 25, 10000 ZAGREB, OIB: 85898756579
PISMORAD D.O.O., INDUSTRIJSKA 5, 10431 SVETA NEDELJA-NOVAKI, OIB: 33260306505</v>
      </c>
      <c r="H289" s="7"/>
      <c r="I289" s="8" t="s">
        <v>558</v>
      </c>
      <c r="J289" s="8" t="s">
        <v>559</v>
      </c>
      <c r="K289" s="6" t="str">
        <f>"1.200.000,00"</f>
        <v>1.200.000,00</v>
      </c>
      <c r="L289" s="6" t="str">
        <f>"300.000,00"</f>
        <v>300.000,00</v>
      </c>
      <c r="M289" s="6" t="str">
        <f>"1.500.000,00"</f>
        <v>1.500.000,00</v>
      </c>
      <c r="N289" s="8" t="s">
        <v>124</v>
      </c>
      <c r="O289" s="7"/>
      <c r="P289" s="2" t="s">
        <v>5614</v>
      </c>
      <c r="Q289" s="7"/>
      <c r="R289" s="1"/>
      <c r="S289" s="1" t="str">
        <f>"NOS-10/19"</f>
        <v>NOS-10/19</v>
      </c>
      <c r="T289" s="1" t="s">
        <v>86</v>
      </c>
    </row>
    <row r="290" spans="1:20" ht="63.75" x14ac:dyDescent="0.25">
      <c r="A290" s="6">
        <v>287</v>
      </c>
      <c r="B290" s="1" t="str">
        <f t="shared" si="25"/>
        <v>2019-495</v>
      </c>
      <c r="C290" s="1" t="s">
        <v>556</v>
      </c>
      <c r="D290" s="1" t="s">
        <v>560</v>
      </c>
      <c r="E290" s="1" t="str">
        <f>""</f>
        <v/>
      </c>
      <c r="F290" s="1" t="s">
        <v>28</v>
      </c>
      <c r="G290" s="1" t="str">
        <f t="shared" ref="G290:G298" si="26">CONCATENATE("K.G.V.H. EKO D.O.O.,"," ULICA DR. LUJE NALETILIĆA 25,"," 10000 ZAGREB,"," OIB: 85898756579")</f>
        <v>K.G.V.H. EKO D.O.O., ULICA DR. LUJE NALETILIĆA 25, 10000 ZAGREB, OIB: 85898756579</v>
      </c>
      <c r="H290" s="7"/>
      <c r="I290" s="8" t="s">
        <v>80</v>
      </c>
      <c r="J290" s="8" t="s">
        <v>555</v>
      </c>
      <c r="K290" s="6" t="str">
        <f>"3.600,00"</f>
        <v>3.600,00</v>
      </c>
      <c r="L290" s="6" t="str">
        <f>"900,00"</f>
        <v>900,00</v>
      </c>
      <c r="M290" s="6" t="str">
        <f>"4.500,00"</f>
        <v>4.500,00</v>
      </c>
      <c r="N290" s="8" t="s">
        <v>561</v>
      </c>
      <c r="O290" s="7"/>
      <c r="P290" s="2" t="s">
        <v>5730</v>
      </c>
      <c r="Q290" s="7"/>
      <c r="R290" s="1"/>
      <c r="S290" s="1" t="str">
        <f>"4-21/NOS-10/19"</f>
        <v>4-21/NOS-10/19</v>
      </c>
      <c r="T290" s="1" t="s">
        <v>86</v>
      </c>
    </row>
    <row r="291" spans="1:20" ht="63.75" x14ac:dyDescent="0.25">
      <c r="A291" s="6">
        <v>288</v>
      </c>
      <c r="B291" s="1" t="str">
        <f t="shared" si="25"/>
        <v>2019-495</v>
      </c>
      <c r="C291" s="1" t="s">
        <v>556</v>
      </c>
      <c r="D291" s="1" t="s">
        <v>560</v>
      </c>
      <c r="E291" s="1" t="str">
        <f>""</f>
        <v/>
      </c>
      <c r="F291" s="1" t="s">
        <v>28</v>
      </c>
      <c r="G291" s="1" t="str">
        <f t="shared" si="26"/>
        <v>K.G.V.H. EKO D.O.O., ULICA DR. LUJE NALETILIĆA 25, 10000 ZAGREB, OIB: 85898756579</v>
      </c>
      <c r="H291" s="7"/>
      <c r="I291" s="8" t="s">
        <v>219</v>
      </c>
      <c r="J291" s="8" t="s">
        <v>292</v>
      </c>
      <c r="K291" s="6" t="str">
        <f>"3.135,00"</f>
        <v>3.135,00</v>
      </c>
      <c r="L291" s="6" t="str">
        <f>"783,75"</f>
        <v>783,75</v>
      </c>
      <c r="M291" s="6" t="str">
        <f>"3.918,75"</f>
        <v>3.918,75</v>
      </c>
      <c r="N291" s="8" t="s">
        <v>257</v>
      </c>
      <c r="O291" s="7"/>
      <c r="P291" s="2" t="s">
        <v>5804</v>
      </c>
      <c r="Q291" s="7"/>
      <c r="R291" s="1"/>
      <c r="S291" s="1" t="str">
        <f>"2-22/NOS-10/19"</f>
        <v>2-22/NOS-10/19</v>
      </c>
      <c r="T291" s="1" t="s">
        <v>86</v>
      </c>
    </row>
    <row r="292" spans="1:20" ht="63.75" x14ac:dyDescent="0.25">
      <c r="A292" s="6">
        <v>289</v>
      </c>
      <c r="B292" s="1" t="str">
        <f t="shared" si="25"/>
        <v>2019-495</v>
      </c>
      <c r="C292" s="1" t="s">
        <v>556</v>
      </c>
      <c r="D292" s="1" t="s">
        <v>560</v>
      </c>
      <c r="E292" s="1" t="str">
        <f>""</f>
        <v/>
      </c>
      <c r="F292" s="1" t="s">
        <v>28</v>
      </c>
      <c r="G292" s="1" t="str">
        <f t="shared" si="26"/>
        <v>K.G.V.H. EKO D.O.O., ULICA DR. LUJE NALETILIĆA 25, 10000 ZAGREB, OIB: 85898756579</v>
      </c>
      <c r="H292" s="7"/>
      <c r="I292" s="8" t="s">
        <v>424</v>
      </c>
      <c r="J292" s="8" t="s">
        <v>423</v>
      </c>
      <c r="K292" s="6" t="str">
        <f>"7.200,00"</f>
        <v>7.200,00</v>
      </c>
      <c r="L292" s="6" t="str">
        <f>"1.800,00"</f>
        <v>1.800,00</v>
      </c>
      <c r="M292" s="6" t="str">
        <f>"9.000,00"</f>
        <v>9.000,00</v>
      </c>
      <c r="N292" s="8" t="s">
        <v>562</v>
      </c>
      <c r="O292" s="7"/>
      <c r="P292" s="2" t="s">
        <v>5805</v>
      </c>
      <c r="Q292" s="7"/>
      <c r="R292" s="1"/>
      <c r="S292" s="1" t="str">
        <f>"3-22/NOS-10/19"</f>
        <v>3-22/NOS-10/19</v>
      </c>
      <c r="T292" s="1" t="s">
        <v>86</v>
      </c>
    </row>
    <row r="293" spans="1:20" ht="63.75" x14ac:dyDescent="0.25">
      <c r="A293" s="6">
        <v>290</v>
      </c>
      <c r="B293" s="1" t="str">
        <f t="shared" si="25"/>
        <v>2019-495</v>
      </c>
      <c r="C293" s="1" t="s">
        <v>556</v>
      </c>
      <c r="D293" s="1" t="s">
        <v>560</v>
      </c>
      <c r="E293" s="1" t="str">
        <f>""</f>
        <v/>
      </c>
      <c r="F293" s="1" t="s">
        <v>28</v>
      </c>
      <c r="G293" s="1" t="str">
        <f t="shared" si="26"/>
        <v>K.G.V.H. EKO D.O.O., ULICA DR. LUJE NALETILIĆA 25, 10000 ZAGREB, OIB: 85898756579</v>
      </c>
      <c r="H293" s="7"/>
      <c r="I293" s="8" t="s">
        <v>522</v>
      </c>
      <c r="J293" s="8" t="s">
        <v>423</v>
      </c>
      <c r="K293" s="6" t="str">
        <f>"1.045,00"</f>
        <v>1.045,00</v>
      </c>
      <c r="L293" s="6" t="str">
        <f>"0,00"</f>
        <v>0,00</v>
      </c>
      <c r="M293" s="6" t="str">
        <f>"1.045,00"</f>
        <v>1.045,00</v>
      </c>
      <c r="N293" s="8" t="s">
        <v>124</v>
      </c>
      <c r="O293" s="7"/>
      <c r="P293" s="2" t="s">
        <v>5614</v>
      </c>
      <c r="Q293" s="7"/>
      <c r="R293" s="1"/>
      <c r="S293" s="1" t="str">
        <f>"4-22/NOS-10/19"</f>
        <v>4-22/NOS-10/19</v>
      </c>
      <c r="T293" s="1" t="s">
        <v>86</v>
      </c>
    </row>
    <row r="294" spans="1:20" ht="63.75" x14ac:dyDescent="0.25">
      <c r="A294" s="6">
        <v>291</v>
      </c>
      <c r="B294" s="1" t="str">
        <f t="shared" si="25"/>
        <v>2019-495</v>
      </c>
      <c r="C294" s="1" t="s">
        <v>556</v>
      </c>
      <c r="D294" s="1" t="s">
        <v>560</v>
      </c>
      <c r="E294" s="1" t="str">
        <f>""</f>
        <v/>
      </c>
      <c r="F294" s="1" t="s">
        <v>28</v>
      </c>
      <c r="G294" s="1" t="str">
        <f t="shared" si="26"/>
        <v>K.G.V.H. EKO D.O.O., ULICA DR. LUJE NALETILIĆA 25, 10000 ZAGREB, OIB: 85898756579</v>
      </c>
      <c r="H294" s="7"/>
      <c r="I294" s="8" t="s">
        <v>563</v>
      </c>
      <c r="J294" s="8" t="s">
        <v>555</v>
      </c>
      <c r="K294" s="6" t="str">
        <f>"6.000,00"</f>
        <v>6.000,00</v>
      </c>
      <c r="L294" s="6" t="str">
        <f>"1.500,00"</f>
        <v>1.500,00</v>
      </c>
      <c r="M294" s="6" t="str">
        <f>"7.500,00"</f>
        <v>7.500,00</v>
      </c>
      <c r="N294" s="8" t="s">
        <v>564</v>
      </c>
      <c r="O294" s="7"/>
      <c r="P294" s="2" t="s">
        <v>5806</v>
      </c>
      <c r="Q294" s="7"/>
      <c r="R294" s="1"/>
      <c r="S294" s="1" t="str">
        <f>"5-22/NOS-10/19"</f>
        <v>5-22/NOS-10/19</v>
      </c>
      <c r="T294" s="1" t="s">
        <v>86</v>
      </c>
    </row>
    <row r="295" spans="1:20" ht="63.75" x14ac:dyDescent="0.25">
      <c r="A295" s="6">
        <v>292</v>
      </c>
      <c r="B295" s="1" t="str">
        <f t="shared" si="25"/>
        <v>2019-495</v>
      </c>
      <c r="C295" s="1" t="s">
        <v>556</v>
      </c>
      <c r="D295" s="1" t="s">
        <v>560</v>
      </c>
      <c r="E295" s="1" t="str">
        <f>""</f>
        <v/>
      </c>
      <c r="F295" s="1" t="s">
        <v>28</v>
      </c>
      <c r="G295" s="1" t="str">
        <f t="shared" si="26"/>
        <v>K.G.V.H. EKO D.O.O., ULICA DR. LUJE NALETILIĆA 25, 10000 ZAGREB, OIB: 85898756579</v>
      </c>
      <c r="H295" s="7"/>
      <c r="I295" s="8" t="s">
        <v>565</v>
      </c>
      <c r="J295" s="8" t="s">
        <v>423</v>
      </c>
      <c r="K295" s="6" t="str">
        <f>"360,00"</f>
        <v>360,00</v>
      </c>
      <c r="L295" s="6" t="str">
        <f>"90,00"</f>
        <v>90,00</v>
      </c>
      <c r="M295" s="6" t="str">
        <f>"450,00"</f>
        <v>450,00</v>
      </c>
      <c r="N295" s="8" t="s">
        <v>566</v>
      </c>
      <c r="O295" s="7"/>
      <c r="P295" s="2" t="s">
        <v>5807</v>
      </c>
      <c r="Q295" s="7"/>
      <c r="R295" s="1"/>
      <c r="S295" s="1" t="str">
        <f>"6-22/NOS-10/19"</f>
        <v>6-22/NOS-10/19</v>
      </c>
      <c r="T295" s="1" t="s">
        <v>86</v>
      </c>
    </row>
    <row r="296" spans="1:20" ht="63.75" x14ac:dyDescent="0.25">
      <c r="A296" s="6">
        <v>293</v>
      </c>
      <c r="B296" s="1" t="str">
        <f t="shared" si="25"/>
        <v>2019-495</v>
      </c>
      <c r="C296" s="1" t="s">
        <v>556</v>
      </c>
      <c r="D296" s="1" t="s">
        <v>560</v>
      </c>
      <c r="E296" s="1" t="str">
        <f>""</f>
        <v/>
      </c>
      <c r="F296" s="1" t="s">
        <v>28</v>
      </c>
      <c r="G296" s="1" t="str">
        <f t="shared" si="26"/>
        <v>K.G.V.H. EKO D.O.O., ULICA DR. LUJE NALETILIĆA 25, 10000 ZAGREB, OIB: 85898756579</v>
      </c>
      <c r="H296" s="7"/>
      <c r="I296" s="8" t="s">
        <v>567</v>
      </c>
      <c r="J296" s="8" t="s">
        <v>555</v>
      </c>
      <c r="K296" s="6" t="str">
        <f>"360,00"</f>
        <v>360,00</v>
      </c>
      <c r="L296" s="6" t="str">
        <f>"90,00"</f>
        <v>90,00</v>
      </c>
      <c r="M296" s="6" t="str">
        <f>"450,00"</f>
        <v>450,00</v>
      </c>
      <c r="N296" s="8" t="s">
        <v>566</v>
      </c>
      <c r="O296" s="7"/>
      <c r="P296" s="2" t="s">
        <v>5807</v>
      </c>
      <c r="Q296" s="7"/>
      <c r="R296" s="1"/>
      <c r="S296" s="1" t="str">
        <f>"7-22/NOS-10/19"</f>
        <v>7-22/NOS-10/19</v>
      </c>
      <c r="T296" s="1" t="s">
        <v>86</v>
      </c>
    </row>
    <row r="297" spans="1:20" ht="63.75" x14ac:dyDescent="0.25">
      <c r="A297" s="6">
        <v>294</v>
      </c>
      <c r="B297" s="1" t="str">
        <f t="shared" si="25"/>
        <v>2019-495</v>
      </c>
      <c r="C297" s="1" t="s">
        <v>556</v>
      </c>
      <c r="D297" s="1" t="s">
        <v>560</v>
      </c>
      <c r="E297" s="1" t="str">
        <f>""</f>
        <v/>
      </c>
      <c r="F297" s="1" t="s">
        <v>28</v>
      </c>
      <c r="G297" s="1" t="str">
        <f t="shared" si="26"/>
        <v>K.G.V.H. EKO D.O.O., ULICA DR. LUJE NALETILIĆA 25, 10000 ZAGREB, OIB: 85898756579</v>
      </c>
      <c r="H297" s="7"/>
      <c r="I297" s="8" t="s">
        <v>31</v>
      </c>
      <c r="J297" s="8" t="s">
        <v>241</v>
      </c>
      <c r="K297" s="6" t="str">
        <f>"78.000,00"</f>
        <v>78.000,00</v>
      </c>
      <c r="L297" s="6" t="str">
        <f>"0,00"</f>
        <v>0,00</v>
      </c>
      <c r="M297" s="6" t="str">
        <f>"78.000,00"</f>
        <v>78.000,00</v>
      </c>
      <c r="N297" s="8" t="s">
        <v>124</v>
      </c>
      <c r="O297" s="7"/>
      <c r="P297" s="2" t="s">
        <v>5614</v>
      </c>
      <c r="Q297" s="7"/>
      <c r="R297" s="1"/>
      <c r="S297" s="1" t="str">
        <f>"8-22/NOS-10/19"</f>
        <v>8-22/NOS-10/19</v>
      </c>
      <c r="T297" s="1" t="s">
        <v>86</v>
      </c>
    </row>
    <row r="298" spans="1:20" ht="63.75" x14ac:dyDescent="0.25">
      <c r="A298" s="6">
        <v>295</v>
      </c>
      <c r="B298" s="1" t="str">
        <f t="shared" si="25"/>
        <v>2019-495</v>
      </c>
      <c r="C298" s="1" t="s">
        <v>556</v>
      </c>
      <c r="D298" s="1" t="s">
        <v>560</v>
      </c>
      <c r="E298" s="1" t="str">
        <f>""</f>
        <v/>
      </c>
      <c r="F298" s="1" t="s">
        <v>28</v>
      </c>
      <c r="G298" s="1" t="str">
        <f t="shared" si="26"/>
        <v>K.G.V.H. EKO D.O.O., ULICA DR. LUJE NALETILIĆA 25, 10000 ZAGREB, OIB: 85898756579</v>
      </c>
      <c r="H298" s="7"/>
      <c r="I298" s="8" t="s">
        <v>384</v>
      </c>
      <c r="J298" s="8" t="s">
        <v>555</v>
      </c>
      <c r="K298" s="6" t="str">
        <f>"2.800,00"</f>
        <v>2.800,00</v>
      </c>
      <c r="L298" s="6" t="str">
        <f>"0,00"</f>
        <v>0,00</v>
      </c>
      <c r="M298" s="6" t="str">
        <f>"2.800,00"</f>
        <v>2.800,00</v>
      </c>
      <c r="N298" s="8" t="s">
        <v>124</v>
      </c>
      <c r="O298" s="7"/>
      <c r="P298" s="2" t="s">
        <v>5614</v>
      </c>
      <c r="Q298" s="7"/>
      <c r="R298" s="1"/>
      <c r="S298" s="1" t="str">
        <f>"9-22/NOS-10/19"</f>
        <v>9-22/NOS-10/19</v>
      </c>
      <c r="T298" s="1" t="s">
        <v>86</v>
      </c>
    </row>
    <row r="299" spans="1:20" ht="178.5" x14ac:dyDescent="0.25">
      <c r="A299" s="6">
        <v>296</v>
      </c>
      <c r="B299" s="1" t="str">
        <f>"2018-2818"</f>
        <v>2018-2818</v>
      </c>
      <c r="C299" s="1" t="s">
        <v>568</v>
      </c>
      <c r="D299" s="1" t="s">
        <v>547</v>
      </c>
      <c r="E299" s="1" t="str">
        <f>"2018/S 0F2-0036317"</f>
        <v>2018/S 0F2-0036317</v>
      </c>
      <c r="F299" s="1" t="s">
        <v>22</v>
      </c>
      <c r="G299" s="1"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299" s="7"/>
      <c r="I299" s="8" t="s">
        <v>569</v>
      </c>
      <c r="J299" s="8" t="s">
        <v>570</v>
      </c>
      <c r="K299" s="6" t="str">
        <f>"15.000.000,00"</f>
        <v>15.000.000,00</v>
      </c>
      <c r="L299" s="6" t="str">
        <f>"3.750.000,00"</f>
        <v>3.750.000,00</v>
      </c>
      <c r="M299" s="6" t="str">
        <f>"18.750.000,00"</f>
        <v>18.750.000,00</v>
      </c>
      <c r="N299" s="8" t="s">
        <v>124</v>
      </c>
      <c r="O299" s="7"/>
      <c r="P299" s="2" t="s">
        <v>5614</v>
      </c>
      <c r="Q299" s="7"/>
      <c r="R299" s="1"/>
      <c r="S299" s="1" t="str">
        <f>"NOS-143-B/18"</f>
        <v>NOS-143-B/18</v>
      </c>
      <c r="T299" s="1" t="s">
        <v>32</v>
      </c>
    </row>
    <row r="300" spans="1:20" ht="63.75" x14ac:dyDescent="0.25">
      <c r="A300" s="6">
        <v>297</v>
      </c>
      <c r="B300" s="1" t="str">
        <f>"2018-2818"</f>
        <v>2018-2818</v>
      </c>
      <c r="C300" s="1" t="s">
        <v>571</v>
      </c>
      <c r="D300" s="1" t="s">
        <v>547</v>
      </c>
      <c r="E300" s="1" t="str">
        <f>""</f>
        <v/>
      </c>
      <c r="F300" s="1" t="s">
        <v>28</v>
      </c>
      <c r="G300" s="1" t="str">
        <f>CONCATENATE("KAMING D.D.,"," ZAGORSKA 1,"," 42222 LJUBEŠĆICA,"," OIB: 15834377307")</f>
        <v>KAMING D.D., ZAGORSKA 1, 42222 LJUBEŠĆICA, OIB: 15834377307</v>
      </c>
      <c r="H300" s="7"/>
      <c r="I300" s="8" t="s">
        <v>177</v>
      </c>
      <c r="J300" s="8" t="s">
        <v>57</v>
      </c>
      <c r="K300" s="6" t="str">
        <f>"1.719.000,00"</f>
        <v>1.719.000,00</v>
      </c>
      <c r="L300" s="6" t="str">
        <f>"429.750,00"</f>
        <v>429.750,00</v>
      </c>
      <c r="M300" s="6" t="str">
        <f>"2.148.750,00"</f>
        <v>2.148.750,00</v>
      </c>
      <c r="N300" s="8" t="s">
        <v>383</v>
      </c>
      <c r="O300" s="7"/>
      <c r="P300" s="2" t="s">
        <v>5808</v>
      </c>
      <c r="Q300" s="7"/>
      <c r="R300" s="1"/>
      <c r="S300" s="1" t="str">
        <f>"2-21/NOS-143-B/18"</f>
        <v>2-21/NOS-143-B/18</v>
      </c>
      <c r="T300" s="1" t="s">
        <v>32</v>
      </c>
    </row>
    <row r="301" spans="1:20" ht="191.25" x14ac:dyDescent="0.25">
      <c r="A301" s="6">
        <v>298</v>
      </c>
      <c r="B301" s="1" t="str">
        <f>"2018-2818"</f>
        <v>2018-2818</v>
      </c>
      <c r="C301" s="1" t="s">
        <v>572</v>
      </c>
      <c r="D301" s="1" t="s">
        <v>547</v>
      </c>
      <c r="E301" s="1" t="str">
        <f>"2018/S 0F2-0036317"</f>
        <v>2018/S 0F2-0036317</v>
      </c>
      <c r="F301" s="1" t="s">
        <v>22</v>
      </c>
      <c r="G301" s="1"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301" s="7"/>
      <c r="I301" s="8" t="s">
        <v>569</v>
      </c>
      <c r="J301" s="8" t="s">
        <v>570</v>
      </c>
      <c r="K301" s="6" t="str">
        <f>"1.300.000,00"</f>
        <v>1.300.000,00</v>
      </c>
      <c r="L301" s="6" t="str">
        <f>"325.000,00"</f>
        <v>325.000,00</v>
      </c>
      <c r="M301" s="6" t="str">
        <f>"1.625.000,00"</f>
        <v>1.625.000,00</v>
      </c>
      <c r="N301" s="8" t="s">
        <v>124</v>
      </c>
      <c r="O301" s="7"/>
      <c r="P301" s="2" t="s">
        <v>5614</v>
      </c>
      <c r="Q301" s="7"/>
      <c r="R301" s="1"/>
      <c r="S301" s="1" t="str">
        <f>"NOS-143-C/18"</f>
        <v>NOS-143-C/18</v>
      </c>
      <c r="T301" s="1" t="s">
        <v>32</v>
      </c>
    </row>
    <row r="302" spans="1:20" ht="63.75" x14ac:dyDescent="0.25">
      <c r="A302" s="6">
        <v>299</v>
      </c>
      <c r="B302" s="1" t="str">
        <f>"2018-2818"</f>
        <v>2018-2818</v>
      </c>
      <c r="C302" s="1" t="s">
        <v>573</v>
      </c>
      <c r="D302" s="1" t="s">
        <v>547</v>
      </c>
      <c r="E302" s="1" t="str">
        <f>""</f>
        <v/>
      </c>
      <c r="F302" s="1" t="s">
        <v>28</v>
      </c>
      <c r="G302" s="1" t="str">
        <f>CONCATENATE("HOLCIM (HRVATSKA) D.O.O.,"," KOROMAČNO 7B,"," 52222 KOROMAČNO,"," OIB: 60131430579")</f>
        <v>HOLCIM (HRVATSKA) D.O.O., KOROMAČNO 7B, 52222 KOROMAČNO, OIB: 60131430579</v>
      </c>
      <c r="H302" s="7"/>
      <c r="I302" s="8" t="s">
        <v>252</v>
      </c>
      <c r="J302" s="8" t="s">
        <v>123</v>
      </c>
      <c r="K302" s="6" t="str">
        <f>"94.700,00"</f>
        <v>94.700,00</v>
      </c>
      <c r="L302" s="6" t="str">
        <f>"23.675,00"</f>
        <v>23.675,00</v>
      </c>
      <c r="M302" s="6" t="str">
        <f>"118.375,00"</f>
        <v>118.375,00</v>
      </c>
      <c r="N302" s="8" t="s">
        <v>383</v>
      </c>
      <c r="O302" s="7"/>
      <c r="P302" s="2" t="s">
        <v>5809</v>
      </c>
      <c r="Q302" s="1"/>
      <c r="R302" s="1"/>
      <c r="S302" s="1" t="str">
        <f>"1-22/NOS-143-C/18"</f>
        <v>1-22/NOS-143-C/18</v>
      </c>
      <c r="T302" s="1" t="s">
        <v>32</v>
      </c>
    </row>
    <row r="303" spans="1:20" ht="63.75" x14ac:dyDescent="0.25">
      <c r="A303" s="6">
        <v>300</v>
      </c>
      <c r="B303" s="1" t="str">
        <f>"2019-2392"</f>
        <v>2019-2392</v>
      </c>
      <c r="C303" s="1" t="s">
        <v>574</v>
      </c>
      <c r="D303" s="1" t="s">
        <v>575</v>
      </c>
      <c r="E303" s="1" t="str">
        <f>"2019/S 0F2-0029241"</f>
        <v>2019/S 0F2-0029241</v>
      </c>
      <c r="F303" s="1" t="s">
        <v>22</v>
      </c>
      <c r="G303" s="1" t="str">
        <f>CONCATENATE("FRAGARIA PLANTA D.O.O.,"," KUPINEČKI KRALJEVEC,"," MRAKOV BREG 3,"," 10000 ZAGREB,"," OIB: 2633455166")</f>
        <v>FRAGARIA PLANTA D.O.O., KUPINEČKI KRALJEVEC, MRAKOV BREG 3, 10000 ZAGREB, OIB: 2633455166</v>
      </c>
      <c r="H303" s="7"/>
      <c r="I303" s="8" t="s">
        <v>576</v>
      </c>
      <c r="J303" s="8" t="s">
        <v>577</v>
      </c>
      <c r="K303" s="6" t="str">
        <f>"450.000,00"</f>
        <v>450.000,00</v>
      </c>
      <c r="L303" s="6" t="str">
        <f>"112.500,00"</f>
        <v>112.500,00</v>
      </c>
      <c r="M303" s="6" t="str">
        <f>"562.500,00"</f>
        <v>562.500,00</v>
      </c>
      <c r="N303" s="8" t="s">
        <v>578</v>
      </c>
      <c r="O303" s="7"/>
      <c r="P303" s="2" t="s">
        <v>5614</v>
      </c>
      <c r="Q303" s="7"/>
      <c r="R303" s="1"/>
      <c r="S303" s="1" t="str">
        <f>"NOS-24-B/19"</f>
        <v>NOS-24-B/19</v>
      </c>
      <c r="T303" s="1" t="s">
        <v>32</v>
      </c>
    </row>
    <row r="304" spans="1:20" ht="63.75" x14ac:dyDescent="0.25">
      <c r="A304" s="6">
        <v>301</v>
      </c>
      <c r="B304" s="1" t="str">
        <f>"2019-2392"</f>
        <v>2019-2392</v>
      </c>
      <c r="C304" s="1" t="s">
        <v>579</v>
      </c>
      <c r="D304" s="1" t="s">
        <v>580</v>
      </c>
      <c r="E304" s="1" t="str">
        <f>""</f>
        <v/>
      </c>
      <c r="F304" s="1" t="s">
        <v>28</v>
      </c>
      <c r="G304" s="1" t="str">
        <f>CONCATENATE("FRAGARIA PLANTA D.O.O.,"," KUPINEČKI KRALJEVEC,"," MRAKOV BREG 3,"," 10000 ZAGREB,"," OIB: 2633455166")</f>
        <v>FRAGARIA PLANTA D.O.O., KUPINEČKI KRALJEVEC, MRAKOV BREG 3, 10000 ZAGREB, OIB: 2633455166</v>
      </c>
      <c r="H304" s="7"/>
      <c r="I304" s="8" t="s">
        <v>581</v>
      </c>
      <c r="J304" s="8" t="s">
        <v>214</v>
      </c>
      <c r="K304" s="6" t="str">
        <f>"90.035,00"</f>
        <v>90.035,00</v>
      </c>
      <c r="L304" s="6" t="str">
        <f>"22.508,75"</f>
        <v>22.508,75</v>
      </c>
      <c r="M304" s="6" t="str">
        <f>"112.543,75"</f>
        <v>112.543,75</v>
      </c>
      <c r="N304" s="8" t="s">
        <v>405</v>
      </c>
      <c r="O304" s="7"/>
      <c r="P304" s="2" t="s">
        <v>5810</v>
      </c>
      <c r="Q304" s="1"/>
      <c r="R304" s="1"/>
      <c r="S304" s="1" t="str">
        <f>"6-21/NOS-24-B/19"</f>
        <v>6-21/NOS-24-B/19</v>
      </c>
      <c r="T304" s="1" t="s">
        <v>32</v>
      </c>
    </row>
    <row r="305" spans="1:20" ht="51" x14ac:dyDescent="0.25">
      <c r="A305" s="6">
        <v>302</v>
      </c>
      <c r="B305" s="1" t="str">
        <f>"2019-2371"</f>
        <v>2019-2371</v>
      </c>
      <c r="C305" s="1" t="s">
        <v>583</v>
      </c>
      <c r="D305" s="1" t="s">
        <v>78</v>
      </c>
      <c r="E305" s="1" t="str">
        <f>"2019/S 0F2-0031172"</f>
        <v>2019/S 0F2-0031172</v>
      </c>
      <c r="F305" s="1" t="s">
        <v>22</v>
      </c>
      <c r="G305" s="1" t="str">
        <f>CONCATENATE("RIS D.O.O.,"," PILEPČIĆ 10,"," 51215 KASTAV,"," OIB: 77917801452")</f>
        <v>RIS D.O.O., PILEPČIĆ 10, 51215 KASTAV, OIB: 77917801452</v>
      </c>
      <c r="H305" s="7"/>
      <c r="I305" s="8" t="s">
        <v>584</v>
      </c>
      <c r="J305" s="8" t="s">
        <v>585</v>
      </c>
      <c r="K305" s="6" t="str">
        <f>"3.100.000,00"</f>
        <v>3.100.000,00</v>
      </c>
      <c r="L305" s="6" t="str">
        <f>"775.000,00"</f>
        <v>775.000,00</v>
      </c>
      <c r="M305" s="6" t="str">
        <f>"3.875.000,00"</f>
        <v>3.875.000,00</v>
      </c>
      <c r="N305" s="8" t="s">
        <v>586</v>
      </c>
      <c r="O305" s="7"/>
      <c r="P305" s="2" t="s">
        <v>5614</v>
      </c>
      <c r="Q305" s="7"/>
      <c r="R305" s="1"/>
      <c r="S305" s="1" t="str">
        <f>"NOS-42/19"</f>
        <v>NOS-42/19</v>
      </c>
      <c r="T305" s="1" t="s">
        <v>43</v>
      </c>
    </row>
    <row r="306" spans="1:20" ht="51" x14ac:dyDescent="0.25">
      <c r="A306" s="6">
        <v>303</v>
      </c>
      <c r="B306" s="1" t="str">
        <f>"2019-2371"</f>
        <v>2019-2371</v>
      </c>
      <c r="C306" s="1" t="s">
        <v>583</v>
      </c>
      <c r="D306" s="1" t="s">
        <v>78</v>
      </c>
      <c r="E306" s="1" t="str">
        <f>""</f>
        <v/>
      </c>
      <c r="F306" s="1" t="s">
        <v>28</v>
      </c>
      <c r="G306" s="1" t="str">
        <f>CONCATENATE("RIS D.O.O.,"," PILEPČIĆ 10,"," 51215 KASTAV,"," OIB: 77917801452")</f>
        <v>RIS D.O.O., PILEPČIĆ 10, 51215 KASTAV, OIB: 77917801452</v>
      </c>
      <c r="H306" s="7"/>
      <c r="I306" s="8" t="s">
        <v>587</v>
      </c>
      <c r="J306" s="8" t="s">
        <v>126</v>
      </c>
      <c r="K306" s="6" t="str">
        <f>"1.085.000,00"</f>
        <v>1.085.000,00</v>
      </c>
      <c r="L306" s="6" t="str">
        <f>"271.250,00"</f>
        <v>271.250,00</v>
      </c>
      <c r="M306" s="6" t="str">
        <f>"1.356.250,00"</f>
        <v>1.356.250,00</v>
      </c>
      <c r="N306" s="8" t="s">
        <v>80</v>
      </c>
      <c r="O306" s="7"/>
      <c r="P306" s="2" t="s">
        <v>5811</v>
      </c>
      <c r="Q306" s="7"/>
      <c r="R306" s="1"/>
      <c r="S306" s="1" t="str">
        <f>"1-21/NOS-42/19"</f>
        <v>1-21/NOS-42/19</v>
      </c>
      <c r="T306" s="1" t="s">
        <v>43</v>
      </c>
    </row>
    <row r="307" spans="1:20" ht="102" x14ac:dyDescent="0.25">
      <c r="A307" s="6">
        <v>304</v>
      </c>
      <c r="B307" s="1" t="str">
        <f>"2019-2371"</f>
        <v>2019-2371</v>
      </c>
      <c r="C307" s="1" t="s">
        <v>588</v>
      </c>
      <c r="D307" s="1" t="s">
        <v>78</v>
      </c>
      <c r="E307" s="1" t="str">
        <f>""</f>
        <v/>
      </c>
      <c r="F307" s="1" t="s">
        <v>92</v>
      </c>
      <c r="G307" s="1" t="str">
        <f>CONCATENATE("RIS D.O.O.,"," PILEPČIĆ 10,"," 51215 KASTAV,"," OIB: 77917801452")</f>
        <v>RIS D.O.O., PILEPČIĆ 10, 51215 KASTAV, OIB: 77917801452</v>
      </c>
      <c r="H307" s="7"/>
      <c r="I307" s="8" t="s">
        <v>98</v>
      </c>
      <c r="J307" s="8" t="s">
        <v>89</v>
      </c>
      <c r="K307" s="6" t="str">
        <f>"97.650,00"</f>
        <v>97.650,00</v>
      </c>
      <c r="L307" s="6" t="str">
        <f>"24.412,50"</f>
        <v>24.412,50</v>
      </c>
      <c r="M307" s="6" t="str">
        <f>"122.062,50"</f>
        <v>122.062,50</v>
      </c>
      <c r="N307" s="8" t="s">
        <v>589</v>
      </c>
      <c r="O307" s="7"/>
      <c r="P307" s="2" t="s">
        <v>5812</v>
      </c>
      <c r="Q307" s="7"/>
      <c r="R307" s="1"/>
      <c r="S307" s="1" t="str">
        <f>"1-21/NOS-42/19#1"</f>
        <v>1-21/NOS-42/19#1</v>
      </c>
      <c r="T307" s="1" t="s">
        <v>43</v>
      </c>
    </row>
    <row r="308" spans="1:20" ht="165.75" x14ac:dyDescent="0.25">
      <c r="A308" s="6">
        <v>305</v>
      </c>
      <c r="B308" s="1" t="str">
        <f t="shared" ref="B308:B313" si="27">"2019-2380"</f>
        <v>2019-2380</v>
      </c>
      <c r="C308" s="1" t="s">
        <v>590</v>
      </c>
      <c r="D308" s="1" t="s">
        <v>74</v>
      </c>
      <c r="E308" s="1" t="str">
        <f>"2019/S 0F2-0030595"</f>
        <v>2019/S 0F2-0030595</v>
      </c>
      <c r="F308" s="1" t="s">
        <v>22</v>
      </c>
      <c r="G308" s="1" t="str">
        <f t="shared" ref="G308:G313" si="28">CONCATENATE("GLOBALDIZAJN D.O.O.,"," BUZIN,"," BANI 75,"," 10000 ZAGREB,"," OIB: 2562731408")</f>
        <v>GLOBALDIZAJN D.O.O., BUZIN, BANI 75, 10000 ZAGREB, OIB: 2562731408</v>
      </c>
      <c r="H308" s="7"/>
      <c r="I308" s="8" t="s">
        <v>591</v>
      </c>
      <c r="J308" s="8" t="s">
        <v>592</v>
      </c>
      <c r="K308" s="6" t="str">
        <f>"3.650.000,00"</f>
        <v>3.650.000,00</v>
      </c>
      <c r="L308" s="6" t="str">
        <f>"912.500,00"</f>
        <v>912.500,00</v>
      </c>
      <c r="M308" s="6" t="str">
        <f>"4.562.500,00"</f>
        <v>4.562.500,00</v>
      </c>
      <c r="N308" s="8" t="s">
        <v>593</v>
      </c>
      <c r="O308" s="7"/>
      <c r="P308" s="2" t="s">
        <v>5813</v>
      </c>
      <c r="Q308" s="7"/>
      <c r="R308" s="1"/>
      <c r="S308" s="1" t="str">
        <f>"NOS-38-ZGH/19"</f>
        <v>NOS-38-ZGH/19</v>
      </c>
      <c r="T308" s="1" t="s">
        <v>49</v>
      </c>
    </row>
    <row r="309" spans="1:20" ht="51" x14ac:dyDescent="0.25">
      <c r="A309" s="6">
        <v>306</v>
      </c>
      <c r="B309" s="1" t="str">
        <f t="shared" si="27"/>
        <v>2019-2380</v>
      </c>
      <c r="C309" s="1" t="s">
        <v>590</v>
      </c>
      <c r="D309" s="1" t="s">
        <v>78</v>
      </c>
      <c r="E309" s="1" t="str">
        <f>""</f>
        <v/>
      </c>
      <c r="F309" s="1" t="s">
        <v>28</v>
      </c>
      <c r="G309" s="1" t="str">
        <f t="shared" si="28"/>
        <v>GLOBALDIZAJN D.O.O., BUZIN, BANI 75, 10000 ZAGREB, OIB: 2562731408</v>
      </c>
      <c r="H309" s="7"/>
      <c r="I309" s="8" t="s">
        <v>594</v>
      </c>
      <c r="J309" s="8" t="s">
        <v>41</v>
      </c>
      <c r="K309" s="6" t="str">
        <f>"43.080,00"</f>
        <v>43.080,00</v>
      </c>
      <c r="L309" s="6" t="str">
        <f>"10.770,00"</f>
        <v>10.770,00</v>
      </c>
      <c r="M309" s="6" t="str">
        <f>"53.850,00"</f>
        <v>53.850,00</v>
      </c>
      <c r="N309" s="8" t="s">
        <v>42</v>
      </c>
      <c r="O309" s="7"/>
      <c r="P309" s="2" t="s">
        <v>5814</v>
      </c>
      <c r="Q309" s="7"/>
      <c r="R309" s="1"/>
      <c r="S309" s="1" t="str">
        <f>"1-21/NOS-38-ZGH/19"</f>
        <v>1-21/NOS-38-ZGH/19</v>
      </c>
      <c r="T309" s="1" t="s">
        <v>43</v>
      </c>
    </row>
    <row r="310" spans="1:20" ht="51" x14ac:dyDescent="0.25">
      <c r="A310" s="6">
        <v>307</v>
      </c>
      <c r="B310" s="1" t="str">
        <f t="shared" si="27"/>
        <v>2019-2380</v>
      </c>
      <c r="C310" s="1" t="s">
        <v>590</v>
      </c>
      <c r="D310" s="1" t="s">
        <v>78</v>
      </c>
      <c r="E310" s="1" t="str">
        <f>""</f>
        <v/>
      </c>
      <c r="F310" s="1" t="s">
        <v>28</v>
      </c>
      <c r="G310" s="1" t="str">
        <f t="shared" si="28"/>
        <v>GLOBALDIZAJN D.O.O., BUZIN, BANI 75, 10000 ZAGREB, OIB: 2562731408</v>
      </c>
      <c r="H310" s="7"/>
      <c r="I310" s="8" t="s">
        <v>595</v>
      </c>
      <c r="J310" s="8" t="s">
        <v>596</v>
      </c>
      <c r="K310" s="6" t="str">
        <f>"899.620,00"</f>
        <v>899.620,00</v>
      </c>
      <c r="L310" s="6" t="str">
        <f>"224.905,00"</f>
        <v>224.905,00</v>
      </c>
      <c r="M310" s="6" t="str">
        <f>"1.124.525,00"</f>
        <v>1.124.525,00</v>
      </c>
      <c r="N310" s="8" t="s">
        <v>415</v>
      </c>
      <c r="O310" s="7"/>
      <c r="P310" s="2" t="s">
        <v>5815</v>
      </c>
      <c r="Q310" s="7"/>
      <c r="R310" s="1"/>
      <c r="S310" s="1" t="str">
        <f>"5-21/NOS-38-ZGH/19"</f>
        <v>5-21/NOS-38-ZGH/19</v>
      </c>
      <c r="T310" s="1" t="s">
        <v>32</v>
      </c>
    </row>
    <row r="311" spans="1:20" ht="102" x14ac:dyDescent="0.25">
      <c r="A311" s="6">
        <v>308</v>
      </c>
      <c r="B311" s="1" t="str">
        <f t="shared" si="27"/>
        <v>2019-2380</v>
      </c>
      <c r="C311" s="1" t="s">
        <v>597</v>
      </c>
      <c r="D311" s="1" t="s">
        <v>78</v>
      </c>
      <c r="E311" s="1" t="str">
        <f>""</f>
        <v/>
      </c>
      <c r="F311" s="1" t="s">
        <v>92</v>
      </c>
      <c r="G311" s="1" t="str">
        <f t="shared" si="28"/>
        <v>GLOBALDIZAJN D.O.O., BUZIN, BANI 75, 10000 ZAGREB, OIB: 2562731408</v>
      </c>
      <c r="H311" s="7"/>
      <c r="I311" s="8" t="s">
        <v>598</v>
      </c>
      <c r="J311" s="8" t="s">
        <v>596</v>
      </c>
      <c r="K311" s="6" t="str">
        <f>"30.000,00"</f>
        <v>30.000,00</v>
      </c>
      <c r="L311" s="6" t="str">
        <f>"7.500,00"</f>
        <v>7.500,00</v>
      </c>
      <c r="M311" s="6" t="str">
        <f>"37.500,00"</f>
        <v>37.500,00</v>
      </c>
      <c r="N311" s="7"/>
      <c r="O311" s="9">
        <v>44652</v>
      </c>
      <c r="P311" s="2" t="s">
        <v>5816</v>
      </c>
      <c r="Q311" s="7"/>
      <c r="R311" s="1" t="s">
        <v>191</v>
      </c>
      <c r="S311" s="1" t="str">
        <f>"5-21/NOS-38-ZGH/19#1"</f>
        <v>5-21/NOS-38-ZGH/19#1</v>
      </c>
      <c r="T311" s="1" t="s">
        <v>32</v>
      </c>
    </row>
    <row r="312" spans="1:20" ht="51" x14ac:dyDescent="0.25">
      <c r="A312" s="6">
        <v>309</v>
      </c>
      <c r="B312" s="1" t="str">
        <f t="shared" si="27"/>
        <v>2019-2380</v>
      </c>
      <c r="C312" s="1" t="s">
        <v>590</v>
      </c>
      <c r="D312" s="1" t="s">
        <v>78</v>
      </c>
      <c r="E312" s="1" t="str">
        <f>""</f>
        <v/>
      </c>
      <c r="F312" s="1" t="s">
        <v>28</v>
      </c>
      <c r="G312" s="1" t="str">
        <f t="shared" si="28"/>
        <v>GLOBALDIZAJN D.O.O., BUZIN, BANI 75, 10000 ZAGREB, OIB: 2562731408</v>
      </c>
      <c r="H312" s="7"/>
      <c r="I312" s="8" t="s">
        <v>599</v>
      </c>
      <c r="J312" s="8" t="s">
        <v>30</v>
      </c>
      <c r="K312" s="6" t="str">
        <f>"33.500,00"</f>
        <v>33.500,00</v>
      </c>
      <c r="L312" s="6" t="str">
        <f>"8.375,00"</f>
        <v>8.375,00</v>
      </c>
      <c r="M312" s="6" t="str">
        <f>"41.875,00"</f>
        <v>41.875,00</v>
      </c>
      <c r="N312" s="8" t="s">
        <v>124</v>
      </c>
      <c r="O312" s="7"/>
      <c r="P312" s="2" t="s">
        <v>5614</v>
      </c>
      <c r="Q312" s="7"/>
      <c r="R312" s="1"/>
      <c r="S312" s="1" t="str">
        <f>"7-21/NOS-38-ZGH/19"</f>
        <v>7-21/NOS-38-ZGH/19</v>
      </c>
      <c r="T312" s="1" t="s">
        <v>86</v>
      </c>
    </row>
    <row r="313" spans="1:20" ht="102" x14ac:dyDescent="0.25">
      <c r="A313" s="6">
        <v>310</v>
      </c>
      <c r="B313" s="1" t="str">
        <f t="shared" si="27"/>
        <v>2019-2380</v>
      </c>
      <c r="C313" s="1" t="s">
        <v>597</v>
      </c>
      <c r="D313" s="1" t="s">
        <v>78</v>
      </c>
      <c r="E313" s="1" t="str">
        <f>""</f>
        <v/>
      </c>
      <c r="F313" s="1" t="s">
        <v>92</v>
      </c>
      <c r="G313" s="1" t="str">
        <f t="shared" si="28"/>
        <v>GLOBALDIZAJN D.O.O., BUZIN, BANI 75, 10000 ZAGREB, OIB: 2562731408</v>
      </c>
      <c r="H313" s="7"/>
      <c r="I313" s="8" t="s">
        <v>253</v>
      </c>
      <c r="J313" s="8" t="s">
        <v>53</v>
      </c>
      <c r="K313" s="6" t="str">
        <f>"3.590,00"</f>
        <v>3.590,00</v>
      </c>
      <c r="L313" s="6" t="str">
        <f>"897,50"</f>
        <v>897,50</v>
      </c>
      <c r="M313" s="6" t="str">
        <f>"4.487,50"</f>
        <v>4.487,50</v>
      </c>
      <c r="N313" s="8" t="s">
        <v>600</v>
      </c>
      <c r="O313" s="7"/>
      <c r="P313" s="2" t="s">
        <v>5817</v>
      </c>
      <c r="Q313" s="7"/>
      <c r="R313" s="1"/>
      <c r="S313" s="1" t="str">
        <f>"1-21/NOS-38-ZGH/19#1"</f>
        <v>1-21/NOS-38-ZGH/19#1</v>
      </c>
      <c r="T313" s="1" t="s">
        <v>43</v>
      </c>
    </row>
    <row r="314" spans="1:20" ht="114.75" x14ac:dyDescent="0.25">
      <c r="A314" s="6">
        <v>311</v>
      </c>
      <c r="B314" s="1" t="str">
        <f>"2019-1626"</f>
        <v>2019-1626</v>
      </c>
      <c r="C314" s="1" t="s">
        <v>601</v>
      </c>
      <c r="D314" s="1" t="s">
        <v>602</v>
      </c>
      <c r="E314" s="1" t="str">
        <f>"2019/S 0F2-0028969"</f>
        <v>2019/S 0F2-0028969</v>
      </c>
      <c r="F314" s="1" t="s">
        <v>22</v>
      </c>
      <c r="G314" s="1"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314" s="7"/>
      <c r="I314" s="8" t="s">
        <v>603</v>
      </c>
      <c r="J314" s="8" t="s">
        <v>604</v>
      </c>
      <c r="K314" s="6" t="str">
        <f>"700.000,00"</f>
        <v>700.000,00</v>
      </c>
      <c r="L314" s="6" t="str">
        <f>"175.000,00"</f>
        <v>175.000,00</v>
      </c>
      <c r="M314" s="6" t="str">
        <f>"875.000,00"</f>
        <v>875.000,00</v>
      </c>
      <c r="N314" s="8" t="s">
        <v>177</v>
      </c>
      <c r="O314" s="7"/>
      <c r="P314" s="2" t="s">
        <v>5614</v>
      </c>
      <c r="Q314" s="7"/>
      <c r="R314" s="1"/>
      <c r="S314" s="1" t="str">
        <f>"NOS-51-D/19"</f>
        <v>NOS-51-D/19</v>
      </c>
      <c r="T314" s="1" t="s">
        <v>32</v>
      </c>
    </row>
    <row r="315" spans="1:20" ht="102" x14ac:dyDescent="0.25">
      <c r="A315" s="6">
        <v>312</v>
      </c>
      <c r="B315" s="1" t="str">
        <f>"2019-1626"</f>
        <v>2019-1626</v>
      </c>
      <c r="C315" s="1" t="s">
        <v>605</v>
      </c>
      <c r="D315" s="1" t="s">
        <v>606</v>
      </c>
      <c r="E315" s="1" t="str">
        <f>""</f>
        <v/>
      </c>
      <c r="F315" s="1" t="s">
        <v>28</v>
      </c>
      <c r="G315" s="1" t="str">
        <f>CONCATENATE("AUTOTRANS D.D.,"," ŠETALIŠTE 20. TRAVNJA 18,"," 51557 CRES,"," OIB: 19819724166")</f>
        <v>AUTOTRANS D.D., ŠETALIŠTE 20. TRAVNJA 18, 51557 CRES, OIB: 19819724166</v>
      </c>
      <c r="H315" s="7"/>
      <c r="I315" s="8" t="s">
        <v>126</v>
      </c>
      <c r="J315" s="8" t="s">
        <v>57</v>
      </c>
      <c r="K315" s="6" t="str">
        <f>"45.000,00"</f>
        <v>45.000,00</v>
      </c>
      <c r="L315" s="6" t="str">
        <f>"11.250,00"</f>
        <v>11.250,00</v>
      </c>
      <c r="M315" s="6" t="str">
        <f>"56.250,00"</f>
        <v>56.250,00</v>
      </c>
      <c r="N315" s="8" t="s">
        <v>607</v>
      </c>
      <c r="O315" s="7"/>
      <c r="P315" s="2" t="s">
        <v>5818</v>
      </c>
      <c r="Q315" s="7"/>
      <c r="R315" s="1"/>
      <c r="S315" s="1" t="str">
        <f>"2-21/NOS-51-D/19"</f>
        <v>2-21/NOS-51-D/19</v>
      </c>
      <c r="T315" s="1" t="s">
        <v>32</v>
      </c>
    </row>
    <row r="316" spans="1:20" ht="178.5" x14ac:dyDescent="0.25">
      <c r="A316" s="6">
        <v>313</v>
      </c>
      <c r="B316" s="1" t="str">
        <f>"2019-2409"</f>
        <v>2019-2409</v>
      </c>
      <c r="C316" s="1" t="s">
        <v>608</v>
      </c>
      <c r="D316" s="1" t="s">
        <v>609</v>
      </c>
      <c r="E316" s="1" t="str">
        <f>"2019/S 0F2-0027423"</f>
        <v>2019/S 0F2-0027423</v>
      </c>
      <c r="F316" s="1" t="s">
        <v>22</v>
      </c>
      <c r="G316" s="1"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316" s="7"/>
      <c r="I316" s="8" t="s">
        <v>603</v>
      </c>
      <c r="J316" s="8" t="s">
        <v>176</v>
      </c>
      <c r="K316" s="6" t="str">
        <f>"75.000.000,00"</f>
        <v>75.000.000,00</v>
      </c>
      <c r="L316" s="6" t="str">
        <f>"18.750.000,00"</f>
        <v>18.750.000,00</v>
      </c>
      <c r="M316" s="6" t="str">
        <f>"93.750.000,00"</f>
        <v>93.750.000,00</v>
      </c>
      <c r="N316" s="8" t="s">
        <v>177</v>
      </c>
      <c r="O316" s="7"/>
      <c r="P316" s="2" t="s">
        <v>5614</v>
      </c>
      <c r="Q316" s="7"/>
      <c r="R316" s="1"/>
      <c r="S316" s="1" t="str">
        <f>"NOS-52-B/19"</f>
        <v>NOS-52-B/19</v>
      </c>
      <c r="T316" s="1" t="s">
        <v>32</v>
      </c>
    </row>
    <row r="317" spans="1:20" ht="51" x14ac:dyDescent="0.25">
      <c r="A317" s="6">
        <v>314</v>
      </c>
      <c r="B317" s="1" t="str">
        <f>"2019-2409"</f>
        <v>2019-2409</v>
      </c>
      <c r="C317" s="1" t="s">
        <v>610</v>
      </c>
      <c r="D317" s="1" t="s">
        <v>611</v>
      </c>
      <c r="E317" s="1" t="str">
        <f>""</f>
        <v/>
      </c>
      <c r="F317" s="1" t="s">
        <v>28</v>
      </c>
      <c r="G317" s="1" t="str">
        <f>CONCATENATE("INA D.D.,"," AVENIJA VEĆESLAVA HOLJEVCA 10,"," 10000 ZAGREB,"," OIB: 27759560625")</f>
        <v>INA D.D., AVENIJA VEĆESLAVA HOLJEVCA 10, 10000 ZAGREB, OIB: 27759560625</v>
      </c>
      <c r="H317" s="7"/>
      <c r="I317" s="8" t="s">
        <v>534</v>
      </c>
      <c r="J317" s="8" t="s">
        <v>612</v>
      </c>
      <c r="K317" s="6" t="str">
        <f>"6.626.000,00"</f>
        <v>6.626.000,00</v>
      </c>
      <c r="L317" s="6" t="str">
        <f>"1.656.500,00"</f>
        <v>1.656.500,00</v>
      </c>
      <c r="M317" s="6" t="str">
        <f>"8.282.500,00"</f>
        <v>8.282.500,00</v>
      </c>
      <c r="N317" s="8" t="s">
        <v>613</v>
      </c>
      <c r="O317" s="7"/>
      <c r="P317" s="2" t="s">
        <v>5819</v>
      </c>
      <c r="Q317" s="7"/>
      <c r="R317" s="1"/>
      <c r="S317" s="1" t="str">
        <f>"8-21/NOS-52-B/19"</f>
        <v>8-21/NOS-52-B/19</v>
      </c>
      <c r="T317" s="1" t="s">
        <v>32</v>
      </c>
    </row>
    <row r="318" spans="1:20" ht="178.5" x14ac:dyDescent="0.25">
      <c r="A318" s="6">
        <v>315</v>
      </c>
      <c r="B318" s="1" t="str">
        <f>"2019-2409"</f>
        <v>2019-2409</v>
      </c>
      <c r="C318" s="1" t="s">
        <v>614</v>
      </c>
      <c r="D318" s="1" t="s">
        <v>609</v>
      </c>
      <c r="E318" s="1" t="str">
        <f>"2019/S 0F2-0027423"</f>
        <v>2019/S 0F2-0027423</v>
      </c>
      <c r="F318" s="1" t="s">
        <v>22</v>
      </c>
      <c r="G318" s="1"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318" s="7"/>
      <c r="I318" s="8" t="s">
        <v>603</v>
      </c>
      <c r="J318" s="8" t="s">
        <v>176</v>
      </c>
      <c r="K318" s="6" t="str">
        <f>"9.000.000,00"</f>
        <v>9.000.000,00</v>
      </c>
      <c r="L318" s="6" t="str">
        <f>"2.250.000,00"</f>
        <v>2.250.000,00</v>
      </c>
      <c r="M318" s="6" t="str">
        <f>"11.250.000,00"</f>
        <v>11.250.000,00</v>
      </c>
      <c r="N318" s="8" t="s">
        <v>177</v>
      </c>
      <c r="O318" s="7"/>
      <c r="P318" s="2" t="s">
        <v>5614</v>
      </c>
      <c r="Q318" s="7"/>
      <c r="R318" s="1"/>
      <c r="S318" s="1" t="str">
        <f>"NOS-52-C/19"</f>
        <v>NOS-52-C/19</v>
      </c>
      <c r="T318" s="1" t="s">
        <v>32</v>
      </c>
    </row>
    <row r="319" spans="1:20" ht="51" x14ac:dyDescent="0.25">
      <c r="A319" s="6">
        <v>316</v>
      </c>
      <c r="B319" s="1" t="str">
        <f>"2019-2409"</f>
        <v>2019-2409</v>
      </c>
      <c r="C319" s="1" t="s">
        <v>615</v>
      </c>
      <c r="D319" s="1" t="s">
        <v>611</v>
      </c>
      <c r="E319" s="1" t="str">
        <f>""</f>
        <v/>
      </c>
      <c r="F319" s="1" t="s">
        <v>28</v>
      </c>
      <c r="G319" s="1" t="str">
        <f>CONCATENATE("INA D.D.,"," AVENIJA VEĆESLAVA HOLJEVCA 10,"," 10000 ZAGREB,"," OIB: 27759560625")</f>
        <v>INA D.D., AVENIJA VEĆESLAVA HOLJEVCA 10, 10000 ZAGREB, OIB: 27759560625</v>
      </c>
      <c r="H319" s="7"/>
      <c r="I319" s="8" t="s">
        <v>616</v>
      </c>
      <c r="J319" s="8" t="s">
        <v>617</v>
      </c>
      <c r="K319" s="6" t="str">
        <f>"993.900,00"</f>
        <v>993.900,00</v>
      </c>
      <c r="L319" s="6" t="str">
        <f>"248.475,00"</f>
        <v>248.475,00</v>
      </c>
      <c r="M319" s="6" t="str">
        <f>"1.242.375,00"</f>
        <v>1.242.375,00</v>
      </c>
      <c r="N319" s="8" t="s">
        <v>124</v>
      </c>
      <c r="O319" s="7"/>
      <c r="P319" s="2" t="s">
        <v>5614</v>
      </c>
      <c r="Q319" s="7"/>
      <c r="R319" s="1"/>
      <c r="S319" s="1" t="str">
        <f>"9-21/NOS-52-C/19"</f>
        <v>9-21/NOS-52-C/19</v>
      </c>
      <c r="T319" s="1" t="s">
        <v>32</v>
      </c>
    </row>
    <row r="320" spans="1:20" ht="89.25" x14ac:dyDescent="0.25">
      <c r="A320" s="6">
        <v>317</v>
      </c>
      <c r="B320" s="1" t="str">
        <f t="shared" ref="B320:B335" si="29">"2019-2383"</f>
        <v>2019-2383</v>
      </c>
      <c r="C320" s="1" t="s">
        <v>618</v>
      </c>
      <c r="D320" s="1" t="s">
        <v>619</v>
      </c>
      <c r="E320" s="1" t="str">
        <f>"2019/S 0F2-0032477"</f>
        <v>2019/S 0F2-0032477</v>
      </c>
      <c r="F320" s="1" t="s">
        <v>22</v>
      </c>
      <c r="G320" s="1" t="str">
        <f>CONCATENATE("RO-TEHNOLOGIJA D.O.O.,"," NOVA CESTA 86,"," 51410 OPATIJA,"," OIB: 94757004774")</f>
        <v>RO-TEHNOLOGIJA D.O.O., NOVA CESTA 86, 51410 OPATIJA, OIB: 94757004774</v>
      </c>
      <c r="H320" s="7"/>
      <c r="I320" s="8" t="s">
        <v>620</v>
      </c>
      <c r="J320" s="8" t="s">
        <v>120</v>
      </c>
      <c r="K320" s="6" t="str">
        <f>"3.000.000,00"</f>
        <v>3.000.000,00</v>
      </c>
      <c r="L320" s="6" t="str">
        <f>"750.000,00"</f>
        <v>750.000,00</v>
      </c>
      <c r="M320" s="6" t="str">
        <f>"3.750.000,00"</f>
        <v>3.750.000,00</v>
      </c>
      <c r="N320" s="8" t="s">
        <v>126</v>
      </c>
      <c r="O320" s="7"/>
      <c r="P320" s="2" t="s">
        <v>5614</v>
      </c>
      <c r="Q320" s="7"/>
      <c r="R320" s="1"/>
      <c r="S320" s="1" t="str">
        <f>"NOS-33-A/19"</f>
        <v>NOS-33-A/19</v>
      </c>
      <c r="T320" s="1" t="s">
        <v>27</v>
      </c>
    </row>
    <row r="321" spans="1:20" ht="114.75" x14ac:dyDescent="0.25">
      <c r="A321" s="6">
        <v>318</v>
      </c>
      <c r="B321" s="1" t="str">
        <f t="shared" si="29"/>
        <v>2019-2383</v>
      </c>
      <c r="C321" s="1" t="s">
        <v>621</v>
      </c>
      <c r="D321" s="1" t="s">
        <v>622</v>
      </c>
      <c r="E321" s="1" t="str">
        <f>""</f>
        <v/>
      </c>
      <c r="F321" s="1" t="s">
        <v>28</v>
      </c>
      <c r="G321" s="1" t="str">
        <f>CONCATENATE("RO-TEHNOLOGIJA D.O.O.,"," NOVA CESTA 86,"," 51410 OPATIJA,"," OIB: 94757004774")</f>
        <v>RO-TEHNOLOGIJA D.O.O., NOVA CESTA 86, 51410 OPATIJA, OIB: 94757004774</v>
      </c>
      <c r="H321" s="7"/>
      <c r="I321" s="8" t="s">
        <v>168</v>
      </c>
      <c r="J321" s="8" t="s">
        <v>41</v>
      </c>
      <c r="K321" s="6" t="str">
        <f>"394.553,00"</f>
        <v>394.553,00</v>
      </c>
      <c r="L321" s="6" t="str">
        <f>"98.638,25"</f>
        <v>98.638,25</v>
      </c>
      <c r="M321" s="6" t="str">
        <f>"493.191,25"</f>
        <v>493.191,25</v>
      </c>
      <c r="N321" s="8" t="s">
        <v>31</v>
      </c>
      <c r="O321" s="7"/>
      <c r="P321" s="2" t="s">
        <v>5820</v>
      </c>
      <c r="Q321" s="7"/>
      <c r="R321" s="1"/>
      <c r="S321" s="1" t="str">
        <f>"10-21/NOS-33-A/19"</f>
        <v>10-21/NOS-33-A/19</v>
      </c>
      <c r="T321" s="1" t="s">
        <v>32</v>
      </c>
    </row>
    <row r="322" spans="1:20" ht="89.25" x14ac:dyDescent="0.25">
      <c r="A322" s="6">
        <v>319</v>
      </c>
      <c r="B322" s="1" t="str">
        <f t="shared" si="29"/>
        <v>2019-2383</v>
      </c>
      <c r="C322" s="1" t="s">
        <v>623</v>
      </c>
      <c r="D322" s="1" t="s">
        <v>619</v>
      </c>
      <c r="E322" s="1" t="str">
        <f>"2019/S 0F2-0032477"</f>
        <v>2019/S 0F2-0032477</v>
      </c>
      <c r="F322" s="1" t="s">
        <v>22</v>
      </c>
      <c r="G322" s="1" t="str">
        <f>CONCATENATE("RO-TEHNOLOGIJA D.O.O.,"," NOVA CESTA 86,"," 51410 OPATIJA,"," OIB: 94757004774")</f>
        <v>RO-TEHNOLOGIJA D.O.O., NOVA CESTA 86, 51410 OPATIJA, OIB: 94757004774</v>
      </c>
      <c r="H322" s="7"/>
      <c r="I322" s="8" t="s">
        <v>620</v>
      </c>
      <c r="J322" s="8" t="s">
        <v>120</v>
      </c>
      <c r="K322" s="6" t="str">
        <f>"1.500.000,00"</f>
        <v>1.500.000,00</v>
      </c>
      <c r="L322" s="6" t="str">
        <f>"375.000,00"</f>
        <v>375.000,00</v>
      </c>
      <c r="M322" s="6" t="str">
        <f>"1.875.000,00"</f>
        <v>1.875.000,00</v>
      </c>
      <c r="N322" s="8" t="s">
        <v>126</v>
      </c>
      <c r="O322" s="7"/>
      <c r="P322" s="2" t="s">
        <v>5614</v>
      </c>
      <c r="Q322" s="7"/>
      <c r="R322" s="1"/>
      <c r="S322" s="1" t="str">
        <f>"NOS-33-B/19"</f>
        <v>NOS-33-B/19</v>
      </c>
      <c r="T322" s="1" t="s">
        <v>27</v>
      </c>
    </row>
    <row r="323" spans="1:20" ht="114.75" x14ac:dyDescent="0.25">
      <c r="A323" s="6">
        <v>320</v>
      </c>
      <c r="B323" s="1" t="str">
        <f t="shared" si="29"/>
        <v>2019-2383</v>
      </c>
      <c r="C323" s="1" t="s">
        <v>624</v>
      </c>
      <c r="D323" s="1" t="s">
        <v>622</v>
      </c>
      <c r="E323" s="1" t="str">
        <f>""</f>
        <v/>
      </c>
      <c r="F323" s="1" t="s">
        <v>28</v>
      </c>
      <c r="G323" s="1" t="str">
        <f>CONCATENATE("RO-TEHNOLOGIJA D.O.O.,"," NOVA CESTA 86,"," 51410 OPATIJA,"," OIB: 94757004774")</f>
        <v>RO-TEHNOLOGIJA D.O.O., NOVA CESTA 86, 51410 OPATIJA, OIB: 94757004774</v>
      </c>
      <c r="H323" s="7"/>
      <c r="I323" s="8" t="s">
        <v>168</v>
      </c>
      <c r="J323" s="8" t="s">
        <v>41</v>
      </c>
      <c r="K323" s="6" t="str">
        <f>"299.998,00"</f>
        <v>299.998,00</v>
      </c>
      <c r="L323" s="6" t="str">
        <f>"74.999,50"</f>
        <v>74.999,50</v>
      </c>
      <c r="M323" s="6" t="str">
        <f>"374.997,50"</f>
        <v>374.997,50</v>
      </c>
      <c r="N323" s="8" t="s">
        <v>625</v>
      </c>
      <c r="O323" s="7"/>
      <c r="P323" s="2" t="s">
        <v>5821</v>
      </c>
      <c r="Q323" s="7"/>
      <c r="R323" s="1"/>
      <c r="S323" s="1" t="str">
        <f>"11-21/NOS-33-B/19"</f>
        <v>11-21/NOS-33-B/19</v>
      </c>
      <c r="T323" s="1" t="s">
        <v>32</v>
      </c>
    </row>
    <row r="324" spans="1:20" ht="89.25" x14ac:dyDescent="0.25">
      <c r="A324" s="6">
        <v>321</v>
      </c>
      <c r="B324" s="1" t="str">
        <f t="shared" si="29"/>
        <v>2019-2383</v>
      </c>
      <c r="C324" s="1" t="s">
        <v>626</v>
      </c>
      <c r="D324" s="1" t="s">
        <v>619</v>
      </c>
      <c r="E324" s="1" t="str">
        <f>"2019/S 0F2-0032477"</f>
        <v>2019/S 0F2-0032477</v>
      </c>
      <c r="F324" s="1" t="s">
        <v>22</v>
      </c>
      <c r="G324" s="1" t="str">
        <f>CONCATENATE("TEKNOXGROUP HRVATSKA D.O.O.,"," ZASTAVNICE 25D,"," 10251 HRVATSKI LESKOVAC,"," OIB: 31826907316")</f>
        <v>TEKNOXGROUP HRVATSKA D.O.O., ZASTAVNICE 25D, 10251 HRVATSKI LESKOVAC, OIB: 31826907316</v>
      </c>
      <c r="H324" s="7"/>
      <c r="I324" s="8" t="s">
        <v>620</v>
      </c>
      <c r="J324" s="8" t="s">
        <v>120</v>
      </c>
      <c r="K324" s="6" t="str">
        <f>"1.180.000,00"</f>
        <v>1.180.000,00</v>
      </c>
      <c r="L324" s="6" t="str">
        <f>"295.000,00"</f>
        <v>295.000,00</v>
      </c>
      <c r="M324" s="6" t="str">
        <f>"1.475.000,00"</f>
        <v>1.475.000,00</v>
      </c>
      <c r="N324" s="8" t="s">
        <v>126</v>
      </c>
      <c r="O324" s="7"/>
      <c r="P324" s="2" t="s">
        <v>5614</v>
      </c>
      <c r="Q324" s="7"/>
      <c r="R324" s="1"/>
      <c r="S324" s="1" t="str">
        <f>"NOS-33-C/19"</f>
        <v>NOS-33-C/19</v>
      </c>
      <c r="T324" s="1" t="s">
        <v>27</v>
      </c>
    </row>
    <row r="325" spans="1:20" ht="102" x14ac:dyDescent="0.25">
      <c r="A325" s="6">
        <v>322</v>
      </c>
      <c r="B325" s="1" t="str">
        <f t="shared" si="29"/>
        <v>2019-2383</v>
      </c>
      <c r="C325" s="1" t="s">
        <v>627</v>
      </c>
      <c r="D325" s="1" t="s">
        <v>622</v>
      </c>
      <c r="E325" s="1" t="str">
        <f>""</f>
        <v/>
      </c>
      <c r="F325" s="1" t="s">
        <v>28</v>
      </c>
      <c r="G325" s="1" t="str">
        <f>CONCATENATE("TEKNOXGROUP HRVATSKA D.O.O.,"," ZASTAVNICE 25D,"," 10251 HRVATSKI LESKOVAC,"," OIB: 31826907316")</f>
        <v>TEKNOXGROUP HRVATSKA D.O.O., ZASTAVNICE 25D, 10251 HRVATSKI LESKOVAC, OIB: 31826907316</v>
      </c>
      <c r="H325" s="7"/>
      <c r="I325" s="8" t="s">
        <v>616</v>
      </c>
      <c r="J325" s="8" t="s">
        <v>41</v>
      </c>
      <c r="K325" s="6" t="str">
        <f>"149.999,79"</f>
        <v>149.999,79</v>
      </c>
      <c r="L325" s="6" t="str">
        <f>"37.499,95"</f>
        <v>37.499,95</v>
      </c>
      <c r="M325" s="6" t="str">
        <f>"187.499,74"</f>
        <v>187.499,74</v>
      </c>
      <c r="N325" s="8" t="s">
        <v>566</v>
      </c>
      <c r="O325" s="7"/>
      <c r="P325" s="2" t="s">
        <v>5822</v>
      </c>
      <c r="Q325" s="7"/>
      <c r="R325" s="1"/>
      <c r="S325" s="1" t="str">
        <f>"19-21/NOS-33-C/19"</f>
        <v>19-21/NOS-33-C/19</v>
      </c>
      <c r="T325" s="1" t="s">
        <v>32</v>
      </c>
    </row>
    <row r="326" spans="1:20" ht="89.25" x14ac:dyDescent="0.25">
      <c r="A326" s="6">
        <v>323</v>
      </c>
      <c r="B326" s="1" t="str">
        <f t="shared" si="29"/>
        <v>2019-2383</v>
      </c>
      <c r="C326" s="1" t="s">
        <v>628</v>
      </c>
      <c r="D326" s="1" t="s">
        <v>619</v>
      </c>
      <c r="E326" s="1" t="str">
        <f>"2019/S 0F2-0032477"</f>
        <v>2019/S 0F2-0032477</v>
      </c>
      <c r="F326" s="1" t="s">
        <v>22</v>
      </c>
      <c r="G326" s="1" t="str">
        <f>CONCATENATE("GRA-PO D.O.O.,"," GOSPODARSKA 5B,"," 10255 ZAGREB - STUPNIK,"," OIB: 05364995085")</f>
        <v>GRA-PO D.O.O., GOSPODARSKA 5B, 10255 ZAGREB - STUPNIK, OIB: 05364995085</v>
      </c>
      <c r="H326" s="7"/>
      <c r="I326" s="8" t="s">
        <v>620</v>
      </c>
      <c r="J326" s="8" t="s">
        <v>120</v>
      </c>
      <c r="K326" s="6" t="str">
        <f>"600.000,00"</f>
        <v>600.000,00</v>
      </c>
      <c r="L326" s="6" t="str">
        <f>"150.000,00"</f>
        <v>150.000,00</v>
      </c>
      <c r="M326" s="6" t="str">
        <f>"750.000,00"</f>
        <v>750.000,00</v>
      </c>
      <c r="N326" s="8" t="s">
        <v>126</v>
      </c>
      <c r="O326" s="7"/>
      <c r="P326" s="2" t="s">
        <v>5614</v>
      </c>
      <c r="Q326" s="7"/>
      <c r="R326" s="1"/>
      <c r="S326" s="1" t="str">
        <f>"NOS-33-D/19"</f>
        <v>NOS-33-D/19</v>
      </c>
      <c r="T326" s="1" t="s">
        <v>27</v>
      </c>
    </row>
    <row r="327" spans="1:20" ht="114.75" x14ac:dyDescent="0.25">
      <c r="A327" s="6">
        <v>324</v>
      </c>
      <c r="B327" s="1" t="str">
        <f t="shared" si="29"/>
        <v>2019-2383</v>
      </c>
      <c r="C327" s="1" t="s">
        <v>629</v>
      </c>
      <c r="D327" s="1" t="s">
        <v>622</v>
      </c>
      <c r="E327" s="1" t="str">
        <f>""</f>
        <v/>
      </c>
      <c r="F327" s="1" t="s">
        <v>28</v>
      </c>
      <c r="G327" s="1" t="str">
        <f>CONCATENATE("GRA-PO D.O.O.,"," GOSPODARSKA 5B,"," 10255 ZAGREB - STUPNIK,"," OIB: 05364995085")</f>
        <v>GRA-PO D.O.O., GOSPODARSKA 5B, 10255 ZAGREB - STUPNIK, OIB: 05364995085</v>
      </c>
      <c r="H327" s="7"/>
      <c r="I327" s="8" t="s">
        <v>206</v>
      </c>
      <c r="J327" s="8" t="s">
        <v>41</v>
      </c>
      <c r="K327" s="6" t="str">
        <f>"49.959,00"</f>
        <v>49.959,00</v>
      </c>
      <c r="L327" s="6" t="str">
        <f>"12.489,75"</f>
        <v>12.489,75</v>
      </c>
      <c r="M327" s="6" t="str">
        <f>"62.448,75"</f>
        <v>62.448,75</v>
      </c>
      <c r="N327" s="8" t="s">
        <v>124</v>
      </c>
      <c r="O327" s="7"/>
      <c r="P327" s="2" t="s">
        <v>5614</v>
      </c>
      <c r="Q327" s="7"/>
      <c r="R327" s="1"/>
      <c r="S327" s="1" t="str">
        <f>"4-21/NOS-33-D/19"</f>
        <v>4-21/NOS-33-D/19</v>
      </c>
      <c r="T327" s="1" t="s">
        <v>32</v>
      </c>
    </row>
    <row r="328" spans="1:20" ht="89.25" x14ac:dyDescent="0.25">
      <c r="A328" s="6">
        <v>325</v>
      </c>
      <c r="B328" s="1" t="str">
        <f t="shared" si="29"/>
        <v>2019-2383</v>
      </c>
      <c r="C328" s="1" t="s">
        <v>630</v>
      </c>
      <c r="D328" s="1" t="s">
        <v>619</v>
      </c>
      <c r="E328" s="1" t="str">
        <f>"2019/S 0F2-0032477"</f>
        <v>2019/S 0F2-0032477</v>
      </c>
      <c r="F328" s="1" t="s">
        <v>22</v>
      </c>
      <c r="G328" s="1" t="str">
        <f>CONCATENATE("GRA-PO D.O.O.,"," GOSPODARSKA 5B,"," 10255 ZAGREB - STUPNIK,"," OIB: 05364995085")</f>
        <v>GRA-PO D.O.O., GOSPODARSKA 5B, 10255 ZAGREB - STUPNIK, OIB: 05364995085</v>
      </c>
      <c r="H328" s="7"/>
      <c r="I328" s="8" t="s">
        <v>620</v>
      </c>
      <c r="J328" s="8" t="s">
        <v>120</v>
      </c>
      <c r="K328" s="6" t="str">
        <f>"500.000,00"</f>
        <v>500.000,00</v>
      </c>
      <c r="L328" s="6" t="str">
        <f>"125.000,00"</f>
        <v>125.000,00</v>
      </c>
      <c r="M328" s="6" t="str">
        <f>"625.000,00"</f>
        <v>625.000,00</v>
      </c>
      <c r="N328" s="8" t="s">
        <v>126</v>
      </c>
      <c r="O328" s="7"/>
      <c r="P328" s="2" t="s">
        <v>5614</v>
      </c>
      <c r="Q328" s="7"/>
      <c r="R328" s="1"/>
      <c r="S328" s="1" t="str">
        <f>"NOS-33-E/19"</f>
        <v>NOS-33-E/19</v>
      </c>
      <c r="T328" s="1" t="s">
        <v>27</v>
      </c>
    </row>
    <row r="329" spans="1:20" ht="76.5" x14ac:dyDescent="0.25">
      <c r="A329" s="6">
        <v>326</v>
      </c>
      <c r="B329" s="1" t="str">
        <f t="shared" si="29"/>
        <v>2019-2383</v>
      </c>
      <c r="C329" s="1" t="s">
        <v>631</v>
      </c>
      <c r="D329" s="1" t="s">
        <v>622</v>
      </c>
      <c r="E329" s="1" t="str">
        <f>""</f>
        <v/>
      </c>
      <c r="F329" s="1" t="s">
        <v>28</v>
      </c>
      <c r="G329" s="1" t="str">
        <f>CONCATENATE("GRA-PO D.O.O.,"," GOSPODARSKA 5B,"," 10255 ZAGREB - STUPNIK,"," OIB: 05364995085")</f>
        <v>GRA-PO D.O.O., GOSPODARSKA 5B, 10255 ZAGREB - STUPNIK, OIB: 05364995085</v>
      </c>
      <c r="H329" s="7"/>
      <c r="I329" s="8" t="s">
        <v>213</v>
      </c>
      <c r="J329" s="8" t="s">
        <v>41</v>
      </c>
      <c r="K329" s="6" t="str">
        <f>"100.000,00"</f>
        <v>100.000,00</v>
      </c>
      <c r="L329" s="6" t="str">
        <f>"25.000,00"</f>
        <v>25.000,00</v>
      </c>
      <c r="M329" s="6" t="str">
        <f>"125.000,00"</f>
        <v>125.000,00</v>
      </c>
      <c r="N329" s="8" t="s">
        <v>58</v>
      </c>
      <c r="O329" s="7"/>
      <c r="P329" s="2" t="s">
        <v>5823</v>
      </c>
      <c r="Q329" s="7"/>
      <c r="R329" s="1"/>
      <c r="S329" s="1" t="str">
        <f>"11-21/NOS-33-E/19"</f>
        <v>11-21/NOS-33-E/19</v>
      </c>
      <c r="T329" s="1" t="s">
        <v>32</v>
      </c>
    </row>
    <row r="330" spans="1:20" ht="76.5" x14ac:dyDescent="0.25">
      <c r="A330" s="6">
        <v>327</v>
      </c>
      <c r="B330" s="1" t="str">
        <f t="shared" si="29"/>
        <v>2019-2383</v>
      </c>
      <c r="C330" s="1" t="s">
        <v>632</v>
      </c>
      <c r="D330" s="1" t="s">
        <v>619</v>
      </c>
      <c r="E330" s="1" t="str">
        <f>"2019/S 0F2-0032477"</f>
        <v>2019/S 0F2-0032477</v>
      </c>
      <c r="F330" s="1" t="s">
        <v>22</v>
      </c>
      <c r="G330" s="1" t="str">
        <f>CONCATENATE("AUTO-MAG D.O.O.,"," GORNJOSTUPNIČKA 1/d,"," 10255 GORNJI STUPNIK,"," OIB: 99940897955")</f>
        <v>AUTO-MAG D.O.O., GORNJOSTUPNIČKA 1/d, 10255 GORNJI STUPNIK, OIB: 99940897955</v>
      </c>
      <c r="H330" s="7"/>
      <c r="I330" s="8" t="s">
        <v>620</v>
      </c>
      <c r="J330" s="8" t="s">
        <v>120</v>
      </c>
      <c r="K330" s="6" t="str">
        <f>"600.000,00"</f>
        <v>600.000,00</v>
      </c>
      <c r="L330" s="6" t="str">
        <f>"150.000,00"</f>
        <v>150.000,00</v>
      </c>
      <c r="M330" s="6" t="str">
        <f>"750.000,00"</f>
        <v>750.000,00</v>
      </c>
      <c r="N330" s="8" t="s">
        <v>126</v>
      </c>
      <c r="O330" s="7"/>
      <c r="P330" s="2" t="s">
        <v>5614</v>
      </c>
      <c r="Q330" s="7"/>
      <c r="R330" s="1"/>
      <c r="S330" s="1" t="str">
        <f>"NOS-33-F/19"</f>
        <v>NOS-33-F/19</v>
      </c>
      <c r="T330" s="1" t="s">
        <v>27</v>
      </c>
    </row>
    <row r="331" spans="1:20" ht="89.25" x14ac:dyDescent="0.25">
      <c r="A331" s="6">
        <v>328</v>
      </c>
      <c r="B331" s="1" t="str">
        <f t="shared" si="29"/>
        <v>2019-2383</v>
      </c>
      <c r="C331" s="1" t="s">
        <v>633</v>
      </c>
      <c r="D331" s="1" t="s">
        <v>622</v>
      </c>
      <c r="E331" s="1" t="str">
        <f>""</f>
        <v/>
      </c>
      <c r="F331" s="1" t="s">
        <v>28</v>
      </c>
      <c r="G331" s="1" t="str">
        <f>CONCATENATE("AUTO-MAG D.O.O.,"," GORNJOSTUPNIČKA 1/d,"," 10255 GORNJI STUPNIK,"," OIB: 99940897955")</f>
        <v>AUTO-MAG D.O.O., GORNJOSTUPNIČKA 1/d, 10255 GORNJI STUPNIK, OIB: 99940897955</v>
      </c>
      <c r="H331" s="7"/>
      <c r="I331" s="8" t="s">
        <v>634</v>
      </c>
      <c r="J331" s="8" t="s">
        <v>41</v>
      </c>
      <c r="K331" s="6" t="str">
        <f>"19.895,07"</f>
        <v>19.895,07</v>
      </c>
      <c r="L331" s="6" t="str">
        <f>"4.973,77"</f>
        <v>4.973,77</v>
      </c>
      <c r="M331" s="6" t="str">
        <f>"24.868,84"</f>
        <v>24.868,84</v>
      </c>
      <c r="N331" s="8" t="s">
        <v>635</v>
      </c>
      <c r="O331" s="7"/>
      <c r="P331" s="2" t="s">
        <v>5614</v>
      </c>
      <c r="Q331" s="7"/>
      <c r="R331" s="1"/>
      <c r="S331" s="1" t="str">
        <f>"2-21/NOS-33-F/19"</f>
        <v>2-21/NOS-33-F/19</v>
      </c>
      <c r="T331" s="1" t="s">
        <v>32</v>
      </c>
    </row>
    <row r="332" spans="1:20" ht="89.25" x14ac:dyDescent="0.25">
      <c r="A332" s="6">
        <v>329</v>
      </c>
      <c r="B332" s="1" t="str">
        <f t="shared" si="29"/>
        <v>2019-2383</v>
      </c>
      <c r="C332" s="1" t="s">
        <v>636</v>
      </c>
      <c r="D332" s="1" t="s">
        <v>619</v>
      </c>
      <c r="E332" s="1" t="str">
        <f>"2019/S 0F2-0032477"</f>
        <v>2019/S 0F2-0032477</v>
      </c>
      <c r="F332" s="1" t="s">
        <v>22</v>
      </c>
      <c r="G332" s="1" t="str">
        <f>CONCATENATE("GRA-PO D.O.O.,"," GOSPODARSKA 5B,"," 10255 ZAGREB - STUPNIK,"," OIB: 05364995085")</f>
        <v>GRA-PO D.O.O., GOSPODARSKA 5B, 10255 ZAGREB - STUPNIK, OIB: 05364995085</v>
      </c>
      <c r="H332" s="7"/>
      <c r="I332" s="8" t="s">
        <v>620</v>
      </c>
      <c r="J332" s="8" t="s">
        <v>120</v>
      </c>
      <c r="K332" s="6" t="str">
        <f>"450.000,00"</f>
        <v>450.000,00</v>
      </c>
      <c r="L332" s="6" t="str">
        <f>"112.500,00"</f>
        <v>112.500,00</v>
      </c>
      <c r="M332" s="6" t="str">
        <f>"562.500,00"</f>
        <v>562.500,00</v>
      </c>
      <c r="N332" s="8" t="s">
        <v>126</v>
      </c>
      <c r="O332" s="7"/>
      <c r="P332" s="2" t="s">
        <v>5614</v>
      </c>
      <c r="Q332" s="7"/>
      <c r="R332" s="1"/>
      <c r="S332" s="1" t="str">
        <f>"NOS-33-G/19"</f>
        <v>NOS-33-G/19</v>
      </c>
      <c r="T332" s="1" t="s">
        <v>27</v>
      </c>
    </row>
    <row r="333" spans="1:20" ht="102" x14ac:dyDescent="0.25">
      <c r="A333" s="6">
        <v>330</v>
      </c>
      <c r="B333" s="1" t="str">
        <f t="shared" si="29"/>
        <v>2019-2383</v>
      </c>
      <c r="C333" s="1" t="s">
        <v>637</v>
      </c>
      <c r="D333" s="1" t="s">
        <v>622</v>
      </c>
      <c r="E333" s="1" t="str">
        <f>""</f>
        <v/>
      </c>
      <c r="F333" s="1" t="s">
        <v>28</v>
      </c>
      <c r="G333" s="1" t="str">
        <f>CONCATENATE("GRA-PO D.O.O.,"," GOSPODARSKA 5B,"," 10255 ZAGREB - STUPNIK,"," OIB: 05364995085")</f>
        <v>GRA-PO D.O.O., GOSPODARSKA 5B, 10255 ZAGREB - STUPNIK, OIB: 05364995085</v>
      </c>
      <c r="H333" s="7"/>
      <c r="I333" s="8" t="s">
        <v>206</v>
      </c>
      <c r="J333" s="8" t="s">
        <v>41</v>
      </c>
      <c r="K333" s="6" t="str">
        <f>"30.000,00"</f>
        <v>30.000,00</v>
      </c>
      <c r="L333" s="6" t="str">
        <f>"7.500,00"</f>
        <v>7.500,00</v>
      </c>
      <c r="M333" s="6" t="str">
        <f>"37.500,00"</f>
        <v>37.500,00</v>
      </c>
      <c r="N333" s="8" t="s">
        <v>124</v>
      </c>
      <c r="O333" s="7"/>
      <c r="P333" s="2" t="s">
        <v>5614</v>
      </c>
      <c r="Q333" s="7"/>
      <c r="R333" s="1"/>
      <c r="S333" s="1" t="str">
        <f>"4-21/NOS-33-G/19"</f>
        <v>4-21/NOS-33-G/19</v>
      </c>
      <c r="T333" s="1" t="s">
        <v>32</v>
      </c>
    </row>
    <row r="334" spans="1:20" ht="89.25" x14ac:dyDescent="0.25">
      <c r="A334" s="6">
        <v>331</v>
      </c>
      <c r="B334" s="1" t="str">
        <f t="shared" si="29"/>
        <v>2019-2383</v>
      </c>
      <c r="C334" s="1" t="s">
        <v>638</v>
      </c>
      <c r="D334" s="1" t="s">
        <v>619</v>
      </c>
      <c r="E334" s="1" t="str">
        <f>"2019/S 0F2-0032477"</f>
        <v>2019/S 0F2-0032477</v>
      </c>
      <c r="F334" s="1" t="s">
        <v>22</v>
      </c>
      <c r="G334" s="1" t="str">
        <f>CONCATENATE("O-K-TEH d.o.o.,"," VUČAK 16A,"," 10000 ZAGREB,"," OIB: 37322381288")</f>
        <v>O-K-TEH d.o.o., VUČAK 16A, 10000 ZAGREB, OIB: 37322381288</v>
      </c>
      <c r="H334" s="7"/>
      <c r="I334" s="8" t="s">
        <v>620</v>
      </c>
      <c r="J334" s="8" t="s">
        <v>120</v>
      </c>
      <c r="K334" s="6" t="str">
        <f>"700.000,00"</f>
        <v>700.000,00</v>
      </c>
      <c r="L334" s="6" t="str">
        <f>"175.000,00"</f>
        <v>175.000,00</v>
      </c>
      <c r="M334" s="6" t="str">
        <f>"875.000,00"</f>
        <v>875.000,00</v>
      </c>
      <c r="N334" s="8" t="s">
        <v>126</v>
      </c>
      <c r="O334" s="7"/>
      <c r="P334" s="2" t="s">
        <v>5614</v>
      </c>
      <c r="Q334" s="7"/>
      <c r="R334" s="1"/>
      <c r="S334" s="1" t="str">
        <f>"NOS-33-I/19"</f>
        <v>NOS-33-I/19</v>
      </c>
      <c r="T334" s="1" t="s">
        <v>27</v>
      </c>
    </row>
    <row r="335" spans="1:20" ht="114.75" x14ac:dyDescent="0.25">
      <c r="A335" s="6">
        <v>332</v>
      </c>
      <c r="B335" s="1" t="str">
        <f t="shared" si="29"/>
        <v>2019-2383</v>
      </c>
      <c r="C335" s="1" t="s">
        <v>639</v>
      </c>
      <c r="D335" s="1" t="s">
        <v>622</v>
      </c>
      <c r="E335" s="1" t="str">
        <f>""</f>
        <v/>
      </c>
      <c r="F335" s="1" t="s">
        <v>28</v>
      </c>
      <c r="G335" s="1" t="str">
        <f>CONCATENATE("O-K-TEH d.o.o.,"," VUČAK 16A,"," 10000 ZAGREB,"," OIB: 37322381288")</f>
        <v>O-K-TEH d.o.o., VUČAK 16A, 10000 ZAGREB, OIB: 37322381288</v>
      </c>
      <c r="H335" s="7"/>
      <c r="I335" s="8" t="s">
        <v>640</v>
      </c>
      <c r="J335" s="8" t="s">
        <v>41</v>
      </c>
      <c r="K335" s="6" t="str">
        <f>"48.563,47"</f>
        <v>48.563,47</v>
      </c>
      <c r="L335" s="6" t="str">
        <f>"12.140,87"</f>
        <v>12.140,87</v>
      </c>
      <c r="M335" s="6" t="str">
        <f>"60.704,34"</f>
        <v>60.704,34</v>
      </c>
      <c r="N335" s="8" t="s">
        <v>430</v>
      </c>
      <c r="O335" s="7"/>
      <c r="P335" s="2" t="s">
        <v>5614</v>
      </c>
      <c r="Q335" s="7"/>
      <c r="R335" s="1"/>
      <c r="S335" s="1" t="str">
        <f>"9-21/NOS-33-I/19"</f>
        <v>9-21/NOS-33-I/19</v>
      </c>
      <c r="T335" s="1" t="s">
        <v>32</v>
      </c>
    </row>
    <row r="336" spans="1:20" ht="178.5" x14ac:dyDescent="0.25">
      <c r="A336" s="6">
        <v>333</v>
      </c>
      <c r="B336" s="1" t="str">
        <f>"2019-2441"</f>
        <v>2019-2441</v>
      </c>
      <c r="C336" s="1" t="s">
        <v>641</v>
      </c>
      <c r="D336" s="1" t="s">
        <v>642</v>
      </c>
      <c r="E336" s="1" t="str">
        <f>"2019/S 0F2-0033854"</f>
        <v>2019/S 0F2-0033854</v>
      </c>
      <c r="F336" s="1" t="s">
        <v>22</v>
      </c>
      <c r="G336" s="1" t="str">
        <f>CONCATENATE("A1 HRVATSKA D.O.O.,"," VRTNI PUT 1,"," 10000 ZAGREB,"," OIB: 29524210204")</f>
        <v>A1 HRVATSKA D.O.O., VRTNI PUT 1, 10000 ZAGREB, OIB: 29524210204</v>
      </c>
      <c r="H336" s="7"/>
      <c r="I336" s="8" t="s">
        <v>603</v>
      </c>
      <c r="J336" s="8" t="s">
        <v>176</v>
      </c>
      <c r="K336" s="6" t="str">
        <f>"6.098.000,00"</f>
        <v>6.098.000,00</v>
      </c>
      <c r="L336" s="6" t="str">
        <f>"1.524.500,00"</f>
        <v>1.524.500,00</v>
      </c>
      <c r="M336" s="6" t="str">
        <f>"7.622.500,00"</f>
        <v>7.622.500,00</v>
      </c>
      <c r="N336" s="8" t="s">
        <v>177</v>
      </c>
      <c r="O336" s="7"/>
      <c r="P336" s="2" t="s">
        <v>5824</v>
      </c>
      <c r="Q336" s="7"/>
      <c r="R336" s="1"/>
      <c r="S336" s="1" t="str">
        <f>"NOS-57-B-ZGH/19"</f>
        <v>NOS-57-B-ZGH/19</v>
      </c>
      <c r="T336" s="1" t="s">
        <v>531</v>
      </c>
    </row>
    <row r="337" spans="1:20" ht="51" x14ac:dyDescent="0.25">
      <c r="A337" s="6">
        <v>334</v>
      </c>
      <c r="B337" s="1" t="str">
        <f>"2019-2441"</f>
        <v>2019-2441</v>
      </c>
      <c r="C337" s="1" t="s">
        <v>641</v>
      </c>
      <c r="D337" s="1" t="s">
        <v>642</v>
      </c>
      <c r="E337" s="1" t="str">
        <f>""</f>
        <v/>
      </c>
      <c r="F337" s="1" t="s">
        <v>28</v>
      </c>
      <c r="G337" s="1" t="str">
        <f>CONCATENATE("A1 HRVATSKA D.O.O.,"," VRTNI PUT 1,"," 10000 ZAGREB,"," OIB: 29524210204")</f>
        <v>A1 HRVATSKA D.O.O., VRTNI PUT 1, 10000 ZAGREB, OIB: 29524210204</v>
      </c>
      <c r="H337" s="7"/>
      <c r="I337" s="8" t="s">
        <v>640</v>
      </c>
      <c r="J337" s="8" t="s">
        <v>57</v>
      </c>
      <c r="K337" s="6" t="str">
        <f>"992.698,15"</f>
        <v>992.698,15</v>
      </c>
      <c r="L337" s="6" t="str">
        <f>"248.174,54"</f>
        <v>248.174,54</v>
      </c>
      <c r="M337" s="6" t="str">
        <f>"1.240.872,69"</f>
        <v>1.240.872,69</v>
      </c>
      <c r="N337" s="8" t="s">
        <v>374</v>
      </c>
      <c r="O337" s="7"/>
      <c r="P337" s="2" t="s">
        <v>5825</v>
      </c>
      <c r="Q337" s="7"/>
      <c r="R337" s="1"/>
      <c r="S337" s="1" t="str">
        <f>"5-21/NOS-57-B-ZGH/19"</f>
        <v>5-21/NOS-57-B-ZGH/19</v>
      </c>
      <c r="T337" s="1" t="s">
        <v>32</v>
      </c>
    </row>
    <row r="338" spans="1:20" ht="76.5" x14ac:dyDescent="0.25">
      <c r="A338" s="6">
        <v>335</v>
      </c>
      <c r="B338" s="1" t="str">
        <f t="shared" ref="B338:B346" si="30">"2019-2383"</f>
        <v>2019-2383</v>
      </c>
      <c r="C338" s="1" t="s">
        <v>643</v>
      </c>
      <c r="D338" s="1" t="s">
        <v>619</v>
      </c>
      <c r="E338" s="1" t="str">
        <f>"2019/S 0F2-0032477"</f>
        <v>2019/S 0F2-0032477</v>
      </c>
      <c r="F338" s="1" t="s">
        <v>22</v>
      </c>
      <c r="G338" s="1" t="str">
        <f>CONCATENATE("TERRA JASKA D.O.O.,"," ULICA KRALJA TOMISLAVA 20,"," 10434 STRMEC SAMOBORSKI,"," OIB: 8118447057")</f>
        <v>TERRA JASKA D.O.O., ULICA KRALJA TOMISLAVA 20, 10434 STRMEC SAMOBORSKI, OIB: 8118447057</v>
      </c>
      <c r="H338" s="7"/>
      <c r="I338" s="8" t="s">
        <v>620</v>
      </c>
      <c r="J338" s="8" t="s">
        <v>120</v>
      </c>
      <c r="K338" s="6" t="str">
        <f>"1.720.000,00"</f>
        <v>1.720.000,00</v>
      </c>
      <c r="L338" s="6" t="str">
        <f>"430.000,00"</f>
        <v>430.000,00</v>
      </c>
      <c r="M338" s="6" t="str">
        <f>"2.150.000,00"</f>
        <v>2.150.000,00</v>
      </c>
      <c r="N338" s="8" t="s">
        <v>126</v>
      </c>
      <c r="O338" s="7"/>
      <c r="P338" s="2" t="s">
        <v>5826</v>
      </c>
      <c r="Q338" s="7"/>
      <c r="R338" s="1"/>
      <c r="S338" s="1" t="str">
        <f>"NOS-33-J/19"</f>
        <v>NOS-33-J/19</v>
      </c>
      <c r="T338" s="1" t="s">
        <v>27</v>
      </c>
    </row>
    <row r="339" spans="1:20" ht="102" x14ac:dyDescent="0.25">
      <c r="A339" s="6">
        <v>336</v>
      </c>
      <c r="B339" s="1" t="str">
        <f t="shared" si="30"/>
        <v>2019-2383</v>
      </c>
      <c r="C339" s="1" t="s">
        <v>644</v>
      </c>
      <c r="D339" s="1" t="s">
        <v>622</v>
      </c>
      <c r="E339" s="1" t="str">
        <f>""</f>
        <v/>
      </c>
      <c r="F339" s="1" t="s">
        <v>28</v>
      </c>
      <c r="G339" s="1" t="str">
        <f>CONCATENATE("TERRA JASKA D.O.O.,"," ULICA KRALJA TOMISLAVA 20,"," 10434 STRMEC SAMOBORSKI,"," OIB: 8118447057")</f>
        <v>TERRA JASKA D.O.O., ULICA KRALJA TOMISLAVA 20, 10434 STRMEC SAMOBORSKI, OIB: 8118447057</v>
      </c>
      <c r="H339" s="7"/>
      <c r="I339" s="8" t="s">
        <v>534</v>
      </c>
      <c r="J339" s="8" t="s">
        <v>57</v>
      </c>
      <c r="K339" s="6" t="str">
        <f>"97.987,28"</f>
        <v>97.987,28</v>
      </c>
      <c r="L339" s="6" t="str">
        <f>"24.496,82"</f>
        <v>24.496,82</v>
      </c>
      <c r="M339" s="6" t="str">
        <f>"122.484,10"</f>
        <v>122.484,10</v>
      </c>
      <c r="N339" s="8" t="s">
        <v>296</v>
      </c>
      <c r="O339" s="7"/>
      <c r="P339" s="2" t="s">
        <v>5827</v>
      </c>
      <c r="Q339" s="7"/>
      <c r="R339" s="1"/>
      <c r="S339" s="1" t="str">
        <f>"30-21/NOS-33-J/19"</f>
        <v>30-21/NOS-33-J/19</v>
      </c>
      <c r="T339" s="1" t="s">
        <v>32</v>
      </c>
    </row>
    <row r="340" spans="1:20" ht="102" x14ac:dyDescent="0.25">
      <c r="A340" s="6">
        <v>337</v>
      </c>
      <c r="B340" s="1" t="str">
        <f t="shared" si="30"/>
        <v>2019-2383</v>
      </c>
      <c r="C340" s="1" t="s">
        <v>645</v>
      </c>
      <c r="D340" s="1" t="s">
        <v>622</v>
      </c>
      <c r="E340" s="1" t="str">
        <f>""</f>
        <v/>
      </c>
      <c r="F340" s="1" t="s">
        <v>28</v>
      </c>
      <c r="G340" s="1" t="str">
        <f>CONCATENATE("TERRA JASKA D.O.O.,"," ULICA KRALJA TOMISLAVA 20,"," 10434 STRMEC SAMOBORSKI,"," OIB: 8118447057")</f>
        <v>TERRA JASKA D.O.O., ULICA KRALJA TOMISLAVA 20, 10434 STRMEC SAMOBORSKI, OIB: 8118447057</v>
      </c>
      <c r="H340" s="7"/>
      <c r="I340" s="8" t="s">
        <v>616</v>
      </c>
      <c r="J340" s="8" t="s">
        <v>41</v>
      </c>
      <c r="K340" s="6" t="str">
        <f>"159.944,47"</f>
        <v>159.944,47</v>
      </c>
      <c r="L340" s="6" t="str">
        <f>"39.986,12"</f>
        <v>39.986,12</v>
      </c>
      <c r="M340" s="6" t="str">
        <f>"199.930,59"</f>
        <v>199.930,59</v>
      </c>
      <c r="N340" s="8" t="s">
        <v>430</v>
      </c>
      <c r="O340" s="7"/>
      <c r="P340" s="2" t="s">
        <v>5828</v>
      </c>
      <c r="Q340" s="7"/>
      <c r="R340" s="1"/>
      <c r="S340" s="1" t="str">
        <f>"32-21/NOS-33-J/19"</f>
        <v>32-21/NOS-33-J/19</v>
      </c>
      <c r="T340" s="1" t="s">
        <v>32</v>
      </c>
    </row>
    <row r="341" spans="1:20" ht="89.25" x14ac:dyDescent="0.25">
      <c r="A341" s="6">
        <v>338</v>
      </c>
      <c r="B341" s="1" t="str">
        <f t="shared" si="30"/>
        <v>2019-2383</v>
      </c>
      <c r="C341" s="1" t="s">
        <v>646</v>
      </c>
      <c r="D341" s="1" t="s">
        <v>619</v>
      </c>
      <c r="E341" s="1" t="str">
        <f>"2019/S 0F2-0032477"</f>
        <v>2019/S 0F2-0032477</v>
      </c>
      <c r="F341" s="1" t="s">
        <v>22</v>
      </c>
      <c r="G341" s="1" t="str">
        <f>CONCATENATE("RO-TEHNOLOGIJA D.O.O.,"," NOVA CESTA 86,"," 51410 OPATIJA,"," OIB: 94757004774")</f>
        <v>RO-TEHNOLOGIJA D.O.O., NOVA CESTA 86, 51410 OPATIJA, OIB: 94757004774</v>
      </c>
      <c r="H341" s="7"/>
      <c r="I341" s="8" t="s">
        <v>620</v>
      </c>
      <c r="J341" s="8" t="s">
        <v>120</v>
      </c>
      <c r="K341" s="6" t="str">
        <f>"800.000,00"</f>
        <v>800.000,00</v>
      </c>
      <c r="L341" s="6" t="str">
        <f>"200.000,00"</f>
        <v>200.000,00</v>
      </c>
      <c r="M341" s="6" t="str">
        <f>"1.000.000,00"</f>
        <v>1.000.000,00</v>
      </c>
      <c r="N341" s="8" t="s">
        <v>126</v>
      </c>
      <c r="O341" s="7"/>
      <c r="P341" s="2" t="s">
        <v>5614</v>
      </c>
      <c r="Q341" s="7"/>
      <c r="R341" s="1"/>
      <c r="S341" s="1" t="str">
        <f>"NOS-33-K/19"</f>
        <v>NOS-33-K/19</v>
      </c>
      <c r="T341" s="1" t="s">
        <v>27</v>
      </c>
    </row>
    <row r="342" spans="1:20" ht="114.75" x14ac:dyDescent="0.25">
      <c r="A342" s="6">
        <v>339</v>
      </c>
      <c r="B342" s="1" t="str">
        <f t="shared" si="30"/>
        <v>2019-2383</v>
      </c>
      <c r="C342" s="1" t="s">
        <v>647</v>
      </c>
      <c r="D342" s="1" t="s">
        <v>622</v>
      </c>
      <c r="E342" s="1" t="str">
        <f>""</f>
        <v/>
      </c>
      <c r="F342" s="1" t="s">
        <v>28</v>
      </c>
      <c r="G342" s="1" t="str">
        <f>CONCATENATE("RO-TEHNOLOGIJA D.O.O.,"," NOVA CESTA 86,"," 51410 OPATIJA,"," OIB: 94757004774")</f>
        <v>RO-TEHNOLOGIJA D.O.O., NOVA CESTA 86, 51410 OPATIJA, OIB: 94757004774</v>
      </c>
      <c r="H342" s="7"/>
      <c r="I342" s="8" t="s">
        <v>117</v>
      </c>
      <c r="J342" s="8" t="s">
        <v>41</v>
      </c>
      <c r="K342" s="6" t="str">
        <f>"159.831,00"</f>
        <v>159.831,00</v>
      </c>
      <c r="L342" s="6" t="str">
        <f>"39.957,75"</f>
        <v>39.957,75</v>
      </c>
      <c r="M342" s="6" t="str">
        <f>"199.788,75"</f>
        <v>199.788,75</v>
      </c>
      <c r="N342" s="8" t="s">
        <v>54</v>
      </c>
      <c r="O342" s="7"/>
      <c r="P342" s="2" t="s">
        <v>5829</v>
      </c>
      <c r="Q342" s="7"/>
      <c r="R342" s="1"/>
      <c r="S342" s="1" t="str">
        <f>"12-21/NOS-33-K/19"</f>
        <v>12-21/NOS-33-K/19</v>
      </c>
      <c r="T342" s="1" t="s">
        <v>32</v>
      </c>
    </row>
    <row r="343" spans="1:20" ht="89.25" x14ac:dyDescent="0.25">
      <c r="A343" s="6">
        <v>340</v>
      </c>
      <c r="B343" s="1" t="str">
        <f t="shared" si="30"/>
        <v>2019-2383</v>
      </c>
      <c r="C343" s="1" t="s">
        <v>648</v>
      </c>
      <c r="D343" s="1" t="s">
        <v>619</v>
      </c>
      <c r="E343" s="1" t="str">
        <f>"2019/S 0F2-0032477"</f>
        <v>2019/S 0F2-0032477</v>
      </c>
      <c r="F343" s="1" t="s">
        <v>22</v>
      </c>
      <c r="G343" s="1" t="str">
        <f>CONCATENATE("AUTO-MAG D.O.O.,"," GORNJOSTUPNIČKA 1/d,"," 10255 GORNJI STUPNIK,"," OIB: 99940897955")</f>
        <v>AUTO-MAG D.O.O., GORNJOSTUPNIČKA 1/d, 10255 GORNJI STUPNIK, OIB: 99940897955</v>
      </c>
      <c r="H343" s="7"/>
      <c r="I343" s="8" t="s">
        <v>620</v>
      </c>
      <c r="J343" s="8" t="s">
        <v>120</v>
      </c>
      <c r="K343" s="6" t="str">
        <f>"600.000,00"</f>
        <v>600.000,00</v>
      </c>
      <c r="L343" s="6" t="str">
        <f>"150.000,00"</f>
        <v>150.000,00</v>
      </c>
      <c r="M343" s="6" t="str">
        <f>"750.000,00"</f>
        <v>750.000,00</v>
      </c>
      <c r="N343" s="8" t="s">
        <v>126</v>
      </c>
      <c r="O343" s="7"/>
      <c r="P343" s="2" t="s">
        <v>5614</v>
      </c>
      <c r="Q343" s="7"/>
      <c r="R343" s="1"/>
      <c r="S343" s="1" t="str">
        <f>"NOS-33-L/19"</f>
        <v>NOS-33-L/19</v>
      </c>
      <c r="T343" s="1" t="s">
        <v>27</v>
      </c>
    </row>
    <row r="344" spans="1:20" ht="102" x14ac:dyDescent="0.25">
      <c r="A344" s="6">
        <v>341</v>
      </c>
      <c r="B344" s="1" t="str">
        <f t="shared" si="30"/>
        <v>2019-2383</v>
      </c>
      <c r="C344" s="1" t="s">
        <v>649</v>
      </c>
      <c r="D344" s="1" t="s">
        <v>622</v>
      </c>
      <c r="E344" s="1" t="str">
        <f>""</f>
        <v/>
      </c>
      <c r="F344" s="1" t="s">
        <v>28</v>
      </c>
      <c r="G344" s="1" t="str">
        <f>CONCATENATE("AUTO-MAG D.O.O.,"," GORNJOSTUPNIČKA 1/d,"," 10255 GORNJI STUPNIK,"," OIB: 99940897955")</f>
        <v>AUTO-MAG D.O.O., GORNJOSTUPNIČKA 1/d, 10255 GORNJI STUPNIK, OIB: 99940897955</v>
      </c>
      <c r="H344" s="7"/>
      <c r="I344" s="8" t="s">
        <v>634</v>
      </c>
      <c r="J344" s="8" t="s">
        <v>41</v>
      </c>
      <c r="K344" s="6" t="str">
        <f>"20.001,80"</f>
        <v>20.001,80</v>
      </c>
      <c r="L344" s="6" t="str">
        <f>"5.000,45"</f>
        <v>5.000,45</v>
      </c>
      <c r="M344" s="6" t="str">
        <f>"25.002,25"</f>
        <v>25.002,25</v>
      </c>
      <c r="N344" s="8" t="s">
        <v>124</v>
      </c>
      <c r="O344" s="7"/>
      <c r="P344" s="2" t="s">
        <v>5614</v>
      </c>
      <c r="Q344" s="7"/>
      <c r="R344" s="1"/>
      <c r="S344" s="1" t="str">
        <f>"2-21/NOS-33-L/19"</f>
        <v>2-21/NOS-33-L/19</v>
      </c>
      <c r="T344" s="1" t="s">
        <v>32</v>
      </c>
    </row>
    <row r="345" spans="1:20" ht="76.5" x14ac:dyDescent="0.25">
      <c r="A345" s="6">
        <v>342</v>
      </c>
      <c r="B345" s="1" t="str">
        <f t="shared" si="30"/>
        <v>2019-2383</v>
      </c>
      <c r="C345" s="1" t="s">
        <v>650</v>
      </c>
      <c r="D345" s="1" t="s">
        <v>619</v>
      </c>
      <c r="E345" s="1" t="str">
        <f>"2019/S 0F2-0032477"</f>
        <v>2019/S 0F2-0032477</v>
      </c>
      <c r="F345" s="1" t="s">
        <v>22</v>
      </c>
      <c r="G345" s="1" t="str">
        <f>CONCATENATE("AUTO-MAG D.O.O.,"," GORNJOSTUPNIČKA 1/d,"," 10255 GORNJI STUPNIK,"," OIB: 99940897955")</f>
        <v>AUTO-MAG D.O.O., GORNJOSTUPNIČKA 1/d, 10255 GORNJI STUPNIK, OIB: 99940897955</v>
      </c>
      <c r="H345" s="7"/>
      <c r="I345" s="8" t="s">
        <v>620</v>
      </c>
      <c r="J345" s="8" t="s">
        <v>120</v>
      </c>
      <c r="K345" s="6" t="str">
        <f>"1.000.000,00"</f>
        <v>1.000.000,00</v>
      </c>
      <c r="L345" s="6" t="str">
        <f>"250.000,00"</f>
        <v>250.000,00</v>
      </c>
      <c r="M345" s="6" t="str">
        <f>"1.250.000,00"</f>
        <v>1.250.000,00</v>
      </c>
      <c r="N345" s="8" t="s">
        <v>126</v>
      </c>
      <c r="O345" s="7"/>
      <c r="P345" s="2" t="s">
        <v>5614</v>
      </c>
      <c r="Q345" s="7"/>
      <c r="R345" s="1"/>
      <c r="S345" s="1" t="str">
        <f>"NOS-33-M/19"</f>
        <v>NOS-33-M/19</v>
      </c>
      <c r="T345" s="1" t="s">
        <v>27</v>
      </c>
    </row>
    <row r="346" spans="1:20" ht="102" x14ac:dyDescent="0.25">
      <c r="A346" s="6">
        <v>343</v>
      </c>
      <c r="B346" s="1" t="str">
        <f t="shared" si="30"/>
        <v>2019-2383</v>
      </c>
      <c r="C346" s="1" t="s">
        <v>651</v>
      </c>
      <c r="D346" s="1" t="s">
        <v>622</v>
      </c>
      <c r="E346" s="1" t="str">
        <f>""</f>
        <v/>
      </c>
      <c r="F346" s="1" t="s">
        <v>28</v>
      </c>
      <c r="G346" s="1" t="str">
        <f>CONCATENATE("AUTO-MAG D.O.O.,"," GORNJOSTUPNIČKA 1/d,"," 10255 GORNJI STUPNIK,"," OIB: 99940897955")</f>
        <v>AUTO-MAG D.O.O., GORNJOSTUPNIČKA 1/d, 10255 GORNJI STUPNIK, OIB: 99940897955</v>
      </c>
      <c r="H346" s="7"/>
      <c r="I346" s="8" t="s">
        <v>206</v>
      </c>
      <c r="J346" s="8" t="s">
        <v>41</v>
      </c>
      <c r="K346" s="6" t="str">
        <f>"207.578,02"</f>
        <v>207.578,02</v>
      </c>
      <c r="L346" s="6" t="str">
        <f>"51.894,51"</f>
        <v>51.894,51</v>
      </c>
      <c r="M346" s="6" t="str">
        <f>"259.472,53"</f>
        <v>259.472,53</v>
      </c>
      <c r="N346" s="8" t="s">
        <v>58</v>
      </c>
      <c r="O346" s="7"/>
      <c r="P346" s="2" t="s">
        <v>5830</v>
      </c>
      <c r="Q346" s="7"/>
      <c r="R346" s="1"/>
      <c r="S346" s="1" t="str">
        <f>"9-21/NOS-33-M/19"</f>
        <v>9-21/NOS-33-M/19</v>
      </c>
      <c r="T346" s="1" t="s">
        <v>32</v>
      </c>
    </row>
    <row r="347" spans="1:20" ht="216.75" x14ac:dyDescent="0.25">
      <c r="A347" s="6">
        <v>344</v>
      </c>
      <c r="B347" s="1" t="str">
        <f>"2019-2941"</f>
        <v>2019-2941</v>
      </c>
      <c r="C347" s="1" t="s">
        <v>652</v>
      </c>
      <c r="D347" s="1" t="s">
        <v>653</v>
      </c>
      <c r="E347" s="1" t="str">
        <f>"2019/S 0F2-0042949"</f>
        <v>2019/S 0F2-0042949</v>
      </c>
      <c r="F347" s="1" t="s">
        <v>22</v>
      </c>
      <c r="G347" s="1"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347" s="7"/>
      <c r="I347" s="8" t="s">
        <v>654</v>
      </c>
      <c r="J347" s="8" t="s">
        <v>655</v>
      </c>
      <c r="K347" s="6" t="str">
        <f>"6.250.000,00"</f>
        <v>6.250.000,00</v>
      </c>
      <c r="L347" s="6" t="str">
        <f>"1.562.500,00"</f>
        <v>1.562.500,00</v>
      </c>
      <c r="M347" s="6" t="str">
        <f>"7.812.500,00"</f>
        <v>7.812.500,00</v>
      </c>
      <c r="N347" s="8" t="s">
        <v>496</v>
      </c>
      <c r="O347" s="7"/>
      <c r="P347" s="2" t="s">
        <v>5614</v>
      </c>
      <c r="Q347" s="7"/>
      <c r="R347" s="1"/>
      <c r="S347" s="1" t="str">
        <f>"NOS-55/19"</f>
        <v>NOS-55/19</v>
      </c>
      <c r="T347" s="1" t="s">
        <v>32</v>
      </c>
    </row>
    <row r="348" spans="1:20" ht="216.75" x14ac:dyDescent="0.25">
      <c r="A348" s="6">
        <v>345</v>
      </c>
      <c r="B348" s="1" t="str">
        <f>"2019-2941"</f>
        <v>2019-2941</v>
      </c>
      <c r="C348" s="1" t="s">
        <v>652</v>
      </c>
      <c r="D348" s="1" t="s">
        <v>653</v>
      </c>
      <c r="E348" s="1" t="str">
        <f>""</f>
        <v/>
      </c>
      <c r="F348" s="1" t="s">
        <v>28</v>
      </c>
      <c r="G348" s="1"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348" s="7"/>
      <c r="I348" s="8" t="s">
        <v>656</v>
      </c>
      <c r="J348" s="8" t="s">
        <v>214</v>
      </c>
      <c r="K348" s="6" t="str">
        <f>"3.594.500,00"</f>
        <v>3.594.500,00</v>
      </c>
      <c r="L348" s="6" t="str">
        <f>"898.625,00"</f>
        <v>898.625,00</v>
      </c>
      <c r="M348" s="6" t="str">
        <f>"4.493.125,00"</f>
        <v>4.493.125,00</v>
      </c>
      <c r="N348" s="8" t="s">
        <v>112</v>
      </c>
      <c r="O348" s="7"/>
      <c r="P348" s="2" t="s">
        <v>5831</v>
      </c>
      <c r="Q348" s="7"/>
      <c r="R348" s="1"/>
      <c r="S348" s="1" t="str">
        <f>"6-21/NOS-55/19"</f>
        <v>6-21/NOS-55/19</v>
      </c>
      <c r="T348" s="1" t="s">
        <v>32</v>
      </c>
    </row>
    <row r="349" spans="1:20" ht="216.75" x14ac:dyDescent="0.25">
      <c r="A349" s="6">
        <v>346</v>
      </c>
      <c r="B349" s="1" t="str">
        <f>"2019-2941"</f>
        <v>2019-2941</v>
      </c>
      <c r="C349" s="1" t="s">
        <v>657</v>
      </c>
      <c r="D349" s="1" t="s">
        <v>653</v>
      </c>
      <c r="E349" s="1" t="str">
        <f>""</f>
        <v/>
      </c>
      <c r="F349" s="1" t="s">
        <v>92</v>
      </c>
      <c r="G349" s="1" t="str">
        <f>CONCATENATE("Zajednica ponuditelja",CHAR(10),"POLJO-PROM,"," VL. ZLATKO KRIŽANIĆ,"," HRAŠĆE TUROPOLJSKO,"," KRIŽANIĆI 27,"," 10020 ZAGREB-NOVI ZAGREB,"," OIB: 22277452223BISTRA-KOP OBRT,"," VL. MARKO ŠKRLIN-BATINA BUKOVJE BISTRANSKO,"," M. GUPCA 11/1,","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11/1, 10298 DONJA BISTRA, OIB: 94184541105I.B. JAZBINA D.O.O. JAZBINA 151, 10000 ZAGREB, OIB: 77265033209</v>
      </c>
      <c r="H349" s="7"/>
      <c r="I349" s="8" t="s">
        <v>616</v>
      </c>
      <c r="J349" s="8" t="s">
        <v>214</v>
      </c>
      <c r="K349" s="6" t="str">
        <f>"37.800,00"</f>
        <v>37.800,00</v>
      </c>
      <c r="L349" s="6" t="str">
        <f>"9.450,00"</f>
        <v>9.450,00</v>
      </c>
      <c r="M349" s="6" t="str">
        <f>"47.250,00"</f>
        <v>47.250,00</v>
      </c>
      <c r="N349" s="8" t="s">
        <v>503</v>
      </c>
      <c r="O349" s="7"/>
      <c r="P349" s="2" t="s">
        <v>5832</v>
      </c>
      <c r="Q349" s="7"/>
      <c r="R349" s="1" t="s">
        <v>191</v>
      </c>
      <c r="S349" s="1" t="str">
        <f>"6-21/NOS-55/19#1"</f>
        <v>6-21/NOS-55/19#1</v>
      </c>
      <c r="T349" s="1" t="s">
        <v>32</v>
      </c>
    </row>
    <row r="350" spans="1:20" ht="280.5" x14ac:dyDescent="0.25">
      <c r="A350" s="6">
        <v>347</v>
      </c>
      <c r="B350" s="1" t="str">
        <f>"2019-2413"</f>
        <v>2019-2413</v>
      </c>
      <c r="C350" s="1" t="s">
        <v>658</v>
      </c>
      <c r="D350" s="1" t="s">
        <v>659</v>
      </c>
      <c r="E350" s="1" t="str">
        <f>"2019/S F14-0030294"</f>
        <v>2019/S F14-0030294</v>
      </c>
      <c r="F350" s="1" t="s">
        <v>22</v>
      </c>
      <c r="G350" s="1"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350" s="7"/>
      <c r="I350" s="8" t="s">
        <v>660</v>
      </c>
      <c r="J350" s="8" t="s">
        <v>129</v>
      </c>
      <c r="K350" s="6" t="str">
        <f>"600.000,00"</f>
        <v>600.000,00</v>
      </c>
      <c r="L350" s="6" t="str">
        <f>"150.000,00"</f>
        <v>150.000,00</v>
      </c>
      <c r="M350" s="6" t="str">
        <f>"750.000,00"</f>
        <v>750.000,00</v>
      </c>
      <c r="N350" s="8" t="s">
        <v>89</v>
      </c>
      <c r="O350" s="7"/>
      <c r="P350" s="2" t="s">
        <v>5614</v>
      </c>
      <c r="Q350" s="7"/>
      <c r="R350" s="1"/>
      <c r="S350" s="1" t="str">
        <f>"NOS-60-A/19"</f>
        <v>NOS-60-A/19</v>
      </c>
      <c r="T350" s="1" t="s">
        <v>661</v>
      </c>
    </row>
    <row r="351" spans="1:20" ht="76.5" x14ac:dyDescent="0.25">
      <c r="A351" s="6">
        <v>348</v>
      </c>
      <c r="B351" s="1" t="str">
        <f>"2019-2413"</f>
        <v>2019-2413</v>
      </c>
      <c r="C351" s="1" t="s">
        <v>662</v>
      </c>
      <c r="D351" s="1" t="s">
        <v>659</v>
      </c>
      <c r="E351" s="1" t="str">
        <f>""</f>
        <v/>
      </c>
      <c r="F351" s="1" t="s">
        <v>28</v>
      </c>
      <c r="G351" s="1" t="str">
        <f>CONCATENATE("SMIT-COMMERCE D.O.O.,"," GORNJOSTUPNIČKA 9B,"," 10255 GORNJI STUPNIK,"," OIB: 9524348214")</f>
        <v>SMIT-COMMERCE D.O.O., GORNJOSTUPNIČKA 9B, 10255 GORNJI STUPNIK, OIB: 9524348214</v>
      </c>
      <c r="H351" s="7"/>
      <c r="I351" s="8" t="s">
        <v>416</v>
      </c>
      <c r="J351" s="8" t="s">
        <v>502</v>
      </c>
      <c r="K351" s="6" t="str">
        <f>"3.740,20"</f>
        <v>3.740,20</v>
      </c>
      <c r="L351" s="6" t="str">
        <f>"935,05"</f>
        <v>935,05</v>
      </c>
      <c r="M351" s="6" t="str">
        <f>"4.675,25"</f>
        <v>4.675,25</v>
      </c>
      <c r="N351" s="8" t="s">
        <v>663</v>
      </c>
      <c r="O351" s="7"/>
      <c r="P351" s="2" t="s">
        <v>5833</v>
      </c>
      <c r="Q351" s="1"/>
      <c r="R351" s="1"/>
      <c r="S351" s="1" t="str">
        <f>"27-21/NOS-60-A/19"</f>
        <v>27-21/NOS-60-A/19</v>
      </c>
      <c r="T351" s="1" t="s">
        <v>32</v>
      </c>
    </row>
    <row r="352" spans="1:20" ht="63.75" x14ac:dyDescent="0.25">
      <c r="A352" s="6">
        <v>349</v>
      </c>
      <c r="B352" s="1" t="str">
        <f>"2019-2951"</f>
        <v>2019-2951</v>
      </c>
      <c r="C352" s="1" t="s">
        <v>664</v>
      </c>
      <c r="D352" s="1" t="s">
        <v>665</v>
      </c>
      <c r="E352" s="1" t="str">
        <f>"2019/S 0F2-0043987"</f>
        <v>2019/S 0F2-0043987</v>
      </c>
      <c r="F352" s="1" t="s">
        <v>22</v>
      </c>
      <c r="G352" s="1" t="str">
        <f>CONCATENATE("GUMIIMPEX - GRP D.O.O.,"," PAVLEKA MIŠKINE 64C,"," 42000 VARAŽDIN,"," OIB: 8229856262")</f>
        <v>GUMIIMPEX - GRP D.O.O., PAVLEKA MIŠKINE 64C, 42000 VARAŽDIN, OIB: 8229856262</v>
      </c>
      <c r="H352" s="7"/>
      <c r="I352" s="8" t="s">
        <v>666</v>
      </c>
      <c r="J352" s="8" t="s">
        <v>450</v>
      </c>
      <c r="K352" s="6" t="str">
        <f>"10.000.000,00"</f>
        <v>10.000.000,00</v>
      </c>
      <c r="L352" s="6" t="str">
        <f>"2.500.000,00"</f>
        <v>2.500.000,00</v>
      </c>
      <c r="M352" s="6" t="str">
        <f>"12.500.000,00"</f>
        <v>12.500.000,00</v>
      </c>
      <c r="N352" s="8" t="s">
        <v>667</v>
      </c>
      <c r="O352" s="7"/>
      <c r="P352" s="2" t="s">
        <v>5614</v>
      </c>
      <c r="Q352" s="7"/>
      <c r="R352" s="1"/>
      <c r="S352" s="1" t="str">
        <f>"NOS-67/19"</f>
        <v>NOS-67/19</v>
      </c>
      <c r="T352" s="1" t="s">
        <v>32</v>
      </c>
    </row>
    <row r="353" spans="1:20" ht="63.75" x14ac:dyDescent="0.25">
      <c r="A353" s="6">
        <v>350</v>
      </c>
      <c r="B353" s="1" t="str">
        <f>"2019-2951"</f>
        <v>2019-2951</v>
      </c>
      <c r="C353" s="1" t="s">
        <v>664</v>
      </c>
      <c r="D353" s="1" t="s">
        <v>668</v>
      </c>
      <c r="E353" s="1" t="str">
        <f>""</f>
        <v/>
      </c>
      <c r="F353" s="1" t="s">
        <v>28</v>
      </c>
      <c r="G353" s="1" t="str">
        <f>CONCATENATE("GUMIIMPEX - GRP D.O.O.,"," PAVLEKA MIŠKINE 64C,"," 42000 VARAŽDIN,"," OIB: 8229856262")</f>
        <v>GUMIIMPEX - GRP D.O.O., PAVLEKA MIŠKINE 64C, 42000 VARAŽDIN, OIB: 8229856262</v>
      </c>
      <c r="H353" s="7"/>
      <c r="I353" s="8" t="s">
        <v>188</v>
      </c>
      <c r="J353" s="8" t="s">
        <v>126</v>
      </c>
      <c r="K353" s="6" t="str">
        <f>"970.200,00"</f>
        <v>970.200,00</v>
      </c>
      <c r="L353" s="6" t="str">
        <f>"242.550,00"</f>
        <v>242.550,00</v>
      </c>
      <c r="M353" s="6" t="str">
        <f>"1.212.750,00"</f>
        <v>1.212.750,00</v>
      </c>
      <c r="N353" s="8" t="s">
        <v>669</v>
      </c>
      <c r="O353" s="7"/>
      <c r="P353" s="2" t="s">
        <v>5834</v>
      </c>
      <c r="Q353" s="7"/>
      <c r="R353" s="1"/>
      <c r="S353" s="1" t="str">
        <f>"7-21/NOS-67/19"</f>
        <v>7-21/NOS-67/19</v>
      </c>
      <c r="T353" s="1" t="s">
        <v>32</v>
      </c>
    </row>
    <row r="354" spans="1:20" ht="102" x14ac:dyDescent="0.25">
      <c r="A354" s="6">
        <v>351</v>
      </c>
      <c r="B354" s="1" t="str">
        <f>"2019-2951"</f>
        <v>2019-2951</v>
      </c>
      <c r="C354" s="1" t="s">
        <v>670</v>
      </c>
      <c r="D354" s="1" t="s">
        <v>668</v>
      </c>
      <c r="E354" s="1" t="str">
        <f>""</f>
        <v/>
      </c>
      <c r="F354" s="1" t="s">
        <v>92</v>
      </c>
      <c r="G354" s="1" t="str">
        <f>CONCATENATE("GUMIIMPEX - GRP D.O.O.,"," PAVLEKA MIŠKINE 64C,"," 42000 VARAŽDIN,"," OIB: 8229856262")</f>
        <v>GUMIIMPEX - GRP D.O.O., PAVLEKA MIŠKINE 64C, 42000 VARAŽDIN, OIB: 8229856262</v>
      </c>
      <c r="H354" s="7"/>
      <c r="I354" s="8" t="s">
        <v>534</v>
      </c>
      <c r="J354" s="8" t="s">
        <v>671</v>
      </c>
      <c r="K354" s="6" t="str">
        <f>"65.075,00"</f>
        <v>65.075,00</v>
      </c>
      <c r="L354" s="6" t="str">
        <f>"16.268,75"</f>
        <v>16.268,75</v>
      </c>
      <c r="M354" s="6" t="str">
        <f>"81.343,75"</f>
        <v>81.343,75</v>
      </c>
      <c r="N354" s="8" t="s">
        <v>124</v>
      </c>
      <c r="O354" s="7"/>
      <c r="P354" s="2" t="s">
        <v>5614</v>
      </c>
      <c r="Q354" s="7"/>
      <c r="R354" s="1"/>
      <c r="S354" s="1" t="str">
        <f>"7-21/NOS-67/19#1"</f>
        <v>7-21/NOS-67/19#1</v>
      </c>
      <c r="T354" s="1" t="s">
        <v>32</v>
      </c>
    </row>
    <row r="355" spans="1:20" ht="127.5" x14ac:dyDescent="0.25">
      <c r="A355" s="6">
        <v>352</v>
      </c>
      <c r="B355" s="1" t="str">
        <f>"2019-2926"</f>
        <v>2019-2926</v>
      </c>
      <c r="C355" s="1" t="s">
        <v>672</v>
      </c>
      <c r="D355" s="1" t="s">
        <v>673</v>
      </c>
      <c r="E355" s="1" t="str">
        <f>"2019/S 0F2-0039870"</f>
        <v>2019/S 0F2-0039870</v>
      </c>
      <c r="F355" s="1" t="s">
        <v>22</v>
      </c>
      <c r="G355" s="1"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355" s="7"/>
      <c r="I355" s="8" t="s">
        <v>674</v>
      </c>
      <c r="J355" s="8" t="s">
        <v>675</v>
      </c>
      <c r="K355" s="6" t="str">
        <f>"6.600.000,00"</f>
        <v>6.600.000,00</v>
      </c>
      <c r="L355" s="6" t="str">
        <f>"1.650.000,00"</f>
        <v>1.650.000,00</v>
      </c>
      <c r="M355" s="6" t="str">
        <f>"8.250.000,00"</f>
        <v>8.250.000,00</v>
      </c>
      <c r="N355" s="8" t="s">
        <v>676</v>
      </c>
      <c r="O355" s="7"/>
      <c r="P355" s="2" t="s">
        <v>5614</v>
      </c>
      <c r="Q355" s="7"/>
      <c r="R355" s="1"/>
      <c r="S355" s="1" t="str">
        <f>"NOS-62/19"</f>
        <v>NOS-62/19</v>
      </c>
      <c r="T355" s="1" t="s">
        <v>677</v>
      </c>
    </row>
    <row r="356" spans="1:20" ht="76.5" x14ac:dyDescent="0.25">
      <c r="A356" s="6">
        <v>353</v>
      </c>
      <c r="B356" s="1" t="str">
        <f>"2019-2404"</f>
        <v>2019-2404</v>
      </c>
      <c r="C356" s="1" t="s">
        <v>678</v>
      </c>
      <c r="D356" s="1" t="s">
        <v>679</v>
      </c>
      <c r="E356" s="1" t="str">
        <f>"2019/S 0F2-0044228"</f>
        <v>2019/S 0F2-0044228</v>
      </c>
      <c r="F356" s="1" t="s">
        <v>22</v>
      </c>
      <c r="G356" s="1" t="str">
        <f>CONCATENATE("SMIT-COMMERCE D.O.O.,"," GORNJOSTUPNIČKA 9B,"," 10255 GORNJI STUPNIK,"," OIB: 9524348214")</f>
        <v>SMIT-COMMERCE D.O.O., GORNJOSTUPNIČKA 9B, 10255 GORNJI STUPNIK, OIB: 9524348214</v>
      </c>
      <c r="H356" s="7"/>
      <c r="I356" s="8" t="s">
        <v>680</v>
      </c>
      <c r="J356" s="8" t="s">
        <v>681</v>
      </c>
      <c r="K356" s="6" t="str">
        <f>"60.000,00"</f>
        <v>60.000,00</v>
      </c>
      <c r="L356" s="6" t="str">
        <f>"15.000,00"</f>
        <v>15.000,00</v>
      </c>
      <c r="M356" s="6" t="str">
        <f>"75.000,00"</f>
        <v>75.000,00</v>
      </c>
      <c r="N356" s="8" t="s">
        <v>197</v>
      </c>
      <c r="O356" s="7"/>
      <c r="P356" s="2" t="s">
        <v>5614</v>
      </c>
      <c r="Q356" s="7"/>
      <c r="R356" s="1"/>
      <c r="S356" s="1" t="str">
        <f>"NOS-72-B/19"</f>
        <v>NOS-72-B/19</v>
      </c>
      <c r="T356" s="1" t="s">
        <v>32</v>
      </c>
    </row>
    <row r="357" spans="1:20" ht="76.5" x14ac:dyDescent="0.25">
      <c r="A357" s="6">
        <v>354</v>
      </c>
      <c r="B357" s="1" t="str">
        <f>"2019-2404"</f>
        <v>2019-2404</v>
      </c>
      <c r="C357" s="1" t="s">
        <v>682</v>
      </c>
      <c r="D357" s="1" t="s">
        <v>683</v>
      </c>
      <c r="E357" s="1" t="str">
        <f>""</f>
        <v/>
      </c>
      <c r="F357" s="1" t="s">
        <v>28</v>
      </c>
      <c r="G357" s="1" t="str">
        <f>CONCATENATE("SMIT-COMMERCE D.O.O.,"," GORNJOSTUPNIČKA 9B,"," 10255 GORNJI STUPNIK,"," OIB: 9524348214")</f>
        <v>SMIT-COMMERCE D.O.O., GORNJOSTUPNIČKA 9B, 10255 GORNJI STUPNIK, OIB: 9524348214</v>
      </c>
      <c r="H357" s="7"/>
      <c r="I357" s="8" t="s">
        <v>137</v>
      </c>
      <c r="J357" s="8" t="s">
        <v>502</v>
      </c>
      <c r="K357" s="6" t="str">
        <f>"2.370,00"</f>
        <v>2.370,00</v>
      </c>
      <c r="L357" s="6" t="str">
        <f>"592,50"</f>
        <v>592,50</v>
      </c>
      <c r="M357" s="6" t="str">
        <f>"2.962,50"</f>
        <v>2.962,50</v>
      </c>
      <c r="N357" s="8" t="s">
        <v>681</v>
      </c>
      <c r="O357" s="7"/>
      <c r="P357" s="2" t="s">
        <v>5835</v>
      </c>
      <c r="Q357" s="7"/>
      <c r="R357" s="1"/>
      <c r="S357" s="1" t="str">
        <f>"6-21/NOS-72-B/19"</f>
        <v>6-21/NOS-72-B/19</v>
      </c>
      <c r="T357" s="1" t="s">
        <v>32</v>
      </c>
    </row>
    <row r="358" spans="1:20" ht="63.75" x14ac:dyDescent="0.25">
      <c r="A358" s="6">
        <v>355</v>
      </c>
      <c r="B358" s="1" t="str">
        <f>"2019-1468"</f>
        <v>2019-1468</v>
      </c>
      <c r="C358" s="1" t="s">
        <v>684</v>
      </c>
      <c r="D358" s="1" t="s">
        <v>685</v>
      </c>
      <c r="E358" s="1" t="str">
        <f>"2019/S 0F2-0042430"</f>
        <v>2019/S 0F2-0042430</v>
      </c>
      <c r="F358" s="1" t="s">
        <v>22</v>
      </c>
      <c r="G358" s="1" t="str">
        <f>CONCATENATE("AGROTUROPOLJE D.O.O.,"," VELIKOGORIČKA 43,"," 10415 NOVO ČIČE,"," OIB: 66493270332")</f>
        <v>AGROTUROPOLJE D.O.O., VELIKOGORIČKA 43, 10415 NOVO ČIČE, OIB: 66493270332</v>
      </c>
      <c r="H358" s="7"/>
      <c r="I358" s="8" t="s">
        <v>686</v>
      </c>
      <c r="J358" s="8" t="s">
        <v>202</v>
      </c>
      <c r="K358" s="6" t="str">
        <f>"1.430.000,00"</f>
        <v>1.430.000,00</v>
      </c>
      <c r="L358" s="6" t="str">
        <f>"357.500,00"</f>
        <v>357.500,00</v>
      </c>
      <c r="M358" s="6" t="str">
        <f>"1.787.500,00"</f>
        <v>1.787.500,00</v>
      </c>
      <c r="N358" s="8" t="s">
        <v>681</v>
      </c>
      <c r="O358" s="7"/>
      <c r="P358" s="2" t="s">
        <v>5614</v>
      </c>
      <c r="Q358" s="7"/>
      <c r="R358" s="1"/>
      <c r="S358" s="1" t="str">
        <f>"NOS-69/19"</f>
        <v>NOS-69/19</v>
      </c>
      <c r="T358" s="1" t="s">
        <v>32</v>
      </c>
    </row>
    <row r="359" spans="1:20" ht="63.75" x14ac:dyDescent="0.25">
      <c r="A359" s="6">
        <v>356</v>
      </c>
      <c r="B359" s="1" t="str">
        <f>"2019-1468"</f>
        <v>2019-1468</v>
      </c>
      <c r="C359" s="1" t="s">
        <v>684</v>
      </c>
      <c r="D359" s="1" t="s">
        <v>687</v>
      </c>
      <c r="E359" s="1" t="str">
        <f>""</f>
        <v/>
      </c>
      <c r="F359" s="1" t="s">
        <v>28</v>
      </c>
      <c r="G359" s="1" t="str">
        <f>CONCATENATE("AGROTUROPOLJE D.O.O.,"," VELIKOGORIČKA 43,"," 10415 NOVO ČIČE,"," OIB: 66493270332")</f>
        <v>AGROTUROPOLJE D.O.O., VELIKOGORIČKA 43, 10415 NOVO ČIČE, OIB: 66493270332</v>
      </c>
      <c r="H359" s="7"/>
      <c r="I359" s="8" t="s">
        <v>117</v>
      </c>
      <c r="J359" s="8" t="s">
        <v>423</v>
      </c>
      <c r="K359" s="6" t="str">
        <f>"140.700,00"</f>
        <v>140.700,00</v>
      </c>
      <c r="L359" s="6" t="str">
        <f>"10.994,88"</f>
        <v>10.994,88</v>
      </c>
      <c r="M359" s="6" t="str">
        <f>"151.694,88"</f>
        <v>151.694,88</v>
      </c>
      <c r="N359" s="8" t="s">
        <v>255</v>
      </c>
      <c r="O359" s="7"/>
      <c r="P359" s="2" t="s">
        <v>5836</v>
      </c>
      <c r="Q359" s="7"/>
      <c r="R359" s="1"/>
      <c r="S359" s="1" t="str">
        <f>"13-21/NOS-69/19"</f>
        <v>13-21/NOS-69/19</v>
      </c>
      <c r="T359" s="1" t="s">
        <v>32</v>
      </c>
    </row>
    <row r="360" spans="1:20" ht="51" x14ac:dyDescent="0.25">
      <c r="A360" s="6">
        <v>357</v>
      </c>
      <c r="B360" s="1" t="str">
        <f>"2019-2422"</f>
        <v>2019-2422</v>
      </c>
      <c r="C360" s="1" t="s">
        <v>688</v>
      </c>
      <c r="D360" s="1" t="s">
        <v>689</v>
      </c>
      <c r="E360" s="1" t="str">
        <f>"2019/S 0F2-0046417"</f>
        <v>2019/S 0F2-0046417</v>
      </c>
      <c r="F360" s="1" t="s">
        <v>22</v>
      </c>
      <c r="G360" s="1" t="str">
        <f>CONCATENATE("KOPLAST D.O.O.,"," BRAJKOVIĆI 1G,"," 52000 PAZIN,"," OIB: 99721015226")</f>
        <v>KOPLAST D.O.O., BRAJKOVIĆI 1G, 52000 PAZIN, OIB: 99721015226</v>
      </c>
      <c r="H360" s="7"/>
      <c r="I360" s="8" t="s">
        <v>666</v>
      </c>
      <c r="J360" s="8" t="s">
        <v>450</v>
      </c>
      <c r="K360" s="6" t="str">
        <f>"910.000,00"</f>
        <v>910.000,00</v>
      </c>
      <c r="L360" s="6" t="str">
        <f>"227.500,00"</f>
        <v>227.500,00</v>
      </c>
      <c r="M360" s="6" t="str">
        <f>"1.137.500,00"</f>
        <v>1.137.500,00</v>
      </c>
      <c r="N360" s="8" t="s">
        <v>667</v>
      </c>
      <c r="O360" s="7"/>
      <c r="P360" s="2" t="s">
        <v>5614</v>
      </c>
      <c r="Q360" s="7"/>
      <c r="R360" s="1"/>
      <c r="S360" s="1" t="str">
        <f>"NOS-66-A/19"</f>
        <v>NOS-66-A/19</v>
      </c>
      <c r="T360" s="1" t="s">
        <v>32</v>
      </c>
    </row>
    <row r="361" spans="1:20" ht="63.75" x14ac:dyDescent="0.25">
      <c r="A361" s="6">
        <v>358</v>
      </c>
      <c r="B361" s="1" t="str">
        <f>"2019-2422"</f>
        <v>2019-2422</v>
      </c>
      <c r="C361" s="1" t="s">
        <v>690</v>
      </c>
      <c r="D361" s="1" t="s">
        <v>691</v>
      </c>
      <c r="E361" s="1" t="str">
        <f>""</f>
        <v/>
      </c>
      <c r="F361" s="1" t="s">
        <v>28</v>
      </c>
      <c r="G361" s="1" t="str">
        <f>CONCATENATE("KOPLAST D.O.O.,"," BRAJKOVIĆI 1G,"," 52000 PAZIN,"," OIB: 99721015226")</f>
        <v>KOPLAST D.O.O., BRAJKOVIĆI 1G, 52000 PAZIN, OIB: 99721015226</v>
      </c>
      <c r="H361" s="7"/>
      <c r="I361" s="8" t="s">
        <v>450</v>
      </c>
      <c r="J361" s="8" t="s">
        <v>214</v>
      </c>
      <c r="K361" s="6" t="str">
        <f>"97.160,00"</f>
        <v>97.160,00</v>
      </c>
      <c r="L361" s="6" t="str">
        <f>"24.290,00"</f>
        <v>24.290,00</v>
      </c>
      <c r="M361" s="6" t="str">
        <f>"121.450,00"</f>
        <v>121.450,00</v>
      </c>
      <c r="N361" s="8" t="s">
        <v>124</v>
      </c>
      <c r="O361" s="7"/>
      <c r="P361" s="2" t="s">
        <v>5614</v>
      </c>
      <c r="Q361" s="7"/>
      <c r="R361" s="1"/>
      <c r="S361" s="1" t="str">
        <f>"1-22/NOS-66-A/19"</f>
        <v>1-22/NOS-66-A/19</v>
      </c>
      <c r="T361" s="1" t="s">
        <v>32</v>
      </c>
    </row>
    <row r="362" spans="1:20" ht="63.75" x14ac:dyDescent="0.25">
      <c r="A362" s="6">
        <v>359</v>
      </c>
      <c r="B362" s="1" t="str">
        <f>"2019-2937"</f>
        <v>2019-2937</v>
      </c>
      <c r="C362" s="1" t="s">
        <v>692</v>
      </c>
      <c r="D362" s="1" t="s">
        <v>619</v>
      </c>
      <c r="E362" s="1" t="str">
        <f>"2019/S 0F2-0044174"</f>
        <v>2019/S 0F2-0044174</v>
      </c>
      <c r="F362" s="1" t="s">
        <v>22</v>
      </c>
      <c r="G362" s="1" t="str">
        <f>CONCATENATE("AUTO-MAG D.O.O.,"," GORNJOSTUPNIČKA 1/d,"," 10255 GORNJI STUPNIK,"," OIB: 99940897955")</f>
        <v>AUTO-MAG D.O.O., GORNJOSTUPNIČKA 1/d, 10255 GORNJI STUPNIK, OIB: 99940897955</v>
      </c>
      <c r="H362" s="7"/>
      <c r="I362" s="8" t="s">
        <v>680</v>
      </c>
      <c r="J362" s="8" t="s">
        <v>681</v>
      </c>
      <c r="K362" s="6" t="str">
        <f>"1.700.000,00"</f>
        <v>1.700.000,00</v>
      </c>
      <c r="L362" s="6" t="str">
        <f>"425.000,00"</f>
        <v>425.000,00</v>
      </c>
      <c r="M362" s="6" t="str">
        <f>"2.125.000,00"</f>
        <v>2.125.000,00</v>
      </c>
      <c r="N362" s="8" t="s">
        <v>197</v>
      </c>
      <c r="O362" s="7"/>
      <c r="P362" s="2" t="s">
        <v>5614</v>
      </c>
      <c r="Q362" s="7"/>
      <c r="R362" s="1"/>
      <c r="S362" s="1" t="str">
        <f>"NOS-70/19"</f>
        <v>NOS-70/19</v>
      </c>
      <c r="T362" s="1" t="s">
        <v>32</v>
      </c>
    </row>
    <row r="363" spans="1:20" ht="63.75" x14ac:dyDescent="0.25">
      <c r="A363" s="6">
        <v>360</v>
      </c>
      <c r="B363" s="1" t="str">
        <f>"2019-2937"</f>
        <v>2019-2937</v>
      </c>
      <c r="C363" s="1" t="s">
        <v>692</v>
      </c>
      <c r="D363" s="1" t="s">
        <v>622</v>
      </c>
      <c r="E363" s="1" t="str">
        <f>""</f>
        <v/>
      </c>
      <c r="F363" s="1" t="s">
        <v>28</v>
      </c>
      <c r="G363" s="1" t="str">
        <f>CONCATENATE("AUTO-MAG D.O.O.,"," GORNJOSTUPNIČKA 1/d,"," 10255 GORNJI STUPNIK,"," OIB: 99940897955")</f>
        <v>AUTO-MAG D.O.O., GORNJOSTUPNIČKA 1/d, 10255 GORNJI STUPNIK, OIB: 99940897955</v>
      </c>
      <c r="H363" s="7"/>
      <c r="I363" s="8" t="s">
        <v>117</v>
      </c>
      <c r="J363" s="8" t="s">
        <v>292</v>
      </c>
      <c r="K363" s="6" t="str">
        <f>"4.670,96"</f>
        <v>4.670,96</v>
      </c>
      <c r="L363" s="6" t="str">
        <f>"1.167,74"</f>
        <v>1.167,74</v>
      </c>
      <c r="M363" s="6" t="str">
        <f>"5.838,70"</f>
        <v>5.838,70</v>
      </c>
      <c r="N363" s="8" t="s">
        <v>604</v>
      </c>
      <c r="O363" s="7"/>
      <c r="P363" s="2" t="s">
        <v>5837</v>
      </c>
      <c r="Q363" s="7"/>
      <c r="R363" s="1"/>
      <c r="S363" s="1" t="str">
        <f>"3-21/NOS-70/19"</f>
        <v>3-21/NOS-70/19</v>
      </c>
      <c r="T363" s="1" t="s">
        <v>32</v>
      </c>
    </row>
    <row r="364" spans="1:20" ht="63.75" x14ac:dyDescent="0.25">
      <c r="A364" s="6">
        <v>361</v>
      </c>
      <c r="B364" s="1" t="str">
        <f>"2019-2920"</f>
        <v>2019-2920</v>
      </c>
      <c r="C364" s="1" t="s">
        <v>693</v>
      </c>
      <c r="D364" s="1" t="s">
        <v>694</v>
      </c>
      <c r="E364" s="1" t="str">
        <f>"2019/S 0F2-0046250"</f>
        <v>2019/S 0F2-0046250</v>
      </c>
      <c r="F364" s="1" t="s">
        <v>22</v>
      </c>
      <c r="G364" s="1" t="str">
        <f>CONCATENATE("ZAGREL RITTMEYER D.O.O.,"," LJUDEVITA POSAVSKOG 29,"," 10360 SESVETE,"," OIB: 00100837674")</f>
        <v>ZAGREL RITTMEYER D.O.O., LJUDEVITA POSAVSKOG 29, 10360 SESVETE, OIB: 00100837674</v>
      </c>
      <c r="H364" s="7"/>
      <c r="I364" s="8" t="s">
        <v>695</v>
      </c>
      <c r="J364" s="8" t="s">
        <v>696</v>
      </c>
      <c r="K364" s="6" t="str">
        <f>"2.200.000,00"</f>
        <v>2.200.000,00</v>
      </c>
      <c r="L364" s="6" t="str">
        <f>"550.000,00"</f>
        <v>550.000,00</v>
      </c>
      <c r="M364" s="6" t="str">
        <f>"2.750.000,00"</f>
        <v>2.750.000,00</v>
      </c>
      <c r="N364" s="8" t="s">
        <v>697</v>
      </c>
      <c r="O364" s="7"/>
      <c r="P364" s="2" t="s">
        <v>5614</v>
      </c>
      <c r="Q364" s="7"/>
      <c r="R364" s="1"/>
      <c r="S364" s="1" t="str">
        <f>"NOS-76/19"</f>
        <v>NOS-76/19</v>
      </c>
      <c r="T364" s="1" t="s">
        <v>55</v>
      </c>
    </row>
    <row r="365" spans="1:20" ht="63.75" x14ac:dyDescent="0.25">
      <c r="A365" s="6">
        <v>362</v>
      </c>
      <c r="B365" s="1" t="str">
        <f>"2019-2920"</f>
        <v>2019-2920</v>
      </c>
      <c r="C365" s="1" t="s">
        <v>693</v>
      </c>
      <c r="D365" s="1" t="s">
        <v>694</v>
      </c>
      <c r="E365" s="1" t="str">
        <f>""</f>
        <v/>
      </c>
      <c r="F365" s="1" t="s">
        <v>28</v>
      </c>
      <c r="G365" s="1" t="str">
        <f>CONCATENATE("ZAGREL RITTMEYER D.O.O.,"," LJUDEVITA POSAVSKOG 29,"," 10360 SESVETE,"," OIB: 00100837674")</f>
        <v>ZAGREL RITTMEYER D.O.O., LJUDEVITA POSAVSKOG 29, 10360 SESVETE, OIB: 00100837674</v>
      </c>
      <c r="H365" s="7"/>
      <c r="I365" s="8" t="s">
        <v>698</v>
      </c>
      <c r="J365" s="8" t="s">
        <v>123</v>
      </c>
      <c r="K365" s="6" t="str">
        <f>"459.810,00"</f>
        <v>459.810,00</v>
      </c>
      <c r="L365" s="6" t="str">
        <f>"114.952,50"</f>
        <v>114.952,50</v>
      </c>
      <c r="M365" s="6" t="str">
        <f>"574.762,50"</f>
        <v>574.762,50</v>
      </c>
      <c r="N365" s="8" t="s">
        <v>458</v>
      </c>
      <c r="O365" s="7"/>
      <c r="P365" s="2" t="s">
        <v>5838</v>
      </c>
      <c r="Q365" s="7"/>
      <c r="R365" s="1"/>
      <c r="S365" s="1" t="str">
        <f>"1-22/NOS-76/19"</f>
        <v>1-22/NOS-76/19</v>
      </c>
      <c r="T365" s="1" t="s">
        <v>55</v>
      </c>
    </row>
    <row r="366" spans="1:20" ht="178.5" x14ac:dyDescent="0.25">
      <c r="A366" s="6">
        <v>363</v>
      </c>
      <c r="B366" s="1" t="str">
        <f>"2019-2412"</f>
        <v>2019-2412</v>
      </c>
      <c r="C366" s="1" t="s">
        <v>699</v>
      </c>
      <c r="D366" s="1" t="s">
        <v>700</v>
      </c>
      <c r="E366" s="1" t="str">
        <f>"2019/S 0F2-0025322"</f>
        <v>2019/S 0F2-0025322</v>
      </c>
      <c r="F366" s="1" t="s">
        <v>22</v>
      </c>
      <c r="G366" s="1"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366" s="7"/>
      <c r="I366" s="8" t="s">
        <v>686</v>
      </c>
      <c r="J366" s="8" t="s">
        <v>202</v>
      </c>
      <c r="K366" s="6" t="str">
        <f>"2.570.000,00"</f>
        <v>2.570.000,00</v>
      </c>
      <c r="L366" s="6" t="str">
        <f>"642.500,00"</f>
        <v>642.500,00</v>
      </c>
      <c r="M366" s="6" t="str">
        <f>"3.212.500,00"</f>
        <v>3.212.500,00</v>
      </c>
      <c r="N366" s="8" t="s">
        <v>681</v>
      </c>
      <c r="O366" s="7"/>
      <c r="P366" s="2" t="s">
        <v>5614</v>
      </c>
      <c r="Q366" s="7"/>
      <c r="R366" s="1"/>
      <c r="S366" s="1" t="str">
        <f>"NOS-73-A/19"</f>
        <v>NOS-73-A/19</v>
      </c>
      <c r="T366" s="1" t="s">
        <v>32</v>
      </c>
    </row>
    <row r="367" spans="1:20" ht="165.75" x14ac:dyDescent="0.25">
      <c r="A367" s="6">
        <v>364</v>
      </c>
      <c r="B367" s="1" t="str">
        <f>"2019-1065"</f>
        <v>2019-1065</v>
      </c>
      <c r="C367" s="1" t="s">
        <v>701</v>
      </c>
      <c r="D367" s="1" t="s">
        <v>702</v>
      </c>
      <c r="E367" s="1" t="str">
        <f>"2019/S 0F2-0036075"</f>
        <v>2019/S 0F2-0036075</v>
      </c>
      <c r="F367" s="1" t="s">
        <v>22</v>
      </c>
      <c r="G367" s="1" t="str">
        <f>CONCATENATE("Zajednica ponuditelja",CHAR(10),"AGROPLAN D.O.O.,"," UGLJANSKA 14,"," 10000 ZAGREB,"," OIB: 13652531417TERRA PLIN D.O.O. DINARSKI PUT 1C,"," 10000 ZAGREB,"," OIB: 67127777349MULTIGRAD D.O.O. LUKAVEČKA 7,"," 10412 DONJA LOMNICA,"," OIB: 33615517007")</f>
        <v>Zajednica ponuditelja
AGROPLAN D.O.O., UGLJANSKA 14, 10000 ZAGREB, OIB: 13652531417TERRA PLIN D.O.O. DINARSKI PUT 1C, 10000 ZAGREB, OIB: 67127777349MULTIGRAD D.O.O. LUKAVEČKA 7, 10412 DONJA LOMNICA, OIB: 33615517007</v>
      </c>
      <c r="H367" s="7"/>
      <c r="I367" s="8" t="s">
        <v>703</v>
      </c>
      <c r="J367" s="8" t="s">
        <v>612</v>
      </c>
      <c r="K367" s="6" t="str">
        <f>"2.000.000,00"</f>
        <v>2.000.000,00</v>
      </c>
      <c r="L367" s="6" t="str">
        <f>"500.000,00"</f>
        <v>500.000,00</v>
      </c>
      <c r="M367" s="6" t="str">
        <f>"2.500.000,00"</f>
        <v>2.500.000,00</v>
      </c>
      <c r="N367" s="8" t="s">
        <v>617</v>
      </c>
      <c r="O367" s="7"/>
      <c r="P367" s="2" t="s">
        <v>5839</v>
      </c>
      <c r="Q367" s="7"/>
      <c r="R367" s="1"/>
      <c r="S367" s="1" t="str">
        <f>"NOS-65/19"</f>
        <v>NOS-65/19</v>
      </c>
      <c r="T367" s="1" t="s">
        <v>452</v>
      </c>
    </row>
    <row r="368" spans="1:20" ht="51" x14ac:dyDescent="0.25">
      <c r="A368" s="6">
        <v>365</v>
      </c>
      <c r="B368" s="1" t="str">
        <f>"2019-2966"</f>
        <v>2019-2966</v>
      </c>
      <c r="C368" s="1" t="s">
        <v>704</v>
      </c>
      <c r="D368" s="1" t="s">
        <v>105</v>
      </c>
      <c r="E368" s="1" t="str">
        <f>" 2019/S 0F2-0046275"</f>
        <v xml:space="preserve"> 2019/S 0F2-0046275</v>
      </c>
      <c r="F368" s="1" t="s">
        <v>22</v>
      </c>
      <c r="G368" s="1" t="str">
        <f>CONCATENATE("ADRIA ZAPOSLENICI D.O.O.,"," HEINZELOVA 53/A,"," 10000 ZAGREB,"," OIB: 45462110557")</f>
        <v>ADRIA ZAPOSLENICI D.O.O., HEINZELOVA 53/A, 10000 ZAGREB, OIB: 45462110557</v>
      </c>
      <c r="H368" s="7"/>
      <c r="I368" s="8" t="s">
        <v>705</v>
      </c>
      <c r="J368" s="8" t="s">
        <v>93</v>
      </c>
      <c r="K368" s="6" t="str">
        <f>"2.500.000,00"</f>
        <v>2.500.000,00</v>
      </c>
      <c r="L368" s="6" t="str">
        <f>"625.000,00"</f>
        <v>625.000,00</v>
      </c>
      <c r="M368" s="6" t="str">
        <f>"3.125.000,00"</f>
        <v>3.125.000,00</v>
      </c>
      <c r="N368" s="8" t="s">
        <v>706</v>
      </c>
      <c r="O368" s="7"/>
      <c r="P368" s="2" t="s">
        <v>5614</v>
      </c>
      <c r="Q368" s="7"/>
      <c r="R368" s="1"/>
      <c r="S368" s="1" t="str">
        <f>"NOS-78/19"</f>
        <v>NOS-78/19</v>
      </c>
      <c r="T368" s="1" t="s">
        <v>43</v>
      </c>
    </row>
    <row r="369" spans="1:20" ht="51" x14ac:dyDescent="0.25">
      <c r="A369" s="6">
        <v>366</v>
      </c>
      <c r="B369" s="1" t="str">
        <f>"2019-2966"</f>
        <v>2019-2966</v>
      </c>
      <c r="C369" s="1" t="s">
        <v>704</v>
      </c>
      <c r="D369" s="1" t="s">
        <v>109</v>
      </c>
      <c r="E369" s="1" t="str">
        <f>""</f>
        <v/>
      </c>
      <c r="F369" s="1" t="s">
        <v>28</v>
      </c>
      <c r="G369" s="1" t="str">
        <f>CONCATENATE("ADRIA ZAPOSLENICI D.O.O.,"," HEINZELOVA 53/A,"," 10000 ZAGREB,"," OIB: 45462110557")</f>
        <v>ADRIA ZAPOSLENICI D.O.O., HEINZELOVA 53/A, 10000 ZAGREB, OIB: 45462110557</v>
      </c>
      <c r="H369" s="7"/>
      <c r="I369" s="8" t="s">
        <v>707</v>
      </c>
      <c r="J369" s="8" t="s">
        <v>277</v>
      </c>
      <c r="K369" s="6" t="str">
        <f>"0,00"</f>
        <v>0,00</v>
      </c>
      <c r="L369" s="6" t="str">
        <f>"0,00"</f>
        <v>0,00</v>
      </c>
      <c r="M369" s="6" t="str">
        <f>"0,00"</f>
        <v>0,00</v>
      </c>
      <c r="N369" s="8" t="s">
        <v>708</v>
      </c>
      <c r="O369" s="7"/>
      <c r="P369" s="2" t="s">
        <v>5614</v>
      </c>
      <c r="Q369" s="7"/>
      <c r="R369" s="1"/>
      <c r="S369" s="1" t="str">
        <f>"2-21/NOS-78/19"</f>
        <v>2-21/NOS-78/19</v>
      </c>
      <c r="T369" s="1" t="s">
        <v>43</v>
      </c>
    </row>
    <row r="370" spans="1:20" ht="102" x14ac:dyDescent="0.25">
      <c r="A370" s="6">
        <v>367</v>
      </c>
      <c r="B370" s="1" t="str">
        <f>"2019-2966"</f>
        <v>2019-2966</v>
      </c>
      <c r="C370" s="1" t="s">
        <v>709</v>
      </c>
      <c r="D370" s="1" t="s">
        <v>109</v>
      </c>
      <c r="E370" s="1" t="str">
        <f>""</f>
        <v/>
      </c>
      <c r="F370" s="1" t="s">
        <v>92</v>
      </c>
      <c r="G370" s="1" t="str">
        <f>CONCATENATE("ADRIA ZAPOSLENICI D.O.O.,"," HEINZELOVA 53/A,"," 10000 ZAGREB,"," OIB: 45462110557")</f>
        <v>ADRIA ZAPOSLENICI D.O.O., HEINZELOVA 53/A, 10000 ZAGREB, OIB: 45462110557</v>
      </c>
      <c r="H370" s="7"/>
      <c r="I370" s="8" t="s">
        <v>183</v>
      </c>
      <c r="J370" s="8" t="s">
        <v>41</v>
      </c>
      <c r="K370" s="6" t="str">
        <f>"309.971,50"</f>
        <v>309.971,50</v>
      </c>
      <c r="L370" s="6" t="str">
        <f>"77.492,88"</f>
        <v>77.492,88</v>
      </c>
      <c r="M370" s="6" t="str">
        <f>"387.464,38"</f>
        <v>387.464,38</v>
      </c>
      <c r="N370" s="8" t="s">
        <v>255</v>
      </c>
      <c r="O370" s="7"/>
      <c r="P370" s="2" t="s">
        <v>5840</v>
      </c>
      <c r="Q370" s="7"/>
      <c r="R370" s="1"/>
      <c r="S370" s="1" t="str">
        <f>"2-21/NOS-78/19#1"</f>
        <v>2-21/NOS-78/19#1</v>
      </c>
      <c r="T370" s="1" t="s">
        <v>43</v>
      </c>
    </row>
    <row r="371" spans="1:20" ht="114.75" x14ac:dyDescent="0.25">
      <c r="A371" s="6">
        <v>368</v>
      </c>
      <c r="B371" s="1" t="str">
        <f t="shared" ref="B371:B392" si="31">"2019-2381"</f>
        <v>2019-2381</v>
      </c>
      <c r="C371" s="1" t="s">
        <v>710</v>
      </c>
      <c r="D371" s="1" t="s">
        <v>653</v>
      </c>
      <c r="E371" s="1" t="str">
        <f>"2019/S 0F2-0032372"</f>
        <v>2019/S 0F2-0032372</v>
      </c>
      <c r="F371" s="1" t="s">
        <v>22</v>
      </c>
      <c r="G371" s="1"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371" s="7"/>
      <c r="I371" s="8" t="s">
        <v>705</v>
      </c>
      <c r="J371" s="8" t="s">
        <v>93</v>
      </c>
      <c r="K371" s="6" t="str">
        <f>"790.000,00"</f>
        <v>790.000,00</v>
      </c>
      <c r="L371" s="6" t="str">
        <f>"197.500,00"</f>
        <v>197.500,00</v>
      </c>
      <c r="M371" s="6" t="str">
        <f>"987.500,00"</f>
        <v>987.500,00</v>
      </c>
      <c r="N371" s="8" t="s">
        <v>711</v>
      </c>
      <c r="O371" s="7"/>
      <c r="P371" s="2" t="s">
        <v>5614</v>
      </c>
      <c r="Q371" s="7"/>
      <c r="R371" s="1"/>
      <c r="S371" s="1" t="str">
        <f>"NOS-17-A/19"</f>
        <v>NOS-17-A/19</v>
      </c>
      <c r="T371" s="1" t="s">
        <v>32</v>
      </c>
    </row>
    <row r="372" spans="1:20" ht="114.75" x14ac:dyDescent="0.25">
      <c r="A372" s="6">
        <v>369</v>
      </c>
      <c r="B372" s="1" t="str">
        <f t="shared" si="31"/>
        <v>2019-2381</v>
      </c>
      <c r="C372" s="1" t="s">
        <v>712</v>
      </c>
      <c r="D372" s="1" t="s">
        <v>653</v>
      </c>
      <c r="E372" s="1" t="str">
        <f>""</f>
        <v/>
      </c>
      <c r="F372" s="1" t="s">
        <v>28</v>
      </c>
      <c r="G372" s="1"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372" s="7"/>
      <c r="I372" s="8" t="s">
        <v>696</v>
      </c>
      <c r="J372" s="8" t="s">
        <v>57</v>
      </c>
      <c r="K372" s="6" t="str">
        <f>"571.250,00"</f>
        <v>571.250,00</v>
      </c>
      <c r="L372" s="6" t="str">
        <f>"142.812,50"</f>
        <v>142.812,50</v>
      </c>
      <c r="M372" s="6" t="str">
        <f>"714.062,50"</f>
        <v>714.062,50</v>
      </c>
      <c r="N372" s="8" t="s">
        <v>124</v>
      </c>
      <c r="O372" s="7"/>
      <c r="P372" s="2" t="s">
        <v>5614</v>
      </c>
      <c r="Q372" s="7"/>
      <c r="R372" s="1"/>
      <c r="S372" s="1" t="str">
        <f>"1-21/NOS-17-A/19"</f>
        <v>1-21/NOS-17-A/19</v>
      </c>
      <c r="T372" s="1" t="s">
        <v>32</v>
      </c>
    </row>
    <row r="373" spans="1:20" ht="102" x14ac:dyDescent="0.25">
      <c r="A373" s="6">
        <v>370</v>
      </c>
      <c r="B373" s="1" t="str">
        <f t="shared" si="31"/>
        <v>2019-2381</v>
      </c>
      <c r="C373" s="1" t="s">
        <v>713</v>
      </c>
      <c r="D373" s="1" t="s">
        <v>653</v>
      </c>
      <c r="E373" s="1" t="str">
        <f>"2019/S 0F2-0032372"</f>
        <v>2019/S 0F2-0032372</v>
      </c>
      <c r="F373" s="1" t="s">
        <v>22</v>
      </c>
      <c r="G373" s="1" t="str">
        <f>CONCATENATE("I.B. JAZBINA D.O.O.,"," JAZBINA 151,"," 10000 ZAGREB,"," OIB: 77265033209")</f>
        <v>I.B. JAZBINA D.O.O., JAZBINA 151, 10000 ZAGREB, OIB: 77265033209</v>
      </c>
      <c r="H373" s="7"/>
      <c r="I373" s="8" t="s">
        <v>695</v>
      </c>
      <c r="J373" s="8" t="s">
        <v>696</v>
      </c>
      <c r="K373" s="6" t="str">
        <f>"890.000,00"</f>
        <v>890.000,00</v>
      </c>
      <c r="L373" s="6" t="str">
        <f>"222.500,00"</f>
        <v>222.500,00</v>
      </c>
      <c r="M373" s="6" t="str">
        <f>"1.112.500,00"</f>
        <v>1.112.500,00</v>
      </c>
      <c r="N373" s="8" t="s">
        <v>697</v>
      </c>
      <c r="O373" s="7"/>
      <c r="P373" s="2" t="s">
        <v>5614</v>
      </c>
      <c r="Q373" s="7"/>
      <c r="R373" s="1"/>
      <c r="S373" s="1" t="str">
        <f>"NOS-17-D/19"</f>
        <v>NOS-17-D/19</v>
      </c>
      <c r="T373" s="1" t="s">
        <v>32</v>
      </c>
    </row>
    <row r="374" spans="1:20" ht="306" x14ac:dyDescent="0.25">
      <c r="A374" s="6">
        <v>371</v>
      </c>
      <c r="B374" s="1" t="str">
        <f t="shared" si="31"/>
        <v>2019-2381</v>
      </c>
      <c r="C374" s="1" t="s">
        <v>714</v>
      </c>
      <c r="D374" s="1" t="s">
        <v>653</v>
      </c>
      <c r="E374" s="1" t="str">
        <f>"2019/S 0F2-0032372"</f>
        <v>2019/S 0F2-0032372</v>
      </c>
      <c r="F374" s="1" t="s">
        <v>22</v>
      </c>
      <c r="G374" s="1"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374" s="7"/>
      <c r="I374" s="8" t="s">
        <v>695</v>
      </c>
      <c r="J374" s="8" t="s">
        <v>696</v>
      </c>
      <c r="K374" s="6" t="str">
        <f>"4.050.000,00"</f>
        <v>4.050.000,00</v>
      </c>
      <c r="L374" s="6" t="str">
        <f>"1.012.500,00"</f>
        <v>1.012.500,00</v>
      </c>
      <c r="M374" s="6" t="str">
        <f>"5.062.500,00"</f>
        <v>5.062.500,00</v>
      </c>
      <c r="N374" s="8" t="s">
        <v>697</v>
      </c>
      <c r="O374" s="7"/>
      <c r="P374" s="2" t="s">
        <v>5614</v>
      </c>
      <c r="Q374" s="7"/>
      <c r="R374" s="1"/>
      <c r="S374" s="1" t="str">
        <f>"NOS-17-F/19"</f>
        <v>NOS-17-F/19</v>
      </c>
      <c r="T374" s="1" t="s">
        <v>32</v>
      </c>
    </row>
    <row r="375" spans="1:20" ht="306" x14ac:dyDescent="0.25">
      <c r="A375" s="6">
        <v>372</v>
      </c>
      <c r="B375" s="1" t="str">
        <f t="shared" si="31"/>
        <v>2019-2381</v>
      </c>
      <c r="C375" s="1" t="s">
        <v>715</v>
      </c>
      <c r="D375" s="1" t="s">
        <v>653</v>
      </c>
      <c r="E375" s="1" t="str">
        <f>""</f>
        <v/>
      </c>
      <c r="F375" s="1" t="s">
        <v>28</v>
      </c>
      <c r="G375" s="1"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375" s="7"/>
      <c r="I375" s="8" t="s">
        <v>698</v>
      </c>
      <c r="J375" s="8" t="s">
        <v>57</v>
      </c>
      <c r="K375" s="6" t="str">
        <f>"1.165.000,00"</f>
        <v>1.165.000,00</v>
      </c>
      <c r="L375" s="6" t="str">
        <f>"291.250,00"</f>
        <v>291.250,00</v>
      </c>
      <c r="M375" s="6" t="str">
        <f>"1.456.250,00"</f>
        <v>1.456.250,00</v>
      </c>
      <c r="N375" s="8" t="s">
        <v>170</v>
      </c>
      <c r="O375" s="7"/>
      <c r="P375" s="2" t="s">
        <v>5841</v>
      </c>
      <c r="Q375" s="7"/>
      <c r="R375" s="1"/>
      <c r="S375" s="1" t="str">
        <f>"2-21/NOS-17-F/19"</f>
        <v>2-21/NOS-17-F/19</v>
      </c>
      <c r="T375" s="1" t="s">
        <v>32</v>
      </c>
    </row>
    <row r="376" spans="1:20" ht="204" x14ac:dyDescent="0.25">
      <c r="A376" s="6">
        <v>373</v>
      </c>
      <c r="B376" s="1" t="str">
        <f t="shared" si="31"/>
        <v>2019-2381</v>
      </c>
      <c r="C376" s="1" t="s">
        <v>716</v>
      </c>
      <c r="D376" s="1" t="s">
        <v>653</v>
      </c>
      <c r="E376" s="1" t="str">
        <f>"2019/S 0F2-0032372"</f>
        <v>2019/S 0F2-0032372</v>
      </c>
      <c r="F376" s="1" t="s">
        <v>22</v>
      </c>
      <c r="G376" s="1"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376" s="7"/>
      <c r="I376" s="8" t="s">
        <v>695</v>
      </c>
      <c r="J376" s="8" t="s">
        <v>696</v>
      </c>
      <c r="K376" s="6" t="str">
        <f>"4.050.000,00"</f>
        <v>4.050.000,00</v>
      </c>
      <c r="L376" s="6" t="str">
        <f>"1.012.500,00"</f>
        <v>1.012.500,00</v>
      </c>
      <c r="M376" s="6" t="str">
        <f>"5.062.500,00"</f>
        <v>5.062.500,00</v>
      </c>
      <c r="N376" s="8" t="s">
        <v>697</v>
      </c>
      <c r="O376" s="7"/>
      <c r="P376" s="2" t="s">
        <v>5614</v>
      </c>
      <c r="Q376" s="7"/>
      <c r="R376" s="1"/>
      <c r="S376" s="1" t="str">
        <f>"NOS-17-G/19"</f>
        <v>NOS-17-G/19</v>
      </c>
      <c r="T376" s="1" t="s">
        <v>32</v>
      </c>
    </row>
    <row r="377" spans="1:20" ht="204" x14ac:dyDescent="0.25">
      <c r="A377" s="6">
        <v>374</v>
      </c>
      <c r="B377" s="1" t="str">
        <f t="shared" si="31"/>
        <v>2019-2381</v>
      </c>
      <c r="C377" s="1" t="s">
        <v>717</v>
      </c>
      <c r="D377" s="1" t="s">
        <v>653</v>
      </c>
      <c r="E377" s="1" t="str">
        <f>""</f>
        <v/>
      </c>
      <c r="F377" s="1" t="s">
        <v>28</v>
      </c>
      <c r="G377" s="1" t="str">
        <f>CONCATENATE("Zajednica ponuditelja",CHAR(10),"BISTRA-KOP OBRT,"," VL. MARKO ŠKRLIN-BATINA,"," BUKOVJE BISTRANSKO,"," M. GUPCA 11/1,","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11/1, 10298 DONJA BISTRA, OIB: 94184541105AUTOPRIJEVOZ I NISKOGRADNJA, vl. Zdravko Matija KARIVAROŠ 11, 49245 GORNJA STUBICA, OIB: 13084416237I.B. JAZBINA D.O.O. JAZBINA 151, 10000 ZAGREB, OIB: 77265033209</v>
      </c>
      <c r="H377" s="7"/>
      <c r="I377" s="8" t="s">
        <v>656</v>
      </c>
      <c r="J377" s="8" t="s">
        <v>41</v>
      </c>
      <c r="K377" s="6" t="str">
        <f>"1.125.000,00"</f>
        <v>1.125.000,00</v>
      </c>
      <c r="L377" s="6" t="str">
        <f>"281.250,00"</f>
        <v>281.250,00</v>
      </c>
      <c r="M377" s="6" t="str">
        <f>"1.406.250,00"</f>
        <v>1.406.250,00</v>
      </c>
      <c r="N377" s="8" t="s">
        <v>564</v>
      </c>
      <c r="O377" s="7"/>
      <c r="P377" s="2" t="s">
        <v>5842</v>
      </c>
      <c r="Q377" s="7"/>
      <c r="R377" s="1"/>
      <c r="S377" s="1" t="str">
        <f>"2-21/NOS-17-G/19"</f>
        <v>2-21/NOS-17-G/19</v>
      </c>
      <c r="T377" s="1" t="s">
        <v>32</v>
      </c>
    </row>
    <row r="378" spans="1:20" ht="89.25" x14ac:dyDescent="0.25">
      <c r="A378" s="6">
        <v>375</v>
      </c>
      <c r="B378" s="1" t="str">
        <f t="shared" si="31"/>
        <v>2019-2381</v>
      </c>
      <c r="C378" s="1" t="s">
        <v>718</v>
      </c>
      <c r="D378" s="1" t="s">
        <v>653</v>
      </c>
      <c r="E378" s="1" t="str">
        <f>"2019/S 0F2-0032372"</f>
        <v>2019/S 0F2-0032372</v>
      </c>
      <c r="F378" s="1" t="s">
        <v>22</v>
      </c>
      <c r="G378" s="1" t="str">
        <f>CONCATENATE("I.B. JAZBINA D.O.O.,"," JAZBINA 151,"," 10000 ZAGREB,"," OIB: 77265033209")</f>
        <v>I.B. JAZBINA D.O.O., JAZBINA 151, 10000 ZAGREB, OIB: 77265033209</v>
      </c>
      <c r="H378" s="7"/>
      <c r="I378" s="8" t="s">
        <v>695</v>
      </c>
      <c r="J378" s="8" t="s">
        <v>696</v>
      </c>
      <c r="K378" s="6" t="str">
        <f>"2.050.000,00"</f>
        <v>2.050.000,00</v>
      </c>
      <c r="L378" s="6" t="str">
        <f>"512.500,00"</f>
        <v>512.500,00</v>
      </c>
      <c r="M378" s="6" t="str">
        <f>"2.562.500,00"</f>
        <v>2.562.500,00</v>
      </c>
      <c r="N378" s="8" t="s">
        <v>697</v>
      </c>
      <c r="O378" s="7"/>
      <c r="P378" s="2" t="s">
        <v>5614</v>
      </c>
      <c r="Q378" s="7"/>
      <c r="R378" s="1"/>
      <c r="S378" s="1" t="str">
        <f>"NOS-17-H/19"</f>
        <v>NOS-17-H/19</v>
      </c>
      <c r="T378" s="1" t="s">
        <v>32</v>
      </c>
    </row>
    <row r="379" spans="1:20" ht="102" x14ac:dyDescent="0.25">
      <c r="A379" s="6">
        <v>376</v>
      </c>
      <c r="B379" s="1" t="str">
        <f t="shared" si="31"/>
        <v>2019-2381</v>
      </c>
      <c r="C379" s="1" t="s">
        <v>719</v>
      </c>
      <c r="D379" s="1" t="s">
        <v>653</v>
      </c>
      <c r="E379" s="1" t="str">
        <f>""</f>
        <v/>
      </c>
      <c r="F379" s="1" t="s">
        <v>28</v>
      </c>
      <c r="G379" s="1" t="str">
        <f>CONCATENATE("I.B. JAZBINA D.O.O.,"," JAZBINA 151,"," 10000 ZAGREB,"," OIB: 77265033209")</f>
        <v>I.B. JAZBINA D.O.O., JAZBINA 151, 10000 ZAGREB, OIB: 77265033209</v>
      </c>
      <c r="H379" s="7"/>
      <c r="I379" s="8" t="s">
        <v>80</v>
      </c>
      <c r="J379" s="8" t="s">
        <v>57</v>
      </c>
      <c r="K379" s="6" t="str">
        <f>"720.000,00"</f>
        <v>720.000,00</v>
      </c>
      <c r="L379" s="6" t="str">
        <f>"180.000,00"</f>
        <v>180.000,00</v>
      </c>
      <c r="M379" s="6" t="str">
        <f>"900.000,00"</f>
        <v>900.000,00</v>
      </c>
      <c r="N379" s="8" t="s">
        <v>170</v>
      </c>
      <c r="O379" s="7"/>
      <c r="P379" s="2" t="s">
        <v>5843</v>
      </c>
      <c r="Q379" s="7"/>
      <c r="R379" s="1"/>
      <c r="S379" s="1" t="str">
        <f>"3-21/NOS-17-H/19"</f>
        <v>3-21/NOS-17-H/19</v>
      </c>
      <c r="T379" s="1" t="s">
        <v>32</v>
      </c>
    </row>
    <row r="380" spans="1:20" ht="76.5" x14ac:dyDescent="0.25">
      <c r="A380" s="6">
        <v>377</v>
      </c>
      <c r="B380" s="1" t="str">
        <f t="shared" si="31"/>
        <v>2019-2381</v>
      </c>
      <c r="C380" s="1" t="s">
        <v>720</v>
      </c>
      <c r="D380" s="1" t="s">
        <v>653</v>
      </c>
      <c r="E380" s="1" t="str">
        <f>"2019/S 0F2-0032372"</f>
        <v>2019/S 0F2-0032372</v>
      </c>
      <c r="F380" s="1" t="s">
        <v>22</v>
      </c>
      <c r="G380" s="1" t="str">
        <f>CONCATENATE("I.B. JAZBINA D.O.O.,"," JAZBINA 151,"," 10000 ZAGREB,"," OIB: 77265033209")</f>
        <v>I.B. JAZBINA D.O.O., JAZBINA 151, 10000 ZAGREB, OIB: 77265033209</v>
      </c>
      <c r="H380" s="7"/>
      <c r="I380" s="8" t="s">
        <v>705</v>
      </c>
      <c r="J380" s="8" t="s">
        <v>93</v>
      </c>
      <c r="K380" s="6" t="str">
        <f>"400.000,00"</f>
        <v>400.000,00</v>
      </c>
      <c r="L380" s="6" t="str">
        <f>"100.000,00"</f>
        <v>100.000,00</v>
      </c>
      <c r="M380" s="6" t="str">
        <f>"500.000,00"</f>
        <v>500.000,00</v>
      </c>
      <c r="N380" s="8" t="s">
        <v>103</v>
      </c>
      <c r="O380" s="7"/>
      <c r="P380" s="2" t="s">
        <v>5614</v>
      </c>
      <c r="Q380" s="7"/>
      <c r="R380" s="1"/>
      <c r="S380" s="1" t="str">
        <f>"NOS-17-K/19"</f>
        <v>NOS-17-K/19</v>
      </c>
      <c r="T380" s="1" t="s">
        <v>32</v>
      </c>
    </row>
    <row r="381" spans="1:20" ht="102" x14ac:dyDescent="0.25">
      <c r="A381" s="6">
        <v>378</v>
      </c>
      <c r="B381" s="1" t="str">
        <f t="shared" si="31"/>
        <v>2019-2381</v>
      </c>
      <c r="C381" s="1" t="s">
        <v>721</v>
      </c>
      <c r="D381" s="1" t="s">
        <v>653</v>
      </c>
      <c r="E381" s="1" t="str">
        <f>"2019/S 0F2-0032372"</f>
        <v>2019/S 0F2-0032372</v>
      </c>
      <c r="F381" s="1" t="s">
        <v>22</v>
      </c>
      <c r="G381" s="1" t="str">
        <f>CONCATENATE("AUTOPRIJEVOZ SMOLKOVIĆ D.O.O. ZA USLUGE,"," MIŠKININA 34A,"," 10020 ZAGREB-NOVI ZAGREB,"," OIB: 69521492758")</f>
        <v>AUTOPRIJEVOZ SMOLKOVIĆ D.O.O. ZA USLUGE, MIŠKININA 34A, 10020 ZAGREB-NOVI ZAGREB, OIB: 69521492758</v>
      </c>
      <c r="H381" s="7"/>
      <c r="I381" s="8" t="s">
        <v>695</v>
      </c>
      <c r="J381" s="8" t="s">
        <v>696</v>
      </c>
      <c r="K381" s="6" t="str">
        <f>"3.900.000,00"</f>
        <v>3.900.000,00</v>
      </c>
      <c r="L381" s="6" t="str">
        <f>"975.000,00"</f>
        <v>975.000,00</v>
      </c>
      <c r="M381" s="6" t="str">
        <f>"4.875.000,00"</f>
        <v>4.875.000,00</v>
      </c>
      <c r="N381" s="8" t="s">
        <v>182</v>
      </c>
      <c r="O381" s="7"/>
      <c r="P381" s="2" t="s">
        <v>5614</v>
      </c>
      <c r="Q381" s="7"/>
      <c r="R381" s="1"/>
      <c r="S381" s="1" t="str">
        <f>"NOS-17-L/19"</f>
        <v>NOS-17-L/19</v>
      </c>
      <c r="T381" s="1" t="s">
        <v>32</v>
      </c>
    </row>
    <row r="382" spans="1:20" ht="114.75" x14ac:dyDescent="0.25">
      <c r="A382" s="6">
        <v>379</v>
      </c>
      <c r="B382" s="1" t="str">
        <f t="shared" si="31"/>
        <v>2019-2381</v>
      </c>
      <c r="C382" s="1" t="s">
        <v>722</v>
      </c>
      <c r="D382" s="1" t="s">
        <v>653</v>
      </c>
      <c r="E382" s="1" t="str">
        <f>""</f>
        <v/>
      </c>
      <c r="F382" s="1" t="s">
        <v>28</v>
      </c>
      <c r="G382" s="1" t="str">
        <f>CONCATENATE("AUTOPRIJEVOZ SMOLKOVIĆ D.O.O. ZA USLUGE,"," MIŠKININA 34A,"," 10020 ZAGREB-NOVI ZAGREB,"," OIB: 69521492758")</f>
        <v>AUTOPRIJEVOZ SMOLKOVIĆ D.O.O. ZA USLUGE, MIŠKININA 34A, 10020 ZAGREB-NOVI ZAGREB, OIB: 69521492758</v>
      </c>
      <c r="H382" s="7"/>
      <c r="I382" s="8" t="s">
        <v>656</v>
      </c>
      <c r="J382" s="8" t="s">
        <v>41</v>
      </c>
      <c r="K382" s="6" t="str">
        <f>"261.000,00"</f>
        <v>261.000,00</v>
      </c>
      <c r="L382" s="6" t="str">
        <f>"65.250,00"</f>
        <v>65.250,00</v>
      </c>
      <c r="M382" s="6" t="str">
        <f>"326.250,00"</f>
        <v>326.250,00</v>
      </c>
      <c r="N382" s="8" t="s">
        <v>723</v>
      </c>
      <c r="O382" s="7"/>
      <c r="P382" s="2" t="s">
        <v>5844</v>
      </c>
      <c r="Q382" s="7"/>
      <c r="R382" s="1"/>
      <c r="S382" s="1" t="str">
        <f>"2-21/NOS-17-L/19"</f>
        <v>2-21/NOS-17-L/19</v>
      </c>
      <c r="T382" s="1" t="s">
        <v>32</v>
      </c>
    </row>
    <row r="383" spans="1:20" ht="114.75" x14ac:dyDescent="0.25">
      <c r="A383" s="6">
        <v>380</v>
      </c>
      <c r="B383" s="1" t="str">
        <f t="shared" si="31"/>
        <v>2019-2381</v>
      </c>
      <c r="C383" s="1" t="s">
        <v>724</v>
      </c>
      <c r="D383" s="1" t="s">
        <v>653</v>
      </c>
      <c r="E383" s="1" t="str">
        <f>"2019/S 0F2-0032372"</f>
        <v>2019/S 0F2-0032372</v>
      </c>
      <c r="F383" s="1" t="s">
        <v>22</v>
      </c>
      <c r="G383" s="1"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383" s="7"/>
      <c r="I383" s="8" t="s">
        <v>725</v>
      </c>
      <c r="J383" s="8" t="s">
        <v>598</v>
      </c>
      <c r="K383" s="6" t="str">
        <f>"3.200.000,00"</f>
        <v>3.200.000,00</v>
      </c>
      <c r="L383" s="6" t="str">
        <f>"800.000,00"</f>
        <v>800.000,00</v>
      </c>
      <c r="M383" s="6" t="str">
        <f>"4.000.000,00"</f>
        <v>4.000.000,00</v>
      </c>
      <c r="N383" s="8" t="s">
        <v>183</v>
      </c>
      <c r="O383" s="7"/>
      <c r="P383" s="2" t="s">
        <v>5614</v>
      </c>
      <c r="Q383" s="7"/>
      <c r="R383" s="1"/>
      <c r="S383" s="1" t="str">
        <f>"NOS-17-M/19"</f>
        <v>NOS-17-M/19</v>
      </c>
      <c r="T383" s="1" t="s">
        <v>32</v>
      </c>
    </row>
    <row r="384" spans="1:20" ht="114.75" x14ac:dyDescent="0.25">
      <c r="A384" s="6">
        <v>381</v>
      </c>
      <c r="B384" s="1" t="str">
        <f t="shared" si="31"/>
        <v>2019-2381</v>
      </c>
      <c r="C384" s="1" t="s">
        <v>726</v>
      </c>
      <c r="D384" s="1" t="s">
        <v>653</v>
      </c>
      <c r="E384" s="1" t="str">
        <f>""</f>
        <v/>
      </c>
      <c r="F384" s="1" t="s">
        <v>28</v>
      </c>
      <c r="G384" s="1"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384" s="7"/>
      <c r="I384" s="8" t="s">
        <v>616</v>
      </c>
      <c r="J384" s="8" t="s">
        <v>41</v>
      </c>
      <c r="K384" s="6" t="str">
        <f>"80.760,00"</f>
        <v>80.760,00</v>
      </c>
      <c r="L384" s="6" t="str">
        <f>"20.190,00"</f>
        <v>20.190,00</v>
      </c>
      <c r="M384" s="6" t="str">
        <f>"100.950,00"</f>
        <v>100.950,00</v>
      </c>
      <c r="N384" s="8" t="s">
        <v>607</v>
      </c>
      <c r="O384" s="7"/>
      <c r="P384" s="2" t="s">
        <v>5845</v>
      </c>
      <c r="Q384" s="1"/>
      <c r="R384" s="1"/>
      <c r="S384" s="1" t="str">
        <f>"2-21/NOS-17-M/19"</f>
        <v>2-21/NOS-17-M/19</v>
      </c>
      <c r="T384" s="1" t="s">
        <v>32</v>
      </c>
    </row>
    <row r="385" spans="1:20" ht="204" x14ac:dyDescent="0.25">
      <c r="A385" s="6">
        <v>382</v>
      </c>
      <c r="B385" s="1" t="str">
        <f t="shared" si="31"/>
        <v>2019-2381</v>
      </c>
      <c r="C385" s="1" t="s">
        <v>728</v>
      </c>
      <c r="D385" s="1" t="s">
        <v>653</v>
      </c>
      <c r="E385" s="1" t="str">
        <f>"2019/S 0F2-0032372"</f>
        <v>2019/S 0F2-0032372</v>
      </c>
      <c r="F385" s="1" t="s">
        <v>22</v>
      </c>
      <c r="G385" s="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385" s="7"/>
      <c r="I385" s="8" t="s">
        <v>695</v>
      </c>
      <c r="J385" s="8" t="s">
        <v>696</v>
      </c>
      <c r="K385" s="6" t="str">
        <f>"4.380.000,00"</f>
        <v>4.380.000,00</v>
      </c>
      <c r="L385" s="6" t="str">
        <f>"1.095.000,00"</f>
        <v>1.095.000,00</v>
      </c>
      <c r="M385" s="6" t="str">
        <f>"5.475.000,00"</f>
        <v>5.475.000,00</v>
      </c>
      <c r="N385" s="8" t="s">
        <v>697</v>
      </c>
      <c r="O385" s="7"/>
      <c r="P385" s="2" t="s">
        <v>5614</v>
      </c>
      <c r="Q385" s="7"/>
      <c r="R385" s="1"/>
      <c r="S385" s="1" t="str">
        <f>"NOS-17-N/19"</f>
        <v>NOS-17-N/19</v>
      </c>
      <c r="T385" s="1" t="s">
        <v>32</v>
      </c>
    </row>
    <row r="386" spans="1:20" ht="204" x14ac:dyDescent="0.25">
      <c r="A386" s="6">
        <v>383</v>
      </c>
      <c r="B386" s="1" t="str">
        <f t="shared" si="31"/>
        <v>2019-2381</v>
      </c>
      <c r="C386" s="1" t="s">
        <v>729</v>
      </c>
      <c r="D386" s="1" t="s">
        <v>653</v>
      </c>
      <c r="E386" s="1" t="str">
        <f>""</f>
        <v/>
      </c>
      <c r="F386" s="1" t="s">
        <v>28</v>
      </c>
      <c r="G386" s="1" t="str">
        <f>CONCATENATE("Zajednica ponuditelja",CHAR(10),"AUTOPRIJEVOZ SMOLKOVIĆ D.O.O. ZA USLUGE,"," MIŠKININA 34A,"," 10020 ZAGREB-NOVI ZAGREB,"," OIB: 69521492758BISTRA-KOP OBRT,"," VL. MARKO ŠKRLIN-BATINA BUKOVJE BISTRANSKO,"," M. GUPCA 11/1,"," 10298 DONJA BISTRA,"," OIB: 94184541105I.B. JAZBINA D.O.O. JAZBINA 151,"," 10000 ZAGREB,"," OIB: 77265033209")</f>
        <v>Zajednica ponuditelja
AUTOPRIJEVOZ SMOLKOVIĆ D.O.O. ZA USLUGE, MIŠKININA 34A, 10020 ZAGREB-NOVI ZAGREB, OIB: 69521492758BISTRA-KOP OBRT, VL. MARKO ŠKRLIN-BATINA BUKOVJE BISTRANSKO, M. GUPCA 11/1, 10298 DONJA BISTRA, OIB: 94184541105I.B. JAZBINA D.O.O. JAZBINA 151, 10000 ZAGREB, OIB: 77265033209</v>
      </c>
      <c r="H386" s="7"/>
      <c r="I386" s="8" t="s">
        <v>656</v>
      </c>
      <c r="J386" s="8" t="s">
        <v>41</v>
      </c>
      <c r="K386" s="6" t="str">
        <f>"967.500,00"</f>
        <v>967.500,00</v>
      </c>
      <c r="L386" s="6" t="str">
        <f>"241.875,00"</f>
        <v>241.875,00</v>
      </c>
      <c r="M386" s="6" t="str">
        <f>"1.209.375,00"</f>
        <v>1.209.375,00</v>
      </c>
      <c r="N386" s="8" t="s">
        <v>501</v>
      </c>
      <c r="O386" s="7"/>
      <c r="P386" s="2" t="s">
        <v>5846</v>
      </c>
      <c r="Q386" s="7"/>
      <c r="R386" s="1"/>
      <c r="S386" s="1" t="str">
        <f>"3-21/NOS-17-N/19"</f>
        <v>3-21/NOS-17-N/19</v>
      </c>
      <c r="T386" s="1" t="s">
        <v>32</v>
      </c>
    </row>
    <row r="387" spans="1:20" ht="140.25" x14ac:dyDescent="0.25">
      <c r="A387" s="6">
        <v>384</v>
      </c>
      <c r="B387" s="1" t="str">
        <f t="shared" si="31"/>
        <v>2019-2381</v>
      </c>
      <c r="C387" s="1" t="s">
        <v>730</v>
      </c>
      <c r="D387" s="1" t="s">
        <v>653</v>
      </c>
      <c r="E387" s="1" t="str">
        <f>"2019/S 0F2-0032372"</f>
        <v>2019/S 0F2-0032372</v>
      </c>
      <c r="F387" s="1" t="s">
        <v>22</v>
      </c>
      <c r="G387" s="1" t="str">
        <f>CONCATENATE("I.B. JAZBINA D.O.O.,"," JAZBINA 151,"," 10000 ZAGREB,"," OIB: 77265033209")</f>
        <v>I.B. JAZBINA D.O.O., JAZBINA 151, 10000 ZAGREB, OIB: 77265033209</v>
      </c>
      <c r="H387" s="7"/>
      <c r="I387" s="8" t="s">
        <v>695</v>
      </c>
      <c r="J387" s="8" t="s">
        <v>696</v>
      </c>
      <c r="K387" s="6" t="str">
        <f>"3.650.000,00"</f>
        <v>3.650.000,00</v>
      </c>
      <c r="L387" s="6" t="str">
        <f>"912.500,00"</f>
        <v>912.500,00</v>
      </c>
      <c r="M387" s="6" t="str">
        <f>"4.562.500,00"</f>
        <v>4.562.500,00</v>
      </c>
      <c r="N387" s="8" t="s">
        <v>697</v>
      </c>
      <c r="O387" s="7"/>
      <c r="P387" s="2" t="s">
        <v>5614</v>
      </c>
      <c r="Q387" s="7"/>
      <c r="R387" s="1"/>
      <c r="S387" s="1" t="str">
        <f>"NOS-17-O/19"</f>
        <v>NOS-17-O/19</v>
      </c>
      <c r="T387" s="1" t="s">
        <v>32</v>
      </c>
    </row>
    <row r="388" spans="1:20" ht="153" x14ac:dyDescent="0.25">
      <c r="A388" s="6">
        <v>385</v>
      </c>
      <c r="B388" s="1" t="str">
        <f t="shared" si="31"/>
        <v>2019-2381</v>
      </c>
      <c r="C388" s="1" t="s">
        <v>731</v>
      </c>
      <c r="D388" s="1" t="s">
        <v>653</v>
      </c>
      <c r="E388" s="1" t="str">
        <f>""</f>
        <v/>
      </c>
      <c r="F388" s="1" t="s">
        <v>28</v>
      </c>
      <c r="G388" s="1" t="str">
        <f>CONCATENATE("I.B. JAZBINA D.O.O.,"," JAZBINA 151,"," 10000 ZAGREB,"," OIB: 77265033209")</f>
        <v>I.B. JAZBINA D.O.O., JAZBINA 151, 10000 ZAGREB, OIB: 77265033209</v>
      </c>
      <c r="H388" s="7"/>
      <c r="I388" s="8" t="s">
        <v>656</v>
      </c>
      <c r="J388" s="8" t="s">
        <v>41</v>
      </c>
      <c r="K388" s="6" t="str">
        <f>"855.000,00"</f>
        <v>855.000,00</v>
      </c>
      <c r="L388" s="6" t="str">
        <f>"213.750,00"</f>
        <v>213.750,00</v>
      </c>
      <c r="M388" s="6" t="str">
        <f>"1.068.750,00"</f>
        <v>1.068.750,00</v>
      </c>
      <c r="N388" s="8" t="s">
        <v>732</v>
      </c>
      <c r="O388" s="7"/>
      <c r="P388" s="2" t="s">
        <v>5847</v>
      </c>
      <c r="Q388" s="7"/>
      <c r="R388" s="1"/>
      <c r="S388" s="1" t="str">
        <f>"2-21/NOS-17-O/19"</f>
        <v>2-21/NOS-17-O/19</v>
      </c>
      <c r="T388" s="1" t="s">
        <v>32</v>
      </c>
    </row>
    <row r="389" spans="1:20" ht="89.25" x14ac:dyDescent="0.25">
      <c r="A389" s="6">
        <v>386</v>
      </c>
      <c r="B389" s="1" t="str">
        <f t="shared" si="31"/>
        <v>2019-2381</v>
      </c>
      <c r="C389" s="1" t="s">
        <v>733</v>
      </c>
      <c r="D389" s="1" t="s">
        <v>653</v>
      </c>
      <c r="E389" s="1" t="str">
        <f>"2019/S 0F2-0032372"</f>
        <v>2019/S 0F2-0032372</v>
      </c>
      <c r="F389" s="1" t="s">
        <v>22</v>
      </c>
      <c r="G389" s="1" t="str">
        <f>CONCATENATE("POLJO-PROM,"," VL. ZLATKO KRIŽANIĆ,"," HRAŠĆE TUROPOLJSKO,"," KRIŽANIĆI 27,"," 10020 ZAGREB-NOVI ZAGREB,"," OIB: 22277452223")</f>
        <v>POLJO-PROM, VL. ZLATKO KRIŽANIĆ, HRAŠĆE TUROPOLJSKO, KRIŽANIĆI 27, 10020 ZAGREB-NOVI ZAGREB, OIB: 22277452223</v>
      </c>
      <c r="H389" s="7"/>
      <c r="I389" s="8" t="s">
        <v>695</v>
      </c>
      <c r="J389" s="8" t="s">
        <v>696</v>
      </c>
      <c r="K389" s="6" t="str">
        <f>"2.500.000,00"</f>
        <v>2.500.000,00</v>
      </c>
      <c r="L389" s="6" t="str">
        <f>"625.000,00"</f>
        <v>625.000,00</v>
      </c>
      <c r="M389" s="6" t="str">
        <f>"3.125.000,00"</f>
        <v>3.125.000,00</v>
      </c>
      <c r="N389" s="8" t="s">
        <v>697</v>
      </c>
      <c r="O389" s="7"/>
      <c r="P389" s="2" t="s">
        <v>5848</v>
      </c>
      <c r="Q389" s="7"/>
      <c r="R389" s="1"/>
      <c r="S389" s="1" t="str">
        <f>"NOS-17-T/19"</f>
        <v>NOS-17-T/19</v>
      </c>
      <c r="T389" s="1" t="s">
        <v>32</v>
      </c>
    </row>
    <row r="390" spans="1:20" ht="114.75" x14ac:dyDescent="0.25">
      <c r="A390" s="6">
        <v>387</v>
      </c>
      <c r="B390" s="1" t="str">
        <f t="shared" si="31"/>
        <v>2019-2381</v>
      </c>
      <c r="C390" s="1" t="s">
        <v>734</v>
      </c>
      <c r="D390" s="1" t="s">
        <v>653</v>
      </c>
      <c r="E390" s="1" t="str">
        <f>""</f>
        <v/>
      </c>
      <c r="F390" s="1" t="s">
        <v>28</v>
      </c>
      <c r="G390" s="1" t="str">
        <f>CONCATENATE("POLJO-PROM,"," VL. ZLATKO KRIŽANIĆ,"," HRAŠĆE TUROPOLJSKO,"," KRIŽANIĆI 27,"," 10020 ZAGREB-NOVI ZAGREB,"," OIB: 22277452223")</f>
        <v>POLJO-PROM, VL. ZLATKO KRIŽANIĆ, HRAŠĆE TUROPOLJSKO, KRIŽANIĆI 27, 10020 ZAGREB-NOVI ZAGREB, OIB: 22277452223</v>
      </c>
      <c r="H390" s="7"/>
      <c r="I390" s="8" t="s">
        <v>735</v>
      </c>
      <c r="J390" s="8" t="s">
        <v>123</v>
      </c>
      <c r="K390" s="6" t="str">
        <f>"555.840,00"</f>
        <v>555.840,00</v>
      </c>
      <c r="L390" s="6" t="str">
        <f>"138.960,00"</f>
        <v>138.960,00</v>
      </c>
      <c r="M390" s="6" t="str">
        <f>"694.800,00"</f>
        <v>694.800,00</v>
      </c>
      <c r="N390" s="8" t="s">
        <v>669</v>
      </c>
      <c r="O390" s="7"/>
      <c r="P390" s="2" t="s">
        <v>5849</v>
      </c>
      <c r="Q390" s="1"/>
      <c r="R390" s="1"/>
      <c r="S390" s="1" t="str">
        <f>"1-22/NOS-17-T/19"</f>
        <v>1-22/NOS-17-T/19</v>
      </c>
      <c r="T390" s="1" t="s">
        <v>32</v>
      </c>
    </row>
    <row r="391" spans="1:20" ht="102" x14ac:dyDescent="0.25">
      <c r="A391" s="6">
        <v>388</v>
      </c>
      <c r="B391" s="1" t="str">
        <f t="shared" si="31"/>
        <v>2019-2381</v>
      </c>
      <c r="C391" s="1" t="s">
        <v>736</v>
      </c>
      <c r="D391" s="1" t="s">
        <v>653</v>
      </c>
      <c r="E391" s="1" t="str">
        <f>"2019/S 0F2-0032372"</f>
        <v>2019/S 0F2-0032372</v>
      </c>
      <c r="F391" s="1" t="s">
        <v>22</v>
      </c>
      <c r="G391" s="1" t="str">
        <f>CONCATENATE("I.B. JAZBINA D.O.O.,"," JAZBINA 151,"," 10000 ZAGREB,"," OIB: 77265033209")</f>
        <v>I.B. JAZBINA D.O.O., JAZBINA 151, 10000 ZAGREB, OIB: 77265033209</v>
      </c>
      <c r="H391" s="7"/>
      <c r="I391" s="8" t="s">
        <v>705</v>
      </c>
      <c r="J391" s="8" t="s">
        <v>93</v>
      </c>
      <c r="K391" s="6" t="str">
        <f>"500.000,00"</f>
        <v>500.000,00</v>
      </c>
      <c r="L391" s="6" t="str">
        <f>"125.000,00"</f>
        <v>125.000,00</v>
      </c>
      <c r="M391" s="6" t="str">
        <f>"625.000,00"</f>
        <v>625.000,00</v>
      </c>
      <c r="N391" s="8" t="s">
        <v>103</v>
      </c>
      <c r="O391" s="7"/>
      <c r="P391" s="2" t="s">
        <v>5614</v>
      </c>
      <c r="Q391" s="7"/>
      <c r="R391" s="1"/>
      <c r="S391" s="1" t="str">
        <f>"NOS-17-U/19"</f>
        <v>NOS-17-U/19</v>
      </c>
      <c r="T391" s="1" t="s">
        <v>32</v>
      </c>
    </row>
    <row r="392" spans="1:20" ht="127.5" x14ac:dyDescent="0.25">
      <c r="A392" s="6">
        <v>389</v>
      </c>
      <c r="B392" s="1" t="str">
        <f t="shared" si="31"/>
        <v>2019-2381</v>
      </c>
      <c r="C392" s="1" t="s">
        <v>737</v>
      </c>
      <c r="D392" s="1" t="s">
        <v>653</v>
      </c>
      <c r="E392" s="1" t="str">
        <f>""</f>
        <v/>
      </c>
      <c r="F392" s="1" t="s">
        <v>28</v>
      </c>
      <c r="G392" s="1" t="str">
        <f>CONCATENATE("I.B. JAZBINA D.O.O.,"," JAZBINA 151,"," 10000 ZAGREB,"," OIB: 77265033209")</f>
        <v>I.B. JAZBINA D.O.O., JAZBINA 151, 10000 ZAGREB, OIB: 77265033209</v>
      </c>
      <c r="H392" s="7"/>
      <c r="I392" s="8" t="s">
        <v>735</v>
      </c>
      <c r="J392" s="8" t="s">
        <v>123</v>
      </c>
      <c r="K392" s="6" t="str">
        <f>"244.250,00"</f>
        <v>244.250,00</v>
      </c>
      <c r="L392" s="6" t="str">
        <f>"61.062,50"</f>
        <v>61.062,50</v>
      </c>
      <c r="M392" s="6" t="str">
        <f>"305.312,50"</f>
        <v>305.312,50</v>
      </c>
      <c r="N392" s="8" t="s">
        <v>383</v>
      </c>
      <c r="O392" s="7"/>
      <c r="P392" s="2" t="s">
        <v>5850</v>
      </c>
      <c r="Q392" s="1"/>
      <c r="R392" s="1"/>
      <c r="S392" s="1" t="str">
        <f>"1-22/NOS-17-U/19"</f>
        <v>1-22/NOS-17-U/19</v>
      </c>
      <c r="T392" s="1" t="s">
        <v>32</v>
      </c>
    </row>
    <row r="393" spans="1:20" ht="51" x14ac:dyDescent="0.25">
      <c r="A393" s="6">
        <v>390</v>
      </c>
      <c r="B393" s="1" t="str">
        <f>"2019-596"</f>
        <v>2019-596</v>
      </c>
      <c r="C393" s="1" t="s">
        <v>738</v>
      </c>
      <c r="D393" s="1" t="s">
        <v>74</v>
      </c>
      <c r="E393" s="1" t="str">
        <f>" 2019/S 0F2-0047476"</f>
        <v xml:space="preserve"> 2019/S 0F2-0047476</v>
      </c>
      <c r="F393" s="1" t="s">
        <v>22</v>
      </c>
      <c r="G393" s="1" t="str">
        <f>CONCATENATE("PROTOK D.O.O.,"," NEHAJSKA 10,"," 10000 ZAGREB,"," OIB: 47432555")</f>
        <v>PROTOK D.O.O., NEHAJSKA 10, 10000 ZAGREB, OIB: 47432555</v>
      </c>
      <c r="H393" s="7"/>
      <c r="I393" s="8" t="s">
        <v>739</v>
      </c>
      <c r="J393" s="8" t="s">
        <v>239</v>
      </c>
      <c r="K393" s="6" t="str">
        <f>"1.100.000,00"</f>
        <v>1.100.000,00</v>
      </c>
      <c r="L393" s="6" t="str">
        <f>"275.000,00"</f>
        <v>275.000,00</v>
      </c>
      <c r="M393" s="6" t="str">
        <f>"1.375.000,00"</f>
        <v>1.375.000,00</v>
      </c>
      <c r="N393" s="8" t="s">
        <v>226</v>
      </c>
      <c r="O393" s="7"/>
      <c r="P393" s="2" t="s">
        <v>5614</v>
      </c>
      <c r="Q393" s="7"/>
      <c r="R393" s="1"/>
      <c r="S393" s="1" t="str">
        <f>"NOS-80/19"</f>
        <v>NOS-80/19</v>
      </c>
      <c r="T393" s="1" t="s">
        <v>55</v>
      </c>
    </row>
    <row r="394" spans="1:20" ht="51" x14ac:dyDescent="0.25">
      <c r="A394" s="6">
        <v>391</v>
      </c>
      <c r="B394" s="1" t="str">
        <f>"2019-596"</f>
        <v>2019-596</v>
      </c>
      <c r="C394" s="1" t="s">
        <v>738</v>
      </c>
      <c r="D394" s="1" t="s">
        <v>78</v>
      </c>
      <c r="E394" s="1" t="str">
        <f>""</f>
        <v/>
      </c>
      <c r="F394" s="1" t="s">
        <v>28</v>
      </c>
      <c r="G394" s="1" t="str">
        <f>CONCATENATE("PROTOK D.O.O.,"," NEHAJSKA 10,"," 10000 ZAGREB,"," OIB: 47432555")</f>
        <v>PROTOK D.O.O., NEHAJSKA 10, 10000 ZAGREB, OIB: 47432555</v>
      </c>
      <c r="H394" s="7"/>
      <c r="I394" s="8" t="s">
        <v>182</v>
      </c>
      <c r="J394" s="8" t="s">
        <v>89</v>
      </c>
      <c r="K394" s="6" t="str">
        <f>"137.120,00"</f>
        <v>137.120,00</v>
      </c>
      <c r="L394" s="6" t="str">
        <f>"34.280,00"</f>
        <v>34.280,00</v>
      </c>
      <c r="M394" s="6" t="str">
        <f>"171.400,00"</f>
        <v>171.400,00</v>
      </c>
      <c r="N394" s="8" t="s">
        <v>145</v>
      </c>
      <c r="O394" s="7"/>
      <c r="P394" s="2" t="s">
        <v>5851</v>
      </c>
      <c r="Q394" s="7"/>
      <c r="R394" s="1"/>
      <c r="S394" s="1" t="str">
        <f>"2-21/NOS-80/19"</f>
        <v>2-21/NOS-80/19</v>
      </c>
      <c r="T394" s="1" t="s">
        <v>55</v>
      </c>
    </row>
    <row r="395" spans="1:20" ht="204" x14ac:dyDescent="0.25">
      <c r="A395" s="6">
        <v>392</v>
      </c>
      <c r="B395" s="1" t="str">
        <f>"2019-2387"</f>
        <v>2019-2387</v>
      </c>
      <c r="C395" s="1" t="s">
        <v>740</v>
      </c>
      <c r="D395" s="1" t="s">
        <v>741</v>
      </c>
      <c r="E395" s="1" t="str">
        <f>"2019/S 0F2-0028712"</f>
        <v>2019/S 0F2-0028712</v>
      </c>
      <c r="F395" s="1" t="s">
        <v>22</v>
      </c>
      <c r="G395" s="1" t="str">
        <f>CONCATENATE("PISMORAD D.O.O.,"," INDUSTRIJSKA 5,"," 10431 SVETA NEDELJA-NOVAKI,"," OIB: 33260306505",CHAR(10),"",CHAR(10),"SIGNALGRAD D.O.O.,"," RAKITJE,"," VELEBITSKA 1,"," 10437 BESTOVJE,"," OIB: 00513519279",CHAR(10),"",CHAR(10),"HELIOS HRVATSKA D.O.O.,"," RADNIČKA CESTA 173D,"," 10000 ZAGREB,"," OIB: 5192543657")</f>
        <v>PISMORAD D.O.O., INDUSTRIJSKA 5, 10431 SVETA NEDELJA-NOVAKI, OIB: 33260306505
SIGNALGRAD D.O.O., RAKITJE, VELEBITSKA 1, 10437 BESTOVJE, OIB: 00513519279
HELIOS HRVATSKA D.O.O., RADNIČKA CESTA 173D, 10000 ZAGREB, OIB: 5192543657</v>
      </c>
      <c r="H395" s="7"/>
      <c r="I395" s="8" t="s">
        <v>742</v>
      </c>
      <c r="J395" s="8" t="s">
        <v>743</v>
      </c>
      <c r="K395" s="6" t="str">
        <f>"3.000.000,00"</f>
        <v>3.000.000,00</v>
      </c>
      <c r="L395" s="6" t="str">
        <f>"750.000,00"</f>
        <v>750.000,00</v>
      </c>
      <c r="M395" s="6" t="str">
        <f>"3.750.000,00"</f>
        <v>3.750.000,00</v>
      </c>
      <c r="N395" s="8" t="s">
        <v>744</v>
      </c>
      <c r="O395" s="7"/>
      <c r="P395" s="2" t="s">
        <v>5614</v>
      </c>
      <c r="Q395" s="7"/>
      <c r="R395" s="1"/>
      <c r="S395" s="1" t="str">
        <f>"NOS-79/19"</f>
        <v>NOS-79/19</v>
      </c>
      <c r="T395" s="1" t="s">
        <v>32</v>
      </c>
    </row>
    <row r="396" spans="1:20" ht="51" x14ac:dyDescent="0.25">
      <c r="A396" s="6">
        <v>393</v>
      </c>
      <c r="B396" s="1" t="str">
        <f>"2019-2387"</f>
        <v>2019-2387</v>
      </c>
      <c r="C396" s="1" t="s">
        <v>740</v>
      </c>
      <c r="D396" s="1" t="s">
        <v>745</v>
      </c>
      <c r="E396" s="1" t="str">
        <f>""</f>
        <v/>
      </c>
      <c r="F396" s="1" t="s">
        <v>28</v>
      </c>
      <c r="G396" s="1" t="str">
        <f>CONCATENATE("SIGNALGRAD D.O.O.,"," RAKITJE,"," VELEBITSKA 1,"," 10437 BESTOVJE,"," OIB: 00513519279")</f>
        <v>SIGNALGRAD D.O.O., RAKITJE, VELEBITSKA 1, 10437 BESTOVJE, OIB: 00513519279</v>
      </c>
      <c r="H396" s="7"/>
      <c r="I396" s="8" t="s">
        <v>746</v>
      </c>
      <c r="J396" s="8" t="s">
        <v>747</v>
      </c>
      <c r="K396" s="6" t="str">
        <f>"153.800,00"</f>
        <v>153.800,00</v>
      </c>
      <c r="L396" s="6" t="str">
        <f>"38.446,16"</f>
        <v>38.446,16</v>
      </c>
      <c r="M396" s="6" t="str">
        <f>"192.246,16"</f>
        <v>192.246,16</v>
      </c>
      <c r="N396" s="8" t="s">
        <v>748</v>
      </c>
      <c r="O396" s="7"/>
      <c r="P396" s="2" t="s">
        <v>5852</v>
      </c>
      <c r="Q396" s="7"/>
      <c r="R396" s="1"/>
      <c r="S396" s="1" t="str">
        <f>"1-22/NOS-79/19"</f>
        <v>1-22/NOS-79/19</v>
      </c>
      <c r="T396" s="1" t="s">
        <v>32</v>
      </c>
    </row>
    <row r="397" spans="1:20" ht="89.25" x14ac:dyDescent="0.25">
      <c r="A397" s="6">
        <v>394</v>
      </c>
      <c r="B397" s="1" t="str">
        <f t="shared" ref="B397:B407" si="32">"2019-2952"</f>
        <v>2019-2952</v>
      </c>
      <c r="C397" s="1" t="s">
        <v>749</v>
      </c>
      <c r="D397" s="1" t="s">
        <v>750</v>
      </c>
      <c r="E397" s="1" t="str">
        <f>"2019/S 0F2-0047691"</f>
        <v>2019/S 0F2-0047691</v>
      </c>
      <c r="F397" s="1" t="s">
        <v>22</v>
      </c>
      <c r="G397" s="1" t="str">
        <f>CONCATENATE("DILJEXPORT D.O.O.,"," ZLATKA ŠULENTIĆA 9,"," 10000 ZAGREB,"," OIB: 00089952586")</f>
        <v>DILJEXPORT D.O.O., ZLATKA ŠULENTIĆA 9, 10000 ZAGREB, OIB: 00089952586</v>
      </c>
      <c r="H397" s="7"/>
      <c r="I397" s="8" t="s">
        <v>751</v>
      </c>
      <c r="J397" s="8" t="s">
        <v>90</v>
      </c>
      <c r="K397" s="6" t="str">
        <f>"10.000.000,00"</f>
        <v>10.000.000,00</v>
      </c>
      <c r="L397" s="6" t="str">
        <f>"2.500.000,00"</f>
        <v>2.500.000,00</v>
      </c>
      <c r="M397" s="6" t="str">
        <f>"12.500.000,00"</f>
        <v>12.500.000,00</v>
      </c>
      <c r="N397" s="8" t="s">
        <v>752</v>
      </c>
      <c r="O397" s="7"/>
      <c r="P397" s="2" t="s">
        <v>5614</v>
      </c>
      <c r="Q397" s="7"/>
      <c r="R397" s="1"/>
      <c r="S397" s="1" t="str">
        <f>"NOS-61-B/19"</f>
        <v>NOS-61-B/19</v>
      </c>
      <c r="T397" s="1" t="s">
        <v>32</v>
      </c>
    </row>
    <row r="398" spans="1:20" ht="89.25" x14ac:dyDescent="0.25">
      <c r="A398" s="6">
        <v>395</v>
      </c>
      <c r="B398" s="1" t="str">
        <f t="shared" si="32"/>
        <v>2019-2952</v>
      </c>
      <c r="C398" s="1" t="s">
        <v>749</v>
      </c>
      <c r="D398" s="1" t="s">
        <v>753</v>
      </c>
      <c r="E398" s="1" t="str">
        <f>""</f>
        <v/>
      </c>
      <c r="F398" s="1" t="s">
        <v>28</v>
      </c>
      <c r="G398" s="1" t="str">
        <f>CONCATENATE("DILJEXPORT D.O.O.,"," ZLATKA ŠULENTIĆA 9,"," 10000 ZAGREB,"," OIB: 00089952586")</f>
        <v>DILJEXPORT D.O.O., ZLATKA ŠULENTIĆA 9, 10000 ZAGREB, OIB: 00089952586</v>
      </c>
      <c r="H398" s="7"/>
      <c r="I398" s="8" t="s">
        <v>754</v>
      </c>
      <c r="J398" s="8" t="s">
        <v>423</v>
      </c>
      <c r="K398" s="6" t="str">
        <f>"1.584,00"</f>
        <v>1.584,00</v>
      </c>
      <c r="L398" s="6" t="str">
        <f>"0,00"</f>
        <v>0,00</v>
      </c>
      <c r="M398" s="6" t="str">
        <f>"1.584,00"</f>
        <v>1.584,00</v>
      </c>
      <c r="N398" s="8" t="s">
        <v>124</v>
      </c>
      <c r="O398" s="7"/>
      <c r="P398" s="2" t="s">
        <v>5614</v>
      </c>
      <c r="Q398" s="7"/>
      <c r="R398" s="1"/>
      <c r="S398" s="1" t="str">
        <f>"1-22/NOS-61-B/19"</f>
        <v>1-22/NOS-61-B/19</v>
      </c>
      <c r="T398" s="1" t="s">
        <v>32</v>
      </c>
    </row>
    <row r="399" spans="1:20" ht="89.25" x14ac:dyDescent="0.25">
      <c r="A399" s="6">
        <v>396</v>
      </c>
      <c r="B399" s="1" t="str">
        <f t="shared" si="32"/>
        <v>2019-2952</v>
      </c>
      <c r="C399" s="1" t="s">
        <v>755</v>
      </c>
      <c r="D399" s="1" t="s">
        <v>750</v>
      </c>
      <c r="E399" s="1" t="str">
        <f>"2019/S 0F2-0047691"</f>
        <v>2019/S 0F2-0047691</v>
      </c>
      <c r="F399" s="1" t="s">
        <v>22</v>
      </c>
      <c r="G399" s="1" t="str">
        <f>CONCATENATE("REGOČ D.O.O.,"," DANKOVEČKA 1,"," 10 000 ZAGREB,"," OIB: 614272332")</f>
        <v>REGOČ D.O.O., DANKOVEČKA 1, 10 000 ZAGREB, OIB: 614272332</v>
      </c>
      <c r="H399" s="7"/>
      <c r="I399" s="8" t="s">
        <v>751</v>
      </c>
      <c r="J399" s="8" t="s">
        <v>90</v>
      </c>
      <c r="K399" s="6" t="str">
        <f>"5.000.000,00"</f>
        <v>5.000.000,00</v>
      </c>
      <c r="L399" s="6" t="str">
        <f>"1.250.000,00"</f>
        <v>1.250.000,00</v>
      </c>
      <c r="M399" s="6" t="str">
        <f>"6.250.000,00"</f>
        <v>6.250.000,00</v>
      </c>
      <c r="N399" s="8" t="s">
        <v>752</v>
      </c>
      <c r="O399" s="7"/>
      <c r="P399" s="2" t="s">
        <v>5614</v>
      </c>
      <c r="Q399" s="7"/>
      <c r="R399" s="1"/>
      <c r="S399" s="1" t="str">
        <f>"NOS-61-C/19"</f>
        <v>NOS-61-C/19</v>
      </c>
      <c r="T399" s="1" t="s">
        <v>32</v>
      </c>
    </row>
    <row r="400" spans="1:20" ht="89.25" x14ac:dyDescent="0.25">
      <c r="A400" s="6">
        <v>397</v>
      </c>
      <c r="B400" s="1" t="str">
        <f t="shared" si="32"/>
        <v>2019-2952</v>
      </c>
      <c r="C400" s="1" t="s">
        <v>755</v>
      </c>
      <c r="D400" s="1" t="s">
        <v>753</v>
      </c>
      <c r="E400" s="1" t="str">
        <f>""</f>
        <v/>
      </c>
      <c r="F400" s="1" t="s">
        <v>28</v>
      </c>
      <c r="G400" s="1" t="str">
        <f>CONCATENATE("REGOČ D.O.O.,"," DANKOVEČKA 1,"," 10 000 ZAGREB,"," OIB: 614272332")</f>
        <v>REGOČ D.O.O., DANKOVEČKA 1, 10 000 ZAGREB, OIB: 614272332</v>
      </c>
      <c r="H400" s="7"/>
      <c r="I400" s="8" t="s">
        <v>754</v>
      </c>
      <c r="J400" s="8" t="s">
        <v>292</v>
      </c>
      <c r="K400" s="6" t="str">
        <f>"50.960,73"</f>
        <v>50.960,73</v>
      </c>
      <c r="L400" s="6" t="str">
        <f>"12.713,08"</f>
        <v>12.713,08</v>
      </c>
      <c r="M400" s="6" t="str">
        <f>"63.673,81"</f>
        <v>63.673,81</v>
      </c>
      <c r="N400" s="8" t="s">
        <v>507</v>
      </c>
      <c r="O400" s="7"/>
      <c r="P400" s="2" t="s">
        <v>5853</v>
      </c>
      <c r="Q400" s="7"/>
      <c r="R400" s="1"/>
      <c r="S400" s="1" t="str">
        <f>"1-22/NOS-61-C/19"</f>
        <v>1-22/NOS-61-C/19</v>
      </c>
      <c r="T400" s="1" t="s">
        <v>32</v>
      </c>
    </row>
    <row r="401" spans="1:20" ht="51" x14ac:dyDescent="0.25">
      <c r="A401" s="6">
        <v>398</v>
      </c>
      <c r="B401" s="1" t="str">
        <f t="shared" si="32"/>
        <v>2019-2952</v>
      </c>
      <c r="C401" s="1" t="s">
        <v>756</v>
      </c>
      <c r="D401" s="1" t="s">
        <v>753</v>
      </c>
      <c r="E401" s="1" t="str">
        <f>""</f>
        <v/>
      </c>
      <c r="F401" s="1" t="s">
        <v>28</v>
      </c>
      <c r="G401" s="1" t="str">
        <f>CONCATENATE("REGOČ D.O.O.,"," DANKOVEČKA 1,"," 10 000 ZAGREB,"," OIB: 614272332")</f>
        <v>REGOČ D.O.O., DANKOVEČKA 1, 10 000 ZAGREB, OIB: 614272332</v>
      </c>
      <c r="H401" s="7"/>
      <c r="I401" s="8" t="s">
        <v>392</v>
      </c>
      <c r="J401" s="8" t="s">
        <v>502</v>
      </c>
      <c r="K401" s="6" t="str">
        <f>"2.947,07"</f>
        <v>2.947,07</v>
      </c>
      <c r="L401" s="6" t="str">
        <f>"736,77"</f>
        <v>736,77</v>
      </c>
      <c r="M401" s="6" t="str">
        <f>"3.683,84"</f>
        <v>3.683,84</v>
      </c>
      <c r="N401" s="8" t="s">
        <v>757</v>
      </c>
      <c r="O401" s="7"/>
      <c r="P401" s="2" t="s">
        <v>5854</v>
      </c>
      <c r="Q401" s="7"/>
      <c r="R401" s="1"/>
      <c r="S401" s="1" t="str">
        <f>"7-21/NOS-61-C/19"</f>
        <v>7-21/NOS-61-C/19</v>
      </c>
      <c r="T401" s="1" t="s">
        <v>32</v>
      </c>
    </row>
    <row r="402" spans="1:20" ht="89.25" x14ac:dyDescent="0.25">
      <c r="A402" s="6">
        <v>399</v>
      </c>
      <c r="B402" s="1" t="str">
        <f t="shared" si="32"/>
        <v>2019-2952</v>
      </c>
      <c r="C402" s="1" t="s">
        <v>758</v>
      </c>
      <c r="D402" s="1" t="s">
        <v>750</v>
      </c>
      <c r="E402" s="1" t="str">
        <f>"2019/S 0F2-0047691"</f>
        <v>2019/S 0F2-0047691</v>
      </c>
      <c r="F402" s="1" t="s">
        <v>22</v>
      </c>
      <c r="G402" s="1" t="str">
        <f>CONCATENATE("REDOX D.O.O.,"," LANIŠTE 24,"," 10000 ZAGREB,"," OIB: 36138701442")</f>
        <v>REDOX D.O.O., LANIŠTE 24, 10000 ZAGREB, OIB: 36138701442</v>
      </c>
      <c r="H402" s="7"/>
      <c r="I402" s="8" t="s">
        <v>751</v>
      </c>
      <c r="J402" s="8" t="s">
        <v>90</v>
      </c>
      <c r="K402" s="6" t="str">
        <f>"3.000.000,00"</f>
        <v>3.000.000,00</v>
      </c>
      <c r="L402" s="6" t="str">
        <f>"750.000,00"</f>
        <v>750.000,00</v>
      </c>
      <c r="M402" s="6" t="str">
        <f>"3.750.000,00"</f>
        <v>3.750.000,00</v>
      </c>
      <c r="N402" s="8" t="s">
        <v>752</v>
      </c>
      <c r="O402" s="7"/>
      <c r="P402" s="2" t="s">
        <v>5614</v>
      </c>
      <c r="Q402" s="7"/>
      <c r="R402" s="1"/>
      <c r="S402" s="1" t="str">
        <f>"NOS-61-D/19"</f>
        <v>NOS-61-D/19</v>
      </c>
      <c r="T402" s="1" t="s">
        <v>32</v>
      </c>
    </row>
    <row r="403" spans="1:20" ht="89.25" x14ac:dyDescent="0.25">
      <c r="A403" s="6">
        <v>400</v>
      </c>
      <c r="B403" s="1" t="str">
        <f t="shared" si="32"/>
        <v>2019-2952</v>
      </c>
      <c r="C403" s="1" t="s">
        <v>758</v>
      </c>
      <c r="D403" s="1" t="s">
        <v>753</v>
      </c>
      <c r="E403" s="1" t="str">
        <f>""</f>
        <v/>
      </c>
      <c r="F403" s="1" t="s">
        <v>28</v>
      </c>
      <c r="G403" s="1" t="str">
        <f>CONCATENATE("REDOX D.O.O.,"," LANIŠTE 24,"," 10000 ZAGREB,"," OIB: 36138701442")</f>
        <v>REDOX D.O.O., LANIŠTE 24, 10000 ZAGREB, OIB: 36138701442</v>
      </c>
      <c r="H403" s="7"/>
      <c r="I403" s="8" t="s">
        <v>754</v>
      </c>
      <c r="J403" s="8" t="s">
        <v>292</v>
      </c>
      <c r="K403" s="6" t="str">
        <f>"1.440,00"</f>
        <v>1.440,00</v>
      </c>
      <c r="L403" s="6" t="str">
        <f>"360,00"</f>
        <v>360,00</v>
      </c>
      <c r="M403" s="6" t="str">
        <f>"1.800,00"</f>
        <v>1.800,00</v>
      </c>
      <c r="N403" s="8" t="s">
        <v>422</v>
      </c>
      <c r="O403" s="7"/>
      <c r="P403" s="2" t="s">
        <v>5855</v>
      </c>
      <c r="Q403" s="7"/>
      <c r="R403" s="1"/>
      <c r="S403" s="1" t="str">
        <f>"1-22/NOS-61-D/19"</f>
        <v>1-22/NOS-61-D/19</v>
      </c>
      <c r="T403" s="1" t="s">
        <v>32</v>
      </c>
    </row>
    <row r="404" spans="1:20" ht="89.25" x14ac:dyDescent="0.25">
      <c r="A404" s="6">
        <v>401</v>
      </c>
      <c r="B404" s="1" t="str">
        <f t="shared" si="32"/>
        <v>2019-2952</v>
      </c>
      <c r="C404" s="1" t="s">
        <v>758</v>
      </c>
      <c r="D404" s="1" t="s">
        <v>753</v>
      </c>
      <c r="E404" s="1" t="str">
        <f>""</f>
        <v/>
      </c>
      <c r="F404" s="1" t="s">
        <v>28</v>
      </c>
      <c r="G404" s="1" t="str">
        <f>CONCATENATE("REDOX D.O.O.,"," LANIŠTE 24,"," 10000 ZAGREB,"," OIB: 36138701442")</f>
        <v>REDOX D.O.O., LANIŠTE 24, 10000 ZAGREB, OIB: 36138701442</v>
      </c>
      <c r="H404" s="7"/>
      <c r="I404" s="8" t="s">
        <v>754</v>
      </c>
      <c r="J404" s="8" t="s">
        <v>292</v>
      </c>
      <c r="K404" s="6" t="str">
        <f>"289.560,00"</f>
        <v>289.560,00</v>
      </c>
      <c r="L404" s="6" t="str">
        <f>"0,00"</f>
        <v>0,00</v>
      </c>
      <c r="M404" s="6" t="str">
        <f>"289.560,00"</f>
        <v>289.560,00</v>
      </c>
      <c r="N404" s="8" t="s">
        <v>124</v>
      </c>
      <c r="O404" s="7"/>
      <c r="P404" s="2" t="s">
        <v>5614</v>
      </c>
      <c r="Q404" s="7"/>
      <c r="R404" s="1"/>
      <c r="S404" s="1" t="str">
        <f>"2-22/NOS-61-D/19"</f>
        <v>2-22/NOS-61-D/19</v>
      </c>
      <c r="T404" s="1" t="s">
        <v>32</v>
      </c>
    </row>
    <row r="405" spans="1:20" ht="51" x14ac:dyDescent="0.25">
      <c r="A405" s="6">
        <v>402</v>
      </c>
      <c r="B405" s="1" t="str">
        <f t="shared" si="32"/>
        <v>2019-2952</v>
      </c>
      <c r="C405" s="1" t="s">
        <v>756</v>
      </c>
      <c r="D405" s="1" t="s">
        <v>753</v>
      </c>
      <c r="E405" s="1" t="str">
        <f>""</f>
        <v/>
      </c>
      <c r="F405" s="1" t="s">
        <v>28</v>
      </c>
      <c r="G405" s="1" t="str">
        <f>CONCATENATE("REDOX D.O.O.,"," LANIŠTE 24,"," 10000 ZAGREB,"," OIB: 36138701442")</f>
        <v>REDOX D.O.O., LANIŠTE 24, 10000 ZAGREB, OIB: 36138701442</v>
      </c>
      <c r="H405" s="7"/>
      <c r="I405" s="8" t="s">
        <v>392</v>
      </c>
      <c r="J405" s="8" t="s">
        <v>561</v>
      </c>
      <c r="K405" s="6" t="str">
        <f>"3.470,00"</f>
        <v>3.470,00</v>
      </c>
      <c r="L405" s="6" t="str">
        <f>"867,50"</f>
        <v>867,50</v>
      </c>
      <c r="M405" s="6" t="str">
        <f>"4.337,50"</f>
        <v>4.337,50</v>
      </c>
      <c r="N405" s="8" t="s">
        <v>671</v>
      </c>
      <c r="O405" s="7"/>
      <c r="P405" s="2" t="s">
        <v>5856</v>
      </c>
      <c r="Q405" s="7"/>
      <c r="R405" s="1"/>
      <c r="S405" s="1" t="str">
        <f>"10-21/NOS-61-D/19"</f>
        <v>10-21/NOS-61-D/19</v>
      </c>
      <c r="T405" s="1" t="s">
        <v>32</v>
      </c>
    </row>
    <row r="406" spans="1:20" ht="89.25" x14ac:dyDescent="0.25">
      <c r="A406" s="6">
        <v>403</v>
      </c>
      <c r="B406" s="1" t="str">
        <f t="shared" si="32"/>
        <v>2019-2952</v>
      </c>
      <c r="C406" s="1" t="s">
        <v>759</v>
      </c>
      <c r="D406" s="1" t="s">
        <v>750</v>
      </c>
      <c r="E406" s="1" t="str">
        <f>"2019/S 0F2-0047691"</f>
        <v>2019/S 0F2-0047691</v>
      </c>
      <c r="F406" s="1" t="s">
        <v>22</v>
      </c>
      <c r="G406" s="1" t="str">
        <f>CONCATENATE("KOVA D.O.O.,"," BRAĆE RADIĆA 122B,"," 10410 VELIKA GORICA,"," OIB: 31948370674")</f>
        <v>KOVA D.O.O., BRAĆE RADIĆA 122B, 10410 VELIKA GORICA, OIB: 31948370674</v>
      </c>
      <c r="H406" s="7"/>
      <c r="I406" s="8" t="s">
        <v>751</v>
      </c>
      <c r="J406" s="8" t="s">
        <v>90</v>
      </c>
      <c r="K406" s="6" t="str">
        <f>"5.000.000,00"</f>
        <v>5.000.000,00</v>
      </c>
      <c r="L406" s="6" t="str">
        <f>"1.250.000,00"</f>
        <v>1.250.000,00</v>
      </c>
      <c r="M406" s="6" t="str">
        <f>"6.250.000,00"</f>
        <v>6.250.000,00</v>
      </c>
      <c r="N406" s="8" t="s">
        <v>752</v>
      </c>
      <c r="O406" s="7"/>
      <c r="P406" s="2" t="s">
        <v>5614</v>
      </c>
      <c r="Q406" s="7"/>
      <c r="R406" s="1"/>
      <c r="S406" s="1" t="str">
        <f>"NOS-61-E/19"</f>
        <v>NOS-61-E/19</v>
      </c>
      <c r="T406" s="1" t="s">
        <v>32</v>
      </c>
    </row>
    <row r="407" spans="1:20" ht="89.25" x14ac:dyDescent="0.25">
      <c r="A407" s="6">
        <v>404</v>
      </c>
      <c r="B407" s="1" t="str">
        <f t="shared" si="32"/>
        <v>2019-2952</v>
      </c>
      <c r="C407" s="1" t="s">
        <v>759</v>
      </c>
      <c r="D407" s="1" t="s">
        <v>753</v>
      </c>
      <c r="E407" s="1" t="str">
        <f>""</f>
        <v/>
      </c>
      <c r="F407" s="1" t="s">
        <v>28</v>
      </c>
      <c r="G407" s="1" t="str">
        <f>CONCATENATE("KOVA D.O.O.,"," BRAĆE RADIĆA 122B,"," 10410 VELIKA GORICA,"," OIB: 31948370674")</f>
        <v>KOVA D.O.O., BRAĆE RADIĆA 122B, 10410 VELIKA GORICA, OIB: 31948370674</v>
      </c>
      <c r="H407" s="7"/>
      <c r="I407" s="8" t="s">
        <v>754</v>
      </c>
      <c r="J407" s="8" t="s">
        <v>292</v>
      </c>
      <c r="K407" s="6" t="str">
        <f>"37.500,00"</f>
        <v>37.500,00</v>
      </c>
      <c r="L407" s="6" t="str">
        <f>"9.375,00"</f>
        <v>9.375,00</v>
      </c>
      <c r="M407" s="6" t="str">
        <f>"46.875,00"</f>
        <v>46.875,00</v>
      </c>
      <c r="N407" s="8" t="s">
        <v>278</v>
      </c>
      <c r="O407" s="7"/>
      <c r="P407" s="2" t="s">
        <v>5857</v>
      </c>
      <c r="Q407" s="7"/>
      <c r="R407" s="1"/>
      <c r="S407" s="1" t="str">
        <f>"2-22/NOS-61-E/19"</f>
        <v>2-22/NOS-61-E/19</v>
      </c>
      <c r="T407" s="1" t="s">
        <v>32</v>
      </c>
    </row>
    <row r="408" spans="1:20" ht="63.75" x14ac:dyDescent="0.25">
      <c r="A408" s="6">
        <v>405</v>
      </c>
      <c r="B408" s="1" t="str">
        <f>"2019-2953"</f>
        <v>2019-2953</v>
      </c>
      <c r="C408" s="1" t="s">
        <v>760</v>
      </c>
      <c r="D408" s="1" t="s">
        <v>761</v>
      </c>
      <c r="E408" s="1" t="str">
        <f>"2019/S 0F2-0049679"</f>
        <v>2019/S 0F2-0049679</v>
      </c>
      <c r="F408" s="1" t="s">
        <v>22</v>
      </c>
      <c r="G408" s="1" t="str">
        <f>CONCATENATE("MALI GRM D.O.O.,"," GRANČARSKA ULICA II. ODVOJAK 4,"," 10000 ZAGREB,"," OIB: 91276298719")</f>
        <v>MALI GRM D.O.O., GRANČARSKA ULICA II. ODVOJAK 4, 10000 ZAGREB, OIB: 91276298719</v>
      </c>
      <c r="H408" s="7"/>
      <c r="I408" s="8" t="s">
        <v>762</v>
      </c>
      <c r="J408" s="8" t="s">
        <v>396</v>
      </c>
      <c r="K408" s="6" t="str">
        <f>"2.000.000,00"</f>
        <v>2.000.000,00</v>
      </c>
      <c r="L408" s="6" t="str">
        <f>"500.000,00"</f>
        <v>500.000,00</v>
      </c>
      <c r="M408" s="6" t="str">
        <f>"2.500.000,00"</f>
        <v>2.500.000,00</v>
      </c>
      <c r="N408" s="8" t="s">
        <v>396</v>
      </c>
      <c r="O408" s="7"/>
      <c r="P408" s="2" t="s">
        <v>5614</v>
      </c>
      <c r="Q408" s="7"/>
      <c r="R408" s="1"/>
      <c r="S408" s="1" t="str">
        <f>"NOS-83/19"</f>
        <v>NOS-83/19</v>
      </c>
      <c r="T408" s="1" t="s">
        <v>32</v>
      </c>
    </row>
    <row r="409" spans="1:20" ht="63.75" x14ac:dyDescent="0.25">
      <c r="A409" s="6">
        <v>406</v>
      </c>
      <c r="B409" s="1" t="str">
        <f>"2019-2953"</f>
        <v>2019-2953</v>
      </c>
      <c r="C409" s="1" t="s">
        <v>760</v>
      </c>
      <c r="D409" s="1" t="s">
        <v>174</v>
      </c>
      <c r="E409" s="1" t="str">
        <f>""</f>
        <v/>
      </c>
      <c r="F409" s="1" t="s">
        <v>28</v>
      </c>
      <c r="G409" s="1" t="str">
        <f>CONCATENATE("MALI GRM D.O.O.,"," GRANČARSKA ULICA II. ODVOJAK 4,"," 10000 ZAGREB,"," OIB: 91276298719")</f>
        <v>MALI GRM D.O.O., GRANČARSKA ULICA II. ODVOJAK 4, 10000 ZAGREB, OIB: 91276298719</v>
      </c>
      <c r="H409" s="7"/>
      <c r="I409" s="8" t="s">
        <v>220</v>
      </c>
      <c r="J409" s="8" t="s">
        <v>169</v>
      </c>
      <c r="K409" s="6" t="str">
        <f>"88.190,00"</f>
        <v>88.190,00</v>
      </c>
      <c r="L409" s="6" t="str">
        <f>"22.047,50"</f>
        <v>22.047,50</v>
      </c>
      <c r="M409" s="6" t="str">
        <f>"110.237,50"</f>
        <v>110.237,50</v>
      </c>
      <c r="N409" s="8" t="s">
        <v>403</v>
      </c>
      <c r="O409" s="7"/>
      <c r="P409" s="2" t="s">
        <v>5858</v>
      </c>
      <c r="Q409" s="7"/>
      <c r="R409" s="1"/>
      <c r="S409" s="1" t="str">
        <f>"1-22/NOS-83/19"</f>
        <v>1-22/NOS-83/19</v>
      </c>
      <c r="T409" s="1" t="s">
        <v>32</v>
      </c>
    </row>
    <row r="410" spans="1:20" ht="89.25" x14ac:dyDescent="0.25">
      <c r="A410" s="6">
        <v>407</v>
      </c>
      <c r="B410" s="1" t="str">
        <f>"2019-2225"</f>
        <v>2019-2225</v>
      </c>
      <c r="C410" s="1" t="s">
        <v>763</v>
      </c>
      <c r="D410" s="1" t="s">
        <v>619</v>
      </c>
      <c r="E410" s="1" t="str">
        <f>"2019/S 0F2-0047674"</f>
        <v>2019/S 0F2-0047674</v>
      </c>
      <c r="F410" s="1" t="s">
        <v>22</v>
      </c>
      <c r="G410" s="1" t="str">
        <f>CONCATENATE("RASCO D.O.O.,"," KOLODVORSKA 120B,"," 48361 KALINOVAC,"," OIB: 12710048305")</f>
        <v>RASCO D.O.O., KOLODVORSKA 120B, 48361 KALINOVAC, OIB: 12710048305</v>
      </c>
      <c r="H410" s="7"/>
      <c r="I410" s="8" t="s">
        <v>762</v>
      </c>
      <c r="J410" s="8" t="s">
        <v>396</v>
      </c>
      <c r="K410" s="6" t="str">
        <f>"1.000.000,00"</f>
        <v>1.000.000,00</v>
      </c>
      <c r="L410" s="6" t="str">
        <f>"250.000,00"</f>
        <v>250.000,00</v>
      </c>
      <c r="M410" s="6" t="str">
        <f>"1.250.000,00"</f>
        <v>1.250.000,00</v>
      </c>
      <c r="N410" s="8" t="s">
        <v>62</v>
      </c>
      <c r="O410" s="7"/>
      <c r="P410" s="2" t="s">
        <v>5614</v>
      </c>
      <c r="Q410" s="7"/>
      <c r="R410" s="1"/>
      <c r="S410" s="1" t="str">
        <f>"NOS-64-A/19"</f>
        <v>NOS-64-A/19</v>
      </c>
      <c r="T410" s="1" t="s">
        <v>32</v>
      </c>
    </row>
    <row r="411" spans="1:20" ht="114.75" x14ac:dyDescent="0.25">
      <c r="A411" s="6">
        <v>408</v>
      </c>
      <c r="B411" s="1" t="str">
        <f>"2019-2225"</f>
        <v>2019-2225</v>
      </c>
      <c r="C411" s="1" t="s">
        <v>764</v>
      </c>
      <c r="D411" s="1" t="s">
        <v>622</v>
      </c>
      <c r="E411" s="1" t="str">
        <f>""</f>
        <v/>
      </c>
      <c r="F411" s="1" t="s">
        <v>28</v>
      </c>
      <c r="G411" s="1" t="str">
        <f>CONCATENATE("RASCO D.O.O.,"," KOLODVORSKA 120B,"," 48361 KALINOVAC,"," OIB: 12710048305")</f>
        <v>RASCO D.O.O., KOLODVORSKA 120B, 48361 KALINOVAC, OIB: 12710048305</v>
      </c>
      <c r="H411" s="7"/>
      <c r="I411" s="8" t="s">
        <v>168</v>
      </c>
      <c r="J411" s="8" t="s">
        <v>41</v>
      </c>
      <c r="K411" s="6" t="str">
        <f>"149.997,12"</f>
        <v>149.997,12</v>
      </c>
      <c r="L411" s="6" t="str">
        <f>"37.499,28"</f>
        <v>37.499,28</v>
      </c>
      <c r="M411" s="6" t="str">
        <f>"187.496,40"</f>
        <v>187.496,40</v>
      </c>
      <c r="N411" s="8" t="s">
        <v>238</v>
      </c>
      <c r="O411" s="7"/>
      <c r="P411" s="2" t="s">
        <v>5859</v>
      </c>
      <c r="Q411" s="7"/>
      <c r="R411" s="1"/>
      <c r="S411" s="1" t="str">
        <f>"11-21/NOS-64-A/19"</f>
        <v>11-21/NOS-64-A/19</v>
      </c>
      <c r="T411" s="1" t="s">
        <v>32</v>
      </c>
    </row>
    <row r="412" spans="1:20" ht="51" x14ac:dyDescent="0.25">
      <c r="A412" s="6">
        <v>409</v>
      </c>
      <c r="B412" s="1" t="str">
        <f t="shared" ref="B412:B419" si="33">"2019-2403"</f>
        <v>2019-2403</v>
      </c>
      <c r="C412" s="1" t="s">
        <v>765</v>
      </c>
      <c r="D412" s="1" t="s">
        <v>766</v>
      </c>
      <c r="E412" s="1" t="str">
        <f>"2019/S 0F2-0027690"</f>
        <v>2019/S 0F2-0027690</v>
      </c>
      <c r="F412" s="1" t="s">
        <v>22</v>
      </c>
      <c r="G412" s="1" t="str">
        <f t="shared" ref="G412:G419" si="34">CONCATENATE("INA MAZIVA D.O.O.,"," RADNIČKA CESTA 175,"," 10000 ZAGREB,"," OIB: 63988426425")</f>
        <v>INA MAZIVA D.O.O., RADNIČKA CESTA 175, 10000 ZAGREB, OIB: 63988426425</v>
      </c>
      <c r="H412" s="7"/>
      <c r="I412" s="8" t="s">
        <v>767</v>
      </c>
      <c r="J412" s="8" t="s">
        <v>768</v>
      </c>
      <c r="K412" s="6" t="str">
        <f>"1.710.000,00"</f>
        <v>1.710.000,00</v>
      </c>
      <c r="L412" s="6" t="str">
        <f>"427.500,00"</f>
        <v>427.500,00</v>
      </c>
      <c r="M412" s="6" t="str">
        <f>"2.137.500,00"</f>
        <v>2.137.500,00</v>
      </c>
      <c r="N412" s="8" t="s">
        <v>768</v>
      </c>
      <c r="O412" s="7"/>
      <c r="P412" s="2" t="s">
        <v>5614</v>
      </c>
      <c r="Q412" s="7"/>
      <c r="R412" s="1"/>
      <c r="S412" s="1" t="str">
        <f>"NOS-84-A/19"</f>
        <v>NOS-84-A/19</v>
      </c>
      <c r="T412" s="1" t="s">
        <v>32</v>
      </c>
    </row>
    <row r="413" spans="1:20" ht="51" x14ac:dyDescent="0.25">
      <c r="A413" s="6">
        <v>410</v>
      </c>
      <c r="B413" s="1" t="str">
        <f t="shared" si="33"/>
        <v>2019-2403</v>
      </c>
      <c r="C413" s="1" t="s">
        <v>769</v>
      </c>
      <c r="D413" s="1" t="s">
        <v>770</v>
      </c>
      <c r="E413" s="1" t="str">
        <f>""</f>
        <v/>
      </c>
      <c r="F413" s="1" t="s">
        <v>28</v>
      </c>
      <c r="G413" s="1" t="str">
        <f t="shared" si="34"/>
        <v>INA MAZIVA D.O.O., RADNIČKA CESTA 175, 10000 ZAGREB, OIB: 63988426425</v>
      </c>
      <c r="H413" s="7"/>
      <c r="I413" s="8" t="s">
        <v>771</v>
      </c>
      <c r="J413" s="8" t="s">
        <v>53</v>
      </c>
      <c r="K413" s="6" t="str">
        <f>"124.996,80"</f>
        <v>124.996,80</v>
      </c>
      <c r="L413" s="6" t="str">
        <f>"31.249,20"</f>
        <v>31.249,20</v>
      </c>
      <c r="M413" s="6" t="str">
        <f>"156.246,00"</f>
        <v>156.246,00</v>
      </c>
      <c r="N413" s="8" t="s">
        <v>535</v>
      </c>
      <c r="O413" s="7"/>
      <c r="P413" s="2" t="s">
        <v>5860</v>
      </c>
      <c r="Q413" s="7"/>
      <c r="R413" s="1"/>
      <c r="S413" s="1" t="str">
        <f>"12-21/NOS-84-A/19"</f>
        <v>12-21/NOS-84-A/19</v>
      </c>
      <c r="T413" s="1" t="s">
        <v>32</v>
      </c>
    </row>
    <row r="414" spans="1:20" ht="51" x14ac:dyDescent="0.25">
      <c r="A414" s="6">
        <v>411</v>
      </c>
      <c r="B414" s="1" t="str">
        <f t="shared" si="33"/>
        <v>2019-2403</v>
      </c>
      <c r="C414" s="1" t="s">
        <v>772</v>
      </c>
      <c r="D414" s="1" t="s">
        <v>770</v>
      </c>
      <c r="E414" s="1" t="str">
        <f>""</f>
        <v/>
      </c>
      <c r="F414" s="1" t="s">
        <v>28</v>
      </c>
      <c r="G414" s="1" t="str">
        <f t="shared" si="34"/>
        <v>INA MAZIVA D.O.O., RADNIČKA CESTA 175, 10000 ZAGREB, OIB: 63988426425</v>
      </c>
      <c r="H414" s="7"/>
      <c r="I414" s="8" t="s">
        <v>754</v>
      </c>
      <c r="J414" s="8" t="s">
        <v>57</v>
      </c>
      <c r="K414" s="6" t="str">
        <f>"59.569,95"</f>
        <v>59.569,95</v>
      </c>
      <c r="L414" s="6" t="str">
        <f>"14.892,49"</f>
        <v>14.892,49</v>
      </c>
      <c r="M414" s="6" t="str">
        <f>"74.462,44"</f>
        <v>74.462,44</v>
      </c>
      <c r="N414" s="8" t="s">
        <v>773</v>
      </c>
      <c r="O414" s="7"/>
      <c r="P414" s="2" t="s">
        <v>5861</v>
      </c>
      <c r="Q414" s="7"/>
      <c r="R414" s="1"/>
      <c r="S414" s="1" t="str">
        <f>"2-22/NOS-84-A/19"</f>
        <v>2-22/NOS-84-A/19</v>
      </c>
      <c r="T414" s="1" t="s">
        <v>32</v>
      </c>
    </row>
    <row r="415" spans="1:20" ht="51" x14ac:dyDescent="0.25">
      <c r="A415" s="6">
        <v>412</v>
      </c>
      <c r="B415" s="1" t="str">
        <f t="shared" si="33"/>
        <v>2019-2403</v>
      </c>
      <c r="C415" s="1" t="s">
        <v>774</v>
      </c>
      <c r="D415" s="1" t="s">
        <v>770</v>
      </c>
      <c r="E415" s="1" t="str">
        <f>""</f>
        <v/>
      </c>
      <c r="F415" s="1" t="s">
        <v>28</v>
      </c>
      <c r="G415" s="1" t="str">
        <f t="shared" si="34"/>
        <v>INA MAZIVA D.O.O., RADNIČKA CESTA 175, 10000 ZAGREB, OIB: 63988426425</v>
      </c>
      <c r="H415" s="7"/>
      <c r="I415" s="8" t="s">
        <v>675</v>
      </c>
      <c r="J415" s="8" t="s">
        <v>589</v>
      </c>
      <c r="K415" s="6" t="str">
        <f>"3.127,00"</f>
        <v>3.127,00</v>
      </c>
      <c r="L415" s="6" t="str">
        <f>"781,75"</f>
        <v>781,75</v>
      </c>
      <c r="M415" s="6" t="str">
        <f>"3.908,75"</f>
        <v>3.908,75</v>
      </c>
      <c r="N415" s="8" t="s">
        <v>775</v>
      </c>
      <c r="O415" s="7"/>
      <c r="P415" s="2" t="s">
        <v>5862</v>
      </c>
      <c r="Q415" s="7"/>
      <c r="R415" s="1"/>
      <c r="S415" s="1" t="str">
        <f>"14-21/NOS-84-A/19"</f>
        <v>14-21/NOS-84-A/19</v>
      </c>
      <c r="T415" s="1" t="s">
        <v>32</v>
      </c>
    </row>
    <row r="416" spans="1:20" ht="51" x14ac:dyDescent="0.25">
      <c r="A416" s="6">
        <v>413</v>
      </c>
      <c r="B416" s="1" t="str">
        <f t="shared" si="33"/>
        <v>2019-2403</v>
      </c>
      <c r="C416" s="1" t="s">
        <v>774</v>
      </c>
      <c r="D416" s="1" t="s">
        <v>770</v>
      </c>
      <c r="E416" s="1" t="str">
        <f>""</f>
        <v/>
      </c>
      <c r="F416" s="1" t="s">
        <v>28</v>
      </c>
      <c r="G416" s="1" t="str">
        <f t="shared" si="34"/>
        <v>INA MAZIVA D.O.O., RADNIČKA CESTA 175, 10000 ZAGREB, OIB: 63988426425</v>
      </c>
      <c r="H416" s="7"/>
      <c r="I416" s="8" t="s">
        <v>62</v>
      </c>
      <c r="J416" s="8" t="s">
        <v>504</v>
      </c>
      <c r="K416" s="6" t="str">
        <f>"57.115,00"</f>
        <v>57.115,00</v>
      </c>
      <c r="L416" s="6" t="str">
        <f>"14.278,75"</f>
        <v>14.278,75</v>
      </c>
      <c r="M416" s="6" t="str">
        <f>"71.393,75"</f>
        <v>71.393,75</v>
      </c>
      <c r="N416" s="8" t="s">
        <v>499</v>
      </c>
      <c r="O416" s="7"/>
      <c r="P416" s="2" t="s">
        <v>5863</v>
      </c>
      <c r="Q416" s="7"/>
      <c r="R416" s="1"/>
      <c r="S416" s="1" t="str">
        <f>"1-22/NOS-84-A/19"</f>
        <v>1-22/NOS-84-A/19</v>
      </c>
      <c r="T416" s="1" t="s">
        <v>32</v>
      </c>
    </row>
    <row r="417" spans="1:20" ht="51" x14ac:dyDescent="0.25">
      <c r="A417" s="6">
        <v>414</v>
      </c>
      <c r="B417" s="1" t="str">
        <f t="shared" si="33"/>
        <v>2019-2403</v>
      </c>
      <c r="C417" s="1" t="s">
        <v>776</v>
      </c>
      <c r="D417" s="1" t="s">
        <v>766</v>
      </c>
      <c r="E417" s="1" t="str">
        <f>"2019/S 0F2-0027690"</f>
        <v>2019/S 0F2-0027690</v>
      </c>
      <c r="F417" s="1" t="s">
        <v>22</v>
      </c>
      <c r="G417" s="1" t="str">
        <f t="shared" si="34"/>
        <v>INA MAZIVA D.O.O., RADNIČKA CESTA 175, 10000 ZAGREB, OIB: 63988426425</v>
      </c>
      <c r="H417" s="7"/>
      <c r="I417" s="8" t="s">
        <v>767</v>
      </c>
      <c r="J417" s="8" t="s">
        <v>768</v>
      </c>
      <c r="K417" s="6" t="str">
        <f>"580.000,00"</f>
        <v>580.000,00</v>
      </c>
      <c r="L417" s="6" t="str">
        <f>"145.000,00"</f>
        <v>145.000,00</v>
      </c>
      <c r="M417" s="6" t="str">
        <f>"725.000,00"</f>
        <v>725.000,00</v>
      </c>
      <c r="N417" s="8" t="s">
        <v>90</v>
      </c>
      <c r="O417" s="7"/>
      <c r="P417" s="2" t="s">
        <v>5614</v>
      </c>
      <c r="Q417" s="7"/>
      <c r="R417" s="1"/>
      <c r="S417" s="1" t="str">
        <f>"NOS-84-B/19"</f>
        <v>NOS-84-B/19</v>
      </c>
      <c r="T417" s="1" t="s">
        <v>32</v>
      </c>
    </row>
    <row r="418" spans="1:20" ht="51" x14ac:dyDescent="0.25">
      <c r="A418" s="6">
        <v>415</v>
      </c>
      <c r="B418" s="1" t="str">
        <f t="shared" si="33"/>
        <v>2019-2403</v>
      </c>
      <c r="C418" s="1" t="s">
        <v>774</v>
      </c>
      <c r="D418" s="1" t="s">
        <v>770</v>
      </c>
      <c r="E418" s="1" t="str">
        <f>""</f>
        <v/>
      </c>
      <c r="F418" s="1" t="s">
        <v>28</v>
      </c>
      <c r="G418" s="1" t="str">
        <f t="shared" si="34"/>
        <v>INA MAZIVA D.O.O., RADNIČKA CESTA 175, 10000 ZAGREB, OIB: 63988426425</v>
      </c>
      <c r="H418" s="7"/>
      <c r="I418" s="8" t="s">
        <v>396</v>
      </c>
      <c r="J418" s="8" t="s">
        <v>397</v>
      </c>
      <c r="K418" s="6" t="str">
        <f>"6.000,00"</f>
        <v>6.000,00</v>
      </c>
      <c r="L418" s="6" t="str">
        <f>"1.500,00"</f>
        <v>1.500,00</v>
      </c>
      <c r="M418" s="6" t="str">
        <f>"7.500,00"</f>
        <v>7.500,00</v>
      </c>
      <c r="N418" s="8" t="s">
        <v>41</v>
      </c>
      <c r="O418" s="7"/>
      <c r="P418" s="2" t="s">
        <v>5806</v>
      </c>
      <c r="Q418" s="7"/>
      <c r="R418" s="1"/>
      <c r="S418" s="1" t="str">
        <f>"2-22/NOS-84-B/19"</f>
        <v>2-22/NOS-84-B/19</v>
      </c>
      <c r="T418" s="1" t="s">
        <v>32</v>
      </c>
    </row>
    <row r="419" spans="1:20" ht="51" x14ac:dyDescent="0.25">
      <c r="A419" s="6">
        <v>416</v>
      </c>
      <c r="B419" s="1" t="str">
        <f t="shared" si="33"/>
        <v>2019-2403</v>
      </c>
      <c r="C419" s="1" t="s">
        <v>774</v>
      </c>
      <c r="D419" s="1" t="s">
        <v>770</v>
      </c>
      <c r="E419" s="1" t="str">
        <f>""</f>
        <v/>
      </c>
      <c r="F419" s="1" t="s">
        <v>28</v>
      </c>
      <c r="G419" s="1" t="str">
        <f t="shared" si="34"/>
        <v>INA MAZIVA D.O.O., RADNIČKA CESTA 175, 10000 ZAGREB, OIB: 63988426425</v>
      </c>
      <c r="H419" s="7"/>
      <c r="I419" s="8" t="s">
        <v>62</v>
      </c>
      <c r="J419" s="8" t="s">
        <v>504</v>
      </c>
      <c r="K419" s="6" t="str">
        <f>"6.200,00"</f>
        <v>6.200,00</v>
      </c>
      <c r="L419" s="6" t="str">
        <f>"1.550,00"</f>
        <v>1.550,00</v>
      </c>
      <c r="M419" s="6" t="str">
        <f>"7.750,00"</f>
        <v>7.750,00</v>
      </c>
      <c r="N419" s="8" t="s">
        <v>41</v>
      </c>
      <c r="O419" s="7"/>
      <c r="P419" s="2" t="s">
        <v>5864</v>
      </c>
      <c r="Q419" s="7"/>
      <c r="R419" s="1"/>
      <c r="S419" s="1" t="str">
        <f>"3-22/NOS-84-B/19"</f>
        <v>3-22/NOS-84-B/19</v>
      </c>
      <c r="T419" s="1" t="s">
        <v>32</v>
      </c>
    </row>
    <row r="420" spans="1:20" ht="76.5" x14ac:dyDescent="0.25">
      <c r="A420" s="6">
        <v>417</v>
      </c>
      <c r="B420" s="1" t="str">
        <f t="shared" ref="B420:B425" si="35">"2019-2979"</f>
        <v>2019-2979</v>
      </c>
      <c r="C420" s="1" t="s">
        <v>777</v>
      </c>
      <c r="D420" s="1" t="s">
        <v>74</v>
      </c>
      <c r="E420" s="1" t="str">
        <f>"2019/S 0F2-0047047"</f>
        <v>2019/S 0F2-0047047</v>
      </c>
      <c r="F420" s="1" t="s">
        <v>22</v>
      </c>
      <c r="G420" s="1" t="str">
        <f t="shared" ref="G420:G425" si="36">CONCATENATE("ECO MOBILE D.O.O.,"," SAMOBORSKA CESTA 330,"," 10000 ZAGREB,"," OIB: 4515751372")</f>
        <v>ECO MOBILE D.O.O., SAMOBORSKA CESTA 330, 10000 ZAGREB, OIB: 4515751372</v>
      </c>
      <c r="H420" s="7"/>
      <c r="I420" s="8" t="s">
        <v>778</v>
      </c>
      <c r="J420" s="8" t="s">
        <v>746</v>
      </c>
      <c r="K420" s="6" t="str">
        <f>"1.000.000,00"</f>
        <v>1.000.000,00</v>
      </c>
      <c r="L420" s="6" t="str">
        <f>"250.000,00"</f>
        <v>250.000,00</v>
      </c>
      <c r="M420" s="6" t="str">
        <f>"1.250.000,00"</f>
        <v>1.250.000,00</v>
      </c>
      <c r="N420" s="8" t="s">
        <v>779</v>
      </c>
      <c r="O420" s="7"/>
      <c r="P420" s="2" t="s">
        <v>5614</v>
      </c>
      <c r="Q420" s="7"/>
      <c r="R420" s="1"/>
      <c r="S420" s="1" t="str">
        <f>"NOS-77-A/19"</f>
        <v>NOS-77-A/19</v>
      </c>
      <c r="T420" s="1" t="s">
        <v>32</v>
      </c>
    </row>
    <row r="421" spans="1:20" ht="89.25" x14ac:dyDescent="0.25">
      <c r="A421" s="6">
        <v>418</v>
      </c>
      <c r="B421" s="1" t="str">
        <f t="shared" si="35"/>
        <v>2019-2979</v>
      </c>
      <c r="C421" s="1" t="s">
        <v>780</v>
      </c>
      <c r="D421" s="1" t="s">
        <v>78</v>
      </c>
      <c r="E421" s="1" t="str">
        <f>""</f>
        <v/>
      </c>
      <c r="F421" s="1" t="s">
        <v>28</v>
      </c>
      <c r="G421" s="1" t="str">
        <f t="shared" si="36"/>
        <v>ECO MOBILE D.O.O., SAMOBORSKA CESTA 330, 10000 ZAGREB, OIB: 4515751372</v>
      </c>
      <c r="H421" s="7"/>
      <c r="I421" s="8" t="s">
        <v>103</v>
      </c>
      <c r="J421" s="8" t="s">
        <v>123</v>
      </c>
      <c r="K421" s="6" t="str">
        <f>"250.000,00"</f>
        <v>250.000,00</v>
      </c>
      <c r="L421" s="6" t="str">
        <f>"62.500,00"</f>
        <v>62.500,00</v>
      </c>
      <c r="M421" s="6" t="str">
        <f>"312.500,00"</f>
        <v>312.500,00</v>
      </c>
      <c r="N421" s="8" t="s">
        <v>124</v>
      </c>
      <c r="O421" s="7"/>
      <c r="P421" s="2" t="s">
        <v>5865</v>
      </c>
      <c r="Q421" s="7"/>
      <c r="R421" s="1"/>
      <c r="S421" s="1" t="str">
        <f>"1-22/NOS-77-A/19"</f>
        <v>1-22/NOS-77-A/19</v>
      </c>
      <c r="T421" s="1" t="s">
        <v>32</v>
      </c>
    </row>
    <row r="422" spans="1:20" ht="102" x14ac:dyDescent="0.25">
      <c r="A422" s="6">
        <v>419</v>
      </c>
      <c r="B422" s="1" t="str">
        <f t="shared" si="35"/>
        <v>2019-2979</v>
      </c>
      <c r="C422" s="1" t="s">
        <v>781</v>
      </c>
      <c r="D422" s="1" t="s">
        <v>74</v>
      </c>
      <c r="E422" s="1" t="str">
        <f>"2019/S 0F2-0047047"</f>
        <v>2019/S 0F2-0047047</v>
      </c>
      <c r="F422" s="1" t="s">
        <v>22</v>
      </c>
      <c r="G422" s="1" t="str">
        <f t="shared" si="36"/>
        <v>ECO MOBILE D.O.O., SAMOBORSKA CESTA 330, 10000 ZAGREB, OIB: 4515751372</v>
      </c>
      <c r="H422" s="7"/>
      <c r="I422" s="8" t="s">
        <v>778</v>
      </c>
      <c r="J422" s="8" t="s">
        <v>746</v>
      </c>
      <c r="K422" s="6" t="str">
        <f>"11.400.000,00"</f>
        <v>11.400.000,00</v>
      </c>
      <c r="L422" s="6" t="str">
        <f>"2.850.000,00"</f>
        <v>2.850.000,00</v>
      </c>
      <c r="M422" s="6" t="str">
        <f>"14.250.000,00"</f>
        <v>14.250.000,00</v>
      </c>
      <c r="N422" s="8" t="s">
        <v>779</v>
      </c>
      <c r="O422" s="7"/>
      <c r="P422" s="2" t="s">
        <v>5614</v>
      </c>
      <c r="Q422" s="7"/>
      <c r="R422" s="1"/>
      <c r="S422" s="1" t="str">
        <f>"NOS-77-B/19"</f>
        <v>NOS-77-B/19</v>
      </c>
      <c r="T422" s="1" t="s">
        <v>32</v>
      </c>
    </row>
    <row r="423" spans="1:20" ht="114.75" x14ac:dyDescent="0.25">
      <c r="A423" s="6">
        <v>420</v>
      </c>
      <c r="B423" s="1" t="str">
        <f t="shared" si="35"/>
        <v>2019-2979</v>
      </c>
      <c r="C423" s="1" t="s">
        <v>782</v>
      </c>
      <c r="D423" s="1" t="s">
        <v>78</v>
      </c>
      <c r="E423" s="1" t="str">
        <f>""</f>
        <v/>
      </c>
      <c r="F423" s="1" t="s">
        <v>28</v>
      </c>
      <c r="G423" s="1" t="str">
        <f t="shared" si="36"/>
        <v>ECO MOBILE D.O.O., SAMOBORSKA CESTA 330, 10000 ZAGREB, OIB: 4515751372</v>
      </c>
      <c r="H423" s="7"/>
      <c r="I423" s="8" t="s">
        <v>103</v>
      </c>
      <c r="J423" s="8" t="s">
        <v>123</v>
      </c>
      <c r="K423" s="6" t="str">
        <f>"2.500.000,00"</f>
        <v>2.500.000,00</v>
      </c>
      <c r="L423" s="6" t="str">
        <f>"625.000,00"</f>
        <v>625.000,00</v>
      </c>
      <c r="M423" s="6" t="str">
        <f>"3.125.000,00"</f>
        <v>3.125.000,00</v>
      </c>
      <c r="N423" s="8" t="s">
        <v>124</v>
      </c>
      <c r="O423" s="7"/>
      <c r="P423" s="2" t="s">
        <v>5866</v>
      </c>
      <c r="Q423" s="7"/>
      <c r="R423" s="1"/>
      <c r="S423" s="1" t="str">
        <f>"1-22/NOS-77-B/19"</f>
        <v>1-22/NOS-77-B/19</v>
      </c>
      <c r="T423" s="1" t="s">
        <v>32</v>
      </c>
    </row>
    <row r="424" spans="1:20" ht="89.25" x14ac:dyDescent="0.25">
      <c r="A424" s="6">
        <v>421</v>
      </c>
      <c r="B424" s="1" t="str">
        <f t="shared" si="35"/>
        <v>2019-2979</v>
      </c>
      <c r="C424" s="1" t="s">
        <v>783</v>
      </c>
      <c r="D424" s="1" t="s">
        <v>74</v>
      </c>
      <c r="E424" s="1" t="str">
        <f>"2019/S 0F2-0047047"</f>
        <v>2019/S 0F2-0047047</v>
      </c>
      <c r="F424" s="1" t="s">
        <v>22</v>
      </c>
      <c r="G424" s="1" t="str">
        <f t="shared" si="36"/>
        <v>ECO MOBILE D.O.O., SAMOBORSKA CESTA 330, 10000 ZAGREB, OIB: 4515751372</v>
      </c>
      <c r="H424" s="7"/>
      <c r="I424" s="8" t="s">
        <v>778</v>
      </c>
      <c r="J424" s="8" t="s">
        <v>746</v>
      </c>
      <c r="K424" s="6" t="str">
        <f>"810.000,00"</f>
        <v>810.000,00</v>
      </c>
      <c r="L424" s="6" t="str">
        <f>"202.500,00"</f>
        <v>202.500,00</v>
      </c>
      <c r="M424" s="6" t="str">
        <f>"1.012.500,00"</f>
        <v>1.012.500,00</v>
      </c>
      <c r="N424" s="8" t="s">
        <v>779</v>
      </c>
      <c r="O424" s="7"/>
      <c r="P424" s="2" t="s">
        <v>5614</v>
      </c>
      <c r="Q424" s="7"/>
      <c r="R424" s="1"/>
      <c r="S424" s="1" t="str">
        <f>"NOS-77-C/19"</f>
        <v>NOS-77-C/19</v>
      </c>
      <c r="T424" s="1" t="s">
        <v>32</v>
      </c>
    </row>
    <row r="425" spans="1:20" ht="102" x14ac:dyDescent="0.25">
      <c r="A425" s="6">
        <v>422</v>
      </c>
      <c r="B425" s="1" t="str">
        <f t="shared" si="35"/>
        <v>2019-2979</v>
      </c>
      <c r="C425" s="1" t="s">
        <v>784</v>
      </c>
      <c r="D425" s="1" t="s">
        <v>78</v>
      </c>
      <c r="E425" s="1" t="str">
        <f>""</f>
        <v/>
      </c>
      <c r="F425" s="1" t="s">
        <v>28</v>
      </c>
      <c r="G425" s="1" t="str">
        <f t="shared" si="36"/>
        <v>ECO MOBILE D.O.O., SAMOBORSKA CESTA 330, 10000 ZAGREB, OIB: 4515751372</v>
      </c>
      <c r="H425" s="7"/>
      <c r="I425" s="8" t="s">
        <v>103</v>
      </c>
      <c r="J425" s="8" t="s">
        <v>123</v>
      </c>
      <c r="K425" s="6" t="str">
        <f>"400.000,00"</f>
        <v>400.000,00</v>
      </c>
      <c r="L425" s="6" t="str">
        <f>"100.000,00"</f>
        <v>100.000,00</v>
      </c>
      <c r="M425" s="6" t="str">
        <f>"500.000,00"</f>
        <v>500.000,00</v>
      </c>
      <c r="N425" s="8" t="s">
        <v>124</v>
      </c>
      <c r="O425" s="7"/>
      <c r="P425" s="2" t="s">
        <v>5867</v>
      </c>
      <c r="Q425" s="7"/>
      <c r="R425" s="1"/>
      <c r="S425" s="1" t="str">
        <f>"1-22/NOS-77-C/19"</f>
        <v>1-22/NOS-77-C/19</v>
      </c>
      <c r="T425" s="1" t="s">
        <v>32</v>
      </c>
    </row>
    <row r="426" spans="1:20" ht="165.75" x14ac:dyDescent="0.25">
      <c r="A426" s="6">
        <v>423</v>
      </c>
      <c r="B426" s="1" t="str">
        <f>"2019-1"</f>
        <v>2019-1</v>
      </c>
      <c r="C426" s="1" t="s">
        <v>785</v>
      </c>
      <c r="D426" s="1" t="s">
        <v>786</v>
      </c>
      <c r="E426" s="1" t="str">
        <f>"2019/S 0F2-0046039"</f>
        <v>2019/S 0F2-0046039</v>
      </c>
      <c r="F426" s="1" t="s">
        <v>22</v>
      </c>
      <c r="G426" s="1" t="str">
        <f>CONCATENATE("GRADSKA PLINARA ZAGREB-OPSKRBA D.O.O.,"," RADNIČKA CESTA 1,"," 10000 ZAGREB,"," OIB: 74364571096")</f>
        <v>GRADSKA PLINARA ZAGREB-OPSKRBA D.O.O., RADNIČKA CESTA 1, 10000 ZAGREB, OIB: 74364571096</v>
      </c>
      <c r="H426" s="7"/>
      <c r="I426" s="8" t="s">
        <v>767</v>
      </c>
      <c r="J426" s="8" t="s">
        <v>768</v>
      </c>
      <c r="K426" s="6" t="str">
        <f>"17.490.000,00"</f>
        <v>17.490.000,00</v>
      </c>
      <c r="L426" s="6" t="str">
        <f>"4.372.500,00"</f>
        <v>4.372.500,00</v>
      </c>
      <c r="M426" s="6" t="str">
        <f>"21.862.500,00"</f>
        <v>21.862.500,00</v>
      </c>
      <c r="N426" s="8" t="s">
        <v>787</v>
      </c>
      <c r="O426" s="7"/>
      <c r="P426" s="2" t="s">
        <v>5868</v>
      </c>
      <c r="Q426" s="7"/>
      <c r="R426" s="1"/>
      <c r="S426" s="1" t="str">
        <f>"NOS-85-ZGH/19"</f>
        <v>NOS-85-ZGH/19</v>
      </c>
      <c r="T426" s="1" t="s">
        <v>788</v>
      </c>
    </row>
    <row r="427" spans="1:20" ht="76.5" x14ac:dyDescent="0.25">
      <c r="A427" s="6">
        <v>424</v>
      </c>
      <c r="B427" s="1" t="str">
        <f>"2019-1"</f>
        <v>2019-1</v>
      </c>
      <c r="C427" s="1" t="s">
        <v>785</v>
      </c>
      <c r="D427" s="1" t="s">
        <v>789</v>
      </c>
      <c r="E427" s="1" t="str">
        <f>""</f>
        <v/>
      </c>
      <c r="F427" s="1" t="s">
        <v>28</v>
      </c>
      <c r="G427" s="1" t="str">
        <f>CONCATENATE("GRADSKA PLINARA ZAGREB-OPSKRBA D.O.O.,"," RADNIČKA CESTA 1,"," 10000 ZAGREB,"," OIB: 74364571096")</f>
        <v>GRADSKA PLINARA ZAGREB-OPSKRBA D.O.O., RADNIČKA CESTA 1, 10000 ZAGREB, OIB: 74364571096</v>
      </c>
      <c r="H427" s="7"/>
      <c r="I427" s="8" t="s">
        <v>790</v>
      </c>
      <c r="J427" s="8" t="s">
        <v>30</v>
      </c>
      <c r="K427" s="6" t="str">
        <f>"5.878.845,41"</f>
        <v>5.878.845,41</v>
      </c>
      <c r="L427" s="6" t="str">
        <f>"1.469.711,35"</f>
        <v>1.469.711,35</v>
      </c>
      <c r="M427" s="6" t="str">
        <f>"7.348.556,76"</f>
        <v>7.348.556,76</v>
      </c>
      <c r="N427" s="8" t="s">
        <v>509</v>
      </c>
      <c r="O427" s="7"/>
      <c r="P427" s="2" t="s">
        <v>5869</v>
      </c>
      <c r="Q427" s="1"/>
      <c r="R427" s="1"/>
      <c r="S427" s="1" t="str">
        <f>"5-21/NOS-85-ZGH/19"</f>
        <v>5-21/NOS-85-ZGH/19</v>
      </c>
      <c r="T427" s="1" t="s">
        <v>32</v>
      </c>
    </row>
    <row r="428" spans="1:20" ht="76.5" x14ac:dyDescent="0.25">
      <c r="A428" s="6">
        <v>425</v>
      </c>
      <c r="B428" s="1" t="str">
        <f>"2019-1"</f>
        <v>2019-1</v>
      </c>
      <c r="C428" s="1" t="s">
        <v>785</v>
      </c>
      <c r="D428" s="1" t="s">
        <v>789</v>
      </c>
      <c r="E428" s="1" t="str">
        <f>""</f>
        <v/>
      </c>
      <c r="F428" s="1" t="s">
        <v>28</v>
      </c>
      <c r="G428" s="1" t="str">
        <f>CONCATENATE("GRADSKA PLINARA ZAGREB-OPSKRBA D.O.O.,"," RADNIČKA CESTA 1,"," 10000 ZAGREB,"," OIB: 74364571096")</f>
        <v>GRADSKA PLINARA ZAGREB-OPSKRBA D.O.O., RADNIČKA CESTA 1, 10000 ZAGREB, OIB: 74364571096</v>
      </c>
      <c r="H428" s="7"/>
      <c r="I428" s="8" t="s">
        <v>220</v>
      </c>
      <c r="J428" s="8" t="s">
        <v>214</v>
      </c>
      <c r="K428" s="6" t="str">
        <f>"176.094,50"</f>
        <v>176.094,50</v>
      </c>
      <c r="L428" s="6" t="str">
        <f>"44.023,63"</f>
        <v>44.023,63</v>
      </c>
      <c r="M428" s="6" t="str">
        <f>"220.118,13"</f>
        <v>220.118,13</v>
      </c>
      <c r="N428" s="8" t="s">
        <v>124</v>
      </c>
      <c r="O428" s="7"/>
      <c r="P428" s="2" t="s">
        <v>5614</v>
      </c>
      <c r="Q428" s="7"/>
      <c r="R428" s="1"/>
      <c r="S428" s="1" t="str">
        <f>"2-22/NOS-85-ZGH/19"</f>
        <v>2-22/NOS-85-ZGH/19</v>
      </c>
      <c r="T428" s="1" t="s">
        <v>86</v>
      </c>
    </row>
    <row r="429" spans="1:20" ht="76.5" x14ac:dyDescent="0.25">
      <c r="A429" s="6">
        <v>426</v>
      </c>
      <c r="B429" s="1" t="str">
        <f>"2019-1"</f>
        <v>2019-1</v>
      </c>
      <c r="C429" s="1" t="s">
        <v>785</v>
      </c>
      <c r="D429" s="1" t="s">
        <v>789</v>
      </c>
      <c r="E429" s="1" t="str">
        <f>""</f>
        <v/>
      </c>
      <c r="F429" s="1" t="s">
        <v>28</v>
      </c>
      <c r="G429" s="1" t="str">
        <f>CONCATENATE("GRADSKA PLINARA ZAGREB-OPSKRBA D.O.O.,"," RADNIČKA CESTA 1,"," 10000 ZAGREB,"," OIB: 74364571096")</f>
        <v>GRADSKA PLINARA ZAGREB-OPSKRBA D.O.O., RADNIČKA CESTA 1, 10000 ZAGREB, OIB: 74364571096</v>
      </c>
      <c r="H429" s="7"/>
      <c r="I429" s="8" t="s">
        <v>62</v>
      </c>
      <c r="J429" s="8" t="s">
        <v>214</v>
      </c>
      <c r="K429" s="6" t="str">
        <f>"407.684,80"</f>
        <v>407.684,80</v>
      </c>
      <c r="L429" s="6" t="str">
        <f>"101.921,20"</f>
        <v>101.921,20</v>
      </c>
      <c r="M429" s="6" t="str">
        <f>"509.606,00"</f>
        <v>509.606,00</v>
      </c>
      <c r="N429" s="8" t="s">
        <v>124</v>
      </c>
      <c r="O429" s="7"/>
      <c r="P429" s="2" t="s">
        <v>5614</v>
      </c>
      <c r="Q429" s="7"/>
      <c r="R429" s="1"/>
      <c r="S429" s="1" t="str">
        <f>"1-22/NOS-85-ZGH/19"</f>
        <v>1-22/NOS-85-ZGH/19</v>
      </c>
      <c r="T429" s="1" t="s">
        <v>55</v>
      </c>
    </row>
    <row r="430" spans="1:20" ht="76.5" x14ac:dyDescent="0.25">
      <c r="A430" s="6">
        <v>427</v>
      </c>
      <c r="B430" s="1" t="str">
        <f>"2019-1"</f>
        <v>2019-1</v>
      </c>
      <c r="C430" s="1" t="s">
        <v>785</v>
      </c>
      <c r="D430" s="1" t="s">
        <v>789</v>
      </c>
      <c r="E430" s="1" t="str">
        <f>""</f>
        <v/>
      </c>
      <c r="F430" s="1" t="s">
        <v>28</v>
      </c>
      <c r="G430" s="1" t="str">
        <f>CONCATENATE("GRADSKA PLINARA ZAGREB-OPSKRBA D.O.O.,"," RADNIČKA CESTA 1,"," 10000 ZAGREB,"," OIB: 74364571096")</f>
        <v>GRADSKA PLINARA ZAGREB-OPSKRBA D.O.O., RADNIČKA CESTA 1, 10000 ZAGREB, OIB: 74364571096</v>
      </c>
      <c r="H430" s="7"/>
      <c r="I430" s="8" t="s">
        <v>768</v>
      </c>
      <c r="J430" s="8" t="s">
        <v>214</v>
      </c>
      <c r="K430" s="6" t="str">
        <f>"4.424.411,10"</f>
        <v>4.424.411,10</v>
      </c>
      <c r="L430" s="6" t="str">
        <f>"1.106.102,78"</f>
        <v>1.106.102,78</v>
      </c>
      <c r="M430" s="6" t="str">
        <f>"5.530.513,88"</f>
        <v>5.530.513,88</v>
      </c>
      <c r="N430" s="8" t="s">
        <v>121</v>
      </c>
      <c r="O430" s="7"/>
      <c r="P430" s="2" t="s">
        <v>5870</v>
      </c>
      <c r="Q430" s="1"/>
      <c r="R430" s="1"/>
      <c r="S430" s="1" t="str">
        <f>"3-22/NOS-85-ZGH/19"</f>
        <v>3-22/NOS-85-ZGH/19</v>
      </c>
      <c r="T430" s="1" t="s">
        <v>32</v>
      </c>
    </row>
    <row r="431" spans="1:20" ht="89.25" x14ac:dyDescent="0.25">
      <c r="A431" s="6">
        <v>428</v>
      </c>
      <c r="B431" s="1" t="str">
        <f>"2019-2979"</f>
        <v>2019-2979</v>
      </c>
      <c r="C431" s="1" t="s">
        <v>791</v>
      </c>
      <c r="D431" s="1" t="s">
        <v>74</v>
      </c>
      <c r="E431" s="1" t="str">
        <f>"2019/S 0F2-0047047"</f>
        <v>2019/S 0F2-0047047</v>
      </c>
      <c r="F431" s="1" t="s">
        <v>22</v>
      </c>
      <c r="G431" s="1" t="str">
        <f>CONCATENATE("ECO MOBILE D.O.O.,"," SAMOBORSKA CESTA 330,"," 10000 ZAGREB,"," OIB: 4515751372")</f>
        <v>ECO MOBILE D.O.O., SAMOBORSKA CESTA 330, 10000 ZAGREB, OIB: 4515751372</v>
      </c>
      <c r="H431" s="7"/>
      <c r="I431" s="8" t="s">
        <v>778</v>
      </c>
      <c r="J431" s="8" t="s">
        <v>746</v>
      </c>
      <c r="K431" s="6" t="str">
        <f>"1.290.000,00"</f>
        <v>1.290.000,00</v>
      </c>
      <c r="L431" s="6" t="str">
        <f>"322.500,00"</f>
        <v>322.500,00</v>
      </c>
      <c r="M431" s="6" t="str">
        <f>"1.612.500,00"</f>
        <v>1.612.500,00</v>
      </c>
      <c r="N431" s="8" t="s">
        <v>696</v>
      </c>
      <c r="O431" s="7"/>
      <c r="P431" s="2" t="s">
        <v>5614</v>
      </c>
      <c r="Q431" s="7"/>
      <c r="R431" s="1"/>
      <c r="S431" s="1" t="str">
        <f>"NOS-77-D/19"</f>
        <v>NOS-77-D/19</v>
      </c>
      <c r="T431" s="1" t="s">
        <v>32</v>
      </c>
    </row>
    <row r="432" spans="1:20" ht="102" x14ac:dyDescent="0.25">
      <c r="A432" s="6">
        <v>429</v>
      </c>
      <c r="B432" s="1" t="str">
        <f>"2019-2979"</f>
        <v>2019-2979</v>
      </c>
      <c r="C432" s="1" t="s">
        <v>792</v>
      </c>
      <c r="D432" s="1" t="s">
        <v>78</v>
      </c>
      <c r="E432" s="1" t="str">
        <f>""</f>
        <v/>
      </c>
      <c r="F432" s="1" t="s">
        <v>28</v>
      </c>
      <c r="G432" s="1" t="str">
        <f>CONCATENATE("ECO MOBILE D.O.O.,"," SAMOBORSKA CESTA 330,"," 10000 ZAGREB,"," OIB: 4515751372")</f>
        <v>ECO MOBILE D.O.O., SAMOBORSKA CESTA 330, 10000 ZAGREB, OIB: 4515751372</v>
      </c>
      <c r="H432" s="7"/>
      <c r="I432" s="8" t="s">
        <v>103</v>
      </c>
      <c r="J432" s="8" t="s">
        <v>123</v>
      </c>
      <c r="K432" s="6" t="str">
        <f>"399.300,00"</f>
        <v>399.300,00</v>
      </c>
      <c r="L432" s="6" t="str">
        <f>"99.825,00"</f>
        <v>99.825,00</v>
      </c>
      <c r="M432" s="6" t="str">
        <f>"499.125,00"</f>
        <v>499.125,00</v>
      </c>
      <c r="N432" s="8" t="s">
        <v>124</v>
      </c>
      <c r="O432" s="7"/>
      <c r="P432" s="2" t="s">
        <v>5871</v>
      </c>
      <c r="Q432" s="7"/>
      <c r="R432" s="1"/>
      <c r="S432" s="1" t="str">
        <f>"1-22/NOS-77-D/19"</f>
        <v>1-22/NOS-77-D/19</v>
      </c>
      <c r="T432" s="1" t="s">
        <v>32</v>
      </c>
    </row>
    <row r="433" spans="1:20" ht="178.5" x14ac:dyDescent="0.25">
      <c r="A433" s="6">
        <v>430</v>
      </c>
      <c r="B433" s="1" t="str">
        <f>"2019-697"</f>
        <v>2019-697</v>
      </c>
      <c r="C433" s="1" t="s">
        <v>793</v>
      </c>
      <c r="D433" s="1" t="s">
        <v>794</v>
      </c>
      <c r="E433" s="1" t="str">
        <f>"2020/S 0F2-0001376"</f>
        <v>2020/S 0F2-0001376</v>
      </c>
      <c r="F433" s="1" t="s">
        <v>22</v>
      </c>
      <c r="G433" s="1" t="str">
        <f>CONCATENATE("COMBIS D.O.O.,"," RADNIČKA CESTA 21,"," 10000 ZAGREB,"," OIB: 91678676896")</f>
        <v>COMBIS D.O.O., RADNIČKA CESTA 21, 10000 ZAGREB, OIB: 91678676896</v>
      </c>
      <c r="H433" s="7"/>
      <c r="I433" s="8" t="s">
        <v>795</v>
      </c>
      <c r="J433" s="8" t="s">
        <v>796</v>
      </c>
      <c r="K433" s="6" t="str">
        <f>"38.750.000,00"</f>
        <v>38.750.000,00</v>
      </c>
      <c r="L433" s="6" t="str">
        <f>"9.687.500,00"</f>
        <v>9.687.500,00</v>
      </c>
      <c r="M433" s="6" t="str">
        <f>"48.437.500,00"</f>
        <v>48.437.500,00</v>
      </c>
      <c r="N433" s="8" t="s">
        <v>124</v>
      </c>
      <c r="O433" s="7"/>
      <c r="P433" s="2" t="s">
        <v>5872</v>
      </c>
      <c r="Q433" s="7"/>
      <c r="R433" s="1" t="s">
        <v>797</v>
      </c>
      <c r="S433" s="1" t="str">
        <f>"NOS-88/19"</f>
        <v>NOS-88/19</v>
      </c>
      <c r="T433" s="1" t="s">
        <v>531</v>
      </c>
    </row>
    <row r="434" spans="1:20" ht="51" x14ac:dyDescent="0.25">
      <c r="A434" s="6">
        <v>431</v>
      </c>
      <c r="B434" s="1" t="str">
        <f>"2019-697"</f>
        <v>2019-697</v>
      </c>
      <c r="C434" s="1" t="s">
        <v>793</v>
      </c>
      <c r="D434" s="1" t="s">
        <v>798</v>
      </c>
      <c r="E434" s="1" t="str">
        <f>""</f>
        <v/>
      </c>
      <c r="F434" s="1" t="s">
        <v>28</v>
      </c>
      <c r="G434" s="1" t="str">
        <f>CONCATENATE("COMBIS D.O.O.,"," RADNIČKA CESTA 21,"," 10000 ZAGREB,"," OIB: 91678676896")</f>
        <v>COMBIS D.O.O., RADNIČKA CESTA 21, 10000 ZAGREB, OIB: 91678676896</v>
      </c>
      <c r="H434" s="7"/>
      <c r="I434" s="8" t="s">
        <v>799</v>
      </c>
      <c r="J434" s="8" t="s">
        <v>123</v>
      </c>
      <c r="K434" s="6" t="str">
        <f>"106.447,60"</f>
        <v>106.447,60</v>
      </c>
      <c r="L434" s="6" t="str">
        <f>"26.611,90"</f>
        <v>26.611,90</v>
      </c>
      <c r="M434" s="6" t="str">
        <f>"133.059,50"</f>
        <v>133.059,50</v>
      </c>
      <c r="N434" s="8" t="s">
        <v>124</v>
      </c>
      <c r="O434" s="7"/>
      <c r="P434" s="2" t="s">
        <v>5614</v>
      </c>
      <c r="Q434" s="7"/>
      <c r="R434" s="1"/>
      <c r="S434" s="1" t="str">
        <f>"3-21/NOS-88/19"</f>
        <v>3-21/NOS-88/19</v>
      </c>
      <c r="T434" s="1" t="s">
        <v>86</v>
      </c>
    </row>
    <row r="435" spans="1:20" ht="102" x14ac:dyDescent="0.25">
      <c r="A435" s="6">
        <v>432</v>
      </c>
      <c r="B435" s="1" t="str">
        <f>"2019-697"</f>
        <v>2019-697</v>
      </c>
      <c r="C435" s="1" t="s">
        <v>793</v>
      </c>
      <c r="D435" s="1" t="s">
        <v>798</v>
      </c>
      <c r="E435" s="1" t="str">
        <f>""</f>
        <v/>
      </c>
      <c r="F435" s="1" t="s">
        <v>28</v>
      </c>
      <c r="G435" s="1" t="str">
        <f>CONCATENATE("COMBIS D.O.O.,"," RADNIČKA CESTA 21,"," 10000 ZAGREB,"," OIB: 91678676896")</f>
        <v>COMBIS D.O.O., RADNIČKA CESTA 21, 10000 ZAGREB, OIB: 91678676896</v>
      </c>
      <c r="H435" s="7"/>
      <c r="I435" s="8" t="s">
        <v>799</v>
      </c>
      <c r="J435" s="8" t="s">
        <v>123</v>
      </c>
      <c r="K435" s="6" t="str">
        <f>"719.391,96"</f>
        <v>719.391,96</v>
      </c>
      <c r="L435" s="6" t="str">
        <f>"179.847,99"</f>
        <v>179.847,99</v>
      </c>
      <c r="M435" s="6" t="str">
        <f>"899.239,95"</f>
        <v>899.239,95</v>
      </c>
      <c r="N435" s="8" t="s">
        <v>800</v>
      </c>
      <c r="O435" s="7"/>
      <c r="P435" s="2" t="s">
        <v>5873</v>
      </c>
      <c r="Q435" s="1" t="s">
        <v>5606</v>
      </c>
      <c r="R435" s="1"/>
      <c r="S435" s="1" t="str">
        <f>"5-21/NOS-88/19"</f>
        <v>5-21/NOS-88/19</v>
      </c>
      <c r="T435" s="1" t="s">
        <v>32</v>
      </c>
    </row>
    <row r="436" spans="1:20" ht="102" x14ac:dyDescent="0.25">
      <c r="A436" s="6">
        <v>433</v>
      </c>
      <c r="B436" s="1" t="str">
        <f>"2019-697"</f>
        <v>2019-697</v>
      </c>
      <c r="C436" s="1" t="s">
        <v>793</v>
      </c>
      <c r="D436" s="1" t="s">
        <v>798</v>
      </c>
      <c r="E436" s="1" t="str">
        <f>""</f>
        <v/>
      </c>
      <c r="F436" s="1" t="s">
        <v>28</v>
      </c>
      <c r="G436" s="1" t="str">
        <f>CONCATENATE("COMBIS D.O.O.,"," RADNIČKA CESTA 21,"," 10000 ZAGREB,"," OIB: 91678676896")</f>
        <v>COMBIS D.O.O., RADNIČKA CESTA 21, 10000 ZAGREB, OIB: 91678676896</v>
      </c>
      <c r="H436" s="7"/>
      <c r="I436" s="8" t="s">
        <v>799</v>
      </c>
      <c r="J436" s="8" t="s">
        <v>123</v>
      </c>
      <c r="K436" s="6" t="str">
        <f>"36.914,28"</f>
        <v>36.914,28</v>
      </c>
      <c r="L436" s="6" t="str">
        <f>"9.228,57"</f>
        <v>9.228,57</v>
      </c>
      <c r="M436" s="6" t="str">
        <f>"46.142,85"</f>
        <v>46.142,85</v>
      </c>
      <c r="N436" s="8" t="s">
        <v>801</v>
      </c>
      <c r="O436" s="7"/>
      <c r="P436" s="2" t="s">
        <v>5874</v>
      </c>
      <c r="Q436" s="1" t="s">
        <v>5606</v>
      </c>
      <c r="R436" s="1"/>
      <c r="S436" s="1" t="str">
        <f>"1-21/NOS-88/19"</f>
        <v>1-21/NOS-88/19</v>
      </c>
      <c r="T436" s="1" t="s">
        <v>43</v>
      </c>
    </row>
    <row r="437" spans="1:20" ht="51" x14ac:dyDescent="0.25">
      <c r="A437" s="6">
        <v>434</v>
      </c>
      <c r="B437" s="1" t="str">
        <f>"2019-697"</f>
        <v>2019-697</v>
      </c>
      <c r="C437" s="1" t="s">
        <v>793</v>
      </c>
      <c r="D437" s="1" t="s">
        <v>798</v>
      </c>
      <c r="E437" s="1" t="str">
        <f>""</f>
        <v/>
      </c>
      <c r="F437" s="1" t="s">
        <v>28</v>
      </c>
      <c r="G437" s="1" t="str">
        <f>CONCATENATE("COMBIS D.O.O.,"," RADNIČKA CESTA 21,"," 10000 ZAGREB,"," OIB: 91678676896")</f>
        <v>COMBIS D.O.O., RADNIČKA CESTA 21, 10000 ZAGREB, OIB: 91678676896</v>
      </c>
      <c r="H437" s="7"/>
      <c r="I437" s="8" t="s">
        <v>134</v>
      </c>
      <c r="J437" s="8" t="s">
        <v>123</v>
      </c>
      <c r="K437" s="6" t="str">
        <f>"136.333,52"</f>
        <v>136.333,52</v>
      </c>
      <c r="L437" s="6" t="str">
        <f>"34.083,38"</f>
        <v>34.083,38</v>
      </c>
      <c r="M437" s="6" t="str">
        <f>"170.416,90"</f>
        <v>170.416,90</v>
      </c>
      <c r="N437" s="8" t="s">
        <v>124</v>
      </c>
      <c r="O437" s="7"/>
      <c r="P437" s="2" t="s">
        <v>5614</v>
      </c>
      <c r="Q437" s="7"/>
      <c r="R437" s="1"/>
      <c r="S437" s="1" t="str">
        <f>"4-21/NOS-88/19"</f>
        <v>4-21/NOS-88/19</v>
      </c>
      <c r="T437" s="1" t="s">
        <v>55</v>
      </c>
    </row>
    <row r="438" spans="1:20" ht="331.5" x14ac:dyDescent="0.25">
      <c r="A438" s="6">
        <v>435</v>
      </c>
      <c r="B438" s="1" t="str">
        <f>"2019-2381"</f>
        <v>2019-2381</v>
      </c>
      <c r="C438" s="1" t="s">
        <v>802</v>
      </c>
      <c r="D438" s="1" t="s">
        <v>653</v>
      </c>
      <c r="E438" s="1" t="str">
        <f>"2019/S 0F2-0032372"</f>
        <v>2019/S 0F2-0032372</v>
      </c>
      <c r="F438" s="1" t="s">
        <v>22</v>
      </c>
      <c r="G438" s="1"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438" s="7"/>
      <c r="I438" s="8" t="s">
        <v>803</v>
      </c>
      <c r="J438" s="8" t="s">
        <v>163</v>
      </c>
      <c r="K438" s="6" t="str">
        <f>"4.050.000,00"</f>
        <v>4.050.000,00</v>
      </c>
      <c r="L438" s="6" t="str">
        <f>"1.012.500,00"</f>
        <v>1.012.500,00</v>
      </c>
      <c r="M438" s="6" t="str">
        <f>"5.062.500,00"</f>
        <v>5.062.500,00</v>
      </c>
      <c r="N438" s="8" t="s">
        <v>804</v>
      </c>
      <c r="O438" s="7"/>
      <c r="P438" s="2" t="s">
        <v>5614</v>
      </c>
      <c r="Q438" s="7"/>
      <c r="R438" s="1"/>
      <c r="S438" s="1" t="str">
        <f>"NOS-17-E/19"</f>
        <v>NOS-17-E/19</v>
      </c>
      <c r="T438" s="1" t="s">
        <v>32</v>
      </c>
    </row>
    <row r="439" spans="1:20" ht="331.5" x14ac:dyDescent="0.25">
      <c r="A439" s="6">
        <v>436</v>
      </c>
      <c r="B439" s="1" t="str">
        <f>"2019-2381"</f>
        <v>2019-2381</v>
      </c>
      <c r="C439" s="1" t="s">
        <v>805</v>
      </c>
      <c r="D439" s="1" t="s">
        <v>653</v>
      </c>
      <c r="E439" s="1" t="str">
        <f>""</f>
        <v/>
      </c>
      <c r="F439" s="1" t="s">
        <v>28</v>
      </c>
      <c r="G439" s="1" t="str">
        <f>CONCATENATE("Zajednica ponuditelja",CHAR(10),"AUTOPRIJEVOZ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f>
        <v>Zajednica ponuditelja
AUTOPRIJEVOZ SMOLKOVIĆ D.O.O. ZA USLUGE, MIŠKININA 34A, 10020 ZAGREB-NOVI ZAGREB, OIB: 69521492758DIJANEŽEVIĆ, OBRT ZA AUTOPRIJEVOZ I GRADNJU, VL. MIROSLAV DIJANEŽEVIĆ STEPANSKA 64, 10412 DONJA LOMNICA, OIB: 77923502229AUTOPRIJEVOZ I GRAĐEVINSKA MEHANIZACIJA SEVER, VL. STJEPAN SEVER M.GUPCA 6A, 49245 GORNJA STUBICA, OIB: 33186357612AUTOPRIJEVOZ - GRAĐEVINSKA MEHANIZACIJA, VL. TOMO PAVLEČIĆ KNEZA PORINA 125, 10410 VELIKA GORICA, OIB: 21509149224</v>
      </c>
      <c r="H439" s="7"/>
      <c r="I439" s="8" t="s">
        <v>696</v>
      </c>
      <c r="J439" s="8" t="s">
        <v>57</v>
      </c>
      <c r="K439" s="6" t="str">
        <f>"900.000,00"</f>
        <v>900.000,00</v>
      </c>
      <c r="L439" s="6" t="str">
        <f>"225.000,00"</f>
        <v>225.000,00</v>
      </c>
      <c r="M439" s="6" t="str">
        <f>"1.125.000,00"</f>
        <v>1.125.000,00</v>
      </c>
      <c r="N439" s="8" t="s">
        <v>146</v>
      </c>
      <c r="O439" s="7"/>
      <c r="P439" s="2" t="s">
        <v>5875</v>
      </c>
      <c r="Q439" s="7"/>
      <c r="R439" s="1"/>
      <c r="S439" s="1" t="str">
        <f>"3-21/NOS-17-E/19"</f>
        <v>3-21/NOS-17-E/19</v>
      </c>
      <c r="T439" s="1" t="s">
        <v>32</v>
      </c>
    </row>
    <row r="440" spans="1:20" ht="89.25" x14ac:dyDescent="0.25">
      <c r="A440" s="6">
        <v>437</v>
      </c>
      <c r="B440" s="1" t="str">
        <f t="shared" ref="B440:B446" si="37">"2019-2999"</f>
        <v>2019-2999</v>
      </c>
      <c r="C440" s="1" t="s">
        <v>806</v>
      </c>
      <c r="D440" s="1" t="s">
        <v>244</v>
      </c>
      <c r="E440" s="1" t="str">
        <f>"2019/S 0F2-0048607"</f>
        <v>2019/S 0F2-0048607</v>
      </c>
      <c r="F440" s="1" t="s">
        <v>22</v>
      </c>
      <c r="G440" s="1" t="str">
        <f>CONCATENATE("FOREMAN GROUP D.O.O.,"," ,"," OIB: 04807307105")</f>
        <v>FOREMAN GROUP D.O.O., , OIB: 04807307105</v>
      </c>
      <c r="H440" s="7"/>
      <c r="I440" s="8" t="s">
        <v>807</v>
      </c>
      <c r="J440" s="8" t="s">
        <v>808</v>
      </c>
      <c r="K440" s="6" t="str">
        <f>"16.689.335,00"</f>
        <v>16.689.335,00</v>
      </c>
      <c r="L440" s="6" t="str">
        <f>"4.172.333,75"</f>
        <v>4.172.333,75</v>
      </c>
      <c r="M440" s="6" t="str">
        <f>"20.861.668,75"</f>
        <v>20.861.668,75</v>
      </c>
      <c r="N440" s="8" t="s">
        <v>42</v>
      </c>
      <c r="O440" s="7"/>
      <c r="P440" s="2" t="s">
        <v>5876</v>
      </c>
      <c r="Q440" s="7"/>
      <c r="R440" s="1"/>
      <c r="S440" s="1" t="str">
        <f>"NOS-90/19"</f>
        <v>NOS-90/19</v>
      </c>
      <c r="T440" s="1" t="s">
        <v>809</v>
      </c>
    </row>
    <row r="441" spans="1:20" ht="63.75" x14ac:dyDescent="0.25">
      <c r="A441" s="6">
        <v>438</v>
      </c>
      <c r="B441" s="1" t="str">
        <f t="shared" si="37"/>
        <v>2019-2999</v>
      </c>
      <c r="C441" s="1" t="s">
        <v>806</v>
      </c>
      <c r="D441" s="1" t="s">
        <v>810</v>
      </c>
      <c r="E441" s="1" t="str">
        <f>""</f>
        <v/>
      </c>
      <c r="F441" s="1" t="s">
        <v>28</v>
      </c>
      <c r="G441" s="1" t="str">
        <f t="shared" ref="G441:G446" si="38">CONCATENATE("FOREMAN GROUP D.O.O.,"," ULICA GRADA VUKOVARA 20,"," 10000 ZAGREB,"," OIB: 04807307105")</f>
        <v>FOREMAN GROUP D.O.O., ULICA GRADA VUKOVARA 20, 10000 ZAGREB, OIB: 04807307105</v>
      </c>
      <c r="H441" s="7"/>
      <c r="I441" s="8" t="s">
        <v>811</v>
      </c>
      <c r="J441" s="8" t="s">
        <v>93</v>
      </c>
      <c r="K441" s="6" t="str">
        <f>"4.930.399,66"</f>
        <v>4.930.399,66</v>
      </c>
      <c r="L441" s="6" t="str">
        <f>"1.232.599,92"</f>
        <v>1.232.599,92</v>
      </c>
      <c r="M441" s="6" t="str">
        <f>"6.162.999,58"</f>
        <v>6.162.999,58</v>
      </c>
      <c r="N441" s="8" t="s">
        <v>431</v>
      </c>
      <c r="O441" s="7"/>
      <c r="P441" s="2" t="s">
        <v>5877</v>
      </c>
      <c r="Q441" s="1"/>
      <c r="R441" s="1"/>
      <c r="S441" s="1" t="str">
        <f>"8-21/NOS-90/19"</f>
        <v>8-21/NOS-90/19</v>
      </c>
      <c r="T441" s="1" t="s">
        <v>32</v>
      </c>
    </row>
    <row r="442" spans="1:20" ht="102" x14ac:dyDescent="0.25">
      <c r="A442" s="6">
        <v>439</v>
      </c>
      <c r="B442" s="1" t="str">
        <f t="shared" si="37"/>
        <v>2019-2999</v>
      </c>
      <c r="C442" s="1" t="s">
        <v>812</v>
      </c>
      <c r="D442" s="1" t="s">
        <v>810</v>
      </c>
      <c r="E442" s="1" t="str">
        <f>""</f>
        <v/>
      </c>
      <c r="F442" s="1" t="s">
        <v>92</v>
      </c>
      <c r="G442" s="1" t="str">
        <f t="shared" si="38"/>
        <v>FOREMAN GROUP D.O.O., ULICA GRADA VUKOVARA 20, 10000 ZAGREB, OIB: 04807307105</v>
      </c>
      <c r="H442" s="7"/>
      <c r="I442" s="8" t="s">
        <v>90</v>
      </c>
      <c r="J442" s="8" t="s">
        <v>30</v>
      </c>
      <c r="K442" s="6" t="str">
        <f>"3.465,10"</f>
        <v>3.465,10</v>
      </c>
      <c r="L442" s="6" t="str">
        <f>"866,28"</f>
        <v>866,28</v>
      </c>
      <c r="M442" s="6" t="str">
        <f>"4.331,38"</f>
        <v>4.331,38</v>
      </c>
      <c r="N442" s="8" t="s">
        <v>124</v>
      </c>
      <c r="O442" s="7"/>
      <c r="P442" s="2" t="s">
        <v>5614</v>
      </c>
      <c r="Q442" s="7"/>
      <c r="R442" s="1" t="s">
        <v>191</v>
      </c>
      <c r="S442" s="1" t="str">
        <f>"8-21/NOS-90/19#2"</f>
        <v>8-21/NOS-90/19#2</v>
      </c>
      <c r="T442" s="1" t="s">
        <v>32</v>
      </c>
    </row>
    <row r="443" spans="1:20" ht="63.75" x14ac:dyDescent="0.25">
      <c r="A443" s="6">
        <v>440</v>
      </c>
      <c r="B443" s="1" t="str">
        <f t="shared" si="37"/>
        <v>2019-2999</v>
      </c>
      <c r="C443" s="1" t="s">
        <v>806</v>
      </c>
      <c r="D443" s="1" t="s">
        <v>810</v>
      </c>
      <c r="E443" s="1" t="str">
        <f>""</f>
        <v/>
      </c>
      <c r="F443" s="1" t="s">
        <v>28</v>
      </c>
      <c r="G443" s="1" t="str">
        <f t="shared" si="38"/>
        <v>FOREMAN GROUP D.O.O., ULICA GRADA VUKOVARA 20, 10000 ZAGREB, OIB: 04807307105</v>
      </c>
      <c r="H443" s="7"/>
      <c r="I443" s="8" t="s">
        <v>371</v>
      </c>
      <c r="J443" s="8" t="s">
        <v>123</v>
      </c>
      <c r="K443" s="6" t="str">
        <f>"3.894.335,16"</f>
        <v>3.894.335,16</v>
      </c>
      <c r="L443" s="6" t="str">
        <f>"973.583,79"</f>
        <v>973.583,79</v>
      </c>
      <c r="M443" s="6" t="str">
        <f>"4.867.918,95"</f>
        <v>4.867.918,95</v>
      </c>
      <c r="N443" s="8" t="s">
        <v>124</v>
      </c>
      <c r="O443" s="7"/>
      <c r="P443" s="2" t="s">
        <v>5878</v>
      </c>
      <c r="Q443" s="1"/>
      <c r="R443" s="1"/>
      <c r="S443" s="1" t="str">
        <f>"1-22/NOS-90/19"</f>
        <v>1-22/NOS-90/19</v>
      </c>
      <c r="T443" s="1" t="s">
        <v>32</v>
      </c>
    </row>
    <row r="444" spans="1:20" ht="102" x14ac:dyDescent="0.25">
      <c r="A444" s="6">
        <v>441</v>
      </c>
      <c r="B444" s="1" t="str">
        <f t="shared" si="37"/>
        <v>2019-2999</v>
      </c>
      <c r="C444" s="1" t="s">
        <v>812</v>
      </c>
      <c r="D444" s="1" t="s">
        <v>810</v>
      </c>
      <c r="E444" s="1" t="str">
        <f>""</f>
        <v/>
      </c>
      <c r="F444" s="1" t="s">
        <v>92</v>
      </c>
      <c r="G444" s="1" t="str">
        <f t="shared" si="38"/>
        <v>FOREMAN GROUP D.O.O., ULICA GRADA VUKOVARA 20, 10000 ZAGREB, OIB: 04807307105</v>
      </c>
      <c r="H444" s="7"/>
      <c r="I444" s="8" t="s">
        <v>562</v>
      </c>
      <c r="J444" s="8" t="s">
        <v>123</v>
      </c>
      <c r="K444" s="6" t="str">
        <f>"96.500,00"</f>
        <v>96.500,00</v>
      </c>
      <c r="L444" s="6" t="str">
        <f>"24.125,00"</f>
        <v>24.125,00</v>
      </c>
      <c r="M444" s="6" t="str">
        <f>"120.625,00"</f>
        <v>120.625,00</v>
      </c>
      <c r="N444" s="8" t="s">
        <v>124</v>
      </c>
      <c r="O444" s="7"/>
      <c r="P444" s="2" t="s">
        <v>5879</v>
      </c>
      <c r="Q444" s="7"/>
      <c r="R444" s="1" t="s">
        <v>191</v>
      </c>
      <c r="S444" s="1" t="str">
        <f>"1-22/NOS-90/19#1"</f>
        <v>1-22/NOS-90/19#1</v>
      </c>
      <c r="T444" s="1" t="s">
        <v>32</v>
      </c>
    </row>
    <row r="445" spans="1:20" ht="102" x14ac:dyDescent="0.25">
      <c r="A445" s="6">
        <v>442</v>
      </c>
      <c r="B445" s="1" t="str">
        <f t="shared" si="37"/>
        <v>2019-2999</v>
      </c>
      <c r="C445" s="1" t="s">
        <v>812</v>
      </c>
      <c r="D445" s="1" t="s">
        <v>810</v>
      </c>
      <c r="E445" s="1" t="str">
        <f>""</f>
        <v/>
      </c>
      <c r="F445" s="1" t="s">
        <v>92</v>
      </c>
      <c r="G445" s="1" t="str">
        <f t="shared" si="38"/>
        <v>FOREMAN GROUP D.O.O., ULICA GRADA VUKOVARA 20, 10000 ZAGREB, OIB: 04807307105</v>
      </c>
      <c r="H445" s="7"/>
      <c r="I445" s="8" t="s">
        <v>429</v>
      </c>
      <c r="J445" s="8" t="s">
        <v>123</v>
      </c>
      <c r="K445" s="6" t="str">
        <f>"239.400,00"</f>
        <v>239.400,00</v>
      </c>
      <c r="L445" s="6" t="str">
        <f>"59.850,00"</f>
        <v>59.850,00</v>
      </c>
      <c r="M445" s="6" t="str">
        <f>"299.250,00"</f>
        <v>299.250,00</v>
      </c>
      <c r="N445" s="8" t="s">
        <v>124</v>
      </c>
      <c r="O445" s="7"/>
      <c r="P445" s="2" t="s">
        <v>5880</v>
      </c>
      <c r="Q445" s="1"/>
      <c r="R445" s="1" t="s">
        <v>191</v>
      </c>
      <c r="S445" s="1" t="str">
        <f>"1-22/NOS-90/19#2"</f>
        <v>1-22/NOS-90/19#2</v>
      </c>
      <c r="T445" s="1" t="s">
        <v>32</v>
      </c>
    </row>
    <row r="446" spans="1:20" ht="102" x14ac:dyDescent="0.25">
      <c r="A446" s="6">
        <v>443</v>
      </c>
      <c r="B446" s="1" t="str">
        <f t="shared" si="37"/>
        <v>2019-2999</v>
      </c>
      <c r="C446" s="1" t="s">
        <v>812</v>
      </c>
      <c r="D446" s="1" t="s">
        <v>810</v>
      </c>
      <c r="E446" s="1" t="str">
        <f>""</f>
        <v/>
      </c>
      <c r="F446" s="1" t="s">
        <v>92</v>
      </c>
      <c r="G446" s="1" t="str">
        <f t="shared" si="38"/>
        <v>FOREMAN GROUP D.O.O., ULICA GRADA VUKOVARA 20, 10000 ZAGREB, OIB: 04807307105</v>
      </c>
      <c r="H446" s="7"/>
      <c r="I446" s="8" t="s">
        <v>317</v>
      </c>
      <c r="J446" s="8" t="s">
        <v>813</v>
      </c>
      <c r="K446" s="6" t="str">
        <f>"21.748,80"</f>
        <v>21.748,80</v>
      </c>
      <c r="L446" s="6" t="str">
        <f>"5.437,20"</f>
        <v>5.437,20</v>
      </c>
      <c r="M446" s="6" t="str">
        <f>"27.186,00"</f>
        <v>27.186,00</v>
      </c>
      <c r="N446" s="8" t="s">
        <v>124</v>
      </c>
      <c r="O446" s="7"/>
      <c r="P446" s="2" t="s">
        <v>5614</v>
      </c>
      <c r="Q446" s="7"/>
      <c r="R446" s="1" t="s">
        <v>191</v>
      </c>
      <c r="S446" s="1" t="str">
        <f>"1-22/NOS-90/19#3"</f>
        <v>1-22/NOS-90/19#3</v>
      </c>
      <c r="T446" s="1" t="s">
        <v>32</v>
      </c>
    </row>
    <row r="447" spans="1:20" ht="63.75" x14ac:dyDescent="0.25">
      <c r="A447" s="6">
        <v>444</v>
      </c>
      <c r="B447" s="1" t="str">
        <f t="shared" ref="B447:B457" si="39">"2019-2402"</f>
        <v>2019-2402</v>
      </c>
      <c r="C447" s="1" t="s">
        <v>814</v>
      </c>
      <c r="D447" s="1" t="s">
        <v>815</v>
      </c>
      <c r="E447" s="1" t="str">
        <f>" 2019/S 0F2-0025282"</f>
        <v xml:space="preserve"> 2019/S 0F2-0025282</v>
      </c>
      <c r="F447" s="1" t="s">
        <v>22</v>
      </c>
      <c r="G447" s="1" t="str">
        <f>CONCATENATE("TOKIĆ D.O.O.,"," ULICA 144. BRIGADE HRVATSKE VOJSKE 1A,"," 10360 SESVETE,"," OIB: 7486748762")</f>
        <v>TOKIĆ D.O.O., ULICA 144. BRIGADE HRVATSKE VOJSKE 1A, 10360 SESVETE, OIB: 7486748762</v>
      </c>
      <c r="H447" s="7"/>
      <c r="I447" s="8" t="s">
        <v>816</v>
      </c>
      <c r="J447" s="8" t="s">
        <v>250</v>
      </c>
      <c r="K447" s="6" t="str">
        <f>"220.000,00"</f>
        <v>220.000,00</v>
      </c>
      <c r="L447" s="6" t="str">
        <f>"55.000,00"</f>
        <v>55.000,00</v>
      </c>
      <c r="M447" s="6" t="str">
        <f>"275.000,00"</f>
        <v>275.000,00</v>
      </c>
      <c r="N447" s="8" t="s">
        <v>246</v>
      </c>
      <c r="O447" s="7"/>
      <c r="P447" s="2" t="s">
        <v>5614</v>
      </c>
      <c r="Q447" s="7"/>
      <c r="R447" s="1"/>
      <c r="S447" s="1" t="str">
        <f>"NOS-92-A/19"</f>
        <v>NOS-92-A/19</v>
      </c>
      <c r="T447" s="1" t="s">
        <v>32</v>
      </c>
    </row>
    <row r="448" spans="1:20" ht="63.75" x14ac:dyDescent="0.25">
      <c r="A448" s="6">
        <v>445</v>
      </c>
      <c r="B448" s="1" t="str">
        <f t="shared" si="39"/>
        <v>2019-2402</v>
      </c>
      <c r="C448" s="1" t="s">
        <v>814</v>
      </c>
      <c r="D448" s="1" t="s">
        <v>815</v>
      </c>
      <c r="E448" s="1" t="str">
        <f>""</f>
        <v/>
      </c>
      <c r="F448" s="1" t="s">
        <v>28</v>
      </c>
      <c r="G448" s="1" t="str">
        <f>CONCATENATE("TOKIĆ D.O.O.,"," ULICA 144. BRIGADE HRVATSKE VOJSKE 1A,"," 10360 SESVETE,"," OIB: 7486748762")</f>
        <v>TOKIĆ D.O.O., ULICA 144. BRIGADE HRVATSKE VOJSKE 1A, 10360 SESVETE, OIB: 7486748762</v>
      </c>
      <c r="H448" s="7"/>
      <c r="I448" s="8" t="s">
        <v>250</v>
      </c>
      <c r="J448" s="8" t="s">
        <v>256</v>
      </c>
      <c r="K448" s="6" t="str">
        <f>"7.366,00"</f>
        <v>7.366,00</v>
      </c>
      <c r="L448" s="6" t="str">
        <f>"0,00"</f>
        <v>0,00</v>
      </c>
      <c r="M448" s="6" t="str">
        <f>"7.366,00"</f>
        <v>7.366,00</v>
      </c>
      <c r="N448" s="8" t="s">
        <v>124</v>
      </c>
      <c r="O448" s="7"/>
      <c r="P448" s="2" t="s">
        <v>5614</v>
      </c>
      <c r="Q448" s="7"/>
      <c r="R448" s="1"/>
      <c r="S448" s="1" t="str">
        <f>"4-22/NOS-92-A/19"</f>
        <v>4-22/NOS-92-A/19</v>
      </c>
      <c r="T448" s="1" t="s">
        <v>32</v>
      </c>
    </row>
    <row r="449" spans="1:20" ht="63.75" x14ac:dyDescent="0.25">
      <c r="A449" s="6">
        <v>446</v>
      </c>
      <c r="B449" s="1" t="str">
        <f t="shared" si="39"/>
        <v>2019-2402</v>
      </c>
      <c r="C449" s="1" t="s">
        <v>817</v>
      </c>
      <c r="D449" s="1" t="s">
        <v>815</v>
      </c>
      <c r="E449" s="1" t="str">
        <f>""</f>
        <v/>
      </c>
      <c r="F449" s="1" t="s">
        <v>28</v>
      </c>
      <c r="G449" s="1" t="str">
        <f>CONCATENATE("TOKIĆ D.O.O.,"," ULICA 144. BRIGADE HRVATSKE VOJSKE 1A,"," 10360 SESVETE,"," OIB: 7486748762")</f>
        <v>TOKIĆ D.O.O., ULICA 144. BRIGADE HRVATSKE VOJSKE 1A, 10360 SESVETE, OIB: 7486748762</v>
      </c>
      <c r="H449" s="7"/>
      <c r="I449" s="8" t="s">
        <v>42</v>
      </c>
      <c r="J449" s="8" t="s">
        <v>53</v>
      </c>
      <c r="K449" s="6" t="str">
        <f>"8.000,00"</f>
        <v>8.000,00</v>
      </c>
      <c r="L449" s="6" t="str">
        <f>"2.000,00"</f>
        <v>2.000,00</v>
      </c>
      <c r="M449" s="6" t="str">
        <f>"10.000,00"</f>
        <v>10.000,00</v>
      </c>
      <c r="N449" s="8" t="s">
        <v>242</v>
      </c>
      <c r="O449" s="7"/>
      <c r="P449" s="2" t="s">
        <v>5881</v>
      </c>
      <c r="Q449" s="7"/>
      <c r="R449" s="1"/>
      <c r="S449" s="1" t="str">
        <f>"1-22/NOS-92-A/19"</f>
        <v>1-22/NOS-92-A/19</v>
      </c>
      <c r="T449" s="1" t="s">
        <v>32</v>
      </c>
    </row>
    <row r="450" spans="1:20" ht="63.75" x14ac:dyDescent="0.25">
      <c r="A450" s="6">
        <v>447</v>
      </c>
      <c r="B450" s="1" t="str">
        <f t="shared" si="39"/>
        <v>2019-2402</v>
      </c>
      <c r="C450" s="1" t="s">
        <v>817</v>
      </c>
      <c r="D450" s="1" t="s">
        <v>815</v>
      </c>
      <c r="E450" s="1" t="str">
        <f>""</f>
        <v/>
      </c>
      <c r="F450" s="1" t="s">
        <v>28</v>
      </c>
      <c r="G450" s="1" t="str">
        <f>CONCATENATE("TOKIĆ D.O.O.,"," ULICA 144. BRIGADE HRVATSKE VOJSKE 1A,"," 10360 SESVETE,"," OIB: 7486748762")</f>
        <v>TOKIĆ D.O.O., ULICA 144. BRIGADE HRVATSKE VOJSKE 1A, 10360 SESVETE, OIB: 7486748762</v>
      </c>
      <c r="H450" s="7"/>
      <c r="I450" s="8" t="s">
        <v>250</v>
      </c>
      <c r="J450" s="8" t="s">
        <v>57</v>
      </c>
      <c r="K450" s="6" t="str">
        <f>"2.340,00"</f>
        <v>2.340,00</v>
      </c>
      <c r="L450" s="6" t="str">
        <f>"585,00"</f>
        <v>585,00</v>
      </c>
      <c r="M450" s="6" t="str">
        <f>"2.925,00"</f>
        <v>2.925,00</v>
      </c>
      <c r="N450" s="8" t="s">
        <v>247</v>
      </c>
      <c r="O450" s="7"/>
      <c r="P450" s="2" t="s">
        <v>5882</v>
      </c>
      <c r="Q450" s="7"/>
      <c r="R450" s="1"/>
      <c r="S450" s="1" t="str">
        <f>"2-22/NOS-92-A/19"</f>
        <v>2-22/NOS-92-A/19</v>
      </c>
      <c r="T450" s="1" t="s">
        <v>32</v>
      </c>
    </row>
    <row r="451" spans="1:20" ht="63.75" x14ac:dyDescent="0.25">
      <c r="A451" s="6">
        <v>448</v>
      </c>
      <c r="B451" s="1" t="str">
        <f t="shared" si="39"/>
        <v>2019-2402</v>
      </c>
      <c r="C451" s="1" t="s">
        <v>818</v>
      </c>
      <c r="D451" s="1" t="s">
        <v>815</v>
      </c>
      <c r="E451" s="1" t="str">
        <f>" 2019/S 0F2-0025282"</f>
        <v xml:space="preserve"> 2019/S 0F2-0025282</v>
      </c>
      <c r="F451" s="1" t="s">
        <v>22</v>
      </c>
      <c r="G451" s="1" t="str">
        <f>CONCATENATE("AUTO-MAG D.O.O.,"," GORNJOSTUPNIČKA 1/d,"," 10255 GORNJI STUPNIK,"," OIB: 99940897955")</f>
        <v>AUTO-MAG D.O.O., GORNJOSTUPNIČKA 1/d, 10255 GORNJI STUPNIK, OIB: 99940897955</v>
      </c>
      <c r="H451" s="7"/>
      <c r="I451" s="8" t="s">
        <v>816</v>
      </c>
      <c r="J451" s="8" t="s">
        <v>250</v>
      </c>
      <c r="K451" s="6" t="str">
        <f>"110.000,00"</f>
        <v>110.000,00</v>
      </c>
      <c r="L451" s="6" t="str">
        <f>"27.500,00"</f>
        <v>27.500,00</v>
      </c>
      <c r="M451" s="6" t="str">
        <f>"137.500,00"</f>
        <v>137.500,00</v>
      </c>
      <c r="N451" s="8" t="s">
        <v>246</v>
      </c>
      <c r="O451" s="7"/>
      <c r="P451" s="2" t="s">
        <v>5614</v>
      </c>
      <c r="Q451" s="7"/>
      <c r="R451" s="1"/>
      <c r="S451" s="1" t="str">
        <f>"NOS-92-B/19"</f>
        <v>NOS-92-B/19</v>
      </c>
      <c r="T451" s="1" t="s">
        <v>32</v>
      </c>
    </row>
    <row r="452" spans="1:20" ht="63.75" x14ac:dyDescent="0.25">
      <c r="A452" s="6">
        <v>449</v>
      </c>
      <c r="B452" s="1" t="str">
        <f t="shared" si="39"/>
        <v>2019-2402</v>
      </c>
      <c r="C452" s="1" t="s">
        <v>817</v>
      </c>
      <c r="D452" s="1" t="s">
        <v>815</v>
      </c>
      <c r="E452" s="1" t="str">
        <f>""</f>
        <v/>
      </c>
      <c r="F452" s="1" t="s">
        <v>28</v>
      </c>
      <c r="G452" s="1" t="str">
        <f>CONCATENATE("AUTO-MAG D.O.O.,"," GORNJOSTUPNIČKA 1/d,"," 10255 GORNJI STUPNIK,"," OIB: 99940897955")</f>
        <v>AUTO-MAG D.O.O., GORNJOSTUPNIČKA 1/d, 10255 GORNJI STUPNIK, OIB: 99940897955</v>
      </c>
      <c r="H452" s="7"/>
      <c r="I452" s="8" t="s">
        <v>496</v>
      </c>
      <c r="J452" s="8" t="s">
        <v>502</v>
      </c>
      <c r="K452" s="6" t="str">
        <f>"6.025,00"</f>
        <v>6.025,00</v>
      </c>
      <c r="L452" s="6" t="str">
        <f>"1.506,25"</f>
        <v>1.506,25</v>
      </c>
      <c r="M452" s="6" t="str">
        <f>"7.531,25"</f>
        <v>7.531,25</v>
      </c>
      <c r="N452" s="8" t="s">
        <v>354</v>
      </c>
      <c r="O452" s="7"/>
      <c r="P452" s="2" t="s">
        <v>5883</v>
      </c>
      <c r="Q452" s="7"/>
      <c r="R452" s="1"/>
      <c r="S452" s="1" t="str">
        <f>"5-21/NOS-92-B/19"</f>
        <v>5-21/NOS-92-B/19</v>
      </c>
      <c r="T452" s="1" t="s">
        <v>32</v>
      </c>
    </row>
    <row r="453" spans="1:20" ht="63.75" x14ac:dyDescent="0.25">
      <c r="A453" s="6">
        <v>450</v>
      </c>
      <c r="B453" s="1" t="str">
        <f t="shared" si="39"/>
        <v>2019-2402</v>
      </c>
      <c r="C453" s="1" t="s">
        <v>817</v>
      </c>
      <c r="D453" s="1" t="s">
        <v>815</v>
      </c>
      <c r="E453" s="1" t="str">
        <f>""</f>
        <v/>
      </c>
      <c r="F453" s="1" t="s">
        <v>28</v>
      </c>
      <c r="G453" s="1" t="str">
        <f>CONCATENATE("AUTO-MAG D.O.O.,"," GORNJOSTUPNIČKA 1/d,"," 10255 GORNJI STUPNIK,"," OIB: 99940897955")</f>
        <v>AUTO-MAG D.O.O., GORNJOSTUPNIČKA 1/d, 10255 GORNJI STUPNIK, OIB: 99940897955</v>
      </c>
      <c r="H453" s="7"/>
      <c r="I453" s="8" t="s">
        <v>748</v>
      </c>
      <c r="J453" s="8" t="s">
        <v>259</v>
      </c>
      <c r="K453" s="6" t="str">
        <f>"10.108,00"</f>
        <v>10.108,00</v>
      </c>
      <c r="L453" s="6" t="str">
        <f>"2.527,00"</f>
        <v>2.527,00</v>
      </c>
      <c r="M453" s="6" t="str">
        <f>"12.635,00"</f>
        <v>12.635,00</v>
      </c>
      <c r="N453" s="8" t="s">
        <v>354</v>
      </c>
      <c r="O453" s="7"/>
      <c r="P453" s="2" t="s">
        <v>5884</v>
      </c>
      <c r="Q453" s="7"/>
      <c r="R453" s="1"/>
      <c r="S453" s="1" t="str">
        <f>"1-22/NOS-92-B/19"</f>
        <v>1-22/NOS-92-B/19</v>
      </c>
      <c r="T453" s="1" t="s">
        <v>32</v>
      </c>
    </row>
    <row r="454" spans="1:20" ht="63.75" x14ac:dyDescent="0.25">
      <c r="A454" s="6">
        <v>451</v>
      </c>
      <c r="B454" s="1" t="str">
        <f t="shared" si="39"/>
        <v>2019-2402</v>
      </c>
      <c r="C454" s="1" t="s">
        <v>817</v>
      </c>
      <c r="D454" s="1" t="s">
        <v>815</v>
      </c>
      <c r="E454" s="1" t="str">
        <f>""</f>
        <v/>
      </c>
      <c r="F454" s="1" t="s">
        <v>28</v>
      </c>
      <c r="G454" s="1" t="str">
        <f>CONCATENATE("AUTO-MAG D.O.O.,"," GORNJOSTUPNIČKA 1/d,"," 10255 GORNJI STUPNIK,"," OIB: 99940897955")</f>
        <v>AUTO-MAG D.O.O., GORNJOSTUPNIČKA 1/d, 10255 GORNJI STUPNIK, OIB: 99940897955</v>
      </c>
      <c r="H454" s="7"/>
      <c r="I454" s="8" t="s">
        <v>250</v>
      </c>
      <c r="J454" s="8" t="s">
        <v>57</v>
      </c>
      <c r="K454" s="6" t="str">
        <f>"15.198,94"</f>
        <v>15.198,94</v>
      </c>
      <c r="L454" s="6" t="str">
        <f>"3.799,74"</f>
        <v>3.799,74</v>
      </c>
      <c r="M454" s="6" t="str">
        <f>"18.998,68"</f>
        <v>18.998,68</v>
      </c>
      <c r="N454" s="8" t="s">
        <v>72</v>
      </c>
      <c r="O454" s="7"/>
      <c r="P454" s="2" t="s">
        <v>5885</v>
      </c>
      <c r="Q454" s="1" t="s">
        <v>488</v>
      </c>
      <c r="R454" s="1"/>
      <c r="S454" s="1" t="str">
        <f>"2-22/NOS-92-B/19"</f>
        <v>2-22/NOS-92-B/19</v>
      </c>
      <c r="T454" s="1" t="s">
        <v>32</v>
      </c>
    </row>
    <row r="455" spans="1:20" ht="229.5" x14ac:dyDescent="0.25">
      <c r="A455" s="6">
        <v>452</v>
      </c>
      <c r="B455" s="1" t="str">
        <f t="shared" si="39"/>
        <v>2019-2402</v>
      </c>
      <c r="C455" s="1" t="s">
        <v>819</v>
      </c>
      <c r="D455" s="1" t="s">
        <v>815</v>
      </c>
      <c r="E455" s="1" t="str">
        <f>" 2019/S 0F2-0025282"</f>
        <v xml:space="preserve"> 2019/S 0F2-0025282</v>
      </c>
      <c r="F455" s="1" t="s">
        <v>22</v>
      </c>
      <c r="G455" s="1" t="str">
        <f>CONCATENATE("AUTO HRVATSKA PRODAJNO SERVISNI CENTRI D.O.O.,"," ZASTAVNICE 25/C,"," 10251 HRVATSKI LESKOVAC,"," OIB: 87682591133",CHAR(10),"",CHAR(10),"CIAK TOOLS D.O.O.,"," KOVINSKA 4,"," 10090 ZAGREB-SUSEDGRAD,"," OIB: 26004523816",CHAR(10),"",CHAR(10),"TOKIĆ D.O.O.,"," ULICA 144. BRIGADE HRVATSKE VOJSKE 1A,"," 10360 SESVETE,"," OIB: 7486748762")</f>
        <v>AUTO HRVATSKA PRODAJNO SERVISNI CENTRI D.O.O., ZASTAVNICE 25/C, 10251 HRVATSKI LESKOVAC, OIB: 87682591133
CIAK TOOLS D.O.O., KOVINSKA 4, 10090 ZAGREB-SUSEDGRAD, OIB: 26004523816
TOKIĆ D.O.O., ULICA 144. BRIGADE HRVATSKE VOJSKE 1A, 10360 SESVETE, OIB: 7486748762</v>
      </c>
      <c r="H455" s="7"/>
      <c r="I455" s="8" t="s">
        <v>816</v>
      </c>
      <c r="J455" s="8" t="s">
        <v>250</v>
      </c>
      <c r="K455" s="6" t="str">
        <f>"50.000,00"</f>
        <v>50.000,00</v>
      </c>
      <c r="L455" s="6" t="str">
        <f>"12.500,00"</f>
        <v>12.500,00</v>
      </c>
      <c r="M455" s="6" t="str">
        <f>"62.500,00"</f>
        <v>62.500,00</v>
      </c>
      <c r="N455" s="8" t="s">
        <v>246</v>
      </c>
      <c r="O455" s="7"/>
      <c r="P455" s="2" t="s">
        <v>5614</v>
      </c>
      <c r="Q455" s="7"/>
      <c r="R455" s="1"/>
      <c r="S455" s="1" t="str">
        <f>"NOS-92-C/19"</f>
        <v>NOS-92-C/19</v>
      </c>
      <c r="T455" s="1" t="s">
        <v>32</v>
      </c>
    </row>
    <row r="456" spans="1:20" ht="63.75" x14ac:dyDescent="0.25">
      <c r="A456" s="6">
        <v>453</v>
      </c>
      <c r="B456" s="1" t="str">
        <f t="shared" si="39"/>
        <v>2019-2402</v>
      </c>
      <c r="C456" s="1" t="s">
        <v>819</v>
      </c>
      <c r="D456" s="1" t="s">
        <v>815</v>
      </c>
      <c r="E456" s="1" t="str">
        <f>""</f>
        <v/>
      </c>
      <c r="F456" s="1" t="s">
        <v>28</v>
      </c>
      <c r="G456" s="1" t="str">
        <f>CONCATENATE("TOKIĆ D.O.O.,"," ULICA 144. BRIGADE HRVATSKE VOJSKE 1A,"," 10360 SESVETE,"," OIB: 7486748762")</f>
        <v>TOKIĆ D.O.O., ULICA 144. BRIGADE HRVATSKE VOJSKE 1A, 10360 SESVETE, OIB: 7486748762</v>
      </c>
      <c r="H456" s="7"/>
      <c r="I456" s="8" t="s">
        <v>250</v>
      </c>
      <c r="J456" s="8" t="s">
        <v>256</v>
      </c>
      <c r="K456" s="6" t="str">
        <f>"1.710,00"</f>
        <v>1.710,00</v>
      </c>
      <c r="L456" s="6" t="str">
        <f>"427,50"</f>
        <v>427,50</v>
      </c>
      <c r="M456" s="6" t="str">
        <f>"2.137,50"</f>
        <v>2.137,50</v>
      </c>
      <c r="N456" s="8" t="s">
        <v>224</v>
      </c>
      <c r="O456" s="7"/>
      <c r="P456" s="2" t="s">
        <v>5886</v>
      </c>
      <c r="Q456" s="7"/>
      <c r="R456" s="1"/>
      <c r="S456" s="1" t="str">
        <f>"3-22/NOS-92-C/19"</f>
        <v>3-22/NOS-92-C/19</v>
      </c>
      <c r="T456" s="1" t="s">
        <v>32</v>
      </c>
    </row>
    <row r="457" spans="1:20" ht="63.75" x14ac:dyDescent="0.25">
      <c r="A457" s="6">
        <v>454</v>
      </c>
      <c r="B457" s="1" t="str">
        <f t="shared" si="39"/>
        <v>2019-2402</v>
      </c>
      <c r="C457" s="1" t="s">
        <v>817</v>
      </c>
      <c r="D457" s="1" t="s">
        <v>815</v>
      </c>
      <c r="E457" s="1" t="str">
        <f>""</f>
        <v/>
      </c>
      <c r="F457" s="1" t="s">
        <v>28</v>
      </c>
      <c r="G457" s="1" t="str">
        <f>CONCATENATE("TOKIĆ D.O.O.,"," ULICA 144. BRIGADE HRVATSKE VOJSKE 1A,"," 10360 SESVETE,"," OIB: 7486748762")</f>
        <v>TOKIĆ D.O.O., ULICA 144. BRIGADE HRVATSKE VOJSKE 1A, 10360 SESVETE, OIB: 7486748762</v>
      </c>
      <c r="H457" s="7"/>
      <c r="I457" s="8" t="s">
        <v>250</v>
      </c>
      <c r="J457" s="8" t="s">
        <v>57</v>
      </c>
      <c r="K457" s="6" t="str">
        <f>"192,00"</f>
        <v>192,00</v>
      </c>
      <c r="L457" s="6" t="str">
        <f>"48,00"</f>
        <v>48,00</v>
      </c>
      <c r="M457" s="6" t="str">
        <f>"240,00"</f>
        <v>240,00</v>
      </c>
      <c r="N457" s="8" t="s">
        <v>293</v>
      </c>
      <c r="O457" s="7"/>
      <c r="P457" s="2" t="s">
        <v>5887</v>
      </c>
      <c r="Q457" s="7"/>
      <c r="R457" s="1"/>
      <c r="S457" s="1" t="str">
        <f>"1-22/NOS-92-C/19"</f>
        <v>1-22/NOS-92-C/19</v>
      </c>
      <c r="T457" s="1" t="s">
        <v>32</v>
      </c>
    </row>
    <row r="458" spans="1:20" ht="51" x14ac:dyDescent="0.25">
      <c r="A458" s="6">
        <v>455</v>
      </c>
      <c r="B458" s="1" t="str">
        <f t="shared" ref="B458:B465" si="40">"2019-2917"</f>
        <v>2019-2917</v>
      </c>
      <c r="C458" s="1" t="s">
        <v>820</v>
      </c>
      <c r="D458" s="1" t="s">
        <v>821</v>
      </c>
      <c r="E458" s="1" t="str">
        <f>"2019/S 0F2-0046165"</f>
        <v>2019/S 0F2-0046165</v>
      </c>
      <c r="F458" s="1" t="s">
        <v>22</v>
      </c>
      <c r="G458" s="1" t="str">
        <f>CONCATENATE("OPREMA RADMAN D.O.O.,"," VELIKOPOLJSKA 29,"," 10000 ZAGREB,"," OIB: 27290068263")</f>
        <v>OPREMA RADMAN D.O.O., VELIKOPOLJSKA 29, 10000 ZAGREB, OIB: 27290068263</v>
      </c>
      <c r="H458" s="7"/>
      <c r="I458" s="8" t="s">
        <v>822</v>
      </c>
      <c r="J458" s="8" t="s">
        <v>804</v>
      </c>
      <c r="K458" s="6" t="str">
        <f>"185.000,00"</f>
        <v>185.000,00</v>
      </c>
      <c r="L458" s="6" t="str">
        <f>"46.250,00"</f>
        <v>46.250,00</v>
      </c>
      <c r="M458" s="6" t="str">
        <f>"231.250,00"</f>
        <v>231.250,00</v>
      </c>
      <c r="N458" s="8" t="s">
        <v>127</v>
      </c>
      <c r="O458" s="7"/>
      <c r="P458" s="2" t="s">
        <v>5614</v>
      </c>
      <c r="Q458" s="7"/>
      <c r="R458" s="1"/>
      <c r="S458" s="1" t="str">
        <f>"NOS-87-A/19"</f>
        <v>NOS-87-A/19</v>
      </c>
      <c r="T458" s="1" t="s">
        <v>27</v>
      </c>
    </row>
    <row r="459" spans="1:20" ht="51" x14ac:dyDescent="0.25">
      <c r="A459" s="6">
        <v>456</v>
      </c>
      <c r="B459" s="1" t="str">
        <f t="shared" si="40"/>
        <v>2019-2917</v>
      </c>
      <c r="C459" s="1" t="s">
        <v>823</v>
      </c>
      <c r="D459" s="1" t="s">
        <v>824</v>
      </c>
      <c r="E459" s="1" t="str">
        <f>""</f>
        <v/>
      </c>
      <c r="F459" s="1" t="s">
        <v>28</v>
      </c>
      <c r="G459" s="1" t="str">
        <f>CONCATENATE("OPREMA RADMAN D.O.O.,"," VELIKOPOLJSKA 29,"," 10000 ZAGREB,"," OIB: 27290068263")</f>
        <v>OPREMA RADMAN D.O.O., VELIKOPOLJSKA 29, 10000 ZAGREB, OIB: 27290068263</v>
      </c>
      <c r="H459" s="7"/>
      <c r="I459" s="8" t="s">
        <v>62</v>
      </c>
      <c r="J459" s="8" t="s">
        <v>397</v>
      </c>
      <c r="K459" s="6" t="str">
        <f>"3.790,00"</f>
        <v>3.790,00</v>
      </c>
      <c r="L459" s="6" t="str">
        <f>"947,50"</f>
        <v>947,50</v>
      </c>
      <c r="M459" s="6" t="str">
        <f>"4.737,50"</f>
        <v>4.737,50</v>
      </c>
      <c r="N459" s="8" t="s">
        <v>421</v>
      </c>
      <c r="O459" s="7"/>
      <c r="P459" s="2" t="s">
        <v>5888</v>
      </c>
      <c r="Q459" s="7"/>
      <c r="R459" s="1"/>
      <c r="S459" s="1" t="str">
        <f>"1-22/NOS-87-A/19"</f>
        <v>1-22/NOS-87-A/19</v>
      </c>
      <c r="T459" s="1" t="s">
        <v>32</v>
      </c>
    </row>
    <row r="460" spans="1:20" ht="51" x14ac:dyDescent="0.25">
      <c r="A460" s="6">
        <v>457</v>
      </c>
      <c r="B460" s="1" t="str">
        <f t="shared" si="40"/>
        <v>2019-2917</v>
      </c>
      <c r="C460" s="1" t="s">
        <v>825</v>
      </c>
      <c r="D460" s="1" t="s">
        <v>821</v>
      </c>
      <c r="E460" s="1" t="str">
        <f>"2019/S 0F2-0046165"</f>
        <v>2019/S 0F2-0046165</v>
      </c>
      <c r="F460" s="1" t="s">
        <v>22</v>
      </c>
      <c r="G460" s="1" t="str">
        <f>CONCATENATE("OPREMA RADMAN D.O.O.,"," VELIKOPOLJSKA 29,"," 10000 ZAGREB,"," OIB: 27290068263")</f>
        <v>OPREMA RADMAN D.O.O., VELIKOPOLJSKA 29, 10000 ZAGREB, OIB: 27290068263</v>
      </c>
      <c r="H460" s="7"/>
      <c r="I460" s="8" t="s">
        <v>826</v>
      </c>
      <c r="J460" s="8" t="s">
        <v>504</v>
      </c>
      <c r="K460" s="6" t="str">
        <f>"325.000,00"</f>
        <v>325.000,00</v>
      </c>
      <c r="L460" s="6" t="str">
        <f>"81.250,00"</f>
        <v>81.250,00</v>
      </c>
      <c r="M460" s="6" t="str">
        <f>"406.250,00"</f>
        <v>406.250,00</v>
      </c>
      <c r="N460" s="8" t="s">
        <v>398</v>
      </c>
      <c r="O460" s="7"/>
      <c r="P460" s="2" t="s">
        <v>5614</v>
      </c>
      <c r="Q460" s="7"/>
      <c r="R460" s="1"/>
      <c r="S460" s="1" t="str">
        <f>"NOS-87-B/19"</f>
        <v>NOS-87-B/19</v>
      </c>
      <c r="T460" s="1" t="s">
        <v>27</v>
      </c>
    </row>
    <row r="461" spans="1:20" ht="51" x14ac:dyDescent="0.25">
      <c r="A461" s="6">
        <v>458</v>
      </c>
      <c r="B461" s="1" t="str">
        <f t="shared" si="40"/>
        <v>2019-2917</v>
      </c>
      <c r="C461" s="1" t="s">
        <v>823</v>
      </c>
      <c r="D461" s="1" t="s">
        <v>824</v>
      </c>
      <c r="E461" s="1" t="str">
        <f>""</f>
        <v/>
      </c>
      <c r="F461" s="1" t="s">
        <v>28</v>
      </c>
      <c r="G461" s="1" t="str">
        <f>CONCATENATE("OPREMA RADMAN D.O.O.,"," VELIKOPOLJSKA 29,"," 10000 ZAGREB,"," OIB: 27290068263")</f>
        <v>OPREMA RADMAN D.O.O., VELIKOPOLJSKA 29, 10000 ZAGREB, OIB: 27290068263</v>
      </c>
      <c r="H461" s="7"/>
      <c r="I461" s="8" t="s">
        <v>62</v>
      </c>
      <c r="J461" s="8" t="s">
        <v>397</v>
      </c>
      <c r="K461" s="6" t="str">
        <f>"9.738,00"</f>
        <v>9.738,00</v>
      </c>
      <c r="L461" s="6" t="str">
        <f>"2.434,50"</f>
        <v>2.434,50</v>
      </c>
      <c r="M461" s="6" t="str">
        <f>"12.172,50"</f>
        <v>12.172,50</v>
      </c>
      <c r="N461" s="8" t="s">
        <v>421</v>
      </c>
      <c r="O461" s="7"/>
      <c r="P461" s="2" t="s">
        <v>5889</v>
      </c>
      <c r="Q461" s="7"/>
      <c r="R461" s="1"/>
      <c r="S461" s="1" t="str">
        <f>"1-22/NOS-87-B/19"</f>
        <v>1-22/NOS-87-B/19</v>
      </c>
      <c r="T461" s="1" t="s">
        <v>32</v>
      </c>
    </row>
    <row r="462" spans="1:20" ht="127.5" x14ac:dyDescent="0.25">
      <c r="A462" s="6">
        <v>459</v>
      </c>
      <c r="B462" s="1" t="str">
        <f t="shared" si="40"/>
        <v>2019-2917</v>
      </c>
      <c r="C462" s="1" t="s">
        <v>827</v>
      </c>
      <c r="D462" s="1" t="s">
        <v>821</v>
      </c>
      <c r="E462" s="1" t="str">
        <f>"2019/S 0F2-0046165"</f>
        <v>2019/S 0F2-0046165</v>
      </c>
      <c r="F462" s="1" t="s">
        <v>22</v>
      </c>
      <c r="G462" s="1" t="str">
        <f>CONCATENATE("DM TEKSTIL KROJAČKI OBRT VL. DARINKA MARKOVIĆ,"," JAŠKOVO 53 a,"," 47280 OZALJ,"," OIB: 23238056502",CHAR(10),"",CHAR(10),"MATIVO D.O.O.,"," MEDARSKA 69,"," 10000 ZAGREB,"," OIB: 27207709978")</f>
        <v>DM TEKSTIL KROJAČKI OBRT VL. DARINKA MARKOVIĆ, JAŠKOVO 53 a, 47280 OZALJ, OIB: 23238056502
MATIVO D.O.O., MEDARSKA 69, 10000 ZAGREB, OIB: 27207709978</v>
      </c>
      <c r="H462" s="7"/>
      <c r="I462" s="8" t="s">
        <v>826</v>
      </c>
      <c r="J462" s="8" t="s">
        <v>504</v>
      </c>
      <c r="K462" s="6" t="str">
        <f>"1.095.000,00"</f>
        <v>1.095.000,00</v>
      </c>
      <c r="L462" s="6" t="str">
        <f>"273.750,00"</f>
        <v>273.750,00</v>
      </c>
      <c r="M462" s="6" t="str">
        <f>"1.368.750,00"</f>
        <v>1.368.750,00</v>
      </c>
      <c r="N462" s="8" t="s">
        <v>398</v>
      </c>
      <c r="O462" s="7"/>
      <c r="P462" s="2" t="s">
        <v>5614</v>
      </c>
      <c r="Q462" s="7"/>
      <c r="R462" s="1"/>
      <c r="S462" s="1" t="str">
        <f>"NOS-87-C/19"</f>
        <v>NOS-87-C/19</v>
      </c>
      <c r="T462" s="1" t="s">
        <v>27</v>
      </c>
    </row>
    <row r="463" spans="1:20" ht="51" x14ac:dyDescent="0.25">
      <c r="A463" s="6">
        <v>460</v>
      </c>
      <c r="B463" s="1" t="str">
        <f t="shared" si="40"/>
        <v>2019-2917</v>
      </c>
      <c r="C463" s="1" t="s">
        <v>823</v>
      </c>
      <c r="D463" s="1" t="s">
        <v>824</v>
      </c>
      <c r="E463" s="1" t="str">
        <f>""</f>
        <v/>
      </c>
      <c r="F463" s="1" t="s">
        <v>28</v>
      </c>
      <c r="G463" s="1" t="str">
        <f>CONCATENATE("MATIVO D.O.O.,"," MEDARSKA 69,"," 10000 ZAGREB,"," OIB: 27207709978")</f>
        <v>MATIVO D.O.O., MEDARSKA 69, 10000 ZAGREB, OIB: 27207709978</v>
      </c>
      <c r="H463" s="7"/>
      <c r="I463" s="8" t="s">
        <v>163</v>
      </c>
      <c r="J463" s="8" t="s">
        <v>499</v>
      </c>
      <c r="K463" s="6" t="str">
        <f>"770,00"</f>
        <v>770,00</v>
      </c>
      <c r="L463" s="6" t="str">
        <f>"192,50"</f>
        <v>192,50</v>
      </c>
      <c r="M463" s="6" t="str">
        <f>"962,50"</f>
        <v>962,50</v>
      </c>
      <c r="N463" s="8" t="s">
        <v>259</v>
      </c>
      <c r="O463" s="7"/>
      <c r="P463" s="2" t="s">
        <v>5890</v>
      </c>
      <c r="Q463" s="7"/>
      <c r="R463" s="1"/>
      <c r="S463" s="1" t="str">
        <f>"2-22/NOS-87-C/19"</f>
        <v>2-22/NOS-87-C/19</v>
      </c>
      <c r="T463" s="1" t="s">
        <v>32</v>
      </c>
    </row>
    <row r="464" spans="1:20" ht="51" x14ac:dyDescent="0.25">
      <c r="A464" s="6">
        <v>461</v>
      </c>
      <c r="B464" s="1" t="str">
        <f t="shared" si="40"/>
        <v>2019-2917</v>
      </c>
      <c r="C464" s="1" t="s">
        <v>828</v>
      </c>
      <c r="D464" s="1" t="s">
        <v>821</v>
      </c>
      <c r="E464" s="1" t="str">
        <f>"2019/S 0F2-0046165"</f>
        <v>2019/S 0F2-0046165</v>
      </c>
      <c r="F464" s="1" t="s">
        <v>22</v>
      </c>
      <c r="G464" s="1" t="str">
        <f>CONCATENATE("OPREMA RADMAN D.O.O.,"," VELIKOPOLJSKA 29,"," 10000 ZAGREB,"," OIB: 27290068263")</f>
        <v>OPREMA RADMAN D.O.O., VELIKOPOLJSKA 29, 10000 ZAGREB, OIB: 27290068263</v>
      </c>
      <c r="H464" s="7"/>
      <c r="I464" s="8" t="s">
        <v>826</v>
      </c>
      <c r="J464" s="8" t="s">
        <v>504</v>
      </c>
      <c r="K464" s="6" t="str">
        <f>"95.000,00"</f>
        <v>95.000,00</v>
      </c>
      <c r="L464" s="6" t="str">
        <f>"23.750,00"</f>
        <v>23.750,00</v>
      </c>
      <c r="M464" s="6" t="str">
        <f>"118.750,00"</f>
        <v>118.750,00</v>
      </c>
      <c r="N464" s="8" t="s">
        <v>398</v>
      </c>
      <c r="O464" s="7"/>
      <c r="P464" s="2" t="s">
        <v>5614</v>
      </c>
      <c r="Q464" s="7"/>
      <c r="R464" s="1"/>
      <c r="S464" s="1" t="str">
        <f>"NOS-87-D/19"</f>
        <v>NOS-87-D/19</v>
      </c>
      <c r="T464" s="1" t="s">
        <v>27</v>
      </c>
    </row>
    <row r="465" spans="1:20" ht="51" x14ac:dyDescent="0.25">
      <c r="A465" s="6">
        <v>462</v>
      </c>
      <c r="B465" s="1" t="str">
        <f t="shared" si="40"/>
        <v>2019-2917</v>
      </c>
      <c r="C465" s="1" t="s">
        <v>823</v>
      </c>
      <c r="D465" s="1" t="s">
        <v>824</v>
      </c>
      <c r="E465" s="1" t="str">
        <f>""</f>
        <v/>
      </c>
      <c r="F465" s="1" t="s">
        <v>28</v>
      </c>
      <c r="G465" s="1" t="str">
        <f>CONCATENATE("OPREMA RADMAN D.O.O.,"," VELIKOPOLJSKA 29,"," 10000 ZAGREB,"," OIB: 27290068263")</f>
        <v>OPREMA RADMAN D.O.O., VELIKOPOLJSKA 29, 10000 ZAGREB, OIB: 27290068263</v>
      </c>
      <c r="H465" s="7"/>
      <c r="I465" s="8" t="s">
        <v>62</v>
      </c>
      <c r="J465" s="8" t="s">
        <v>397</v>
      </c>
      <c r="K465" s="6" t="str">
        <f>"2.801,00"</f>
        <v>2.801,00</v>
      </c>
      <c r="L465" s="6" t="str">
        <f>"700,25"</f>
        <v>700,25</v>
      </c>
      <c r="M465" s="6" t="str">
        <f>"3.501,25"</f>
        <v>3.501,25</v>
      </c>
      <c r="N465" s="8" t="s">
        <v>421</v>
      </c>
      <c r="O465" s="7"/>
      <c r="P465" s="2" t="s">
        <v>5891</v>
      </c>
      <c r="Q465" s="7"/>
      <c r="R465" s="1"/>
      <c r="S465" s="1" t="str">
        <f>"1-22/NOS-87-D/19"</f>
        <v>1-22/NOS-87-D/19</v>
      </c>
      <c r="T465" s="1" t="s">
        <v>32</v>
      </c>
    </row>
    <row r="466" spans="1:20" ht="242.25" x14ac:dyDescent="0.25">
      <c r="A466" s="6">
        <v>463</v>
      </c>
      <c r="B466" s="1" t="str">
        <f>"2019-2402"</f>
        <v>2019-2402</v>
      </c>
      <c r="C466" s="1" t="s">
        <v>829</v>
      </c>
      <c r="D466" s="1" t="s">
        <v>815</v>
      </c>
      <c r="E466" s="1" t="str">
        <f>" 2019/S 0F2-0025282"</f>
        <v xml:space="preserve"> 2019/S 0F2-0025282</v>
      </c>
      <c r="F466" s="1" t="s">
        <v>22</v>
      </c>
      <c r="G466" s="1"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466" s="7"/>
      <c r="I466" s="8" t="s">
        <v>816</v>
      </c>
      <c r="J466" s="8" t="s">
        <v>250</v>
      </c>
      <c r="K466" s="6" t="str">
        <f>"280.000,00"</f>
        <v>280.000,00</v>
      </c>
      <c r="L466" s="6" t="str">
        <f>"70.000,00"</f>
        <v>70.000,00</v>
      </c>
      <c r="M466" s="6" t="str">
        <f>"350.000,00"</f>
        <v>350.000,00</v>
      </c>
      <c r="N466" s="8" t="s">
        <v>246</v>
      </c>
      <c r="O466" s="7"/>
      <c r="P466" s="2" t="s">
        <v>5614</v>
      </c>
      <c r="Q466" s="7"/>
      <c r="R466" s="1"/>
      <c r="S466" s="1" t="str">
        <f>"NOS-92-D/19"</f>
        <v>NOS-92-D/19</v>
      </c>
      <c r="T466" s="1" t="s">
        <v>32</v>
      </c>
    </row>
    <row r="467" spans="1:20" ht="63.75" x14ac:dyDescent="0.25">
      <c r="A467" s="6">
        <v>464</v>
      </c>
      <c r="B467" s="1" t="str">
        <f>"2019-2402"</f>
        <v>2019-2402</v>
      </c>
      <c r="C467" s="1" t="s">
        <v>830</v>
      </c>
      <c r="D467" s="1" t="s">
        <v>815</v>
      </c>
      <c r="E467" s="1" t="str">
        <f>""</f>
        <v/>
      </c>
      <c r="F467" s="1" t="s">
        <v>28</v>
      </c>
      <c r="G467" s="1" t="str">
        <f>CONCATENATE("TOKIĆ D.O.O.,"," ULICA 144. BRIGADE HRVATSKE VOJSKE 1A,"," 10360 SESVETE,"," OIB: 7486748762")</f>
        <v>TOKIĆ D.O.O., ULICA 144. BRIGADE HRVATSKE VOJSKE 1A, 10360 SESVETE, OIB: 7486748762</v>
      </c>
      <c r="H467" s="7"/>
      <c r="I467" s="8" t="s">
        <v>99</v>
      </c>
      <c r="J467" s="8" t="s">
        <v>53</v>
      </c>
      <c r="K467" s="6" t="str">
        <f>"48.798,20"</f>
        <v>48.798,20</v>
      </c>
      <c r="L467" s="6" t="str">
        <f>"12.199,55"</f>
        <v>12.199,55</v>
      </c>
      <c r="M467" s="6" t="str">
        <f>"60.997,75"</f>
        <v>60.997,75</v>
      </c>
      <c r="N467" s="8" t="s">
        <v>296</v>
      </c>
      <c r="O467" s="7"/>
      <c r="P467" s="2" t="s">
        <v>5892</v>
      </c>
      <c r="Q467" s="7"/>
      <c r="R467" s="1"/>
      <c r="S467" s="1" t="str">
        <f>"10-21/NOS-92-D/19"</f>
        <v>10-21/NOS-92-D/19</v>
      </c>
      <c r="T467" s="1" t="s">
        <v>32</v>
      </c>
    </row>
    <row r="468" spans="1:20" ht="63.75" x14ac:dyDescent="0.25">
      <c r="A468" s="6">
        <v>465</v>
      </c>
      <c r="B468" s="1" t="str">
        <f>"2019-2402"</f>
        <v>2019-2402</v>
      </c>
      <c r="C468" s="1" t="s">
        <v>817</v>
      </c>
      <c r="D468" s="1" t="s">
        <v>815</v>
      </c>
      <c r="E468" s="1" t="str">
        <f>""</f>
        <v/>
      </c>
      <c r="F468" s="1" t="s">
        <v>28</v>
      </c>
      <c r="G468" s="1" t="str">
        <f>CONCATENATE("TOKIĆ D.O.O.,"," ULICA 144. BRIGADE HRVATSKE VOJSKE 1A,"," 10360 SESVETE,"," OIB: 7486748762")</f>
        <v>TOKIĆ D.O.O., ULICA 144. BRIGADE HRVATSKE VOJSKE 1A, 10360 SESVETE, OIB: 7486748762</v>
      </c>
      <c r="H468" s="7"/>
      <c r="I468" s="8" t="s">
        <v>768</v>
      </c>
      <c r="J468" s="8" t="s">
        <v>504</v>
      </c>
      <c r="K468" s="6" t="str">
        <f>"17.518,00"</f>
        <v>17.518,00</v>
      </c>
      <c r="L468" s="6" t="str">
        <f>"4.379,50"</f>
        <v>4.379,50</v>
      </c>
      <c r="M468" s="6" t="str">
        <f>"21.897,50"</f>
        <v>21.897,50</v>
      </c>
      <c r="N468" s="8" t="s">
        <v>831</v>
      </c>
      <c r="O468" s="7"/>
      <c r="P468" s="2" t="s">
        <v>5893</v>
      </c>
      <c r="Q468" s="7"/>
      <c r="R468" s="1"/>
      <c r="S468" s="1" t="str">
        <f>"1-22/NOS-92-D/19"</f>
        <v>1-22/NOS-92-D/19</v>
      </c>
      <c r="T468" s="1" t="s">
        <v>32</v>
      </c>
    </row>
    <row r="469" spans="1:20" ht="63.75" x14ac:dyDescent="0.25">
      <c r="A469" s="6">
        <v>466</v>
      </c>
      <c r="B469" s="1" t="str">
        <f>"2019-2402"</f>
        <v>2019-2402</v>
      </c>
      <c r="C469" s="1" t="s">
        <v>817</v>
      </c>
      <c r="D469" s="1" t="s">
        <v>815</v>
      </c>
      <c r="E469" s="1" t="str">
        <f>""</f>
        <v/>
      </c>
      <c r="F469" s="1" t="s">
        <v>28</v>
      </c>
      <c r="G469" s="1" t="str">
        <f>CONCATENATE("TOKIĆ D.O.O.,"," ULICA 144. BRIGADE HRVATSKE VOJSKE 1A,"," 10360 SESVETE,"," OIB: 7486748762")</f>
        <v>TOKIĆ D.O.O., ULICA 144. BRIGADE HRVATSKE VOJSKE 1A, 10360 SESVETE, OIB: 7486748762</v>
      </c>
      <c r="H469" s="7"/>
      <c r="I469" s="8" t="s">
        <v>296</v>
      </c>
      <c r="J469" s="8" t="s">
        <v>401</v>
      </c>
      <c r="K469" s="6" t="str">
        <f>"13.507,40"</f>
        <v>13.507,40</v>
      </c>
      <c r="L469" s="6" t="str">
        <f>"3.376,85"</f>
        <v>3.376,85</v>
      </c>
      <c r="M469" s="6" t="str">
        <f>"16.884,25"</f>
        <v>16.884,25</v>
      </c>
      <c r="N469" s="8" t="s">
        <v>250</v>
      </c>
      <c r="O469" s="7"/>
      <c r="P469" s="2" t="s">
        <v>5894</v>
      </c>
      <c r="Q469" s="7"/>
      <c r="R469" s="1"/>
      <c r="S469" s="1" t="str">
        <f>"2-22/NOS-92-D/19"</f>
        <v>2-22/NOS-92-D/19</v>
      </c>
      <c r="T469" s="1" t="s">
        <v>32</v>
      </c>
    </row>
    <row r="470" spans="1:20" ht="63.75" x14ac:dyDescent="0.25">
      <c r="A470" s="6">
        <v>467</v>
      </c>
      <c r="B470" s="1" t="str">
        <f>"2019-2402"</f>
        <v>2019-2402</v>
      </c>
      <c r="C470" s="1" t="s">
        <v>817</v>
      </c>
      <c r="D470" s="1" t="s">
        <v>815</v>
      </c>
      <c r="E470" s="1" t="str">
        <f>""</f>
        <v/>
      </c>
      <c r="F470" s="1" t="s">
        <v>28</v>
      </c>
      <c r="G470" s="1" t="str">
        <f>CONCATENATE("TOKIĆ D.O.O.,"," ULICA 144. BRIGADE HRVATSKE VOJSKE 1A,"," 10360 SESVETE,"," OIB: 7486748762")</f>
        <v>TOKIĆ D.O.O., ULICA 144. BRIGADE HRVATSKE VOJSKE 1A, 10360 SESVETE, OIB: 7486748762</v>
      </c>
      <c r="H470" s="7"/>
      <c r="I470" s="8" t="s">
        <v>250</v>
      </c>
      <c r="J470" s="8" t="s">
        <v>57</v>
      </c>
      <c r="K470" s="6" t="str">
        <f>"18.514,40"</f>
        <v>18.514,40</v>
      </c>
      <c r="L470" s="6" t="str">
        <f>"4.628,60"</f>
        <v>4.628,60</v>
      </c>
      <c r="M470" s="6" t="str">
        <f>"23.143,00"</f>
        <v>23.143,00</v>
      </c>
      <c r="N470" s="8" t="s">
        <v>308</v>
      </c>
      <c r="O470" s="7"/>
      <c r="P470" s="2" t="s">
        <v>5645</v>
      </c>
      <c r="Q470" s="7"/>
      <c r="R470" s="1"/>
      <c r="S470" s="1" t="str">
        <f>"3-22/NOS-92-D/19"</f>
        <v>3-22/NOS-92-D/19</v>
      </c>
      <c r="T470" s="1" t="s">
        <v>32</v>
      </c>
    </row>
    <row r="471" spans="1:20" ht="51" x14ac:dyDescent="0.25">
      <c r="A471" s="6">
        <v>468</v>
      </c>
      <c r="B471" s="1" t="str">
        <f>"2019-3104"</f>
        <v>2019-3104</v>
      </c>
      <c r="C471" s="1" t="s">
        <v>832</v>
      </c>
      <c r="D471" s="1" t="s">
        <v>833</v>
      </c>
      <c r="E471" s="1" t="str">
        <f>"2019/S 0F2-0050134"</f>
        <v>2019/S 0F2-0050134</v>
      </c>
      <c r="F471" s="1" t="s">
        <v>22</v>
      </c>
      <c r="G471" s="1" t="str">
        <f>CONCATENATE("STROJOBRAVARIJA ŠTEVA,"," ŽIROVNICA 4,"," 10294 DONJA PUŠĆA,"," OIB: 31251123473")</f>
        <v>STROJOBRAVARIJA ŠTEVA, ŽIROVNICA 4, 10294 DONJA PUŠĆA, OIB: 31251123473</v>
      </c>
      <c r="H471" s="7"/>
      <c r="I471" s="8" t="s">
        <v>834</v>
      </c>
      <c r="J471" s="8" t="s">
        <v>405</v>
      </c>
      <c r="K471" s="6" t="str">
        <f>"560.802,00"</f>
        <v>560.802,00</v>
      </c>
      <c r="L471" s="6" t="str">
        <f>"140.200,50"</f>
        <v>140.200,50</v>
      </c>
      <c r="M471" s="6" t="str">
        <f>"701.002,50"</f>
        <v>701.002,50</v>
      </c>
      <c r="N471" s="8" t="s">
        <v>835</v>
      </c>
      <c r="O471" s="7"/>
      <c r="P471" s="2" t="s">
        <v>5895</v>
      </c>
      <c r="Q471" s="1" t="s">
        <v>488</v>
      </c>
      <c r="R471" s="1"/>
      <c r="S471" s="1" t="str">
        <f>"NOS-96/19"</f>
        <v>NOS-96/19</v>
      </c>
      <c r="T471" s="1" t="s">
        <v>452</v>
      </c>
    </row>
    <row r="472" spans="1:20" ht="140.25" x14ac:dyDescent="0.25">
      <c r="A472" s="6">
        <v>469</v>
      </c>
      <c r="B472" s="1" t="str">
        <f>"2019-3000"</f>
        <v>2019-3000</v>
      </c>
      <c r="C472" s="1" t="s">
        <v>836</v>
      </c>
      <c r="D472" s="1" t="s">
        <v>837</v>
      </c>
      <c r="E472" s="1" t="str">
        <f>"2019/S 0F2-0049022"</f>
        <v>2019/S 0F2-0049022</v>
      </c>
      <c r="F472" s="1" t="s">
        <v>22</v>
      </c>
      <c r="G472" s="1" t="str">
        <f>CONCATENATE("PAN-PEK D.O.O,"," PLANINSKA 2C,"," 10000 ZAGREB,"," OIB: 58203211592")</f>
        <v>PAN-PEK D.O.O, PLANINSKA 2C, 10000 ZAGREB, OIB: 58203211592</v>
      </c>
      <c r="H472" s="7"/>
      <c r="I472" s="8" t="s">
        <v>838</v>
      </c>
      <c r="J472" s="8" t="s">
        <v>262</v>
      </c>
      <c r="K472" s="6" t="str">
        <f>"1.000.000,00"</f>
        <v>1.000.000,00</v>
      </c>
      <c r="L472" s="6" t="str">
        <f>"250.000,00"</f>
        <v>250.000,00</v>
      </c>
      <c r="M472" s="6" t="str">
        <f>"1.250.000,00"</f>
        <v>1.250.000,00</v>
      </c>
      <c r="N472" s="8" t="s">
        <v>250</v>
      </c>
      <c r="O472" s="7"/>
      <c r="P472" s="2" t="s">
        <v>5896</v>
      </c>
      <c r="Q472" s="7"/>
      <c r="R472" s="1"/>
      <c r="S472" s="1" t="str">
        <f>"NOS-91-A/19"</f>
        <v>NOS-91-A/19</v>
      </c>
      <c r="T472" s="1" t="s">
        <v>27</v>
      </c>
    </row>
    <row r="473" spans="1:20" ht="153" x14ac:dyDescent="0.25">
      <c r="A473" s="6">
        <v>470</v>
      </c>
      <c r="B473" s="1" t="str">
        <f>"2019-3000"</f>
        <v>2019-3000</v>
      </c>
      <c r="C473" s="1" t="s">
        <v>839</v>
      </c>
      <c r="D473" s="1" t="s">
        <v>837</v>
      </c>
      <c r="E473" s="1" t="str">
        <f>""</f>
        <v/>
      </c>
      <c r="F473" s="1" t="s">
        <v>28</v>
      </c>
      <c r="G473" s="1" t="str">
        <f>CONCATENATE("PAN-PEK D.O.O,"," PLANINSKA 2C,"," 10000 ZAGREB,"," OIB: 58203211592")</f>
        <v>PAN-PEK D.O.O, PLANINSKA 2C, 10000 ZAGREB, OIB: 58203211592</v>
      </c>
      <c r="H473" s="7"/>
      <c r="I473" s="8" t="s">
        <v>840</v>
      </c>
      <c r="J473" s="8" t="s">
        <v>57</v>
      </c>
      <c r="K473" s="6" t="str">
        <f>"19.330,00"</f>
        <v>19.330,00</v>
      </c>
      <c r="L473" s="6" t="str">
        <f>"4.832,50"</f>
        <v>4.832,50</v>
      </c>
      <c r="M473" s="6" t="str">
        <f>"24.162,50"</f>
        <v>24.162,50</v>
      </c>
      <c r="N473" s="8" t="s">
        <v>403</v>
      </c>
      <c r="O473" s="7"/>
      <c r="P473" s="2" t="s">
        <v>5897</v>
      </c>
      <c r="Q473" s="7"/>
      <c r="R473" s="1"/>
      <c r="S473" s="1" t="str">
        <f>"1-21/NOS-91-A/19"</f>
        <v>1-21/NOS-91-A/19</v>
      </c>
      <c r="T473" s="1" t="s">
        <v>55</v>
      </c>
    </row>
    <row r="474" spans="1:20" ht="140.25" x14ac:dyDescent="0.25">
      <c r="A474" s="6">
        <v>471</v>
      </c>
      <c r="B474" s="1" t="str">
        <f>"2019-3000"</f>
        <v>2019-3000</v>
      </c>
      <c r="C474" s="1" t="s">
        <v>836</v>
      </c>
      <c r="D474" s="1" t="s">
        <v>837</v>
      </c>
      <c r="E474" s="1" t="str">
        <f>""</f>
        <v/>
      </c>
      <c r="F474" s="1" t="s">
        <v>28</v>
      </c>
      <c r="G474" s="1" t="str">
        <f>CONCATENATE("PAN-PEK D.O.O,"," PLANINSKA 2C,"," 10000 ZAGREB,"," OIB: 58203211592")</f>
        <v>PAN-PEK D.O.O, PLANINSKA 2C, 10000 ZAGREB, OIB: 58203211592</v>
      </c>
      <c r="H474" s="7"/>
      <c r="I474" s="8" t="s">
        <v>561</v>
      </c>
      <c r="J474" s="8" t="s">
        <v>841</v>
      </c>
      <c r="K474" s="6" t="str">
        <f>"6.976,00"</f>
        <v>6.976,00</v>
      </c>
      <c r="L474" s="6" t="str">
        <f>"0,68"</f>
        <v>0,68</v>
      </c>
      <c r="M474" s="6" t="str">
        <f>"6.976,68"</f>
        <v>6.976,68</v>
      </c>
      <c r="N474" s="8" t="s">
        <v>779</v>
      </c>
      <c r="O474" s="7"/>
      <c r="P474" s="2" t="s">
        <v>5898</v>
      </c>
      <c r="Q474" s="7"/>
      <c r="R474" s="1"/>
      <c r="S474" s="1" t="str">
        <f>"2-21/NOS-91-A/19"</f>
        <v>2-21/NOS-91-A/19</v>
      </c>
      <c r="T474" s="1" t="s">
        <v>32</v>
      </c>
    </row>
    <row r="475" spans="1:20" ht="114.75" x14ac:dyDescent="0.25">
      <c r="A475" s="6">
        <v>472</v>
      </c>
      <c r="B475" s="1" t="str">
        <f>"2020-2227"</f>
        <v>2020-2227</v>
      </c>
      <c r="C475" s="1" t="s">
        <v>842</v>
      </c>
      <c r="D475" s="1" t="s">
        <v>843</v>
      </c>
      <c r="E475" s="1" t="str">
        <f>"2020/S 0F2-0013090"</f>
        <v>2020/S 0F2-0013090</v>
      </c>
      <c r="F475" s="1" t="s">
        <v>22</v>
      </c>
      <c r="G475" s="1" t="str">
        <f>CONCATENATE("Zajednica ponuditelja",CHAR(10),"MULTIGRAD D.O.O.,"," LUKAVEČKA 7,"," 10412 DONJA LOMNICA,"," OIB: 33615517007TEMPORIUM GRADNJA D.O.O. LJUTOMERSKA ULICA 33A,"," 10000 ZAGREB,"," OIB: 6285048268")</f>
        <v>Zajednica ponuditelja
MULTIGRAD D.O.O., LUKAVEČKA 7, 10412 DONJA LOMNICA, OIB: 33615517007TEMPORIUM GRADNJA D.O.O. LJUTOMERSKA ULICA 33A, 10000 ZAGREB, OIB: 6285048268</v>
      </c>
      <c r="H475" s="1" t="str">
        <f>CONCATENATE("TOT INTERIJERI D.O.O.,"," OIB: 26314993075")</f>
        <v>TOT INTERIJERI D.O.O., OIB: 26314993075</v>
      </c>
      <c r="I475" s="8" t="s">
        <v>834</v>
      </c>
      <c r="J475" s="8" t="s">
        <v>405</v>
      </c>
      <c r="K475" s="6" t="str">
        <f>"1.500.000,00"</f>
        <v>1.500.000,00</v>
      </c>
      <c r="L475" s="6" t="str">
        <f>"375.000,00"</f>
        <v>375.000,00</v>
      </c>
      <c r="M475" s="6" t="str">
        <f>"1.875.000,00"</f>
        <v>1.875.000,00</v>
      </c>
      <c r="N475" s="8" t="s">
        <v>835</v>
      </c>
      <c r="O475" s="7"/>
      <c r="P475" s="2" t="s">
        <v>5899</v>
      </c>
      <c r="Q475" s="7"/>
      <c r="R475" s="1"/>
      <c r="S475" s="1" t="str">
        <f>"NOS-3/20"</f>
        <v>NOS-3/20</v>
      </c>
      <c r="T475" s="1" t="s">
        <v>452</v>
      </c>
    </row>
    <row r="476" spans="1:20" ht="229.5" x14ac:dyDescent="0.25">
      <c r="A476" s="6">
        <v>473</v>
      </c>
      <c r="B476" s="1" t="str">
        <f t="shared" ref="B476:B482" si="41">"2019-1269"</f>
        <v>2019-1269</v>
      </c>
      <c r="C476" s="1" t="s">
        <v>844</v>
      </c>
      <c r="D476" s="1" t="s">
        <v>845</v>
      </c>
      <c r="E476" s="1" t="str">
        <f>"2019/S 0F2-0049613"</f>
        <v>2019/S 0F2-0049613</v>
      </c>
      <c r="F476" s="1" t="s">
        <v>22</v>
      </c>
      <c r="G476" s="1"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476" s="7"/>
      <c r="I476" s="8" t="s">
        <v>846</v>
      </c>
      <c r="J476" s="8" t="s">
        <v>847</v>
      </c>
      <c r="K476" s="6" t="str">
        <f>"2.000.000,00"</f>
        <v>2.000.000,00</v>
      </c>
      <c r="L476" s="6" t="str">
        <f>"500.000,00"</f>
        <v>500.000,00</v>
      </c>
      <c r="M476" s="6" t="str">
        <f>"2.500.000,00"</f>
        <v>2.500.000,00</v>
      </c>
      <c r="N476" s="8" t="s">
        <v>124</v>
      </c>
      <c r="O476" s="7"/>
      <c r="P476" s="2" t="s">
        <v>5614</v>
      </c>
      <c r="Q476" s="7"/>
      <c r="R476" s="1"/>
      <c r="S476" s="1" t="str">
        <f>"NOS-95/19"</f>
        <v>NOS-95/19</v>
      </c>
      <c r="T476" s="1" t="s">
        <v>55</v>
      </c>
    </row>
    <row r="477" spans="1:20" ht="229.5" x14ac:dyDescent="0.25">
      <c r="A477" s="6">
        <v>474</v>
      </c>
      <c r="B477" s="1" t="str">
        <f t="shared" si="41"/>
        <v>2019-1269</v>
      </c>
      <c r="C477" s="1" t="s">
        <v>844</v>
      </c>
      <c r="D477" s="1" t="s">
        <v>849</v>
      </c>
      <c r="E477" s="1" t="str">
        <f>""</f>
        <v/>
      </c>
      <c r="F477" s="1" t="s">
        <v>28</v>
      </c>
      <c r="G477" s="1"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477" s="7"/>
      <c r="I477" s="8" t="s">
        <v>72</v>
      </c>
      <c r="J477" s="8" t="s">
        <v>850</v>
      </c>
      <c r="K477" s="6" t="str">
        <f>"499.750,00"</f>
        <v>499.750,00</v>
      </c>
      <c r="L477" s="6" t="str">
        <f>"124.937,50"</f>
        <v>124.937,50</v>
      </c>
      <c r="M477" s="6" t="str">
        <f>"624.687,50"</f>
        <v>624.687,50</v>
      </c>
      <c r="N477" s="8" t="s">
        <v>124</v>
      </c>
      <c r="O477" s="7"/>
      <c r="P477" s="2" t="s">
        <v>5614</v>
      </c>
      <c r="Q477" s="7"/>
      <c r="R477" s="1"/>
      <c r="S477" s="1" t="str">
        <f>"6-22/NOS-95/19"</f>
        <v>6-22/NOS-95/19</v>
      </c>
      <c r="T477" s="1" t="s">
        <v>55</v>
      </c>
    </row>
    <row r="478" spans="1:20" ht="255" x14ac:dyDescent="0.25">
      <c r="A478" s="6">
        <v>475</v>
      </c>
      <c r="B478" s="1" t="str">
        <f t="shared" si="41"/>
        <v>2019-1269</v>
      </c>
      <c r="C478" s="1" t="s">
        <v>844</v>
      </c>
      <c r="D478" s="1" t="s">
        <v>849</v>
      </c>
      <c r="E478" s="1" t="str">
        <f>""</f>
        <v/>
      </c>
      <c r="F478" s="1" t="s">
        <v>28</v>
      </c>
      <c r="G478" s="1" t="str">
        <f>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78" s="7"/>
      <c r="I478" s="8" t="s">
        <v>499</v>
      </c>
      <c r="J478" s="8" t="s">
        <v>851</v>
      </c>
      <c r="K478" s="6" t="str">
        <f>"15.000,00"</f>
        <v>15.000,00</v>
      </c>
      <c r="L478" s="6" t="str">
        <f>"0,00"</f>
        <v>0,00</v>
      </c>
      <c r="M478" s="6" t="str">
        <f>"15.000,00"</f>
        <v>15.000,00</v>
      </c>
      <c r="N478" s="8" t="s">
        <v>124</v>
      </c>
      <c r="O478" s="7"/>
      <c r="P478" s="2" t="s">
        <v>5614</v>
      </c>
      <c r="Q478" s="7"/>
      <c r="R478" s="1"/>
      <c r="S478" s="1" t="str">
        <f>"1-22/NOS-95/19"</f>
        <v>1-22/NOS-95/19</v>
      </c>
      <c r="T478" s="1" t="s">
        <v>55</v>
      </c>
    </row>
    <row r="479" spans="1:20" ht="255" x14ac:dyDescent="0.25">
      <c r="A479" s="6">
        <v>476</v>
      </c>
      <c r="B479" s="1" t="str">
        <f t="shared" si="41"/>
        <v>2019-1269</v>
      </c>
      <c r="C479" s="1" t="s">
        <v>844</v>
      </c>
      <c r="D479" s="1" t="s">
        <v>849</v>
      </c>
      <c r="E479" s="1" t="str">
        <f>""</f>
        <v/>
      </c>
      <c r="F479" s="1" t="s">
        <v>28</v>
      </c>
      <c r="G479" s="1" t="str">
        <f>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79" s="7"/>
      <c r="I479" s="8" t="s">
        <v>499</v>
      </c>
      <c r="J479" s="8" t="s">
        <v>231</v>
      </c>
      <c r="K479" s="6" t="str">
        <f>"84.180,00"</f>
        <v>84.180,00</v>
      </c>
      <c r="L479" s="6" t="str">
        <f>"0,00"</f>
        <v>0,00</v>
      </c>
      <c r="M479" s="6" t="str">
        <f>"84.180,00"</f>
        <v>84.180,00</v>
      </c>
      <c r="N479" s="8" t="s">
        <v>124</v>
      </c>
      <c r="O479" s="7"/>
      <c r="P479" s="2" t="s">
        <v>5614</v>
      </c>
      <c r="Q479" s="7"/>
      <c r="R479" s="1"/>
      <c r="S479" s="1" t="str">
        <f>"2-22/NOS-95/19"</f>
        <v>2-22/NOS-95/19</v>
      </c>
      <c r="T479" s="1" t="s">
        <v>55</v>
      </c>
    </row>
    <row r="480" spans="1:20" ht="255" x14ac:dyDescent="0.25">
      <c r="A480" s="6">
        <v>477</v>
      </c>
      <c r="B480" s="1" t="str">
        <f t="shared" si="41"/>
        <v>2019-1269</v>
      </c>
      <c r="C480" s="1" t="s">
        <v>844</v>
      </c>
      <c r="D480" s="1" t="s">
        <v>849</v>
      </c>
      <c r="E480" s="1" t="str">
        <f>""</f>
        <v/>
      </c>
      <c r="F480" s="1" t="s">
        <v>28</v>
      </c>
      <c r="G480" s="1" t="str">
        <f>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80" s="7"/>
      <c r="I480" s="8" t="s">
        <v>273</v>
      </c>
      <c r="J480" s="8" t="s">
        <v>851</v>
      </c>
      <c r="K480" s="6" t="str">
        <f>"15.000,00"</f>
        <v>15.000,00</v>
      </c>
      <c r="L480" s="6" t="str">
        <f>"3.750,00"</f>
        <v>3.750,00</v>
      </c>
      <c r="M480" s="6" t="str">
        <f>"18.750,00"</f>
        <v>18.750,00</v>
      </c>
      <c r="N480" s="8" t="s">
        <v>124</v>
      </c>
      <c r="O480" s="7"/>
      <c r="P480" s="2" t="s">
        <v>5900</v>
      </c>
      <c r="Q480" s="7"/>
      <c r="R480" s="1"/>
      <c r="S480" s="1" t="str">
        <f>"3-22/NOS-95/19"</f>
        <v>3-22/NOS-95/19</v>
      </c>
      <c r="T480" s="1" t="s">
        <v>55</v>
      </c>
    </row>
    <row r="481" spans="1:20" ht="255" x14ac:dyDescent="0.25">
      <c r="A481" s="6">
        <v>478</v>
      </c>
      <c r="B481" s="1" t="str">
        <f t="shared" si="41"/>
        <v>2019-1269</v>
      </c>
      <c r="C481" s="1" t="s">
        <v>844</v>
      </c>
      <c r="D481" s="1" t="s">
        <v>849</v>
      </c>
      <c r="E481" s="1" t="str">
        <f>""</f>
        <v/>
      </c>
      <c r="F481" s="1" t="s">
        <v>28</v>
      </c>
      <c r="G481" s="1" t="str">
        <f>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81" s="7"/>
      <c r="I481" s="8" t="s">
        <v>354</v>
      </c>
      <c r="J481" s="8" t="s">
        <v>851</v>
      </c>
      <c r="K481" s="6" t="str">
        <f>"15.000,00"</f>
        <v>15.000,00</v>
      </c>
      <c r="L481" s="6" t="str">
        <f>"3.750,00"</f>
        <v>3.750,00</v>
      </c>
      <c r="M481" s="6" t="str">
        <f>"18.750,00"</f>
        <v>18.750,00</v>
      </c>
      <c r="N481" s="8" t="s">
        <v>224</v>
      </c>
      <c r="O481" s="7"/>
      <c r="P481" s="2" t="s">
        <v>5901</v>
      </c>
      <c r="Q481" s="1" t="s">
        <v>488</v>
      </c>
      <c r="R481" s="1"/>
      <c r="S481" s="1" t="str">
        <f>"4-22/NOS-95/19"</f>
        <v>4-22/NOS-95/19</v>
      </c>
      <c r="T481" s="1" t="s">
        <v>55</v>
      </c>
    </row>
    <row r="482" spans="1:20" ht="255" x14ac:dyDescent="0.25">
      <c r="A482" s="6">
        <v>479</v>
      </c>
      <c r="B482" s="1" t="str">
        <f t="shared" si="41"/>
        <v>2019-1269</v>
      </c>
      <c r="C482" s="1" t="s">
        <v>844</v>
      </c>
      <c r="D482" s="1" t="s">
        <v>849</v>
      </c>
      <c r="E482" s="1" t="str">
        <f>""</f>
        <v/>
      </c>
      <c r="F482" s="1" t="s">
        <v>28</v>
      </c>
      <c r="G482" s="1" t="str">
        <f>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82" s="7"/>
      <c r="I482" s="8" t="s">
        <v>835</v>
      </c>
      <c r="J482" s="8" t="s">
        <v>851</v>
      </c>
      <c r="K482" s="6" t="str">
        <f>"15.000,00"</f>
        <v>15.000,00</v>
      </c>
      <c r="L482" s="6" t="str">
        <f>"0,00"</f>
        <v>0,00</v>
      </c>
      <c r="M482" s="6" t="str">
        <f>"15.000,00"</f>
        <v>15.000,00</v>
      </c>
      <c r="N482" s="8" t="s">
        <v>852</v>
      </c>
      <c r="O482" s="7"/>
      <c r="P482" s="2" t="s">
        <v>5902</v>
      </c>
      <c r="Q482" s="7"/>
      <c r="R482" s="1"/>
      <c r="S482" s="1" t="str">
        <f>"5-22/NOS-95/19"</f>
        <v>5-22/NOS-95/19</v>
      </c>
      <c r="T482" s="1" t="s">
        <v>55</v>
      </c>
    </row>
    <row r="483" spans="1:20" ht="204" x14ac:dyDescent="0.25">
      <c r="A483" s="6">
        <v>480</v>
      </c>
      <c r="B483" s="1" t="str">
        <f>"2019-3062"</f>
        <v>2019-3062</v>
      </c>
      <c r="C483" s="1" t="s">
        <v>853</v>
      </c>
      <c r="D483" s="1" t="s">
        <v>854</v>
      </c>
      <c r="E483" s="1" t="str">
        <f>"2020/S 0F2-0001880"</f>
        <v>2020/S 0F2-0001880</v>
      </c>
      <c r="F483" s="1" t="s">
        <v>22</v>
      </c>
      <c r="G483" s="1" t="str">
        <f>CONCATENATE("Zajednica ponuditelja",CHAR(10),"ZVIBOR D.O.O.,"," ZAVRTNICA 36,"," 10000 ZAGREB,"," OIB: 03454358063LACUS D.O.O. ZAVRTNICA 36,"," 10000 ZAGREB,"," OIB: 88631102633",CHAR(10),"",CHAR(10),"INSEPO DRUŠTVO S OGRANIČENOM ODGOVORNOŠĆU ZA TRGOVINU I USLUGE,"," KARAMANOV PRILAZ 2,"," 10000 ZAGREB,"," OIB: 92528715879")</f>
        <v>Zajednica ponuditelja
ZVIBOR D.O.O., ZAVRTNICA 36, 10000 ZAGREB, OIB: 03454358063LACUS D.O.O. ZAVRTNICA 36, 10000 ZAGREB, OIB: 88631102633
INSEPO DRUŠTVO S OGRANIČENOM ODGOVORNOŠĆU ZA TRGOVINU I USLUGE, KARAMANOV PRILAZ 2, 10000 ZAGREB, OIB: 92528715879</v>
      </c>
      <c r="H483" s="7"/>
      <c r="I483" s="8" t="s">
        <v>816</v>
      </c>
      <c r="J483" s="8" t="s">
        <v>855</v>
      </c>
      <c r="K483" s="6" t="str">
        <f>"600.000,00"</f>
        <v>600.000,00</v>
      </c>
      <c r="L483" s="6" t="str">
        <f>"150.000,00"</f>
        <v>150.000,00</v>
      </c>
      <c r="M483" s="6" t="str">
        <f>"750.000,00"</f>
        <v>750.000,00</v>
      </c>
      <c r="N483" s="8" t="s">
        <v>856</v>
      </c>
      <c r="O483" s="7"/>
      <c r="P483" s="2" t="s">
        <v>5614</v>
      </c>
      <c r="Q483" s="7"/>
      <c r="R483" s="1"/>
      <c r="S483" s="1" t="str">
        <f>"NOS-101/19"</f>
        <v>NOS-101/19</v>
      </c>
      <c r="T483" s="1" t="s">
        <v>43</v>
      </c>
    </row>
    <row r="484" spans="1:20" ht="102" x14ac:dyDescent="0.25">
      <c r="A484" s="6">
        <v>481</v>
      </c>
      <c r="B484" s="1" t="str">
        <f>"2019-3062"</f>
        <v>2019-3062</v>
      </c>
      <c r="C484" s="1" t="s">
        <v>853</v>
      </c>
      <c r="D484" s="1" t="s">
        <v>854</v>
      </c>
      <c r="E484" s="1" t="str">
        <f>""</f>
        <v/>
      </c>
      <c r="F484" s="1" t="s">
        <v>28</v>
      </c>
      <c r="G484" s="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484" s="7"/>
      <c r="I484" s="8" t="s">
        <v>857</v>
      </c>
      <c r="J484" s="8" t="s">
        <v>57</v>
      </c>
      <c r="K484" s="6" t="str">
        <f>"198.754,00"</f>
        <v>198.754,00</v>
      </c>
      <c r="L484" s="6" t="str">
        <f>"49.688,50"</f>
        <v>49.688,50</v>
      </c>
      <c r="M484" s="6" t="str">
        <f>"248.442,50"</f>
        <v>248.442,50</v>
      </c>
      <c r="N484" s="8" t="s">
        <v>406</v>
      </c>
      <c r="O484" s="7"/>
      <c r="P484" s="2" t="s">
        <v>5903</v>
      </c>
      <c r="Q484" s="7"/>
      <c r="R484" s="1"/>
      <c r="S484" s="1" t="str">
        <f>"9-21/NOS-101/19"</f>
        <v>9-21/NOS-101/19</v>
      </c>
      <c r="T484" s="1" t="s">
        <v>43</v>
      </c>
    </row>
    <row r="485" spans="1:20" ht="102" x14ac:dyDescent="0.25">
      <c r="A485" s="6">
        <v>482</v>
      </c>
      <c r="B485" s="1" t="str">
        <f>"2019-3062"</f>
        <v>2019-3062</v>
      </c>
      <c r="C485" s="1" t="s">
        <v>858</v>
      </c>
      <c r="D485" s="1" t="s">
        <v>854</v>
      </c>
      <c r="E485" s="1" t="str">
        <f>""</f>
        <v/>
      </c>
      <c r="F485" s="1" t="s">
        <v>92</v>
      </c>
      <c r="G485" s="1"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485" s="7"/>
      <c r="I485" s="8" t="s">
        <v>735</v>
      </c>
      <c r="J485" s="8" t="s">
        <v>57</v>
      </c>
      <c r="K485" s="6" t="str">
        <f>"19.753,00"</f>
        <v>19.753,00</v>
      </c>
      <c r="L485" s="6" t="str">
        <f>"4.938,25"</f>
        <v>4.938,25</v>
      </c>
      <c r="M485" s="6" t="str">
        <f>"24.691,25"</f>
        <v>24.691,25</v>
      </c>
      <c r="N485" s="8" t="s">
        <v>293</v>
      </c>
      <c r="O485" s="7"/>
      <c r="P485" s="2" t="s">
        <v>5904</v>
      </c>
      <c r="Q485" s="7"/>
      <c r="R485" s="1"/>
      <c r="S485" s="1" t="str">
        <f>"9-21/NOS-101/19#1"</f>
        <v>9-21/NOS-101/19#1</v>
      </c>
      <c r="T485" s="1" t="s">
        <v>43</v>
      </c>
    </row>
    <row r="486" spans="1:20" ht="63.75" x14ac:dyDescent="0.25">
      <c r="A486" s="6">
        <v>483</v>
      </c>
      <c r="B486" s="1" t="str">
        <f>"2019-3105"</f>
        <v>2019-3105</v>
      </c>
      <c r="C486" s="1" t="s">
        <v>859</v>
      </c>
      <c r="D486" s="1" t="s">
        <v>860</v>
      </c>
      <c r="E486" s="1" t="str">
        <f>"2020/S 0F2-0001112"</f>
        <v>2020/S 0F2-0001112</v>
      </c>
      <c r="F486" s="1" t="s">
        <v>22</v>
      </c>
      <c r="G486" s="1" t="str">
        <f>CONCATENATE("MONTMONTAŽA-OPREMA D.O.O.,"," SAMOBORSKA CESTA 145,"," 10090 ZAGREB,"," OIB: 06544535948")</f>
        <v>MONTMONTAŽA-OPREMA D.O.O., SAMOBORSKA CESTA 145, 10090 ZAGREB, OIB: 06544535948</v>
      </c>
      <c r="H486" s="7"/>
      <c r="I486" s="8" t="s">
        <v>861</v>
      </c>
      <c r="J486" s="8" t="s">
        <v>862</v>
      </c>
      <c r="K486" s="6" t="str">
        <f>"550.000,00"</f>
        <v>550.000,00</v>
      </c>
      <c r="L486" s="6" t="str">
        <f>"137.500,00"</f>
        <v>137.500,00</v>
      </c>
      <c r="M486" s="6" t="str">
        <f>"687.500,00"</f>
        <v>687.500,00</v>
      </c>
      <c r="N486" s="8" t="s">
        <v>863</v>
      </c>
      <c r="O486" s="7"/>
      <c r="P486" s="2" t="s">
        <v>5848</v>
      </c>
      <c r="Q486" s="7"/>
      <c r="R486" s="1"/>
      <c r="S486" s="1" t="str">
        <f>"NOS-98/19"</f>
        <v>NOS-98/19</v>
      </c>
      <c r="T486" s="1" t="s">
        <v>452</v>
      </c>
    </row>
    <row r="487" spans="1:20" ht="51" x14ac:dyDescent="0.25">
      <c r="A487" s="6">
        <v>484</v>
      </c>
      <c r="B487" s="1" t="str">
        <f>"2020-901"</f>
        <v>2020-901</v>
      </c>
      <c r="C487" s="1" t="s">
        <v>864</v>
      </c>
      <c r="D487" s="1" t="s">
        <v>865</v>
      </c>
      <c r="E487" s="1" t="str">
        <f>"2020/S 0F2-0013306"</f>
        <v>2020/S 0F2-0013306</v>
      </c>
      <c r="F487" s="1" t="s">
        <v>22</v>
      </c>
      <c r="G487" s="1" t="str">
        <f>CONCATENATE("HP D.D.,"," JURIŠIĆEVA 13,"," 10000 ZAGREB,"," OIB: 87311810356")</f>
        <v>HP D.D., JURIŠIĆEVA 13, 10000 ZAGREB, OIB: 87311810356</v>
      </c>
      <c r="H487" s="7"/>
      <c r="I487" s="8" t="s">
        <v>861</v>
      </c>
      <c r="J487" s="8" t="s">
        <v>862</v>
      </c>
      <c r="K487" s="6" t="str">
        <f>"6.122.000,00"</f>
        <v>6.122.000,00</v>
      </c>
      <c r="L487" s="6" t="str">
        <f>"1.530.500,00"</f>
        <v>1.530.500,00</v>
      </c>
      <c r="M487" s="6" t="str">
        <f>"7.652.500,00"</f>
        <v>7.652.500,00</v>
      </c>
      <c r="N487" s="8" t="s">
        <v>863</v>
      </c>
      <c r="O487" s="7"/>
      <c r="P487" s="2" t="s">
        <v>5905</v>
      </c>
      <c r="Q487" s="7"/>
      <c r="R487" s="1"/>
      <c r="S487" s="1" t="str">
        <f>"NOS-1/20"</f>
        <v>NOS-1/20</v>
      </c>
      <c r="T487" s="1" t="s">
        <v>452</v>
      </c>
    </row>
    <row r="488" spans="1:20" ht="51" x14ac:dyDescent="0.25">
      <c r="A488" s="6">
        <v>485</v>
      </c>
      <c r="B488" s="1" t="str">
        <f>"2019-137"</f>
        <v>2019-137</v>
      </c>
      <c r="C488" s="1" t="s">
        <v>866</v>
      </c>
      <c r="D488" s="1" t="s">
        <v>867</v>
      </c>
      <c r="E488" s="1" t="str">
        <f>"2020/S 0F2-0009698"</f>
        <v>2020/S 0F2-0009698</v>
      </c>
      <c r="F488" s="1" t="s">
        <v>22</v>
      </c>
      <c r="G488" s="1" t="str">
        <f>CONCATENATE("IKOM D.O.O.,"," KOVINSKA 7,"," 10090 ZAGREB-SUSEDGRAD,"," OIB: 86247075815")</f>
        <v>IKOM D.O.O., KOVINSKA 7, 10090 ZAGREB-SUSEDGRAD, OIB: 86247075815</v>
      </c>
      <c r="H488" s="7"/>
      <c r="I488" s="8" t="s">
        <v>868</v>
      </c>
      <c r="J488" s="8" t="s">
        <v>869</v>
      </c>
      <c r="K488" s="6" t="str">
        <f>"8.000.000,00"</f>
        <v>8.000.000,00</v>
      </c>
      <c r="L488" s="6" t="str">
        <f>"2.000.000,00"</f>
        <v>2.000.000,00</v>
      </c>
      <c r="M488" s="6" t="str">
        <f>"10.000.000,00"</f>
        <v>10.000.000,00</v>
      </c>
      <c r="N488" s="8" t="s">
        <v>425</v>
      </c>
      <c r="O488" s="7"/>
      <c r="P488" s="2" t="s">
        <v>5906</v>
      </c>
      <c r="Q488" s="1" t="s">
        <v>488</v>
      </c>
      <c r="R488" s="1"/>
      <c r="S488" s="1" t="str">
        <f>"NOS-103/19"</f>
        <v>NOS-103/19</v>
      </c>
      <c r="T488" s="1" t="s">
        <v>452</v>
      </c>
    </row>
    <row r="489" spans="1:20" ht="51" x14ac:dyDescent="0.25">
      <c r="A489" s="6">
        <v>486</v>
      </c>
      <c r="B489" s="1" t="str">
        <f t="shared" ref="B489:B495" si="42">"2019-2424"</f>
        <v>2019-2424</v>
      </c>
      <c r="C489" s="1" t="s">
        <v>870</v>
      </c>
      <c r="D489" s="1" t="s">
        <v>871</v>
      </c>
      <c r="E489" s="1" t="str">
        <f>"2020/S 0F2-0013294"</f>
        <v>2020/S 0F2-0013294</v>
      </c>
      <c r="F489" s="1" t="s">
        <v>22</v>
      </c>
      <c r="G489" s="1" t="str">
        <f t="shared" ref="G489:G495" si="43">CONCATENATE("CS COMPUTER SYSTEMS D.O.O.,"," PREČKO 1/A,"," 10110 ZAGREB,"," OIB: 07989965722")</f>
        <v>CS COMPUTER SYSTEMS D.O.O., PREČKO 1/A, 10110 ZAGREB, OIB: 07989965722</v>
      </c>
      <c r="H489" s="7"/>
      <c r="I489" s="8" t="s">
        <v>861</v>
      </c>
      <c r="J489" s="8" t="s">
        <v>374</v>
      </c>
      <c r="K489" s="6" t="str">
        <f>"12.000.000,00"</f>
        <v>12.000.000,00</v>
      </c>
      <c r="L489" s="6" t="str">
        <f>"3.000.000,00"</f>
        <v>3.000.000,00</v>
      </c>
      <c r="M489" s="6" t="str">
        <f>"15.000.000,00"</f>
        <v>15.000.000,00</v>
      </c>
      <c r="N489" s="8" t="s">
        <v>377</v>
      </c>
      <c r="O489" s="7"/>
      <c r="P489" s="2" t="s">
        <v>5614</v>
      </c>
      <c r="Q489" s="7"/>
      <c r="R489" s="1"/>
      <c r="S489" s="1" t="str">
        <f>"NOS-97/19"</f>
        <v>NOS-97/19</v>
      </c>
      <c r="T489" s="1" t="s">
        <v>32</v>
      </c>
    </row>
    <row r="490" spans="1:20" ht="51" x14ac:dyDescent="0.25">
      <c r="A490" s="6">
        <v>487</v>
      </c>
      <c r="B490" s="1" t="str">
        <f t="shared" si="42"/>
        <v>2019-2424</v>
      </c>
      <c r="C490" s="1" t="s">
        <v>870</v>
      </c>
      <c r="D490" s="1" t="s">
        <v>871</v>
      </c>
      <c r="E490" s="1" t="str">
        <f>""</f>
        <v/>
      </c>
      <c r="F490" s="1" t="s">
        <v>28</v>
      </c>
      <c r="G490" s="1" t="str">
        <f t="shared" si="43"/>
        <v>CS COMPUTER SYSTEMS D.O.O., PREČKO 1/A, 10110 ZAGREB, OIB: 07989965722</v>
      </c>
      <c r="H490" s="7"/>
      <c r="I490" s="8" t="s">
        <v>872</v>
      </c>
      <c r="J490" s="8" t="s">
        <v>277</v>
      </c>
      <c r="K490" s="6" t="str">
        <f>"450.000,00"</f>
        <v>450.000,00</v>
      </c>
      <c r="L490" s="6" t="str">
        <f>"112.500,00"</f>
        <v>112.500,00</v>
      </c>
      <c r="M490" s="6" t="str">
        <f>"562.500,00"</f>
        <v>562.500,00</v>
      </c>
      <c r="N490" s="8" t="s">
        <v>281</v>
      </c>
      <c r="O490" s="7"/>
      <c r="P490" s="2" t="s">
        <v>5907</v>
      </c>
      <c r="Q490" s="7"/>
      <c r="R490" s="1"/>
      <c r="S490" s="1" t="str">
        <f>"6-21/NOS-97/19"</f>
        <v>6-21/NOS-97/19</v>
      </c>
      <c r="T490" s="1" t="s">
        <v>32</v>
      </c>
    </row>
    <row r="491" spans="1:20" ht="51" x14ac:dyDescent="0.25">
      <c r="A491" s="6">
        <v>488</v>
      </c>
      <c r="B491" s="1" t="str">
        <f t="shared" si="42"/>
        <v>2019-2424</v>
      </c>
      <c r="C491" s="1" t="s">
        <v>870</v>
      </c>
      <c r="D491" s="1" t="s">
        <v>871</v>
      </c>
      <c r="E491" s="1" t="str">
        <f>""</f>
        <v/>
      </c>
      <c r="F491" s="1" t="s">
        <v>28</v>
      </c>
      <c r="G491" s="1" t="str">
        <f t="shared" si="43"/>
        <v>CS COMPUTER SYSTEMS D.O.O., PREČKO 1/A, 10110 ZAGREB, OIB: 07989965722</v>
      </c>
      <c r="H491" s="7"/>
      <c r="I491" s="8" t="s">
        <v>278</v>
      </c>
      <c r="J491" s="8" t="s">
        <v>873</v>
      </c>
      <c r="K491" s="6" t="str">
        <f>"450.000,00"</f>
        <v>450.000,00</v>
      </c>
      <c r="L491" s="6" t="str">
        <f>"112.500,00"</f>
        <v>112.500,00</v>
      </c>
      <c r="M491" s="6" t="str">
        <f>"562.500,00"</f>
        <v>562.500,00</v>
      </c>
      <c r="N491" s="8" t="s">
        <v>124</v>
      </c>
      <c r="O491" s="7"/>
      <c r="P491" s="2" t="s">
        <v>5908</v>
      </c>
      <c r="Q491" s="7"/>
      <c r="R491" s="1"/>
      <c r="S491" s="1" t="str">
        <f>"1-22/NOS-97/19"</f>
        <v>1-22/NOS-97/19</v>
      </c>
      <c r="T491" s="1" t="s">
        <v>32</v>
      </c>
    </row>
    <row r="492" spans="1:20" ht="102" x14ac:dyDescent="0.25">
      <c r="A492" s="6">
        <v>489</v>
      </c>
      <c r="B492" s="1" t="str">
        <f t="shared" si="42"/>
        <v>2019-2424</v>
      </c>
      <c r="C492" s="1" t="s">
        <v>874</v>
      </c>
      <c r="D492" s="1" t="s">
        <v>871</v>
      </c>
      <c r="E492" s="1" t="str">
        <f>""</f>
        <v/>
      </c>
      <c r="F492" s="1" t="s">
        <v>92</v>
      </c>
      <c r="G492" s="1" t="str">
        <f t="shared" si="43"/>
        <v>CS COMPUTER SYSTEMS D.O.O., PREČKO 1/A, 10110 ZAGREB, OIB: 07989965722</v>
      </c>
      <c r="H492" s="7"/>
      <c r="I492" s="8" t="s">
        <v>277</v>
      </c>
      <c r="J492" s="8" t="s">
        <v>875</v>
      </c>
      <c r="K492" s="6" t="str">
        <f>"36.139,50"</f>
        <v>36.139,50</v>
      </c>
      <c r="L492" s="6" t="str">
        <f>"9.034,88"</f>
        <v>9.034,88</v>
      </c>
      <c r="M492" s="6" t="str">
        <f>"45.174,38"</f>
        <v>45.174,38</v>
      </c>
      <c r="N492" s="8" t="s">
        <v>124</v>
      </c>
      <c r="O492" s="7"/>
      <c r="P492" s="2" t="s">
        <v>5614</v>
      </c>
      <c r="Q492" s="7"/>
      <c r="R492" s="1"/>
      <c r="S492" s="1" t="str">
        <f>"6-21/NOS-97/19#1"</f>
        <v>6-21/NOS-97/19#1</v>
      </c>
      <c r="T492" s="1" t="s">
        <v>32</v>
      </c>
    </row>
    <row r="493" spans="1:20" ht="51" x14ac:dyDescent="0.25">
      <c r="A493" s="6">
        <v>490</v>
      </c>
      <c r="B493" s="1" t="str">
        <f t="shared" si="42"/>
        <v>2019-2424</v>
      </c>
      <c r="C493" s="1" t="s">
        <v>870</v>
      </c>
      <c r="D493" s="1" t="s">
        <v>871</v>
      </c>
      <c r="E493" s="1" t="str">
        <f>""</f>
        <v/>
      </c>
      <c r="F493" s="1" t="s">
        <v>28</v>
      </c>
      <c r="G493" s="1" t="str">
        <f t="shared" si="43"/>
        <v>CS COMPUTER SYSTEMS D.O.O., PREČKO 1/A, 10110 ZAGREB, OIB: 07989965722</v>
      </c>
      <c r="H493" s="7"/>
      <c r="I493" s="8" t="s">
        <v>137</v>
      </c>
      <c r="J493" s="8" t="s">
        <v>231</v>
      </c>
      <c r="K493" s="6" t="str">
        <f>"69.930,56"</f>
        <v>69.930,56</v>
      </c>
      <c r="L493" s="6" t="str">
        <f>"17.482,64"</f>
        <v>17.482,64</v>
      </c>
      <c r="M493" s="6" t="str">
        <f>"87.413,20"</f>
        <v>87.413,20</v>
      </c>
      <c r="N493" s="8" t="s">
        <v>401</v>
      </c>
      <c r="O493" s="7"/>
      <c r="P493" s="2" t="s">
        <v>5909</v>
      </c>
      <c r="Q493" s="7"/>
      <c r="R493" s="1"/>
      <c r="S493" s="1" t="str">
        <f>"13-21/NOS-97/19"</f>
        <v>13-21/NOS-97/19</v>
      </c>
      <c r="T493" s="1" t="s">
        <v>32</v>
      </c>
    </row>
    <row r="494" spans="1:20" ht="51" x14ac:dyDescent="0.25">
      <c r="A494" s="6">
        <v>491</v>
      </c>
      <c r="B494" s="1" t="str">
        <f t="shared" si="42"/>
        <v>2019-2424</v>
      </c>
      <c r="C494" s="1" t="s">
        <v>870</v>
      </c>
      <c r="D494" s="1" t="s">
        <v>871</v>
      </c>
      <c r="E494" s="1" t="str">
        <f>""</f>
        <v/>
      </c>
      <c r="F494" s="1" t="s">
        <v>28</v>
      </c>
      <c r="G494" s="1" t="str">
        <f t="shared" si="43"/>
        <v>CS COMPUTER SYSTEMS D.O.O., PREČKO 1/A, 10110 ZAGREB, OIB: 07989965722</v>
      </c>
      <c r="H494" s="7"/>
      <c r="I494" s="8" t="s">
        <v>521</v>
      </c>
      <c r="J494" s="8" t="s">
        <v>876</v>
      </c>
      <c r="K494" s="6" t="str">
        <f>"135.314,93"</f>
        <v>135.314,93</v>
      </c>
      <c r="L494" s="6" t="str">
        <f>"33.828,73"</f>
        <v>33.828,73</v>
      </c>
      <c r="M494" s="6" t="str">
        <f>"169.143,66"</f>
        <v>169.143,66</v>
      </c>
      <c r="N494" s="8" t="s">
        <v>281</v>
      </c>
      <c r="O494" s="7"/>
      <c r="P494" s="2" t="s">
        <v>5910</v>
      </c>
      <c r="Q494" s="7"/>
      <c r="R494" s="1"/>
      <c r="S494" s="1" t="str">
        <f>"2-22/NOS-97/19"</f>
        <v>2-22/NOS-97/19</v>
      </c>
      <c r="T494" s="1" t="s">
        <v>32</v>
      </c>
    </row>
    <row r="495" spans="1:20" ht="51" x14ac:dyDescent="0.25">
      <c r="A495" s="6">
        <v>492</v>
      </c>
      <c r="B495" s="1" t="str">
        <f t="shared" si="42"/>
        <v>2019-2424</v>
      </c>
      <c r="C495" s="1" t="s">
        <v>870</v>
      </c>
      <c r="D495" s="1" t="s">
        <v>871</v>
      </c>
      <c r="E495" s="1" t="str">
        <f>""</f>
        <v/>
      </c>
      <c r="F495" s="1" t="s">
        <v>28</v>
      </c>
      <c r="G495" s="1" t="str">
        <f t="shared" si="43"/>
        <v>CS COMPUTER SYSTEMS D.O.O., PREČKO 1/A, 10110 ZAGREB, OIB: 07989965722</v>
      </c>
      <c r="H495" s="7"/>
      <c r="I495" s="8" t="s">
        <v>877</v>
      </c>
      <c r="J495" s="8" t="s">
        <v>878</v>
      </c>
      <c r="K495" s="6" t="str">
        <f>"602.800,00"</f>
        <v>602.800,00</v>
      </c>
      <c r="L495" s="6" t="str">
        <f>"150.700,00"</f>
        <v>150.700,00</v>
      </c>
      <c r="M495" s="6" t="str">
        <f>"753.500,00"</f>
        <v>753.500,00</v>
      </c>
      <c r="N495" s="8" t="s">
        <v>281</v>
      </c>
      <c r="O495" s="7"/>
      <c r="P495" s="2" t="s">
        <v>5911</v>
      </c>
      <c r="Q495" s="7"/>
      <c r="R495" s="1"/>
      <c r="S495" s="1" t="str">
        <f>"3-22/NOS-97/19"</f>
        <v>3-22/NOS-97/19</v>
      </c>
      <c r="T495" s="1" t="s">
        <v>32</v>
      </c>
    </row>
    <row r="496" spans="1:20" ht="63.75" x14ac:dyDescent="0.25">
      <c r="A496" s="6">
        <v>493</v>
      </c>
      <c r="B496" s="1" t="str">
        <f>"2020-1996"</f>
        <v>2020-1996</v>
      </c>
      <c r="C496" s="1" t="s">
        <v>879</v>
      </c>
      <c r="D496" s="1" t="s">
        <v>880</v>
      </c>
      <c r="E496" s="1" t="str">
        <f>"2020/S F21-0011387"</f>
        <v>2020/S F21-0011387</v>
      </c>
      <c r="F496" s="1" t="s">
        <v>22</v>
      </c>
      <c r="G496" s="1" t="str">
        <f>CONCATENATE("CROATIA POLIKLINIKA,"," ULICA GRADA VUKOVARA 62,"," 10000 ZAGREB,"," OIB: 8084840189")</f>
        <v>CROATIA POLIKLINIKA, ULICA GRADA VUKOVARA 62, 10000 ZAGREB, OIB: 8084840189</v>
      </c>
      <c r="H496" s="7"/>
      <c r="I496" s="8" t="s">
        <v>881</v>
      </c>
      <c r="J496" s="8" t="s">
        <v>133</v>
      </c>
      <c r="K496" s="6" t="str">
        <f>"800.000,00"</f>
        <v>800.000,00</v>
      </c>
      <c r="L496" s="6" t="str">
        <f>"200.000,00"</f>
        <v>200.000,00</v>
      </c>
      <c r="M496" s="6" t="str">
        <f>"1.000.000,00"</f>
        <v>1.000.000,00</v>
      </c>
      <c r="N496" s="8" t="s">
        <v>882</v>
      </c>
      <c r="O496" s="7"/>
      <c r="P496" s="2" t="s">
        <v>5912</v>
      </c>
      <c r="Q496" s="7"/>
      <c r="R496" s="1"/>
      <c r="S496" s="1" t="str">
        <f>"NOS-2/20"</f>
        <v>NOS-2/20</v>
      </c>
      <c r="T496" s="1" t="s">
        <v>452</v>
      </c>
    </row>
    <row r="497" spans="1:20" ht="63.75" x14ac:dyDescent="0.25">
      <c r="A497" s="6">
        <v>494</v>
      </c>
      <c r="B497" s="1" t="str">
        <f>"2019-2414"</f>
        <v>2019-2414</v>
      </c>
      <c r="C497" s="1" t="s">
        <v>883</v>
      </c>
      <c r="D497" s="1" t="s">
        <v>884</v>
      </c>
      <c r="E497" s="1" t="str">
        <f>"2019/S 0F2-0042943"</f>
        <v>2019/S 0F2-0042943</v>
      </c>
      <c r="F497" s="1" t="s">
        <v>22</v>
      </c>
      <c r="G497" s="1" t="str">
        <f>CONCATENATE("AGROTUROPOLJE D.O.O.,"," VELIKOGORIČKA 43,"," 10415 NOVO ČIČE,"," OIB: 66493270332")</f>
        <v>AGROTUROPOLJE D.O.O., VELIKOGORIČKA 43, 10415 NOVO ČIČE, OIB: 66493270332</v>
      </c>
      <c r="H497" s="7"/>
      <c r="I497" s="8" t="s">
        <v>885</v>
      </c>
      <c r="J497" s="8" t="s">
        <v>562</v>
      </c>
      <c r="K497" s="6" t="str">
        <f>"300.000,00"</f>
        <v>300.000,00</v>
      </c>
      <c r="L497" s="6" t="str">
        <f>"75.000,00"</f>
        <v>75.000,00</v>
      </c>
      <c r="M497" s="6" t="str">
        <f>"375.000,00"</f>
        <v>375.000,00</v>
      </c>
      <c r="N497" s="8" t="s">
        <v>442</v>
      </c>
      <c r="O497" s="7"/>
      <c r="P497" s="2" t="s">
        <v>5614</v>
      </c>
      <c r="Q497" s="7"/>
      <c r="R497" s="1"/>
      <c r="S497" s="1" t="str">
        <f>"NOS-106-B/19"</f>
        <v>NOS-106-B/19</v>
      </c>
      <c r="T497" s="1" t="s">
        <v>32</v>
      </c>
    </row>
    <row r="498" spans="1:20" ht="63.75" x14ac:dyDescent="0.25">
      <c r="A498" s="6">
        <v>495</v>
      </c>
      <c r="B498" s="1" t="str">
        <f>"2019-2414"</f>
        <v>2019-2414</v>
      </c>
      <c r="C498" s="1" t="s">
        <v>883</v>
      </c>
      <c r="D498" s="1" t="s">
        <v>886</v>
      </c>
      <c r="E498" s="1" t="str">
        <f>""</f>
        <v/>
      </c>
      <c r="F498" s="1" t="s">
        <v>28</v>
      </c>
      <c r="G498" s="1" t="str">
        <f>CONCATENATE("AGROTUROPOLJE D.O.O.,"," VELIKOGORIČKA 43,"," 10415 NOVO ČIČE,"," OIB: 66493270332")</f>
        <v>AGROTUROPOLJE D.O.O., VELIKOGORIČKA 43, 10415 NOVO ČIČE, OIB: 66493270332</v>
      </c>
      <c r="H498" s="7"/>
      <c r="I498" s="8" t="s">
        <v>117</v>
      </c>
      <c r="J498" s="8" t="s">
        <v>851</v>
      </c>
      <c r="K498" s="6" t="str">
        <f>"31.440,00"</f>
        <v>31.440,00</v>
      </c>
      <c r="L498" s="6" t="str">
        <f>"7.860,00"</f>
        <v>7.860,00</v>
      </c>
      <c r="M498" s="6" t="str">
        <f>"39.300,00"</f>
        <v>39.300,00</v>
      </c>
      <c r="N498" s="8" t="s">
        <v>202</v>
      </c>
      <c r="O498" s="7"/>
      <c r="P498" s="2" t="s">
        <v>5913</v>
      </c>
      <c r="Q498" s="7"/>
      <c r="R498" s="1"/>
      <c r="S498" s="1" t="str">
        <f>"3-21/NOS-106-B/19"</f>
        <v>3-21/NOS-106-B/19</v>
      </c>
      <c r="T498" s="1" t="s">
        <v>32</v>
      </c>
    </row>
    <row r="499" spans="1:20" ht="63.75" x14ac:dyDescent="0.25">
      <c r="A499" s="6">
        <v>496</v>
      </c>
      <c r="B499" s="1" t="str">
        <f>"2019-2414"</f>
        <v>2019-2414</v>
      </c>
      <c r="C499" s="1" t="s">
        <v>883</v>
      </c>
      <c r="D499" s="1" t="s">
        <v>886</v>
      </c>
      <c r="E499" s="1" t="str">
        <f>""</f>
        <v/>
      </c>
      <c r="F499" s="1" t="s">
        <v>28</v>
      </c>
      <c r="G499" s="1" t="str">
        <f>CONCATENATE("AGROTUROPOLJE D.O.O.,"," VELIKOGORIČKA 43,"," 10415 NOVO ČIČE,"," OIB: 66493270332")</f>
        <v>AGROTUROPOLJE D.O.O., VELIKOGORIČKA 43, 10415 NOVO ČIČE, OIB: 66493270332</v>
      </c>
      <c r="H499" s="7"/>
      <c r="I499" s="8" t="s">
        <v>607</v>
      </c>
      <c r="J499" s="8" t="s">
        <v>851</v>
      </c>
      <c r="K499" s="6" t="str">
        <f>"75.804,00"</f>
        <v>75.804,00</v>
      </c>
      <c r="L499" s="6" t="str">
        <f>"18.831,75"</f>
        <v>18.831,75</v>
      </c>
      <c r="M499" s="6" t="str">
        <f>"94.635,75"</f>
        <v>94.635,75</v>
      </c>
      <c r="N499" s="8" t="s">
        <v>669</v>
      </c>
      <c r="O499" s="7"/>
      <c r="P499" s="2" t="s">
        <v>5914</v>
      </c>
      <c r="Q499" s="7"/>
      <c r="R499" s="1"/>
      <c r="S499" s="1" t="str">
        <f>"2-22/NOS-106-B/19"</f>
        <v>2-22/NOS-106-B/19</v>
      </c>
      <c r="T499" s="1" t="s">
        <v>32</v>
      </c>
    </row>
    <row r="500" spans="1:20" ht="63.75" x14ac:dyDescent="0.25">
      <c r="A500" s="6">
        <v>497</v>
      </c>
      <c r="B500" s="1" t="str">
        <f>"2019-2414"</f>
        <v>2019-2414</v>
      </c>
      <c r="C500" s="1" t="s">
        <v>883</v>
      </c>
      <c r="D500" s="1" t="s">
        <v>886</v>
      </c>
      <c r="E500" s="1" t="str">
        <f>""</f>
        <v/>
      </c>
      <c r="F500" s="1" t="s">
        <v>28</v>
      </c>
      <c r="G500" s="1" t="str">
        <f>CONCATENATE("AGROTUROPOLJE D.O.O.,"," VELIKOGORIČKA 43,"," 10415 NOVO ČIČE,"," OIB: 66493270332")</f>
        <v>AGROTUROPOLJE D.O.O., VELIKOGORIČKA 43, 10415 NOVO ČIČE, OIB: 66493270332</v>
      </c>
      <c r="H500" s="7"/>
      <c r="I500" s="8" t="s">
        <v>607</v>
      </c>
      <c r="J500" s="8" t="s">
        <v>851</v>
      </c>
      <c r="K500" s="6" t="str">
        <f>"38.317,50"</f>
        <v>38.317,50</v>
      </c>
      <c r="L500" s="6" t="str">
        <f>"0,00"</f>
        <v>0,00</v>
      </c>
      <c r="M500" s="6" t="str">
        <f>"38.317,50"</f>
        <v>38.317,50</v>
      </c>
      <c r="N500" s="8" t="s">
        <v>124</v>
      </c>
      <c r="O500" s="7"/>
      <c r="P500" s="2" t="s">
        <v>5614</v>
      </c>
      <c r="Q500" s="7"/>
      <c r="R500" s="1"/>
      <c r="S500" s="1" t="str">
        <f>"1-22/NOS-106-B/19"</f>
        <v>1-22/NOS-106-B/19</v>
      </c>
      <c r="T500" s="1" t="s">
        <v>32</v>
      </c>
    </row>
    <row r="501" spans="1:20" ht="51" x14ac:dyDescent="0.25">
      <c r="A501" s="6">
        <v>498</v>
      </c>
      <c r="B501" s="1" t="str">
        <f t="shared" ref="B501:B514" si="44">"2020-202"</f>
        <v>2020-202</v>
      </c>
      <c r="C501" s="1" t="s">
        <v>887</v>
      </c>
      <c r="D501" s="1" t="s">
        <v>888</v>
      </c>
      <c r="E501" s="1" t="str">
        <f>"2020/S 0F2-0021174"</f>
        <v>2020/S 0F2-0021174</v>
      </c>
      <c r="F501" s="1" t="s">
        <v>22</v>
      </c>
      <c r="G501" s="1" t="str">
        <f t="shared" ref="G501:G514" si="45">CONCATENATE("MESSER CROATIA PLIN  D.O.O.,"," INDUSTRIJSKA 1,"," 10290 ZAPREŠIĆ,"," OIB: 32179081874")</f>
        <v>MESSER CROATIA PLIN  D.O.O., INDUSTRIJSKA 1, 10290 ZAPREŠIĆ, OIB: 32179081874</v>
      </c>
      <c r="H501" s="7"/>
      <c r="I501" s="8" t="s">
        <v>889</v>
      </c>
      <c r="J501" s="8" t="s">
        <v>524</v>
      </c>
      <c r="K501" s="6" t="str">
        <f>"900.000,00"</f>
        <v>900.000,00</v>
      </c>
      <c r="L501" s="6" t="str">
        <f>"225.000,00"</f>
        <v>225.000,00</v>
      </c>
      <c r="M501" s="6" t="str">
        <f>"1.125.000,00"</f>
        <v>1.125.000,00</v>
      </c>
      <c r="N501" s="8" t="s">
        <v>263</v>
      </c>
      <c r="O501" s="7"/>
      <c r="P501" s="2" t="s">
        <v>5915</v>
      </c>
      <c r="Q501" s="7"/>
      <c r="R501" s="1"/>
      <c r="S501" s="1" t="str">
        <f>"NOS-7/20"</f>
        <v>NOS-7/20</v>
      </c>
      <c r="T501" s="1" t="s">
        <v>27</v>
      </c>
    </row>
    <row r="502" spans="1:20" ht="51" x14ac:dyDescent="0.25">
      <c r="A502" s="6">
        <v>499</v>
      </c>
      <c r="B502" s="1" t="str">
        <f t="shared" si="44"/>
        <v>2020-202</v>
      </c>
      <c r="C502" s="1" t="s">
        <v>887</v>
      </c>
      <c r="D502" s="1" t="s">
        <v>890</v>
      </c>
      <c r="E502" s="1" t="str">
        <f>""</f>
        <v/>
      </c>
      <c r="F502" s="1" t="s">
        <v>28</v>
      </c>
      <c r="G502" s="1" t="str">
        <f t="shared" si="45"/>
        <v>MESSER CROATIA PLIN  D.O.O., INDUSTRIJSKA 1, 10290 ZAPREŠIĆ, OIB: 32179081874</v>
      </c>
      <c r="H502" s="7"/>
      <c r="I502" s="8" t="s">
        <v>891</v>
      </c>
      <c r="J502" s="8" t="s">
        <v>875</v>
      </c>
      <c r="K502" s="6" t="str">
        <f>"113.319,30"</f>
        <v>113.319,30</v>
      </c>
      <c r="L502" s="6" t="str">
        <f>"28.329,83"</f>
        <v>28.329,83</v>
      </c>
      <c r="M502" s="6" t="str">
        <f>"141.649,13"</f>
        <v>141.649,13</v>
      </c>
      <c r="N502" s="8" t="s">
        <v>892</v>
      </c>
      <c r="O502" s="7"/>
      <c r="P502" s="2" t="s">
        <v>5916</v>
      </c>
      <c r="Q502" s="7"/>
      <c r="R502" s="1"/>
      <c r="S502" s="1" t="str">
        <f>"8-21/NOS-7/20"</f>
        <v>8-21/NOS-7/20</v>
      </c>
      <c r="T502" s="1" t="s">
        <v>55</v>
      </c>
    </row>
    <row r="503" spans="1:20" ht="51" x14ac:dyDescent="0.25">
      <c r="A503" s="6">
        <v>500</v>
      </c>
      <c r="B503" s="1" t="str">
        <f t="shared" si="44"/>
        <v>2020-202</v>
      </c>
      <c r="C503" s="1" t="s">
        <v>887</v>
      </c>
      <c r="D503" s="1" t="s">
        <v>890</v>
      </c>
      <c r="E503" s="1" t="str">
        <f>""</f>
        <v/>
      </c>
      <c r="F503" s="1" t="s">
        <v>28</v>
      </c>
      <c r="G503" s="1" t="str">
        <f t="shared" si="45"/>
        <v>MESSER CROATIA PLIN  D.O.O., INDUSTRIJSKA 1, 10290 ZAPREŠIĆ, OIB: 32179081874</v>
      </c>
      <c r="H503" s="7"/>
      <c r="I503" s="8" t="s">
        <v>561</v>
      </c>
      <c r="J503" s="8" t="s">
        <v>133</v>
      </c>
      <c r="K503" s="6" t="str">
        <f>"46.968,00"</f>
        <v>46.968,00</v>
      </c>
      <c r="L503" s="6" t="str">
        <f>"11.742,00"</f>
        <v>11.742,00</v>
      </c>
      <c r="M503" s="6" t="str">
        <f>"58.710,00"</f>
        <v>58.710,00</v>
      </c>
      <c r="N503" s="8" t="s">
        <v>893</v>
      </c>
      <c r="O503" s="7"/>
      <c r="P503" s="2" t="s">
        <v>5917</v>
      </c>
      <c r="Q503" s="7"/>
      <c r="R503" s="1"/>
      <c r="S503" s="1" t="str">
        <f>"14-21/NOS-7/20"</f>
        <v>14-21/NOS-7/20</v>
      </c>
      <c r="T503" s="1" t="s">
        <v>32</v>
      </c>
    </row>
    <row r="504" spans="1:20" ht="51" x14ac:dyDescent="0.25">
      <c r="A504" s="6">
        <v>501</v>
      </c>
      <c r="B504" s="1" t="str">
        <f t="shared" si="44"/>
        <v>2020-202</v>
      </c>
      <c r="C504" s="1" t="s">
        <v>887</v>
      </c>
      <c r="D504" s="1" t="s">
        <v>890</v>
      </c>
      <c r="E504" s="1" t="str">
        <f>""</f>
        <v/>
      </c>
      <c r="F504" s="1" t="s">
        <v>28</v>
      </c>
      <c r="G504" s="1" t="str">
        <f t="shared" si="45"/>
        <v>MESSER CROATIA PLIN  D.O.O., INDUSTRIJSKA 1, 10290 ZAPREŠIĆ, OIB: 32179081874</v>
      </c>
      <c r="H504" s="7"/>
      <c r="I504" s="8" t="s">
        <v>524</v>
      </c>
      <c r="J504" s="8" t="s">
        <v>894</v>
      </c>
      <c r="K504" s="6" t="str">
        <f>"33.770,20"</f>
        <v>33.770,20</v>
      </c>
      <c r="L504" s="6" t="str">
        <f>"8.442,55"</f>
        <v>8.442,55</v>
      </c>
      <c r="M504" s="6" t="str">
        <f>"42.212,75"</f>
        <v>42.212,75</v>
      </c>
      <c r="N504" s="8" t="s">
        <v>458</v>
      </c>
      <c r="O504" s="7"/>
      <c r="P504" s="2" t="s">
        <v>5918</v>
      </c>
      <c r="Q504" s="7"/>
      <c r="R504" s="1"/>
      <c r="S504" s="1" t="str">
        <f>"13-22/NOS-7/20"</f>
        <v>13-22/NOS-7/20</v>
      </c>
      <c r="T504" s="1" t="s">
        <v>55</v>
      </c>
    </row>
    <row r="505" spans="1:20" ht="51" x14ac:dyDescent="0.25">
      <c r="A505" s="6">
        <v>502</v>
      </c>
      <c r="B505" s="1" t="str">
        <f t="shared" si="44"/>
        <v>2020-202</v>
      </c>
      <c r="C505" s="1" t="s">
        <v>887</v>
      </c>
      <c r="D505" s="1" t="s">
        <v>890</v>
      </c>
      <c r="E505" s="1" t="str">
        <f>""</f>
        <v/>
      </c>
      <c r="F505" s="1" t="s">
        <v>28</v>
      </c>
      <c r="G505" s="1" t="str">
        <f t="shared" si="45"/>
        <v>MESSER CROATIA PLIN  D.O.O., INDUSTRIJSKA 1, 10290 ZAPREŠIĆ, OIB: 32179081874</v>
      </c>
      <c r="H505" s="7"/>
      <c r="I505" s="8" t="s">
        <v>895</v>
      </c>
      <c r="J505" s="8" t="s">
        <v>123</v>
      </c>
      <c r="K505" s="6" t="str">
        <f>"151.037,63"</f>
        <v>151.037,63</v>
      </c>
      <c r="L505" s="6" t="str">
        <f>"37.759,41"</f>
        <v>37.759,41</v>
      </c>
      <c r="M505" s="6" t="str">
        <f>"188.797,04"</f>
        <v>188.797,04</v>
      </c>
      <c r="N505" s="8" t="s">
        <v>124</v>
      </c>
      <c r="O505" s="7"/>
      <c r="P505" s="2" t="s">
        <v>5919</v>
      </c>
      <c r="Q505" s="7"/>
      <c r="R505" s="1"/>
      <c r="S505" s="1" t="str">
        <f>"14-22/NOS-7/20"</f>
        <v>14-22/NOS-7/20</v>
      </c>
      <c r="T505" s="1" t="s">
        <v>32</v>
      </c>
    </row>
    <row r="506" spans="1:20" ht="51" x14ac:dyDescent="0.25">
      <c r="A506" s="6">
        <v>503</v>
      </c>
      <c r="B506" s="1" t="str">
        <f t="shared" si="44"/>
        <v>2020-202</v>
      </c>
      <c r="C506" s="1" t="s">
        <v>887</v>
      </c>
      <c r="D506" s="1" t="s">
        <v>890</v>
      </c>
      <c r="E506" s="1" t="str">
        <f>""</f>
        <v/>
      </c>
      <c r="F506" s="1" t="s">
        <v>28</v>
      </c>
      <c r="G506" s="1" t="str">
        <f t="shared" si="45"/>
        <v>MESSER CROATIA PLIN  D.O.O., INDUSTRIJSKA 1, 10290 ZAPREŠIĆ, OIB: 32179081874</v>
      </c>
      <c r="H506" s="7"/>
      <c r="I506" s="8" t="s">
        <v>500</v>
      </c>
      <c r="J506" s="8" t="s">
        <v>896</v>
      </c>
      <c r="K506" s="6" t="str">
        <f>"5.680,00"</f>
        <v>5.680,00</v>
      </c>
      <c r="L506" s="6" t="str">
        <f>"386,25"</f>
        <v>386,25</v>
      </c>
      <c r="M506" s="6" t="str">
        <f>"6.066,25"</f>
        <v>6.066,25</v>
      </c>
      <c r="N506" s="8" t="s">
        <v>58</v>
      </c>
      <c r="O506" s="7"/>
      <c r="P506" s="2" t="s">
        <v>5920</v>
      </c>
      <c r="Q506" s="7"/>
      <c r="R506" s="1"/>
      <c r="S506" s="1" t="str">
        <f>"5-22/NOS-7/20"</f>
        <v>5-22/NOS-7/20</v>
      </c>
      <c r="T506" s="1" t="s">
        <v>55</v>
      </c>
    </row>
    <row r="507" spans="1:20" ht="51" x14ac:dyDescent="0.25">
      <c r="A507" s="6">
        <v>504</v>
      </c>
      <c r="B507" s="1" t="str">
        <f t="shared" si="44"/>
        <v>2020-202</v>
      </c>
      <c r="C507" s="1" t="s">
        <v>887</v>
      </c>
      <c r="D507" s="1" t="s">
        <v>890</v>
      </c>
      <c r="E507" s="1" t="str">
        <f>""</f>
        <v/>
      </c>
      <c r="F507" s="1" t="s">
        <v>28</v>
      </c>
      <c r="G507" s="1" t="str">
        <f t="shared" si="45"/>
        <v>MESSER CROATIA PLIN  D.O.O., INDUSTRIJSKA 1, 10290 ZAPREŠIĆ, OIB: 32179081874</v>
      </c>
      <c r="H507" s="7"/>
      <c r="I507" s="8" t="s">
        <v>354</v>
      </c>
      <c r="J507" s="8" t="s">
        <v>423</v>
      </c>
      <c r="K507" s="6" t="str">
        <f>"13.359,00"</f>
        <v>13.359,00</v>
      </c>
      <c r="L507" s="6" t="str">
        <f>"1.242,58"</f>
        <v>1.242,58</v>
      </c>
      <c r="M507" s="6" t="str">
        <f>"14.601,58"</f>
        <v>14.601,58</v>
      </c>
      <c r="N507" s="8" t="s">
        <v>897</v>
      </c>
      <c r="O507" s="7"/>
      <c r="P507" s="2" t="s">
        <v>5921</v>
      </c>
      <c r="Q507" s="7"/>
      <c r="R507" s="1"/>
      <c r="S507" s="1" t="str">
        <f>"9-22/NOS-7/20"</f>
        <v>9-22/NOS-7/20</v>
      </c>
      <c r="T507" s="1" t="s">
        <v>55</v>
      </c>
    </row>
    <row r="508" spans="1:20" ht="51" x14ac:dyDescent="0.25">
      <c r="A508" s="6">
        <v>505</v>
      </c>
      <c r="B508" s="1" t="str">
        <f t="shared" si="44"/>
        <v>2020-202</v>
      </c>
      <c r="C508" s="1" t="s">
        <v>887</v>
      </c>
      <c r="D508" s="1" t="s">
        <v>890</v>
      </c>
      <c r="E508" s="1" t="str">
        <f>""</f>
        <v/>
      </c>
      <c r="F508" s="1" t="s">
        <v>28</v>
      </c>
      <c r="G508" s="1" t="str">
        <f t="shared" si="45"/>
        <v>MESSER CROATIA PLIN  D.O.O., INDUSTRIJSKA 1, 10290 ZAPREŠIĆ, OIB: 32179081874</v>
      </c>
      <c r="H508" s="7"/>
      <c r="I508" s="8" t="s">
        <v>487</v>
      </c>
      <c r="J508" s="8" t="s">
        <v>423</v>
      </c>
      <c r="K508" s="6" t="str">
        <f>"1.060,80"</f>
        <v>1.060,80</v>
      </c>
      <c r="L508" s="6" t="str">
        <f>"0,00"</f>
        <v>0,00</v>
      </c>
      <c r="M508" s="6" t="str">
        <f>"1.060,80"</f>
        <v>1.060,80</v>
      </c>
      <c r="N508" s="8" t="s">
        <v>124</v>
      </c>
      <c r="O508" s="7"/>
      <c r="P508" s="2" t="s">
        <v>5614</v>
      </c>
      <c r="Q508" s="7"/>
      <c r="R508" s="1"/>
      <c r="S508" s="1" t="str">
        <f>"10-22/NOS-7/20"</f>
        <v>10-22/NOS-7/20</v>
      </c>
      <c r="T508" s="1" t="s">
        <v>32</v>
      </c>
    </row>
    <row r="509" spans="1:20" ht="51" x14ac:dyDescent="0.25">
      <c r="A509" s="6">
        <v>506</v>
      </c>
      <c r="B509" s="1" t="str">
        <f t="shared" si="44"/>
        <v>2020-202</v>
      </c>
      <c r="C509" s="1" t="s">
        <v>887</v>
      </c>
      <c r="D509" s="1" t="s">
        <v>890</v>
      </c>
      <c r="E509" s="1" t="str">
        <f>""</f>
        <v/>
      </c>
      <c r="F509" s="1" t="s">
        <v>28</v>
      </c>
      <c r="G509" s="1" t="str">
        <f t="shared" si="45"/>
        <v>MESSER CROATIA PLIN  D.O.O., INDUSTRIJSKA 1, 10290 ZAPREŠIĆ, OIB: 32179081874</v>
      </c>
      <c r="H509" s="7"/>
      <c r="I509" s="8" t="s">
        <v>425</v>
      </c>
      <c r="J509" s="8" t="s">
        <v>423</v>
      </c>
      <c r="K509" s="6" t="str">
        <f>"3.465,00"</f>
        <v>3.465,00</v>
      </c>
      <c r="L509" s="6" t="str">
        <f>"346,50"</f>
        <v>346,50</v>
      </c>
      <c r="M509" s="6" t="str">
        <f>"3.811,50"</f>
        <v>3.811,50</v>
      </c>
      <c r="N509" s="8" t="s">
        <v>365</v>
      </c>
      <c r="O509" s="7"/>
      <c r="P509" s="2" t="s">
        <v>5922</v>
      </c>
      <c r="Q509" s="7"/>
      <c r="R509" s="1"/>
      <c r="S509" s="1" t="str">
        <f>"11-22/NOS-7/20"</f>
        <v>11-22/NOS-7/20</v>
      </c>
      <c r="T509" s="1" t="s">
        <v>55</v>
      </c>
    </row>
    <row r="510" spans="1:20" ht="51" x14ac:dyDescent="0.25">
      <c r="A510" s="6">
        <v>507</v>
      </c>
      <c r="B510" s="1" t="str">
        <f t="shared" si="44"/>
        <v>2020-202</v>
      </c>
      <c r="C510" s="1" t="s">
        <v>887</v>
      </c>
      <c r="D510" s="1" t="s">
        <v>890</v>
      </c>
      <c r="E510" s="1" t="str">
        <f>""</f>
        <v/>
      </c>
      <c r="F510" s="1" t="s">
        <v>28</v>
      </c>
      <c r="G510" s="1" t="str">
        <f t="shared" si="45"/>
        <v>MESSER CROATIA PLIN  D.O.O., INDUSTRIJSKA 1, 10290 ZAPREŠIĆ, OIB: 32179081874</v>
      </c>
      <c r="H510" s="7"/>
      <c r="I510" s="8" t="s">
        <v>427</v>
      </c>
      <c r="J510" s="8" t="s">
        <v>423</v>
      </c>
      <c r="K510" s="6" t="str">
        <f>"3.120,00"</f>
        <v>3.120,00</v>
      </c>
      <c r="L510" s="6" t="str">
        <f>"0,00"</f>
        <v>0,00</v>
      </c>
      <c r="M510" s="6" t="str">
        <f>"3.120,00"</f>
        <v>3.120,00</v>
      </c>
      <c r="N510" s="8" t="s">
        <v>124</v>
      </c>
      <c r="O510" s="7"/>
      <c r="P510" s="2" t="s">
        <v>5614</v>
      </c>
      <c r="Q510" s="7"/>
      <c r="R510" s="1"/>
      <c r="S510" s="1" t="str">
        <f>"15-22/NOS-7/20"</f>
        <v>15-22/NOS-7/20</v>
      </c>
      <c r="T510" s="1" t="s">
        <v>55</v>
      </c>
    </row>
    <row r="511" spans="1:20" ht="51" x14ac:dyDescent="0.25">
      <c r="A511" s="6">
        <v>508</v>
      </c>
      <c r="B511" s="1" t="str">
        <f t="shared" si="44"/>
        <v>2020-202</v>
      </c>
      <c r="C511" s="1" t="s">
        <v>887</v>
      </c>
      <c r="D511" s="1" t="s">
        <v>890</v>
      </c>
      <c r="E511" s="1" t="str">
        <f>""</f>
        <v/>
      </c>
      <c r="F511" s="1" t="s">
        <v>28</v>
      </c>
      <c r="G511" s="1" t="str">
        <f t="shared" si="45"/>
        <v>MESSER CROATIA PLIN  D.O.O., INDUSTRIJSKA 1, 10290 ZAPREŠIĆ, OIB: 32179081874</v>
      </c>
      <c r="H511" s="7"/>
      <c r="I511" s="8" t="s">
        <v>137</v>
      </c>
      <c r="J511" s="8" t="s">
        <v>502</v>
      </c>
      <c r="K511" s="6" t="str">
        <f>"2.274,25"</f>
        <v>2.274,25</v>
      </c>
      <c r="L511" s="6" t="str">
        <f>"568,56"</f>
        <v>568,56</v>
      </c>
      <c r="M511" s="6" t="str">
        <f>"2.842,81"</f>
        <v>2.842,81</v>
      </c>
      <c r="N511" s="8" t="s">
        <v>392</v>
      </c>
      <c r="O511" s="7"/>
      <c r="P511" s="2" t="s">
        <v>5923</v>
      </c>
      <c r="Q511" s="1" t="s">
        <v>5598</v>
      </c>
      <c r="R511" s="1"/>
      <c r="S511" s="1" t="str">
        <f>"11-21/NOS-7/20"</f>
        <v>11-21/NOS-7/20</v>
      </c>
      <c r="T511" s="1" t="s">
        <v>32</v>
      </c>
    </row>
    <row r="512" spans="1:20" ht="51" x14ac:dyDescent="0.25">
      <c r="A512" s="6">
        <v>509</v>
      </c>
      <c r="B512" s="1" t="str">
        <f t="shared" si="44"/>
        <v>2020-202</v>
      </c>
      <c r="C512" s="1" t="s">
        <v>887</v>
      </c>
      <c r="D512" s="1" t="s">
        <v>890</v>
      </c>
      <c r="E512" s="1" t="str">
        <f>""</f>
        <v/>
      </c>
      <c r="F512" s="1" t="s">
        <v>28</v>
      </c>
      <c r="G512" s="1" t="str">
        <f t="shared" si="45"/>
        <v>MESSER CROATIA PLIN  D.O.O., INDUSTRIJSKA 1, 10290 ZAPREŠIĆ, OIB: 32179081874</v>
      </c>
      <c r="H512" s="7"/>
      <c r="I512" s="8" t="s">
        <v>503</v>
      </c>
      <c r="J512" s="8" t="s">
        <v>397</v>
      </c>
      <c r="K512" s="6" t="str">
        <f>"16.204,00"</f>
        <v>16.204,00</v>
      </c>
      <c r="L512" s="6" t="str">
        <f>"4.051,00"</f>
        <v>4.051,00</v>
      </c>
      <c r="M512" s="6" t="str">
        <f>"20.255,00"</f>
        <v>20.255,00</v>
      </c>
      <c r="N512" s="8" t="s">
        <v>732</v>
      </c>
      <c r="O512" s="7"/>
      <c r="P512" s="2" t="s">
        <v>5924</v>
      </c>
      <c r="Q512" s="7"/>
      <c r="R512" s="1"/>
      <c r="S512" s="1" t="str">
        <f>"3-22/NOS-7/20"</f>
        <v>3-22/NOS-7/20</v>
      </c>
      <c r="T512" s="1" t="s">
        <v>32</v>
      </c>
    </row>
    <row r="513" spans="1:20" ht="51" x14ac:dyDescent="0.25">
      <c r="A513" s="6">
        <v>510</v>
      </c>
      <c r="B513" s="1" t="str">
        <f t="shared" si="44"/>
        <v>2020-202</v>
      </c>
      <c r="C513" s="1" t="s">
        <v>887</v>
      </c>
      <c r="D513" s="1" t="s">
        <v>890</v>
      </c>
      <c r="E513" s="1" t="str">
        <f>""</f>
        <v/>
      </c>
      <c r="F513" s="1" t="s">
        <v>28</v>
      </c>
      <c r="G513" s="1" t="str">
        <f t="shared" si="45"/>
        <v>MESSER CROATIA PLIN  D.O.O., INDUSTRIJSKA 1, 10290 ZAPREŠIĆ, OIB: 32179081874</v>
      </c>
      <c r="H513" s="7"/>
      <c r="I513" s="8" t="s">
        <v>499</v>
      </c>
      <c r="J513" s="8" t="s">
        <v>53</v>
      </c>
      <c r="K513" s="6" t="str">
        <f>"21.635,00"</f>
        <v>21.635,00</v>
      </c>
      <c r="L513" s="6" t="str">
        <f>"5.408,75"</f>
        <v>5.408,75</v>
      </c>
      <c r="M513" s="6" t="str">
        <f>"27.043,75"</f>
        <v>27.043,75</v>
      </c>
      <c r="N513" s="8" t="s">
        <v>567</v>
      </c>
      <c r="O513" s="7"/>
      <c r="P513" s="2" t="s">
        <v>5925</v>
      </c>
      <c r="Q513" s="7"/>
      <c r="R513" s="1"/>
      <c r="S513" s="1" t="str">
        <f>"4-22/NOS-7/20"</f>
        <v>4-22/NOS-7/20</v>
      </c>
      <c r="T513" s="1" t="s">
        <v>32</v>
      </c>
    </row>
    <row r="514" spans="1:20" ht="51" x14ac:dyDescent="0.25">
      <c r="A514" s="6">
        <v>511</v>
      </c>
      <c r="B514" s="1" t="str">
        <f t="shared" si="44"/>
        <v>2020-202</v>
      </c>
      <c r="C514" s="1" t="s">
        <v>887</v>
      </c>
      <c r="D514" s="1" t="s">
        <v>890</v>
      </c>
      <c r="E514" s="1" t="str">
        <f>""</f>
        <v/>
      </c>
      <c r="F514" s="1" t="s">
        <v>28</v>
      </c>
      <c r="G514" s="1" t="str">
        <f t="shared" si="45"/>
        <v>MESSER CROATIA PLIN  D.O.O., INDUSTRIJSKA 1, 10290 ZAPREŠIĆ, OIB: 32179081874</v>
      </c>
      <c r="H514" s="7"/>
      <c r="I514" s="8" t="s">
        <v>898</v>
      </c>
      <c r="J514" s="8" t="s">
        <v>57</v>
      </c>
      <c r="K514" s="6" t="str">
        <f>"5.760,00"</f>
        <v>5.760,00</v>
      </c>
      <c r="L514" s="6" t="str">
        <f>"1.440,00"</f>
        <v>1.440,00</v>
      </c>
      <c r="M514" s="6" t="str">
        <f>"7.200,00"</f>
        <v>7.200,00</v>
      </c>
      <c r="N514" s="8" t="s">
        <v>372</v>
      </c>
      <c r="O514" s="7"/>
      <c r="P514" s="2" t="s">
        <v>5926</v>
      </c>
      <c r="Q514" s="7"/>
      <c r="R514" s="1"/>
      <c r="S514" s="1" t="str">
        <f>"7-22/NOS-7/20"</f>
        <v>7-22/NOS-7/20</v>
      </c>
      <c r="T514" s="1" t="s">
        <v>32</v>
      </c>
    </row>
    <row r="515" spans="1:20" ht="409.5" x14ac:dyDescent="0.25">
      <c r="A515" s="6">
        <v>512</v>
      </c>
      <c r="B515" s="1" t="str">
        <f>"2020-130"</f>
        <v>2020-130</v>
      </c>
      <c r="C515" s="1" t="s">
        <v>899</v>
      </c>
      <c r="D515" s="1" t="s">
        <v>900</v>
      </c>
      <c r="E515" s="1" t="str">
        <f>"2020/S 0F2-0020395"</f>
        <v>2020/S 0F2-0020395</v>
      </c>
      <c r="F515" s="1" t="s">
        <v>22</v>
      </c>
      <c r="G515" s="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515" s="1" t="str">
        <f>CONCATENATE("JONING D.O.O.,"," OIB: 06392012520",CHAR(10),"BUBANJ - NISKOGRADNJA D.O.O.,"," OIB: 29539944583")</f>
        <v>JONING D.O.O., OIB: 06392012520
BUBANJ - NISKOGRADNJA D.O.O., OIB: 29539944583</v>
      </c>
      <c r="I515" s="8" t="s">
        <v>901</v>
      </c>
      <c r="J515" s="8" t="s">
        <v>263</v>
      </c>
      <c r="K515" s="6" t="str">
        <f>"33.000.000,00"</f>
        <v>33.000.000,00</v>
      </c>
      <c r="L515" s="6" t="str">
        <f>"8.250.000,00"</f>
        <v>8.250.000,00</v>
      </c>
      <c r="M515" s="6" t="str">
        <f>"41.250.000,00"</f>
        <v>41.250.000,00</v>
      </c>
      <c r="N515" s="8" t="s">
        <v>902</v>
      </c>
      <c r="O515" s="7"/>
      <c r="P515" s="2" t="s">
        <v>5614</v>
      </c>
      <c r="Q515" s="7"/>
      <c r="R515" s="1"/>
      <c r="S515" s="1" t="str">
        <f>"NOS-8/20"</f>
        <v>NOS-8/20</v>
      </c>
      <c r="T515" s="1" t="s">
        <v>32</v>
      </c>
    </row>
    <row r="516" spans="1:20" ht="409.5" x14ac:dyDescent="0.25">
      <c r="A516" s="6">
        <v>513</v>
      </c>
      <c r="B516" s="1" t="str">
        <f>"2020-130"</f>
        <v>2020-130</v>
      </c>
      <c r="C516" s="1" t="s">
        <v>899</v>
      </c>
      <c r="D516" s="1" t="s">
        <v>903</v>
      </c>
      <c r="E516" s="1" t="str">
        <f>""</f>
        <v/>
      </c>
      <c r="F516" s="1" t="s">
        <v>28</v>
      </c>
      <c r="G516" s="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516" s="7"/>
      <c r="I516" s="8" t="s">
        <v>904</v>
      </c>
      <c r="J516" s="8" t="s">
        <v>53</v>
      </c>
      <c r="K516" s="6" t="str">
        <f>"7.490.520,00"</f>
        <v>7.490.520,00</v>
      </c>
      <c r="L516" s="6" t="str">
        <f>"1.872.630,00"</f>
        <v>1.872.630,00</v>
      </c>
      <c r="M516" s="6" t="str">
        <f>"9.363.150,00"</f>
        <v>9.363.150,00</v>
      </c>
      <c r="N516" s="8" t="s">
        <v>170</v>
      </c>
      <c r="O516" s="7"/>
      <c r="P516" s="2">
        <v>9361368.6300000008</v>
      </c>
      <c r="Q516" s="1"/>
      <c r="R516" s="1"/>
      <c r="S516" s="1" t="str">
        <f>"3-21/NOS-8/20"</f>
        <v>3-21/NOS-8/20</v>
      </c>
      <c r="T516" s="1" t="s">
        <v>32</v>
      </c>
    </row>
    <row r="517" spans="1:20" ht="409.5" x14ac:dyDescent="0.25">
      <c r="A517" s="6">
        <v>514</v>
      </c>
      <c r="B517" s="1" t="str">
        <f>"2020-130"</f>
        <v>2020-130</v>
      </c>
      <c r="C517" s="1" t="s">
        <v>899</v>
      </c>
      <c r="D517" s="1" t="s">
        <v>903</v>
      </c>
      <c r="E517" s="1" t="str">
        <f>""</f>
        <v/>
      </c>
      <c r="F517" s="1" t="s">
        <v>28</v>
      </c>
      <c r="G517" s="1"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 SMOLKOVIĆ D.O.O. ZA USLUGE MIŠKININA 34A, 10020 ZAGREB-NOVI ZAGREB, OIB: 69521492758I.B. JAZBINA D.O.O. JAZBINA 151, 10000 ZAGREB, OIB: 77265033209ŠKRLIN-GRADNJA D.O.O. BISTRANSKA 164, 10298 GORNJA BISTRA, OIB: 03323126970DIJANEŽEVIĆ, OBRT ZA AUTOPRIJEVOZ I GRADNJU, VL. MIROSLAV DIJANEŽEVIĆ STEPANSKA 64, 10412 DONJA LOMNICA, OIB: 77923502229BEŠIĆ-PROM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11/1, 10298 DONJA BISTRA, OIB: 94184541105</v>
      </c>
      <c r="H517" s="7"/>
      <c r="I517" s="8" t="s">
        <v>905</v>
      </c>
      <c r="J517" s="8" t="s">
        <v>214</v>
      </c>
      <c r="K517" s="6" t="str">
        <f>"3.995.280,00"</f>
        <v>3.995.280,00</v>
      </c>
      <c r="L517" s="6" t="str">
        <f>"998.820,00"</f>
        <v>998.820,00</v>
      </c>
      <c r="M517" s="6" t="str">
        <f>"4.994.100,00"</f>
        <v>4.994.100,00</v>
      </c>
      <c r="N517" s="8" t="s">
        <v>112</v>
      </c>
      <c r="O517" s="7"/>
      <c r="P517" s="2" t="s">
        <v>5927</v>
      </c>
      <c r="Q517" s="1"/>
      <c r="R517" s="1"/>
      <c r="S517" s="1" t="str">
        <f>"1-22/NOS-8/20"</f>
        <v>1-22/NOS-8/20</v>
      </c>
      <c r="T517" s="1" t="s">
        <v>32</v>
      </c>
    </row>
    <row r="518" spans="1:20" ht="38.25" x14ac:dyDescent="0.25">
      <c r="A518" s="6">
        <v>515</v>
      </c>
      <c r="B518" s="1" t="str">
        <f>"2020-2766"</f>
        <v>2020-2766</v>
      </c>
      <c r="C518" s="1" t="s">
        <v>906</v>
      </c>
      <c r="D518" s="1" t="s">
        <v>907</v>
      </c>
      <c r="E518" s="1" t="str">
        <f>"2020/S 0F2-0016604"</f>
        <v>2020/S 0F2-0016604</v>
      </c>
      <c r="F518" s="1" t="s">
        <v>22</v>
      </c>
      <c r="G518" s="1" t="str">
        <f>CONCATENATE("CROATIA OSIGURANJE D.D.,"," ,"," OIB: 26187994862")</f>
        <v>CROATIA OSIGURANJE D.D., , OIB: 26187994862</v>
      </c>
      <c r="H518" s="7"/>
      <c r="I518" s="8" t="s">
        <v>885</v>
      </c>
      <c r="J518" s="8" t="s">
        <v>562</v>
      </c>
      <c r="K518" s="6" t="str">
        <f>"700.000,00"</f>
        <v>700.000,00</v>
      </c>
      <c r="L518" s="6" t="str">
        <f>"175.000,00"</f>
        <v>175.000,00</v>
      </c>
      <c r="M518" s="6" t="str">
        <f>"875.000,00"</f>
        <v>875.000,00</v>
      </c>
      <c r="N518" s="8" t="s">
        <v>442</v>
      </c>
      <c r="O518" s="7"/>
      <c r="P518" s="2" t="s">
        <v>5614</v>
      </c>
      <c r="Q518" s="7"/>
      <c r="R518" s="1"/>
      <c r="S518" s="1" t="str">
        <f>"NOS-5/20"</f>
        <v>NOS-5/20</v>
      </c>
      <c r="T518" s="1" t="s">
        <v>43</v>
      </c>
    </row>
    <row r="519" spans="1:20" ht="51" x14ac:dyDescent="0.25">
      <c r="A519" s="6">
        <v>516</v>
      </c>
      <c r="B519" s="1" t="str">
        <f>"2020-2766"</f>
        <v>2020-2766</v>
      </c>
      <c r="C519" s="1" t="s">
        <v>906</v>
      </c>
      <c r="D519" s="1" t="s">
        <v>908</v>
      </c>
      <c r="E519" s="1" t="str">
        <f>""</f>
        <v/>
      </c>
      <c r="F519" s="1" t="s">
        <v>28</v>
      </c>
      <c r="G519" s="1" t="str">
        <f>CONCATENATE("CROATIA OSIGURANJE D.D.,"," ,"," OIB: 26187994862")</f>
        <v>CROATIA OSIGURANJE D.D., , OIB: 26187994862</v>
      </c>
      <c r="H519" s="7"/>
      <c r="I519" s="8" t="s">
        <v>909</v>
      </c>
      <c r="J519" s="8" t="s">
        <v>910</v>
      </c>
      <c r="K519" s="6" t="str">
        <f>"255.843,00"</f>
        <v>255.843,00</v>
      </c>
      <c r="L519" s="6" t="str">
        <f>"63.960,75"</f>
        <v>63.960,75</v>
      </c>
      <c r="M519" s="6" t="str">
        <f>"319.803,75"</f>
        <v>319.803,75</v>
      </c>
      <c r="N519" s="8" t="s">
        <v>911</v>
      </c>
      <c r="O519" s="7"/>
      <c r="P519" s="2" t="s">
        <v>5928</v>
      </c>
      <c r="Q519" s="7"/>
      <c r="R519" s="1"/>
      <c r="S519" s="1" t="str">
        <f>"2-21/NOS-5/20"</f>
        <v>2-21/NOS-5/20</v>
      </c>
      <c r="T519" s="1" t="s">
        <v>43</v>
      </c>
    </row>
    <row r="520" spans="1:20" ht="51" x14ac:dyDescent="0.25">
      <c r="A520" s="6">
        <v>517</v>
      </c>
      <c r="B520" s="1" t="str">
        <f>"2020-2766"</f>
        <v>2020-2766</v>
      </c>
      <c r="C520" s="1" t="s">
        <v>906</v>
      </c>
      <c r="D520" s="1" t="s">
        <v>908</v>
      </c>
      <c r="E520" s="1" t="str">
        <f>""</f>
        <v/>
      </c>
      <c r="F520" s="1" t="s">
        <v>28</v>
      </c>
      <c r="G520" s="1" t="str">
        <f>CONCATENATE("CROATIA OSIGURANJE D.D.,"," OIB: 26187994862")</f>
        <v>CROATIA OSIGURANJE D.D., OIB: 26187994862</v>
      </c>
      <c r="H520" s="7"/>
      <c r="I520" s="8" t="s">
        <v>912</v>
      </c>
      <c r="J520" s="8" t="s">
        <v>375</v>
      </c>
      <c r="K520" s="6" t="str">
        <f>"1.953,00"</f>
        <v>1.953,00</v>
      </c>
      <c r="L520" s="6" t="str">
        <f>"0,00"</f>
        <v>0,00</v>
      </c>
      <c r="M520" s="6" t="str">
        <f>"1.953,00"</f>
        <v>1.953,00</v>
      </c>
      <c r="N520" s="8" t="s">
        <v>124</v>
      </c>
      <c r="O520" s="7"/>
      <c r="P520" s="2" t="s">
        <v>5614</v>
      </c>
      <c r="Q520" s="7"/>
      <c r="R520" s="1"/>
      <c r="S520" s="1" t="str">
        <f>"3-21/NOS-5/20"</f>
        <v>3-21/NOS-5/20</v>
      </c>
      <c r="T520" s="1" t="s">
        <v>43</v>
      </c>
    </row>
    <row r="521" spans="1:20" ht="89.25" x14ac:dyDescent="0.25">
      <c r="A521" s="6">
        <v>518</v>
      </c>
      <c r="B521" s="1" t="str">
        <f t="shared" ref="B521:B552" si="46">"2019-2415"</f>
        <v>2019-2415</v>
      </c>
      <c r="C521" s="1" t="s">
        <v>913</v>
      </c>
      <c r="D521" s="1" t="s">
        <v>914</v>
      </c>
      <c r="E521" s="1" t="str">
        <f>"2020/S 0F2-0017910"</f>
        <v>2020/S 0F2-0017910</v>
      </c>
      <c r="F521" s="1" t="s">
        <v>22</v>
      </c>
      <c r="G521" s="1" t="str">
        <f t="shared" ref="G521:G552" si="47">CONCATENATE("AUTO HRVATSKA PRODAJNO SERVISNI CENTRI D.O.O.,"," ZASTAVNICE 25/C,"," 10251 HRVATSKI LESKOVAC,"," OIB: 87682591133")</f>
        <v>AUTO HRVATSKA PRODAJNO SERVISNI CENTRI D.O.O., ZASTAVNICE 25/C, 10251 HRVATSKI LESKOVAC, OIB: 87682591133</v>
      </c>
      <c r="H521" s="7"/>
      <c r="I521" s="8" t="s">
        <v>915</v>
      </c>
      <c r="J521" s="8" t="s">
        <v>916</v>
      </c>
      <c r="K521" s="6" t="str">
        <f>"5.000.000,00"</f>
        <v>5.000.000,00</v>
      </c>
      <c r="L521" s="6" t="str">
        <f>"1.250.000,00"</f>
        <v>1.250.000,00</v>
      </c>
      <c r="M521" s="6" t="str">
        <f>"6.250.000,00"</f>
        <v>6.250.000,00</v>
      </c>
      <c r="N521" s="8" t="s">
        <v>429</v>
      </c>
      <c r="O521" s="7"/>
      <c r="P521" s="2" t="s">
        <v>5614</v>
      </c>
      <c r="Q521" s="7"/>
      <c r="R521" s="1"/>
      <c r="S521" s="1" t="str">
        <f>"NOS-108/19"</f>
        <v>NOS-108/19</v>
      </c>
      <c r="T521" s="1" t="s">
        <v>32</v>
      </c>
    </row>
    <row r="522" spans="1:20" ht="89.25" x14ac:dyDescent="0.25">
      <c r="A522" s="6">
        <v>519</v>
      </c>
      <c r="B522" s="1" t="str">
        <f t="shared" si="46"/>
        <v>2019-2415</v>
      </c>
      <c r="C522" s="1" t="s">
        <v>913</v>
      </c>
      <c r="D522" s="1" t="s">
        <v>815</v>
      </c>
      <c r="E522" s="1" t="str">
        <f>""</f>
        <v/>
      </c>
      <c r="F522" s="1" t="s">
        <v>28</v>
      </c>
      <c r="G522" s="1" t="str">
        <f t="shared" si="47"/>
        <v>AUTO HRVATSKA PRODAJNO SERVISNI CENTRI D.O.O., ZASTAVNICE 25/C, 10251 HRVATSKI LESKOVAC, OIB: 87682591133</v>
      </c>
      <c r="H522" s="7"/>
      <c r="I522" s="8" t="s">
        <v>799</v>
      </c>
      <c r="J522" s="8" t="s">
        <v>30</v>
      </c>
      <c r="K522" s="6" t="str">
        <f>"699.940,97"</f>
        <v>699.940,97</v>
      </c>
      <c r="L522" s="6" t="str">
        <f>"174.985,24"</f>
        <v>174.985,24</v>
      </c>
      <c r="M522" s="6" t="str">
        <f>"874.926,21"</f>
        <v>874.926,21</v>
      </c>
      <c r="N522" s="8" t="s">
        <v>566</v>
      </c>
      <c r="O522" s="7"/>
      <c r="P522" s="2" t="s">
        <v>5929</v>
      </c>
      <c r="Q522" s="1" t="s">
        <v>488</v>
      </c>
      <c r="R522" s="1"/>
      <c r="S522" s="1" t="str">
        <f>"24-21/NOS-108/19"</f>
        <v>24-21/NOS-108/19</v>
      </c>
      <c r="T522" s="1" t="s">
        <v>32</v>
      </c>
    </row>
    <row r="523" spans="1:20" ht="89.25" x14ac:dyDescent="0.25">
      <c r="A523" s="6">
        <v>520</v>
      </c>
      <c r="B523" s="1" t="str">
        <f t="shared" si="46"/>
        <v>2019-2415</v>
      </c>
      <c r="C523" s="1" t="s">
        <v>913</v>
      </c>
      <c r="D523" s="1" t="s">
        <v>815</v>
      </c>
      <c r="E523" s="1" t="str">
        <f>""</f>
        <v/>
      </c>
      <c r="F523" s="1" t="s">
        <v>28</v>
      </c>
      <c r="G523" s="1" t="str">
        <f t="shared" si="47"/>
        <v>AUTO HRVATSKA PRODAJNO SERVISNI CENTRI D.O.O., ZASTAVNICE 25/C, 10251 HRVATSKI LESKOVAC, OIB: 87682591133</v>
      </c>
      <c r="H523" s="7"/>
      <c r="I523" s="8" t="s">
        <v>503</v>
      </c>
      <c r="J523" s="8" t="s">
        <v>277</v>
      </c>
      <c r="K523" s="6" t="str">
        <f>"999.999,65"</f>
        <v>999.999,65</v>
      </c>
      <c r="L523" s="6" t="str">
        <f>"249.999,91"</f>
        <v>249.999,91</v>
      </c>
      <c r="M523" s="6" t="str">
        <f>"1.249.999,56"</f>
        <v>1.249.999,56</v>
      </c>
      <c r="N523" s="8" t="s">
        <v>102</v>
      </c>
      <c r="O523" s="7"/>
      <c r="P523" s="2" t="s">
        <v>5930</v>
      </c>
      <c r="Q523" s="7"/>
      <c r="R523" s="1"/>
      <c r="S523" s="1" t="str">
        <f>"4-22/NOS-108/19"</f>
        <v>4-22/NOS-108/19</v>
      </c>
      <c r="T523" s="1" t="s">
        <v>32</v>
      </c>
    </row>
    <row r="524" spans="1:20" ht="89.25" x14ac:dyDescent="0.25">
      <c r="A524" s="6">
        <v>521</v>
      </c>
      <c r="B524" s="1" t="str">
        <f t="shared" si="46"/>
        <v>2019-2415</v>
      </c>
      <c r="C524" s="1" t="s">
        <v>913</v>
      </c>
      <c r="D524" s="1" t="s">
        <v>815</v>
      </c>
      <c r="E524" s="1" t="str">
        <f>""</f>
        <v/>
      </c>
      <c r="F524" s="1" t="s">
        <v>28</v>
      </c>
      <c r="G524" s="1" t="str">
        <f t="shared" si="47"/>
        <v>AUTO HRVATSKA PRODAJNO SERVISNI CENTRI D.O.O., ZASTAVNICE 25/C, 10251 HRVATSKI LESKOVAC, OIB: 87682591133</v>
      </c>
      <c r="H524" s="7"/>
      <c r="I524" s="8" t="s">
        <v>208</v>
      </c>
      <c r="J524" s="8" t="s">
        <v>917</v>
      </c>
      <c r="K524" s="6" t="str">
        <f>"749.963,57"</f>
        <v>749.963,57</v>
      </c>
      <c r="L524" s="6" t="str">
        <f>"187.490,89"</f>
        <v>187.490,89</v>
      </c>
      <c r="M524" s="6" t="str">
        <f>"937.454,46"</f>
        <v>937.454,46</v>
      </c>
      <c r="N524" s="8" t="s">
        <v>124</v>
      </c>
      <c r="O524" s="7"/>
      <c r="P524" s="2" t="s">
        <v>5931</v>
      </c>
      <c r="Q524" s="7"/>
      <c r="R524" s="1"/>
      <c r="S524" s="1" t="str">
        <f>"64-22/NOS-108/19"</f>
        <v>64-22/NOS-108/19</v>
      </c>
      <c r="T524" s="1" t="s">
        <v>32</v>
      </c>
    </row>
    <row r="525" spans="1:20" ht="89.25" x14ac:dyDescent="0.25">
      <c r="A525" s="6">
        <v>522</v>
      </c>
      <c r="B525" s="1" t="str">
        <f t="shared" si="46"/>
        <v>2019-2415</v>
      </c>
      <c r="C525" s="1" t="s">
        <v>913</v>
      </c>
      <c r="D525" s="1" t="s">
        <v>815</v>
      </c>
      <c r="E525" s="1" t="str">
        <f>""</f>
        <v/>
      </c>
      <c r="F525" s="1" t="s">
        <v>28</v>
      </c>
      <c r="G525" s="1" t="str">
        <f t="shared" si="47"/>
        <v>AUTO HRVATSKA PRODAJNO SERVISNI CENTRI D.O.O., ZASTAVNICE 25/C, 10251 HRVATSKI LESKOVAC, OIB: 87682591133</v>
      </c>
      <c r="H525" s="7"/>
      <c r="I525" s="8" t="s">
        <v>744</v>
      </c>
      <c r="J525" s="8" t="s">
        <v>519</v>
      </c>
      <c r="K525" s="6" t="str">
        <f>"52.764,50"</f>
        <v>52.764,50</v>
      </c>
      <c r="L525" s="6" t="str">
        <f>"13.191,13"</f>
        <v>13.191,13</v>
      </c>
      <c r="M525" s="6" t="str">
        <f>"65.955,63"</f>
        <v>65.955,63</v>
      </c>
      <c r="N525" s="8" t="s">
        <v>255</v>
      </c>
      <c r="O525" s="7"/>
      <c r="P525" s="2" t="s">
        <v>5932</v>
      </c>
      <c r="Q525" s="1"/>
      <c r="R525" s="1"/>
      <c r="S525" s="1" t="str">
        <f>"2-22/NOS-108/19"</f>
        <v>2-22/NOS-108/19</v>
      </c>
      <c r="T525" s="1" t="s">
        <v>32</v>
      </c>
    </row>
    <row r="526" spans="1:20" ht="89.25" x14ac:dyDescent="0.25">
      <c r="A526" s="6">
        <v>523</v>
      </c>
      <c r="B526" s="1" t="str">
        <f t="shared" si="46"/>
        <v>2019-2415</v>
      </c>
      <c r="C526" s="1" t="s">
        <v>913</v>
      </c>
      <c r="D526" s="1" t="s">
        <v>815</v>
      </c>
      <c r="E526" s="1" t="str">
        <f>""</f>
        <v/>
      </c>
      <c r="F526" s="1" t="s">
        <v>28</v>
      </c>
      <c r="G526" s="1" t="str">
        <f t="shared" si="47"/>
        <v>AUTO HRVATSKA PRODAJNO SERVISNI CENTRI D.O.O., ZASTAVNICE 25/C, 10251 HRVATSKI LESKOVAC, OIB: 87682591133</v>
      </c>
      <c r="H526" s="7"/>
      <c r="I526" s="8" t="s">
        <v>239</v>
      </c>
      <c r="J526" s="8" t="s">
        <v>519</v>
      </c>
      <c r="K526" s="6" t="str">
        <f>"2.030,00"</f>
        <v>2.030,00</v>
      </c>
      <c r="L526" s="6" t="str">
        <f>"507,50"</f>
        <v>507,50</v>
      </c>
      <c r="M526" s="6" t="str">
        <f>"2.537,50"</f>
        <v>2.537,50</v>
      </c>
      <c r="N526" s="8" t="s">
        <v>258</v>
      </c>
      <c r="O526" s="7"/>
      <c r="P526" s="2" t="s">
        <v>5933</v>
      </c>
      <c r="Q526" s="7"/>
      <c r="R526" s="1"/>
      <c r="S526" s="1" t="str">
        <f>"1-22/NOS-108/19"</f>
        <v>1-22/NOS-108/19</v>
      </c>
      <c r="T526" s="1" t="s">
        <v>32</v>
      </c>
    </row>
    <row r="527" spans="1:20" ht="89.25" x14ac:dyDescent="0.25">
      <c r="A527" s="6">
        <v>524</v>
      </c>
      <c r="B527" s="1" t="str">
        <f t="shared" si="46"/>
        <v>2019-2415</v>
      </c>
      <c r="C527" s="1" t="s">
        <v>913</v>
      </c>
      <c r="D527" s="1" t="s">
        <v>815</v>
      </c>
      <c r="E527" s="1" t="str">
        <f>""</f>
        <v/>
      </c>
      <c r="F527" s="1" t="s">
        <v>28</v>
      </c>
      <c r="G527" s="1" t="str">
        <f t="shared" si="47"/>
        <v>AUTO HRVATSKA PRODAJNO SERVISNI CENTRI D.O.O., ZASTAVNICE 25/C, 10251 HRVATSKI LESKOVAC, OIB: 87682591133</v>
      </c>
      <c r="H527" s="7"/>
      <c r="I527" s="8" t="s">
        <v>220</v>
      </c>
      <c r="J527" s="8" t="s">
        <v>519</v>
      </c>
      <c r="K527" s="6" t="str">
        <f>"948,84"</f>
        <v>948,84</v>
      </c>
      <c r="L527" s="6" t="str">
        <f>"237,21"</f>
        <v>237,21</v>
      </c>
      <c r="M527" s="6" t="str">
        <f>"1.186,05"</f>
        <v>1.186,05</v>
      </c>
      <c r="N527" s="8" t="s">
        <v>754</v>
      </c>
      <c r="O527" s="7"/>
      <c r="P527" s="2" t="s">
        <v>5934</v>
      </c>
      <c r="Q527" s="7"/>
      <c r="R527" s="1"/>
      <c r="S527" s="1" t="str">
        <f>"3-22/NOS-108/19"</f>
        <v>3-22/NOS-108/19</v>
      </c>
      <c r="T527" s="1" t="s">
        <v>32</v>
      </c>
    </row>
    <row r="528" spans="1:20" ht="89.25" x14ac:dyDescent="0.25">
      <c r="A528" s="6">
        <v>525</v>
      </c>
      <c r="B528" s="1" t="str">
        <f t="shared" si="46"/>
        <v>2019-2415</v>
      </c>
      <c r="C528" s="1" t="s">
        <v>913</v>
      </c>
      <c r="D528" s="1" t="s">
        <v>815</v>
      </c>
      <c r="E528" s="1" t="str">
        <f>""</f>
        <v/>
      </c>
      <c r="F528" s="1" t="s">
        <v>28</v>
      </c>
      <c r="G528" s="1" t="str">
        <f t="shared" si="47"/>
        <v>AUTO HRVATSKA PRODAJNO SERVISNI CENTRI D.O.O., ZASTAVNICE 25/C, 10251 HRVATSKI LESKOVAC, OIB: 87682591133</v>
      </c>
      <c r="H528" s="7"/>
      <c r="I528" s="8" t="s">
        <v>220</v>
      </c>
      <c r="J528" s="8" t="s">
        <v>519</v>
      </c>
      <c r="K528" s="6" t="str">
        <f>"2.887,00"</f>
        <v>2.887,00</v>
      </c>
      <c r="L528" s="6" t="str">
        <f>"721,75"</f>
        <v>721,75</v>
      </c>
      <c r="M528" s="6" t="str">
        <f>"3.608,75"</f>
        <v>3.608,75</v>
      </c>
      <c r="N528" s="8" t="s">
        <v>831</v>
      </c>
      <c r="O528" s="7"/>
      <c r="P528" s="2" t="s">
        <v>5935</v>
      </c>
      <c r="Q528" s="7"/>
      <c r="R528" s="1"/>
      <c r="S528" s="1" t="str">
        <f>"5-22/NOS-108/19"</f>
        <v>5-22/NOS-108/19</v>
      </c>
      <c r="T528" s="1" t="s">
        <v>32</v>
      </c>
    </row>
    <row r="529" spans="1:20" ht="89.25" x14ac:dyDescent="0.25">
      <c r="A529" s="6">
        <v>526</v>
      </c>
      <c r="B529" s="1" t="str">
        <f t="shared" si="46"/>
        <v>2019-2415</v>
      </c>
      <c r="C529" s="1" t="s">
        <v>913</v>
      </c>
      <c r="D529" s="1" t="s">
        <v>815</v>
      </c>
      <c r="E529" s="1" t="str">
        <f>""</f>
        <v/>
      </c>
      <c r="F529" s="1" t="s">
        <v>28</v>
      </c>
      <c r="G529" s="1" t="str">
        <f t="shared" si="47"/>
        <v>AUTO HRVATSKA PRODAJNO SERVISNI CENTRI D.O.O., ZASTAVNICE 25/C, 10251 HRVATSKI LESKOVAC, OIB: 87682591133</v>
      </c>
      <c r="H529" s="7"/>
      <c r="I529" s="8" t="s">
        <v>754</v>
      </c>
      <c r="J529" s="8" t="s">
        <v>519</v>
      </c>
      <c r="K529" s="6" t="str">
        <f>"15.446,12"</f>
        <v>15.446,12</v>
      </c>
      <c r="L529" s="6" t="str">
        <f>"3.861,53"</f>
        <v>3.861,53</v>
      </c>
      <c r="M529" s="6" t="str">
        <f>"19.307,65"</f>
        <v>19.307,65</v>
      </c>
      <c r="N529" s="8" t="s">
        <v>748</v>
      </c>
      <c r="O529" s="7"/>
      <c r="P529" s="2" t="s">
        <v>5936</v>
      </c>
      <c r="Q529" s="7"/>
      <c r="R529" s="1"/>
      <c r="S529" s="1" t="str">
        <f>"7-22/NOS-108/19"</f>
        <v>7-22/NOS-108/19</v>
      </c>
      <c r="T529" s="1" t="s">
        <v>32</v>
      </c>
    </row>
    <row r="530" spans="1:20" ht="89.25" x14ac:dyDescent="0.25">
      <c r="A530" s="6">
        <v>527</v>
      </c>
      <c r="B530" s="1" t="str">
        <f t="shared" si="46"/>
        <v>2019-2415</v>
      </c>
      <c r="C530" s="1" t="s">
        <v>913</v>
      </c>
      <c r="D530" s="1" t="s">
        <v>815</v>
      </c>
      <c r="E530" s="1" t="str">
        <f>""</f>
        <v/>
      </c>
      <c r="F530" s="1" t="s">
        <v>28</v>
      </c>
      <c r="G530" s="1" t="str">
        <f t="shared" si="47"/>
        <v>AUTO HRVATSKA PRODAJNO SERVISNI CENTRI D.O.O., ZASTAVNICE 25/C, 10251 HRVATSKI LESKOVAC, OIB: 87682591133</v>
      </c>
      <c r="H530" s="7"/>
      <c r="I530" s="8" t="s">
        <v>754</v>
      </c>
      <c r="J530" s="8" t="s">
        <v>519</v>
      </c>
      <c r="K530" s="6" t="str">
        <f>"3.750,90"</f>
        <v>3.750,90</v>
      </c>
      <c r="L530" s="6" t="str">
        <f>"937,73"</f>
        <v>937,73</v>
      </c>
      <c r="M530" s="6" t="str">
        <f>"4.688,63"</f>
        <v>4.688,63</v>
      </c>
      <c r="N530" s="8" t="s">
        <v>345</v>
      </c>
      <c r="O530" s="7"/>
      <c r="P530" s="2" t="s">
        <v>5937</v>
      </c>
      <c r="Q530" s="7"/>
      <c r="R530" s="1"/>
      <c r="S530" s="1" t="str">
        <f>"6-22/NOS-108/19"</f>
        <v>6-22/NOS-108/19</v>
      </c>
      <c r="T530" s="1" t="s">
        <v>32</v>
      </c>
    </row>
    <row r="531" spans="1:20" ht="89.25" x14ac:dyDescent="0.25">
      <c r="A531" s="6">
        <v>528</v>
      </c>
      <c r="B531" s="1" t="str">
        <f t="shared" si="46"/>
        <v>2019-2415</v>
      </c>
      <c r="C531" s="1" t="s">
        <v>913</v>
      </c>
      <c r="D531" s="1" t="s">
        <v>815</v>
      </c>
      <c r="E531" s="1" t="str">
        <f>""</f>
        <v/>
      </c>
      <c r="F531" s="1" t="s">
        <v>28</v>
      </c>
      <c r="G531" s="1" t="str">
        <f t="shared" si="47"/>
        <v>AUTO HRVATSKA PRODAJNO SERVISNI CENTRI D.O.O., ZASTAVNICE 25/C, 10251 HRVATSKI LESKOVAC, OIB: 87682591133</v>
      </c>
      <c r="H531" s="7"/>
      <c r="I531" s="8" t="s">
        <v>41</v>
      </c>
      <c r="J531" s="8" t="s">
        <v>519</v>
      </c>
      <c r="K531" s="6" t="str">
        <f>"5.096,00"</f>
        <v>5.096,00</v>
      </c>
      <c r="L531" s="6" t="str">
        <f>"1.274,00"</f>
        <v>1.274,00</v>
      </c>
      <c r="M531" s="6" t="str">
        <f>"6.370,00"</f>
        <v>6.370,00</v>
      </c>
      <c r="N531" s="8" t="s">
        <v>345</v>
      </c>
      <c r="O531" s="7"/>
      <c r="P531" s="2" t="s">
        <v>5938</v>
      </c>
      <c r="Q531" s="7"/>
      <c r="R531" s="1"/>
      <c r="S531" s="1" t="str">
        <f>"11-22/NOS-108/19"</f>
        <v>11-22/NOS-108/19</v>
      </c>
      <c r="T531" s="1" t="s">
        <v>32</v>
      </c>
    </row>
    <row r="532" spans="1:20" ht="89.25" x14ac:dyDescent="0.25">
      <c r="A532" s="6">
        <v>529</v>
      </c>
      <c r="B532" s="1" t="str">
        <f t="shared" si="46"/>
        <v>2019-2415</v>
      </c>
      <c r="C532" s="1" t="s">
        <v>913</v>
      </c>
      <c r="D532" s="1" t="s">
        <v>815</v>
      </c>
      <c r="E532" s="1" t="str">
        <f>""</f>
        <v/>
      </c>
      <c r="F532" s="1" t="s">
        <v>28</v>
      </c>
      <c r="G532" s="1" t="str">
        <f t="shared" si="47"/>
        <v>AUTO HRVATSKA PRODAJNO SERVISNI CENTRI D.O.O., ZASTAVNICE 25/C, 10251 HRVATSKI LESKOVAC, OIB: 87682591133</v>
      </c>
      <c r="H532" s="7"/>
      <c r="I532" s="8" t="s">
        <v>421</v>
      </c>
      <c r="J532" s="8" t="s">
        <v>519</v>
      </c>
      <c r="K532" s="6" t="str">
        <f>"20.079,00"</f>
        <v>20.079,00</v>
      </c>
      <c r="L532" s="6" t="str">
        <f>"5.019,75"</f>
        <v>5.019,75</v>
      </c>
      <c r="M532" s="6" t="str">
        <f>"25.098,75"</f>
        <v>25.098,75</v>
      </c>
      <c r="N532" s="8" t="s">
        <v>247</v>
      </c>
      <c r="O532" s="7"/>
      <c r="P532" s="2" t="s">
        <v>5939</v>
      </c>
      <c r="Q532" s="7"/>
      <c r="R532" s="1"/>
      <c r="S532" s="1" t="str">
        <f>"8-22/NOS-108/19"</f>
        <v>8-22/NOS-108/19</v>
      </c>
      <c r="T532" s="1" t="s">
        <v>32</v>
      </c>
    </row>
    <row r="533" spans="1:20" ht="89.25" x14ac:dyDescent="0.25">
      <c r="A533" s="6">
        <v>530</v>
      </c>
      <c r="B533" s="1" t="str">
        <f t="shared" si="46"/>
        <v>2019-2415</v>
      </c>
      <c r="C533" s="1" t="s">
        <v>913</v>
      </c>
      <c r="D533" s="1" t="s">
        <v>815</v>
      </c>
      <c r="E533" s="1" t="str">
        <f>""</f>
        <v/>
      </c>
      <c r="F533" s="1" t="s">
        <v>28</v>
      </c>
      <c r="G533" s="1" t="str">
        <f t="shared" si="47"/>
        <v>AUTO HRVATSKA PRODAJNO SERVISNI CENTRI D.O.O., ZASTAVNICE 25/C, 10251 HRVATSKI LESKOVAC, OIB: 87682591133</v>
      </c>
      <c r="H533" s="7"/>
      <c r="I533" s="8" t="s">
        <v>421</v>
      </c>
      <c r="J533" s="8" t="s">
        <v>519</v>
      </c>
      <c r="K533" s="6" t="str">
        <f>"12.804,00"</f>
        <v>12.804,00</v>
      </c>
      <c r="L533" s="6" t="str">
        <f>"3.201,00"</f>
        <v>3.201,00</v>
      </c>
      <c r="M533" s="6" t="str">
        <f>"16.005,00"</f>
        <v>16.005,00</v>
      </c>
      <c r="N533" s="8" t="s">
        <v>127</v>
      </c>
      <c r="O533" s="7"/>
      <c r="P533" s="2" t="s">
        <v>5940</v>
      </c>
      <c r="Q533" s="7"/>
      <c r="R533" s="1"/>
      <c r="S533" s="1" t="str">
        <f>"9-22/NOS-108/19"</f>
        <v>9-22/NOS-108/19</v>
      </c>
      <c r="T533" s="1" t="s">
        <v>32</v>
      </c>
    </row>
    <row r="534" spans="1:20" ht="89.25" x14ac:dyDescent="0.25">
      <c r="A534" s="6">
        <v>531</v>
      </c>
      <c r="B534" s="1" t="str">
        <f t="shared" si="46"/>
        <v>2019-2415</v>
      </c>
      <c r="C534" s="1" t="s">
        <v>913</v>
      </c>
      <c r="D534" s="1" t="s">
        <v>815</v>
      </c>
      <c r="E534" s="1" t="str">
        <f>""</f>
        <v/>
      </c>
      <c r="F534" s="1" t="s">
        <v>28</v>
      </c>
      <c r="G534" s="1" t="str">
        <f t="shared" si="47"/>
        <v>AUTO HRVATSKA PRODAJNO SERVISNI CENTRI D.O.O., ZASTAVNICE 25/C, 10251 HRVATSKI LESKOVAC, OIB: 87682591133</v>
      </c>
      <c r="H534" s="7"/>
      <c r="I534" s="8" t="s">
        <v>421</v>
      </c>
      <c r="J534" s="8" t="s">
        <v>519</v>
      </c>
      <c r="K534" s="6" t="str">
        <f>"1.924,00"</f>
        <v>1.924,00</v>
      </c>
      <c r="L534" s="6" t="str">
        <f>"481,00"</f>
        <v>481,00</v>
      </c>
      <c r="M534" s="6" t="str">
        <f>"2.405,00"</f>
        <v>2.405,00</v>
      </c>
      <c r="N534" s="8" t="s">
        <v>127</v>
      </c>
      <c r="O534" s="7"/>
      <c r="P534" s="2" t="s">
        <v>5941</v>
      </c>
      <c r="Q534" s="7"/>
      <c r="R534" s="1"/>
      <c r="S534" s="1" t="str">
        <f>"10-22/NOS-108/19"</f>
        <v>10-22/NOS-108/19</v>
      </c>
      <c r="T534" s="1" t="s">
        <v>32</v>
      </c>
    </row>
    <row r="535" spans="1:20" ht="89.25" x14ac:dyDescent="0.25">
      <c r="A535" s="6">
        <v>532</v>
      </c>
      <c r="B535" s="1" t="str">
        <f t="shared" si="46"/>
        <v>2019-2415</v>
      </c>
      <c r="C535" s="1" t="s">
        <v>913</v>
      </c>
      <c r="D535" s="1" t="s">
        <v>815</v>
      </c>
      <c r="E535" s="1" t="str">
        <f>""</f>
        <v/>
      </c>
      <c r="F535" s="1" t="s">
        <v>28</v>
      </c>
      <c r="G535" s="1" t="str">
        <f t="shared" si="47"/>
        <v>AUTO HRVATSKA PRODAJNO SERVISNI CENTRI D.O.O., ZASTAVNICE 25/C, 10251 HRVATSKI LESKOVAC, OIB: 87682591133</v>
      </c>
      <c r="H535" s="7"/>
      <c r="I535" s="8" t="s">
        <v>748</v>
      </c>
      <c r="J535" s="8" t="s">
        <v>519</v>
      </c>
      <c r="K535" s="6" t="str">
        <f>"777,20"</f>
        <v>777,20</v>
      </c>
      <c r="L535" s="6" t="str">
        <f>"194,30"</f>
        <v>194,30</v>
      </c>
      <c r="M535" s="6" t="str">
        <f>"971,50"</f>
        <v>971,50</v>
      </c>
      <c r="N535" s="8" t="s">
        <v>345</v>
      </c>
      <c r="O535" s="7"/>
      <c r="P535" s="2" t="s">
        <v>5942</v>
      </c>
      <c r="Q535" s="7"/>
      <c r="R535" s="1"/>
      <c r="S535" s="1" t="str">
        <f>"12-22/NOS-108/19"</f>
        <v>12-22/NOS-108/19</v>
      </c>
      <c r="T535" s="1" t="s">
        <v>32</v>
      </c>
    </row>
    <row r="536" spans="1:20" ht="89.25" x14ac:dyDescent="0.25">
      <c r="A536" s="6">
        <v>533</v>
      </c>
      <c r="B536" s="1" t="str">
        <f t="shared" si="46"/>
        <v>2019-2415</v>
      </c>
      <c r="C536" s="1" t="s">
        <v>913</v>
      </c>
      <c r="D536" s="1" t="s">
        <v>815</v>
      </c>
      <c r="E536" s="1" t="str">
        <f>""</f>
        <v/>
      </c>
      <c r="F536" s="1" t="s">
        <v>28</v>
      </c>
      <c r="G536" s="1" t="str">
        <f t="shared" si="47"/>
        <v>AUTO HRVATSKA PRODAJNO SERVISNI CENTRI D.O.O., ZASTAVNICE 25/C, 10251 HRVATSKI LESKOVAC, OIB: 87682591133</v>
      </c>
      <c r="H536" s="7"/>
      <c r="I536" s="8" t="s">
        <v>127</v>
      </c>
      <c r="J536" s="8" t="s">
        <v>519</v>
      </c>
      <c r="K536" s="6" t="str">
        <f>"1.381,00"</f>
        <v>1.381,00</v>
      </c>
      <c r="L536" s="6" t="str">
        <f>"345,25"</f>
        <v>345,25</v>
      </c>
      <c r="M536" s="6" t="str">
        <f>"1.726,25"</f>
        <v>1.726,25</v>
      </c>
      <c r="N536" s="8" t="s">
        <v>296</v>
      </c>
      <c r="O536" s="7"/>
      <c r="P536" s="2" t="s">
        <v>5943</v>
      </c>
      <c r="Q536" s="7"/>
      <c r="R536" s="1"/>
      <c r="S536" s="1" t="str">
        <f>"17-22/NOS-108/19"</f>
        <v>17-22/NOS-108/19</v>
      </c>
      <c r="T536" s="1" t="s">
        <v>32</v>
      </c>
    </row>
    <row r="537" spans="1:20" ht="89.25" x14ac:dyDescent="0.25">
      <c r="A537" s="6">
        <v>534</v>
      </c>
      <c r="B537" s="1" t="str">
        <f t="shared" si="46"/>
        <v>2019-2415</v>
      </c>
      <c r="C537" s="1" t="s">
        <v>913</v>
      </c>
      <c r="D537" s="1" t="s">
        <v>815</v>
      </c>
      <c r="E537" s="1" t="str">
        <f>""</f>
        <v/>
      </c>
      <c r="F537" s="1" t="s">
        <v>28</v>
      </c>
      <c r="G537" s="1" t="str">
        <f t="shared" si="47"/>
        <v>AUTO HRVATSKA PRODAJNO SERVISNI CENTRI D.O.O., ZASTAVNICE 25/C, 10251 HRVATSKI LESKOVAC, OIB: 87682591133</v>
      </c>
      <c r="H537" s="7"/>
      <c r="I537" s="8" t="s">
        <v>127</v>
      </c>
      <c r="J537" s="8" t="s">
        <v>519</v>
      </c>
      <c r="K537" s="6" t="str">
        <f>"552,00"</f>
        <v>552,00</v>
      </c>
      <c r="L537" s="6" t="str">
        <f>"138,00"</f>
        <v>138,00</v>
      </c>
      <c r="M537" s="6" t="str">
        <f>"690,00"</f>
        <v>690,00</v>
      </c>
      <c r="N537" s="8" t="s">
        <v>345</v>
      </c>
      <c r="O537" s="7"/>
      <c r="P537" s="2" t="s">
        <v>5944</v>
      </c>
      <c r="Q537" s="7"/>
      <c r="R537" s="1"/>
      <c r="S537" s="1" t="str">
        <f>"13-22/NOS-108/19"</f>
        <v>13-22/NOS-108/19</v>
      </c>
      <c r="T537" s="1" t="s">
        <v>32</v>
      </c>
    </row>
    <row r="538" spans="1:20" ht="89.25" x14ac:dyDescent="0.25">
      <c r="A538" s="6">
        <v>535</v>
      </c>
      <c r="B538" s="1" t="str">
        <f t="shared" si="46"/>
        <v>2019-2415</v>
      </c>
      <c r="C538" s="1" t="s">
        <v>913</v>
      </c>
      <c r="D538" s="1" t="s">
        <v>815</v>
      </c>
      <c r="E538" s="1" t="str">
        <f>""</f>
        <v/>
      </c>
      <c r="F538" s="1" t="s">
        <v>28</v>
      </c>
      <c r="G538" s="1" t="str">
        <f t="shared" si="47"/>
        <v>AUTO HRVATSKA PRODAJNO SERVISNI CENTRI D.O.O., ZASTAVNICE 25/C, 10251 HRVATSKI LESKOVAC, OIB: 87682591133</v>
      </c>
      <c r="H538" s="7"/>
      <c r="I538" s="8" t="s">
        <v>398</v>
      </c>
      <c r="J538" s="8" t="s">
        <v>519</v>
      </c>
      <c r="K538" s="6" t="str">
        <f>"5.964,00"</f>
        <v>5.964,00</v>
      </c>
      <c r="L538" s="6" t="str">
        <f>"1.491,00"</f>
        <v>1.491,00</v>
      </c>
      <c r="M538" s="6" t="str">
        <f>"7.455,00"</f>
        <v>7.455,00</v>
      </c>
      <c r="N538" s="8" t="s">
        <v>296</v>
      </c>
      <c r="O538" s="7"/>
      <c r="P538" s="2" t="s">
        <v>5945</v>
      </c>
      <c r="Q538" s="7"/>
      <c r="R538" s="1"/>
      <c r="S538" s="1" t="str">
        <f>"15-22/NOS-108/19"</f>
        <v>15-22/NOS-108/19</v>
      </c>
      <c r="T538" s="1" t="s">
        <v>32</v>
      </c>
    </row>
    <row r="539" spans="1:20" ht="89.25" x14ac:dyDescent="0.25">
      <c r="A539" s="6">
        <v>536</v>
      </c>
      <c r="B539" s="1" t="str">
        <f t="shared" si="46"/>
        <v>2019-2415</v>
      </c>
      <c r="C539" s="1" t="s">
        <v>913</v>
      </c>
      <c r="D539" s="1" t="s">
        <v>815</v>
      </c>
      <c r="E539" s="1" t="str">
        <f>""</f>
        <v/>
      </c>
      <c r="F539" s="1" t="s">
        <v>28</v>
      </c>
      <c r="G539" s="1" t="str">
        <f t="shared" si="47"/>
        <v>AUTO HRVATSKA PRODAJNO SERVISNI CENTRI D.O.O., ZASTAVNICE 25/C, 10251 HRVATSKI LESKOVAC, OIB: 87682591133</v>
      </c>
      <c r="H539" s="7"/>
      <c r="I539" s="8" t="s">
        <v>918</v>
      </c>
      <c r="J539" s="8" t="s">
        <v>519</v>
      </c>
      <c r="K539" s="6" t="str">
        <f>"71.676,54"</f>
        <v>71.676,54</v>
      </c>
      <c r="L539" s="6" t="str">
        <f>"17.919,14"</f>
        <v>17.919,14</v>
      </c>
      <c r="M539" s="6" t="str">
        <f>"89.595,68"</f>
        <v>89.595,68</v>
      </c>
      <c r="N539" s="8" t="s">
        <v>247</v>
      </c>
      <c r="O539" s="7"/>
      <c r="P539" s="2" t="s">
        <v>5946</v>
      </c>
      <c r="Q539" s="7"/>
      <c r="R539" s="1"/>
      <c r="S539" s="1" t="str">
        <f>"14-22/NOS-108/19"</f>
        <v>14-22/NOS-108/19</v>
      </c>
      <c r="T539" s="1" t="s">
        <v>32</v>
      </c>
    </row>
    <row r="540" spans="1:20" ht="89.25" x14ac:dyDescent="0.25">
      <c r="A540" s="6">
        <v>537</v>
      </c>
      <c r="B540" s="1" t="str">
        <f t="shared" si="46"/>
        <v>2019-2415</v>
      </c>
      <c r="C540" s="1" t="s">
        <v>913</v>
      </c>
      <c r="D540" s="1" t="s">
        <v>815</v>
      </c>
      <c r="E540" s="1" t="str">
        <f>""</f>
        <v/>
      </c>
      <c r="F540" s="1" t="s">
        <v>28</v>
      </c>
      <c r="G540" s="1" t="str">
        <f t="shared" si="47"/>
        <v>AUTO HRVATSKA PRODAJNO SERVISNI CENTRI D.O.O., ZASTAVNICE 25/C, 10251 HRVATSKI LESKOVAC, OIB: 87682591133</v>
      </c>
      <c r="H540" s="7"/>
      <c r="I540" s="8" t="s">
        <v>259</v>
      </c>
      <c r="J540" s="8" t="s">
        <v>519</v>
      </c>
      <c r="K540" s="6" t="str">
        <f>"6.171,10"</f>
        <v>6.171,10</v>
      </c>
      <c r="L540" s="6" t="str">
        <f>"1.542,78"</f>
        <v>1.542,78</v>
      </c>
      <c r="M540" s="6" t="str">
        <f>"7.713,88"</f>
        <v>7.713,88</v>
      </c>
      <c r="N540" s="8" t="s">
        <v>296</v>
      </c>
      <c r="O540" s="7"/>
      <c r="P540" s="2" t="s">
        <v>5947</v>
      </c>
      <c r="Q540" s="7"/>
      <c r="R540" s="1"/>
      <c r="S540" s="1" t="str">
        <f>"19-22/NOS-108/19"</f>
        <v>19-22/NOS-108/19</v>
      </c>
      <c r="T540" s="1" t="s">
        <v>32</v>
      </c>
    </row>
    <row r="541" spans="1:20" ht="89.25" x14ac:dyDescent="0.25">
      <c r="A541" s="6">
        <v>538</v>
      </c>
      <c r="B541" s="1" t="str">
        <f t="shared" si="46"/>
        <v>2019-2415</v>
      </c>
      <c r="C541" s="1" t="s">
        <v>913</v>
      </c>
      <c r="D541" s="1" t="s">
        <v>815</v>
      </c>
      <c r="E541" s="1" t="str">
        <f>""</f>
        <v/>
      </c>
      <c r="F541" s="1" t="s">
        <v>28</v>
      </c>
      <c r="G541" s="1" t="str">
        <f t="shared" si="47"/>
        <v>AUTO HRVATSKA PRODAJNO SERVISNI CENTRI D.O.O., ZASTAVNICE 25/C, 10251 HRVATSKI LESKOVAC, OIB: 87682591133</v>
      </c>
      <c r="H541" s="7"/>
      <c r="I541" s="8" t="s">
        <v>259</v>
      </c>
      <c r="J541" s="8" t="s">
        <v>519</v>
      </c>
      <c r="K541" s="6" t="str">
        <f>"5.959,00"</f>
        <v>5.959,00</v>
      </c>
      <c r="L541" s="6" t="str">
        <f>"1.489,75"</f>
        <v>1.489,75</v>
      </c>
      <c r="M541" s="6" t="str">
        <f>"7.448,75"</f>
        <v>7.448,75</v>
      </c>
      <c r="N541" s="8" t="s">
        <v>296</v>
      </c>
      <c r="O541" s="7"/>
      <c r="P541" s="2" t="s">
        <v>5948</v>
      </c>
      <c r="Q541" s="7"/>
      <c r="R541" s="1"/>
      <c r="S541" s="1" t="str">
        <f>"16-22/NOS-108/19"</f>
        <v>16-22/NOS-108/19</v>
      </c>
      <c r="T541" s="1" t="s">
        <v>32</v>
      </c>
    </row>
    <row r="542" spans="1:20" ht="89.25" x14ac:dyDescent="0.25">
      <c r="A542" s="6">
        <v>539</v>
      </c>
      <c r="B542" s="1" t="str">
        <f t="shared" si="46"/>
        <v>2019-2415</v>
      </c>
      <c r="C542" s="1" t="s">
        <v>913</v>
      </c>
      <c r="D542" s="1" t="s">
        <v>815</v>
      </c>
      <c r="E542" s="1" t="str">
        <f>""</f>
        <v/>
      </c>
      <c r="F542" s="1" t="s">
        <v>28</v>
      </c>
      <c r="G542" s="1" t="str">
        <f t="shared" si="47"/>
        <v>AUTO HRVATSKA PRODAJNO SERVISNI CENTRI D.O.O., ZASTAVNICE 25/C, 10251 HRVATSKI LESKOVAC, OIB: 87682591133</v>
      </c>
      <c r="H542" s="7"/>
      <c r="I542" s="8" t="s">
        <v>259</v>
      </c>
      <c r="J542" s="8" t="s">
        <v>519</v>
      </c>
      <c r="K542" s="6" t="str">
        <f>"14.734,79"</f>
        <v>14.734,79</v>
      </c>
      <c r="L542" s="6" t="str">
        <f>"3.683,70"</f>
        <v>3.683,70</v>
      </c>
      <c r="M542" s="6" t="str">
        <f>"18.418,49"</f>
        <v>18.418,49</v>
      </c>
      <c r="N542" s="8" t="s">
        <v>296</v>
      </c>
      <c r="O542" s="7"/>
      <c r="P542" s="2" t="s">
        <v>5949</v>
      </c>
      <c r="Q542" s="7"/>
      <c r="R542" s="1"/>
      <c r="S542" s="1" t="str">
        <f>"18-22/NOS-108/19"</f>
        <v>18-22/NOS-108/19</v>
      </c>
      <c r="T542" s="1" t="s">
        <v>32</v>
      </c>
    </row>
    <row r="543" spans="1:20" ht="89.25" x14ac:dyDescent="0.25">
      <c r="A543" s="6">
        <v>540</v>
      </c>
      <c r="B543" s="1" t="str">
        <f t="shared" si="46"/>
        <v>2019-2415</v>
      </c>
      <c r="C543" s="1" t="s">
        <v>913</v>
      </c>
      <c r="D543" s="1" t="s">
        <v>815</v>
      </c>
      <c r="E543" s="1" t="str">
        <f>""</f>
        <v/>
      </c>
      <c r="F543" s="1" t="s">
        <v>28</v>
      </c>
      <c r="G543" s="1" t="str">
        <f t="shared" si="47"/>
        <v>AUTO HRVATSKA PRODAJNO SERVISNI CENTRI D.O.O., ZASTAVNICE 25/C, 10251 HRVATSKI LESKOVAC, OIB: 87682591133</v>
      </c>
      <c r="H543" s="7"/>
      <c r="I543" s="8" t="s">
        <v>345</v>
      </c>
      <c r="J543" s="8" t="s">
        <v>519</v>
      </c>
      <c r="K543" s="6" t="str">
        <f>"3.610,00"</f>
        <v>3.610,00</v>
      </c>
      <c r="L543" s="6" t="str">
        <f>"902,50"</f>
        <v>902,50</v>
      </c>
      <c r="M543" s="6" t="str">
        <f>"4.512,50"</f>
        <v>4.512,50</v>
      </c>
      <c r="N543" s="8" t="s">
        <v>291</v>
      </c>
      <c r="O543" s="7"/>
      <c r="P543" s="2" t="s">
        <v>5950</v>
      </c>
      <c r="Q543" s="7"/>
      <c r="R543" s="1"/>
      <c r="S543" s="1" t="str">
        <f>"20-22/NOS-108/19"</f>
        <v>20-22/NOS-108/19</v>
      </c>
      <c r="T543" s="1" t="s">
        <v>32</v>
      </c>
    </row>
    <row r="544" spans="1:20" ht="89.25" x14ac:dyDescent="0.25">
      <c r="A544" s="6">
        <v>541</v>
      </c>
      <c r="B544" s="1" t="str">
        <f t="shared" si="46"/>
        <v>2019-2415</v>
      </c>
      <c r="C544" s="1" t="s">
        <v>913</v>
      </c>
      <c r="D544" s="1" t="s">
        <v>815</v>
      </c>
      <c r="E544" s="1" t="str">
        <f>""</f>
        <v/>
      </c>
      <c r="F544" s="1" t="s">
        <v>28</v>
      </c>
      <c r="G544" s="1" t="str">
        <f t="shared" si="47"/>
        <v>AUTO HRVATSKA PRODAJNO SERVISNI CENTRI D.O.O., ZASTAVNICE 25/C, 10251 HRVATSKI LESKOVAC, OIB: 87682591133</v>
      </c>
      <c r="H544" s="7"/>
      <c r="I544" s="8" t="s">
        <v>345</v>
      </c>
      <c r="J544" s="8" t="s">
        <v>519</v>
      </c>
      <c r="K544" s="6" t="str">
        <f>"18.015,80"</f>
        <v>18.015,80</v>
      </c>
      <c r="L544" s="6" t="str">
        <f>"4.503,95"</f>
        <v>4.503,95</v>
      </c>
      <c r="M544" s="6" t="str">
        <f>"22.519,75"</f>
        <v>22.519,75</v>
      </c>
      <c r="N544" s="8" t="s">
        <v>855</v>
      </c>
      <c r="O544" s="7"/>
      <c r="P544" s="2" t="s">
        <v>5951</v>
      </c>
      <c r="Q544" s="7"/>
      <c r="R544" s="1"/>
      <c r="S544" s="1" t="str">
        <f>"21-22/NOS-108/19"</f>
        <v>21-22/NOS-108/19</v>
      </c>
      <c r="T544" s="1" t="s">
        <v>32</v>
      </c>
    </row>
    <row r="545" spans="1:20" ht="89.25" x14ac:dyDescent="0.25">
      <c r="A545" s="6">
        <v>542</v>
      </c>
      <c r="B545" s="1" t="str">
        <f t="shared" si="46"/>
        <v>2019-2415</v>
      </c>
      <c r="C545" s="1" t="s">
        <v>913</v>
      </c>
      <c r="D545" s="1" t="s">
        <v>815</v>
      </c>
      <c r="E545" s="1" t="str">
        <f>""</f>
        <v/>
      </c>
      <c r="F545" s="1" t="s">
        <v>28</v>
      </c>
      <c r="G545" s="1" t="str">
        <f t="shared" si="47"/>
        <v>AUTO HRVATSKA PRODAJNO SERVISNI CENTRI D.O.O., ZASTAVNICE 25/C, 10251 HRVATSKI LESKOVAC, OIB: 87682591133</v>
      </c>
      <c r="H545" s="7"/>
      <c r="I545" s="8" t="s">
        <v>345</v>
      </c>
      <c r="J545" s="8" t="s">
        <v>519</v>
      </c>
      <c r="K545" s="6" t="str">
        <f>"2.058,00"</f>
        <v>2.058,00</v>
      </c>
      <c r="L545" s="6" t="str">
        <f>"514,50"</f>
        <v>514,50</v>
      </c>
      <c r="M545" s="6" t="str">
        <f>"2.572,50"</f>
        <v>2.572,50</v>
      </c>
      <c r="N545" s="8" t="s">
        <v>291</v>
      </c>
      <c r="O545" s="7"/>
      <c r="P545" s="2" t="s">
        <v>5952</v>
      </c>
      <c r="Q545" s="7"/>
      <c r="R545" s="1"/>
      <c r="S545" s="1" t="str">
        <f>"22-22/NOS-108/19"</f>
        <v>22-22/NOS-108/19</v>
      </c>
      <c r="T545" s="1" t="s">
        <v>32</v>
      </c>
    </row>
    <row r="546" spans="1:20" ht="89.25" x14ac:dyDescent="0.25">
      <c r="A546" s="6">
        <v>543</v>
      </c>
      <c r="B546" s="1" t="str">
        <f t="shared" si="46"/>
        <v>2019-2415</v>
      </c>
      <c r="C546" s="1" t="s">
        <v>913</v>
      </c>
      <c r="D546" s="1" t="s">
        <v>815</v>
      </c>
      <c r="E546" s="1" t="str">
        <f>""</f>
        <v/>
      </c>
      <c r="F546" s="1" t="s">
        <v>28</v>
      </c>
      <c r="G546" s="1" t="str">
        <f t="shared" si="47"/>
        <v>AUTO HRVATSKA PRODAJNO SERVISNI CENTRI D.O.O., ZASTAVNICE 25/C, 10251 HRVATSKI LESKOVAC, OIB: 87682591133</v>
      </c>
      <c r="H546" s="7"/>
      <c r="I546" s="8" t="s">
        <v>400</v>
      </c>
      <c r="J546" s="8" t="s">
        <v>519</v>
      </c>
      <c r="K546" s="6" t="str">
        <f>"8.772,70"</f>
        <v>8.772,70</v>
      </c>
      <c r="L546" s="6" t="str">
        <f>"2.193,18"</f>
        <v>2.193,18</v>
      </c>
      <c r="M546" s="6" t="str">
        <f>"10.965,88"</f>
        <v>10.965,88</v>
      </c>
      <c r="N546" s="8" t="s">
        <v>919</v>
      </c>
      <c r="O546" s="7"/>
      <c r="P546" s="2" t="s">
        <v>5953</v>
      </c>
      <c r="Q546" s="7"/>
      <c r="R546" s="1"/>
      <c r="S546" s="1" t="str">
        <f>"23-22/NOS-108/19"</f>
        <v>23-22/NOS-108/19</v>
      </c>
      <c r="T546" s="1" t="s">
        <v>32</v>
      </c>
    </row>
    <row r="547" spans="1:20" ht="89.25" x14ac:dyDescent="0.25">
      <c r="A547" s="6">
        <v>544</v>
      </c>
      <c r="B547" s="1" t="str">
        <f t="shared" si="46"/>
        <v>2019-2415</v>
      </c>
      <c r="C547" s="1" t="s">
        <v>913</v>
      </c>
      <c r="D547" s="1" t="s">
        <v>815</v>
      </c>
      <c r="E547" s="1" t="str">
        <f>""</f>
        <v/>
      </c>
      <c r="F547" s="1" t="s">
        <v>28</v>
      </c>
      <c r="G547" s="1" t="str">
        <f t="shared" si="47"/>
        <v>AUTO HRVATSKA PRODAJNO SERVISNI CENTRI D.O.O., ZASTAVNICE 25/C, 10251 HRVATSKI LESKOVAC, OIB: 87682591133</v>
      </c>
      <c r="H547" s="7"/>
      <c r="I547" s="8" t="s">
        <v>296</v>
      </c>
      <c r="J547" s="8" t="s">
        <v>519</v>
      </c>
      <c r="K547" s="6" t="str">
        <f>"32.540,00"</f>
        <v>32.540,00</v>
      </c>
      <c r="L547" s="6" t="str">
        <f>"8.135,00"</f>
        <v>8.135,00</v>
      </c>
      <c r="M547" s="6" t="str">
        <f>"40.675,00"</f>
        <v>40.675,00</v>
      </c>
      <c r="N547" s="8" t="s">
        <v>291</v>
      </c>
      <c r="O547" s="7"/>
      <c r="P547" s="2" t="s">
        <v>5954</v>
      </c>
      <c r="Q547" s="7"/>
      <c r="R547" s="1"/>
      <c r="S547" s="1" t="str">
        <f>"24-22/NOS-108/19"</f>
        <v>24-22/NOS-108/19</v>
      </c>
      <c r="T547" s="1" t="s">
        <v>32</v>
      </c>
    </row>
    <row r="548" spans="1:20" ht="89.25" x14ac:dyDescent="0.25">
      <c r="A548" s="6">
        <v>545</v>
      </c>
      <c r="B548" s="1" t="str">
        <f t="shared" si="46"/>
        <v>2019-2415</v>
      </c>
      <c r="C548" s="1" t="s">
        <v>913</v>
      </c>
      <c r="D548" s="1" t="s">
        <v>815</v>
      </c>
      <c r="E548" s="1" t="str">
        <f>""</f>
        <v/>
      </c>
      <c r="F548" s="1" t="s">
        <v>28</v>
      </c>
      <c r="G548" s="1" t="str">
        <f t="shared" si="47"/>
        <v>AUTO HRVATSKA PRODAJNO SERVISNI CENTRI D.O.O., ZASTAVNICE 25/C, 10251 HRVATSKI LESKOVAC, OIB: 87682591133</v>
      </c>
      <c r="H548" s="7"/>
      <c r="I548" s="8" t="s">
        <v>296</v>
      </c>
      <c r="J548" s="8" t="s">
        <v>519</v>
      </c>
      <c r="K548" s="6" t="str">
        <f>"14.725,00"</f>
        <v>14.725,00</v>
      </c>
      <c r="L548" s="6" t="str">
        <f>"3.681,25"</f>
        <v>3.681,25</v>
      </c>
      <c r="M548" s="6" t="str">
        <f>"18.406,25"</f>
        <v>18.406,25</v>
      </c>
      <c r="N548" s="8" t="s">
        <v>291</v>
      </c>
      <c r="O548" s="7"/>
      <c r="P548" s="2" t="s">
        <v>5955</v>
      </c>
      <c r="Q548" s="7"/>
      <c r="R548" s="1"/>
      <c r="S548" s="1" t="str">
        <f>"25-22/NOS-108/19"</f>
        <v>25-22/NOS-108/19</v>
      </c>
      <c r="T548" s="1" t="s">
        <v>32</v>
      </c>
    </row>
    <row r="549" spans="1:20" ht="89.25" x14ac:dyDescent="0.25">
      <c r="A549" s="6">
        <v>546</v>
      </c>
      <c r="B549" s="1" t="str">
        <f t="shared" si="46"/>
        <v>2019-2415</v>
      </c>
      <c r="C549" s="1" t="s">
        <v>913</v>
      </c>
      <c r="D549" s="1" t="s">
        <v>815</v>
      </c>
      <c r="E549" s="1" t="str">
        <f>""</f>
        <v/>
      </c>
      <c r="F549" s="1" t="s">
        <v>28</v>
      </c>
      <c r="G549" s="1" t="str">
        <f t="shared" si="47"/>
        <v>AUTO HRVATSKA PRODAJNO SERVISNI CENTRI D.O.O., ZASTAVNICE 25/C, 10251 HRVATSKI LESKOVAC, OIB: 87682591133</v>
      </c>
      <c r="H549" s="7"/>
      <c r="I549" s="8" t="s">
        <v>94</v>
      </c>
      <c r="J549" s="8" t="s">
        <v>519</v>
      </c>
      <c r="K549" s="6" t="str">
        <f>"1.526,00"</f>
        <v>1.526,00</v>
      </c>
      <c r="L549" s="6" t="str">
        <f>"381,50"</f>
        <v>381,50</v>
      </c>
      <c r="M549" s="6" t="str">
        <f>"1.907,50"</f>
        <v>1.907,50</v>
      </c>
      <c r="N549" s="8" t="s">
        <v>919</v>
      </c>
      <c r="O549" s="7"/>
      <c r="P549" s="2" t="s">
        <v>5956</v>
      </c>
      <c r="Q549" s="7"/>
      <c r="R549" s="1"/>
      <c r="S549" s="1" t="str">
        <f>"26-22/NOS-108/19"</f>
        <v>26-22/NOS-108/19</v>
      </c>
      <c r="T549" s="1" t="s">
        <v>32</v>
      </c>
    </row>
    <row r="550" spans="1:20" ht="89.25" x14ac:dyDescent="0.25">
      <c r="A550" s="6">
        <v>547</v>
      </c>
      <c r="B550" s="1" t="str">
        <f t="shared" si="46"/>
        <v>2019-2415</v>
      </c>
      <c r="C550" s="1" t="s">
        <v>913</v>
      </c>
      <c r="D550" s="1" t="s">
        <v>815</v>
      </c>
      <c r="E550" s="1" t="str">
        <f>""</f>
        <v/>
      </c>
      <c r="F550" s="1" t="s">
        <v>28</v>
      </c>
      <c r="G550" s="1" t="str">
        <f t="shared" si="47"/>
        <v>AUTO HRVATSKA PRODAJNO SERVISNI CENTRI D.O.O., ZASTAVNICE 25/C, 10251 HRVATSKI LESKOVAC, OIB: 87682591133</v>
      </c>
      <c r="H550" s="7"/>
      <c r="I550" s="8" t="s">
        <v>260</v>
      </c>
      <c r="J550" s="8" t="s">
        <v>519</v>
      </c>
      <c r="K550" s="6" t="str">
        <f>"4.759,60"</f>
        <v>4.759,60</v>
      </c>
      <c r="L550" s="6" t="str">
        <f>"1.189,90"</f>
        <v>1.189,90</v>
      </c>
      <c r="M550" s="6" t="str">
        <f>"5.949,50"</f>
        <v>5.949,50</v>
      </c>
      <c r="N550" s="8" t="s">
        <v>247</v>
      </c>
      <c r="O550" s="7"/>
      <c r="P550" s="2" t="s">
        <v>5957</v>
      </c>
      <c r="Q550" s="7"/>
      <c r="R550" s="1"/>
      <c r="S550" s="1" t="str">
        <f>"29-22/NOS-108/19"</f>
        <v>29-22/NOS-108/19</v>
      </c>
      <c r="T550" s="1" t="s">
        <v>32</v>
      </c>
    </row>
    <row r="551" spans="1:20" ht="89.25" x14ac:dyDescent="0.25">
      <c r="A551" s="6">
        <v>548</v>
      </c>
      <c r="B551" s="1" t="str">
        <f t="shared" si="46"/>
        <v>2019-2415</v>
      </c>
      <c r="C551" s="1" t="s">
        <v>913</v>
      </c>
      <c r="D551" s="1" t="s">
        <v>815</v>
      </c>
      <c r="E551" s="1" t="str">
        <f>""</f>
        <v/>
      </c>
      <c r="F551" s="1" t="s">
        <v>28</v>
      </c>
      <c r="G551" s="1" t="str">
        <f t="shared" si="47"/>
        <v>AUTO HRVATSKA PRODAJNO SERVISNI CENTRI D.O.O., ZASTAVNICE 25/C, 10251 HRVATSKI LESKOVAC, OIB: 87682591133</v>
      </c>
      <c r="H551" s="7"/>
      <c r="I551" s="8" t="s">
        <v>920</v>
      </c>
      <c r="J551" s="8" t="s">
        <v>519</v>
      </c>
      <c r="K551" s="6" t="str">
        <f>"2.600,80"</f>
        <v>2.600,80</v>
      </c>
      <c r="L551" s="6" t="str">
        <f>"650,20"</f>
        <v>650,20</v>
      </c>
      <c r="M551" s="6" t="str">
        <f>"3.251,00"</f>
        <v>3.251,00</v>
      </c>
      <c r="N551" s="8" t="s">
        <v>919</v>
      </c>
      <c r="O551" s="7"/>
      <c r="P551" s="2" t="s">
        <v>5958</v>
      </c>
      <c r="Q551" s="7"/>
      <c r="R551" s="1"/>
      <c r="S551" s="1" t="str">
        <f>"27-22/NOS-108/19"</f>
        <v>27-22/NOS-108/19</v>
      </c>
      <c r="T551" s="1" t="s">
        <v>32</v>
      </c>
    </row>
    <row r="552" spans="1:20" ht="89.25" x14ac:dyDescent="0.25">
      <c r="A552" s="6">
        <v>549</v>
      </c>
      <c r="B552" s="1" t="str">
        <f t="shared" si="46"/>
        <v>2019-2415</v>
      </c>
      <c r="C552" s="1" t="s">
        <v>913</v>
      </c>
      <c r="D552" s="1" t="s">
        <v>815</v>
      </c>
      <c r="E552" s="1" t="str">
        <f>""</f>
        <v/>
      </c>
      <c r="F552" s="1" t="s">
        <v>28</v>
      </c>
      <c r="G552" s="1" t="str">
        <f t="shared" si="47"/>
        <v>AUTO HRVATSKA PRODAJNO SERVISNI CENTRI D.O.O., ZASTAVNICE 25/C, 10251 HRVATSKI LESKOVAC, OIB: 87682591133</v>
      </c>
      <c r="H552" s="7"/>
      <c r="I552" s="8" t="s">
        <v>920</v>
      </c>
      <c r="J552" s="8" t="s">
        <v>519</v>
      </c>
      <c r="K552" s="6" t="str">
        <f>"100.666,95"</f>
        <v>100.666,95</v>
      </c>
      <c r="L552" s="6" t="str">
        <f>"25.166,74"</f>
        <v>25.166,74</v>
      </c>
      <c r="M552" s="6" t="str">
        <f>"125.833,69"</f>
        <v>125.833,69</v>
      </c>
      <c r="N552" s="8" t="s">
        <v>293</v>
      </c>
      <c r="O552" s="7"/>
      <c r="P552" s="2" t="s">
        <v>5959</v>
      </c>
      <c r="Q552" s="7"/>
      <c r="R552" s="1"/>
      <c r="S552" s="1" t="str">
        <f>"28-22/NOS-108/19"</f>
        <v>28-22/NOS-108/19</v>
      </c>
      <c r="T552" s="1" t="s">
        <v>32</v>
      </c>
    </row>
    <row r="553" spans="1:20" ht="89.25" x14ac:dyDescent="0.25">
      <c r="A553" s="6">
        <v>550</v>
      </c>
      <c r="B553" s="1" t="str">
        <f t="shared" ref="B553:B585" si="48">"2019-2415"</f>
        <v>2019-2415</v>
      </c>
      <c r="C553" s="1" t="s">
        <v>913</v>
      </c>
      <c r="D553" s="1" t="s">
        <v>815</v>
      </c>
      <c r="E553" s="1" t="str">
        <f>""</f>
        <v/>
      </c>
      <c r="F553" s="1" t="s">
        <v>28</v>
      </c>
      <c r="G553" s="1" t="str">
        <f t="shared" ref="G553:G585" si="49">CONCATENATE("AUTO HRVATSKA PRODAJNO SERVISNI CENTRI D.O.O.,"," ZASTAVNICE 25/C,"," 10251 HRVATSKI LESKOVAC,"," OIB: 87682591133")</f>
        <v>AUTO HRVATSKA PRODAJNO SERVISNI CENTRI D.O.O., ZASTAVNICE 25/C, 10251 HRVATSKI LESKOVAC, OIB: 87682591133</v>
      </c>
      <c r="H553" s="7"/>
      <c r="I553" s="8" t="s">
        <v>921</v>
      </c>
      <c r="J553" s="8" t="s">
        <v>519</v>
      </c>
      <c r="K553" s="6" t="str">
        <f>"1.380,00"</f>
        <v>1.380,00</v>
      </c>
      <c r="L553" s="6" t="str">
        <f>"345,00"</f>
        <v>345,00</v>
      </c>
      <c r="M553" s="6" t="str">
        <f>"1.725,00"</f>
        <v>1.725,00</v>
      </c>
      <c r="N553" s="8" t="s">
        <v>247</v>
      </c>
      <c r="O553" s="7"/>
      <c r="P553" s="2" t="s">
        <v>5960</v>
      </c>
      <c r="Q553" s="7"/>
      <c r="R553" s="1"/>
      <c r="S553" s="1" t="str">
        <f>"31-22/NOS-108/19"</f>
        <v>31-22/NOS-108/19</v>
      </c>
      <c r="T553" s="1" t="s">
        <v>32</v>
      </c>
    </row>
    <row r="554" spans="1:20" ht="89.25" x14ac:dyDescent="0.25">
      <c r="A554" s="6">
        <v>551</v>
      </c>
      <c r="B554" s="1" t="str">
        <f t="shared" si="48"/>
        <v>2019-2415</v>
      </c>
      <c r="C554" s="1" t="s">
        <v>913</v>
      </c>
      <c r="D554" s="1" t="s">
        <v>815</v>
      </c>
      <c r="E554" s="1" t="str">
        <f>""</f>
        <v/>
      </c>
      <c r="F554" s="1" t="s">
        <v>28</v>
      </c>
      <c r="G554" s="1" t="str">
        <f t="shared" si="49"/>
        <v>AUTO HRVATSKA PRODAJNO SERVISNI CENTRI D.O.O., ZASTAVNICE 25/C, 10251 HRVATSKI LESKOVAC, OIB: 87682591133</v>
      </c>
      <c r="H554" s="7"/>
      <c r="I554" s="8" t="s">
        <v>921</v>
      </c>
      <c r="J554" s="8" t="s">
        <v>519</v>
      </c>
      <c r="K554" s="6" t="str">
        <f>"1.906,90"</f>
        <v>1.906,90</v>
      </c>
      <c r="L554" s="6" t="str">
        <f>"476,73"</f>
        <v>476,73</v>
      </c>
      <c r="M554" s="6" t="str">
        <f>"2.383,63"</f>
        <v>2.383,63</v>
      </c>
      <c r="N554" s="8" t="s">
        <v>247</v>
      </c>
      <c r="O554" s="7"/>
      <c r="P554" s="2" t="s">
        <v>5961</v>
      </c>
      <c r="Q554" s="7"/>
      <c r="R554" s="1"/>
      <c r="S554" s="1" t="str">
        <f>"32-22/NOS-108/19"</f>
        <v>32-22/NOS-108/19</v>
      </c>
      <c r="T554" s="1" t="s">
        <v>32</v>
      </c>
    </row>
    <row r="555" spans="1:20" ht="89.25" x14ac:dyDescent="0.25">
      <c r="A555" s="6">
        <v>552</v>
      </c>
      <c r="B555" s="1" t="str">
        <f t="shared" si="48"/>
        <v>2019-2415</v>
      </c>
      <c r="C555" s="1" t="s">
        <v>913</v>
      </c>
      <c r="D555" s="1" t="s">
        <v>815</v>
      </c>
      <c r="E555" s="1" t="str">
        <f>""</f>
        <v/>
      </c>
      <c r="F555" s="1" t="s">
        <v>28</v>
      </c>
      <c r="G555" s="1" t="str">
        <f t="shared" si="49"/>
        <v>AUTO HRVATSKA PRODAJNO SERVISNI CENTRI D.O.O., ZASTAVNICE 25/C, 10251 HRVATSKI LESKOVAC, OIB: 87682591133</v>
      </c>
      <c r="H555" s="7"/>
      <c r="I555" s="8" t="s">
        <v>921</v>
      </c>
      <c r="J555" s="8" t="s">
        <v>519</v>
      </c>
      <c r="K555" s="6" t="str">
        <f>"7.070,20"</f>
        <v>7.070,20</v>
      </c>
      <c r="L555" s="6" t="str">
        <f>"1.767,55"</f>
        <v>1.767,55</v>
      </c>
      <c r="M555" s="6" t="str">
        <f>"8.837,75"</f>
        <v>8.837,75</v>
      </c>
      <c r="N555" s="8" t="s">
        <v>607</v>
      </c>
      <c r="O555" s="7"/>
      <c r="P555" s="2" t="s">
        <v>5962</v>
      </c>
      <c r="Q555" s="7"/>
      <c r="R555" s="1"/>
      <c r="S555" s="1" t="str">
        <f>"30-22/NOS-108/19"</f>
        <v>30-22/NOS-108/19</v>
      </c>
      <c r="T555" s="1" t="s">
        <v>32</v>
      </c>
    </row>
    <row r="556" spans="1:20" ht="89.25" x14ac:dyDescent="0.25">
      <c r="A556" s="6">
        <v>553</v>
      </c>
      <c r="B556" s="1" t="str">
        <f t="shared" si="48"/>
        <v>2019-2415</v>
      </c>
      <c r="C556" s="1" t="s">
        <v>913</v>
      </c>
      <c r="D556" s="1" t="s">
        <v>815</v>
      </c>
      <c r="E556" s="1" t="str">
        <f>""</f>
        <v/>
      </c>
      <c r="F556" s="1" t="s">
        <v>28</v>
      </c>
      <c r="G556" s="1" t="str">
        <f t="shared" si="49"/>
        <v>AUTO HRVATSKA PRODAJNO SERVISNI CENTRI D.O.O., ZASTAVNICE 25/C, 10251 HRVATSKI LESKOVAC, OIB: 87682591133</v>
      </c>
      <c r="H556" s="7"/>
      <c r="I556" s="8" t="s">
        <v>897</v>
      </c>
      <c r="J556" s="8" t="s">
        <v>519</v>
      </c>
      <c r="K556" s="6" t="str">
        <f>"29.845,50"</f>
        <v>29.845,50</v>
      </c>
      <c r="L556" s="6" t="str">
        <f>"7.461,38"</f>
        <v>7.461,38</v>
      </c>
      <c r="M556" s="6" t="str">
        <f>"37.306,88"</f>
        <v>37.306,88</v>
      </c>
      <c r="N556" s="8" t="s">
        <v>102</v>
      </c>
      <c r="O556" s="7"/>
      <c r="P556" s="2" t="s">
        <v>5963</v>
      </c>
      <c r="Q556" s="7"/>
      <c r="R556" s="1"/>
      <c r="S556" s="1" t="str">
        <f>"35-22/NOS-108/19"</f>
        <v>35-22/NOS-108/19</v>
      </c>
      <c r="T556" s="1" t="s">
        <v>32</v>
      </c>
    </row>
    <row r="557" spans="1:20" ht="89.25" x14ac:dyDescent="0.25">
      <c r="A557" s="6">
        <v>554</v>
      </c>
      <c r="B557" s="1" t="str">
        <f t="shared" si="48"/>
        <v>2019-2415</v>
      </c>
      <c r="C557" s="1" t="s">
        <v>913</v>
      </c>
      <c r="D557" s="1" t="s">
        <v>815</v>
      </c>
      <c r="E557" s="1" t="str">
        <f>""</f>
        <v/>
      </c>
      <c r="F557" s="1" t="s">
        <v>28</v>
      </c>
      <c r="G557" s="1" t="str">
        <f t="shared" si="49"/>
        <v>AUTO HRVATSKA PRODAJNO SERVISNI CENTRI D.O.O., ZASTAVNICE 25/C, 10251 HRVATSKI LESKOVAC, OIB: 87682591133</v>
      </c>
      <c r="H557" s="7"/>
      <c r="I557" s="8" t="s">
        <v>897</v>
      </c>
      <c r="J557" s="8" t="s">
        <v>519</v>
      </c>
      <c r="K557" s="6" t="str">
        <f>"5.074,30"</f>
        <v>5.074,30</v>
      </c>
      <c r="L557" s="6" t="str">
        <f>"1.268,58"</f>
        <v>1.268,58</v>
      </c>
      <c r="M557" s="6" t="str">
        <f>"6.342,88"</f>
        <v>6.342,88</v>
      </c>
      <c r="N557" s="8" t="s">
        <v>895</v>
      </c>
      <c r="O557" s="7"/>
      <c r="P557" s="2" t="s">
        <v>5964</v>
      </c>
      <c r="Q557" s="7"/>
      <c r="R557" s="1"/>
      <c r="S557" s="1" t="str">
        <f>"34-22/NOS-108/19"</f>
        <v>34-22/NOS-108/19</v>
      </c>
      <c r="T557" s="1" t="s">
        <v>32</v>
      </c>
    </row>
    <row r="558" spans="1:20" ht="89.25" x14ac:dyDescent="0.25">
      <c r="A558" s="6">
        <v>555</v>
      </c>
      <c r="B558" s="1" t="str">
        <f t="shared" si="48"/>
        <v>2019-2415</v>
      </c>
      <c r="C558" s="1" t="s">
        <v>913</v>
      </c>
      <c r="D558" s="1" t="s">
        <v>815</v>
      </c>
      <c r="E558" s="1" t="str">
        <f>""</f>
        <v/>
      </c>
      <c r="F558" s="1" t="s">
        <v>28</v>
      </c>
      <c r="G558" s="1" t="str">
        <f t="shared" si="49"/>
        <v>AUTO HRVATSKA PRODAJNO SERVISNI CENTRI D.O.O., ZASTAVNICE 25/C, 10251 HRVATSKI LESKOVAC, OIB: 87682591133</v>
      </c>
      <c r="H558" s="7"/>
      <c r="I558" s="8" t="s">
        <v>522</v>
      </c>
      <c r="J558" s="8" t="s">
        <v>519</v>
      </c>
      <c r="K558" s="6" t="str">
        <f>"37.004,44"</f>
        <v>37.004,44</v>
      </c>
      <c r="L558" s="6" t="str">
        <f>"9.251,11"</f>
        <v>9.251,11</v>
      </c>
      <c r="M558" s="6" t="str">
        <f>"46.255,55"</f>
        <v>46.255,55</v>
      </c>
      <c r="N558" s="8" t="s">
        <v>208</v>
      </c>
      <c r="O558" s="7"/>
      <c r="P558" s="2" t="s">
        <v>5965</v>
      </c>
      <c r="Q558" s="7"/>
      <c r="R558" s="1"/>
      <c r="S558" s="1" t="str">
        <f>"33-22/NOS-108/19"</f>
        <v>33-22/NOS-108/19</v>
      </c>
      <c r="T558" s="1" t="s">
        <v>32</v>
      </c>
    </row>
    <row r="559" spans="1:20" ht="89.25" x14ac:dyDescent="0.25">
      <c r="A559" s="6">
        <v>556</v>
      </c>
      <c r="B559" s="1" t="str">
        <f t="shared" si="48"/>
        <v>2019-2415</v>
      </c>
      <c r="C559" s="1" t="s">
        <v>913</v>
      </c>
      <c r="D559" s="1" t="s">
        <v>815</v>
      </c>
      <c r="E559" s="1" t="str">
        <f>""</f>
        <v/>
      </c>
      <c r="F559" s="1" t="s">
        <v>28</v>
      </c>
      <c r="G559" s="1" t="str">
        <f t="shared" si="49"/>
        <v>AUTO HRVATSKA PRODAJNO SERVISNI CENTRI D.O.O., ZASTAVNICE 25/C, 10251 HRVATSKI LESKOVAC, OIB: 87682591133</v>
      </c>
      <c r="H559" s="7"/>
      <c r="I559" s="8" t="s">
        <v>905</v>
      </c>
      <c r="J559" s="8" t="s">
        <v>519</v>
      </c>
      <c r="K559" s="6" t="str">
        <f>"1.998,00"</f>
        <v>1.998,00</v>
      </c>
      <c r="L559" s="6" t="str">
        <f>"499,50"</f>
        <v>499,50</v>
      </c>
      <c r="M559" s="6" t="str">
        <f>"2.497,50"</f>
        <v>2.497,50</v>
      </c>
      <c r="N559" s="8" t="s">
        <v>208</v>
      </c>
      <c r="O559" s="7"/>
      <c r="P559" s="2" t="s">
        <v>5966</v>
      </c>
      <c r="Q559" s="7"/>
      <c r="R559" s="1"/>
      <c r="S559" s="1" t="str">
        <f>"36-22/NOS-108/19"</f>
        <v>36-22/NOS-108/19</v>
      </c>
      <c r="T559" s="1" t="s">
        <v>32</v>
      </c>
    </row>
    <row r="560" spans="1:20" ht="89.25" x14ac:dyDescent="0.25">
      <c r="A560" s="6">
        <v>557</v>
      </c>
      <c r="B560" s="1" t="str">
        <f t="shared" si="48"/>
        <v>2019-2415</v>
      </c>
      <c r="C560" s="1" t="s">
        <v>913</v>
      </c>
      <c r="D560" s="1" t="s">
        <v>815</v>
      </c>
      <c r="E560" s="1" t="str">
        <f>""</f>
        <v/>
      </c>
      <c r="F560" s="1" t="s">
        <v>28</v>
      </c>
      <c r="G560" s="1" t="str">
        <f t="shared" si="49"/>
        <v>AUTO HRVATSKA PRODAJNO SERVISNI CENTRI D.O.O., ZASTAVNICE 25/C, 10251 HRVATSKI LESKOVAC, OIB: 87682591133</v>
      </c>
      <c r="H560" s="7"/>
      <c r="I560" s="8" t="s">
        <v>905</v>
      </c>
      <c r="J560" s="8" t="s">
        <v>519</v>
      </c>
      <c r="K560" s="6" t="str">
        <f>"4.819,55"</f>
        <v>4.819,55</v>
      </c>
      <c r="L560" s="6" t="str">
        <f>"1.204,90"</f>
        <v>1.204,90</v>
      </c>
      <c r="M560" s="6" t="str">
        <f>"6.024,45"</f>
        <v>6.024,45</v>
      </c>
      <c r="N560" s="8" t="s">
        <v>208</v>
      </c>
      <c r="O560" s="7"/>
      <c r="P560" s="2" t="s">
        <v>5967</v>
      </c>
      <c r="Q560" s="1" t="s">
        <v>5599</v>
      </c>
      <c r="R560" s="1"/>
      <c r="S560" s="1" t="str">
        <f>"37-22/NOS-108/19"</f>
        <v>37-22/NOS-108/19</v>
      </c>
      <c r="T560" s="1" t="s">
        <v>32</v>
      </c>
    </row>
    <row r="561" spans="1:20" ht="89.25" x14ac:dyDescent="0.25">
      <c r="A561" s="6">
        <v>558</v>
      </c>
      <c r="B561" s="1" t="str">
        <f t="shared" si="48"/>
        <v>2019-2415</v>
      </c>
      <c r="C561" s="1" t="s">
        <v>913</v>
      </c>
      <c r="D561" s="1" t="s">
        <v>815</v>
      </c>
      <c r="E561" s="1" t="str">
        <f>""</f>
        <v/>
      </c>
      <c r="F561" s="1" t="s">
        <v>28</v>
      </c>
      <c r="G561" s="1" t="str">
        <f t="shared" si="49"/>
        <v>AUTO HRVATSKA PRODAJNO SERVISNI CENTRI D.O.O., ZASTAVNICE 25/C, 10251 HRVATSKI LESKOVAC, OIB: 87682591133</v>
      </c>
      <c r="H561" s="7"/>
      <c r="I561" s="8" t="s">
        <v>562</v>
      </c>
      <c r="J561" s="8" t="s">
        <v>519</v>
      </c>
      <c r="K561" s="6" t="str">
        <f>"48.216,42"</f>
        <v>48.216,42</v>
      </c>
      <c r="L561" s="6" t="str">
        <f>"12.054,11"</f>
        <v>12.054,11</v>
      </c>
      <c r="M561" s="6" t="str">
        <f>"60.270,53"</f>
        <v>60.270,53</v>
      </c>
      <c r="N561" s="8" t="s">
        <v>429</v>
      </c>
      <c r="O561" s="7"/>
      <c r="P561" s="2" t="s">
        <v>5968</v>
      </c>
      <c r="Q561" s="7"/>
      <c r="R561" s="1"/>
      <c r="S561" s="1" t="str">
        <f>"39-22/NOS-108/19"</f>
        <v>39-22/NOS-108/19</v>
      </c>
      <c r="T561" s="1" t="s">
        <v>32</v>
      </c>
    </row>
    <row r="562" spans="1:20" ht="89.25" x14ac:dyDescent="0.25">
      <c r="A562" s="6">
        <v>559</v>
      </c>
      <c r="B562" s="1" t="str">
        <f t="shared" si="48"/>
        <v>2019-2415</v>
      </c>
      <c r="C562" s="1" t="s">
        <v>913</v>
      </c>
      <c r="D562" s="1" t="s">
        <v>815</v>
      </c>
      <c r="E562" s="1" t="str">
        <f>""</f>
        <v/>
      </c>
      <c r="F562" s="1" t="s">
        <v>28</v>
      </c>
      <c r="G562" s="1" t="str">
        <f t="shared" si="49"/>
        <v>AUTO HRVATSKA PRODAJNO SERVISNI CENTRI D.O.O., ZASTAVNICE 25/C, 10251 HRVATSKI LESKOVAC, OIB: 87682591133</v>
      </c>
      <c r="H562" s="7"/>
      <c r="I562" s="8" t="s">
        <v>562</v>
      </c>
      <c r="J562" s="8" t="s">
        <v>519</v>
      </c>
      <c r="K562" s="6" t="str">
        <f>"47.011,80"</f>
        <v>47.011,80</v>
      </c>
      <c r="L562" s="6" t="str">
        <f>"11.752,95"</f>
        <v>11.752,95</v>
      </c>
      <c r="M562" s="6" t="str">
        <f>"58.764,75"</f>
        <v>58.764,75</v>
      </c>
      <c r="N562" s="8" t="s">
        <v>208</v>
      </c>
      <c r="O562" s="7"/>
      <c r="P562" s="2" t="s">
        <v>5969</v>
      </c>
      <c r="Q562" s="7"/>
      <c r="R562" s="1"/>
      <c r="S562" s="1" t="str">
        <f>"38-22/NOS-108/19"</f>
        <v>38-22/NOS-108/19</v>
      </c>
      <c r="T562" s="1" t="s">
        <v>32</v>
      </c>
    </row>
    <row r="563" spans="1:20" ht="89.25" x14ac:dyDescent="0.25">
      <c r="A563" s="6">
        <v>560</v>
      </c>
      <c r="B563" s="1" t="str">
        <f t="shared" si="48"/>
        <v>2019-2415</v>
      </c>
      <c r="C563" s="1" t="s">
        <v>913</v>
      </c>
      <c r="D563" s="1" t="s">
        <v>815</v>
      </c>
      <c r="E563" s="1" t="str">
        <f>""</f>
        <v/>
      </c>
      <c r="F563" s="1" t="s">
        <v>28</v>
      </c>
      <c r="G563" s="1" t="str">
        <f t="shared" si="49"/>
        <v>AUTO HRVATSKA PRODAJNO SERVISNI CENTRI D.O.O., ZASTAVNICE 25/C, 10251 HRVATSKI LESKOVAC, OIB: 87682591133</v>
      </c>
      <c r="H563" s="7"/>
      <c r="I563" s="8" t="s">
        <v>562</v>
      </c>
      <c r="J563" s="8" t="s">
        <v>519</v>
      </c>
      <c r="K563" s="6" t="str">
        <f>"4.021,00"</f>
        <v>4.021,00</v>
      </c>
      <c r="L563" s="6" t="str">
        <f>"1.005,25"</f>
        <v>1.005,25</v>
      </c>
      <c r="M563" s="6" t="str">
        <f>"5.026,25"</f>
        <v>5.026,25</v>
      </c>
      <c r="N563" s="8" t="s">
        <v>208</v>
      </c>
      <c r="O563" s="7"/>
      <c r="P563" s="2" t="s">
        <v>5970</v>
      </c>
      <c r="Q563" s="7"/>
      <c r="R563" s="1"/>
      <c r="S563" s="1" t="str">
        <f>"41-22/NOS-108/19"</f>
        <v>41-22/NOS-108/19</v>
      </c>
      <c r="T563" s="1" t="s">
        <v>32</v>
      </c>
    </row>
    <row r="564" spans="1:20" ht="89.25" x14ac:dyDescent="0.25">
      <c r="A564" s="6">
        <v>561</v>
      </c>
      <c r="B564" s="1" t="str">
        <f t="shared" si="48"/>
        <v>2019-2415</v>
      </c>
      <c r="C564" s="1" t="s">
        <v>913</v>
      </c>
      <c r="D564" s="1" t="s">
        <v>815</v>
      </c>
      <c r="E564" s="1" t="str">
        <f>""</f>
        <v/>
      </c>
      <c r="F564" s="1" t="s">
        <v>28</v>
      </c>
      <c r="G564" s="1" t="str">
        <f t="shared" si="49"/>
        <v>AUTO HRVATSKA PRODAJNO SERVISNI CENTRI D.O.O., ZASTAVNICE 25/C, 10251 HRVATSKI LESKOVAC, OIB: 87682591133</v>
      </c>
      <c r="H564" s="7"/>
      <c r="I564" s="8" t="s">
        <v>562</v>
      </c>
      <c r="J564" s="8" t="s">
        <v>519</v>
      </c>
      <c r="K564" s="6" t="str">
        <f>"3.220,00"</f>
        <v>3.220,00</v>
      </c>
      <c r="L564" s="6" t="str">
        <f>"805,00"</f>
        <v>805,00</v>
      </c>
      <c r="M564" s="6" t="str">
        <f>"4.025,00"</f>
        <v>4.025,00</v>
      </c>
      <c r="N564" s="8" t="s">
        <v>208</v>
      </c>
      <c r="O564" s="7"/>
      <c r="P564" s="2" t="s">
        <v>5971</v>
      </c>
      <c r="Q564" s="7"/>
      <c r="R564" s="1"/>
      <c r="S564" s="1" t="str">
        <f>"42-22/NOS-108/19"</f>
        <v>42-22/NOS-108/19</v>
      </c>
      <c r="T564" s="1" t="s">
        <v>32</v>
      </c>
    </row>
    <row r="565" spans="1:20" ht="89.25" x14ac:dyDescent="0.25">
      <c r="A565" s="6">
        <v>562</v>
      </c>
      <c r="B565" s="1" t="str">
        <f t="shared" si="48"/>
        <v>2019-2415</v>
      </c>
      <c r="C565" s="1" t="s">
        <v>913</v>
      </c>
      <c r="D565" s="1" t="s">
        <v>815</v>
      </c>
      <c r="E565" s="1" t="str">
        <f>""</f>
        <v/>
      </c>
      <c r="F565" s="1" t="s">
        <v>28</v>
      </c>
      <c r="G565" s="1" t="str">
        <f t="shared" si="49"/>
        <v>AUTO HRVATSKA PRODAJNO SERVISNI CENTRI D.O.O., ZASTAVNICE 25/C, 10251 HRVATSKI LESKOVAC, OIB: 87682591133</v>
      </c>
      <c r="H565" s="7"/>
      <c r="I565" s="8" t="s">
        <v>523</v>
      </c>
      <c r="J565" s="8" t="s">
        <v>519</v>
      </c>
      <c r="K565" s="6" t="str">
        <f>"10.984,00"</f>
        <v>10.984,00</v>
      </c>
      <c r="L565" s="6" t="str">
        <f>"2.746,00"</f>
        <v>2.746,00</v>
      </c>
      <c r="M565" s="6" t="str">
        <f>"13.730,00"</f>
        <v>13.730,00</v>
      </c>
      <c r="N565" s="8" t="s">
        <v>916</v>
      </c>
      <c r="O565" s="7"/>
      <c r="P565" s="2" t="s">
        <v>5972</v>
      </c>
      <c r="Q565" s="7"/>
      <c r="R565" s="1"/>
      <c r="S565" s="1" t="str">
        <f>"46-22/NOS-108/19"</f>
        <v>46-22/NOS-108/19</v>
      </c>
      <c r="T565" s="1" t="s">
        <v>32</v>
      </c>
    </row>
    <row r="566" spans="1:20" ht="89.25" x14ac:dyDescent="0.25">
      <c r="A566" s="6">
        <v>563</v>
      </c>
      <c r="B566" s="1" t="str">
        <f t="shared" si="48"/>
        <v>2019-2415</v>
      </c>
      <c r="C566" s="1" t="s">
        <v>913</v>
      </c>
      <c r="D566" s="1" t="s">
        <v>815</v>
      </c>
      <c r="E566" s="1" t="str">
        <f>""</f>
        <v/>
      </c>
      <c r="F566" s="1" t="s">
        <v>28</v>
      </c>
      <c r="G566" s="1" t="str">
        <f t="shared" si="49"/>
        <v>AUTO HRVATSKA PRODAJNO SERVISNI CENTRI D.O.O., ZASTAVNICE 25/C, 10251 HRVATSKI LESKOVAC, OIB: 87682591133</v>
      </c>
      <c r="H566" s="7"/>
      <c r="I566" s="8" t="s">
        <v>523</v>
      </c>
      <c r="J566" s="8" t="s">
        <v>519</v>
      </c>
      <c r="K566" s="6" t="str">
        <f>"10.614,00"</f>
        <v>10.614,00</v>
      </c>
      <c r="L566" s="6" t="str">
        <f>"2.653,50"</f>
        <v>2.653,50</v>
      </c>
      <c r="M566" s="6" t="str">
        <f>"13.267,50"</f>
        <v>13.267,50</v>
      </c>
      <c r="N566" s="8" t="s">
        <v>535</v>
      </c>
      <c r="O566" s="7"/>
      <c r="P566" s="2" t="s">
        <v>5973</v>
      </c>
      <c r="Q566" s="7"/>
      <c r="R566" s="1"/>
      <c r="S566" s="1" t="str">
        <f>"45-22/NOS-108/19"</f>
        <v>45-22/NOS-108/19</v>
      </c>
      <c r="T566" s="1" t="s">
        <v>32</v>
      </c>
    </row>
    <row r="567" spans="1:20" ht="89.25" x14ac:dyDescent="0.25">
      <c r="A567" s="6">
        <v>564</v>
      </c>
      <c r="B567" s="1" t="str">
        <f t="shared" si="48"/>
        <v>2019-2415</v>
      </c>
      <c r="C567" s="1" t="s">
        <v>913</v>
      </c>
      <c r="D567" s="1" t="s">
        <v>815</v>
      </c>
      <c r="E567" s="1" t="str">
        <f>""</f>
        <v/>
      </c>
      <c r="F567" s="1" t="s">
        <v>28</v>
      </c>
      <c r="G567" s="1" t="str">
        <f t="shared" si="49"/>
        <v>AUTO HRVATSKA PRODAJNO SERVISNI CENTRI D.O.O., ZASTAVNICE 25/C, 10251 HRVATSKI LESKOVAC, OIB: 87682591133</v>
      </c>
      <c r="H567" s="7"/>
      <c r="I567" s="8" t="s">
        <v>523</v>
      </c>
      <c r="J567" s="8" t="s">
        <v>519</v>
      </c>
      <c r="K567" s="6" t="str">
        <f>"9.417,00"</f>
        <v>9.417,00</v>
      </c>
      <c r="L567" s="6" t="str">
        <f>"2.354,25"</f>
        <v>2.354,25</v>
      </c>
      <c r="M567" s="6" t="str">
        <f>"11.771,25"</f>
        <v>11.771,25</v>
      </c>
      <c r="N567" s="8" t="s">
        <v>916</v>
      </c>
      <c r="O567" s="7"/>
      <c r="P567" s="2" t="s">
        <v>5974</v>
      </c>
      <c r="Q567" s="7"/>
      <c r="R567" s="1"/>
      <c r="S567" s="1" t="str">
        <f>"44-22/NOS-108/19"</f>
        <v>44-22/NOS-108/19</v>
      </c>
      <c r="T567" s="1" t="s">
        <v>32</v>
      </c>
    </row>
    <row r="568" spans="1:20" ht="89.25" x14ac:dyDescent="0.25">
      <c r="A568" s="6">
        <v>565</v>
      </c>
      <c r="B568" s="1" t="str">
        <f t="shared" si="48"/>
        <v>2019-2415</v>
      </c>
      <c r="C568" s="1" t="s">
        <v>913</v>
      </c>
      <c r="D568" s="1" t="s">
        <v>815</v>
      </c>
      <c r="E568" s="1" t="str">
        <f>""</f>
        <v/>
      </c>
      <c r="F568" s="1" t="s">
        <v>28</v>
      </c>
      <c r="G568" s="1" t="str">
        <f t="shared" si="49"/>
        <v>AUTO HRVATSKA PRODAJNO SERVISNI CENTRI D.O.O., ZASTAVNICE 25/C, 10251 HRVATSKI LESKOVAC, OIB: 87682591133</v>
      </c>
      <c r="H568" s="7"/>
      <c r="I568" s="8" t="s">
        <v>523</v>
      </c>
      <c r="J568" s="8" t="s">
        <v>519</v>
      </c>
      <c r="K568" s="6" t="str">
        <f>"5.514,60"</f>
        <v>5.514,60</v>
      </c>
      <c r="L568" s="6" t="str">
        <f>"1.378,65"</f>
        <v>1.378,65</v>
      </c>
      <c r="M568" s="6" t="str">
        <f>"6.893,25"</f>
        <v>6.893,25</v>
      </c>
      <c r="N568" s="8" t="s">
        <v>429</v>
      </c>
      <c r="O568" s="7"/>
      <c r="P568" s="2" t="s">
        <v>5975</v>
      </c>
      <c r="Q568" s="7"/>
      <c r="R568" s="1"/>
      <c r="S568" s="1" t="str">
        <f>"43-22/NOS-108/19"</f>
        <v>43-22/NOS-108/19</v>
      </c>
      <c r="T568" s="1" t="s">
        <v>32</v>
      </c>
    </row>
    <row r="569" spans="1:20" ht="89.25" x14ac:dyDescent="0.25">
      <c r="A569" s="6">
        <v>566</v>
      </c>
      <c r="B569" s="1" t="str">
        <f t="shared" si="48"/>
        <v>2019-2415</v>
      </c>
      <c r="C569" s="1" t="s">
        <v>913</v>
      </c>
      <c r="D569" s="1" t="s">
        <v>815</v>
      </c>
      <c r="E569" s="1" t="str">
        <f>""</f>
        <v/>
      </c>
      <c r="F569" s="1" t="s">
        <v>28</v>
      </c>
      <c r="G569" s="1" t="str">
        <f t="shared" si="49"/>
        <v>AUTO HRVATSKA PRODAJNO SERVISNI CENTRI D.O.O., ZASTAVNICE 25/C, 10251 HRVATSKI LESKOVAC, OIB: 87682591133</v>
      </c>
      <c r="H569" s="7"/>
      <c r="I569" s="8" t="s">
        <v>922</v>
      </c>
      <c r="J569" s="8" t="s">
        <v>519</v>
      </c>
      <c r="K569" s="6" t="str">
        <f>"14.743,30"</f>
        <v>14.743,30</v>
      </c>
      <c r="L569" s="6" t="str">
        <f>"3.685,83"</f>
        <v>3.685,83</v>
      </c>
      <c r="M569" s="6" t="str">
        <f>"18.429,13"</f>
        <v>18.429,13</v>
      </c>
      <c r="N569" s="8" t="s">
        <v>916</v>
      </c>
      <c r="O569" s="7"/>
      <c r="P569" s="2" t="s">
        <v>5976</v>
      </c>
      <c r="Q569" s="7"/>
      <c r="R569" s="1"/>
      <c r="S569" s="1" t="str">
        <f>"48-22/NOS-108/19"</f>
        <v>48-22/NOS-108/19</v>
      </c>
      <c r="T569" s="1" t="s">
        <v>32</v>
      </c>
    </row>
    <row r="570" spans="1:20" ht="89.25" x14ac:dyDescent="0.25">
      <c r="A570" s="6">
        <v>567</v>
      </c>
      <c r="B570" s="1" t="str">
        <f t="shared" si="48"/>
        <v>2019-2415</v>
      </c>
      <c r="C570" s="1" t="s">
        <v>913</v>
      </c>
      <c r="D570" s="1" t="s">
        <v>815</v>
      </c>
      <c r="E570" s="1" t="str">
        <f>""</f>
        <v/>
      </c>
      <c r="F570" s="1" t="s">
        <v>28</v>
      </c>
      <c r="G570" s="1" t="str">
        <f t="shared" si="49"/>
        <v>AUTO HRVATSKA PRODAJNO SERVISNI CENTRI D.O.O., ZASTAVNICE 25/C, 10251 HRVATSKI LESKOVAC, OIB: 87682591133</v>
      </c>
      <c r="H570" s="7"/>
      <c r="I570" s="8" t="s">
        <v>922</v>
      </c>
      <c r="J570" s="8" t="s">
        <v>519</v>
      </c>
      <c r="K570" s="6" t="str">
        <f>"27.374,82"</f>
        <v>27.374,82</v>
      </c>
      <c r="L570" s="6" t="str">
        <f>"6.843,71"</f>
        <v>6.843,71</v>
      </c>
      <c r="M570" s="6" t="str">
        <f>"34.218,53"</f>
        <v>34.218,53</v>
      </c>
      <c r="N570" s="8" t="s">
        <v>916</v>
      </c>
      <c r="O570" s="7"/>
      <c r="P570" s="2" t="s">
        <v>5977</v>
      </c>
      <c r="Q570" s="7"/>
      <c r="R570" s="1"/>
      <c r="S570" s="1" t="str">
        <f>"50-22/NOS-108/19"</f>
        <v>50-22/NOS-108/19</v>
      </c>
      <c r="T570" s="1" t="s">
        <v>32</v>
      </c>
    </row>
    <row r="571" spans="1:20" ht="89.25" x14ac:dyDescent="0.25">
      <c r="A571" s="6">
        <v>568</v>
      </c>
      <c r="B571" s="1" t="str">
        <f t="shared" si="48"/>
        <v>2019-2415</v>
      </c>
      <c r="C571" s="1" t="s">
        <v>913</v>
      </c>
      <c r="D571" s="1" t="s">
        <v>815</v>
      </c>
      <c r="E571" s="1" t="str">
        <f>""</f>
        <v/>
      </c>
      <c r="F571" s="1" t="s">
        <v>28</v>
      </c>
      <c r="G571" s="1" t="str">
        <f t="shared" si="49"/>
        <v>AUTO HRVATSKA PRODAJNO SERVISNI CENTRI D.O.O., ZASTAVNICE 25/C, 10251 HRVATSKI LESKOVAC, OIB: 87682591133</v>
      </c>
      <c r="H571" s="7"/>
      <c r="I571" s="8" t="s">
        <v>922</v>
      </c>
      <c r="J571" s="8" t="s">
        <v>519</v>
      </c>
      <c r="K571" s="6" t="str">
        <f>"68.645,66"</f>
        <v>68.645,66</v>
      </c>
      <c r="L571" s="6" t="str">
        <f>"17.161,42"</f>
        <v>17.161,42</v>
      </c>
      <c r="M571" s="6" t="str">
        <f>"85.807,08"</f>
        <v>85.807,08</v>
      </c>
      <c r="N571" s="8" t="s">
        <v>535</v>
      </c>
      <c r="O571" s="7"/>
      <c r="P571" s="2" t="s">
        <v>5978</v>
      </c>
      <c r="Q571" s="7"/>
      <c r="R571" s="1"/>
      <c r="S571" s="1" t="str">
        <f>"47-22/NOS-108/19"</f>
        <v>47-22/NOS-108/19</v>
      </c>
      <c r="T571" s="1" t="s">
        <v>32</v>
      </c>
    </row>
    <row r="572" spans="1:20" ht="89.25" x14ac:dyDescent="0.25">
      <c r="A572" s="6">
        <v>569</v>
      </c>
      <c r="B572" s="1" t="str">
        <f t="shared" si="48"/>
        <v>2019-2415</v>
      </c>
      <c r="C572" s="1" t="s">
        <v>913</v>
      </c>
      <c r="D572" s="1" t="s">
        <v>815</v>
      </c>
      <c r="E572" s="1" t="str">
        <f>""</f>
        <v/>
      </c>
      <c r="F572" s="1" t="s">
        <v>28</v>
      </c>
      <c r="G572" s="1" t="str">
        <f t="shared" si="49"/>
        <v>AUTO HRVATSKA PRODAJNO SERVISNI CENTRI D.O.O., ZASTAVNICE 25/C, 10251 HRVATSKI LESKOVAC, OIB: 87682591133</v>
      </c>
      <c r="H572" s="7"/>
      <c r="I572" s="8" t="s">
        <v>922</v>
      </c>
      <c r="J572" s="8" t="s">
        <v>519</v>
      </c>
      <c r="K572" s="6" t="str">
        <f>"12.420,73"</f>
        <v>12.420,73</v>
      </c>
      <c r="L572" s="6" t="str">
        <f>"3.105,18"</f>
        <v>3.105,18</v>
      </c>
      <c r="M572" s="6" t="str">
        <f>"15.525,91"</f>
        <v>15.525,91</v>
      </c>
      <c r="N572" s="8" t="s">
        <v>429</v>
      </c>
      <c r="O572" s="7"/>
      <c r="P572" s="2" t="s">
        <v>5979</v>
      </c>
      <c r="Q572" s="7"/>
      <c r="R572" s="1"/>
      <c r="S572" s="1" t="str">
        <f>"49-22/NOS-108/19"</f>
        <v>49-22/NOS-108/19</v>
      </c>
      <c r="T572" s="1" t="s">
        <v>32</v>
      </c>
    </row>
    <row r="573" spans="1:20" ht="89.25" x14ac:dyDescent="0.25">
      <c r="A573" s="6">
        <v>570</v>
      </c>
      <c r="B573" s="1" t="str">
        <f t="shared" si="48"/>
        <v>2019-2415</v>
      </c>
      <c r="C573" s="1" t="s">
        <v>913</v>
      </c>
      <c r="D573" s="1" t="s">
        <v>815</v>
      </c>
      <c r="E573" s="1" t="str">
        <f>""</f>
        <v/>
      </c>
      <c r="F573" s="1" t="s">
        <v>28</v>
      </c>
      <c r="G573" s="1" t="str">
        <f t="shared" si="49"/>
        <v>AUTO HRVATSKA PRODAJNO SERVISNI CENTRI D.O.O., ZASTAVNICE 25/C, 10251 HRVATSKI LESKOVAC, OIB: 87682591133</v>
      </c>
      <c r="H573" s="7"/>
      <c r="I573" s="8" t="s">
        <v>192</v>
      </c>
      <c r="J573" s="8" t="s">
        <v>519</v>
      </c>
      <c r="K573" s="6" t="str">
        <f>"5.384,59"</f>
        <v>5.384,59</v>
      </c>
      <c r="L573" s="6" t="str">
        <f>"1.346,15"</f>
        <v>1.346,15</v>
      </c>
      <c r="M573" s="6" t="str">
        <f>"6.730,74"</f>
        <v>6.730,74</v>
      </c>
      <c r="N573" s="8" t="s">
        <v>535</v>
      </c>
      <c r="O573" s="7"/>
      <c r="P573" s="2" t="s">
        <v>5980</v>
      </c>
      <c r="Q573" s="7"/>
      <c r="R573" s="1"/>
      <c r="S573" s="1" t="str">
        <f>"52-22/NOS-108/19"</f>
        <v>52-22/NOS-108/19</v>
      </c>
      <c r="T573" s="1" t="s">
        <v>32</v>
      </c>
    </row>
    <row r="574" spans="1:20" ht="89.25" x14ac:dyDescent="0.25">
      <c r="A574" s="6">
        <v>571</v>
      </c>
      <c r="B574" s="1" t="str">
        <f t="shared" si="48"/>
        <v>2019-2415</v>
      </c>
      <c r="C574" s="1" t="s">
        <v>913</v>
      </c>
      <c r="D574" s="1" t="s">
        <v>815</v>
      </c>
      <c r="E574" s="1" t="str">
        <f>""</f>
        <v/>
      </c>
      <c r="F574" s="1" t="s">
        <v>28</v>
      </c>
      <c r="G574" s="1" t="str">
        <f t="shared" si="49"/>
        <v>AUTO HRVATSKA PRODAJNO SERVISNI CENTRI D.O.O., ZASTAVNICE 25/C, 10251 HRVATSKI LESKOVAC, OIB: 87682591133</v>
      </c>
      <c r="H574" s="7"/>
      <c r="I574" s="8" t="s">
        <v>192</v>
      </c>
      <c r="J574" s="8" t="s">
        <v>519</v>
      </c>
      <c r="K574" s="6" t="str">
        <f>"3.957,59"</f>
        <v>3.957,59</v>
      </c>
      <c r="L574" s="6" t="str">
        <f>"989,40"</f>
        <v>989,40</v>
      </c>
      <c r="M574" s="6" t="str">
        <f>"4.946,99"</f>
        <v>4.946,99</v>
      </c>
      <c r="N574" s="8" t="s">
        <v>535</v>
      </c>
      <c r="O574" s="7"/>
      <c r="P574" s="2" t="s">
        <v>5981</v>
      </c>
      <c r="Q574" s="7"/>
      <c r="R574" s="1"/>
      <c r="S574" s="1" t="str">
        <f>"53-22/NOS-108/19"</f>
        <v>53-22/NOS-108/19</v>
      </c>
      <c r="T574" s="1" t="s">
        <v>32</v>
      </c>
    </row>
    <row r="575" spans="1:20" ht="89.25" x14ac:dyDescent="0.25">
      <c r="A575" s="6">
        <v>572</v>
      </c>
      <c r="B575" s="1" t="str">
        <f t="shared" si="48"/>
        <v>2019-2415</v>
      </c>
      <c r="C575" s="1" t="s">
        <v>913</v>
      </c>
      <c r="D575" s="1" t="s">
        <v>815</v>
      </c>
      <c r="E575" s="1" t="str">
        <f>""</f>
        <v/>
      </c>
      <c r="F575" s="1" t="s">
        <v>28</v>
      </c>
      <c r="G575" s="1" t="str">
        <f t="shared" si="49"/>
        <v>AUTO HRVATSKA PRODAJNO SERVISNI CENTRI D.O.O., ZASTAVNICE 25/C, 10251 HRVATSKI LESKOVAC, OIB: 87682591133</v>
      </c>
      <c r="H575" s="7"/>
      <c r="I575" s="8" t="s">
        <v>192</v>
      </c>
      <c r="J575" s="8" t="s">
        <v>519</v>
      </c>
      <c r="K575" s="6" t="str">
        <f>"755,00"</f>
        <v>755,00</v>
      </c>
      <c r="L575" s="6" t="str">
        <f>"188,75"</f>
        <v>188,75</v>
      </c>
      <c r="M575" s="6" t="str">
        <f>"943,75"</f>
        <v>943,75</v>
      </c>
      <c r="N575" s="8" t="s">
        <v>535</v>
      </c>
      <c r="O575" s="7"/>
      <c r="P575" s="2" t="s">
        <v>5982</v>
      </c>
      <c r="Q575" s="7"/>
      <c r="R575" s="1"/>
      <c r="S575" s="1" t="str">
        <f>"54-22/NOS-108/19"</f>
        <v>54-22/NOS-108/19</v>
      </c>
      <c r="T575" s="1" t="s">
        <v>32</v>
      </c>
    </row>
    <row r="576" spans="1:20" ht="89.25" x14ac:dyDescent="0.25">
      <c r="A576" s="6">
        <v>573</v>
      </c>
      <c r="B576" s="1" t="str">
        <f t="shared" si="48"/>
        <v>2019-2415</v>
      </c>
      <c r="C576" s="1" t="s">
        <v>913</v>
      </c>
      <c r="D576" s="1" t="s">
        <v>815</v>
      </c>
      <c r="E576" s="1" t="str">
        <f>""</f>
        <v/>
      </c>
      <c r="F576" s="1" t="s">
        <v>28</v>
      </c>
      <c r="G576" s="1" t="str">
        <f t="shared" si="49"/>
        <v>AUTO HRVATSKA PRODAJNO SERVISNI CENTRI D.O.O., ZASTAVNICE 25/C, 10251 HRVATSKI LESKOVAC, OIB: 87682591133</v>
      </c>
      <c r="H576" s="7"/>
      <c r="I576" s="8" t="s">
        <v>192</v>
      </c>
      <c r="J576" s="8" t="s">
        <v>519</v>
      </c>
      <c r="K576" s="6" t="str">
        <f>"3.070,24"</f>
        <v>3.070,24</v>
      </c>
      <c r="L576" s="6" t="str">
        <f>"767,56"</f>
        <v>767,56</v>
      </c>
      <c r="M576" s="6" t="str">
        <f>"3.837,80"</f>
        <v>3.837,80</v>
      </c>
      <c r="N576" s="8" t="s">
        <v>535</v>
      </c>
      <c r="O576" s="7"/>
      <c r="P576" s="2" t="s">
        <v>5983</v>
      </c>
      <c r="Q576" s="7"/>
      <c r="R576" s="1"/>
      <c r="S576" s="1" t="str">
        <f>"55-22/NOS-108/19"</f>
        <v>55-22/NOS-108/19</v>
      </c>
      <c r="T576" s="1" t="s">
        <v>32</v>
      </c>
    </row>
    <row r="577" spans="1:20" ht="89.25" x14ac:dyDescent="0.25">
      <c r="A577" s="6">
        <v>574</v>
      </c>
      <c r="B577" s="1" t="str">
        <f t="shared" si="48"/>
        <v>2019-2415</v>
      </c>
      <c r="C577" s="1" t="s">
        <v>913</v>
      </c>
      <c r="D577" s="1" t="s">
        <v>815</v>
      </c>
      <c r="E577" s="1" t="str">
        <f>""</f>
        <v/>
      </c>
      <c r="F577" s="1" t="s">
        <v>28</v>
      </c>
      <c r="G577" s="1" t="str">
        <f t="shared" si="49"/>
        <v>AUTO HRVATSKA PRODAJNO SERVISNI CENTRI D.O.O., ZASTAVNICE 25/C, 10251 HRVATSKI LESKOVAC, OIB: 87682591133</v>
      </c>
      <c r="H577" s="7"/>
      <c r="I577" s="8" t="s">
        <v>192</v>
      </c>
      <c r="J577" s="8" t="s">
        <v>519</v>
      </c>
      <c r="K577" s="6" t="str">
        <f>"8.030,60"</f>
        <v>8.030,60</v>
      </c>
      <c r="L577" s="6" t="str">
        <f>"2.007,65"</f>
        <v>2.007,65</v>
      </c>
      <c r="M577" s="6" t="str">
        <f>"10.038,25"</f>
        <v>10.038,25</v>
      </c>
      <c r="N577" s="8" t="s">
        <v>535</v>
      </c>
      <c r="O577" s="7"/>
      <c r="P577" s="2" t="s">
        <v>5984</v>
      </c>
      <c r="Q577" s="7"/>
      <c r="R577" s="1"/>
      <c r="S577" s="1" t="str">
        <f>"56-22/NOS-108/19"</f>
        <v>56-22/NOS-108/19</v>
      </c>
      <c r="T577" s="1" t="s">
        <v>32</v>
      </c>
    </row>
    <row r="578" spans="1:20" ht="89.25" x14ac:dyDescent="0.25">
      <c r="A578" s="6">
        <v>575</v>
      </c>
      <c r="B578" s="1" t="str">
        <f t="shared" si="48"/>
        <v>2019-2415</v>
      </c>
      <c r="C578" s="1" t="s">
        <v>913</v>
      </c>
      <c r="D578" s="1" t="s">
        <v>815</v>
      </c>
      <c r="E578" s="1" t="str">
        <f>""</f>
        <v/>
      </c>
      <c r="F578" s="1" t="s">
        <v>28</v>
      </c>
      <c r="G578" s="1" t="str">
        <f t="shared" si="49"/>
        <v>AUTO HRVATSKA PRODAJNO SERVISNI CENTRI D.O.O., ZASTAVNICE 25/C, 10251 HRVATSKI LESKOVAC, OIB: 87682591133</v>
      </c>
      <c r="H578" s="7"/>
      <c r="I578" s="8" t="s">
        <v>428</v>
      </c>
      <c r="J578" s="8" t="s">
        <v>519</v>
      </c>
      <c r="K578" s="6" t="str">
        <f>"2.455,60"</f>
        <v>2.455,60</v>
      </c>
      <c r="L578" s="6" t="str">
        <f>"613,90"</f>
        <v>613,90</v>
      </c>
      <c r="M578" s="6" t="str">
        <f>"3.069,50"</f>
        <v>3.069,50</v>
      </c>
      <c r="N578" s="8" t="s">
        <v>916</v>
      </c>
      <c r="O578" s="7"/>
      <c r="P578" s="2" t="s">
        <v>5985</v>
      </c>
      <c r="Q578" s="7"/>
      <c r="R578" s="1"/>
      <c r="S578" s="1" t="str">
        <f>"58-22/NOS-108/19"</f>
        <v>58-22/NOS-108/19</v>
      </c>
      <c r="T578" s="1" t="s">
        <v>32</v>
      </c>
    </row>
    <row r="579" spans="1:20" ht="89.25" x14ac:dyDescent="0.25">
      <c r="A579" s="6">
        <v>576</v>
      </c>
      <c r="B579" s="1" t="str">
        <f t="shared" si="48"/>
        <v>2019-2415</v>
      </c>
      <c r="C579" s="1" t="s">
        <v>913</v>
      </c>
      <c r="D579" s="1" t="s">
        <v>815</v>
      </c>
      <c r="E579" s="1" t="str">
        <f>""</f>
        <v/>
      </c>
      <c r="F579" s="1" t="s">
        <v>28</v>
      </c>
      <c r="G579" s="1" t="str">
        <f t="shared" si="49"/>
        <v>AUTO HRVATSKA PRODAJNO SERVISNI CENTRI D.O.O., ZASTAVNICE 25/C, 10251 HRVATSKI LESKOVAC, OIB: 87682591133</v>
      </c>
      <c r="H579" s="7"/>
      <c r="I579" s="8" t="s">
        <v>428</v>
      </c>
      <c r="J579" s="8" t="s">
        <v>519</v>
      </c>
      <c r="K579" s="6" t="str">
        <f>"16.988,00"</f>
        <v>16.988,00</v>
      </c>
      <c r="L579" s="6" t="str">
        <f>"4.247,00"</f>
        <v>4.247,00</v>
      </c>
      <c r="M579" s="6" t="str">
        <f>"21.235,00"</f>
        <v>21.235,00</v>
      </c>
      <c r="N579" s="8" t="s">
        <v>916</v>
      </c>
      <c r="O579" s="7"/>
      <c r="P579" s="2" t="s">
        <v>5986</v>
      </c>
      <c r="Q579" s="7"/>
      <c r="R579" s="1"/>
      <c r="S579" s="1" t="str">
        <f>"60-22/NOS-108/19"</f>
        <v>60-22/NOS-108/19</v>
      </c>
      <c r="T579" s="1" t="s">
        <v>32</v>
      </c>
    </row>
    <row r="580" spans="1:20" ht="89.25" x14ac:dyDescent="0.25">
      <c r="A580" s="6">
        <v>577</v>
      </c>
      <c r="B580" s="1" t="str">
        <f t="shared" si="48"/>
        <v>2019-2415</v>
      </c>
      <c r="C580" s="1" t="s">
        <v>913</v>
      </c>
      <c r="D580" s="1" t="s">
        <v>815</v>
      </c>
      <c r="E580" s="1" t="str">
        <f>""</f>
        <v/>
      </c>
      <c r="F580" s="1" t="s">
        <v>28</v>
      </c>
      <c r="G580" s="1" t="str">
        <f t="shared" si="49"/>
        <v>AUTO HRVATSKA PRODAJNO SERVISNI CENTRI D.O.O., ZASTAVNICE 25/C, 10251 HRVATSKI LESKOVAC, OIB: 87682591133</v>
      </c>
      <c r="H580" s="7"/>
      <c r="I580" s="8" t="s">
        <v>428</v>
      </c>
      <c r="J580" s="8" t="s">
        <v>519</v>
      </c>
      <c r="K580" s="6" t="str">
        <f>"10.441,80"</f>
        <v>10.441,80</v>
      </c>
      <c r="L580" s="6" t="str">
        <f>"2.610,45"</f>
        <v>2.610,45</v>
      </c>
      <c r="M580" s="6" t="str">
        <f>"13.052,25"</f>
        <v>13.052,25</v>
      </c>
      <c r="N580" s="8" t="s">
        <v>916</v>
      </c>
      <c r="O580" s="7"/>
      <c r="P580" s="2" t="s">
        <v>5987</v>
      </c>
      <c r="Q580" s="7"/>
      <c r="R580" s="1"/>
      <c r="S580" s="1" t="str">
        <f>"57-22/NOS-108/19"</f>
        <v>57-22/NOS-108/19</v>
      </c>
      <c r="T580" s="1" t="s">
        <v>32</v>
      </c>
    </row>
    <row r="581" spans="1:20" ht="89.25" x14ac:dyDescent="0.25">
      <c r="A581" s="6">
        <v>578</v>
      </c>
      <c r="B581" s="1" t="str">
        <f t="shared" si="48"/>
        <v>2019-2415</v>
      </c>
      <c r="C581" s="1" t="s">
        <v>913</v>
      </c>
      <c r="D581" s="1" t="s">
        <v>815</v>
      </c>
      <c r="E581" s="1" t="str">
        <f>""</f>
        <v/>
      </c>
      <c r="F581" s="1" t="s">
        <v>28</v>
      </c>
      <c r="G581" s="1" t="str">
        <f t="shared" si="49"/>
        <v>AUTO HRVATSKA PRODAJNO SERVISNI CENTRI D.O.O., ZASTAVNICE 25/C, 10251 HRVATSKI LESKOVAC, OIB: 87682591133</v>
      </c>
      <c r="H581" s="7"/>
      <c r="I581" s="8" t="s">
        <v>428</v>
      </c>
      <c r="J581" s="8" t="s">
        <v>519</v>
      </c>
      <c r="K581" s="6" t="str">
        <f>"7.592,00"</f>
        <v>7.592,00</v>
      </c>
      <c r="L581" s="6" t="str">
        <f>"1.898,00"</f>
        <v>1.898,00</v>
      </c>
      <c r="M581" s="6" t="str">
        <f>"9.490,00"</f>
        <v>9.490,00</v>
      </c>
      <c r="N581" s="8" t="s">
        <v>916</v>
      </c>
      <c r="O581" s="7"/>
      <c r="P581" s="2" t="s">
        <v>5988</v>
      </c>
      <c r="Q581" s="7"/>
      <c r="R581" s="1"/>
      <c r="S581" s="1" t="str">
        <f>"59-22/NOS-108/19"</f>
        <v>59-22/NOS-108/19</v>
      </c>
      <c r="T581" s="1" t="s">
        <v>32</v>
      </c>
    </row>
    <row r="582" spans="1:20" ht="89.25" x14ac:dyDescent="0.25">
      <c r="A582" s="6">
        <v>579</v>
      </c>
      <c r="B582" s="1" t="str">
        <f t="shared" si="48"/>
        <v>2019-2415</v>
      </c>
      <c r="C582" s="1" t="s">
        <v>913</v>
      </c>
      <c r="D582" s="1" t="s">
        <v>815</v>
      </c>
      <c r="E582" s="1" t="str">
        <f>""</f>
        <v/>
      </c>
      <c r="F582" s="1" t="s">
        <v>28</v>
      </c>
      <c r="G582" s="1" t="str">
        <f t="shared" si="49"/>
        <v>AUTO HRVATSKA PRODAJNO SERVISNI CENTRI D.O.O., ZASTAVNICE 25/C, 10251 HRVATSKI LESKOVAC, OIB: 87682591133</v>
      </c>
      <c r="H582" s="7"/>
      <c r="I582" s="8" t="s">
        <v>428</v>
      </c>
      <c r="J582" s="8" t="s">
        <v>519</v>
      </c>
      <c r="K582" s="6" t="str">
        <f>"4.674,00"</f>
        <v>4.674,00</v>
      </c>
      <c r="L582" s="6" t="str">
        <f>"1.168,50"</f>
        <v>1.168,50</v>
      </c>
      <c r="M582" s="6" t="str">
        <f>"5.842,50"</f>
        <v>5.842,50</v>
      </c>
      <c r="N582" s="8" t="s">
        <v>916</v>
      </c>
      <c r="O582" s="7"/>
      <c r="P582" s="2" t="s">
        <v>5989</v>
      </c>
      <c r="Q582" s="7"/>
      <c r="R582" s="1"/>
      <c r="S582" s="1" t="str">
        <f>"51-22/NOS-108/19"</f>
        <v>51-22/NOS-108/19</v>
      </c>
      <c r="T582" s="1" t="s">
        <v>32</v>
      </c>
    </row>
    <row r="583" spans="1:20" ht="89.25" x14ac:dyDescent="0.25">
      <c r="A583" s="6">
        <v>580</v>
      </c>
      <c r="B583" s="1" t="str">
        <f t="shared" si="48"/>
        <v>2019-2415</v>
      </c>
      <c r="C583" s="1" t="s">
        <v>913</v>
      </c>
      <c r="D583" s="1" t="s">
        <v>815</v>
      </c>
      <c r="E583" s="1" t="str">
        <f>""</f>
        <v/>
      </c>
      <c r="F583" s="1" t="s">
        <v>28</v>
      </c>
      <c r="G583" s="1" t="str">
        <f t="shared" si="49"/>
        <v>AUTO HRVATSKA PRODAJNO SERVISNI CENTRI D.O.O., ZASTAVNICE 25/C, 10251 HRVATSKI LESKOVAC, OIB: 87682591133</v>
      </c>
      <c r="H583" s="7"/>
      <c r="I583" s="8" t="s">
        <v>923</v>
      </c>
      <c r="J583" s="8" t="s">
        <v>519</v>
      </c>
      <c r="K583" s="6" t="str">
        <f>"236,00"</f>
        <v>236,00</v>
      </c>
      <c r="L583" s="6" t="str">
        <f>"59,00"</f>
        <v>59,00</v>
      </c>
      <c r="M583" s="6" t="str">
        <f>"295,00"</f>
        <v>295,00</v>
      </c>
      <c r="N583" s="8" t="s">
        <v>916</v>
      </c>
      <c r="O583" s="7"/>
      <c r="P583" s="2" t="s">
        <v>5990</v>
      </c>
      <c r="Q583" s="7"/>
      <c r="R583" s="1"/>
      <c r="S583" s="1" t="str">
        <f>"61-22/NOS-108/19"</f>
        <v>61-22/NOS-108/19</v>
      </c>
      <c r="T583" s="1" t="s">
        <v>32</v>
      </c>
    </row>
    <row r="584" spans="1:20" ht="89.25" x14ac:dyDescent="0.25">
      <c r="A584" s="6">
        <v>581</v>
      </c>
      <c r="B584" s="1" t="str">
        <f t="shared" si="48"/>
        <v>2019-2415</v>
      </c>
      <c r="C584" s="1" t="s">
        <v>913</v>
      </c>
      <c r="D584" s="1" t="s">
        <v>815</v>
      </c>
      <c r="E584" s="1" t="str">
        <f>""</f>
        <v/>
      </c>
      <c r="F584" s="1" t="s">
        <v>28</v>
      </c>
      <c r="G584" s="1" t="str">
        <f t="shared" si="49"/>
        <v>AUTO HRVATSKA PRODAJNO SERVISNI CENTRI D.O.O., ZASTAVNICE 25/C, 10251 HRVATSKI LESKOVAC, OIB: 87682591133</v>
      </c>
      <c r="H584" s="7"/>
      <c r="I584" s="8" t="s">
        <v>208</v>
      </c>
      <c r="J584" s="8" t="s">
        <v>519</v>
      </c>
      <c r="K584" s="6" t="str">
        <f>"137.587,32"</f>
        <v>137.587,32</v>
      </c>
      <c r="L584" s="6" t="str">
        <f>"34.875,08"</f>
        <v>34.875,08</v>
      </c>
      <c r="M584" s="6" t="str">
        <f>"172.462,40"</f>
        <v>172.462,40</v>
      </c>
      <c r="N584" s="8" t="s">
        <v>564</v>
      </c>
      <c r="O584" s="7"/>
      <c r="P584" s="2" t="s">
        <v>5991</v>
      </c>
      <c r="Q584" s="1" t="s">
        <v>488</v>
      </c>
      <c r="R584" s="1"/>
      <c r="S584" s="1" t="str">
        <f>"62-22/NOS-108/19"</f>
        <v>62-22/NOS-108/19</v>
      </c>
      <c r="T584" s="1" t="s">
        <v>32</v>
      </c>
    </row>
    <row r="585" spans="1:20" ht="89.25" x14ac:dyDescent="0.25">
      <c r="A585" s="6">
        <v>582</v>
      </c>
      <c r="B585" s="1" t="str">
        <f t="shared" si="48"/>
        <v>2019-2415</v>
      </c>
      <c r="C585" s="1" t="s">
        <v>913</v>
      </c>
      <c r="D585" s="1" t="s">
        <v>815</v>
      </c>
      <c r="E585" s="1" t="str">
        <f>""</f>
        <v/>
      </c>
      <c r="F585" s="1" t="s">
        <v>28</v>
      </c>
      <c r="G585" s="1" t="str">
        <f t="shared" si="49"/>
        <v>AUTO HRVATSKA PRODAJNO SERVISNI CENTRI D.O.O., ZASTAVNICE 25/C, 10251 HRVATSKI LESKOVAC, OIB: 87682591133</v>
      </c>
      <c r="H585" s="7"/>
      <c r="I585" s="8" t="s">
        <v>208</v>
      </c>
      <c r="J585" s="8" t="s">
        <v>519</v>
      </c>
      <c r="K585" s="6" t="str">
        <f>"13.085,58"</f>
        <v>13.085,58</v>
      </c>
      <c r="L585" s="6" t="str">
        <f>"3.271,40"</f>
        <v>3.271,40</v>
      </c>
      <c r="M585" s="6" t="str">
        <f>"16.356,98"</f>
        <v>16.356,98</v>
      </c>
      <c r="N585" s="8" t="s">
        <v>431</v>
      </c>
      <c r="O585" s="7"/>
      <c r="P585" s="2" t="s">
        <v>5992</v>
      </c>
      <c r="Q585" s="7"/>
      <c r="R585" s="1"/>
      <c r="S585" s="1" t="str">
        <f>"63-22/NOS-108/19"</f>
        <v>63-22/NOS-108/19</v>
      </c>
      <c r="T585" s="1" t="s">
        <v>32</v>
      </c>
    </row>
    <row r="586" spans="1:20" ht="102" x14ac:dyDescent="0.25">
      <c r="A586" s="6">
        <v>583</v>
      </c>
      <c r="B586" s="1" t="str">
        <f>"2019-3115"</f>
        <v>2019-3115</v>
      </c>
      <c r="C586" s="1" t="s">
        <v>924</v>
      </c>
      <c r="D586" s="1" t="s">
        <v>925</v>
      </c>
      <c r="E586" s="1" t="str">
        <f>"2020/S 0F2-0004204"</f>
        <v>2020/S 0F2-0004204</v>
      </c>
      <c r="F586" s="1" t="s">
        <v>22</v>
      </c>
      <c r="G586" s="1"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586" s="7"/>
      <c r="I586" s="8" t="s">
        <v>926</v>
      </c>
      <c r="J586" s="8" t="s">
        <v>927</v>
      </c>
      <c r="K586" s="6" t="str">
        <f>"2.000.000,00"</f>
        <v>2.000.000,00</v>
      </c>
      <c r="L586" s="6" t="str">
        <f>"500.000,00"</f>
        <v>500.000,00</v>
      </c>
      <c r="M586" s="6" t="str">
        <f>"2.500.000,00"</f>
        <v>2.500.000,00</v>
      </c>
      <c r="N586" s="8" t="s">
        <v>124</v>
      </c>
      <c r="O586" s="7"/>
      <c r="P586" s="2" t="s">
        <v>5614</v>
      </c>
      <c r="Q586" s="7"/>
      <c r="R586" s="1"/>
      <c r="S586" s="1" t="str">
        <f>"NOS-107/19"</f>
        <v>NOS-107/19</v>
      </c>
      <c r="T586" s="1" t="s">
        <v>55</v>
      </c>
    </row>
    <row r="587" spans="1:20" ht="102" x14ac:dyDescent="0.25">
      <c r="A587" s="6">
        <v>584</v>
      </c>
      <c r="B587" s="1" t="str">
        <f>"2019-3115"</f>
        <v>2019-3115</v>
      </c>
      <c r="C587" s="1" t="s">
        <v>924</v>
      </c>
      <c r="D587" s="1" t="s">
        <v>928</v>
      </c>
      <c r="E587" s="1" t="str">
        <f>""</f>
        <v/>
      </c>
      <c r="F587" s="1" t="s">
        <v>28</v>
      </c>
      <c r="G587" s="1"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587" s="7"/>
      <c r="I587" s="8" t="s">
        <v>902</v>
      </c>
      <c r="J587" s="8" t="s">
        <v>929</v>
      </c>
      <c r="K587" s="6" t="str">
        <f>"249.175,00"</f>
        <v>249.175,00</v>
      </c>
      <c r="L587" s="6" t="str">
        <f>"62.293,75"</f>
        <v>62.293,75</v>
      </c>
      <c r="M587" s="6" t="str">
        <f>"311.468,75"</f>
        <v>311.468,75</v>
      </c>
      <c r="N587" s="8" t="s">
        <v>124</v>
      </c>
      <c r="O587" s="7"/>
      <c r="P587" s="2" t="s">
        <v>5614</v>
      </c>
      <c r="Q587" s="7"/>
      <c r="R587" s="1"/>
      <c r="S587" s="1" t="str">
        <f>"2-22/NOS-107/19"</f>
        <v>2-22/NOS-107/19</v>
      </c>
      <c r="T587" s="1" t="s">
        <v>55</v>
      </c>
    </row>
    <row r="588" spans="1:20" ht="114.75" x14ac:dyDescent="0.25">
      <c r="A588" s="6">
        <v>585</v>
      </c>
      <c r="B588" s="1" t="str">
        <f>"2019-3115"</f>
        <v>2019-3115</v>
      </c>
      <c r="C588" s="1" t="s">
        <v>924</v>
      </c>
      <c r="D588" s="1" t="s">
        <v>928</v>
      </c>
      <c r="E588" s="1" t="str">
        <f>""</f>
        <v/>
      </c>
      <c r="F588" s="1" t="s">
        <v>28</v>
      </c>
      <c r="G588" s="1" t="str">
        <f>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588" s="7"/>
      <c r="I588" s="8" t="s">
        <v>930</v>
      </c>
      <c r="J588" s="8" t="s">
        <v>851</v>
      </c>
      <c r="K588" s="6" t="str">
        <f>"25.650,00"</f>
        <v>25.650,00</v>
      </c>
      <c r="L588" s="6" t="str">
        <f>"2.950,00"</f>
        <v>2.950,00</v>
      </c>
      <c r="M588" s="6" t="str">
        <f>"28.600,00"</f>
        <v>28.600,00</v>
      </c>
      <c r="N588" s="8" t="s">
        <v>931</v>
      </c>
      <c r="O588" s="7"/>
      <c r="P588" s="2" t="s">
        <v>5993</v>
      </c>
      <c r="Q588" s="7"/>
      <c r="R588" s="1"/>
      <c r="S588" s="1" t="str">
        <f>"23-21/NOS-107/19"</f>
        <v>23-21/NOS-107/19</v>
      </c>
      <c r="T588" s="1" t="s">
        <v>55</v>
      </c>
    </row>
    <row r="589" spans="1:20" ht="114.75" x14ac:dyDescent="0.25">
      <c r="A589" s="6">
        <v>586</v>
      </c>
      <c r="B589" s="1" t="str">
        <f>"2019-3115"</f>
        <v>2019-3115</v>
      </c>
      <c r="C589" s="1" t="s">
        <v>924</v>
      </c>
      <c r="D589" s="1" t="s">
        <v>928</v>
      </c>
      <c r="E589" s="1" t="str">
        <f>""</f>
        <v/>
      </c>
      <c r="F589" s="1" t="s">
        <v>28</v>
      </c>
      <c r="G589" s="1" t="str">
        <f>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589" s="7"/>
      <c r="I589" s="8" t="s">
        <v>350</v>
      </c>
      <c r="J589" s="8" t="s">
        <v>851</v>
      </c>
      <c r="K589" s="6" t="str">
        <f>"39.950,00"</f>
        <v>39.950,00</v>
      </c>
      <c r="L589" s="6" t="str">
        <f>"2.000,00"</f>
        <v>2.000,00</v>
      </c>
      <c r="M589" s="6" t="str">
        <f>"41.950,00"</f>
        <v>41.950,00</v>
      </c>
      <c r="N589" s="8" t="s">
        <v>892</v>
      </c>
      <c r="O589" s="7"/>
      <c r="P589" s="2" t="s">
        <v>5881</v>
      </c>
      <c r="Q589" s="7"/>
      <c r="R589" s="1"/>
      <c r="S589" s="1" t="str">
        <f>"1-22/NOS-107/19"</f>
        <v>1-22/NOS-107/19</v>
      </c>
      <c r="T589" s="1" t="s">
        <v>55</v>
      </c>
    </row>
    <row r="590" spans="1:20" ht="114.75" x14ac:dyDescent="0.25">
      <c r="A590" s="6">
        <v>587</v>
      </c>
      <c r="B590" s="1" t="str">
        <f>"2019-3115"</f>
        <v>2019-3115</v>
      </c>
      <c r="C590" s="1" t="s">
        <v>924</v>
      </c>
      <c r="D590" s="1" t="s">
        <v>928</v>
      </c>
      <c r="E590" s="1" t="str">
        <f>""</f>
        <v/>
      </c>
      <c r="F590" s="1" t="s">
        <v>28</v>
      </c>
      <c r="G590" s="1" t="str">
        <f>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590" s="7"/>
      <c r="I590" s="8" t="s">
        <v>902</v>
      </c>
      <c r="J590" s="8" t="s">
        <v>375</v>
      </c>
      <c r="K590" s="6" t="str">
        <f>"122.675,00"</f>
        <v>122.675,00</v>
      </c>
      <c r="L590" s="6" t="str">
        <f>"27.500,00"</f>
        <v>27.500,00</v>
      </c>
      <c r="M590" s="6" t="str">
        <f>"150.175,00"</f>
        <v>150.175,00</v>
      </c>
      <c r="N590" s="8" t="s">
        <v>285</v>
      </c>
      <c r="O590" s="7"/>
      <c r="P590" s="2" t="s">
        <v>5994</v>
      </c>
      <c r="Q590" s="7"/>
      <c r="R590" s="1"/>
      <c r="S590" s="1" t="str">
        <f>"3-22/NOS-107/19"</f>
        <v>3-22/NOS-107/19</v>
      </c>
      <c r="T590" s="1" t="s">
        <v>55</v>
      </c>
    </row>
    <row r="591" spans="1:20" ht="63.75" x14ac:dyDescent="0.25">
      <c r="A591" s="6">
        <v>588</v>
      </c>
      <c r="B591" s="1" t="str">
        <f>"2020-10"</f>
        <v>2020-10</v>
      </c>
      <c r="C591" s="1" t="s">
        <v>932</v>
      </c>
      <c r="D591" s="1" t="s">
        <v>381</v>
      </c>
      <c r="E591" s="1" t="str">
        <f>"2020/S 0F2-0019805"</f>
        <v>2020/S 0F2-0019805</v>
      </c>
      <c r="F591" s="1" t="s">
        <v>22</v>
      </c>
      <c r="G591" s="1" t="str">
        <f>CONCATENATE("PASTOR - TVA - D.D.,"," RAKITJE,"," NOVAČKA 2,"," 10437 BESTOVJE,"," OIB: 17140959007")</f>
        <v>PASTOR - TVA - D.D., RAKITJE, NOVAČKA 2, 10437 BESTOVJE, OIB: 17140959007</v>
      </c>
      <c r="H591" s="1" t="str">
        <f>CONCATENATE("HRT - ŠARIĆ D.O.O.,"," OIB: 76454212077")</f>
        <v>HRT - ŠARIĆ D.O.O., OIB: 76454212077</v>
      </c>
      <c r="I591" s="8" t="s">
        <v>933</v>
      </c>
      <c r="J591" s="8" t="s">
        <v>934</v>
      </c>
      <c r="K591" s="6" t="str">
        <f>"1.625.000,00"</f>
        <v>1.625.000,00</v>
      </c>
      <c r="L591" s="6" t="str">
        <f>"406.250,00"</f>
        <v>406.250,00</v>
      </c>
      <c r="M591" s="6" t="str">
        <f>"2.031.250,00"</f>
        <v>2.031.250,00</v>
      </c>
      <c r="N591" s="8" t="s">
        <v>935</v>
      </c>
      <c r="O591" s="7"/>
      <c r="P591" s="2" t="s">
        <v>5995</v>
      </c>
      <c r="Q591" s="7"/>
      <c r="R591" s="1"/>
      <c r="S591" s="1" t="str">
        <f>"NOS-15-1/20"</f>
        <v>NOS-15-1/20</v>
      </c>
      <c r="T591" s="1" t="s">
        <v>936</v>
      </c>
    </row>
    <row r="592" spans="1:20" ht="76.5" x14ac:dyDescent="0.25">
      <c r="A592" s="6">
        <v>589</v>
      </c>
      <c r="B592" s="1" t="str">
        <f>"2020-10"</f>
        <v>2020-10</v>
      </c>
      <c r="C592" s="1" t="s">
        <v>937</v>
      </c>
      <c r="D592" s="1" t="s">
        <v>51</v>
      </c>
      <c r="E592" s="1" t="str">
        <f>""</f>
        <v/>
      </c>
      <c r="F592" s="1" t="s">
        <v>28</v>
      </c>
      <c r="G592" s="1" t="str">
        <f>CONCATENATE("PASTOR - TVA - D.D.,"," RAKITJE,"," NOVAČKA 2,"," 10437 BESTOVJE,"," OIB: 17140959007")</f>
        <v>PASTOR - TVA - D.D., RAKITJE, NOVAČKA 2, 10437 BESTOVJE, OIB: 17140959007</v>
      </c>
      <c r="H592" s="7"/>
      <c r="I592" s="8" t="s">
        <v>599</v>
      </c>
      <c r="J592" s="8" t="s">
        <v>57</v>
      </c>
      <c r="K592" s="6" t="str">
        <f>"609.795,00"</f>
        <v>609.795,00</v>
      </c>
      <c r="L592" s="6" t="str">
        <f>"152.448,75"</f>
        <v>152.448,75</v>
      </c>
      <c r="M592" s="6" t="str">
        <f>"762.243,75"</f>
        <v>762.243,75</v>
      </c>
      <c r="N592" s="8" t="s">
        <v>146</v>
      </c>
      <c r="O592" s="7"/>
      <c r="P592" s="2" t="s">
        <v>5996</v>
      </c>
      <c r="Q592" s="1"/>
      <c r="R592" s="1"/>
      <c r="S592" s="1" t="str">
        <f>"15-21/NOS-15-1/20"</f>
        <v>15-21/NOS-15-1/20</v>
      </c>
      <c r="T592" s="1" t="s">
        <v>32</v>
      </c>
    </row>
    <row r="593" spans="1:20" ht="102" x14ac:dyDescent="0.25">
      <c r="A593" s="6">
        <v>590</v>
      </c>
      <c r="B593" s="1" t="str">
        <f>"2020-10"</f>
        <v>2020-10</v>
      </c>
      <c r="C593" s="1" t="s">
        <v>938</v>
      </c>
      <c r="D593" s="1" t="s">
        <v>51</v>
      </c>
      <c r="E593" s="1" t="str">
        <f>""</f>
        <v/>
      </c>
      <c r="F593" s="1" t="s">
        <v>92</v>
      </c>
      <c r="G593" s="1" t="str">
        <f>CONCATENATE("PASTOR - TVA - D.D.,"," RAKITJE,"," NOVAČKA 2,"," 10437 BESTOVJE,"," OIB: 17140959007")</f>
        <v>PASTOR - TVA - D.D., RAKITJE, NOVAČKA 2, 10437 BESTOVJE, OIB: 17140959007</v>
      </c>
      <c r="H593" s="7"/>
      <c r="I593" s="8" t="s">
        <v>57</v>
      </c>
      <c r="J593" s="8" t="s">
        <v>939</v>
      </c>
      <c r="K593" s="6" t="str">
        <f>"54.160,00"</f>
        <v>54.160,00</v>
      </c>
      <c r="L593" s="6" t="str">
        <f>"13.540,00"</f>
        <v>13.540,00</v>
      </c>
      <c r="M593" s="6" t="str">
        <f>"67.700,00"</f>
        <v>67.700,00</v>
      </c>
      <c r="N593" s="8" t="s">
        <v>124</v>
      </c>
      <c r="O593" s="7"/>
      <c r="P593" s="2" t="s">
        <v>5614</v>
      </c>
      <c r="Q593" s="7"/>
      <c r="R593" s="1" t="s">
        <v>191</v>
      </c>
      <c r="S593" s="1" t="str">
        <f>"15-21/NOS-15-1/20#1"</f>
        <v>15-21/NOS-15-1/20#1</v>
      </c>
      <c r="T593" s="1" t="s">
        <v>32</v>
      </c>
    </row>
    <row r="594" spans="1:20" ht="369.75" x14ac:dyDescent="0.25">
      <c r="A594" s="6">
        <v>591</v>
      </c>
      <c r="B594" s="1" t="str">
        <f>"2020-2136"</f>
        <v>2020-2136</v>
      </c>
      <c r="C594" s="1" t="s">
        <v>940</v>
      </c>
      <c r="D594" s="1" t="s">
        <v>941</v>
      </c>
      <c r="E594" s="1" t="str">
        <f>"2020/S 0F2-0028296"</f>
        <v>2020/S 0F2-0028296</v>
      </c>
      <c r="F594" s="1" t="s">
        <v>22</v>
      </c>
      <c r="G594" s="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594" s="7"/>
      <c r="I594" s="8" t="s">
        <v>942</v>
      </c>
      <c r="J594" s="8" t="s">
        <v>943</v>
      </c>
      <c r="K594" s="6" t="str">
        <f>"10.000.000,00"</f>
        <v>10.000.000,00</v>
      </c>
      <c r="L594" s="6" t="str">
        <f>"2.500.000,00"</f>
        <v>2.500.000,00</v>
      </c>
      <c r="M594" s="6" t="str">
        <f>"12.500.000,00"</f>
        <v>12.500.000,00</v>
      </c>
      <c r="N594" s="8" t="s">
        <v>441</v>
      </c>
      <c r="O594" s="7"/>
      <c r="P594" s="2" t="s">
        <v>5614</v>
      </c>
      <c r="Q594" s="7"/>
      <c r="R594" s="1"/>
      <c r="S594" s="1" t="str">
        <f>"NOS-13/20"</f>
        <v>NOS-13/20</v>
      </c>
      <c r="T594" s="1" t="s">
        <v>55</v>
      </c>
    </row>
    <row r="595" spans="1:20" ht="369.75" x14ac:dyDescent="0.25">
      <c r="A595" s="6">
        <v>592</v>
      </c>
      <c r="B595" s="1" t="str">
        <f>"2020-2136"</f>
        <v>2020-2136</v>
      </c>
      <c r="C595" s="1" t="s">
        <v>940</v>
      </c>
      <c r="D595" s="1" t="s">
        <v>486</v>
      </c>
      <c r="E595" s="1" t="str">
        <f>""</f>
        <v/>
      </c>
      <c r="F595" s="1" t="s">
        <v>28</v>
      </c>
      <c r="G595" s="1" t="str">
        <f>CONCATENATE("Zajednica ponuditelja",CHAR(10),"GUT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52098670500BK MONTAŽA D.O.O. MEDARSKA 69, 10000 ZAGREB, OIB: 80580557122NERING D.O.O. LIVADARSKI PUT 24, 10360 SESVETE, OIB: 85965934616TIGRA D.O.O. IVANIĆGRADSKA 22, 10000 ZAGREB, OIB: 29830060230TEMEX D.O.O. LABINSKA 6A, 10000 ZAGREB, OIB: 89610149986BUBANJ - NISKOGRADNJA D.O.O. KRUGE 7, 10000 ZAGREB, OIB: 29539944583</v>
      </c>
      <c r="H595" s="7"/>
      <c r="I595" s="8" t="s">
        <v>943</v>
      </c>
      <c r="J595" s="8" t="s">
        <v>89</v>
      </c>
      <c r="K595" s="6" t="str">
        <f>"4.023.690,50"</f>
        <v>4.023.690,50</v>
      </c>
      <c r="L595" s="6" t="str">
        <f>"1.005.922,63"</f>
        <v>1.005.922,63</v>
      </c>
      <c r="M595" s="6" t="str">
        <f>"5.029.613,13"</f>
        <v>5.029.613,13</v>
      </c>
      <c r="N595" s="8" t="s">
        <v>124</v>
      </c>
      <c r="O595" s="7"/>
      <c r="P595" s="2" t="s">
        <v>5614</v>
      </c>
      <c r="Q595" s="7"/>
      <c r="R595" s="1"/>
      <c r="S595" s="1" t="str">
        <f>"3-21/NOS-13/20"</f>
        <v>3-21/NOS-13/20</v>
      </c>
      <c r="T595" s="1" t="s">
        <v>55</v>
      </c>
    </row>
    <row r="596" spans="1:20" ht="242.25" x14ac:dyDescent="0.25">
      <c r="A596" s="6">
        <v>593</v>
      </c>
      <c r="B596" s="1" t="str">
        <f t="shared" ref="B596:B614" si="50">"2020-5"</f>
        <v>2020-5</v>
      </c>
      <c r="C596" s="1" t="s">
        <v>944</v>
      </c>
      <c r="D596" s="1" t="s">
        <v>945</v>
      </c>
      <c r="E596" s="1" t="str">
        <f>"2020/S 0F2-0017989"</f>
        <v>2020/S 0F2-0017989</v>
      </c>
      <c r="F596" s="1" t="s">
        <v>22</v>
      </c>
      <c r="G596" s="1" t="str">
        <f t="shared" ref="G596:G602" si="51">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596" s="7"/>
      <c r="I596" s="8" t="s">
        <v>946</v>
      </c>
      <c r="J596" s="8" t="s">
        <v>408</v>
      </c>
      <c r="K596" s="6" t="str">
        <f>"11.975.000,00"</f>
        <v>11.975.000,00</v>
      </c>
      <c r="L596" s="6" t="str">
        <f>"2.993.750,00"</f>
        <v>2.993.750,00</v>
      </c>
      <c r="M596" s="6" t="str">
        <f>"14.968.750,00"</f>
        <v>14.968.750,00</v>
      </c>
      <c r="N596" s="8" t="s">
        <v>947</v>
      </c>
      <c r="O596" s="7"/>
      <c r="P596" s="2" t="s">
        <v>5614</v>
      </c>
      <c r="Q596" s="7"/>
      <c r="R596" s="1"/>
      <c r="S596" s="1" t="str">
        <f>"NOS-18-1/20"</f>
        <v>NOS-18-1/20</v>
      </c>
      <c r="T596" s="1" t="s">
        <v>27</v>
      </c>
    </row>
    <row r="597" spans="1:20" ht="242.25" x14ac:dyDescent="0.25">
      <c r="A597" s="6">
        <v>594</v>
      </c>
      <c r="B597" s="1" t="str">
        <f t="shared" si="50"/>
        <v>2020-5</v>
      </c>
      <c r="C597" s="1" t="s">
        <v>948</v>
      </c>
      <c r="D597" s="1" t="s">
        <v>949</v>
      </c>
      <c r="E597" s="1" t="str">
        <f>""</f>
        <v/>
      </c>
      <c r="F597" s="1" t="s">
        <v>28</v>
      </c>
      <c r="G597"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597" s="7"/>
      <c r="I597" s="8" t="s">
        <v>599</v>
      </c>
      <c r="J597" s="8" t="s">
        <v>53</v>
      </c>
      <c r="K597" s="6" t="str">
        <f>"107.400,00"</f>
        <v>107.400,00</v>
      </c>
      <c r="L597" s="6" t="str">
        <f>"26.850,00"</f>
        <v>26.850,00</v>
      </c>
      <c r="M597" s="6" t="str">
        <f>"134.250,00"</f>
        <v>134.250,00</v>
      </c>
      <c r="N597" s="8" t="s">
        <v>170</v>
      </c>
      <c r="O597" s="7"/>
      <c r="P597" s="2" t="s">
        <v>5997</v>
      </c>
      <c r="Q597" s="7"/>
      <c r="R597" s="1"/>
      <c r="S597" s="1" t="str">
        <f>"21-21/NOS-18-1/20"</f>
        <v>21-21/NOS-18-1/20</v>
      </c>
      <c r="T597" s="1" t="s">
        <v>32</v>
      </c>
    </row>
    <row r="598" spans="1:20" ht="242.25" x14ac:dyDescent="0.25">
      <c r="A598" s="6">
        <v>595</v>
      </c>
      <c r="B598" s="1" t="str">
        <f t="shared" si="50"/>
        <v>2020-5</v>
      </c>
      <c r="C598" s="1" t="s">
        <v>950</v>
      </c>
      <c r="D598" s="1" t="s">
        <v>949</v>
      </c>
      <c r="E598" s="1" t="str">
        <f>""</f>
        <v/>
      </c>
      <c r="F598" s="1" t="s">
        <v>28</v>
      </c>
      <c r="G598"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598" s="7"/>
      <c r="I598" s="8" t="s">
        <v>239</v>
      </c>
      <c r="J598" s="8" t="s">
        <v>57</v>
      </c>
      <c r="K598" s="6" t="str">
        <f>"429.500,00"</f>
        <v>429.500,00</v>
      </c>
      <c r="L598" s="6" t="str">
        <f>"107.375,00"</f>
        <v>107.375,00</v>
      </c>
      <c r="M598" s="6" t="str">
        <f>"536.875,00"</f>
        <v>536.875,00</v>
      </c>
      <c r="N598" s="8" t="s">
        <v>374</v>
      </c>
      <c r="O598" s="7"/>
      <c r="P598" s="2" t="s">
        <v>5998</v>
      </c>
      <c r="Q598" s="1"/>
      <c r="R598" s="1"/>
      <c r="S598" s="1" t="str">
        <f>"1-22/NOS-18-1/20"</f>
        <v>1-22/NOS-18-1/20</v>
      </c>
      <c r="T598" s="1" t="s">
        <v>32</v>
      </c>
    </row>
    <row r="599" spans="1:20" ht="242.25" x14ac:dyDescent="0.25">
      <c r="A599" s="6">
        <v>596</v>
      </c>
      <c r="B599" s="1" t="str">
        <f t="shared" si="50"/>
        <v>2020-5</v>
      </c>
      <c r="C599" s="1" t="s">
        <v>951</v>
      </c>
      <c r="D599" s="1" t="s">
        <v>949</v>
      </c>
      <c r="E599" s="1" t="str">
        <f>""</f>
        <v/>
      </c>
      <c r="F599" s="1" t="s">
        <v>28</v>
      </c>
      <c r="G599"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599" s="7"/>
      <c r="I599" s="8" t="s">
        <v>635</v>
      </c>
      <c r="J599" s="8" t="s">
        <v>123</v>
      </c>
      <c r="K599" s="6" t="str">
        <f>"2.942.200,00"</f>
        <v>2.942.200,00</v>
      </c>
      <c r="L599" s="6" t="str">
        <f>"735.550,00"</f>
        <v>735.550,00</v>
      </c>
      <c r="M599" s="6" t="str">
        <f>"3.677.750,00"</f>
        <v>3.677.750,00</v>
      </c>
      <c r="N599" s="8" t="s">
        <v>124</v>
      </c>
      <c r="O599" s="7"/>
      <c r="P599" s="2" t="s">
        <v>5999</v>
      </c>
      <c r="Q599" s="7"/>
      <c r="R599" s="1"/>
      <c r="S599" s="1" t="str">
        <f>"3-22/NOS-18-1/20"</f>
        <v>3-22/NOS-18-1/20</v>
      </c>
      <c r="T599" s="1" t="s">
        <v>32</v>
      </c>
    </row>
    <row r="600" spans="1:20" ht="242.25" x14ac:dyDescent="0.25">
      <c r="A600" s="6">
        <v>597</v>
      </c>
      <c r="B600" s="1" t="str">
        <f t="shared" si="50"/>
        <v>2020-5</v>
      </c>
      <c r="C600" s="1" t="s">
        <v>952</v>
      </c>
      <c r="D600" s="1" t="s">
        <v>949</v>
      </c>
      <c r="E600" s="1" t="str">
        <f>""</f>
        <v/>
      </c>
      <c r="F600" s="1" t="s">
        <v>28</v>
      </c>
      <c r="G600"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600" s="7"/>
      <c r="I600" s="8" t="s">
        <v>403</v>
      </c>
      <c r="J600" s="8" t="s">
        <v>57</v>
      </c>
      <c r="K600" s="6" t="str">
        <f>"976.000,00"</f>
        <v>976.000,00</v>
      </c>
      <c r="L600" s="6" t="str">
        <f>"244.000,00"</f>
        <v>244.000,00</v>
      </c>
      <c r="M600" s="6" t="str">
        <f>"1.220.000,00"</f>
        <v>1.220.000,00</v>
      </c>
      <c r="N600" s="8" t="s">
        <v>431</v>
      </c>
      <c r="O600" s="7"/>
      <c r="P600" s="2" t="s">
        <v>6000</v>
      </c>
      <c r="Q600" s="7"/>
      <c r="R600" s="1"/>
      <c r="S600" s="1" t="str">
        <f>"2-22/NOS-18-1/20"</f>
        <v>2-22/NOS-18-1/20</v>
      </c>
      <c r="T600" s="1" t="s">
        <v>32</v>
      </c>
    </row>
    <row r="601" spans="1:20" ht="242.25" x14ac:dyDescent="0.25">
      <c r="A601" s="6">
        <v>598</v>
      </c>
      <c r="B601" s="1" t="str">
        <f t="shared" si="50"/>
        <v>2020-5</v>
      </c>
      <c r="C601" s="1" t="s">
        <v>953</v>
      </c>
      <c r="D601" s="1" t="s">
        <v>949</v>
      </c>
      <c r="E601" s="1" t="str">
        <f>""</f>
        <v/>
      </c>
      <c r="F601" s="1" t="s">
        <v>28</v>
      </c>
      <c r="G601"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601" s="7"/>
      <c r="I601" s="8" t="s">
        <v>365</v>
      </c>
      <c r="J601" s="8" t="s">
        <v>490</v>
      </c>
      <c r="K601" s="6" t="str">
        <f>"1.215.800,00"</f>
        <v>1.215.800,00</v>
      </c>
      <c r="L601" s="6" t="str">
        <f>"303.950,00"</f>
        <v>303.950,00</v>
      </c>
      <c r="M601" s="6" t="str">
        <f>"1.519.750,00"</f>
        <v>1.519.750,00</v>
      </c>
      <c r="N601" s="8" t="s">
        <v>124</v>
      </c>
      <c r="O601" s="7"/>
      <c r="P601" s="2" t="s">
        <v>5614</v>
      </c>
      <c r="Q601" s="7"/>
      <c r="R601" s="1"/>
      <c r="S601" s="1" t="str">
        <f>"6-22/NOS-18-1/20"</f>
        <v>6-22/NOS-18-1/20</v>
      </c>
      <c r="T601" s="1" t="s">
        <v>32</v>
      </c>
    </row>
    <row r="602" spans="1:20" ht="242.25" x14ac:dyDescent="0.25">
      <c r="A602" s="6">
        <v>599</v>
      </c>
      <c r="B602" s="1" t="str">
        <f t="shared" si="50"/>
        <v>2020-5</v>
      </c>
      <c r="C602" s="1" t="s">
        <v>954</v>
      </c>
      <c r="D602" s="1" t="s">
        <v>949</v>
      </c>
      <c r="E602" s="1" t="str">
        <f>""</f>
        <v/>
      </c>
      <c r="F602" s="1" t="s">
        <v>28</v>
      </c>
      <c r="G602" s="1" t="str">
        <f t="shared" si="51"/>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602" s="7"/>
      <c r="I602" s="8" t="s">
        <v>365</v>
      </c>
      <c r="J602" s="8" t="s">
        <v>417</v>
      </c>
      <c r="K602" s="6" t="str">
        <f>"368.450,00"</f>
        <v>368.450,00</v>
      </c>
      <c r="L602" s="6" t="str">
        <f>"92.112,50"</f>
        <v>92.112,50</v>
      </c>
      <c r="M602" s="6" t="str">
        <f>"460.562,50"</f>
        <v>460.562,50</v>
      </c>
      <c r="N602" s="8" t="s">
        <v>124</v>
      </c>
      <c r="O602" s="7"/>
      <c r="P602" s="2" t="s">
        <v>6001</v>
      </c>
      <c r="Q602" s="7"/>
      <c r="R602" s="1"/>
      <c r="S602" s="1" t="str">
        <f>"5-22/NOS-18-1/20"</f>
        <v>5-22/NOS-18-1/20</v>
      </c>
      <c r="T602" s="1" t="s">
        <v>32</v>
      </c>
    </row>
    <row r="603" spans="1:20" ht="242.25" x14ac:dyDescent="0.25">
      <c r="A603" s="6">
        <v>600</v>
      </c>
      <c r="B603" s="1" t="str">
        <f t="shared" si="50"/>
        <v>2020-5</v>
      </c>
      <c r="C603" s="1" t="s">
        <v>944</v>
      </c>
      <c r="D603" s="1" t="s">
        <v>949</v>
      </c>
      <c r="E603" s="1" t="str">
        <f>""</f>
        <v/>
      </c>
      <c r="F603" s="1" t="s">
        <v>28</v>
      </c>
      <c r="G603" s="1"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603" s="7"/>
      <c r="I603" s="8" t="s">
        <v>137</v>
      </c>
      <c r="J603" s="8" t="s">
        <v>171</v>
      </c>
      <c r="K603" s="6" t="str">
        <f>"7.050,00"</f>
        <v>7.050,00</v>
      </c>
      <c r="L603" s="6" t="str">
        <f>"1.270,50"</f>
        <v>1.270,50</v>
      </c>
      <c r="M603" s="6" t="str">
        <f>"8.320,50"</f>
        <v>8.320,50</v>
      </c>
      <c r="N603" s="8" t="s">
        <v>431</v>
      </c>
      <c r="O603" s="7"/>
      <c r="P603" s="2" t="s">
        <v>6002</v>
      </c>
      <c r="Q603" s="7"/>
      <c r="R603" s="1"/>
      <c r="S603" s="1" t="str">
        <f>"23-21/NOS-18-1/20"</f>
        <v>23-21/NOS-18-1/20</v>
      </c>
      <c r="T603" s="1" t="s">
        <v>32</v>
      </c>
    </row>
    <row r="604" spans="1:20" ht="242.25" x14ac:dyDescent="0.25">
      <c r="A604" s="6">
        <v>601</v>
      </c>
      <c r="B604" s="1" t="str">
        <f t="shared" si="50"/>
        <v>2020-5</v>
      </c>
      <c r="C604" s="1" t="s">
        <v>944</v>
      </c>
      <c r="D604" s="1" t="s">
        <v>949</v>
      </c>
      <c r="E604" s="1" t="str">
        <f>""</f>
        <v/>
      </c>
      <c r="F604" s="1" t="s">
        <v>28</v>
      </c>
      <c r="G604" s="1"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604" s="7"/>
      <c r="I604" s="8" t="s">
        <v>955</v>
      </c>
      <c r="J604" s="8" t="s">
        <v>555</v>
      </c>
      <c r="K604" s="6" t="str">
        <f>"24.800,00"</f>
        <v>24.800,00</v>
      </c>
      <c r="L604" s="6" t="str">
        <f>"2.235,00"</f>
        <v>2.235,00</v>
      </c>
      <c r="M604" s="6" t="str">
        <f>"27.035,00"</f>
        <v>27.035,00</v>
      </c>
      <c r="N604" s="8" t="s">
        <v>931</v>
      </c>
      <c r="O604" s="7"/>
      <c r="P604" s="2" t="s">
        <v>6003</v>
      </c>
      <c r="Q604" s="7"/>
      <c r="R604" s="1"/>
      <c r="S604" s="1" t="str">
        <f>"4-22/NOS-18-1/20"</f>
        <v>4-22/NOS-18-1/20</v>
      </c>
      <c r="T604" s="1" t="s">
        <v>55</v>
      </c>
    </row>
    <row r="605" spans="1:20" ht="127.5" x14ac:dyDescent="0.25">
      <c r="A605" s="6">
        <v>602</v>
      </c>
      <c r="B605" s="1" t="str">
        <f t="shared" si="50"/>
        <v>2020-5</v>
      </c>
      <c r="C605" s="1" t="s">
        <v>956</v>
      </c>
      <c r="D605" s="1" t="s">
        <v>945</v>
      </c>
      <c r="E605" s="1" t="str">
        <f>"2020/S 0F2-0017989"</f>
        <v>2020/S 0F2-0017989</v>
      </c>
      <c r="F605" s="1" t="s">
        <v>22</v>
      </c>
      <c r="G605" s="1"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605" s="7"/>
      <c r="I605" s="8" t="s">
        <v>946</v>
      </c>
      <c r="J605" s="8" t="s">
        <v>408</v>
      </c>
      <c r="K605" s="6" t="str">
        <f>"13.725.000,00"</f>
        <v>13.725.000,00</v>
      </c>
      <c r="L605" s="6" t="str">
        <f>"3.431.250,00"</f>
        <v>3.431.250,00</v>
      </c>
      <c r="M605" s="6" t="str">
        <f>"17.156.250,00"</f>
        <v>17.156.250,00</v>
      </c>
      <c r="N605" s="8" t="s">
        <v>947</v>
      </c>
      <c r="O605" s="7"/>
      <c r="P605" s="2" t="s">
        <v>5614</v>
      </c>
      <c r="Q605" s="7"/>
      <c r="R605" s="1"/>
      <c r="S605" s="1" t="str">
        <f>"NOS-18-2/20"</f>
        <v>NOS-18-2/20</v>
      </c>
      <c r="T605" s="1" t="s">
        <v>27</v>
      </c>
    </row>
    <row r="606" spans="1:20" ht="76.5" x14ac:dyDescent="0.25">
      <c r="A606" s="6">
        <v>603</v>
      </c>
      <c r="B606" s="1" t="str">
        <f t="shared" si="50"/>
        <v>2020-5</v>
      </c>
      <c r="C606" s="1" t="s">
        <v>957</v>
      </c>
      <c r="D606" s="1" t="s">
        <v>949</v>
      </c>
      <c r="E606" s="1" t="str">
        <f>""</f>
        <v/>
      </c>
      <c r="F606" s="1" t="s">
        <v>28</v>
      </c>
      <c r="G606" s="1" t="str">
        <f t="shared" ref="G606:G614" si="52">CONCATENATE("KEMIS-TERMOCLEAN D.O.O.,"," SLAVONSKA AVENIJA 26/4,"," 10000 ZAGREB,"," OIB: 47719259482")</f>
        <v>KEMIS-TERMOCLEAN D.O.O., SLAVONSKA AVENIJA 26/4, 10000 ZAGREB, OIB: 47719259482</v>
      </c>
      <c r="H606" s="7"/>
      <c r="I606" s="8" t="s">
        <v>599</v>
      </c>
      <c r="J606" s="8" t="s">
        <v>53</v>
      </c>
      <c r="K606" s="6" t="str">
        <f>"45.000,00"</f>
        <v>45.000,00</v>
      </c>
      <c r="L606" s="6" t="str">
        <f>"11.250,00"</f>
        <v>11.250,00</v>
      </c>
      <c r="M606" s="6" t="str">
        <f>"56.250,00"</f>
        <v>56.250,00</v>
      </c>
      <c r="N606" s="8" t="s">
        <v>904</v>
      </c>
      <c r="O606" s="7"/>
      <c r="P606" s="2" t="s">
        <v>6004</v>
      </c>
      <c r="Q606" s="7"/>
      <c r="R606" s="1"/>
      <c r="S606" s="1" t="str">
        <f>"19-21/NOS-18-2/20"</f>
        <v>19-21/NOS-18-2/20</v>
      </c>
      <c r="T606" s="1" t="s">
        <v>32</v>
      </c>
    </row>
    <row r="607" spans="1:20" ht="63.75" x14ac:dyDescent="0.25">
      <c r="A607" s="6">
        <v>604</v>
      </c>
      <c r="B607" s="1" t="str">
        <f t="shared" si="50"/>
        <v>2020-5</v>
      </c>
      <c r="C607" s="1" t="s">
        <v>958</v>
      </c>
      <c r="D607" s="1" t="s">
        <v>949</v>
      </c>
      <c r="E607" s="1" t="str">
        <f>""</f>
        <v/>
      </c>
      <c r="F607" s="1" t="s">
        <v>28</v>
      </c>
      <c r="G607" s="1" t="str">
        <f t="shared" si="52"/>
        <v>KEMIS-TERMOCLEAN D.O.O., SLAVONSKA AVENIJA 26/4, 10000 ZAGREB, OIB: 47719259482</v>
      </c>
      <c r="H607" s="7"/>
      <c r="I607" s="8" t="s">
        <v>450</v>
      </c>
      <c r="J607" s="8" t="s">
        <v>57</v>
      </c>
      <c r="K607" s="6" t="str">
        <f>"184.995,00"</f>
        <v>184.995,00</v>
      </c>
      <c r="L607" s="6" t="str">
        <f>"46.248,75"</f>
        <v>46.248,75</v>
      </c>
      <c r="M607" s="6" t="str">
        <f>"231.243,75"</f>
        <v>231.243,75</v>
      </c>
      <c r="N607" s="8" t="s">
        <v>856</v>
      </c>
      <c r="O607" s="7"/>
      <c r="P607" s="2" t="s">
        <v>6005</v>
      </c>
      <c r="Q607" s="7"/>
      <c r="R607" s="1"/>
      <c r="S607" s="1" t="str">
        <f>"21-21/NOS-18-2/20"</f>
        <v>21-21/NOS-18-2/20</v>
      </c>
      <c r="T607" s="1" t="s">
        <v>32</v>
      </c>
    </row>
    <row r="608" spans="1:20" ht="76.5" x14ac:dyDescent="0.25">
      <c r="A608" s="6">
        <v>605</v>
      </c>
      <c r="B608" s="1" t="str">
        <f t="shared" si="50"/>
        <v>2020-5</v>
      </c>
      <c r="C608" s="1" t="s">
        <v>959</v>
      </c>
      <c r="D608" s="1" t="s">
        <v>949</v>
      </c>
      <c r="E608" s="1" t="str">
        <f>""</f>
        <v/>
      </c>
      <c r="F608" s="1" t="s">
        <v>28</v>
      </c>
      <c r="G608" s="1" t="str">
        <f t="shared" si="52"/>
        <v>KEMIS-TERMOCLEAN D.O.O., SLAVONSKA AVENIJA 26/4, 10000 ZAGREB, OIB: 47719259482</v>
      </c>
      <c r="H608" s="7"/>
      <c r="I608" s="8" t="s">
        <v>424</v>
      </c>
      <c r="J608" s="8" t="s">
        <v>123</v>
      </c>
      <c r="K608" s="6" t="str">
        <f>"995.000,00"</f>
        <v>995.000,00</v>
      </c>
      <c r="L608" s="6" t="str">
        <f>"248.750,00"</f>
        <v>248.750,00</v>
      </c>
      <c r="M608" s="6" t="str">
        <f>"1.243.750,00"</f>
        <v>1.243.750,00</v>
      </c>
      <c r="N608" s="8" t="s">
        <v>124</v>
      </c>
      <c r="O608" s="7"/>
      <c r="P608" s="2" t="s">
        <v>6006</v>
      </c>
      <c r="Q608" s="7"/>
      <c r="R608" s="1"/>
      <c r="S608" s="1" t="str">
        <f>"1-22/NOS-18-2/20"</f>
        <v>1-22/NOS-18-2/20</v>
      </c>
      <c r="T608" s="1" t="s">
        <v>32</v>
      </c>
    </row>
    <row r="609" spans="1:20" ht="76.5" x14ac:dyDescent="0.25">
      <c r="A609" s="6">
        <v>606</v>
      </c>
      <c r="B609" s="1" t="str">
        <f t="shared" si="50"/>
        <v>2020-5</v>
      </c>
      <c r="C609" s="1" t="s">
        <v>960</v>
      </c>
      <c r="D609" s="1" t="s">
        <v>949</v>
      </c>
      <c r="E609" s="1" t="str">
        <f>""</f>
        <v/>
      </c>
      <c r="F609" s="1" t="s">
        <v>28</v>
      </c>
      <c r="G609" s="1" t="str">
        <f t="shared" si="52"/>
        <v>KEMIS-TERMOCLEAN D.O.O., SLAVONSKA AVENIJA 26/4, 10000 ZAGREB, OIB: 47719259482</v>
      </c>
      <c r="H609" s="7"/>
      <c r="I609" s="8" t="s">
        <v>408</v>
      </c>
      <c r="J609" s="8" t="s">
        <v>961</v>
      </c>
      <c r="K609" s="6" t="str">
        <f>"155.625,00"</f>
        <v>155.625,00</v>
      </c>
      <c r="L609" s="6" t="str">
        <f>"38.906,25"</f>
        <v>38.906,25</v>
      </c>
      <c r="M609" s="6" t="str">
        <f>"194.531,25"</f>
        <v>194.531,25</v>
      </c>
      <c r="N609" s="8" t="s">
        <v>124</v>
      </c>
      <c r="O609" s="7"/>
      <c r="P609" s="2" t="s">
        <v>5614</v>
      </c>
      <c r="Q609" s="7"/>
      <c r="R609" s="1"/>
      <c r="S609" s="1" t="str">
        <f>"6-22/NOS-18-2/20"</f>
        <v>6-22/NOS-18-2/20</v>
      </c>
      <c r="T609" s="1" t="s">
        <v>32</v>
      </c>
    </row>
    <row r="610" spans="1:20" ht="76.5" x14ac:dyDescent="0.25">
      <c r="A610" s="6">
        <v>607</v>
      </c>
      <c r="B610" s="1" t="str">
        <f t="shared" si="50"/>
        <v>2020-5</v>
      </c>
      <c r="C610" s="1" t="s">
        <v>962</v>
      </c>
      <c r="D610" s="1" t="s">
        <v>949</v>
      </c>
      <c r="E610" s="1" t="str">
        <f>""</f>
        <v/>
      </c>
      <c r="F610" s="1" t="s">
        <v>28</v>
      </c>
      <c r="G610" s="1" t="str">
        <f t="shared" si="52"/>
        <v>KEMIS-TERMOCLEAN D.O.O., SLAVONSKA AVENIJA 26/4, 10000 ZAGREB, OIB: 47719259482</v>
      </c>
      <c r="H610" s="7"/>
      <c r="I610" s="8" t="s">
        <v>365</v>
      </c>
      <c r="J610" s="8" t="s">
        <v>490</v>
      </c>
      <c r="K610" s="6" t="str">
        <f>"476.500,00"</f>
        <v>476.500,00</v>
      </c>
      <c r="L610" s="6" t="str">
        <f>"119.125,00"</f>
        <v>119.125,00</v>
      </c>
      <c r="M610" s="6" t="str">
        <f>"595.625,00"</f>
        <v>595.625,00</v>
      </c>
      <c r="N610" s="8" t="s">
        <v>124</v>
      </c>
      <c r="O610" s="7"/>
      <c r="P610" s="2" t="s">
        <v>5614</v>
      </c>
      <c r="Q610" s="7"/>
      <c r="R610" s="1"/>
      <c r="S610" s="1" t="str">
        <f>"7-22/NOS-18-2/20"</f>
        <v>7-22/NOS-18-2/20</v>
      </c>
      <c r="T610" s="1" t="s">
        <v>32</v>
      </c>
    </row>
    <row r="611" spans="1:20" ht="63.75" x14ac:dyDescent="0.25">
      <c r="A611" s="6">
        <v>608</v>
      </c>
      <c r="B611" s="1" t="str">
        <f t="shared" si="50"/>
        <v>2020-5</v>
      </c>
      <c r="C611" s="1" t="s">
        <v>956</v>
      </c>
      <c r="D611" s="1" t="s">
        <v>949</v>
      </c>
      <c r="E611" s="1" t="str">
        <f>""</f>
        <v/>
      </c>
      <c r="F611" s="1" t="s">
        <v>28</v>
      </c>
      <c r="G611" s="1" t="str">
        <f t="shared" si="52"/>
        <v>KEMIS-TERMOCLEAN D.O.O., SLAVONSKA AVENIJA 26/4, 10000 ZAGREB, OIB: 47719259482</v>
      </c>
      <c r="H611" s="7"/>
      <c r="I611" s="8" t="s">
        <v>424</v>
      </c>
      <c r="J611" s="8" t="s">
        <v>555</v>
      </c>
      <c r="K611" s="6" t="str">
        <f>"6.363,00"</f>
        <v>6.363,00</v>
      </c>
      <c r="L611" s="6" t="str">
        <f>"291,38"</f>
        <v>291,38</v>
      </c>
      <c r="M611" s="6" t="str">
        <f>"6.654,38"</f>
        <v>6.654,38</v>
      </c>
      <c r="N611" s="8" t="s">
        <v>922</v>
      </c>
      <c r="O611" s="7"/>
      <c r="P611" s="2" t="s">
        <v>6007</v>
      </c>
      <c r="Q611" s="7"/>
      <c r="R611" s="1"/>
      <c r="S611" s="1" t="str">
        <f>"2-22/NOS-18-2/20"</f>
        <v>2-22/NOS-18-2/20</v>
      </c>
      <c r="T611" s="1" t="s">
        <v>32</v>
      </c>
    </row>
    <row r="612" spans="1:20" ht="63.75" x14ac:dyDescent="0.25">
      <c r="A612" s="6">
        <v>609</v>
      </c>
      <c r="B612" s="1" t="str">
        <f t="shared" si="50"/>
        <v>2020-5</v>
      </c>
      <c r="C612" s="1" t="s">
        <v>956</v>
      </c>
      <c r="D612" s="1" t="s">
        <v>949</v>
      </c>
      <c r="E612" s="1" t="str">
        <f>""</f>
        <v/>
      </c>
      <c r="F612" s="1" t="s">
        <v>28</v>
      </c>
      <c r="G612" s="1" t="str">
        <f t="shared" si="52"/>
        <v>KEMIS-TERMOCLEAN D.O.O., SLAVONSKA AVENIJA 26/4, 10000 ZAGREB, OIB: 47719259482</v>
      </c>
      <c r="H612" s="7"/>
      <c r="I612" s="8" t="s">
        <v>469</v>
      </c>
      <c r="J612" s="8" t="s">
        <v>555</v>
      </c>
      <c r="K612" s="6" t="str">
        <f>"24.375,00"</f>
        <v>24.375,00</v>
      </c>
      <c r="L612" s="6" t="str">
        <f>"6.093,75"</f>
        <v>6.093,75</v>
      </c>
      <c r="M612" s="6" t="str">
        <f>"30.468,75"</f>
        <v>30.468,75</v>
      </c>
      <c r="N612" s="8" t="s">
        <v>963</v>
      </c>
      <c r="O612" s="7"/>
      <c r="P612" s="2" t="s">
        <v>6008</v>
      </c>
      <c r="Q612" s="7"/>
      <c r="R612" s="1"/>
      <c r="S612" s="1" t="str">
        <f>"3-22/NOS-18-2/20"</f>
        <v>3-22/NOS-18-2/20</v>
      </c>
      <c r="T612" s="1" t="s">
        <v>32</v>
      </c>
    </row>
    <row r="613" spans="1:20" ht="63.75" x14ac:dyDescent="0.25">
      <c r="A613" s="6">
        <v>610</v>
      </c>
      <c r="B613" s="1" t="str">
        <f t="shared" si="50"/>
        <v>2020-5</v>
      </c>
      <c r="C613" s="1" t="s">
        <v>956</v>
      </c>
      <c r="D613" s="1" t="s">
        <v>949</v>
      </c>
      <c r="E613" s="1" t="str">
        <f>""</f>
        <v/>
      </c>
      <c r="F613" s="1" t="s">
        <v>28</v>
      </c>
      <c r="G613" s="1" t="str">
        <f t="shared" si="52"/>
        <v>KEMIS-TERMOCLEAN D.O.O., SLAVONSKA AVENIJA 26/4, 10000 ZAGREB, OIB: 47719259482</v>
      </c>
      <c r="H613" s="7"/>
      <c r="I613" s="8" t="s">
        <v>438</v>
      </c>
      <c r="J613" s="8" t="s">
        <v>555</v>
      </c>
      <c r="K613" s="6" t="str">
        <f>"104.200,00"</f>
        <v>104.200,00</v>
      </c>
      <c r="L613" s="6" t="str">
        <f>"6.750,93"</f>
        <v>6.750,93</v>
      </c>
      <c r="M613" s="6" t="str">
        <f>"110.950,93"</f>
        <v>110.950,93</v>
      </c>
      <c r="N613" s="8" t="s">
        <v>964</v>
      </c>
      <c r="O613" s="7"/>
      <c r="P613" s="2" t="s">
        <v>6009</v>
      </c>
      <c r="Q613" s="7"/>
      <c r="R613" s="1"/>
      <c r="S613" s="1" t="str">
        <f>"4-22/NOS-18-2/20"</f>
        <v>4-22/NOS-18-2/20</v>
      </c>
      <c r="T613" s="1" t="s">
        <v>32</v>
      </c>
    </row>
    <row r="614" spans="1:20" ht="63.75" x14ac:dyDescent="0.25">
      <c r="A614" s="6">
        <v>611</v>
      </c>
      <c r="B614" s="1" t="str">
        <f t="shared" si="50"/>
        <v>2020-5</v>
      </c>
      <c r="C614" s="1" t="s">
        <v>956</v>
      </c>
      <c r="D614" s="1" t="s">
        <v>949</v>
      </c>
      <c r="E614" s="1" t="str">
        <f>""</f>
        <v/>
      </c>
      <c r="F614" s="1" t="s">
        <v>28</v>
      </c>
      <c r="G614" s="1" t="str">
        <f t="shared" si="52"/>
        <v>KEMIS-TERMOCLEAN D.O.O., SLAVONSKA AVENIJA 26/4, 10000 ZAGREB, OIB: 47719259482</v>
      </c>
      <c r="H614" s="7"/>
      <c r="I614" s="8" t="s">
        <v>169</v>
      </c>
      <c r="J614" s="8" t="s">
        <v>555</v>
      </c>
      <c r="K614" s="6" t="str">
        <f>"1.530,00"</f>
        <v>1.530,00</v>
      </c>
      <c r="L614" s="6" t="str">
        <f>"342,00"</f>
        <v>342,00</v>
      </c>
      <c r="M614" s="6" t="str">
        <f>"1.872,00"</f>
        <v>1.872,00</v>
      </c>
      <c r="N614" s="8" t="s">
        <v>310</v>
      </c>
      <c r="O614" s="7"/>
      <c r="P614" s="2" t="s">
        <v>6010</v>
      </c>
      <c r="Q614" s="7"/>
      <c r="R614" s="1"/>
      <c r="S614" s="1" t="str">
        <f>"5-22/NOS-18-2/20"</f>
        <v>5-22/NOS-18-2/20</v>
      </c>
      <c r="T614" s="1" t="s">
        <v>55</v>
      </c>
    </row>
    <row r="615" spans="1:20" ht="242.25" x14ac:dyDescent="0.25">
      <c r="A615" s="6">
        <v>612</v>
      </c>
      <c r="B615" s="1" t="str">
        <f t="shared" ref="B615:B626" si="53">"2020-2"</f>
        <v>2020-2</v>
      </c>
      <c r="C615" s="1" t="s">
        <v>965</v>
      </c>
      <c r="D615" s="1" t="s">
        <v>966</v>
      </c>
      <c r="E615" s="1" t="str">
        <f>"020/S F21-0027711"</f>
        <v>020/S F21-0027711</v>
      </c>
      <c r="F615" s="1" t="s">
        <v>967</v>
      </c>
      <c r="G615" s="1" t="str">
        <f t="shared" ref="G615:G625" si="54">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15" s="7"/>
      <c r="I615" s="8" t="s">
        <v>968</v>
      </c>
      <c r="J615" s="8" t="s">
        <v>969</v>
      </c>
      <c r="K615" s="6" t="str">
        <f>"35.950.000,00"</f>
        <v>35.950.000,00</v>
      </c>
      <c r="L615" s="6" t="str">
        <f>"8.987.500,00"</f>
        <v>8.987.500,00</v>
      </c>
      <c r="M615" s="6" t="str">
        <f>"44.937.500,00"</f>
        <v>44.937.500,00</v>
      </c>
      <c r="N615" s="8" t="s">
        <v>970</v>
      </c>
      <c r="O615" s="7"/>
      <c r="P615" s="2" t="s">
        <v>6011</v>
      </c>
      <c r="Q615" s="7"/>
      <c r="R615" s="1"/>
      <c r="S615" s="1" t="str">
        <f>"NOS-19-2-ZGH/20"</f>
        <v>NOS-19-2-ZGH/20</v>
      </c>
      <c r="T615" s="1" t="s">
        <v>971</v>
      </c>
    </row>
    <row r="616" spans="1:20" ht="242.25" x14ac:dyDescent="0.25">
      <c r="A616" s="6">
        <v>613</v>
      </c>
      <c r="B616" s="1" t="str">
        <f t="shared" si="53"/>
        <v>2020-2</v>
      </c>
      <c r="C616" s="1" t="s">
        <v>972</v>
      </c>
      <c r="D616" s="1" t="s">
        <v>973</v>
      </c>
      <c r="E616" s="1" t="str">
        <f>""</f>
        <v/>
      </c>
      <c r="F616" s="1" t="s">
        <v>28</v>
      </c>
      <c r="G616"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16" s="7"/>
      <c r="I616" s="8" t="s">
        <v>974</v>
      </c>
      <c r="J616" s="8" t="s">
        <v>53</v>
      </c>
      <c r="K616" s="6" t="str">
        <f>"8.572.715,84"</f>
        <v>8.572.715,84</v>
      </c>
      <c r="L616" s="6" t="str">
        <f>"2.143.178,96"</f>
        <v>2.143.178,96</v>
      </c>
      <c r="M616" s="6" t="str">
        <f>"10.715.894,80"</f>
        <v>10.715.894,80</v>
      </c>
      <c r="N616" s="8" t="s">
        <v>947</v>
      </c>
      <c r="O616" s="7"/>
      <c r="P616" s="2" t="s">
        <v>6012</v>
      </c>
      <c r="Q616" s="1"/>
      <c r="R616" s="1"/>
      <c r="S616" s="1" t="str">
        <f>"5-21/NOS-19-2-ZGH/20"</f>
        <v>5-21/NOS-19-2-ZGH/20</v>
      </c>
      <c r="T616" s="1" t="s">
        <v>32</v>
      </c>
    </row>
    <row r="617" spans="1:20" ht="242.25" x14ac:dyDescent="0.25">
      <c r="A617" s="6">
        <v>614</v>
      </c>
      <c r="B617" s="1" t="str">
        <f t="shared" si="53"/>
        <v>2020-2</v>
      </c>
      <c r="C617" s="1" t="s">
        <v>975</v>
      </c>
      <c r="D617" s="1" t="s">
        <v>973</v>
      </c>
      <c r="E617" s="1" t="str">
        <f>""</f>
        <v/>
      </c>
      <c r="F617" s="1" t="s">
        <v>92</v>
      </c>
      <c r="G617"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17" s="7"/>
      <c r="I617" s="8" t="s">
        <v>708</v>
      </c>
      <c r="J617" s="8" t="s">
        <v>53</v>
      </c>
      <c r="K617" s="6" t="str">
        <f>"554.954,40"</f>
        <v>554.954,40</v>
      </c>
      <c r="L617" s="6" t="str">
        <f>"138.738,60"</f>
        <v>138.738,60</v>
      </c>
      <c r="M617" s="6" t="str">
        <f>"693.693,00"</f>
        <v>693.693,00</v>
      </c>
      <c r="N617" s="8" t="s">
        <v>124</v>
      </c>
      <c r="O617" s="7"/>
      <c r="P617" s="2" t="s">
        <v>5614</v>
      </c>
      <c r="Q617" s="7"/>
      <c r="R617" s="1" t="s">
        <v>191</v>
      </c>
      <c r="S617" s="1" t="str">
        <f>"5-21/NOS-19-2-ZGH/20#1"</f>
        <v>5-21/NOS-19-2-ZGH/20#1</v>
      </c>
      <c r="T617" s="1" t="s">
        <v>32</v>
      </c>
    </row>
    <row r="618" spans="1:20" ht="242.25" x14ac:dyDescent="0.25">
      <c r="A618" s="6">
        <v>615</v>
      </c>
      <c r="B618" s="1" t="str">
        <f t="shared" si="53"/>
        <v>2020-2</v>
      </c>
      <c r="C618" s="1" t="s">
        <v>976</v>
      </c>
      <c r="D618" s="1" t="s">
        <v>973</v>
      </c>
      <c r="E618" s="1" t="str">
        <f>""</f>
        <v/>
      </c>
      <c r="F618" s="1" t="s">
        <v>28</v>
      </c>
      <c r="G618"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18" s="7"/>
      <c r="I618" s="8" t="s">
        <v>542</v>
      </c>
      <c r="J618" s="8" t="s">
        <v>53</v>
      </c>
      <c r="K618" s="6" t="str">
        <f>"789.027,20"</f>
        <v>789.027,20</v>
      </c>
      <c r="L618" s="6" t="str">
        <f>"197.256,80"</f>
        <v>197.256,80</v>
      </c>
      <c r="M618" s="6" t="str">
        <f>"986.284,00"</f>
        <v>986.284,00</v>
      </c>
      <c r="N618" s="8" t="s">
        <v>257</v>
      </c>
      <c r="O618" s="7"/>
      <c r="P618" s="2" t="s">
        <v>6013</v>
      </c>
      <c r="Q618" s="1"/>
      <c r="R618" s="1"/>
      <c r="S618" s="1" t="str">
        <f>"7-21/NOS-19-2-ZGH/20"</f>
        <v>7-21/NOS-19-2-ZGH/20</v>
      </c>
      <c r="T618" s="1" t="s">
        <v>86</v>
      </c>
    </row>
    <row r="619" spans="1:20" ht="242.25" x14ac:dyDescent="0.25">
      <c r="A619" s="6">
        <v>616</v>
      </c>
      <c r="B619" s="1" t="str">
        <f t="shared" si="53"/>
        <v>2020-2</v>
      </c>
      <c r="C619" s="1" t="s">
        <v>977</v>
      </c>
      <c r="D619" s="1" t="s">
        <v>973</v>
      </c>
      <c r="E619" s="1" t="str">
        <f>""</f>
        <v/>
      </c>
      <c r="F619" s="1" t="s">
        <v>28</v>
      </c>
      <c r="G619"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19" s="7"/>
      <c r="I619" s="8" t="s">
        <v>634</v>
      </c>
      <c r="J619" s="8" t="s">
        <v>89</v>
      </c>
      <c r="K619" s="6" t="str">
        <f>"1.315.314,00"</f>
        <v>1.315.314,00</v>
      </c>
      <c r="L619" s="6" t="str">
        <f>"328.828,50"</f>
        <v>328.828,50</v>
      </c>
      <c r="M619" s="6" t="str">
        <f>"1.644.142,50"</f>
        <v>1.644.142,50</v>
      </c>
      <c r="N619" s="8" t="s">
        <v>978</v>
      </c>
      <c r="O619" s="7"/>
      <c r="P619" s="2" t="s">
        <v>5614</v>
      </c>
      <c r="Q619" s="7"/>
      <c r="R619" s="1"/>
      <c r="S619" s="1" t="str">
        <f>"8-21/NOS-19-2-ZGH/20"</f>
        <v>8-21/NOS-19-2-ZGH/20</v>
      </c>
      <c r="T619" s="1" t="s">
        <v>55</v>
      </c>
    </row>
    <row r="620" spans="1:20" ht="242.25" x14ac:dyDescent="0.25">
      <c r="A620" s="6">
        <v>617</v>
      </c>
      <c r="B620" s="1" t="str">
        <f t="shared" si="53"/>
        <v>2020-2</v>
      </c>
      <c r="C620" s="1" t="s">
        <v>979</v>
      </c>
      <c r="D620" s="1" t="s">
        <v>973</v>
      </c>
      <c r="E620" s="1" t="str">
        <f>""</f>
        <v/>
      </c>
      <c r="F620" s="1" t="s">
        <v>28</v>
      </c>
      <c r="G620"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0" s="7"/>
      <c r="I620" s="8" t="s">
        <v>919</v>
      </c>
      <c r="J620" s="8" t="s">
        <v>57</v>
      </c>
      <c r="K620" s="6" t="str">
        <f>"3.083.080,00"</f>
        <v>3.083.080,00</v>
      </c>
      <c r="L620" s="6" t="str">
        <f>"770.770,00"</f>
        <v>770.770,00</v>
      </c>
      <c r="M620" s="6" t="str">
        <f>"3.853.850,00"</f>
        <v>3.853.850,00</v>
      </c>
      <c r="N620" s="8" t="s">
        <v>240</v>
      </c>
      <c r="O620" s="7"/>
      <c r="P620" s="2" t="s">
        <v>6014</v>
      </c>
      <c r="Q620" s="7"/>
      <c r="R620" s="1"/>
      <c r="S620" s="1" t="str">
        <f>"6-22/NOS-19-2-ZGH/20"</f>
        <v>6-22/NOS-19-2-ZGH/20</v>
      </c>
      <c r="T620" s="1" t="s">
        <v>55</v>
      </c>
    </row>
    <row r="621" spans="1:20" ht="242.25" x14ac:dyDescent="0.25">
      <c r="A621" s="6">
        <v>618</v>
      </c>
      <c r="B621" s="1" t="str">
        <f t="shared" si="53"/>
        <v>2020-2</v>
      </c>
      <c r="C621" s="1" t="s">
        <v>980</v>
      </c>
      <c r="D621" s="1" t="s">
        <v>973</v>
      </c>
      <c r="E621" s="1" t="str">
        <f>""</f>
        <v/>
      </c>
      <c r="F621" s="1" t="s">
        <v>28</v>
      </c>
      <c r="G621"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1" s="7"/>
      <c r="I621" s="8" t="s">
        <v>163</v>
      </c>
      <c r="J621" s="8" t="s">
        <v>53</v>
      </c>
      <c r="K621" s="6" t="str">
        <f>"43.643,60"</f>
        <v>43.643,60</v>
      </c>
      <c r="L621" s="6" t="str">
        <f>"10.910,90"</f>
        <v>10.910,90</v>
      </c>
      <c r="M621" s="6" t="str">
        <f>"54.554,50"</f>
        <v>54.554,50</v>
      </c>
      <c r="N621" s="8" t="s">
        <v>939</v>
      </c>
      <c r="O621" s="7"/>
      <c r="P621" s="2" t="s">
        <v>6015</v>
      </c>
      <c r="Q621" s="7"/>
      <c r="R621" s="1"/>
      <c r="S621" s="1" t="str">
        <f>"7-22/NOS-19-2-ZGH/20"</f>
        <v>7-22/NOS-19-2-ZGH/20</v>
      </c>
      <c r="T621" s="1" t="s">
        <v>32</v>
      </c>
    </row>
    <row r="622" spans="1:20" ht="242.25" x14ac:dyDescent="0.25">
      <c r="A622" s="6">
        <v>619</v>
      </c>
      <c r="B622" s="1" t="str">
        <f t="shared" si="53"/>
        <v>2020-2</v>
      </c>
      <c r="C622" s="1" t="s">
        <v>981</v>
      </c>
      <c r="D622" s="1" t="s">
        <v>973</v>
      </c>
      <c r="E622" s="1" t="str">
        <f>""</f>
        <v/>
      </c>
      <c r="F622" s="1" t="s">
        <v>28</v>
      </c>
      <c r="G622"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2" s="7"/>
      <c r="I622" s="8" t="s">
        <v>401</v>
      </c>
      <c r="J622" s="8" t="s">
        <v>169</v>
      </c>
      <c r="K622" s="6" t="str">
        <f>"360.663,97"</f>
        <v>360.663,97</v>
      </c>
      <c r="L622" s="6" t="str">
        <f>"90.165,99"</f>
        <v>90.165,99</v>
      </c>
      <c r="M622" s="6" t="str">
        <f>"450.829,96"</f>
        <v>450.829,96</v>
      </c>
      <c r="N622" s="8" t="s">
        <v>564</v>
      </c>
      <c r="O622" s="7"/>
      <c r="P622" s="2" t="s">
        <v>6016</v>
      </c>
      <c r="Q622" s="7"/>
      <c r="R622" s="1"/>
      <c r="S622" s="1" t="str">
        <f>"10-22/NOS-19-2-ZGH/20"</f>
        <v>10-22/NOS-19-2-ZGH/20</v>
      </c>
      <c r="T622" s="1" t="s">
        <v>86</v>
      </c>
    </row>
    <row r="623" spans="1:20" ht="242.25" x14ac:dyDescent="0.25">
      <c r="A623" s="6">
        <v>620</v>
      </c>
      <c r="B623" s="1" t="str">
        <f t="shared" si="53"/>
        <v>2020-2</v>
      </c>
      <c r="C623" s="1" t="s">
        <v>982</v>
      </c>
      <c r="D623" s="1" t="s">
        <v>973</v>
      </c>
      <c r="E623" s="1" t="str">
        <f>""</f>
        <v/>
      </c>
      <c r="F623" s="1" t="s">
        <v>28</v>
      </c>
      <c r="G623"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3" s="7"/>
      <c r="I623" s="8" t="s">
        <v>919</v>
      </c>
      <c r="J623" s="8" t="s">
        <v>123</v>
      </c>
      <c r="K623" s="6" t="str">
        <f>"6.832.595,26"</f>
        <v>6.832.595,26</v>
      </c>
      <c r="L623" s="6" t="str">
        <f>"1.708.148,82"</f>
        <v>1.708.148,82</v>
      </c>
      <c r="M623" s="6" t="str">
        <f>"8.540.744,08"</f>
        <v>8.540.744,08</v>
      </c>
      <c r="N623" s="8" t="s">
        <v>124</v>
      </c>
      <c r="O623" s="7"/>
      <c r="P623" s="2" t="s">
        <v>6017</v>
      </c>
      <c r="Q623" s="1"/>
      <c r="R623" s="1"/>
      <c r="S623" s="1" t="str">
        <f>"9-22/NOS-19-2-ZGH/20"</f>
        <v>9-22/NOS-19-2-ZGH/20</v>
      </c>
      <c r="T623" s="1" t="s">
        <v>32</v>
      </c>
    </row>
    <row r="624" spans="1:20" ht="242.25" x14ac:dyDescent="0.25">
      <c r="A624" s="6">
        <v>621</v>
      </c>
      <c r="B624" s="1" t="str">
        <f t="shared" si="53"/>
        <v>2020-2</v>
      </c>
      <c r="C624" s="1" t="s">
        <v>983</v>
      </c>
      <c r="D624" s="1" t="s">
        <v>973</v>
      </c>
      <c r="E624" s="1" t="str">
        <f>""</f>
        <v/>
      </c>
      <c r="F624" s="1" t="s">
        <v>28</v>
      </c>
      <c r="G624"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4" s="7"/>
      <c r="I624" s="8" t="s">
        <v>281</v>
      </c>
      <c r="J624" s="8" t="s">
        <v>123</v>
      </c>
      <c r="K624" s="6" t="str">
        <f>"1.222.188,00"</f>
        <v>1.222.188,00</v>
      </c>
      <c r="L624" s="6" t="str">
        <f>"305.547,00"</f>
        <v>305.547,00</v>
      </c>
      <c r="M624" s="6" t="str">
        <f>"1.527.735,00"</f>
        <v>1.527.735,00</v>
      </c>
      <c r="N624" s="8" t="s">
        <v>124</v>
      </c>
      <c r="O624" s="7"/>
      <c r="P624" s="2" t="s">
        <v>5614</v>
      </c>
      <c r="Q624" s="7"/>
      <c r="R624" s="1"/>
      <c r="S624" s="1" t="str">
        <f>"11-22/NOS-19-2-ZGH/20"</f>
        <v>11-22/NOS-19-2-ZGH/20</v>
      </c>
      <c r="T624" s="1" t="s">
        <v>55</v>
      </c>
    </row>
    <row r="625" spans="1:20" ht="242.25" x14ac:dyDescent="0.25">
      <c r="A625" s="6">
        <v>622</v>
      </c>
      <c r="B625" s="1" t="str">
        <f t="shared" si="53"/>
        <v>2020-2</v>
      </c>
      <c r="C625" s="1" t="s">
        <v>984</v>
      </c>
      <c r="D625" s="1" t="s">
        <v>973</v>
      </c>
      <c r="E625" s="1" t="str">
        <f>""</f>
        <v/>
      </c>
      <c r="F625" s="1" t="s">
        <v>28</v>
      </c>
      <c r="G625" s="1" t="str">
        <f t="shared" si="54"/>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625" s="7"/>
      <c r="I625" s="8" t="s">
        <v>669</v>
      </c>
      <c r="J625" s="8" t="s">
        <v>123</v>
      </c>
      <c r="K625" s="6" t="str">
        <f>"286.316,90"</f>
        <v>286.316,90</v>
      </c>
      <c r="L625" s="6" t="str">
        <f>"71.579,23"</f>
        <v>71.579,23</v>
      </c>
      <c r="M625" s="6" t="str">
        <f>"357.896,13"</f>
        <v>357.896,13</v>
      </c>
      <c r="N625" s="8" t="s">
        <v>124</v>
      </c>
      <c r="O625" s="7"/>
      <c r="P625" s="2" t="s">
        <v>6018</v>
      </c>
      <c r="Q625" s="7"/>
      <c r="R625" s="1"/>
      <c r="S625" s="1" t="str">
        <f>"13-22/NOS-19-2-ZGH/20"</f>
        <v>13-22/NOS-19-2-ZGH/20</v>
      </c>
      <c r="T625" s="1" t="s">
        <v>86</v>
      </c>
    </row>
    <row r="626" spans="1:20" ht="242.25" x14ac:dyDescent="0.25">
      <c r="A626" s="6">
        <v>623</v>
      </c>
      <c r="B626" s="1" t="str">
        <f t="shared" si="53"/>
        <v>2020-2</v>
      </c>
      <c r="C626" s="1" t="s">
        <v>965</v>
      </c>
      <c r="D626" s="1" t="s">
        <v>973</v>
      </c>
      <c r="E626" s="1" t="str">
        <f>""</f>
        <v/>
      </c>
      <c r="F626" s="1" t="s">
        <v>28</v>
      </c>
      <c r="G626" s="1" t="str">
        <f>CONCATENATE("Zajednica ponuditelja:",CHAR(10),"VG TEH SECURITY D.O.O.,"," REMETINEČKI GAJ 2G,"," 10000 ZAGREB,"," OIB: 99584605551",CHAR(10),"SOKOL D.O.O.,"," TRG REPUBLIKE HRVATSKE 8/II,"," 10000 ZAGREB,"," OIB: 82812328597",CHAR(10),"SIGURNOST D.O.O.,"," IVANA GUNDULIĆA 5,"," 31000 OSIJEK,"," OIB: 77306500476",CHAR(10),"BILIĆ-ERIĆ D.O.O.,"," TRGOVAČKI CENTAR MILLENNIJUM,"," LJUDEVITA POSAVSKOG 3,"," 10360 SESVETE,"," OIB: 685801282")</f>
        <v>Zajednica ponuditelja:
VG TEH SECURITY D.O.O., REMETINEČKI GAJ 2G, 10000 ZAGREB, OIB: 99584605551
SOKOL D.O.O., TRG REPUBLIKE HRVATSKE 8/II, 10000 ZAGREB, OIB: 82812328597
SIGURNOST D.O.O., IVANA GUNDULIĆA 5, 31000 OSIJEK, OIB: 77306500476
BILIĆ-ERIĆ D.O.O., TRGOVAČKI CENTAR MILLENNIJUM, LJUDEVITA POSAVSKOG 3, 10360 SESVETE, OIB: 685801282</v>
      </c>
      <c r="H626" s="7"/>
      <c r="I626" s="8" t="s">
        <v>137</v>
      </c>
      <c r="J626" s="8" t="s">
        <v>985</v>
      </c>
      <c r="K626" s="6" t="str">
        <f>"34.034,00"</f>
        <v>34.034,00</v>
      </c>
      <c r="L626" s="6" t="str">
        <f>"7.977,97"</f>
        <v>7.977,97</v>
      </c>
      <c r="M626" s="6" t="str">
        <f>"42.011,97"</f>
        <v>42.011,97</v>
      </c>
      <c r="N626" s="8" t="s">
        <v>955</v>
      </c>
      <c r="O626" s="7"/>
      <c r="P626" s="2" t="s">
        <v>6019</v>
      </c>
      <c r="Q626" s="7"/>
      <c r="R626" s="1"/>
      <c r="S626" s="1" t="str">
        <f>"9-21/NOS-19-2-ZGH/20"</f>
        <v>9-21/NOS-19-2-ZGH/20</v>
      </c>
      <c r="T626" s="1" t="s">
        <v>32</v>
      </c>
    </row>
    <row r="627" spans="1:20" ht="76.5" x14ac:dyDescent="0.25">
      <c r="A627" s="6">
        <v>624</v>
      </c>
      <c r="B627" s="1" t="str">
        <f t="shared" ref="B627:B667" si="55">"2019-2434"</f>
        <v>2019-2434</v>
      </c>
      <c r="C627" s="1" t="s">
        <v>986</v>
      </c>
      <c r="D627" s="1" t="s">
        <v>914</v>
      </c>
      <c r="E627" s="1" t="str">
        <f>"2020/S 0F2-0017360"</f>
        <v>2020/S 0F2-0017360</v>
      </c>
      <c r="F627" s="1" t="s">
        <v>22</v>
      </c>
      <c r="G627" s="1" t="str">
        <f t="shared" ref="G627:G667" si="56">CONCATENATE("STAR IMPORT D.O.O.,"," KOVINSKA 5,"," 10090 ZAGREB-SUSEDGRAD,"," OIB: 783122799")</f>
        <v>STAR IMPORT D.O.O., KOVINSKA 5, 10090 ZAGREB-SUSEDGRAD, OIB: 783122799</v>
      </c>
      <c r="H627" s="7"/>
      <c r="I627" s="8" t="s">
        <v>987</v>
      </c>
      <c r="J627" s="8" t="s">
        <v>368</v>
      </c>
      <c r="K627" s="6" t="str">
        <f>"6.600.000,00"</f>
        <v>6.600.000,00</v>
      </c>
      <c r="L627" s="6" t="str">
        <f>"1.650.000,00"</f>
        <v>1.650.000,00</v>
      </c>
      <c r="M627" s="6" t="str">
        <f>"8.250.000,00"</f>
        <v>8.250.000,00</v>
      </c>
      <c r="N627" s="8" t="s">
        <v>374</v>
      </c>
      <c r="O627" s="7"/>
      <c r="P627" s="2" t="s">
        <v>5614</v>
      </c>
      <c r="Q627" s="7"/>
      <c r="R627" s="1"/>
      <c r="S627" s="1" t="str">
        <f>"NOS-109-A/19"</f>
        <v>NOS-109-A/19</v>
      </c>
      <c r="T627" s="1" t="s">
        <v>27</v>
      </c>
    </row>
    <row r="628" spans="1:20" ht="102" x14ac:dyDescent="0.25">
      <c r="A628" s="6">
        <v>625</v>
      </c>
      <c r="B628" s="1" t="str">
        <f t="shared" si="55"/>
        <v>2019-2434</v>
      </c>
      <c r="C628" s="1" t="s">
        <v>988</v>
      </c>
      <c r="D628" s="1" t="s">
        <v>815</v>
      </c>
      <c r="E628" s="1" t="str">
        <f>""</f>
        <v/>
      </c>
      <c r="F628" s="1" t="s">
        <v>28</v>
      </c>
      <c r="G628" s="1" t="str">
        <f t="shared" si="56"/>
        <v>STAR IMPORT D.O.O., KOVINSKA 5, 10090 ZAGREB-SUSEDGRAD, OIB: 783122799</v>
      </c>
      <c r="H628" s="7"/>
      <c r="I628" s="8" t="s">
        <v>126</v>
      </c>
      <c r="J628" s="8" t="s">
        <v>41</v>
      </c>
      <c r="K628" s="6" t="str">
        <f>"350.000,27"</f>
        <v>350.000,27</v>
      </c>
      <c r="L628" s="6" t="str">
        <f>"87.500,07"</f>
        <v>87.500,07</v>
      </c>
      <c r="M628" s="6" t="str">
        <f>"437.500,34"</f>
        <v>437.500,34</v>
      </c>
      <c r="N628" s="8" t="s">
        <v>214</v>
      </c>
      <c r="O628" s="7"/>
      <c r="P628" s="2" t="s">
        <v>6020</v>
      </c>
      <c r="Q628" s="7"/>
      <c r="R628" s="1"/>
      <c r="S628" s="1" t="str">
        <f>"110-21/NOS-109-A/19"</f>
        <v>110-21/NOS-109-A/19</v>
      </c>
      <c r="T628" s="1" t="s">
        <v>32</v>
      </c>
    </row>
    <row r="629" spans="1:20" ht="102" x14ac:dyDescent="0.25">
      <c r="A629" s="6">
        <v>626</v>
      </c>
      <c r="B629" s="1" t="str">
        <f t="shared" si="55"/>
        <v>2019-2434</v>
      </c>
      <c r="C629" s="1" t="s">
        <v>989</v>
      </c>
      <c r="D629" s="1" t="s">
        <v>815</v>
      </c>
      <c r="E629" s="1" t="str">
        <f>""</f>
        <v/>
      </c>
      <c r="F629" s="1" t="s">
        <v>28</v>
      </c>
      <c r="G629" s="1" t="str">
        <f t="shared" si="56"/>
        <v>STAR IMPORT D.O.O., KOVINSKA 5, 10090 ZAGREB-SUSEDGRAD, OIB: 783122799</v>
      </c>
      <c r="H629" s="7"/>
      <c r="I629" s="8" t="s">
        <v>137</v>
      </c>
      <c r="J629" s="8" t="s">
        <v>57</v>
      </c>
      <c r="K629" s="6" t="str">
        <f>"365.981,92"</f>
        <v>365.981,92</v>
      </c>
      <c r="L629" s="6" t="str">
        <f>"91.495,48"</f>
        <v>91.495,48</v>
      </c>
      <c r="M629" s="6" t="str">
        <f>"457.477,40"</f>
        <v>457.477,40</v>
      </c>
      <c r="N629" s="8" t="s">
        <v>291</v>
      </c>
      <c r="O629" s="7"/>
      <c r="P629" s="2" t="s">
        <v>6021</v>
      </c>
      <c r="Q629" s="1" t="s">
        <v>5599</v>
      </c>
      <c r="R629" s="1"/>
      <c r="S629" s="1" t="str">
        <f>"116-21/NOS-109-A/19"</f>
        <v>116-21/NOS-109-A/19</v>
      </c>
      <c r="T629" s="1" t="s">
        <v>32</v>
      </c>
    </row>
    <row r="630" spans="1:20" ht="102" x14ac:dyDescent="0.25">
      <c r="A630" s="6">
        <v>627</v>
      </c>
      <c r="B630" s="1" t="str">
        <f t="shared" si="55"/>
        <v>2019-2434</v>
      </c>
      <c r="C630" s="1" t="s">
        <v>990</v>
      </c>
      <c r="D630" s="1" t="s">
        <v>815</v>
      </c>
      <c r="E630" s="1" t="str">
        <f>""</f>
        <v/>
      </c>
      <c r="F630" s="1" t="s">
        <v>28</v>
      </c>
      <c r="G630" s="1" t="str">
        <f t="shared" si="56"/>
        <v>STAR IMPORT D.O.O., KOVINSKA 5, 10090 ZAGREB-SUSEDGRAD, OIB: 783122799</v>
      </c>
      <c r="H630" s="7"/>
      <c r="I630" s="8" t="s">
        <v>257</v>
      </c>
      <c r="J630" s="8" t="s">
        <v>214</v>
      </c>
      <c r="K630" s="6" t="str">
        <f>"1.499.622,84"</f>
        <v>1.499.622,84</v>
      </c>
      <c r="L630" s="6" t="str">
        <f>"374.905,71"</f>
        <v>374.905,71</v>
      </c>
      <c r="M630" s="6" t="str">
        <f>"1.874.528,55"</f>
        <v>1.874.528,55</v>
      </c>
      <c r="N630" s="8" t="s">
        <v>121</v>
      </c>
      <c r="O630" s="7"/>
      <c r="P630" s="2" t="s">
        <v>6022</v>
      </c>
      <c r="Q630" s="7"/>
      <c r="R630" s="1"/>
      <c r="S630" s="1" t="str">
        <f>"7-22/NOS-109-A/19"</f>
        <v>7-22/NOS-109-A/19</v>
      </c>
      <c r="T630" s="1" t="s">
        <v>32</v>
      </c>
    </row>
    <row r="631" spans="1:20" ht="102" x14ac:dyDescent="0.25">
      <c r="A631" s="6">
        <v>628</v>
      </c>
      <c r="B631" s="1" t="str">
        <f t="shared" si="55"/>
        <v>2019-2434</v>
      </c>
      <c r="C631" s="1" t="s">
        <v>991</v>
      </c>
      <c r="D631" s="1" t="s">
        <v>815</v>
      </c>
      <c r="E631" s="1" t="str">
        <f>""</f>
        <v/>
      </c>
      <c r="F631" s="1" t="s">
        <v>28</v>
      </c>
      <c r="G631" s="1" t="str">
        <f t="shared" si="56"/>
        <v>STAR IMPORT D.O.O., KOVINSKA 5, 10090 ZAGREB-SUSEDGRAD, OIB: 783122799</v>
      </c>
      <c r="H631" s="7"/>
      <c r="I631" s="8" t="s">
        <v>499</v>
      </c>
      <c r="J631" s="8" t="s">
        <v>123</v>
      </c>
      <c r="K631" s="6" t="str">
        <f>"200.381,70"</f>
        <v>200.381,70</v>
      </c>
      <c r="L631" s="6" t="str">
        <f>"50.095,43"</f>
        <v>50.095,43</v>
      </c>
      <c r="M631" s="6" t="str">
        <f>"250.477,13"</f>
        <v>250.477,13</v>
      </c>
      <c r="N631" s="8" t="s">
        <v>458</v>
      </c>
      <c r="O631" s="7"/>
      <c r="P631" s="2" t="s">
        <v>6023</v>
      </c>
      <c r="Q631" s="1" t="s">
        <v>582</v>
      </c>
      <c r="R631" s="1"/>
      <c r="S631" s="1" t="str">
        <f>"8-22/NOS-109-A/19"</f>
        <v>8-22/NOS-109-A/19</v>
      </c>
      <c r="T631" s="1" t="s">
        <v>32</v>
      </c>
    </row>
    <row r="632" spans="1:20" ht="102" x14ac:dyDescent="0.25">
      <c r="A632" s="6">
        <v>629</v>
      </c>
      <c r="B632" s="1" t="str">
        <f t="shared" si="55"/>
        <v>2019-2434</v>
      </c>
      <c r="C632" s="1" t="s">
        <v>992</v>
      </c>
      <c r="D632" s="1" t="s">
        <v>815</v>
      </c>
      <c r="E632" s="1" t="str">
        <f>""</f>
        <v/>
      </c>
      <c r="F632" s="1" t="s">
        <v>28</v>
      </c>
      <c r="G632" s="1" t="str">
        <f t="shared" si="56"/>
        <v>STAR IMPORT D.O.O., KOVINSKA 5, 10090 ZAGREB-SUSEDGRAD, OIB: 783122799</v>
      </c>
      <c r="H632" s="7"/>
      <c r="I632" s="8" t="s">
        <v>535</v>
      </c>
      <c r="J632" s="8" t="s">
        <v>490</v>
      </c>
      <c r="K632" s="6" t="str">
        <f>"226.829,04"</f>
        <v>226.829,04</v>
      </c>
      <c r="L632" s="6" t="str">
        <f>"56.707,26"</f>
        <v>56.707,26</v>
      </c>
      <c r="M632" s="6" t="str">
        <f>"283.536,30"</f>
        <v>283.536,30</v>
      </c>
      <c r="N632" s="8" t="s">
        <v>124</v>
      </c>
      <c r="O632" s="7"/>
      <c r="P632" s="2" t="s">
        <v>6024</v>
      </c>
      <c r="Q632" s="1"/>
      <c r="R632" s="1"/>
      <c r="S632" s="1" t="str">
        <f>"30-22/NOS-109-A/19"</f>
        <v>30-22/NOS-109-A/19</v>
      </c>
      <c r="T632" s="1" t="s">
        <v>32</v>
      </c>
    </row>
    <row r="633" spans="1:20" ht="76.5" x14ac:dyDescent="0.25">
      <c r="A633" s="6">
        <v>630</v>
      </c>
      <c r="B633" s="1" t="str">
        <f t="shared" si="55"/>
        <v>2019-2434</v>
      </c>
      <c r="C633" s="1" t="s">
        <v>986</v>
      </c>
      <c r="D633" s="1" t="s">
        <v>815</v>
      </c>
      <c r="E633" s="1" t="str">
        <f>""</f>
        <v/>
      </c>
      <c r="F633" s="1" t="s">
        <v>28</v>
      </c>
      <c r="G633" s="1" t="str">
        <f t="shared" si="56"/>
        <v>STAR IMPORT D.O.O., KOVINSKA 5, 10090 ZAGREB-SUSEDGRAD, OIB: 783122799</v>
      </c>
      <c r="H633" s="7"/>
      <c r="I633" s="8" t="s">
        <v>220</v>
      </c>
      <c r="J633" s="8" t="s">
        <v>519</v>
      </c>
      <c r="K633" s="6" t="str">
        <f>"94.715,80"</f>
        <v>94.715,80</v>
      </c>
      <c r="L633" s="6" t="str">
        <f>"13.052,13"</f>
        <v>13.052,13</v>
      </c>
      <c r="M633" s="6" t="str">
        <f>"107.767,93"</f>
        <v>107.767,93</v>
      </c>
      <c r="N633" s="8" t="s">
        <v>748</v>
      </c>
      <c r="O633" s="7"/>
      <c r="P633" s="2" t="s">
        <v>6025</v>
      </c>
      <c r="Q633" s="7"/>
      <c r="R633" s="1"/>
      <c r="S633" s="1" t="str">
        <f>"1-22/NOS-109-A/19"</f>
        <v>1-22/NOS-109-A/19</v>
      </c>
      <c r="T633" s="1" t="s">
        <v>32</v>
      </c>
    </row>
    <row r="634" spans="1:20" ht="76.5" x14ac:dyDescent="0.25">
      <c r="A634" s="6">
        <v>631</v>
      </c>
      <c r="B634" s="1" t="str">
        <f t="shared" si="55"/>
        <v>2019-2434</v>
      </c>
      <c r="C634" s="1" t="s">
        <v>986</v>
      </c>
      <c r="D634" s="1" t="s">
        <v>815</v>
      </c>
      <c r="E634" s="1" t="str">
        <f>""</f>
        <v/>
      </c>
      <c r="F634" s="1" t="s">
        <v>28</v>
      </c>
      <c r="G634" s="1" t="str">
        <f t="shared" si="56"/>
        <v>STAR IMPORT D.O.O., KOVINSKA 5, 10090 ZAGREB-SUSEDGRAD, OIB: 783122799</v>
      </c>
      <c r="H634" s="7"/>
      <c r="I634" s="8" t="s">
        <v>754</v>
      </c>
      <c r="J634" s="8" t="s">
        <v>519</v>
      </c>
      <c r="K634" s="6" t="str">
        <f>"25.811,39"</f>
        <v>25.811,39</v>
      </c>
      <c r="L634" s="6" t="str">
        <f>"3.541,78"</f>
        <v>3.541,78</v>
      </c>
      <c r="M634" s="6" t="str">
        <f>"29.353,17"</f>
        <v>29.353,17</v>
      </c>
      <c r="N634" s="8" t="s">
        <v>406</v>
      </c>
      <c r="O634" s="7"/>
      <c r="P634" s="2" t="s">
        <v>6026</v>
      </c>
      <c r="Q634" s="7"/>
      <c r="R634" s="1"/>
      <c r="S634" s="1" t="str">
        <f>"2-22/NOS-109-A/19"</f>
        <v>2-22/NOS-109-A/19</v>
      </c>
      <c r="T634" s="1" t="s">
        <v>32</v>
      </c>
    </row>
    <row r="635" spans="1:20" ht="76.5" x14ac:dyDescent="0.25">
      <c r="A635" s="6">
        <v>632</v>
      </c>
      <c r="B635" s="1" t="str">
        <f t="shared" si="55"/>
        <v>2019-2434</v>
      </c>
      <c r="C635" s="1" t="s">
        <v>986</v>
      </c>
      <c r="D635" s="1" t="s">
        <v>815</v>
      </c>
      <c r="E635" s="1" t="str">
        <f>""</f>
        <v/>
      </c>
      <c r="F635" s="1" t="s">
        <v>28</v>
      </c>
      <c r="G635" s="1" t="str">
        <f t="shared" si="56"/>
        <v>STAR IMPORT D.O.O., KOVINSKA 5, 10090 ZAGREB-SUSEDGRAD, OIB: 783122799</v>
      </c>
      <c r="H635" s="7"/>
      <c r="I635" s="8" t="s">
        <v>127</v>
      </c>
      <c r="J635" s="8" t="s">
        <v>519</v>
      </c>
      <c r="K635" s="6" t="str">
        <f>"39.320,90"</f>
        <v>39.320,90</v>
      </c>
      <c r="L635" s="6" t="str">
        <f>"9.830,23"</f>
        <v>9.830,23</v>
      </c>
      <c r="M635" s="6" t="str">
        <f>"49.151,13"</f>
        <v>49.151,13</v>
      </c>
      <c r="N635" s="8" t="s">
        <v>296</v>
      </c>
      <c r="O635" s="7"/>
      <c r="P635" s="2" t="s">
        <v>6027</v>
      </c>
      <c r="Q635" s="7"/>
      <c r="R635" s="1"/>
      <c r="S635" s="1" t="str">
        <f>"5-22/NOS-109-A/19"</f>
        <v>5-22/NOS-109-A/19</v>
      </c>
      <c r="T635" s="1" t="s">
        <v>32</v>
      </c>
    </row>
    <row r="636" spans="1:20" ht="76.5" x14ac:dyDescent="0.25">
      <c r="A636" s="6">
        <v>633</v>
      </c>
      <c r="B636" s="1" t="str">
        <f t="shared" si="55"/>
        <v>2019-2434</v>
      </c>
      <c r="C636" s="1" t="s">
        <v>986</v>
      </c>
      <c r="D636" s="1" t="s">
        <v>815</v>
      </c>
      <c r="E636" s="1" t="str">
        <f>""</f>
        <v/>
      </c>
      <c r="F636" s="1" t="s">
        <v>28</v>
      </c>
      <c r="G636" s="1" t="str">
        <f t="shared" si="56"/>
        <v>STAR IMPORT D.O.O., KOVINSKA 5, 10090 ZAGREB-SUSEDGRAD, OIB: 783122799</v>
      </c>
      <c r="H636" s="7"/>
      <c r="I636" s="8" t="s">
        <v>918</v>
      </c>
      <c r="J636" s="8" t="s">
        <v>519</v>
      </c>
      <c r="K636" s="6" t="str">
        <f>"27.457,70"</f>
        <v>27.457,70</v>
      </c>
      <c r="L636" s="6" t="str">
        <f>"5.953,32"</f>
        <v>5.953,32</v>
      </c>
      <c r="M636" s="6" t="str">
        <f>"33.411,02"</f>
        <v>33.411,02</v>
      </c>
      <c r="N636" s="8" t="s">
        <v>401</v>
      </c>
      <c r="O636" s="7"/>
      <c r="P636" s="2" t="s">
        <v>6028</v>
      </c>
      <c r="Q636" s="7"/>
      <c r="R636" s="1"/>
      <c r="S636" s="1" t="str">
        <f>"3-22/NOS-109-A/19"</f>
        <v>3-22/NOS-109-A/19</v>
      </c>
      <c r="T636" s="1" t="s">
        <v>32</v>
      </c>
    </row>
    <row r="637" spans="1:20" ht="76.5" x14ac:dyDescent="0.25">
      <c r="A637" s="6">
        <v>634</v>
      </c>
      <c r="B637" s="1" t="str">
        <f t="shared" si="55"/>
        <v>2019-2434</v>
      </c>
      <c r="C637" s="1" t="s">
        <v>986</v>
      </c>
      <c r="D637" s="1" t="s">
        <v>815</v>
      </c>
      <c r="E637" s="1" t="str">
        <f>""</f>
        <v/>
      </c>
      <c r="F637" s="1" t="s">
        <v>28</v>
      </c>
      <c r="G637" s="1" t="str">
        <f t="shared" si="56"/>
        <v>STAR IMPORT D.O.O., KOVINSKA 5, 10090 ZAGREB-SUSEDGRAD, OIB: 783122799</v>
      </c>
      <c r="H637" s="7"/>
      <c r="I637" s="8" t="s">
        <v>259</v>
      </c>
      <c r="J637" s="8" t="s">
        <v>519</v>
      </c>
      <c r="K637" s="6" t="str">
        <f>"3.897,39"</f>
        <v>3.897,39</v>
      </c>
      <c r="L637" s="6" t="str">
        <f>"974,35"</f>
        <v>974,35</v>
      </c>
      <c r="M637" s="6" t="str">
        <f>"4.871,74"</f>
        <v>4.871,74</v>
      </c>
      <c r="N637" s="8" t="s">
        <v>855</v>
      </c>
      <c r="O637" s="7"/>
      <c r="P637" s="2" t="s">
        <v>6029</v>
      </c>
      <c r="Q637" s="7"/>
      <c r="R637" s="1"/>
      <c r="S637" s="1" t="str">
        <f>"6-22/NOS-109-A/19"</f>
        <v>6-22/NOS-109-A/19</v>
      </c>
      <c r="T637" s="1" t="s">
        <v>32</v>
      </c>
    </row>
    <row r="638" spans="1:20" ht="76.5" x14ac:dyDescent="0.25">
      <c r="A638" s="6">
        <v>635</v>
      </c>
      <c r="B638" s="1" t="str">
        <f t="shared" si="55"/>
        <v>2019-2434</v>
      </c>
      <c r="C638" s="1" t="s">
        <v>986</v>
      </c>
      <c r="D638" s="1" t="s">
        <v>815</v>
      </c>
      <c r="E638" s="1" t="str">
        <f>""</f>
        <v/>
      </c>
      <c r="F638" s="1" t="s">
        <v>28</v>
      </c>
      <c r="G638" s="1" t="str">
        <f t="shared" si="56"/>
        <v>STAR IMPORT D.O.O., KOVINSKA 5, 10090 ZAGREB-SUSEDGRAD, OIB: 783122799</v>
      </c>
      <c r="H638" s="7"/>
      <c r="I638" s="8" t="s">
        <v>422</v>
      </c>
      <c r="J638" s="8" t="s">
        <v>555</v>
      </c>
      <c r="K638" s="6" t="str">
        <f>"7.612,39"</f>
        <v>7.612,39</v>
      </c>
      <c r="L638" s="6" t="str">
        <f>"1.905,47"</f>
        <v>1.905,47</v>
      </c>
      <c r="M638" s="6" t="str">
        <f>"9.517,86"</f>
        <v>9.517,86</v>
      </c>
      <c r="N638" s="8" t="s">
        <v>53</v>
      </c>
      <c r="O638" s="7"/>
      <c r="P638" s="2" t="s">
        <v>6030</v>
      </c>
      <c r="Q638" s="1" t="s">
        <v>488</v>
      </c>
      <c r="R638" s="1"/>
      <c r="S638" s="1" t="str">
        <f>"4-22/NOS-109-A/19"</f>
        <v>4-22/NOS-109-A/19</v>
      </c>
      <c r="T638" s="1" t="s">
        <v>55</v>
      </c>
    </row>
    <row r="639" spans="1:20" ht="76.5" x14ac:dyDescent="0.25">
      <c r="A639" s="6">
        <v>636</v>
      </c>
      <c r="B639" s="1" t="str">
        <f t="shared" si="55"/>
        <v>2019-2434</v>
      </c>
      <c r="C639" s="1" t="s">
        <v>986</v>
      </c>
      <c r="D639" s="1" t="s">
        <v>815</v>
      </c>
      <c r="E639" s="1" t="str">
        <f>""</f>
        <v/>
      </c>
      <c r="F639" s="1" t="s">
        <v>28</v>
      </c>
      <c r="G639" s="1" t="str">
        <f t="shared" si="56"/>
        <v>STAR IMPORT D.O.O., KOVINSKA 5, 10090 ZAGREB-SUSEDGRAD, OIB: 783122799</v>
      </c>
      <c r="H639" s="7"/>
      <c r="I639" s="8" t="s">
        <v>422</v>
      </c>
      <c r="J639" s="8" t="s">
        <v>519</v>
      </c>
      <c r="K639" s="6" t="str">
        <f>"6.234,78"</f>
        <v>6.234,78</v>
      </c>
      <c r="L639" s="6" t="str">
        <f>"1.558,70"</f>
        <v>1.558,70</v>
      </c>
      <c r="M639" s="6" t="str">
        <f>"7.793,48"</f>
        <v>7.793,48</v>
      </c>
      <c r="N639" s="8" t="s">
        <v>102</v>
      </c>
      <c r="O639" s="7"/>
      <c r="P639" s="2" t="s">
        <v>6031</v>
      </c>
      <c r="Q639" s="7"/>
      <c r="R639" s="1"/>
      <c r="S639" s="1" t="str">
        <f>"9-22/NOS-109-A/19"</f>
        <v>9-22/NOS-109-A/19</v>
      </c>
      <c r="T639" s="1" t="s">
        <v>32</v>
      </c>
    </row>
    <row r="640" spans="1:20" ht="76.5" x14ac:dyDescent="0.25">
      <c r="A640" s="6">
        <v>637</v>
      </c>
      <c r="B640" s="1" t="str">
        <f t="shared" si="55"/>
        <v>2019-2434</v>
      </c>
      <c r="C640" s="1" t="s">
        <v>986</v>
      </c>
      <c r="D640" s="1" t="s">
        <v>815</v>
      </c>
      <c r="E640" s="1" t="str">
        <f>""</f>
        <v/>
      </c>
      <c r="F640" s="1" t="s">
        <v>28</v>
      </c>
      <c r="G640" s="1" t="str">
        <f t="shared" si="56"/>
        <v>STAR IMPORT D.O.O., KOVINSKA 5, 10090 ZAGREB-SUSEDGRAD, OIB: 783122799</v>
      </c>
      <c r="H640" s="7"/>
      <c r="I640" s="8" t="s">
        <v>345</v>
      </c>
      <c r="J640" s="8" t="s">
        <v>519</v>
      </c>
      <c r="K640" s="6" t="str">
        <f>"1.527,90"</f>
        <v>1.527,90</v>
      </c>
      <c r="L640" s="6" t="str">
        <f>"381,98"</f>
        <v>381,98</v>
      </c>
      <c r="M640" s="6" t="str">
        <f>"1.909,88"</f>
        <v>1.909,88</v>
      </c>
      <c r="N640" s="8" t="s">
        <v>291</v>
      </c>
      <c r="O640" s="7"/>
      <c r="P640" s="2" t="s">
        <v>6032</v>
      </c>
      <c r="Q640" s="7"/>
      <c r="R640" s="1"/>
      <c r="S640" s="1" t="str">
        <f>"11-22/NOS-109-A/19"</f>
        <v>11-22/NOS-109-A/19</v>
      </c>
      <c r="T640" s="1" t="s">
        <v>32</v>
      </c>
    </row>
    <row r="641" spans="1:20" ht="76.5" x14ac:dyDescent="0.25">
      <c r="A641" s="6">
        <v>638</v>
      </c>
      <c r="B641" s="1" t="str">
        <f t="shared" si="55"/>
        <v>2019-2434</v>
      </c>
      <c r="C641" s="1" t="s">
        <v>986</v>
      </c>
      <c r="D641" s="1" t="s">
        <v>815</v>
      </c>
      <c r="E641" s="1" t="str">
        <f>""</f>
        <v/>
      </c>
      <c r="F641" s="1" t="s">
        <v>28</v>
      </c>
      <c r="G641" s="1" t="str">
        <f t="shared" si="56"/>
        <v>STAR IMPORT D.O.O., KOVINSKA 5, 10090 ZAGREB-SUSEDGRAD, OIB: 783122799</v>
      </c>
      <c r="H641" s="7"/>
      <c r="I641" s="8" t="s">
        <v>345</v>
      </c>
      <c r="J641" s="8" t="s">
        <v>519</v>
      </c>
      <c r="K641" s="6" t="str">
        <f>"13.812,18"</f>
        <v>13.812,18</v>
      </c>
      <c r="L641" s="6" t="str">
        <f>"3.453,05"</f>
        <v>3.453,05</v>
      </c>
      <c r="M641" s="6" t="str">
        <f>"17.265,23"</f>
        <v>17.265,23</v>
      </c>
      <c r="N641" s="8" t="s">
        <v>855</v>
      </c>
      <c r="O641" s="7"/>
      <c r="P641" s="2" t="s">
        <v>6033</v>
      </c>
      <c r="Q641" s="7"/>
      <c r="R641" s="1"/>
      <c r="S641" s="1" t="str">
        <f>"10-22/NOS-109-A/19"</f>
        <v>10-22/NOS-109-A/19</v>
      </c>
      <c r="T641" s="1" t="s">
        <v>32</v>
      </c>
    </row>
    <row r="642" spans="1:20" ht="76.5" x14ac:dyDescent="0.25">
      <c r="A642" s="6">
        <v>639</v>
      </c>
      <c r="B642" s="1" t="str">
        <f t="shared" si="55"/>
        <v>2019-2434</v>
      </c>
      <c r="C642" s="1" t="s">
        <v>986</v>
      </c>
      <c r="D642" s="1" t="s">
        <v>815</v>
      </c>
      <c r="E642" s="1" t="str">
        <f>""</f>
        <v/>
      </c>
      <c r="F642" s="1" t="s">
        <v>28</v>
      </c>
      <c r="G642" s="1" t="str">
        <f t="shared" si="56"/>
        <v>STAR IMPORT D.O.O., KOVINSKA 5, 10090 ZAGREB-SUSEDGRAD, OIB: 783122799</v>
      </c>
      <c r="H642" s="7"/>
      <c r="I642" s="8" t="s">
        <v>400</v>
      </c>
      <c r="J642" s="8" t="s">
        <v>519</v>
      </c>
      <c r="K642" s="6" t="str">
        <f>"1.031,38"</f>
        <v>1.031,38</v>
      </c>
      <c r="L642" s="6" t="str">
        <f>"257,85"</f>
        <v>257,85</v>
      </c>
      <c r="M642" s="6" t="str">
        <f>"1.289,23"</f>
        <v>1.289,23</v>
      </c>
      <c r="N642" s="8" t="s">
        <v>919</v>
      </c>
      <c r="O642" s="7"/>
      <c r="P642" s="2" t="s">
        <v>6034</v>
      </c>
      <c r="Q642" s="7"/>
      <c r="R642" s="1"/>
      <c r="S642" s="1" t="str">
        <f>"15-22/NOS-109-A/19"</f>
        <v>15-22/NOS-109-A/19</v>
      </c>
      <c r="T642" s="1" t="s">
        <v>32</v>
      </c>
    </row>
    <row r="643" spans="1:20" ht="76.5" x14ac:dyDescent="0.25">
      <c r="A643" s="6">
        <v>640</v>
      </c>
      <c r="B643" s="1" t="str">
        <f t="shared" si="55"/>
        <v>2019-2434</v>
      </c>
      <c r="C643" s="1" t="s">
        <v>986</v>
      </c>
      <c r="D643" s="1" t="s">
        <v>815</v>
      </c>
      <c r="E643" s="1" t="str">
        <f>""</f>
        <v/>
      </c>
      <c r="F643" s="1" t="s">
        <v>28</v>
      </c>
      <c r="G643" s="1" t="str">
        <f t="shared" si="56"/>
        <v>STAR IMPORT D.O.O., KOVINSKA 5, 10090 ZAGREB-SUSEDGRAD, OIB: 783122799</v>
      </c>
      <c r="H643" s="7"/>
      <c r="I643" s="8" t="s">
        <v>400</v>
      </c>
      <c r="J643" s="8" t="s">
        <v>519</v>
      </c>
      <c r="K643" s="6" t="str">
        <f>"963,78"</f>
        <v>963,78</v>
      </c>
      <c r="L643" s="6" t="str">
        <f>"62,71"</f>
        <v>62,71</v>
      </c>
      <c r="M643" s="6" t="str">
        <f>"1.026,49"</f>
        <v>1.026,49</v>
      </c>
      <c r="N643" s="8" t="s">
        <v>921</v>
      </c>
      <c r="O643" s="7"/>
      <c r="P643" s="2" t="s">
        <v>6035</v>
      </c>
      <c r="Q643" s="7"/>
      <c r="R643" s="1"/>
      <c r="S643" s="1" t="str">
        <f>"12-22/NOS-109-A/19"</f>
        <v>12-22/NOS-109-A/19</v>
      </c>
      <c r="T643" s="1" t="s">
        <v>55</v>
      </c>
    </row>
    <row r="644" spans="1:20" ht="76.5" x14ac:dyDescent="0.25">
      <c r="A644" s="6">
        <v>641</v>
      </c>
      <c r="B644" s="1" t="str">
        <f t="shared" si="55"/>
        <v>2019-2434</v>
      </c>
      <c r="C644" s="1" t="s">
        <v>986</v>
      </c>
      <c r="D644" s="1" t="s">
        <v>815</v>
      </c>
      <c r="E644" s="1" t="str">
        <f>""</f>
        <v/>
      </c>
      <c r="F644" s="1" t="s">
        <v>28</v>
      </c>
      <c r="G644" s="1" t="str">
        <f t="shared" si="56"/>
        <v>STAR IMPORT D.O.O., KOVINSKA 5, 10090 ZAGREB-SUSEDGRAD, OIB: 783122799</v>
      </c>
      <c r="H644" s="7"/>
      <c r="I644" s="8" t="s">
        <v>400</v>
      </c>
      <c r="J644" s="8" t="s">
        <v>519</v>
      </c>
      <c r="K644" s="6" t="str">
        <f>"3.798,80"</f>
        <v>3.798,80</v>
      </c>
      <c r="L644" s="6" t="str">
        <f>"949,70"</f>
        <v>949,70</v>
      </c>
      <c r="M644" s="6" t="str">
        <f>"4.748,50"</f>
        <v>4.748,50</v>
      </c>
      <c r="N644" s="8" t="s">
        <v>919</v>
      </c>
      <c r="O644" s="7"/>
      <c r="P644" s="2" t="s">
        <v>6036</v>
      </c>
      <c r="Q644" s="7"/>
      <c r="R644" s="1"/>
      <c r="S644" s="1" t="str">
        <f>"14-22/NOS-109-A/19"</f>
        <v>14-22/NOS-109-A/19</v>
      </c>
      <c r="T644" s="1" t="s">
        <v>32</v>
      </c>
    </row>
    <row r="645" spans="1:20" ht="76.5" x14ac:dyDescent="0.25">
      <c r="A645" s="6">
        <v>642</v>
      </c>
      <c r="B645" s="1" t="str">
        <f t="shared" si="55"/>
        <v>2019-2434</v>
      </c>
      <c r="C645" s="1" t="s">
        <v>986</v>
      </c>
      <c r="D645" s="1" t="s">
        <v>815</v>
      </c>
      <c r="E645" s="1" t="str">
        <f>""</f>
        <v/>
      </c>
      <c r="F645" s="1" t="s">
        <v>28</v>
      </c>
      <c r="G645" s="1" t="str">
        <f t="shared" si="56"/>
        <v>STAR IMPORT D.O.O., KOVINSKA 5, 10090 ZAGREB-SUSEDGRAD, OIB: 783122799</v>
      </c>
      <c r="H645" s="7"/>
      <c r="I645" s="8" t="s">
        <v>94</v>
      </c>
      <c r="J645" s="8" t="s">
        <v>519</v>
      </c>
      <c r="K645" s="6" t="str">
        <f>"122,48"</f>
        <v>122,48</v>
      </c>
      <c r="L645" s="6" t="str">
        <f>"30,62"</f>
        <v>30,62</v>
      </c>
      <c r="M645" s="6" t="str">
        <f>"153,10"</f>
        <v>153,10</v>
      </c>
      <c r="N645" s="8" t="s">
        <v>607</v>
      </c>
      <c r="O645" s="7"/>
      <c r="P645" s="2" t="s">
        <v>6037</v>
      </c>
      <c r="Q645" s="7"/>
      <c r="R645" s="1"/>
      <c r="S645" s="1" t="str">
        <f>"16-22/NOS-109-A/19"</f>
        <v>16-22/NOS-109-A/19</v>
      </c>
      <c r="T645" s="1" t="s">
        <v>32</v>
      </c>
    </row>
    <row r="646" spans="1:20" ht="76.5" x14ac:dyDescent="0.25">
      <c r="A646" s="6">
        <v>643</v>
      </c>
      <c r="B646" s="1" t="str">
        <f t="shared" si="55"/>
        <v>2019-2434</v>
      </c>
      <c r="C646" s="1" t="s">
        <v>986</v>
      </c>
      <c r="D646" s="1" t="s">
        <v>815</v>
      </c>
      <c r="E646" s="1" t="str">
        <f>""</f>
        <v/>
      </c>
      <c r="F646" s="1" t="s">
        <v>28</v>
      </c>
      <c r="G646" s="1" t="str">
        <f t="shared" si="56"/>
        <v>STAR IMPORT D.O.O., KOVINSKA 5, 10090 ZAGREB-SUSEDGRAD, OIB: 783122799</v>
      </c>
      <c r="H646" s="7"/>
      <c r="I646" s="8" t="s">
        <v>94</v>
      </c>
      <c r="J646" s="8" t="s">
        <v>519</v>
      </c>
      <c r="K646" s="6" t="str">
        <f>"289,70"</f>
        <v>289,70</v>
      </c>
      <c r="L646" s="6" t="str">
        <f>"72,43"</f>
        <v>72,43</v>
      </c>
      <c r="M646" s="6" t="str">
        <f>"362,13"</f>
        <v>362,13</v>
      </c>
      <c r="N646" s="8" t="s">
        <v>919</v>
      </c>
      <c r="O646" s="7"/>
      <c r="P646" s="2" t="s">
        <v>6038</v>
      </c>
      <c r="Q646" s="7"/>
      <c r="R646" s="1"/>
      <c r="S646" s="1" t="str">
        <f>"17-22/NOS-109-A/19"</f>
        <v>17-22/NOS-109-A/19</v>
      </c>
      <c r="T646" s="1" t="s">
        <v>32</v>
      </c>
    </row>
    <row r="647" spans="1:20" ht="76.5" x14ac:dyDescent="0.25">
      <c r="A647" s="6">
        <v>644</v>
      </c>
      <c r="B647" s="1" t="str">
        <f t="shared" si="55"/>
        <v>2019-2434</v>
      </c>
      <c r="C647" s="1" t="s">
        <v>986</v>
      </c>
      <c r="D647" s="1" t="s">
        <v>815</v>
      </c>
      <c r="E647" s="1" t="str">
        <f>""</f>
        <v/>
      </c>
      <c r="F647" s="1" t="s">
        <v>28</v>
      </c>
      <c r="G647" s="1" t="str">
        <f t="shared" si="56"/>
        <v>STAR IMPORT D.O.O., KOVINSKA 5, 10090 ZAGREB-SUSEDGRAD, OIB: 783122799</v>
      </c>
      <c r="H647" s="7"/>
      <c r="I647" s="8" t="s">
        <v>94</v>
      </c>
      <c r="J647" s="8" t="s">
        <v>519</v>
      </c>
      <c r="K647" s="6" t="str">
        <f>"582,18"</f>
        <v>582,18</v>
      </c>
      <c r="L647" s="6" t="str">
        <f>"145,55"</f>
        <v>145,55</v>
      </c>
      <c r="M647" s="6" t="str">
        <f>"727,73"</f>
        <v>727,73</v>
      </c>
      <c r="N647" s="8" t="s">
        <v>919</v>
      </c>
      <c r="O647" s="7"/>
      <c r="P647" s="2" t="s">
        <v>6039</v>
      </c>
      <c r="Q647" s="7"/>
      <c r="R647" s="1"/>
      <c r="S647" s="1" t="str">
        <f>"18-22/NOS-109-A/19"</f>
        <v>18-22/NOS-109-A/19</v>
      </c>
      <c r="T647" s="1" t="s">
        <v>32</v>
      </c>
    </row>
    <row r="648" spans="1:20" ht="76.5" x14ac:dyDescent="0.25">
      <c r="A648" s="6">
        <v>645</v>
      </c>
      <c r="B648" s="1" t="str">
        <f t="shared" si="55"/>
        <v>2019-2434</v>
      </c>
      <c r="C648" s="1" t="s">
        <v>986</v>
      </c>
      <c r="D648" s="1" t="s">
        <v>815</v>
      </c>
      <c r="E648" s="1" t="str">
        <f>""</f>
        <v/>
      </c>
      <c r="F648" s="1" t="s">
        <v>28</v>
      </c>
      <c r="G648" s="1" t="str">
        <f t="shared" si="56"/>
        <v>STAR IMPORT D.O.O., KOVINSKA 5, 10090 ZAGREB-SUSEDGRAD, OIB: 783122799</v>
      </c>
      <c r="H648" s="7"/>
      <c r="I648" s="8" t="s">
        <v>291</v>
      </c>
      <c r="J648" s="8" t="s">
        <v>993</v>
      </c>
      <c r="K648" s="6" t="str">
        <f>"1.479,89"</f>
        <v>1.479,89</v>
      </c>
      <c r="L648" s="6" t="str">
        <f>"0,00"</f>
        <v>0,00</v>
      </c>
      <c r="M648" s="6" t="str">
        <f>"1.479,89"</f>
        <v>1.479,89</v>
      </c>
      <c r="N648" s="8" t="s">
        <v>124</v>
      </c>
      <c r="O648" s="7"/>
      <c r="P648" s="2" t="s">
        <v>5614</v>
      </c>
      <c r="Q648" s="7"/>
      <c r="R648" s="1"/>
      <c r="S648" s="1" t="str">
        <f>"19-22/NOS-109-A/19"</f>
        <v>19-22/NOS-109-A/19</v>
      </c>
      <c r="T648" s="1" t="s">
        <v>55</v>
      </c>
    </row>
    <row r="649" spans="1:20" ht="76.5" x14ac:dyDescent="0.25">
      <c r="A649" s="6">
        <v>646</v>
      </c>
      <c r="B649" s="1" t="str">
        <f t="shared" si="55"/>
        <v>2019-2434</v>
      </c>
      <c r="C649" s="1" t="s">
        <v>986</v>
      </c>
      <c r="D649" s="1" t="s">
        <v>815</v>
      </c>
      <c r="E649" s="1" t="str">
        <f>""</f>
        <v/>
      </c>
      <c r="F649" s="1" t="s">
        <v>28</v>
      </c>
      <c r="G649" s="1" t="str">
        <f t="shared" si="56"/>
        <v>STAR IMPORT D.O.O., KOVINSKA 5, 10090 ZAGREB-SUSEDGRAD, OIB: 783122799</v>
      </c>
      <c r="H649" s="7"/>
      <c r="I649" s="8" t="s">
        <v>262</v>
      </c>
      <c r="J649" s="8" t="s">
        <v>519</v>
      </c>
      <c r="K649" s="6" t="str">
        <f>"4.738,30"</f>
        <v>4.738,30</v>
      </c>
      <c r="L649" s="6" t="str">
        <f>"1.184,58"</f>
        <v>1.184,58</v>
      </c>
      <c r="M649" s="6" t="str">
        <f>"5.922,88"</f>
        <v>5.922,88</v>
      </c>
      <c r="N649" s="8" t="s">
        <v>72</v>
      </c>
      <c r="O649" s="7"/>
      <c r="P649" s="2" t="s">
        <v>6040</v>
      </c>
      <c r="Q649" s="7"/>
      <c r="R649" s="1"/>
      <c r="S649" s="1" t="str">
        <f>"20-22/NOS-109-A/19"</f>
        <v>20-22/NOS-109-A/19</v>
      </c>
      <c r="T649" s="1" t="s">
        <v>32</v>
      </c>
    </row>
    <row r="650" spans="1:20" ht="76.5" x14ac:dyDescent="0.25">
      <c r="A650" s="6">
        <v>647</v>
      </c>
      <c r="B650" s="1" t="str">
        <f t="shared" si="55"/>
        <v>2019-2434</v>
      </c>
      <c r="C650" s="1" t="s">
        <v>986</v>
      </c>
      <c r="D650" s="1" t="s">
        <v>815</v>
      </c>
      <c r="E650" s="1" t="str">
        <f>""</f>
        <v/>
      </c>
      <c r="F650" s="1" t="s">
        <v>28</v>
      </c>
      <c r="G650" s="1" t="str">
        <f t="shared" si="56"/>
        <v>STAR IMPORT D.O.O., KOVINSKA 5, 10090 ZAGREB-SUSEDGRAD, OIB: 783122799</v>
      </c>
      <c r="H650" s="7"/>
      <c r="I650" s="8" t="s">
        <v>247</v>
      </c>
      <c r="J650" s="8" t="s">
        <v>555</v>
      </c>
      <c r="K650" s="6" t="str">
        <f>"160,92"</f>
        <v>160,92</v>
      </c>
      <c r="L650" s="6" t="str">
        <f>"40,23"</f>
        <v>40,23</v>
      </c>
      <c r="M650" s="6" t="str">
        <f>"201,15"</f>
        <v>201,15</v>
      </c>
      <c r="N650" s="8" t="s">
        <v>308</v>
      </c>
      <c r="O650" s="7"/>
      <c r="P650" s="2" t="s">
        <v>6041</v>
      </c>
      <c r="Q650" s="7"/>
      <c r="R650" s="1"/>
      <c r="S650" s="1" t="str">
        <f>"23-22/NOS-109-A/19"</f>
        <v>23-22/NOS-109-A/19</v>
      </c>
      <c r="T650" s="1" t="s">
        <v>55</v>
      </c>
    </row>
    <row r="651" spans="1:20" ht="76.5" x14ac:dyDescent="0.25">
      <c r="A651" s="6">
        <v>648</v>
      </c>
      <c r="B651" s="1" t="str">
        <f t="shared" si="55"/>
        <v>2019-2434</v>
      </c>
      <c r="C651" s="1" t="s">
        <v>986</v>
      </c>
      <c r="D651" s="1" t="s">
        <v>815</v>
      </c>
      <c r="E651" s="1" t="str">
        <f>""</f>
        <v/>
      </c>
      <c r="F651" s="1" t="s">
        <v>28</v>
      </c>
      <c r="G651" s="1" t="str">
        <f t="shared" si="56"/>
        <v>STAR IMPORT D.O.O., KOVINSKA 5, 10090 ZAGREB-SUSEDGRAD, OIB: 783122799</v>
      </c>
      <c r="H651" s="7"/>
      <c r="I651" s="8" t="s">
        <v>247</v>
      </c>
      <c r="J651" s="8" t="s">
        <v>555</v>
      </c>
      <c r="K651" s="6" t="str">
        <f>"328,42"</f>
        <v>328,42</v>
      </c>
      <c r="L651" s="6" t="str">
        <f>"82,11"</f>
        <v>82,11</v>
      </c>
      <c r="M651" s="6" t="str">
        <f>"410,53"</f>
        <v>410,53</v>
      </c>
      <c r="N651" s="8" t="s">
        <v>308</v>
      </c>
      <c r="O651" s="7"/>
      <c r="P651" s="2" t="s">
        <v>6042</v>
      </c>
      <c r="Q651" s="7"/>
      <c r="R651" s="1"/>
      <c r="S651" s="1" t="str">
        <f>"22-22/NOS-109-A/19"</f>
        <v>22-22/NOS-109-A/19</v>
      </c>
      <c r="T651" s="1" t="s">
        <v>55</v>
      </c>
    </row>
    <row r="652" spans="1:20" ht="76.5" x14ac:dyDescent="0.25">
      <c r="A652" s="6">
        <v>649</v>
      </c>
      <c r="B652" s="1" t="str">
        <f t="shared" si="55"/>
        <v>2019-2434</v>
      </c>
      <c r="C652" s="1" t="s">
        <v>986</v>
      </c>
      <c r="D652" s="1" t="s">
        <v>815</v>
      </c>
      <c r="E652" s="1" t="str">
        <f>""</f>
        <v/>
      </c>
      <c r="F652" s="1" t="s">
        <v>28</v>
      </c>
      <c r="G652" s="1" t="str">
        <f t="shared" si="56"/>
        <v>STAR IMPORT D.O.O., KOVINSKA 5, 10090 ZAGREB-SUSEDGRAD, OIB: 783122799</v>
      </c>
      <c r="H652" s="7"/>
      <c r="I652" s="8" t="s">
        <v>247</v>
      </c>
      <c r="J652" s="8" t="s">
        <v>519</v>
      </c>
      <c r="K652" s="6" t="str">
        <f>"2.144,05"</f>
        <v>2.144,05</v>
      </c>
      <c r="L652" s="6" t="str">
        <f>"536,01"</f>
        <v>536,01</v>
      </c>
      <c r="M652" s="6" t="str">
        <f>"2.680,06"</f>
        <v>2.680,06</v>
      </c>
      <c r="N652" s="8" t="s">
        <v>308</v>
      </c>
      <c r="O652" s="7"/>
      <c r="P652" s="2" t="s">
        <v>6043</v>
      </c>
      <c r="Q652" s="7"/>
      <c r="R652" s="1"/>
      <c r="S652" s="1" t="str">
        <f>"21-22/NOS-109-A/19"</f>
        <v>21-22/NOS-109-A/19</v>
      </c>
      <c r="T652" s="1" t="s">
        <v>55</v>
      </c>
    </row>
    <row r="653" spans="1:20" ht="76.5" x14ac:dyDescent="0.25">
      <c r="A653" s="6">
        <v>650</v>
      </c>
      <c r="B653" s="1" t="str">
        <f t="shared" si="55"/>
        <v>2019-2434</v>
      </c>
      <c r="C653" s="1" t="s">
        <v>986</v>
      </c>
      <c r="D653" s="1" t="s">
        <v>815</v>
      </c>
      <c r="E653" s="1" t="str">
        <f>""</f>
        <v/>
      </c>
      <c r="F653" s="1" t="s">
        <v>28</v>
      </c>
      <c r="G653" s="1" t="str">
        <f t="shared" si="56"/>
        <v>STAR IMPORT D.O.O., KOVINSKA 5, 10090 ZAGREB-SUSEDGRAD, OIB: 783122799</v>
      </c>
      <c r="H653" s="7"/>
      <c r="I653" s="8" t="s">
        <v>405</v>
      </c>
      <c r="J653" s="8" t="s">
        <v>519</v>
      </c>
      <c r="K653" s="6" t="str">
        <f>"321,84"</f>
        <v>321,84</v>
      </c>
      <c r="L653" s="6" t="str">
        <f>"80,48"</f>
        <v>80,48</v>
      </c>
      <c r="M653" s="6" t="str">
        <f>"402,32"</f>
        <v>402,32</v>
      </c>
      <c r="N653" s="8" t="s">
        <v>505</v>
      </c>
      <c r="O653" s="7"/>
      <c r="P653" s="2" t="s">
        <v>6044</v>
      </c>
      <c r="Q653" s="1" t="s">
        <v>5599</v>
      </c>
      <c r="R653" s="1"/>
      <c r="S653" s="1" t="str">
        <f>"24-22/NOS-109-A/19"</f>
        <v>24-22/NOS-109-A/19</v>
      </c>
      <c r="T653" s="1" t="s">
        <v>55</v>
      </c>
    </row>
    <row r="654" spans="1:20" ht="76.5" x14ac:dyDescent="0.25">
      <c r="A654" s="6">
        <v>651</v>
      </c>
      <c r="B654" s="1" t="str">
        <f t="shared" si="55"/>
        <v>2019-2434</v>
      </c>
      <c r="C654" s="1" t="s">
        <v>986</v>
      </c>
      <c r="D654" s="1" t="s">
        <v>815</v>
      </c>
      <c r="E654" s="1" t="str">
        <f>""</f>
        <v/>
      </c>
      <c r="F654" s="1" t="s">
        <v>28</v>
      </c>
      <c r="G654" s="1" t="str">
        <f t="shared" si="56"/>
        <v>STAR IMPORT D.O.O., KOVINSKA 5, 10090 ZAGREB-SUSEDGRAD, OIB: 783122799</v>
      </c>
      <c r="H654" s="7"/>
      <c r="I654" s="8" t="s">
        <v>635</v>
      </c>
      <c r="J654" s="8" t="s">
        <v>519</v>
      </c>
      <c r="K654" s="6" t="str">
        <f>"7.047,38"</f>
        <v>7.047,38</v>
      </c>
      <c r="L654" s="6" t="str">
        <f>"1.761,86"</f>
        <v>1.761,86</v>
      </c>
      <c r="M654" s="6" t="str">
        <f>"8.809,24"</f>
        <v>8.809,24</v>
      </c>
      <c r="N654" s="8" t="s">
        <v>505</v>
      </c>
      <c r="O654" s="7"/>
      <c r="P654" s="2" t="s">
        <v>6045</v>
      </c>
      <c r="Q654" s="7"/>
      <c r="R654" s="1"/>
      <c r="S654" s="1" t="str">
        <f>"25-22/NOS-109-A/19"</f>
        <v>25-22/NOS-109-A/19</v>
      </c>
      <c r="T654" s="1" t="s">
        <v>55</v>
      </c>
    </row>
    <row r="655" spans="1:20" ht="76.5" x14ac:dyDescent="0.25">
      <c r="A655" s="6">
        <v>652</v>
      </c>
      <c r="B655" s="1" t="str">
        <f t="shared" si="55"/>
        <v>2019-2434</v>
      </c>
      <c r="C655" s="1" t="s">
        <v>986</v>
      </c>
      <c r="D655" s="1" t="s">
        <v>815</v>
      </c>
      <c r="E655" s="1" t="str">
        <f>""</f>
        <v/>
      </c>
      <c r="F655" s="1" t="s">
        <v>28</v>
      </c>
      <c r="G655" s="1" t="str">
        <f t="shared" si="56"/>
        <v>STAR IMPORT D.O.O., KOVINSKA 5, 10090 ZAGREB-SUSEDGRAD, OIB: 783122799</v>
      </c>
      <c r="H655" s="7"/>
      <c r="I655" s="8" t="s">
        <v>994</v>
      </c>
      <c r="J655" s="8" t="s">
        <v>519</v>
      </c>
      <c r="K655" s="6" t="str">
        <f>"103,88"</f>
        <v>103,88</v>
      </c>
      <c r="L655" s="6" t="str">
        <f>"0,00"</f>
        <v>0,00</v>
      </c>
      <c r="M655" s="6" t="str">
        <f>"103,88"</f>
        <v>103,88</v>
      </c>
      <c r="N655" s="8" t="s">
        <v>124</v>
      </c>
      <c r="O655" s="7"/>
      <c r="P655" s="2" t="s">
        <v>5614</v>
      </c>
      <c r="Q655" s="7"/>
      <c r="R655" s="1"/>
      <c r="S655" s="1" t="str">
        <f>"26-22/NOS-109-A/19"</f>
        <v>26-22/NOS-109-A/19</v>
      </c>
      <c r="T655" s="1" t="s">
        <v>55</v>
      </c>
    </row>
    <row r="656" spans="1:20" ht="76.5" x14ac:dyDescent="0.25">
      <c r="A656" s="6">
        <v>653</v>
      </c>
      <c r="B656" s="1" t="str">
        <f t="shared" si="55"/>
        <v>2019-2434</v>
      </c>
      <c r="C656" s="1" t="s">
        <v>986</v>
      </c>
      <c r="D656" s="1" t="s">
        <v>815</v>
      </c>
      <c r="E656" s="1" t="str">
        <f>""</f>
        <v/>
      </c>
      <c r="F656" s="1" t="s">
        <v>28</v>
      </c>
      <c r="G656" s="1" t="str">
        <f t="shared" si="56"/>
        <v>STAR IMPORT D.O.O., KOVINSKA 5, 10090 ZAGREB-SUSEDGRAD, OIB: 783122799</v>
      </c>
      <c r="H656" s="7"/>
      <c r="I656" s="8" t="s">
        <v>442</v>
      </c>
      <c r="J656" s="8" t="s">
        <v>555</v>
      </c>
      <c r="K656" s="6" t="str">
        <f>"162,48"</f>
        <v>162,48</v>
      </c>
      <c r="L656" s="6" t="str">
        <f>"40,62"</f>
        <v>40,62</v>
      </c>
      <c r="M656" s="6" t="str">
        <f>"203,10"</f>
        <v>203,10</v>
      </c>
      <c r="N656" s="8" t="s">
        <v>240</v>
      </c>
      <c r="O656" s="7"/>
      <c r="P656" s="2" t="s">
        <v>6046</v>
      </c>
      <c r="Q656" s="7"/>
      <c r="R656" s="1"/>
      <c r="S656" s="1" t="str">
        <f>"27-22/NOS-109-A/19"</f>
        <v>27-22/NOS-109-A/19</v>
      </c>
      <c r="T656" s="1" t="s">
        <v>55</v>
      </c>
    </row>
    <row r="657" spans="1:20" ht="76.5" x14ac:dyDescent="0.25">
      <c r="A657" s="6">
        <v>654</v>
      </c>
      <c r="B657" s="1" t="str">
        <f t="shared" si="55"/>
        <v>2019-2434</v>
      </c>
      <c r="C657" s="1" t="s">
        <v>986</v>
      </c>
      <c r="D657" s="1" t="s">
        <v>815</v>
      </c>
      <c r="E657" s="1" t="str">
        <f>""</f>
        <v/>
      </c>
      <c r="F657" s="1" t="s">
        <v>28</v>
      </c>
      <c r="G657" s="1" t="str">
        <f t="shared" si="56"/>
        <v>STAR IMPORT D.O.O., KOVINSKA 5, 10090 ZAGREB-SUSEDGRAD, OIB: 783122799</v>
      </c>
      <c r="H657" s="7"/>
      <c r="I657" s="8" t="s">
        <v>442</v>
      </c>
      <c r="J657" s="8" t="s">
        <v>555</v>
      </c>
      <c r="K657" s="6" t="str">
        <f>"937,10"</f>
        <v>937,10</v>
      </c>
      <c r="L657" s="6" t="str">
        <f>"0,00"</f>
        <v>0,00</v>
      </c>
      <c r="M657" s="6" t="str">
        <f>"937,10"</f>
        <v>937,10</v>
      </c>
      <c r="N657" s="8" t="s">
        <v>124</v>
      </c>
      <c r="O657" s="7"/>
      <c r="P657" s="2" t="s">
        <v>5614</v>
      </c>
      <c r="Q657" s="7"/>
      <c r="R657" s="1"/>
      <c r="S657" s="1" t="str">
        <f>"29-22/NOS-109-A/19"</f>
        <v>29-22/NOS-109-A/19</v>
      </c>
      <c r="T657" s="1" t="s">
        <v>55</v>
      </c>
    </row>
    <row r="658" spans="1:20" ht="76.5" x14ac:dyDescent="0.25">
      <c r="A658" s="6">
        <v>655</v>
      </c>
      <c r="B658" s="1" t="str">
        <f t="shared" si="55"/>
        <v>2019-2434</v>
      </c>
      <c r="C658" s="1" t="s">
        <v>986</v>
      </c>
      <c r="D658" s="1" t="s">
        <v>815</v>
      </c>
      <c r="E658" s="1" t="str">
        <f>""</f>
        <v/>
      </c>
      <c r="F658" s="1" t="s">
        <v>28</v>
      </c>
      <c r="G658" s="1" t="str">
        <f t="shared" si="56"/>
        <v>STAR IMPORT D.O.O., KOVINSKA 5, 10090 ZAGREB-SUSEDGRAD, OIB: 783122799</v>
      </c>
      <c r="H658" s="7"/>
      <c r="I658" s="8" t="s">
        <v>402</v>
      </c>
      <c r="J658" s="8" t="s">
        <v>519</v>
      </c>
      <c r="K658" s="6" t="str">
        <f>"4.187,03"</f>
        <v>4.187,03</v>
      </c>
      <c r="L658" s="6" t="str">
        <f>"0,00"</f>
        <v>0,00</v>
      </c>
      <c r="M658" s="6" t="str">
        <f>"4.187,03"</f>
        <v>4.187,03</v>
      </c>
      <c r="N658" s="8" t="s">
        <v>124</v>
      </c>
      <c r="O658" s="7"/>
      <c r="P658" s="2" t="s">
        <v>5614</v>
      </c>
      <c r="Q658" s="7"/>
      <c r="R658" s="1"/>
      <c r="S658" s="1" t="str">
        <f>"28-22/NOS-109-A/19"</f>
        <v>28-22/NOS-109-A/19</v>
      </c>
      <c r="T658" s="1" t="s">
        <v>55</v>
      </c>
    </row>
    <row r="659" spans="1:20" ht="76.5" x14ac:dyDescent="0.25">
      <c r="A659" s="6">
        <v>656</v>
      </c>
      <c r="B659" s="1" t="str">
        <f t="shared" si="55"/>
        <v>2019-2434</v>
      </c>
      <c r="C659" s="1" t="s">
        <v>986</v>
      </c>
      <c r="D659" s="1" t="s">
        <v>815</v>
      </c>
      <c r="E659" s="1" t="str">
        <f>""</f>
        <v/>
      </c>
      <c r="F659" s="1" t="s">
        <v>28</v>
      </c>
      <c r="G659" s="1" t="str">
        <f t="shared" si="56"/>
        <v>STAR IMPORT D.O.O., KOVINSKA 5, 10090 ZAGREB-SUSEDGRAD, OIB: 783122799</v>
      </c>
      <c r="H659" s="7"/>
      <c r="I659" s="8" t="s">
        <v>281</v>
      </c>
      <c r="J659" s="8" t="s">
        <v>519</v>
      </c>
      <c r="K659" s="6" t="str">
        <f>"252,90"</f>
        <v>252,90</v>
      </c>
      <c r="L659" s="6" t="str">
        <f>"63,23"</f>
        <v>63,23</v>
      </c>
      <c r="M659" s="6" t="str">
        <f>"316,13"</f>
        <v>316,13</v>
      </c>
      <c r="N659" s="8" t="s">
        <v>931</v>
      </c>
      <c r="O659" s="7"/>
      <c r="P659" s="2" t="s">
        <v>6047</v>
      </c>
      <c r="Q659" s="7"/>
      <c r="R659" s="1"/>
      <c r="S659" s="1" t="str">
        <f>"31-22/NOS-109-A/19"</f>
        <v>31-22/NOS-109-A/19</v>
      </c>
      <c r="T659" s="1" t="s">
        <v>55</v>
      </c>
    </row>
    <row r="660" spans="1:20" ht="76.5" x14ac:dyDescent="0.25">
      <c r="A660" s="6">
        <v>657</v>
      </c>
      <c r="B660" s="1" t="str">
        <f t="shared" si="55"/>
        <v>2019-2434</v>
      </c>
      <c r="C660" s="1" t="s">
        <v>986</v>
      </c>
      <c r="D660" s="1" t="s">
        <v>815</v>
      </c>
      <c r="E660" s="1" t="str">
        <f>""</f>
        <v/>
      </c>
      <c r="F660" s="1" t="s">
        <v>28</v>
      </c>
      <c r="G660" s="1" t="str">
        <f t="shared" si="56"/>
        <v>STAR IMPORT D.O.O., KOVINSKA 5, 10090 ZAGREB-SUSEDGRAD, OIB: 783122799</v>
      </c>
      <c r="H660" s="7"/>
      <c r="I660" s="8" t="s">
        <v>431</v>
      </c>
      <c r="J660" s="8" t="s">
        <v>555</v>
      </c>
      <c r="K660" s="6" t="str">
        <f>"444,80"</f>
        <v>444,80</v>
      </c>
      <c r="L660" s="6" t="str">
        <f>"111,20"</f>
        <v>111,20</v>
      </c>
      <c r="M660" s="6" t="str">
        <f>"556,00"</f>
        <v>556,00</v>
      </c>
      <c r="N660" s="8" t="s">
        <v>285</v>
      </c>
      <c r="O660" s="7"/>
      <c r="P660" s="2" t="s">
        <v>6048</v>
      </c>
      <c r="Q660" s="7"/>
      <c r="R660" s="1"/>
      <c r="S660" s="1" t="str">
        <f>"32-22/NOS-109-A/19"</f>
        <v>32-22/NOS-109-A/19</v>
      </c>
      <c r="T660" s="1" t="s">
        <v>55</v>
      </c>
    </row>
    <row r="661" spans="1:20" ht="76.5" x14ac:dyDescent="0.25">
      <c r="A661" s="6">
        <v>658</v>
      </c>
      <c r="B661" s="1" t="str">
        <f t="shared" si="55"/>
        <v>2019-2434</v>
      </c>
      <c r="C661" s="1" t="s">
        <v>986</v>
      </c>
      <c r="D661" s="1" t="s">
        <v>815</v>
      </c>
      <c r="E661" s="1" t="str">
        <f>""</f>
        <v/>
      </c>
      <c r="F661" s="1" t="s">
        <v>28</v>
      </c>
      <c r="G661" s="1" t="str">
        <f t="shared" si="56"/>
        <v>STAR IMPORT D.O.O., KOVINSKA 5, 10090 ZAGREB-SUSEDGRAD, OIB: 783122799</v>
      </c>
      <c r="H661" s="7"/>
      <c r="I661" s="8" t="s">
        <v>564</v>
      </c>
      <c r="J661" s="8" t="s">
        <v>555</v>
      </c>
      <c r="K661" s="6" t="str">
        <f>"4.833,00"</f>
        <v>4.833,00</v>
      </c>
      <c r="L661" s="6" t="str">
        <f>"1.208,25"</f>
        <v>1.208,25</v>
      </c>
      <c r="M661" s="6" t="str">
        <f>"6.041,25"</f>
        <v>6.041,25</v>
      </c>
      <c r="N661" s="8" t="s">
        <v>310</v>
      </c>
      <c r="O661" s="7"/>
      <c r="P661" s="2" t="s">
        <v>6049</v>
      </c>
      <c r="Q661" s="7"/>
      <c r="R661" s="1"/>
      <c r="S661" s="1" t="str">
        <f>"33-22/NOS-109-A/19"</f>
        <v>33-22/NOS-109-A/19</v>
      </c>
      <c r="T661" s="1" t="s">
        <v>55</v>
      </c>
    </row>
    <row r="662" spans="1:20" ht="76.5" x14ac:dyDescent="0.25">
      <c r="A662" s="6">
        <v>659</v>
      </c>
      <c r="B662" s="1" t="str">
        <f t="shared" si="55"/>
        <v>2019-2434</v>
      </c>
      <c r="C662" s="1" t="s">
        <v>986</v>
      </c>
      <c r="D662" s="1" t="s">
        <v>815</v>
      </c>
      <c r="E662" s="1" t="str">
        <f>""</f>
        <v/>
      </c>
      <c r="F662" s="1" t="s">
        <v>28</v>
      </c>
      <c r="G662" s="1" t="str">
        <f t="shared" si="56"/>
        <v>STAR IMPORT D.O.O., KOVINSKA 5, 10090 ZAGREB-SUSEDGRAD, OIB: 783122799</v>
      </c>
      <c r="H662" s="7"/>
      <c r="I662" s="8" t="s">
        <v>970</v>
      </c>
      <c r="J662" s="8" t="s">
        <v>519</v>
      </c>
      <c r="K662" s="6" t="str">
        <f>"15.653,79"</f>
        <v>15.653,79</v>
      </c>
      <c r="L662" s="6" t="str">
        <f>"3.913,45"</f>
        <v>3.913,45</v>
      </c>
      <c r="M662" s="6" t="str">
        <f>"19.567,24"</f>
        <v>19.567,24</v>
      </c>
      <c r="N662" s="8" t="s">
        <v>310</v>
      </c>
      <c r="O662" s="7"/>
      <c r="P662" s="2" t="s">
        <v>6050</v>
      </c>
      <c r="Q662" s="7"/>
      <c r="R662" s="1"/>
      <c r="S662" s="1" t="str">
        <f>"34-22/NOS-109-A/19"</f>
        <v>34-22/NOS-109-A/19</v>
      </c>
      <c r="T662" s="1" t="s">
        <v>55</v>
      </c>
    </row>
    <row r="663" spans="1:20" ht="76.5" x14ac:dyDescent="0.25">
      <c r="A663" s="6">
        <v>660</v>
      </c>
      <c r="B663" s="1" t="str">
        <f t="shared" si="55"/>
        <v>2019-2434</v>
      </c>
      <c r="C663" s="1" t="s">
        <v>986</v>
      </c>
      <c r="D663" s="1" t="s">
        <v>815</v>
      </c>
      <c r="E663" s="1" t="str">
        <f>""</f>
        <v/>
      </c>
      <c r="F663" s="1" t="s">
        <v>28</v>
      </c>
      <c r="G663" s="1" t="str">
        <f t="shared" si="56"/>
        <v>STAR IMPORT D.O.O., KOVINSKA 5, 10090 ZAGREB-SUSEDGRAD, OIB: 783122799</v>
      </c>
      <c r="H663" s="7"/>
      <c r="I663" s="8" t="s">
        <v>374</v>
      </c>
      <c r="J663" s="8" t="s">
        <v>519</v>
      </c>
      <c r="K663" s="6" t="str">
        <f>"7.051,95"</f>
        <v>7.051,95</v>
      </c>
      <c r="L663" s="6" t="str">
        <f>"1.762,99"</f>
        <v>1.762,99</v>
      </c>
      <c r="M663" s="6" t="str">
        <f>"8.814,94"</f>
        <v>8.814,94</v>
      </c>
      <c r="N663" s="8" t="s">
        <v>317</v>
      </c>
      <c r="O663" s="7"/>
      <c r="P663" s="2" t="s">
        <v>6051</v>
      </c>
      <c r="Q663" s="7"/>
      <c r="R663" s="1"/>
      <c r="S663" s="1" t="str">
        <f>"35-22/NOS-109-A/19"</f>
        <v>35-22/NOS-109-A/19</v>
      </c>
      <c r="T663" s="1" t="s">
        <v>55</v>
      </c>
    </row>
    <row r="664" spans="1:20" ht="76.5" x14ac:dyDescent="0.25">
      <c r="A664" s="6">
        <v>661</v>
      </c>
      <c r="B664" s="1" t="str">
        <f t="shared" si="55"/>
        <v>2019-2434</v>
      </c>
      <c r="C664" s="1" t="s">
        <v>986</v>
      </c>
      <c r="D664" s="1" t="s">
        <v>815</v>
      </c>
      <c r="E664" s="1" t="str">
        <f>""</f>
        <v/>
      </c>
      <c r="F664" s="1" t="s">
        <v>28</v>
      </c>
      <c r="G664" s="1" t="str">
        <f t="shared" si="56"/>
        <v>STAR IMPORT D.O.O., KOVINSKA 5, 10090 ZAGREB-SUSEDGRAD, OIB: 783122799</v>
      </c>
      <c r="H664" s="7"/>
      <c r="I664" s="8" t="s">
        <v>374</v>
      </c>
      <c r="J664" s="8" t="s">
        <v>519</v>
      </c>
      <c r="K664" s="6" t="str">
        <f>"2.500,00"</f>
        <v>2.500,00</v>
      </c>
      <c r="L664" s="6" t="str">
        <f>"0,00"</f>
        <v>0,00</v>
      </c>
      <c r="M664" s="6" t="str">
        <f>"2.500,00"</f>
        <v>2.500,00</v>
      </c>
      <c r="N664" s="8" t="s">
        <v>124</v>
      </c>
      <c r="O664" s="7"/>
      <c r="P664" s="2" t="s">
        <v>5614</v>
      </c>
      <c r="Q664" s="7"/>
      <c r="R664" s="1"/>
      <c r="S664" s="1" t="str">
        <f>"36-22/NOS-109-A/19"</f>
        <v>36-22/NOS-109-A/19</v>
      </c>
      <c r="T664" s="1" t="s">
        <v>55</v>
      </c>
    </row>
    <row r="665" spans="1:20" ht="76.5" x14ac:dyDescent="0.25">
      <c r="A665" s="6">
        <v>662</v>
      </c>
      <c r="B665" s="1" t="str">
        <f t="shared" si="55"/>
        <v>2019-2434</v>
      </c>
      <c r="C665" s="1" t="s">
        <v>995</v>
      </c>
      <c r="D665" s="1" t="s">
        <v>914</v>
      </c>
      <c r="E665" s="1" t="str">
        <f>"2020/S 0F2-0017360"</f>
        <v>2020/S 0F2-0017360</v>
      </c>
      <c r="F665" s="1" t="s">
        <v>22</v>
      </c>
      <c r="G665" s="1" t="str">
        <f t="shared" si="56"/>
        <v>STAR IMPORT D.O.O., KOVINSKA 5, 10090 ZAGREB-SUSEDGRAD, OIB: 783122799</v>
      </c>
      <c r="H665" s="7"/>
      <c r="I665" s="8" t="s">
        <v>987</v>
      </c>
      <c r="J665" s="8" t="s">
        <v>368</v>
      </c>
      <c r="K665" s="6" t="str">
        <f>"1.000.000,00"</f>
        <v>1.000.000,00</v>
      </c>
      <c r="L665" s="6" t="str">
        <f>"250.000,00"</f>
        <v>250.000,00</v>
      </c>
      <c r="M665" s="6" t="str">
        <f>"1.250.000,00"</f>
        <v>1.250.000,00</v>
      </c>
      <c r="N665" s="8" t="s">
        <v>310</v>
      </c>
      <c r="O665" s="7"/>
      <c r="P665" s="2" t="s">
        <v>5614</v>
      </c>
      <c r="Q665" s="7"/>
      <c r="R665" s="1"/>
      <c r="S665" s="1" t="str">
        <f>"NOS-109-B/19"</f>
        <v>NOS-109-B/19</v>
      </c>
      <c r="T665" s="1" t="s">
        <v>27</v>
      </c>
    </row>
    <row r="666" spans="1:20" ht="102" x14ac:dyDescent="0.25">
      <c r="A666" s="6">
        <v>663</v>
      </c>
      <c r="B666" s="1" t="str">
        <f t="shared" si="55"/>
        <v>2019-2434</v>
      </c>
      <c r="C666" s="1" t="s">
        <v>996</v>
      </c>
      <c r="D666" s="1" t="s">
        <v>815</v>
      </c>
      <c r="E666" s="1" t="str">
        <f>""</f>
        <v/>
      </c>
      <c r="F666" s="1" t="s">
        <v>28</v>
      </c>
      <c r="G666" s="1" t="str">
        <f t="shared" si="56"/>
        <v>STAR IMPORT D.O.O., KOVINSKA 5, 10090 ZAGREB-SUSEDGRAD, OIB: 783122799</v>
      </c>
      <c r="H666" s="7"/>
      <c r="I666" s="8" t="s">
        <v>327</v>
      </c>
      <c r="J666" s="8" t="s">
        <v>41</v>
      </c>
      <c r="K666" s="6" t="str">
        <f>"149.980,74"</f>
        <v>149.980,74</v>
      </c>
      <c r="L666" s="6" t="str">
        <f>"37.495,19"</f>
        <v>37.495,19</v>
      </c>
      <c r="M666" s="6" t="str">
        <f>"187.475,93"</f>
        <v>187.475,93</v>
      </c>
      <c r="N666" s="8" t="s">
        <v>214</v>
      </c>
      <c r="O666" s="7"/>
      <c r="P666" s="2" t="s">
        <v>6052</v>
      </c>
      <c r="Q666" s="7"/>
      <c r="R666" s="1"/>
      <c r="S666" s="1" t="str">
        <f>"31-21/NOS-109-B/19"</f>
        <v>31-21/NOS-109-B/19</v>
      </c>
      <c r="T666" s="1" t="s">
        <v>32</v>
      </c>
    </row>
    <row r="667" spans="1:20" ht="89.25" x14ac:dyDescent="0.25">
      <c r="A667" s="6">
        <v>664</v>
      </c>
      <c r="B667" s="1" t="str">
        <f t="shared" si="55"/>
        <v>2019-2434</v>
      </c>
      <c r="C667" s="1" t="s">
        <v>997</v>
      </c>
      <c r="D667" s="1" t="s">
        <v>815</v>
      </c>
      <c r="E667" s="1" t="str">
        <f>""</f>
        <v/>
      </c>
      <c r="F667" s="1" t="s">
        <v>28</v>
      </c>
      <c r="G667" s="1" t="str">
        <f t="shared" si="56"/>
        <v>STAR IMPORT D.O.O., KOVINSKA 5, 10090 ZAGREB-SUSEDGRAD, OIB: 783122799</v>
      </c>
      <c r="H667" s="7"/>
      <c r="I667" s="8" t="s">
        <v>374</v>
      </c>
      <c r="J667" s="8" t="s">
        <v>417</v>
      </c>
      <c r="K667" s="6" t="str">
        <f>"499.053,89"</f>
        <v>499.053,89</v>
      </c>
      <c r="L667" s="6" t="str">
        <f>"124.763,47"</f>
        <v>124.763,47</v>
      </c>
      <c r="M667" s="6" t="str">
        <f>"623.817,36"</f>
        <v>623.817,36</v>
      </c>
      <c r="N667" s="8" t="s">
        <v>124</v>
      </c>
      <c r="O667" s="7"/>
      <c r="P667" s="2" t="s">
        <v>6053</v>
      </c>
      <c r="Q667" s="7"/>
      <c r="R667" s="1"/>
      <c r="S667" s="1" t="str">
        <f>"1-22/NOS-109-B/19"</f>
        <v>1-22/NOS-109-B/19</v>
      </c>
      <c r="T667" s="1" t="s">
        <v>32</v>
      </c>
    </row>
    <row r="668" spans="1:20" ht="51" x14ac:dyDescent="0.25">
      <c r="A668" s="6">
        <v>665</v>
      </c>
      <c r="B668" s="1" t="str">
        <f>"2020-2895"</f>
        <v>2020-2895</v>
      </c>
      <c r="C668" s="1" t="s">
        <v>998</v>
      </c>
      <c r="D668" s="1" t="s">
        <v>999</v>
      </c>
      <c r="E668" s="1" t="str">
        <f>"2020/S 0F2-0030627"</f>
        <v>2020/S 0F2-0030627</v>
      </c>
      <c r="F668" s="1" t="s">
        <v>22</v>
      </c>
      <c r="G668" s="1" t="str">
        <f>CONCATENATE("ADELA D.O.O.,"," GROFA JANKA DRAŠKOVIĆA 11,"," 53000 GOSPIĆ,"," OIB: 37289124573")</f>
        <v>ADELA D.O.O., GROFA JANKA DRAŠKOVIĆA 11, 53000 GOSPIĆ, OIB: 37289124573</v>
      </c>
      <c r="H668" s="7"/>
      <c r="I668" s="8" t="s">
        <v>1000</v>
      </c>
      <c r="J668" s="8" t="s">
        <v>54</v>
      </c>
      <c r="K668" s="6" t="str">
        <f>"1.740.000,00"</f>
        <v>1.740.000,00</v>
      </c>
      <c r="L668" s="6" t="str">
        <f>"435.000,00"</f>
        <v>435.000,00</v>
      </c>
      <c r="M668" s="6" t="str">
        <f>"2.175.000,00"</f>
        <v>2.175.000,00</v>
      </c>
      <c r="N668" s="8" t="s">
        <v>317</v>
      </c>
      <c r="O668" s="7"/>
      <c r="P668" s="2" t="s">
        <v>5614</v>
      </c>
      <c r="Q668" s="7"/>
      <c r="R668" s="1"/>
      <c r="S668" s="1" t="str">
        <f>"NOS-17/20"</f>
        <v>NOS-17/20</v>
      </c>
      <c r="T668" s="1" t="s">
        <v>27</v>
      </c>
    </row>
    <row r="669" spans="1:20" ht="51" x14ac:dyDescent="0.25">
      <c r="A669" s="6">
        <v>666</v>
      </c>
      <c r="B669" s="1" t="str">
        <f>"2020-2895"</f>
        <v>2020-2895</v>
      </c>
      <c r="C669" s="1" t="s">
        <v>998</v>
      </c>
      <c r="D669" s="1" t="s">
        <v>1001</v>
      </c>
      <c r="E669" s="1" t="str">
        <f>""</f>
        <v/>
      </c>
      <c r="F669" s="1" t="s">
        <v>28</v>
      </c>
      <c r="G669" s="1" t="str">
        <f>CONCATENATE("ADELA D.O.O.,"," GROFA JANKA DRAŠKOVIĆA 11,"," 53000 GOSPIĆ,"," OIB: 37289124573")</f>
        <v>ADELA D.O.O., GROFA JANKA DRAŠKOVIĆA 11, 53000 GOSPIĆ, OIB: 37289124573</v>
      </c>
      <c r="H669" s="7"/>
      <c r="I669" s="8" t="s">
        <v>930</v>
      </c>
      <c r="J669" s="8" t="s">
        <v>663</v>
      </c>
      <c r="K669" s="6" t="str">
        <f>"34.000,00"</f>
        <v>34.000,00</v>
      </c>
      <c r="L669" s="6" t="str">
        <f>"8.500,00"</f>
        <v>8.500,00</v>
      </c>
      <c r="M669" s="6" t="str">
        <f>"42.500,00"</f>
        <v>42.500,00</v>
      </c>
      <c r="N669" s="8" t="s">
        <v>698</v>
      </c>
      <c r="O669" s="7"/>
      <c r="P669" s="2" t="s">
        <v>6054</v>
      </c>
      <c r="Q669" s="7"/>
      <c r="R669" s="1"/>
      <c r="S669" s="1" t="str">
        <f>"12-21/NOS-17/20"</f>
        <v>12-21/NOS-17/20</v>
      </c>
      <c r="T669" s="1" t="s">
        <v>32</v>
      </c>
    </row>
    <row r="670" spans="1:20" ht="51" x14ac:dyDescent="0.25">
      <c r="A670" s="6">
        <v>667</v>
      </c>
      <c r="B670" s="1" t="str">
        <f>"2020-2895"</f>
        <v>2020-2895</v>
      </c>
      <c r="C670" s="1" t="s">
        <v>998</v>
      </c>
      <c r="D670" s="1" t="s">
        <v>1001</v>
      </c>
      <c r="E670" s="1" t="str">
        <f>""</f>
        <v/>
      </c>
      <c r="F670" s="1" t="s">
        <v>28</v>
      </c>
      <c r="G670" s="1" t="str">
        <f>CONCATENATE("ADELA D.O.O.,"," GROFA JANKA DRAŠKOVIĆA 11,"," 53000 GOSPIĆ,"," OIB: 37289124573")</f>
        <v>ADELA D.O.O., GROFA JANKA DRAŠKOVIĆA 11, 53000 GOSPIĆ, OIB: 37289124573</v>
      </c>
      <c r="H670" s="7"/>
      <c r="I670" s="8" t="s">
        <v>503</v>
      </c>
      <c r="J670" s="8" t="s">
        <v>504</v>
      </c>
      <c r="K670" s="6" t="str">
        <f>"362.076,00"</f>
        <v>362.076,00</v>
      </c>
      <c r="L670" s="6" t="str">
        <f>"90.519,00"</f>
        <v>90.519,00</v>
      </c>
      <c r="M670" s="6" t="str">
        <f>"452.595,00"</f>
        <v>452.595,00</v>
      </c>
      <c r="N670" s="8" t="s">
        <v>242</v>
      </c>
      <c r="O670" s="7"/>
      <c r="P670" s="2" t="s">
        <v>6055</v>
      </c>
      <c r="Q670" s="7"/>
      <c r="R670" s="1"/>
      <c r="S670" s="1" t="str">
        <f>"1-22/NOS-17/20"</f>
        <v>1-22/NOS-17/20</v>
      </c>
      <c r="T670" s="1" t="s">
        <v>32</v>
      </c>
    </row>
    <row r="671" spans="1:20" ht="51" x14ac:dyDescent="0.25">
      <c r="A671" s="6">
        <v>668</v>
      </c>
      <c r="B671" s="1" t="str">
        <f>"2020-2895"</f>
        <v>2020-2895</v>
      </c>
      <c r="C671" s="1" t="s">
        <v>998</v>
      </c>
      <c r="D671" s="1" t="s">
        <v>1001</v>
      </c>
      <c r="E671" s="1" t="str">
        <f>""</f>
        <v/>
      </c>
      <c r="F671" s="1" t="s">
        <v>28</v>
      </c>
      <c r="G671" s="1" t="str">
        <f>CONCATENATE("ADELA D.O.O.,"," GROFA JANKA DRAŠKOVIĆA 11,"," 53000 GOSPIĆ,"," OIB: 37289124573")</f>
        <v>ADELA D.O.O., GROFA JANKA DRAŠKOVIĆA 11, 53000 GOSPIĆ, OIB: 37289124573</v>
      </c>
      <c r="H671" s="7"/>
      <c r="I671" s="8" t="s">
        <v>272</v>
      </c>
      <c r="J671" s="8" t="s">
        <v>905</v>
      </c>
      <c r="K671" s="6" t="str">
        <f>"123.560,00"</f>
        <v>123.560,00</v>
      </c>
      <c r="L671" s="6" t="str">
        <f>"30.890,00"</f>
        <v>30.890,00</v>
      </c>
      <c r="M671" s="6" t="str">
        <f>"154.450,00"</f>
        <v>154.450,00</v>
      </c>
      <c r="N671" s="8" t="s">
        <v>895</v>
      </c>
      <c r="O671" s="7"/>
      <c r="P671" s="2" t="s">
        <v>6056</v>
      </c>
      <c r="Q671" s="7"/>
      <c r="R671" s="1"/>
      <c r="S671" s="1" t="str">
        <f>"2-22/NOS-17/20"</f>
        <v>2-22/NOS-17/20</v>
      </c>
      <c r="T671" s="1" t="s">
        <v>32</v>
      </c>
    </row>
    <row r="672" spans="1:20" ht="51" x14ac:dyDescent="0.25">
      <c r="A672" s="6">
        <v>669</v>
      </c>
      <c r="B672" s="1" t="str">
        <f>"2020-2895"</f>
        <v>2020-2895</v>
      </c>
      <c r="C672" s="1" t="s">
        <v>998</v>
      </c>
      <c r="D672" s="1" t="s">
        <v>1001</v>
      </c>
      <c r="E672" s="1" t="str">
        <f>""</f>
        <v/>
      </c>
      <c r="F672" s="1" t="s">
        <v>28</v>
      </c>
      <c r="G672" s="1" t="str">
        <f>CONCATENATE("ADELA D.O.O.,"," GROFA JANKA DRAŠKOVIĆA 11,"," 53000 GOSPIĆ,"," OIB: 37289124573")</f>
        <v>ADELA D.O.O., GROFA JANKA DRAŠKOVIĆA 11, 53000 GOSPIĆ, OIB: 37289124573</v>
      </c>
      <c r="H672" s="7"/>
      <c r="I672" s="8" t="s">
        <v>852</v>
      </c>
      <c r="J672" s="8" t="s">
        <v>240</v>
      </c>
      <c r="K672" s="6" t="str">
        <f>"1.360,00"</f>
        <v>1.360,00</v>
      </c>
      <c r="L672" s="6" t="str">
        <f>"340,00"</f>
        <v>340,00</v>
      </c>
      <c r="M672" s="6" t="str">
        <f>"1.700,00"</f>
        <v>1.700,00</v>
      </c>
      <c r="N672" s="8" t="s">
        <v>124</v>
      </c>
      <c r="O672" s="7"/>
      <c r="P672" s="2" t="s">
        <v>5614</v>
      </c>
      <c r="Q672" s="7"/>
      <c r="R672" s="1"/>
      <c r="S672" s="1" t="str">
        <f>"3-22/NOS-17/20"</f>
        <v>3-22/NOS-17/20</v>
      </c>
      <c r="T672" s="1" t="s">
        <v>32</v>
      </c>
    </row>
    <row r="673" spans="1:20" ht="140.25" x14ac:dyDescent="0.25">
      <c r="A673" s="6">
        <v>670</v>
      </c>
      <c r="B673" s="1" t="str">
        <f>"2020-2786"</f>
        <v>2020-2786</v>
      </c>
      <c r="C673" s="1" t="s">
        <v>1002</v>
      </c>
      <c r="D673" s="1" t="s">
        <v>1003</v>
      </c>
      <c r="E673" s="1" t="str">
        <f>"2020/S 0F2-0028231"</f>
        <v>2020/S 0F2-0028231</v>
      </c>
      <c r="F673" s="1" t="s">
        <v>22</v>
      </c>
      <c r="G673" s="1" t="str">
        <f>CONCATENATE("HEP-OPSKRBA D.O.O.,"," ULICA GRADA VUKOVARA 37,"," 10000 ZAGREB,"," OIB: 63073332379")</f>
        <v>HEP-OPSKRBA D.O.O., ULICA GRADA VUKOVARA 37, 10000 ZAGREB, OIB: 63073332379</v>
      </c>
      <c r="H673" s="7"/>
      <c r="I673" s="8" t="s">
        <v>942</v>
      </c>
      <c r="J673" s="8" t="s">
        <v>564</v>
      </c>
      <c r="K673" s="6" t="str">
        <f>"182.096.664,00"</f>
        <v>182.096.664,00</v>
      </c>
      <c r="L673" s="6" t="str">
        <f>"45.524.166,00"</f>
        <v>45.524.166,00</v>
      </c>
      <c r="M673" s="6" t="str">
        <f>"227.620.830,00"</f>
        <v>227.620.830,00</v>
      </c>
      <c r="N673" s="8" t="s">
        <v>669</v>
      </c>
      <c r="O673" s="7"/>
      <c r="P673" s="2" t="s">
        <v>6057</v>
      </c>
      <c r="Q673" s="7"/>
      <c r="R673" s="1"/>
      <c r="S673" s="1" t="str">
        <f>"NOS-20-ZGH/20"</f>
        <v>NOS-20-ZGH/20</v>
      </c>
      <c r="T673" s="1" t="s">
        <v>1004</v>
      </c>
    </row>
    <row r="674" spans="1:20" ht="63.75" x14ac:dyDescent="0.25">
      <c r="A674" s="6">
        <v>671</v>
      </c>
      <c r="B674" s="1" t="str">
        <f>"2020-2786"</f>
        <v>2020-2786</v>
      </c>
      <c r="C674" s="1" t="s">
        <v>1002</v>
      </c>
      <c r="D674" s="1" t="s">
        <v>1005</v>
      </c>
      <c r="E674" s="1" t="str">
        <f>""</f>
        <v/>
      </c>
      <c r="F674" s="1" t="s">
        <v>28</v>
      </c>
      <c r="G674" s="1" t="str">
        <f>CONCATENATE("HEP-OPSKRBA D.O.O.,"," ULICA GRADA VUKOVARA 37,"," 10000 ZAGREB,"," OIB: 63073332379")</f>
        <v>HEP-OPSKRBA D.O.O., ULICA GRADA VUKOVARA 37, 10000 ZAGREB, OIB: 63073332379</v>
      </c>
      <c r="H674" s="7"/>
      <c r="I674" s="8" t="s">
        <v>707</v>
      </c>
      <c r="J674" s="8" t="s">
        <v>875</v>
      </c>
      <c r="K674" s="6" t="str">
        <f>"19.429.640,00"</f>
        <v>19.429.640,00</v>
      </c>
      <c r="L674" s="6" t="str">
        <f>"4.857.410,00"</f>
        <v>4.857.410,00</v>
      </c>
      <c r="M674" s="6" t="str">
        <f>"24.287.050,00"</f>
        <v>24.287.050,00</v>
      </c>
      <c r="N674" s="8" t="s">
        <v>384</v>
      </c>
      <c r="O674" s="7"/>
      <c r="P674" s="2" t="s">
        <v>6058</v>
      </c>
      <c r="Q674" s="1"/>
      <c r="R674" s="1"/>
      <c r="S674" s="1" t="str">
        <f>"1-21/NOS-20-ZGH/20"</f>
        <v>1-21/NOS-20-ZGH/20</v>
      </c>
      <c r="T674" s="1" t="s">
        <v>32</v>
      </c>
    </row>
    <row r="675" spans="1:20" ht="51" x14ac:dyDescent="0.25">
      <c r="A675" s="6">
        <v>672</v>
      </c>
      <c r="B675" s="1" t="str">
        <f>"2020-110"</f>
        <v>2020-110</v>
      </c>
      <c r="C675" s="1" t="s">
        <v>1006</v>
      </c>
      <c r="D675" s="1" t="s">
        <v>1007</v>
      </c>
      <c r="E675" s="1" t="str">
        <f>"2020/S 0F2-0022055"</f>
        <v>2020/S 0F2-0022055</v>
      </c>
      <c r="F675" s="1" t="s">
        <v>22</v>
      </c>
      <c r="G675" s="1" t="str">
        <f>CONCATENATE("EOL GRUPA D.O.O.,"," SMIČIKLASOVA 5/C,"," 47000 KARLOVAC,"," OIB: 7109729867")</f>
        <v>EOL GRUPA D.O.O., SMIČIKLASOVA 5/C, 47000 KARLOVAC, OIB: 7109729867</v>
      </c>
      <c r="H675" s="7"/>
      <c r="I675" s="8" t="s">
        <v>1008</v>
      </c>
      <c r="J675" s="8" t="s">
        <v>420</v>
      </c>
      <c r="K675" s="6" t="str">
        <f>"2.000.000,00"</f>
        <v>2.000.000,00</v>
      </c>
      <c r="L675" s="6" t="str">
        <f>"500.000,00"</f>
        <v>500.000,00</v>
      </c>
      <c r="M675" s="6" t="str">
        <f>"2.500.000,00"</f>
        <v>2.500.000,00</v>
      </c>
      <c r="N675" s="8" t="s">
        <v>732</v>
      </c>
      <c r="O675" s="7"/>
      <c r="P675" s="2" t="s">
        <v>5614</v>
      </c>
      <c r="Q675" s="7"/>
      <c r="R675" s="1"/>
      <c r="S675" s="1" t="str">
        <f>"NOS-23/20"</f>
        <v>NOS-23/20</v>
      </c>
      <c r="T675" s="1" t="s">
        <v>32</v>
      </c>
    </row>
    <row r="676" spans="1:20" ht="51" x14ac:dyDescent="0.25">
      <c r="A676" s="6">
        <v>673</v>
      </c>
      <c r="B676" s="1" t="str">
        <f>"2020-110"</f>
        <v>2020-110</v>
      </c>
      <c r="C676" s="1" t="s">
        <v>1006</v>
      </c>
      <c r="D676" s="1" t="s">
        <v>1007</v>
      </c>
      <c r="E676" s="1" t="str">
        <f>""</f>
        <v/>
      </c>
      <c r="F676" s="1" t="s">
        <v>28</v>
      </c>
      <c r="G676" s="1" t="str">
        <f>CONCATENATE("EOL GRUPA D.O.O.,"," SMIČIKLASOVA 5/C,"," 47000 KARLOVAC,"," OIB: 7109729867")</f>
        <v>EOL GRUPA D.O.O., SMIČIKLASOVA 5/C, 47000 KARLOVAC, OIB: 7109729867</v>
      </c>
      <c r="H676" s="7"/>
      <c r="I676" s="8" t="s">
        <v>431</v>
      </c>
      <c r="J676" s="8" t="s">
        <v>123</v>
      </c>
      <c r="K676" s="6" t="str">
        <f>"186.300,00"</f>
        <v>186.300,00</v>
      </c>
      <c r="L676" s="6" t="str">
        <f>"46.575,00"</f>
        <v>46.575,00</v>
      </c>
      <c r="M676" s="6" t="str">
        <f>"232.875,00"</f>
        <v>232.875,00</v>
      </c>
      <c r="N676" s="8" t="s">
        <v>1009</v>
      </c>
      <c r="O676" s="7"/>
      <c r="P676" s="2" t="s">
        <v>6059</v>
      </c>
      <c r="Q676" s="7"/>
      <c r="R676" s="1"/>
      <c r="S676" s="1" t="str">
        <f>"1-22/NOS-23/20"</f>
        <v>1-22/NOS-23/20</v>
      </c>
      <c r="T676" s="1" t="s">
        <v>32</v>
      </c>
    </row>
    <row r="677" spans="1:20" ht="165.75" x14ac:dyDescent="0.25">
      <c r="A677" s="6">
        <v>674</v>
      </c>
      <c r="B677" s="1" t="str">
        <f>"2020-2910"</f>
        <v>2020-2910</v>
      </c>
      <c r="C677" s="1" t="s">
        <v>1010</v>
      </c>
      <c r="D677" s="1" t="s">
        <v>945</v>
      </c>
      <c r="E677" s="1" t="str">
        <f>"2020/S 0F2-0031165"</f>
        <v>2020/S 0F2-0031165</v>
      </c>
      <c r="F677" s="1" t="s">
        <v>22</v>
      </c>
      <c r="G677" s="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677" s="7"/>
      <c r="I677" s="8" t="s">
        <v>1008</v>
      </c>
      <c r="J677" s="8" t="s">
        <v>420</v>
      </c>
      <c r="K677" s="6" t="str">
        <f>"40.000.000,00"</f>
        <v>40.000.000,00</v>
      </c>
      <c r="L677" s="6" t="str">
        <f>"10.000.000,00"</f>
        <v>10.000.000,00</v>
      </c>
      <c r="M677" s="6" t="str">
        <f>"50.000.000,00"</f>
        <v>50.000.000,00</v>
      </c>
      <c r="N677" s="8" t="s">
        <v>567</v>
      </c>
      <c r="O677" s="7"/>
      <c r="P677" s="2" t="s">
        <v>5614</v>
      </c>
      <c r="Q677" s="7"/>
      <c r="R677" s="1"/>
      <c r="S677" s="1" t="str">
        <f>"NOS-22/20"</f>
        <v>NOS-22/20</v>
      </c>
      <c r="T677" s="1" t="s">
        <v>32</v>
      </c>
    </row>
    <row r="678" spans="1:20" ht="165.75" x14ac:dyDescent="0.25">
      <c r="A678" s="6">
        <v>675</v>
      </c>
      <c r="B678" s="1" t="str">
        <f>"2020-2910"</f>
        <v>2020-2910</v>
      </c>
      <c r="C678" s="1" t="s">
        <v>1010</v>
      </c>
      <c r="D678" s="1" t="s">
        <v>949</v>
      </c>
      <c r="E678" s="1" t="str">
        <f>""</f>
        <v/>
      </c>
      <c r="F678" s="1" t="s">
        <v>28</v>
      </c>
      <c r="G678" s="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678" s="7"/>
      <c r="I678" s="8" t="s">
        <v>598</v>
      </c>
      <c r="J678" s="8" t="s">
        <v>57</v>
      </c>
      <c r="K678" s="6" t="str">
        <f>"5.856.000,00"</f>
        <v>5.856.000,00</v>
      </c>
      <c r="L678" s="6" t="str">
        <f>"1.464.000,00"</f>
        <v>1.464.000,00</v>
      </c>
      <c r="M678" s="6" t="str">
        <f>"7.320.000,00"</f>
        <v>7.320.000,00</v>
      </c>
      <c r="N678" s="8" t="s">
        <v>208</v>
      </c>
      <c r="O678" s="7"/>
      <c r="P678" s="2" t="s">
        <v>6060</v>
      </c>
      <c r="Q678" s="1" t="s">
        <v>5604</v>
      </c>
      <c r="R678" s="1"/>
      <c r="S678" s="1" t="str">
        <f>"1-22/NOS-22/20"</f>
        <v>1-22/NOS-22/20</v>
      </c>
      <c r="T678" s="1" t="s">
        <v>32</v>
      </c>
    </row>
    <row r="679" spans="1:20" ht="165.75" x14ac:dyDescent="0.25">
      <c r="A679" s="6">
        <v>676</v>
      </c>
      <c r="B679" s="1" t="str">
        <f>"2020-2910"</f>
        <v>2020-2910</v>
      </c>
      <c r="C679" s="1" t="s">
        <v>1010</v>
      </c>
      <c r="D679" s="1" t="s">
        <v>949</v>
      </c>
      <c r="E679" s="1" t="str">
        <f>""</f>
        <v/>
      </c>
      <c r="F679" s="1" t="s">
        <v>28</v>
      </c>
      <c r="G679" s="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679" s="7"/>
      <c r="I679" s="8" t="s">
        <v>404</v>
      </c>
      <c r="J679" s="8" t="s">
        <v>917</v>
      </c>
      <c r="K679" s="6" t="str">
        <f>"11.529.000,00"</f>
        <v>11.529.000,00</v>
      </c>
      <c r="L679" s="6" t="str">
        <f>"2.882.250,00"</f>
        <v>2.882.250,00</v>
      </c>
      <c r="M679" s="6" t="str">
        <f>"14.411.250,00"</f>
        <v>14.411.250,00</v>
      </c>
      <c r="N679" s="8" t="s">
        <v>170</v>
      </c>
      <c r="O679" s="7"/>
      <c r="P679" s="2" t="s">
        <v>6061</v>
      </c>
      <c r="Q679" s="1"/>
      <c r="R679" s="1"/>
      <c r="S679" s="1" t="str">
        <f>"3-22/NOS-22/20"</f>
        <v>3-22/NOS-22/20</v>
      </c>
      <c r="T679" s="1" t="s">
        <v>32</v>
      </c>
    </row>
    <row r="680" spans="1:20" ht="204" x14ac:dyDescent="0.25">
      <c r="A680" s="6">
        <v>677</v>
      </c>
      <c r="B680" s="1" t="str">
        <f t="shared" ref="B680:B699" si="57">"2020-2752"</f>
        <v>2020-2752</v>
      </c>
      <c r="C680" s="1" t="s">
        <v>1011</v>
      </c>
      <c r="D680" s="1" t="s">
        <v>1012</v>
      </c>
      <c r="E680" s="1" t="str">
        <f>"2020/S 0F2-0024183"</f>
        <v>2020/S 0F2-0024183</v>
      </c>
      <c r="F680" s="1" t="s">
        <v>22</v>
      </c>
      <c r="G680" s="1"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680" s="7"/>
      <c r="I680" s="8" t="s">
        <v>1013</v>
      </c>
      <c r="J680" s="8" t="s">
        <v>81</v>
      </c>
      <c r="K680" s="6" t="str">
        <f>"14.534.000,00"</f>
        <v>14.534.000,00</v>
      </c>
      <c r="L680" s="6" t="str">
        <f>"3.633.500,00"</f>
        <v>3.633.500,00</v>
      </c>
      <c r="M680" s="6" t="str">
        <f>"18.167.500,00"</f>
        <v>18.167.500,00</v>
      </c>
      <c r="N680" s="8" t="s">
        <v>420</v>
      </c>
      <c r="O680" s="7"/>
      <c r="P680" s="2" t="s">
        <v>6062</v>
      </c>
      <c r="Q680" s="7"/>
      <c r="R680" s="1"/>
      <c r="S680" s="1" t="str">
        <f>"NOS-21-1-ZGH/20"</f>
        <v>NOS-21-1-ZGH/20</v>
      </c>
      <c r="T680" s="1" t="s">
        <v>1014</v>
      </c>
    </row>
    <row r="681" spans="1:20" ht="63.75" x14ac:dyDescent="0.25">
      <c r="A681" s="6">
        <v>678</v>
      </c>
      <c r="B681" s="1" t="str">
        <f t="shared" si="57"/>
        <v>2020-2752</v>
      </c>
      <c r="C681" s="1" t="s">
        <v>1015</v>
      </c>
      <c r="D681" s="1" t="s">
        <v>1016</v>
      </c>
      <c r="E681" s="1" t="str">
        <f>""</f>
        <v/>
      </c>
      <c r="F681" s="1" t="s">
        <v>28</v>
      </c>
      <c r="G681" s="1" t="str">
        <f t="shared" ref="G681:G688" si="58">CONCATENATE("INA D.D.,"," AVENIJA VEĆESLAVA HOLJEVCA 10,"," 10000 ZAGREB,"," OIB: 27759560625")</f>
        <v>INA D.D., AVENIJA VEĆESLAVA HOLJEVCA 10, 10000 ZAGREB, OIB: 27759560625</v>
      </c>
      <c r="H681" s="7"/>
      <c r="I681" s="8" t="s">
        <v>473</v>
      </c>
      <c r="J681" s="8" t="s">
        <v>53</v>
      </c>
      <c r="K681" s="6" t="str">
        <f>"458.200,00"</f>
        <v>458.200,00</v>
      </c>
      <c r="L681" s="6" t="str">
        <f>"114.550,00"</f>
        <v>114.550,00</v>
      </c>
      <c r="M681" s="6" t="str">
        <f>"572.750,00"</f>
        <v>572.750,00</v>
      </c>
      <c r="N681" s="8" t="s">
        <v>240</v>
      </c>
      <c r="O681" s="7"/>
      <c r="P681" s="2" t="s">
        <v>6063</v>
      </c>
      <c r="Q681" s="1" t="s">
        <v>1017</v>
      </c>
      <c r="R681" s="1"/>
      <c r="S681" s="1" t="str">
        <f>"1-21/NOS-21-1-ZGH/20"</f>
        <v>1-21/NOS-21-1-ZGH/20</v>
      </c>
      <c r="T681" s="1" t="s">
        <v>452</v>
      </c>
    </row>
    <row r="682" spans="1:20" ht="76.5" x14ac:dyDescent="0.25">
      <c r="A682" s="6">
        <v>679</v>
      </c>
      <c r="B682" s="1" t="str">
        <f t="shared" si="57"/>
        <v>2020-2752</v>
      </c>
      <c r="C682" s="1" t="s">
        <v>1018</v>
      </c>
      <c r="D682" s="1" t="s">
        <v>1016</v>
      </c>
      <c r="E682" s="1" t="str">
        <f>""</f>
        <v/>
      </c>
      <c r="F682" s="1" t="s">
        <v>28</v>
      </c>
      <c r="G682" s="1" t="str">
        <f t="shared" si="58"/>
        <v>INA D.D., AVENIJA VEĆESLAVA HOLJEVCA 10, 10000 ZAGREB, OIB: 27759560625</v>
      </c>
      <c r="H682" s="7"/>
      <c r="I682" s="8" t="s">
        <v>840</v>
      </c>
      <c r="J682" s="8" t="s">
        <v>30</v>
      </c>
      <c r="K682" s="6" t="str">
        <f>"55.183,70"</f>
        <v>55.183,70</v>
      </c>
      <c r="L682" s="6" t="str">
        <f>"13.795,93"</f>
        <v>13.795,93</v>
      </c>
      <c r="M682" s="6" t="str">
        <f>"68.979,63"</f>
        <v>68.979,63</v>
      </c>
      <c r="N682" s="8" t="s">
        <v>669</v>
      </c>
      <c r="O682" s="7"/>
      <c r="P682" s="2" t="s">
        <v>5614</v>
      </c>
      <c r="Q682" s="7"/>
      <c r="R682" s="1"/>
      <c r="S682" s="1" t="str">
        <f>"3-21/NOS-21-1-ZGH/20"</f>
        <v>3-21/NOS-21-1-ZGH/20</v>
      </c>
      <c r="T682" s="1" t="s">
        <v>43</v>
      </c>
    </row>
    <row r="683" spans="1:20" ht="76.5" x14ac:dyDescent="0.25">
      <c r="A683" s="6">
        <v>680</v>
      </c>
      <c r="B683" s="1" t="str">
        <f t="shared" si="57"/>
        <v>2020-2752</v>
      </c>
      <c r="C683" s="1" t="s">
        <v>1019</v>
      </c>
      <c r="D683" s="1" t="s">
        <v>1016</v>
      </c>
      <c r="E683" s="1" t="str">
        <f>""</f>
        <v/>
      </c>
      <c r="F683" s="1" t="s">
        <v>28</v>
      </c>
      <c r="G683" s="1" t="str">
        <f t="shared" si="58"/>
        <v>INA D.D., AVENIJA VEĆESLAVA HOLJEVCA 10, 10000 ZAGREB, OIB: 27759560625</v>
      </c>
      <c r="H683" s="7"/>
      <c r="I683" s="8" t="s">
        <v>190</v>
      </c>
      <c r="J683" s="8" t="s">
        <v>875</v>
      </c>
      <c r="K683" s="6" t="str">
        <f>"2.877.020,00"</f>
        <v>2.877.020,00</v>
      </c>
      <c r="L683" s="6" t="str">
        <f>"719.255,00"</f>
        <v>719.255,00</v>
      </c>
      <c r="M683" s="6" t="str">
        <f>"3.596.275,00"</f>
        <v>3.596.275,00</v>
      </c>
      <c r="N683" s="8" t="s">
        <v>124</v>
      </c>
      <c r="O683" s="7"/>
      <c r="P683" s="2" t="s">
        <v>5614</v>
      </c>
      <c r="Q683" s="7"/>
      <c r="R683" s="1"/>
      <c r="S683" s="1" t="str">
        <f>"6-21/NOS-21-1-ZGH/20"</f>
        <v>6-21/NOS-21-1-ZGH/20</v>
      </c>
      <c r="T683" s="1" t="s">
        <v>55</v>
      </c>
    </row>
    <row r="684" spans="1:20" ht="76.5" x14ac:dyDescent="0.25">
      <c r="A684" s="6">
        <v>681</v>
      </c>
      <c r="B684" s="1" t="str">
        <f t="shared" si="57"/>
        <v>2020-2752</v>
      </c>
      <c r="C684" s="1" t="s">
        <v>1020</v>
      </c>
      <c r="D684" s="1" t="s">
        <v>1016</v>
      </c>
      <c r="E684" s="1" t="str">
        <f>""</f>
        <v/>
      </c>
      <c r="F684" s="1" t="s">
        <v>28</v>
      </c>
      <c r="G684" s="1" t="str">
        <f t="shared" si="58"/>
        <v>INA D.D., AVENIJA VEĆESLAVA HOLJEVCA 10, 10000 ZAGREB, OIB: 27759560625</v>
      </c>
      <c r="H684" s="7"/>
      <c r="I684" s="8" t="s">
        <v>232</v>
      </c>
      <c r="J684" s="8" t="s">
        <v>123</v>
      </c>
      <c r="K684" s="6" t="str">
        <f>"2.174.538,50"</f>
        <v>2.174.538,50</v>
      </c>
      <c r="L684" s="6" t="str">
        <f>"543.634,63"</f>
        <v>543.634,63</v>
      </c>
      <c r="M684" s="6" t="str">
        <f>"2.718.173,13"</f>
        <v>2.718.173,13</v>
      </c>
      <c r="N684" s="8" t="s">
        <v>124</v>
      </c>
      <c r="O684" s="7"/>
      <c r="P684" s="2" t="s">
        <v>6064</v>
      </c>
      <c r="Q684" s="7"/>
      <c r="R684" s="1"/>
      <c r="S684" s="1" t="str">
        <f>"1-22/NOS-21-1-ZGH/20"</f>
        <v>1-22/NOS-21-1-ZGH/20</v>
      </c>
      <c r="T684" s="1" t="s">
        <v>32</v>
      </c>
    </row>
    <row r="685" spans="1:20" ht="89.25" x14ac:dyDescent="0.25">
      <c r="A685" s="6">
        <v>682</v>
      </c>
      <c r="B685" s="1" t="str">
        <f t="shared" si="57"/>
        <v>2020-2752</v>
      </c>
      <c r="C685" s="1" t="s">
        <v>1021</v>
      </c>
      <c r="D685" s="1" t="s">
        <v>1016</v>
      </c>
      <c r="E685" s="1" t="str">
        <f>""</f>
        <v/>
      </c>
      <c r="F685" s="1" t="s">
        <v>28</v>
      </c>
      <c r="G685" s="1" t="str">
        <f t="shared" si="58"/>
        <v>INA D.D., AVENIJA VEĆESLAVA HOLJEVCA 10, 10000 ZAGREB, OIB: 27759560625</v>
      </c>
      <c r="H685" s="7"/>
      <c r="I685" s="8" t="s">
        <v>921</v>
      </c>
      <c r="J685" s="8" t="s">
        <v>961</v>
      </c>
      <c r="K685" s="6" t="str">
        <f>"614.600,00"</f>
        <v>614.600,00</v>
      </c>
      <c r="L685" s="6" t="str">
        <f>"153.650,00"</f>
        <v>153.650,00</v>
      </c>
      <c r="M685" s="6" t="str">
        <f>"768.250,00"</f>
        <v>768.250,00</v>
      </c>
      <c r="N685" s="8" t="s">
        <v>124</v>
      </c>
      <c r="O685" s="7"/>
      <c r="P685" s="2" t="s">
        <v>6065</v>
      </c>
      <c r="Q685" s="7"/>
      <c r="R685" s="1"/>
      <c r="S685" s="1" t="str">
        <f>"2-22/NOS-21-1-ZGH/20"</f>
        <v>2-22/NOS-21-1-ZGH/20</v>
      </c>
      <c r="T685" s="1" t="s">
        <v>452</v>
      </c>
    </row>
    <row r="686" spans="1:20" ht="63.75" x14ac:dyDescent="0.25">
      <c r="A686" s="6">
        <v>683</v>
      </c>
      <c r="B686" s="1" t="str">
        <f t="shared" si="57"/>
        <v>2020-2752</v>
      </c>
      <c r="C686" s="1" t="s">
        <v>1022</v>
      </c>
      <c r="D686" s="1" t="s">
        <v>1016</v>
      </c>
      <c r="E686" s="1" t="str">
        <f>""</f>
        <v/>
      </c>
      <c r="F686" s="1" t="s">
        <v>28</v>
      </c>
      <c r="G686" s="1" t="str">
        <f t="shared" si="58"/>
        <v>INA D.D., AVENIJA VEĆESLAVA HOLJEVCA 10, 10000 ZAGREB, OIB: 27759560625</v>
      </c>
      <c r="H686" s="7"/>
      <c r="I686" s="8" t="s">
        <v>487</v>
      </c>
      <c r="J686" s="8" t="s">
        <v>123</v>
      </c>
      <c r="K686" s="6" t="str">
        <f>"11.181,00"</f>
        <v>11.181,00</v>
      </c>
      <c r="L686" s="6" t="str">
        <f>"2.795,25"</f>
        <v>2.795,25</v>
      </c>
      <c r="M686" s="6" t="str">
        <f>"13.976,25"</f>
        <v>13.976,25</v>
      </c>
      <c r="N686" s="8" t="s">
        <v>124</v>
      </c>
      <c r="O686" s="7"/>
      <c r="P686" s="2" t="s">
        <v>6066</v>
      </c>
      <c r="Q686" s="7"/>
      <c r="R686" s="1"/>
      <c r="S686" s="1" t="str">
        <f>"3-22/NOS-21-1-ZGH/20"</f>
        <v>3-22/NOS-21-1-ZGH/20</v>
      </c>
      <c r="T686" s="1" t="s">
        <v>32</v>
      </c>
    </row>
    <row r="687" spans="1:20" ht="76.5" x14ac:dyDescent="0.25">
      <c r="A687" s="6">
        <v>684</v>
      </c>
      <c r="B687" s="1" t="str">
        <f t="shared" si="57"/>
        <v>2020-2752</v>
      </c>
      <c r="C687" s="1" t="s">
        <v>1023</v>
      </c>
      <c r="D687" s="1" t="s">
        <v>1016</v>
      </c>
      <c r="E687" s="1" t="str">
        <f>""</f>
        <v/>
      </c>
      <c r="F687" s="1" t="s">
        <v>28</v>
      </c>
      <c r="G687" s="1" t="str">
        <f t="shared" si="58"/>
        <v>INA D.D., AVENIJA VEĆESLAVA HOLJEVCA 10, 10000 ZAGREB, OIB: 27759560625</v>
      </c>
      <c r="H687" s="7"/>
      <c r="I687" s="8" t="s">
        <v>281</v>
      </c>
      <c r="J687" s="8" t="s">
        <v>490</v>
      </c>
      <c r="K687" s="6" t="str">
        <f>"1.460.350,00"</f>
        <v>1.460.350,00</v>
      </c>
      <c r="L687" s="6" t="str">
        <f>"365.087,50"</f>
        <v>365.087,50</v>
      </c>
      <c r="M687" s="6" t="str">
        <f>"1.825.437,50"</f>
        <v>1.825.437,50</v>
      </c>
      <c r="N687" s="8" t="s">
        <v>124</v>
      </c>
      <c r="O687" s="7"/>
      <c r="P687" s="2" t="s">
        <v>5614</v>
      </c>
      <c r="Q687" s="7"/>
      <c r="R687" s="1"/>
      <c r="S687" s="1" t="str">
        <f>"4-22/NOS-21-1-ZGH/20"</f>
        <v>4-22/NOS-21-1-ZGH/20</v>
      </c>
      <c r="T687" s="1" t="s">
        <v>55</v>
      </c>
    </row>
    <row r="688" spans="1:20" ht="76.5" x14ac:dyDescent="0.25">
      <c r="A688" s="6">
        <v>685</v>
      </c>
      <c r="B688" s="1" t="str">
        <f t="shared" si="57"/>
        <v>2020-2752</v>
      </c>
      <c r="C688" s="1" t="s">
        <v>1024</v>
      </c>
      <c r="D688" s="1" t="s">
        <v>1016</v>
      </c>
      <c r="E688" s="1" t="str">
        <f>""</f>
        <v/>
      </c>
      <c r="F688" s="1" t="s">
        <v>28</v>
      </c>
      <c r="G688" s="1" t="str">
        <f t="shared" si="58"/>
        <v>INA D.D., AVENIJA VEĆESLAVA HOLJEVCA 10, 10000 ZAGREB, OIB: 27759560625</v>
      </c>
      <c r="H688" s="7"/>
      <c r="I688" s="8" t="s">
        <v>1025</v>
      </c>
      <c r="J688" s="8" t="s">
        <v>1026</v>
      </c>
      <c r="K688" s="6" t="str">
        <f>"55.772,00"</f>
        <v>55.772,00</v>
      </c>
      <c r="L688" s="6" t="str">
        <f>"13.943,00"</f>
        <v>13.943,00</v>
      </c>
      <c r="M688" s="6" t="str">
        <f>"69.715,00"</f>
        <v>69.715,00</v>
      </c>
      <c r="N688" s="8" t="s">
        <v>124</v>
      </c>
      <c r="O688" s="7"/>
      <c r="P688" s="2" t="s">
        <v>5614</v>
      </c>
      <c r="Q688" s="7"/>
      <c r="R688" s="1"/>
      <c r="S688" s="1" t="str">
        <f>"5-22/NOS-21-1-ZGH/20"</f>
        <v>5-22/NOS-21-1-ZGH/20</v>
      </c>
      <c r="T688" s="1" t="s">
        <v>43</v>
      </c>
    </row>
    <row r="689" spans="1:20" ht="204" x14ac:dyDescent="0.25">
      <c r="A689" s="6">
        <v>686</v>
      </c>
      <c r="B689" s="1" t="str">
        <f t="shared" si="57"/>
        <v>2020-2752</v>
      </c>
      <c r="C689" s="1" t="s">
        <v>1027</v>
      </c>
      <c r="D689" s="1" t="s">
        <v>1012</v>
      </c>
      <c r="E689" s="1" t="str">
        <f>"2020/S 0F2-0024183"</f>
        <v>2020/S 0F2-0024183</v>
      </c>
      <c r="F689" s="1" t="s">
        <v>22</v>
      </c>
      <c r="G689" s="1" t="str">
        <f>CONCATENATE("CRODUX DERIVATI DVA D.O.O.,"," SAVSKA OPATOVINA 36,"," 10000 ZAGREB,"," OIB: 00865396224",CHAR(10),"",CHAR(10),"INA D.D.,"," AVENIJA VEĆESLAVA HOLJEVCA 10,"," 10000 ZAGREB,"," OIB: 27759560625",CHAR(10),"",CHAR(10),"PETROL D.O.O.,"," ,"," OIB: 75550985023")</f>
        <v>CRODUX DERIVATI DVA D.O.O., SAVSKA OPATOVINA 36, 10000 ZAGREB, OIB: 00865396224
INA D.D., AVENIJA VEĆESLAVA HOLJEVCA 10, 10000 ZAGREB, OIB: 27759560625
PETROL D.O.O., , OIB: 75550985023</v>
      </c>
      <c r="H689" s="7"/>
      <c r="I689" s="8" t="s">
        <v>1013</v>
      </c>
      <c r="J689" s="8" t="s">
        <v>146</v>
      </c>
      <c r="K689" s="6" t="str">
        <f>"60.220.000,00"</f>
        <v>60.220.000,00</v>
      </c>
      <c r="L689" s="6" t="str">
        <f>"15.055.000,00"</f>
        <v>15.055.000,00</v>
      </c>
      <c r="M689" s="6" t="str">
        <f>"75.275.000,00"</f>
        <v>75.275.000,00</v>
      </c>
      <c r="N689" s="8" t="s">
        <v>415</v>
      </c>
      <c r="O689" s="7"/>
      <c r="P689" s="2" t="s">
        <v>5614</v>
      </c>
      <c r="Q689" s="7"/>
      <c r="R689" s="1"/>
      <c r="S689" s="1" t="str">
        <f>"NOS-21-2-ZGH/20"</f>
        <v>NOS-21-2-ZGH/20</v>
      </c>
      <c r="T689" s="1" t="s">
        <v>1014</v>
      </c>
    </row>
    <row r="690" spans="1:20" ht="63.75" x14ac:dyDescent="0.25">
      <c r="A690" s="6">
        <v>687</v>
      </c>
      <c r="B690" s="1" t="str">
        <f t="shared" si="57"/>
        <v>2020-2752</v>
      </c>
      <c r="C690" s="1" t="s">
        <v>1028</v>
      </c>
      <c r="D690" s="1" t="s">
        <v>1016</v>
      </c>
      <c r="E690" s="1" t="str">
        <f>""</f>
        <v/>
      </c>
      <c r="F690" s="1" t="s">
        <v>28</v>
      </c>
      <c r="G690" s="1" t="str">
        <f t="shared" ref="G690:G696" si="59">CONCATENATE("INA D.D.,"," AVENIJA VEĆESLAVA HOLJEVCA 10,"," 10000 ZAGREB,"," OIB: 27759560625")</f>
        <v>INA D.D., AVENIJA VEĆESLAVA HOLJEVCA 10, 10000 ZAGREB, OIB: 27759560625</v>
      </c>
      <c r="H690" s="7"/>
      <c r="I690" s="8" t="s">
        <v>1029</v>
      </c>
      <c r="J690" s="8" t="s">
        <v>57</v>
      </c>
      <c r="K690" s="6" t="str">
        <f>"21.725.593,50"</f>
        <v>21.725.593,50</v>
      </c>
      <c r="L690" s="6" t="str">
        <f>"5.431.398,38"</f>
        <v>5.431.398,38</v>
      </c>
      <c r="M690" s="6" t="str">
        <f>"27.156.991,88"</f>
        <v>27.156.991,88</v>
      </c>
      <c r="N690" s="8" t="s">
        <v>31</v>
      </c>
      <c r="O690" s="7"/>
      <c r="P690" s="2" t="s">
        <v>6067</v>
      </c>
      <c r="Q690" s="7"/>
      <c r="R690" s="1"/>
      <c r="S690" s="1" t="str">
        <f>"3-21/NOS-21-2-ZGH/20"</f>
        <v>3-21/NOS-21-2-ZGH/20</v>
      </c>
      <c r="T690" s="1" t="s">
        <v>32</v>
      </c>
    </row>
    <row r="691" spans="1:20" ht="76.5" x14ac:dyDescent="0.25">
      <c r="A691" s="6">
        <v>688</v>
      </c>
      <c r="B691" s="1" t="str">
        <f t="shared" si="57"/>
        <v>2020-2752</v>
      </c>
      <c r="C691" s="1" t="s">
        <v>1030</v>
      </c>
      <c r="D691" s="1" t="s">
        <v>1016</v>
      </c>
      <c r="E691" s="1" t="str">
        <f>""</f>
        <v/>
      </c>
      <c r="F691" s="1" t="s">
        <v>28</v>
      </c>
      <c r="G691" s="1" t="str">
        <f t="shared" si="59"/>
        <v>INA D.D., AVENIJA VEĆESLAVA HOLJEVCA 10, 10000 ZAGREB, OIB: 27759560625</v>
      </c>
      <c r="H691" s="7"/>
      <c r="I691" s="8" t="s">
        <v>424</v>
      </c>
      <c r="J691" s="8" t="s">
        <v>123</v>
      </c>
      <c r="K691" s="6" t="str">
        <f>"6.328.506,00"</f>
        <v>6.328.506,00</v>
      </c>
      <c r="L691" s="6" t="str">
        <f>"1.582.126,50"</f>
        <v>1.582.126,50</v>
      </c>
      <c r="M691" s="6" t="str">
        <f>"7.910.632,50"</f>
        <v>7.910.632,50</v>
      </c>
      <c r="N691" s="8" t="s">
        <v>124</v>
      </c>
      <c r="O691" s="7"/>
      <c r="P691" s="2" t="s">
        <v>6068</v>
      </c>
      <c r="Q691" s="1"/>
      <c r="R691" s="1"/>
      <c r="S691" s="1" t="str">
        <f>"2-22/NOS-21-2-ZGH/20"</f>
        <v>2-22/NOS-21-2-ZGH/20</v>
      </c>
      <c r="T691" s="1" t="s">
        <v>32</v>
      </c>
    </row>
    <row r="692" spans="1:20" ht="102" x14ac:dyDescent="0.25">
      <c r="A692" s="6">
        <v>689</v>
      </c>
      <c r="B692" s="1" t="str">
        <f t="shared" si="57"/>
        <v>2020-2752</v>
      </c>
      <c r="C692" s="1" t="s">
        <v>1031</v>
      </c>
      <c r="D692" s="1" t="s">
        <v>1016</v>
      </c>
      <c r="E692" s="1" t="str">
        <f>""</f>
        <v/>
      </c>
      <c r="F692" s="1" t="s">
        <v>92</v>
      </c>
      <c r="G692" s="1" t="str">
        <f t="shared" si="59"/>
        <v>INA D.D., AVENIJA VEĆESLAVA HOLJEVCA 10, 10000 ZAGREB, OIB: 27759560625</v>
      </c>
      <c r="H692" s="7"/>
      <c r="I692" s="8" t="s">
        <v>1032</v>
      </c>
      <c r="J692" s="8" t="s">
        <v>123</v>
      </c>
      <c r="K692" s="6" t="str">
        <f>"391.320,00"</f>
        <v>391.320,00</v>
      </c>
      <c r="L692" s="6" t="str">
        <f>"97.830,00"</f>
        <v>97.830,00</v>
      </c>
      <c r="M692" s="6" t="str">
        <f>"489.150,00"</f>
        <v>489.150,00</v>
      </c>
      <c r="N692" s="8" t="s">
        <v>525</v>
      </c>
      <c r="O692" s="7"/>
      <c r="P692" s="2" t="s">
        <v>6069</v>
      </c>
      <c r="Q692" s="7"/>
      <c r="R692" s="1" t="s">
        <v>191</v>
      </c>
      <c r="S692" s="1" t="str">
        <f>"2-22/NOS-21-2-ZGH/20#1"</f>
        <v>2-22/NOS-21-2-ZGH/20#1</v>
      </c>
      <c r="T692" s="1" t="s">
        <v>32</v>
      </c>
    </row>
    <row r="693" spans="1:20" ht="76.5" x14ac:dyDescent="0.25">
      <c r="A693" s="6">
        <v>690</v>
      </c>
      <c r="B693" s="1" t="str">
        <f t="shared" si="57"/>
        <v>2020-2752</v>
      </c>
      <c r="C693" s="1" t="s">
        <v>1033</v>
      </c>
      <c r="D693" s="1" t="s">
        <v>1016</v>
      </c>
      <c r="E693" s="1" t="str">
        <f>""</f>
        <v/>
      </c>
      <c r="F693" s="1" t="s">
        <v>28</v>
      </c>
      <c r="G693" s="1" t="str">
        <f t="shared" si="59"/>
        <v>INA D.D., AVENIJA VEĆESLAVA HOLJEVCA 10, 10000 ZAGREB, OIB: 27759560625</v>
      </c>
      <c r="H693" s="7"/>
      <c r="I693" s="8" t="s">
        <v>81</v>
      </c>
      <c r="J693" s="8" t="s">
        <v>123</v>
      </c>
      <c r="K693" s="6" t="str">
        <f>"4.001.238,20"</f>
        <v>4.001.238,20</v>
      </c>
      <c r="L693" s="6" t="str">
        <f>"1.000.309,55"</f>
        <v>1.000.309,55</v>
      </c>
      <c r="M693" s="6" t="str">
        <f>"5.001.547,75"</f>
        <v>5.001.547,75</v>
      </c>
      <c r="N693" s="8" t="s">
        <v>124</v>
      </c>
      <c r="O693" s="7"/>
      <c r="P693" s="2" t="s">
        <v>6070</v>
      </c>
      <c r="Q693" s="7"/>
      <c r="R693" s="1"/>
      <c r="S693" s="1" t="str">
        <f>"5-22/NOS-21-2-ZGH/20"</f>
        <v>5-22/NOS-21-2-ZGH/20</v>
      </c>
      <c r="T693" s="1" t="s">
        <v>32</v>
      </c>
    </row>
    <row r="694" spans="1:20" ht="51" x14ac:dyDescent="0.25">
      <c r="A694" s="6">
        <v>691</v>
      </c>
      <c r="B694" s="1" t="str">
        <f t="shared" si="57"/>
        <v>2020-2752</v>
      </c>
      <c r="C694" s="1" t="s">
        <v>1027</v>
      </c>
      <c r="D694" s="1" t="s">
        <v>1016</v>
      </c>
      <c r="E694" s="1" t="str">
        <f>""</f>
        <v/>
      </c>
      <c r="F694" s="1" t="s">
        <v>28</v>
      </c>
      <c r="G694" s="1" t="str">
        <f t="shared" si="59"/>
        <v>INA D.D., AVENIJA VEĆESLAVA HOLJEVCA 10, 10000 ZAGREB, OIB: 27759560625</v>
      </c>
      <c r="H694" s="7"/>
      <c r="I694" s="8" t="s">
        <v>478</v>
      </c>
      <c r="J694" s="8" t="s">
        <v>423</v>
      </c>
      <c r="K694" s="6" t="str">
        <f>"54.575,00"</f>
        <v>54.575,00</v>
      </c>
      <c r="L694" s="6" t="str">
        <f>"14.614,08"</f>
        <v>14.614,08</v>
      </c>
      <c r="M694" s="6" t="str">
        <f>"69.189,08"</f>
        <v>69.189,08</v>
      </c>
      <c r="N694" s="8" t="s">
        <v>238</v>
      </c>
      <c r="O694" s="7"/>
      <c r="P694" s="2" t="s">
        <v>6071</v>
      </c>
      <c r="Q694" s="1" t="s">
        <v>5600</v>
      </c>
      <c r="R694" s="1"/>
      <c r="S694" s="1" t="str">
        <f>"1-22/NOS-21-2-ZGH/20"</f>
        <v>1-22/NOS-21-2-ZGH/20</v>
      </c>
      <c r="T694" s="1" t="s">
        <v>32</v>
      </c>
    </row>
    <row r="695" spans="1:20" ht="51" x14ac:dyDescent="0.25">
      <c r="A695" s="6">
        <v>692</v>
      </c>
      <c r="B695" s="1" t="str">
        <f t="shared" si="57"/>
        <v>2020-2752</v>
      </c>
      <c r="C695" s="1" t="s">
        <v>1027</v>
      </c>
      <c r="D695" s="1" t="s">
        <v>1016</v>
      </c>
      <c r="E695" s="1" t="str">
        <f>""</f>
        <v/>
      </c>
      <c r="F695" s="1" t="s">
        <v>28</v>
      </c>
      <c r="G695" s="1" t="str">
        <f t="shared" si="59"/>
        <v>INA D.D., AVENIJA VEĆESLAVA HOLJEVCA 10, 10000 ZAGREB, OIB: 27759560625</v>
      </c>
      <c r="H695" s="7"/>
      <c r="I695" s="8" t="s">
        <v>240</v>
      </c>
      <c r="J695" s="7"/>
      <c r="K695" s="6" t="str">
        <f>"12.465,80"</f>
        <v>12.465,80</v>
      </c>
      <c r="L695" s="6" t="str">
        <f>"3.035,57"</f>
        <v>3.035,57</v>
      </c>
      <c r="M695" s="6" t="str">
        <f>"15.501,37"</f>
        <v>15.501,37</v>
      </c>
      <c r="N695" s="8" t="s">
        <v>430</v>
      </c>
      <c r="O695" s="7"/>
      <c r="P695" s="2" t="s">
        <v>6072</v>
      </c>
      <c r="Q695" s="7"/>
      <c r="R695" s="1"/>
      <c r="S695" s="1" t="str">
        <f>"3-22/NOS-21-2-ZGH/20"</f>
        <v>3-22/NOS-21-2-ZGH/20</v>
      </c>
      <c r="T695" s="1" t="s">
        <v>32</v>
      </c>
    </row>
    <row r="696" spans="1:20" ht="51" x14ac:dyDescent="0.25">
      <c r="A696" s="6">
        <v>693</v>
      </c>
      <c r="B696" s="1" t="str">
        <f t="shared" si="57"/>
        <v>2020-2752</v>
      </c>
      <c r="C696" s="1" t="s">
        <v>1027</v>
      </c>
      <c r="D696" s="1" t="s">
        <v>1016</v>
      </c>
      <c r="E696" s="1" t="str">
        <f>""</f>
        <v/>
      </c>
      <c r="F696" s="1" t="s">
        <v>28</v>
      </c>
      <c r="G696" s="1" t="str">
        <f t="shared" si="59"/>
        <v>INA D.D., AVENIJA VEĆESLAVA HOLJEVCA 10, 10000 ZAGREB, OIB: 27759560625</v>
      </c>
      <c r="H696" s="7"/>
      <c r="I696" s="8" t="s">
        <v>923</v>
      </c>
      <c r="J696" s="8" t="s">
        <v>231</v>
      </c>
      <c r="K696" s="6" t="str">
        <f>"630.664,00"</f>
        <v>630.664,00</v>
      </c>
      <c r="L696" s="6" t="str">
        <f>"156.946,02"</f>
        <v>156.946,02</v>
      </c>
      <c r="M696" s="6" t="str">
        <f>"787.610,02"</f>
        <v>787.610,02</v>
      </c>
      <c r="N696" s="8" t="s">
        <v>916</v>
      </c>
      <c r="O696" s="7"/>
      <c r="P696" s="2" t="s">
        <v>6073</v>
      </c>
      <c r="Q696" s="7"/>
      <c r="R696" s="1"/>
      <c r="S696" s="1" t="str">
        <f>"4-22/NOS-21-2-ZGH/20"</f>
        <v>4-22/NOS-21-2-ZGH/20</v>
      </c>
      <c r="T696" s="1" t="s">
        <v>32</v>
      </c>
    </row>
    <row r="697" spans="1:20" ht="204" x14ac:dyDescent="0.25">
      <c r="A697" s="6">
        <v>694</v>
      </c>
      <c r="B697" s="1" t="str">
        <f t="shared" si="57"/>
        <v>2020-2752</v>
      </c>
      <c r="C697" s="1" t="s">
        <v>1034</v>
      </c>
      <c r="D697" s="1" t="s">
        <v>1012</v>
      </c>
      <c r="E697" s="1" t="str">
        <f>"2020/S 0F2-0024183"</f>
        <v>2020/S 0F2-0024183</v>
      </c>
      <c r="F697" s="1" t="s">
        <v>22</v>
      </c>
      <c r="G697" s="1" t="str">
        <f>CONCATENATE("CRODUX DERIVATI DVA D.O.O.,"," SAVSKA OPATOVINA 36,"," 10000 ZAGREB,"," OIB: 00865396224",CHAR(10),"",CHAR(10),"INA D.D.,"," AVENIJA VEĆESLAVA HOLJEVCA 10,"," 10000 ZAGREB,"," OIB: 27759560625",CHAR(10),"",CHAR(10),"PETROL D.O.O.,"," ,"," OIB: 75550985023")</f>
        <v>CRODUX DERIVATI DVA D.O.O., SAVSKA OPATOVINA 36, 10000 ZAGREB, OIB: 00865396224
INA D.D., AVENIJA VEĆESLAVA HOLJEVCA 10, 10000 ZAGREB, OIB: 27759560625
PETROL D.O.O., , OIB: 75550985023</v>
      </c>
      <c r="H697" s="7"/>
      <c r="I697" s="8" t="s">
        <v>1013</v>
      </c>
      <c r="J697" s="8" t="s">
        <v>81</v>
      </c>
      <c r="K697" s="6" t="str">
        <f>"11.140.000,00"</f>
        <v>11.140.000,00</v>
      </c>
      <c r="L697" s="6" t="str">
        <f>"2.785.000,00"</f>
        <v>2.785.000,00</v>
      </c>
      <c r="M697" s="6" t="str">
        <f>"13.925.000,00"</f>
        <v>13.925.000,00</v>
      </c>
      <c r="N697" s="8" t="s">
        <v>255</v>
      </c>
      <c r="O697" s="7"/>
      <c r="P697" s="2" t="s">
        <v>5614</v>
      </c>
      <c r="Q697" s="7"/>
      <c r="R697" s="1"/>
      <c r="S697" s="1" t="str">
        <f>"NOS-21-3-ZGH/20"</f>
        <v>NOS-21-3-ZGH/20</v>
      </c>
      <c r="T697" s="1" t="s">
        <v>1014</v>
      </c>
    </row>
    <row r="698" spans="1:20" ht="115.5" customHeight="1" x14ac:dyDescent="0.25">
      <c r="A698" s="6">
        <v>695</v>
      </c>
      <c r="B698" s="1" t="str">
        <f t="shared" si="57"/>
        <v>2020-2752</v>
      </c>
      <c r="C698" s="1" t="s">
        <v>1035</v>
      </c>
      <c r="D698" s="1" t="s">
        <v>1016</v>
      </c>
      <c r="E698" s="1" t="str">
        <f>""</f>
        <v/>
      </c>
      <c r="F698" s="1" t="s">
        <v>28</v>
      </c>
      <c r="G698" s="1" t="str">
        <f>CONCATENATE("INA D.D.,"," AVENIJA VEĆESLAVA HOLJEVCA 10,"," 10000 ZAGREB,"," OIB: 27759560625")</f>
        <v>INA D.D., AVENIJA VEĆESLAVA HOLJEVCA 10, 10000 ZAGREB, OIB: 27759560625</v>
      </c>
      <c r="H698" s="7"/>
      <c r="I698" s="8" t="s">
        <v>1036</v>
      </c>
      <c r="J698" s="8" t="s">
        <v>214</v>
      </c>
      <c r="K698" s="6" t="str">
        <f>"243.720,00"</f>
        <v>243.720,00</v>
      </c>
      <c r="L698" s="6" t="str">
        <f>"60.930,00"</f>
        <v>60.930,00</v>
      </c>
      <c r="M698" s="6" t="str">
        <f>"304.650,00"</f>
        <v>304.650,00</v>
      </c>
      <c r="N698" s="8" t="s">
        <v>963</v>
      </c>
      <c r="O698" s="7"/>
      <c r="P698" s="2" t="s">
        <v>6074</v>
      </c>
      <c r="Q698" s="1"/>
      <c r="R698" s="1"/>
      <c r="S698" s="1" t="str">
        <f>"4-21/NOS-21-3-ZGH/20"</f>
        <v>4-21/NOS-21-3-ZGH/20</v>
      </c>
      <c r="T698" s="1" t="s">
        <v>32</v>
      </c>
    </row>
    <row r="699" spans="1:20" ht="51" x14ac:dyDescent="0.25">
      <c r="A699" s="6">
        <v>696</v>
      </c>
      <c r="B699" s="1" t="str">
        <f t="shared" si="57"/>
        <v>2020-2752</v>
      </c>
      <c r="C699" s="1" t="s">
        <v>1037</v>
      </c>
      <c r="D699" s="1" t="s">
        <v>1016</v>
      </c>
      <c r="E699" s="1" t="str">
        <f>""</f>
        <v/>
      </c>
      <c r="F699" s="1" t="s">
        <v>28</v>
      </c>
      <c r="G699" s="1" t="str">
        <f>CONCATENATE("INA D.D.,"," AVENIJA VEĆESLAVA HOLJEVCA 10,"," 10000 ZAGREB,"," OIB: 27759560625")</f>
        <v>INA D.D., AVENIJA VEĆESLAVA HOLJEVCA 10, 10000 ZAGREB, OIB: 27759560625</v>
      </c>
      <c r="H699" s="7"/>
      <c r="I699" s="8" t="s">
        <v>1029</v>
      </c>
      <c r="J699" s="8" t="s">
        <v>57</v>
      </c>
      <c r="K699" s="6" t="str">
        <f>"1.814.000,00"</f>
        <v>1.814.000,00</v>
      </c>
      <c r="L699" s="6" t="str">
        <f>"453.500,00"</f>
        <v>453.500,00</v>
      </c>
      <c r="M699" s="6" t="str">
        <f>"2.267.500,00"</f>
        <v>2.267.500,00</v>
      </c>
      <c r="N699" s="8" t="s">
        <v>372</v>
      </c>
      <c r="O699" s="7"/>
      <c r="P699" s="2" t="s">
        <v>6075</v>
      </c>
      <c r="Q699" s="7"/>
      <c r="R699" s="1"/>
      <c r="S699" s="1" t="str">
        <f>"5-21/NOS-21-3-ZGH/20"</f>
        <v>5-21/NOS-21-3-ZGH/20</v>
      </c>
      <c r="T699" s="1" t="s">
        <v>32</v>
      </c>
    </row>
    <row r="700" spans="1:20" ht="76.5" x14ac:dyDescent="0.25">
      <c r="A700" s="6">
        <v>697</v>
      </c>
      <c r="B700" s="1" t="str">
        <f>"2020-2921"</f>
        <v>2020-2921</v>
      </c>
      <c r="C700" s="1" t="s">
        <v>1038</v>
      </c>
      <c r="D700" s="1" t="s">
        <v>1039</v>
      </c>
      <c r="E700" s="1" t="str">
        <f>""</f>
        <v/>
      </c>
      <c r="F700" s="1" t="s">
        <v>1040</v>
      </c>
      <c r="G700" s="1" t="str">
        <f>CONCATENATE("P T M G D.O.O.,"," GORNJOSTUPNIČKA 18,"," 10255 GORNJI STUPNIK,"," OIB: 5061792625")</f>
        <v>P T M G D.O.O., GORNJOSTUPNIČKA 18, 10255 GORNJI STUPNIK, OIB: 5061792625</v>
      </c>
      <c r="H700" s="7"/>
      <c r="I700" s="8" t="s">
        <v>1008</v>
      </c>
      <c r="J700" s="8" t="s">
        <v>420</v>
      </c>
      <c r="K700" s="6" t="str">
        <f>"1.900.000,00"</f>
        <v>1.900.000,00</v>
      </c>
      <c r="L700" s="6" t="str">
        <f>"475.000,00"</f>
        <v>475.000,00</v>
      </c>
      <c r="M700" s="6" t="str">
        <f>"2.375.000,00"</f>
        <v>2.375.000,00</v>
      </c>
      <c r="N700" s="8" t="s">
        <v>732</v>
      </c>
      <c r="O700" s="7"/>
      <c r="P700" s="2" t="s">
        <v>6076</v>
      </c>
      <c r="Q700" s="7"/>
      <c r="R700" s="1"/>
      <c r="S700" s="1" t="str">
        <f>"NOS-30/20"</f>
        <v>NOS-30/20</v>
      </c>
      <c r="T700" s="1" t="s">
        <v>452</v>
      </c>
    </row>
    <row r="701" spans="1:20" ht="76.5" x14ac:dyDescent="0.25">
      <c r="A701" s="6">
        <v>698</v>
      </c>
      <c r="B701" s="1" t="str">
        <f>"2020-1076"</f>
        <v>2020-1076</v>
      </c>
      <c r="C701" s="1" t="s">
        <v>1041</v>
      </c>
      <c r="D701" s="1" t="s">
        <v>515</v>
      </c>
      <c r="E701" s="1" t="str">
        <f>"2020/S 0F2-0030272"</f>
        <v>2020/S 0F2-0030272</v>
      </c>
      <c r="F701" s="1" t="s">
        <v>22</v>
      </c>
      <c r="G701" s="1" t="str">
        <f>CONCATENATE("NASTAVNI ZAVOD ZA JAVNO ZDRAVSTVO DR. ANDRIJA ŠTAMPAR,"," MIROGOJSKA CESTA 16,"," 10000 ZAGREB,"," OIB: 3339200596")</f>
        <v>NASTAVNI ZAVOD ZA JAVNO ZDRAVSTVO DR. ANDRIJA ŠTAMPAR, MIROGOJSKA CESTA 16, 10000 ZAGREB, OIB: 3339200596</v>
      </c>
      <c r="H701" s="7"/>
      <c r="I701" s="8" t="s">
        <v>1042</v>
      </c>
      <c r="J701" s="8" t="s">
        <v>1043</v>
      </c>
      <c r="K701" s="6" t="str">
        <f>"600.000,00"</f>
        <v>600.000,00</v>
      </c>
      <c r="L701" s="6" t="str">
        <f>"150.000,00"</f>
        <v>150.000,00</v>
      </c>
      <c r="M701" s="6" t="str">
        <f>"750.000,00"</f>
        <v>750.000,00</v>
      </c>
      <c r="N701" s="8" t="s">
        <v>508</v>
      </c>
      <c r="O701" s="7"/>
      <c r="P701" s="2" t="s">
        <v>5614</v>
      </c>
      <c r="Q701" s="7"/>
      <c r="R701" s="1"/>
      <c r="S701" s="1" t="str">
        <f>"NOS-24/20"</f>
        <v>NOS-24/20</v>
      </c>
      <c r="T701" s="1" t="s">
        <v>55</v>
      </c>
    </row>
    <row r="702" spans="1:20" ht="76.5" x14ac:dyDescent="0.25">
      <c r="A702" s="6">
        <v>699</v>
      </c>
      <c r="B702" s="1" t="str">
        <f>"2020-1076"</f>
        <v>2020-1076</v>
      </c>
      <c r="C702" s="1" t="s">
        <v>1041</v>
      </c>
      <c r="D702" s="1" t="s">
        <v>518</v>
      </c>
      <c r="E702" s="1" t="str">
        <f>""</f>
        <v/>
      </c>
      <c r="F702" s="1" t="s">
        <v>28</v>
      </c>
      <c r="G702" s="1" t="str">
        <f>CONCATENATE("NASTAVNI ZAVOD ZA JAVNO ZDRAVSTVO DR. ANDRIJA ŠTAMPAR,"," MIROGOJSKA CESTA 16,"," 10000 ZAGREB,"," OIB: 3339200596")</f>
        <v>NASTAVNI ZAVOD ZA JAVNO ZDRAVSTVO DR. ANDRIJA ŠTAMPAR, MIROGOJSKA CESTA 16, 10000 ZAGREB, OIB: 3339200596</v>
      </c>
      <c r="H702" s="7"/>
      <c r="I702" s="8" t="s">
        <v>1044</v>
      </c>
      <c r="J702" s="8" t="s">
        <v>57</v>
      </c>
      <c r="K702" s="6" t="str">
        <f>"199.905,00"</f>
        <v>199.905,00</v>
      </c>
      <c r="L702" s="6" t="str">
        <f>"49.976,25"</f>
        <v>49.976,25</v>
      </c>
      <c r="M702" s="6" t="str">
        <f>"249.881,25"</f>
        <v>249.881,25</v>
      </c>
      <c r="N702" s="8" t="s">
        <v>509</v>
      </c>
      <c r="O702" s="7"/>
      <c r="P702" s="2" t="s">
        <v>6077</v>
      </c>
      <c r="Q702" s="7"/>
      <c r="R702" s="1"/>
      <c r="S702" s="1" t="str">
        <f>"2-21/NOS-24/20"</f>
        <v>2-21/NOS-24/20</v>
      </c>
      <c r="T702" s="1" t="s">
        <v>55</v>
      </c>
    </row>
    <row r="703" spans="1:20" ht="76.5" x14ac:dyDescent="0.25">
      <c r="A703" s="6">
        <v>700</v>
      </c>
      <c r="B703" s="1" t="str">
        <f>"2020-1076"</f>
        <v>2020-1076</v>
      </c>
      <c r="C703" s="1" t="s">
        <v>1041</v>
      </c>
      <c r="D703" s="1" t="s">
        <v>518</v>
      </c>
      <c r="E703" s="1" t="str">
        <f>""</f>
        <v/>
      </c>
      <c r="F703" s="1" t="s">
        <v>28</v>
      </c>
      <c r="G703" s="1" t="str">
        <f>CONCATENATE("NASTAVNI ZAVOD ZA JAVNO ZDRAVSTVO DR. ANDRIJA ŠTAMPAR,"," MIROGOJSKA CESTA 16,"," 10000 ZAGREB,"," OIB: 3339200596")</f>
        <v>NASTAVNI ZAVOD ZA JAVNO ZDRAVSTVO DR. ANDRIJA ŠTAMPAR, MIROGOJSKA CESTA 16, 10000 ZAGREB, OIB: 3339200596</v>
      </c>
      <c r="H703" s="7"/>
      <c r="I703" s="8" t="s">
        <v>427</v>
      </c>
      <c r="J703" s="8" t="s">
        <v>417</v>
      </c>
      <c r="K703" s="6" t="str">
        <f>"99.617,00"</f>
        <v>99.617,00</v>
      </c>
      <c r="L703" s="6" t="str">
        <f>"24.904,25"</f>
        <v>24.904,25</v>
      </c>
      <c r="M703" s="6" t="str">
        <f>"124.521,25"</f>
        <v>124.521,25</v>
      </c>
      <c r="N703" s="8" t="s">
        <v>124</v>
      </c>
      <c r="O703" s="7"/>
      <c r="P703" s="2" t="s">
        <v>5614</v>
      </c>
      <c r="Q703" s="7"/>
      <c r="R703" s="1"/>
      <c r="S703" s="1" t="str">
        <f>"2-22/NOS-24/20"</f>
        <v>2-22/NOS-24/20</v>
      </c>
      <c r="T703" s="1" t="s">
        <v>55</v>
      </c>
    </row>
    <row r="704" spans="1:20" ht="204" x14ac:dyDescent="0.25">
      <c r="A704" s="6">
        <v>701</v>
      </c>
      <c r="B704" s="1" t="str">
        <f t="shared" ref="B704:B713" si="60">"2020-9"</f>
        <v>2020-9</v>
      </c>
      <c r="C704" s="1" t="s">
        <v>1045</v>
      </c>
      <c r="D704" s="1" t="s">
        <v>1046</v>
      </c>
      <c r="E704" s="1" t="str">
        <f>"2020/S F21-0019356"</f>
        <v>2020/S F21-0019356</v>
      </c>
      <c r="F704" s="1" t="s">
        <v>967</v>
      </c>
      <c r="G704" s="1" t="str">
        <f t="shared" ref="G704:G713" si="61">CONCATENATE("HP D.D.,"," JURIŠIĆEVA 13,"," 10000 ZAGREB,"," OIB: 87311810356")</f>
        <v>HP D.D., JURIŠIĆEVA 13, 10000 ZAGREB, OIB: 87311810356</v>
      </c>
      <c r="H704" s="7"/>
      <c r="I704" s="8" t="s">
        <v>1047</v>
      </c>
      <c r="J704" s="8" t="s">
        <v>277</v>
      </c>
      <c r="K704" s="6" t="str">
        <f>"46.692.000,00"</f>
        <v>46.692.000,00</v>
      </c>
      <c r="L704" s="6" t="str">
        <f>"11.673.000,00"</f>
        <v>11.673.000,00</v>
      </c>
      <c r="M704" s="6" t="str">
        <f>"58.365.000,00"</f>
        <v>58.365.000,00</v>
      </c>
      <c r="N704" s="8" t="s">
        <v>278</v>
      </c>
      <c r="O704" s="7"/>
      <c r="P704" s="2" t="s">
        <v>6078</v>
      </c>
      <c r="Q704" s="7"/>
      <c r="R704" s="1"/>
      <c r="S704" s="1" t="str">
        <f>"NOS-27-1-ZGH/20"</f>
        <v>NOS-27-1-ZGH/20</v>
      </c>
      <c r="T704" s="1" t="s">
        <v>1014</v>
      </c>
    </row>
    <row r="705" spans="1:20" ht="51" x14ac:dyDescent="0.25">
      <c r="A705" s="6">
        <v>702</v>
      </c>
      <c r="B705" s="1" t="str">
        <f t="shared" si="60"/>
        <v>2020-9</v>
      </c>
      <c r="C705" s="1" t="s">
        <v>1048</v>
      </c>
      <c r="D705" s="1" t="s">
        <v>1049</v>
      </c>
      <c r="E705" s="1" t="str">
        <f>""</f>
        <v/>
      </c>
      <c r="F705" s="1" t="s">
        <v>28</v>
      </c>
      <c r="G705" s="1" t="str">
        <f t="shared" si="61"/>
        <v>HP D.D., JURIŠIĆEVA 13, 10000 ZAGREB, OIB: 87311810356</v>
      </c>
      <c r="H705" s="7"/>
      <c r="I705" s="8" t="s">
        <v>1050</v>
      </c>
      <c r="J705" s="8" t="s">
        <v>93</v>
      </c>
      <c r="K705" s="6" t="str">
        <f>"13.301.176,34"</f>
        <v>13.301.176,34</v>
      </c>
      <c r="L705" s="6" t="str">
        <f>"3.325.294,09"</f>
        <v>3.325.294,09</v>
      </c>
      <c r="M705" s="6" t="str">
        <f>"16.626.470,43"</f>
        <v>16.626.470,43</v>
      </c>
      <c r="N705" s="8" t="s">
        <v>681</v>
      </c>
      <c r="O705" s="7"/>
      <c r="P705" s="2" t="s">
        <v>6079</v>
      </c>
      <c r="Q705" s="7"/>
      <c r="R705" s="1"/>
      <c r="S705" s="1" t="str">
        <f>"1-21/NOS-27-1-ZGH/20"</f>
        <v>1-21/NOS-27-1-ZGH/20</v>
      </c>
      <c r="T705" s="1" t="s">
        <v>86</v>
      </c>
    </row>
    <row r="706" spans="1:20" ht="51" x14ac:dyDescent="0.25">
      <c r="A706" s="6">
        <v>703</v>
      </c>
      <c r="B706" s="1" t="str">
        <f t="shared" si="60"/>
        <v>2020-9</v>
      </c>
      <c r="C706" s="1" t="s">
        <v>1051</v>
      </c>
      <c r="D706" s="1" t="s">
        <v>1049</v>
      </c>
      <c r="E706" s="1" t="str">
        <f>""</f>
        <v/>
      </c>
      <c r="F706" s="1" t="s">
        <v>28</v>
      </c>
      <c r="G706" s="1" t="str">
        <f t="shared" si="61"/>
        <v>HP D.D., JURIŠIĆEVA 13, 10000 ZAGREB, OIB: 87311810356</v>
      </c>
      <c r="H706" s="7"/>
      <c r="I706" s="8" t="s">
        <v>1052</v>
      </c>
      <c r="J706" s="8" t="s">
        <v>53</v>
      </c>
      <c r="K706" s="6" t="str">
        <f>"4.417.639,70"</f>
        <v>4.417.639,70</v>
      </c>
      <c r="L706" s="6" t="str">
        <f>"1.104.409,93"</f>
        <v>1.104.409,93</v>
      </c>
      <c r="M706" s="6" t="str">
        <f>"5.522.049,63"</f>
        <v>5.522.049,63</v>
      </c>
      <c r="N706" s="8" t="s">
        <v>124</v>
      </c>
      <c r="O706" s="7"/>
      <c r="P706" s="2" t="s">
        <v>5614</v>
      </c>
      <c r="Q706" s="7"/>
      <c r="R706" s="1"/>
      <c r="S706" s="1" t="str">
        <f>"4-21/NOS-27-1-ZGH/20"</f>
        <v>4-21/NOS-27-1-ZGH/20</v>
      </c>
      <c r="T706" s="1" t="s">
        <v>55</v>
      </c>
    </row>
    <row r="707" spans="1:20" ht="51" x14ac:dyDescent="0.25">
      <c r="A707" s="6">
        <v>704</v>
      </c>
      <c r="B707" s="1" t="str">
        <f t="shared" si="60"/>
        <v>2020-9</v>
      </c>
      <c r="C707" s="1" t="s">
        <v>1053</v>
      </c>
      <c r="D707" s="1" t="s">
        <v>1049</v>
      </c>
      <c r="E707" s="1" t="str">
        <f>""</f>
        <v/>
      </c>
      <c r="F707" s="1" t="s">
        <v>28</v>
      </c>
      <c r="G707" s="1" t="str">
        <f t="shared" si="61"/>
        <v>HP D.D., JURIŠIĆEVA 13, 10000 ZAGREB, OIB: 87311810356</v>
      </c>
      <c r="H707" s="7"/>
      <c r="I707" s="8" t="s">
        <v>1054</v>
      </c>
      <c r="J707" s="8" t="s">
        <v>53</v>
      </c>
      <c r="K707" s="6" t="str">
        <f>"14.333,36"</f>
        <v>14.333,36</v>
      </c>
      <c r="L707" s="6" t="str">
        <f>"3.583,34"</f>
        <v>3.583,34</v>
      </c>
      <c r="M707" s="6" t="str">
        <f>"17.916,70"</f>
        <v>17.916,70</v>
      </c>
      <c r="N707" s="8" t="s">
        <v>124</v>
      </c>
      <c r="O707" s="7"/>
      <c r="P707" s="2" t="s">
        <v>5614</v>
      </c>
      <c r="Q707" s="7"/>
      <c r="R707" s="1"/>
      <c r="S707" s="1" t="str">
        <f>"7-21/NOS-27-1-ZGH/20"</f>
        <v>7-21/NOS-27-1-ZGH/20</v>
      </c>
      <c r="T707" s="1" t="s">
        <v>1055</v>
      </c>
    </row>
    <row r="708" spans="1:20" ht="51" x14ac:dyDescent="0.25">
      <c r="A708" s="6">
        <v>705</v>
      </c>
      <c r="B708" s="1" t="str">
        <f t="shared" si="60"/>
        <v>2020-9</v>
      </c>
      <c r="C708" s="1" t="s">
        <v>1056</v>
      </c>
      <c r="D708" s="1" t="s">
        <v>1049</v>
      </c>
      <c r="E708" s="1" t="str">
        <f>""</f>
        <v/>
      </c>
      <c r="F708" s="1" t="s">
        <v>28</v>
      </c>
      <c r="G708" s="1" t="str">
        <f t="shared" si="61"/>
        <v>HP D.D., JURIŠIĆEVA 13, 10000 ZAGREB, OIB: 87311810356</v>
      </c>
      <c r="H708" s="7"/>
      <c r="I708" s="8" t="s">
        <v>857</v>
      </c>
      <c r="J708" s="8" t="s">
        <v>30</v>
      </c>
      <c r="K708" s="6" t="str">
        <f>"230.169,01"</f>
        <v>230.169,01</v>
      </c>
      <c r="L708" s="6" t="str">
        <f>"57.542,25"</f>
        <v>57.542,25</v>
      </c>
      <c r="M708" s="6" t="str">
        <f>"287.711,26"</f>
        <v>287.711,26</v>
      </c>
      <c r="N708" s="8" t="s">
        <v>202</v>
      </c>
      <c r="O708" s="7"/>
      <c r="P708" s="2" t="s">
        <v>6080</v>
      </c>
      <c r="Q708" s="7"/>
      <c r="R708" s="1"/>
      <c r="S708" s="1" t="str">
        <f>"6-21/NOS-27-1-ZGH/20"</f>
        <v>6-21/NOS-27-1-ZGH/20</v>
      </c>
      <c r="T708" s="1" t="s">
        <v>452</v>
      </c>
    </row>
    <row r="709" spans="1:20" ht="63.75" x14ac:dyDescent="0.25">
      <c r="A709" s="6">
        <v>706</v>
      </c>
      <c r="B709" s="1" t="str">
        <f t="shared" si="60"/>
        <v>2020-9</v>
      </c>
      <c r="C709" s="1" t="s">
        <v>1057</v>
      </c>
      <c r="D709" s="1" t="s">
        <v>1049</v>
      </c>
      <c r="E709" s="1" t="str">
        <f>""</f>
        <v/>
      </c>
      <c r="F709" s="1" t="s">
        <v>28</v>
      </c>
      <c r="G709" s="1" t="str">
        <f t="shared" si="61"/>
        <v>HP D.D., JURIŠIĆEVA 13, 10000 ZAGREB, OIB: 87311810356</v>
      </c>
      <c r="H709" s="7"/>
      <c r="I709" s="8" t="s">
        <v>1058</v>
      </c>
      <c r="J709" s="8" t="s">
        <v>41</v>
      </c>
      <c r="K709" s="6" t="str">
        <f>"1.818.209,25"</f>
        <v>1.818.209,25</v>
      </c>
      <c r="L709" s="6" t="str">
        <f>"454.552,31"</f>
        <v>454.552,31</v>
      </c>
      <c r="M709" s="6" t="str">
        <f>"2.272.761,56"</f>
        <v>2.272.761,56</v>
      </c>
      <c r="N709" s="8" t="s">
        <v>994</v>
      </c>
      <c r="O709" s="7"/>
      <c r="P709" s="2" t="s">
        <v>6081</v>
      </c>
      <c r="Q709" s="7"/>
      <c r="R709" s="1"/>
      <c r="S709" s="1" t="str">
        <f>"8-21/NOS-27-1-ZGH/20"</f>
        <v>8-21/NOS-27-1-ZGH/20</v>
      </c>
      <c r="T709" s="1" t="s">
        <v>43</v>
      </c>
    </row>
    <row r="710" spans="1:20" ht="51" x14ac:dyDescent="0.25">
      <c r="A710" s="6">
        <v>707</v>
      </c>
      <c r="B710" s="1" t="str">
        <f t="shared" si="60"/>
        <v>2020-9</v>
      </c>
      <c r="C710" s="1" t="s">
        <v>1059</v>
      </c>
      <c r="D710" s="1" t="s">
        <v>1049</v>
      </c>
      <c r="E710" s="1" t="str">
        <f>""</f>
        <v/>
      </c>
      <c r="F710" s="1" t="s">
        <v>28</v>
      </c>
      <c r="G710" s="1" t="str">
        <f t="shared" si="61"/>
        <v>HP D.D., JURIŠIĆEVA 13, 10000 ZAGREB, OIB: 87311810356</v>
      </c>
      <c r="H710" s="7"/>
      <c r="I710" s="8" t="s">
        <v>1060</v>
      </c>
      <c r="J710" s="8" t="s">
        <v>57</v>
      </c>
      <c r="K710" s="6" t="str">
        <f>"1.474.751,51"</f>
        <v>1.474.751,51</v>
      </c>
      <c r="L710" s="6" t="str">
        <f>"368.687,88"</f>
        <v>368.687,88</v>
      </c>
      <c r="M710" s="6" t="str">
        <f>"1.843.439,39"</f>
        <v>1.843.439,39</v>
      </c>
      <c r="N710" s="8" t="s">
        <v>146</v>
      </c>
      <c r="O710" s="7"/>
      <c r="P710" s="2" t="s">
        <v>6082</v>
      </c>
      <c r="Q710" s="1"/>
      <c r="R710" s="1"/>
      <c r="S710" s="1" t="str">
        <f>"9-21/NOS-27-1-ZGH/20"</f>
        <v>9-21/NOS-27-1-ZGH/20</v>
      </c>
      <c r="T710" s="1" t="s">
        <v>32</v>
      </c>
    </row>
    <row r="711" spans="1:20" ht="51" x14ac:dyDescent="0.25">
      <c r="A711" s="6">
        <v>708</v>
      </c>
      <c r="B711" s="1" t="str">
        <f t="shared" si="60"/>
        <v>2020-9</v>
      </c>
      <c r="C711" s="1" t="s">
        <v>1061</v>
      </c>
      <c r="D711" s="1" t="s">
        <v>1049</v>
      </c>
      <c r="E711" s="1" t="str">
        <f>""</f>
        <v/>
      </c>
      <c r="F711" s="1" t="s">
        <v>28</v>
      </c>
      <c r="G711" s="1" t="str">
        <f t="shared" si="61"/>
        <v>HP D.D., JURIŠIĆEVA 13, 10000 ZAGREB, OIB: 87311810356</v>
      </c>
      <c r="H711" s="7"/>
      <c r="I711" s="8" t="s">
        <v>103</v>
      </c>
      <c r="J711" s="8" t="s">
        <v>917</v>
      </c>
      <c r="K711" s="6" t="str">
        <f>"13.198.276,34"</f>
        <v>13.198.276,34</v>
      </c>
      <c r="L711" s="6" t="str">
        <f>"3.299.569,09"</f>
        <v>3.299.569,09</v>
      </c>
      <c r="M711" s="6" t="str">
        <f>"16.497.845,43"</f>
        <v>16.497.845,43</v>
      </c>
      <c r="N711" s="8" t="s">
        <v>124</v>
      </c>
      <c r="O711" s="7"/>
      <c r="P711" s="2" t="s">
        <v>6083</v>
      </c>
      <c r="Q711" s="7"/>
      <c r="R711" s="1"/>
      <c r="S711" s="1" t="str">
        <f>"1-22/NOS-27-1-ZGH/20"</f>
        <v>1-22/NOS-27-1-ZGH/20</v>
      </c>
      <c r="T711" s="1" t="s">
        <v>86</v>
      </c>
    </row>
    <row r="712" spans="1:20" ht="51" x14ac:dyDescent="0.25">
      <c r="A712" s="6">
        <v>709</v>
      </c>
      <c r="B712" s="1" t="str">
        <f t="shared" si="60"/>
        <v>2020-9</v>
      </c>
      <c r="C712" s="1" t="s">
        <v>1062</v>
      </c>
      <c r="D712" s="1" t="s">
        <v>1049</v>
      </c>
      <c r="E712" s="1" t="str">
        <f>""</f>
        <v/>
      </c>
      <c r="F712" s="1" t="s">
        <v>28</v>
      </c>
      <c r="G712" s="1" t="str">
        <f t="shared" si="61"/>
        <v>HP D.D., JURIŠIĆEVA 13, 10000 ZAGREB, OIB: 87311810356</v>
      </c>
      <c r="H712" s="7"/>
      <c r="I712" s="8" t="s">
        <v>468</v>
      </c>
      <c r="J712" s="8" t="s">
        <v>961</v>
      </c>
      <c r="K712" s="6" t="str">
        <f>"4.728.813,70"</f>
        <v>4.728.813,70</v>
      </c>
      <c r="L712" s="6" t="str">
        <f>"1.182.203,43"</f>
        <v>1.182.203,43</v>
      </c>
      <c r="M712" s="6" t="str">
        <f>"5.911.017,13"</f>
        <v>5.911.017,13</v>
      </c>
      <c r="N712" s="8" t="s">
        <v>124</v>
      </c>
      <c r="O712" s="7"/>
      <c r="P712" s="2" t="s">
        <v>5614</v>
      </c>
      <c r="Q712" s="7"/>
      <c r="R712" s="1"/>
      <c r="S712" s="1" t="str">
        <f>"2-22/NOS-27-1-ZGH/20"</f>
        <v>2-22/NOS-27-1-ZGH/20</v>
      </c>
      <c r="T712" s="1" t="s">
        <v>55</v>
      </c>
    </row>
    <row r="713" spans="1:20" ht="63.75" x14ac:dyDescent="0.25">
      <c r="A713" s="6">
        <v>710</v>
      </c>
      <c r="B713" s="1" t="str">
        <f t="shared" si="60"/>
        <v>2020-9</v>
      </c>
      <c r="C713" s="1" t="s">
        <v>1063</v>
      </c>
      <c r="D713" s="1" t="s">
        <v>1049</v>
      </c>
      <c r="E713" s="1" t="str">
        <f>""</f>
        <v/>
      </c>
      <c r="F713" s="1" t="s">
        <v>28</v>
      </c>
      <c r="G713" s="1" t="str">
        <f t="shared" si="61"/>
        <v>HP D.D., JURIŠIĆEVA 13, 10000 ZAGREB, OIB: 87311810356</v>
      </c>
      <c r="H713" s="7"/>
      <c r="I713" s="8" t="s">
        <v>354</v>
      </c>
      <c r="J713" s="8" t="s">
        <v>875</v>
      </c>
      <c r="K713" s="6" t="str">
        <f>"1.629.209,25"</f>
        <v>1.629.209,25</v>
      </c>
      <c r="L713" s="6" t="str">
        <f>"407.302,31"</f>
        <v>407.302,31</v>
      </c>
      <c r="M713" s="6" t="str">
        <f>"2.036.511,56"</f>
        <v>2.036.511,56</v>
      </c>
      <c r="N713" s="8" t="s">
        <v>566</v>
      </c>
      <c r="O713" s="7"/>
      <c r="P713" s="2" t="s">
        <v>6084</v>
      </c>
      <c r="Q713" s="7"/>
      <c r="R713" s="1"/>
      <c r="S713" s="1" t="str">
        <f>"3-22/NOS-27-1-ZGH/20"</f>
        <v>3-22/NOS-27-1-ZGH/20</v>
      </c>
      <c r="T713" s="1" t="s">
        <v>43</v>
      </c>
    </row>
    <row r="714" spans="1:20" ht="165.75" x14ac:dyDescent="0.25">
      <c r="A714" s="6">
        <v>711</v>
      </c>
      <c r="B714" s="1" t="str">
        <f t="shared" ref="B714:B720" si="62">"2020-762"</f>
        <v>2020-762</v>
      </c>
      <c r="C714" s="1" t="s">
        <v>1064</v>
      </c>
      <c r="D714" s="1" t="s">
        <v>1065</v>
      </c>
      <c r="E714" s="1" t="str">
        <f>"2020/S 0F2-0032440"</f>
        <v>2020/S 0F2-0032440</v>
      </c>
      <c r="F714" s="1" t="s">
        <v>22</v>
      </c>
      <c r="G714" s="1" t="str">
        <f>CONCATENATE("AUTO BENUSSI D.O.O.,"," INDUSTRIJSKA 2D,"," 52100 PULA,"," OIB: 96262119913",CHAR(10),"",CHAR(10),"VIATOR D.O.O.,"," KRALJA DRŽISLAVA 6,"," 21000 SPLIT,"," OIB: 6473171712")</f>
        <v>AUTO BENUSSI D.O.O., INDUSTRIJSKA 2D, 52100 PULA, OIB: 96262119913
VIATOR D.O.O., KRALJA DRŽISLAVA 6, 21000 SPLIT, OIB: 6473171712</v>
      </c>
      <c r="H714" s="7"/>
      <c r="I714" s="8" t="s">
        <v>1066</v>
      </c>
      <c r="J714" s="8" t="s">
        <v>168</v>
      </c>
      <c r="K714" s="6" t="str">
        <f>"7.740.500,00"</f>
        <v>7.740.500,00</v>
      </c>
      <c r="L714" s="6" t="str">
        <f>"1.935.125,00"</f>
        <v>1.935.125,00</v>
      </c>
      <c r="M714" s="6" t="str">
        <f>"9.675.625,00"</f>
        <v>9.675.625,00</v>
      </c>
      <c r="N714" s="8" t="s">
        <v>1067</v>
      </c>
      <c r="O714" s="7"/>
      <c r="P714" s="2" t="s">
        <v>6085</v>
      </c>
      <c r="Q714" s="7"/>
      <c r="R714" s="1"/>
      <c r="S714" s="1" t="str">
        <f>"NOS-38/20"</f>
        <v>NOS-38/20</v>
      </c>
      <c r="T714" s="1" t="s">
        <v>1068</v>
      </c>
    </row>
    <row r="715" spans="1:20" ht="51" x14ac:dyDescent="0.25">
      <c r="A715" s="6">
        <v>712</v>
      </c>
      <c r="B715" s="1" t="str">
        <f t="shared" si="62"/>
        <v>2020-762</v>
      </c>
      <c r="C715" s="1" t="s">
        <v>1064</v>
      </c>
      <c r="D715" s="1" t="s">
        <v>1065</v>
      </c>
      <c r="E715" s="1" t="str">
        <f>""</f>
        <v/>
      </c>
      <c r="F715" s="1" t="s">
        <v>28</v>
      </c>
      <c r="G715" s="1" t="str">
        <f>CONCATENATE("AUTO BENUSSI D.O.O.,"," INDUSTRIJSKA 2D,"," 52100 PULA,"," OIB: 96262119913")</f>
        <v>AUTO BENUSSI D.O.O., INDUSTRIJSKA 2D, 52100 PULA, OIB: 96262119913</v>
      </c>
      <c r="H715" s="7"/>
      <c r="I715" s="8" t="s">
        <v>1069</v>
      </c>
      <c r="J715" s="8" t="s">
        <v>421</v>
      </c>
      <c r="K715" s="6" t="str">
        <f>"143.080,00"</f>
        <v>143.080,00</v>
      </c>
      <c r="L715" s="6" t="str">
        <f>"35.770,00"</f>
        <v>35.770,00</v>
      </c>
      <c r="M715" s="6" t="str">
        <f>"178.850,00"</f>
        <v>178.850,00</v>
      </c>
      <c r="N715" s="8" t="s">
        <v>478</v>
      </c>
      <c r="O715" s="7"/>
      <c r="P715" s="2" t="s">
        <v>6086</v>
      </c>
      <c r="Q715" s="7"/>
      <c r="R715" s="1"/>
      <c r="S715" s="1" t="str">
        <f>"1-21/NOS-38/20"</f>
        <v>1-21/NOS-38/20</v>
      </c>
      <c r="T715" s="1" t="s">
        <v>32</v>
      </c>
    </row>
    <row r="716" spans="1:20" ht="51" x14ac:dyDescent="0.25">
      <c r="A716" s="6">
        <v>713</v>
      </c>
      <c r="B716" s="1" t="str">
        <f t="shared" si="62"/>
        <v>2020-762</v>
      </c>
      <c r="C716" s="1" t="s">
        <v>1064</v>
      </c>
      <c r="D716" s="1" t="s">
        <v>1065</v>
      </c>
      <c r="E716" s="1" t="str">
        <f>""</f>
        <v/>
      </c>
      <c r="F716" s="1" t="s">
        <v>28</v>
      </c>
      <c r="G716" s="1" t="str">
        <f>CONCATENATE("AUTO BENUSSI D.O.O.,"," INDUSTRIJSKA 2D,"," 52100 PULA,"," OIB: 96262119913")</f>
        <v>AUTO BENUSSI D.O.O., INDUSTRIJSKA 2D, 52100 PULA, OIB: 96262119913</v>
      </c>
      <c r="H716" s="7"/>
      <c r="I716" s="8" t="s">
        <v>1070</v>
      </c>
      <c r="J716" s="8" t="s">
        <v>578</v>
      </c>
      <c r="K716" s="6" t="str">
        <f>"566.382,00"</f>
        <v>566.382,00</v>
      </c>
      <c r="L716" s="6" t="str">
        <f>"141.595,50"</f>
        <v>141.595,50</v>
      </c>
      <c r="M716" s="6" t="str">
        <f>"707.977,50"</f>
        <v>707.977,50</v>
      </c>
      <c r="N716" s="8" t="s">
        <v>897</v>
      </c>
      <c r="O716" s="7"/>
      <c r="P716" s="2" t="s">
        <v>6087</v>
      </c>
      <c r="Q716" s="1" t="s">
        <v>5600</v>
      </c>
      <c r="R716" s="1"/>
      <c r="S716" s="1" t="str">
        <f>"9-21/NOS-38/20"</f>
        <v>9-21/NOS-38/20</v>
      </c>
      <c r="T716" s="1" t="s">
        <v>32</v>
      </c>
    </row>
    <row r="717" spans="1:20" ht="102" x14ac:dyDescent="0.25">
      <c r="A717" s="6">
        <v>714</v>
      </c>
      <c r="B717" s="1" t="str">
        <f t="shared" si="62"/>
        <v>2020-762</v>
      </c>
      <c r="C717" s="1" t="s">
        <v>1071</v>
      </c>
      <c r="D717" s="1" t="s">
        <v>1065</v>
      </c>
      <c r="E717" s="1" t="str">
        <f>""</f>
        <v/>
      </c>
      <c r="F717" s="1" t="s">
        <v>92</v>
      </c>
      <c r="G717" s="1" t="str">
        <f>CONCATENATE("AUTO BENUSSI D.O.O.,"," INDUSTRIJSKA 2D,"," 52100 PULA,"," OIB: 96262119913")</f>
        <v>AUTO BENUSSI D.O.O., INDUSTRIJSKA 2D, 52100 PULA, OIB: 96262119913</v>
      </c>
      <c r="H717" s="7"/>
      <c r="I717" s="8" t="s">
        <v>911</v>
      </c>
      <c r="J717" s="8" t="s">
        <v>1072</v>
      </c>
      <c r="K717" s="6" t="str">
        <f>"84.273,90"</f>
        <v>84.273,90</v>
      </c>
      <c r="L717" s="6" t="str">
        <f>"21.068,48"</f>
        <v>21.068,48</v>
      </c>
      <c r="M717" s="6" t="str">
        <f>"105.342,38"</f>
        <v>105.342,38</v>
      </c>
      <c r="N717" s="8" t="s">
        <v>1073</v>
      </c>
      <c r="O717" s="7"/>
      <c r="P717" s="2" t="s">
        <v>6088</v>
      </c>
      <c r="Q717" s="1"/>
      <c r="R717" s="1" t="s">
        <v>191</v>
      </c>
      <c r="S717" s="1" t="str">
        <f>"9-21/NOS-38/20#2"</f>
        <v>9-21/NOS-38/20#2</v>
      </c>
      <c r="T717" s="1" t="s">
        <v>32</v>
      </c>
    </row>
    <row r="718" spans="1:20" ht="51" x14ac:dyDescent="0.25">
      <c r="A718" s="6">
        <v>715</v>
      </c>
      <c r="B718" s="1" t="str">
        <f t="shared" si="62"/>
        <v>2020-762</v>
      </c>
      <c r="C718" s="1" t="s">
        <v>1064</v>
      </c>
      <c r="D718" s="1" t="s">
        <v>1065</v>
      </c>
      <c r="E718" s="1" t="str">
        <f>""</f>
        <v/>
      </c>
      <c r="F718" s="1" t="s">
        <v>28</v>
      </c>
      <c r="G718" s="1" t="str">
        <f>CONCATENATE("VIATOR D.O.O.,"," KRALJA DRŽISLAVA 6,"," 21000 SPLIT,"," OIB: 6473171712")</f>
        <v>VIATOR D.O.O., KRALJA DRŽISLAVA 6, 21000 SPLIT, OIB: 6473171712</v>
      </c>
      <c r="H718" s="7"/>
      <c r="I718" s="8" t="s">
        <v>1070</v>
      </c>
      <c r="J718" s="8" t="s">
        <v>1074</v>
      </c>
      <c r="K718" s="6" t="str">
        <f>"130.620,00"</f>
        <v>130.620,00</v>
      </c>
      <c r="L718" s="6" t="str">
        <f>"32.655,00"</f>
        <v>32.655,00</v>
      </c>
      <c r="M718" s="6" t="str">
        <f>"163.275,00"</f>
        <v>163.275,00</v>
      </c>
      <c r="N718" s="8" t="s">
        <v>856</v>
      </c>
      <c r="O718" s="7"/>
      <c r="P718" s="2" t="s">
        <v>6089</v>
      </c>
      <c r="Q718" s="7"/>
      <c r="R718" s="1"/>
      <c r="S718" s="1" t="str">
        <f>"5-21/NOS-38/20"</f>
        <v>5-21/NOS-38/20</v>
      </c>
      <c r="T718" s="1" t="s">
        <v>43</v>
      </c>
    </row>
    <row r="719" spans="1:20" ht="51" x14ac:dyDescent="0.25">
      <c r="A719" s="6">
        <v>716</v>
      </c>
      <c r="B719" s="1" t="str">
        <f t="shared" si="62"/>
        <v>2020-762</v>
      </c>
      <c r="C719" s="1" t="s">
        <v>1064</v>
      </c>
      <c r="D719" s="1" t="s">
        <v>1065</v>
      </c>
      <c r="E719" s="1" t="str">
        <f>""</f>
        <v/>
      </c>
      <c r="F719" s="1" t="s">
        <v>28</v>
      </c>
      <c r="G719" s="1" t="str">
        <f>CONCATENATE("VIATOR D.O.O.,"," KRALJA DRŽISLAVA 6,"," 21000 SPLIT,"," OIB: 6473171712")</f>
        <v>VIATOR D.O.O., KRALJA DRŽISLAVA 6, 21000 SPLIT, OIB: 6473171712</v>
      </c>
      <c r="H719" s="7"/>
      <c r="I719" s="8" t="s">
        <v>771</v>
      </c>
      <c r="J719" s="8" t="s">
        <v>1075</v>
      </c>
      <c r="K719" s="6" t="str">
        <f>"1.204.200,00"</f>
        <v>1.204.200,00</v>
      </c>
      <c r="L719" s="6" t="str">
        <f>"301.050,00"</f>
        <v>301.050,00</v>
      </c>
      <c r="M719" s="6" t="str">
        <f>"1.505.250,00"</f>
        <v>1.505.250,00</v>
      </c>
      <c r="N719" s="8" t="s">
        <v>146</v>
      </c>
      <c r="O719" s="7"/>
      <c r="P719" s="2" t="s">
        <v>6090</v>
      </c>
      <c r="Q719" s="1"/>
      <c r="R719" s="1"/>
      <c r="S719" s="1" t="str">
        <f>"11-21/NOS-38/20"</f>
        <v>11-21/NOS-38/20</v>
      </c>
      <c r="T719" s="1" t="s">
        <v>32</v>
      </c>
    </row>
    <row r="720" spans="1:20" ht="51" x14ac:dyDescent="0.25">
      <c r="A720" s="6">
        <v>717</v>
      </c>
      <c r="B720" s="1" t="str">
        <f t="shared" si="62"/>
        <v>2020-762</v>
      </c>
      <c r="C720" s="1" t="s">
        <v>1064</v>
      </c>
      <c r="D720" s="1" t="s">
        <v>1065</v>
      </c>
      <c r="E720" s="1" t="str">
        <f>""</f>
        <v/>
      </c>
      <c r="F720" s="1" t="s">
        <v>28</v>
      </c>
      <c r="G720" s="1" t="str">
        <f>CONCATENATE("AUTO BENUSSI D.O.O.,"," INDUSTRIJSKA 2D,"," 52100 PULA,"," OIB: 96262119913")</f>
        <v>AUTO BENUSSI D.O.O., INDUSTRIJSKA 2D, 52100 PULA, OIB: 96262119913</v>
      </c>
      <c r="H720" s="7"/>
      <c r="I720" s="8" t="s">
        <v>1076</v>
      </c>
      <c r="J720" s="8" t="s">
        <v>746</v>
      </c>
      <c r="K720" s="6" t="str">
        <f>"303.705,00"</f>
        <v>303.705,00</v>
      </c>
      <c r="L720" s="6" t="str">
        <f>"75.926,25"</f>
        <v>75.926,25</v>
      </c>
      <c r="M720" s="6" t="str">
        <f>"379.631,25"</f>
        <v>379.631,25</v>
      </c>
      <c r="N720" s="8" t="s">
        <v>955</v>
      </c>
      <c r="O720" s="7"/>
      <c r="P720" s="2" t="s">
        <v>6091</v>
      </c>
      <c r="Q720" s="7"/>
      <c r="R720" s="1"/>
      <c r="S720" s="1" t="str">
        <f>"12-21/NOS-38/20"</f>
        <v>12-21/NOS-38/20</v>
      </c>
      <c r="T720" s="1" t="s">
        <v>32</v>
      </c>
    </row>
    <row r="721" spans="1:20" ht="204" x14ac:dyDescent="0.25">
      <c r="A721" s="6">
        <v>718</v>
      </c>
      <c r="B721" s="1" t="str">
        <f t="shared" ref="B721:B729" si="63">"2020-9"</f>
        <v>2020-9</v>
      </c>
      <c r="C721" s="1" t="s">
        <v>1077</v>
      </c>
      <c r="D721" s="1" t="s">
        <v>1046</v>
      </c>
      <c r="E721" s="1" t="str">
        <f>"2020/S F21-0019356"</f>
        <v>2020/S F21-0019356</v>
      </c>
      <c r="F721" s="1" t="s">
        <v>967</v>
      </c>
      <c r="G721" s="1" t="str">
        <f t="shared" ref="G721:G729" si="64">CONCATENATE("HP D.D.,"," JURIŠIĆEVA 13,"," 10000 ZAGREB,"," OIB: 87311810356")</f>
        <v>HP D.D., JURIŠIĆEVA 13, 10000 ZAGREB, OIB: 87311810356</v>
      </c>
      <c r="H721" s="7"/>
      <c r="I721" s="8" t="s">
        <v>1047</v>
      </c>
      <c r="J721" s="8" t="s">
        <v>277</v>
      </c>
      <c r="K721" s="6" t="str">
        <f>"270.000,00"</f>
        <v>270.000,00</v>
      </c>
      <c r="L721" s="6" t="str">
        <f>"67.500,00"</f>
        <v>67.500,00</v>
      </c>
      <c r="M721" s="6" t="str">
        <f>"337.500,00"</f>
        <v>337.500,00</v>
      </c>
      <c r="N721" s="8" t="s">
        <v>278</v>
      </c>
      <c r="O721" s="7"/>
      <c r="P721" s="2" t="s">
        <v>6092</v>
      </c>
      <c r="Q721" s="7"/>
      <c r="R721" s="1"/>
      <c r="S721" s="1" t="str">
        <f>"NOS-27-2-ZGH/20"</f>
        <v>NOS-27-2-ZGH/20</v>
      </c>
      <c r="T721" s="1" t="s">
        <v>1014</v>
      </c>
    </row>
    <row r="722" spans="1:20" ht="51" x14ac:dyDescent="0.25">
      <c r="A722" s="6">
        <v>719</v>
      </c>
      <c r="B722" s="1" t="str">
        <f t="shared" si="63"/>
        <v>2020-9</v>
      </c>
      <c r="C722" s="1" t="s">
        <v>1078</v>
      </c>
      <c r="D722" s="1" t="s">
        <v>1049</v>
      </c>
      <c r="E722" s="1" t="str">
        <f>""</f>
        <v/>
      </c>
      <c r="F722" s="1" t="s">
        <v>28</v>
      </c>
      <c r="G722" s="1" t="str">
        <f t="shared" si="64"/>
        <v>HP D.D., JURIŠIĆEVA 13, 10000 ZAGREB, OIB: 87311810356</v>
      </c>
      <c r="H722" s="7"/>
      <c r="I722" s="8" t="s">
        <v>1079</v>
      </c>
      <c r="J722" s="8" t="s">
        <v>53</v>
      </c>
      <c r="K722" s="6" t="str">
        <f>"2.354,60"</f>
        <v>2.354,60</v>
      </c>
      <c r="L722" s="6" t="str">
        <f>"588,65"</f>
        <v>588,65</v>
      </c>
      <c r="M722" s="6" t="str">
        <f>"2.943,25"</f>
        <v>2.943,25</v>
      </c>
      <c r="N722" s="8" t="s">
        <v>124</v>
      </c>
      <c r="O722" s="7"/>
      <c r="P722" s="2" t="s">
        <v>5614</v>
      </c>
      <c r="Q722" s="7"/>
      <c r="R722" s="1"/>
      <c r="S722" s="1" t="str">
        <f>"3-21/NOS-27-2-ZGH/20"</f>
        <v>3-21/NOS-27-2-ZGH/20</v>
      </c>
      <c r="T722" s="1" t="s">
        <v>55</v>
      </c>
    </row>
    <row r="723" spans="1:20" ht="51" x14ac:dyDescent="0.25">
      <c r="A723" s="6">
        <v>720</v>
      </c>
      <c r="B723" s="1" t="str">
        <f t="shared" si="63"/>
        <v>2020-9</v>
      </c>
      <c r="C723" s="1" t="s">
        <v>1080</v>
      </c>
      <c r="D723" s="1" t="s">
        <v>1049</v>
      </c>
      <c r="E723" s="1" t="str">
        <f>""</f>
        <v/>
      </c>
      <c r="F723" s="1" t="s">
        <v>28</v>
      </c>
      <c r="G723" s="1" t="str">
        <f t="shared" si="64"/>
        <v>HP D.D., JURIŠIĆEVA 13, 10000 ZAGREB, OIB: 87311810356</v>
      </c>
      <c r="H723" s="7"/>
      <c r="I723" s="8" t="s">
        <v>1054</v>
      </c>
      <c r="J723" s="8" t="s">
        <v>53</v>
      </c>
      <c r="K723" s="6" t="str">
        <f>"12.603,00"</f>
        <v>12.603,00</v>
      </c>
      <c r="L723" s="6" t="str">
        <f>"3.150,75"</f>
        <v>3.150,75</v>
      </c>
      <c r="M723" s="6" t="str">
        <f>"15.753,75"</f>
        <v>15.753,75</v>
      </c>
      <c r="N723" s="8" t="s">
        <v>124</v>
      </c>
      <c r="O723" s="7"/>
      <c r="P723" s="2" t="s">
        <v>5614</v>
      </c>
      <c r="Q723" s="7"/>
      <c r="R723" s="1"/>
      <c r="S723" s="1" t="str">
        <f>"5-21/NOS-27-2-ZGH/20"</f>
        <v>5-21/NOS-27-2-ZGH/20</v>
      </c>
      <c r="T723" s="1" t="s">
        <v>1055</v>
      </c>
    </row>
    <row r="724" spans="1:20" ht="51" x14ac:dyDescent="0.25">
      <c r="A724" s="6">
        <v>721</v>
      </c>
      <c r="B724" s="1" t="str">
        <f t="shared" si="63"/>
        <v>2020-9</v>
      </c>
      <c r="C724" s="1" t="s">
        <v>1077</v>
      </c>
      <c r="D724" s="1" t="s">
        <v>1049</v>
      </c>
      <c r="E724" s="1" t="str">
        <f>""</f>
        <v/>
      </c>
      <c r="F724" s="1" t="s">
        <v>28</v>
      </c>
      <c r="G724" s="1" t="str">
        <f t="shared" si="64"/>
        <v>HP D.D., JURIŠIĆEVA 13, 10000 ZAGREB, OIB: 87311810356</v>
      </c>
      <c r="H724" s="7"/>
      <c r="I724" s="8" t="s">
        <v>499</v>
      </c>
      <c r="J724" s="8" t="s">
        <v>375</v>
      </c>
      <c r="K724" s="6" t="str">
        <f>"1.183,80"</f>
        <v>1.183,80</v>
      </c>
      <c r="L724" s="6" t="str">
        <f>"0,00"</f>
        <v>0,00</v>
      </c>
      <c r="M724" s="6" t="str">
        <f>"1.183,80"</f>
        <v>1.183,80</v>
      </c>
      <c r="N724" s="8" t="s">
        <v>124</v>
      </c>
      <c r="O724" s="7"/>
      <c r="P724" s="2" t="s">
        <v>5614</v>
      </c>
      <c r="Q724" s="7"/>
      <c r="R724" s="1"/>
      <c r="S724" s="1" t="str">
        <f>"1-22/NOS-27-2-ZGH/20"</f>
        <v>1-22/NOS-27-2-ZGH/20</v>
      </c>
      <c r="T724" s="1" t="s">
        <v>55</v>
      </c>
    </row>
    <row r="725" spans="1:20" ht="51" x14ac:dyDescent="0.25">
      <c r="A725" s="6">
        <v>722</v>
      </c>
      <c r="B725" s="1" t="str">
        <f t="shared" si="63"/>
        <v>2020-9</v>
      </c>
      <c r="C725" s="1" t="s">
        <v>1077</v>
      </c>
      <c r="D725" s="1" t="s">
        <v>1049</v>
      </c>
      <c r="E725" s="1" t="str">
        <f>""</f>
        <v/>
      </c>
      <c r="F725" s="1" t="s">
        <v>28</v>
      </c>
      <c r="G725" s="1" t="str">
        <f t="shared" si="64"/>
        <v>HP D.D., JURIŠIĆEVA 13, 10000 ZAGREB, OIB: 87311810356</v>
      </c>
      <c r="H725" s="7"/>
      <c r="I725" s="8" t="s">
        <v>354</v>
      </c>
      <c r="J725" s="8" t="s">
        <v>231</v>
      </c>
      <c r="K725" s="6" t="str">
        <f>"377,60"</f>
        <v>377,60</v>
      </c>
      <c r="L725" s="6" t="str">
        <f>"0,00"</f>
        <v>0,00</v>
      </c>
      <c r="M725" s="6" t="str">
        <f>"377,60"</f>
        <v>377,60</v>
      </c>
      <c r="N725" s="8" t="s">
        <v>607</v>
      </c>
      <c r="O725" s="7"/>
      <c r="P725" s="2" t="s">
        <v>6093</v>
      </c>
      <c r="Q725" s="7"/>
      <c r="R725" s="1"/>
      <c r="S725" s="1" t="str">
        <f>"2-22/NOS-27-2-ZGH/20"</f>
        <v>2-22/NOS-27-2-ZGH/20</v>
      </c>
      <c r="T725" s="1" t="s">
        <v>43</v>
      </c>
    </row>
    <row r="726" spans="1:20" ht="51" x14ac:dyDescent="0.25">
      <c r="A726" s="6">
        <v>723</v>
      </c>
      <c r="B726" s="1" t="str">
        <f t="shared" si="63"/>
        <v>2020-9</v>
      </c>
      <c r="C726" s="1" t="s">
        <v>1077</v>
      </c>
      <c r="D726" s="1" t="s">
        <v>1049</v>
      </c>
      <c r="E726" s="1" t="str">
        <f>""</f>
        <v/>
      </c>
      <c r="F726" s="1" t="s">
        <v>28</v>
      </c>
      <c r="G726" s="1" t="str">
        <f t="shared" si="64"/>
        <v>HP D.D., JURIŠIĆEVA 13, 10000 ZAGREB, OIB: 87311810356</v>
      </c>
      <c r="H726" s="7"/>
      <c r="I726" s="8" t="s">
        <v>877</v>
      </c>
      <c r="J726" s="8" t="s">
        <v>375</v>
      </c>
      <c r="K726" s="6" t="str">
        <f>"1.996,00"</f>
        <v>1.996,00</v>
      </c>
      <c r="L726" s="6" t="str">
        <f>"0,00"</f>
        <v>0,00</v>
      </c>
      <c r="M726" s="6" t="str">
        <f>"1.996,00"</f>
        <v>1.996,00</v>
      </c>
      <c r="N726" s="8" t="s">
        <v>489</v>
      </c>
      <c r="O726" s="7"/>
      <c r="P726" s="2" t="s">
        <v>6094</v>
      </c>
      <c r="Q726" s="7"/>
      <c r="R726" s="1"/>
      <c r="S726" s="1" t="str">
        <f>"3-22/NOS-27-2-ZGH/20"</f>
        <v>3-22/NOS-27-2-ZGH/20</v>
      </c>
      <c r="T726" s="1" t="s">
        <v>43</v>
      </c>
    </row>
    <row r="727" spans="1:20" ht="204" x14ac:dyDescent="0.25">
      <c r="A727" s="6">
        <v>724</v>
      </c>
      <c r="B727" s="1" t="str">
        <f t="shared" si="63"/>
        <v>2020-9</v>
      </c>
      <c r="C727" s="1" t="s">
        <v>1081</v>
      </c>
      <c r="D727" s="1" t="s">
        <v>1046</v>
      </c>
      <c r="E727" s="1" t="str">
        <f>"2020/S F21-0019356"</f>
        <v>2020/S F21-0019356</v>
      </c>
      <c r="F727" s="1" t="s">
        <v>967</v>
      </c>
      <c r="G727" s="1" t="str">
        <f t="shared" si="64"/>
        <v>HP D.D., JURIŠIĆEVA 13, 10000 ZAGREB, OIB: 87311810356</v>
      </c>
      <c r="H727" s="7"/>
      <c r="I727" s="8" t="s">
        <v>1047</v>
      </c>
      <c r="J727" s="8" t="s">
        <v>277</v>
      </c>
      <c r="K727" s="6" t="str">
        <f>"435.000,00"</f>
        <v>435.000,00</v>
      </c>
      <c r="L727" s="6" t="str">
        <f>"108.750,00"</f>
        <v>108.750,00</v>
      </c>
      <c r="M727" s="6" t="str">
        <f>"543.750,00"</f>
        <v>543.750,00</v>
      </c>
      <c r="N727" s="8" t="s">
        <v>278</v>
      </c>
      <c r="O727" s="7"/>
      <c r="P727" s="2" t="s">
        <v>5614</v>
      </c>
      <c r="Q727" s="7"/>
      <c r="R727" s="1"/>
      <c r="S727" s="1" t="str">
        <f>"NOS-27-3-ZGH/20"</f>
        <v>NOS-27-3-ZGH/20</v>
      </c>
      <c r="T727" s="1" t="s">
        <v>1014</v>
      </c>
    </row>
    <row r="728" spans="1:20" ht="51" x14ac:dyDescent="0.25">
      <c r="A728" s="6">
        <v>725</v>
      </c>
      <c r="B728" s="1" t="str">
        <f t="shared" si="63"/>
        <v>2020-9</v>
      </c>
      <c r="C728" s="1" t="s">
        <v>1082</v>
      </c>
      <c r="D728" s="1" t="s">
        <v>1049</v>
      </c>
      <c r="E728" s="1" t="str">
        <f>""</f>
        <v/>
      </c>
      <c r="F728" s="1" t="s">
        <v>28</v>
      </c>
      <c r="G728" s="1" t="str">
        <f t="shared" si="64"/>
        <v>HP D.D., JURIŠIĆEVA 13, 10000 ZAGREB, OIB: 87311810356</v>
      </c>
      <c r="H728" s="7"/>
      <c r="I728" s="8" t="s">
        <v>108</v>
      </c>
      <c r="J728" s="8" t="s">
        <v>41</v>
      </c>
      <c r="K728" s="6" t="str">
        <f>"62.000,00"</f>
        <v>62.000,00</v>
      </c>
      <c r="L728" s="6" t="str">
        <f>"15.500,00"</f>
        <v>15.500,00</v>
      </c>
      <c r="M728" s="6" t="str">
        <f>"77.500,00"</f>
        <v>77.500,00</v>
      </c>
      <c r="N728" s="8" t="s">
        <v>203</v>
      </c>
      <c r="O728" s="7"/>
      <c r="P728" s="2" t="s">
        <v>6095</v>
      </c>
      <c r="Q728" s="7"/>
      <c r="R728" s="1"/>
      <c r="S728" s="1" t="str">
        <f>"1-21/NOS-27-3-ZGH/20"</f>
        <v>1-21/NOS-27-3-ZGH/20</v>
      </c>
      <c r="T728" s="1" t="s">
        <v>43</v>
      </c>
    </row>
    <row r="729" spans="1:20" ht="51" x14ac:dyDescent="0.25">
      <c r="A729" s="6">
        <v>726</v>
      </c>
      <c r="B729" s="1" t="str">
        <f t="shared" si="63"/>
        <v>2020-9</v>
      </c>
      <c r="C729" s="1" t="s">
        <v>1083</v>
      </c>
      <c r="D729" s="1" t="s">
        <v>1049</v>
      </c>
      <c r="E729" s="1" t="str">
        <f>""</f>
        <v/>
      </c>
      <c r="F729" s="1" t="s">
        <v>28</v>
      </c>
      <c r="G729" s="1" t="str">
        <f t="shared" si="64"/>
        <v>HP D.D., JURIŠIĆEVA 13, 10000 ZAGREB, OIB: 87311810356</v>
      </c>
      <c r="H729" s="7"/>
      <c r="I729" s="8" t="s">
        <v>523</v>
      </c>
      <c r="J729" s="8" t="s">
        <v>417</v>
      </c>
      <c r="K729" s="6" t="str">
        <f>"33.770,00"</f>
        <v>33.770,00</v>
      </c>
      <c r="L729" s="6" t="str">
        <f>"8.442,50"</f>
        <v>8.442,50</v>
      </c>
      <c r="M729" s="6" t="str">
        <f>"42.212,50"</f>
        <v>42.212,50</v>
      </c>
      <c r="N729" s="8" t="s">
        <v>124</v>
      </c>
      <c r="O729" s="7"/>
      <c r="P729" s="2" t="s">
        <v>6096</v>
      </c>
      <c r="Q729" s="7"/>
      <c r="R729" s="1"/>
      <c r="S729" s="1" t="str">
        <f>"1-22/NOS-27-3-ZGH/20"</f>
        <v>1-22/NOS-27-3-ZGH/20</v>
      </c>
      <c r="T729" s="1" t="s">
        <v>43</v>
      </c>
    </row>
    <row r="730" spans="1:20" ht="127.5" x14ac:dyDescent="0.25">
      <c r="A730" s="6">
        <v>727</v>
      </c>
      <c r="B730" s="1" t="str">
        <f>"2020-2782"</f>
        <v>2020-2782</v>
      </c>
      <c r="C730" s="1" t="s">
        <v>1084</v>
      </c>
      <c r="D730" s="1" t="s">
        <v>1085</v>
      </c>
      <c r="E730" s="1" t="str">
        <f>"2020/S 0F2-0025678"</f>
        <v>2020/S 0F2-0025678</v>
      </c>
      <c r="F730" s="1" t="s">
        <v>22</v>
      </c>
      <c r="G730" s="1" t="str">
        <f>CONCATENATE("PISMORAD D.O.O.,"," INDUSTRIJSKA 5,"," 10431 SVETA NEDELJA-NOVAKI,"," OIB: 33260306505",CHAR(10),"",CHAR(10),"PRVI TREPTAČ D.O.O.,"," PUJANKE 24/A,"," 21000 SPLIT,"," OIB: 31014383635")</f>
        <v>PISMORAD D.O.O., INDUSTRIJSKA 5, 10431 SVETA NEDELJA-NOVAKI, OIB: 33260306505
PRVI TREPTAČ D.O.O., PUJANKE 24/A, 21000 SPLIT, OIB: 31014383635</v>
      </c>
      <c r="H730" s="7"/>
      <c r="I730" s="8" t="s">
        <v>1086</v>
      </c>
      <c r="J730" s="8" t="s">
        <v>732</v>
      </c>
      <c r="K730" s="6" t="str">
        <f>"900.000,00"</f>
        <v>900.000,00</v>
      </c>
      <c r="L730" s="6" t="str">
        <f>"225.000,00"</f>
        <v>225.000,00</v>
      </c>
      <c r="M730" s="6" t="str">
        <f>"1.125.000,00"</f>
        <v>1.125.000,00</v>
      </c>
      <c r="N730" s="8" t="s">
        <v>1087</v>
      </c>
      <c r="O730" s="7"/>
      <c r="P730" s="2" t="s">
        <v>5614</v>
      </c>
      <c r="Q730" s="7"/>
      <c r="R730" s="1"/>
      <c r="S730" s="1" t="str">
        <f>"NOS-25-1/20"</f>
        <v>NOS-25-1/20</v>
      </c>
      <c r="T730" s="1" t="s">
        <v>32</v>
      </c>
    </row>
    <row r="731" spans="1:20" ht="63.75" x14ac:dyDescent="0.25">
      <c r="A731" s="6">
        <v>728</v>
      </c>
      <c r="B731" s="1" t="str">
        <f>"2020-2782"</f>
        <v>2020-2782</v>
      </c>
      <c r="C731" s="1" t="s">
        <v>1084</v>
      </c>
      <c r="D731" s="1" t="s">
        <v>1088</v>
      </c>
      <c r="E731" s="1" t="str">
        <f>""</f>
        <v/>
      </c>
      <c r="F731" s="1" t="s">
        <v>28</v>
      </c>
      <c r="G731" s="1" t="str">
        <f>CONCATENATE("PISMORAD D.O.O.,"," INDUSTRIJSKA 5,"," 10431 SVETA NEDELJA-NOVAKI,"," OIB: 33260306505")</f>
        <v>PISMORAD D.O.O., INDUSTRIJSKA 5, 10431 SVETA NEDELJA-NOVAKI, OIB: 33260306505</v>
      </c>
      <c r="H731" s="7"/>
      <c r="I731" s="8" t="s">
        <v>301</v>
      </c>
      <c r="J731" s="8" t="s">
        <v>555</v>
      </c>
      <c r="K731" s="6" t="str">
        <f>"3.980,00"</f>
        <v>3.980,00</v>
      </c>
      <c r="L731" s="6" t="str">
        <f>"995,00"</f>
        <v>995,00</v>
      </c>
      <c r="M731" s="6" t="str">
        <f>"4.975,00"</f>
        <v>4.975,00</v>
      </c>
      <c r="N731" s="8" t="s">
        <v>508</v>
      </c>
      <c r="O731" s="7"/>
      <c r="P731" s="2" t="s">
        <v>6097</v>
      </c>
      <c r="Q731" s="7"/>
      <c r="R731" s="1"/>
      <c r="S731" s="1" t="str">
        <f>"5-22/NOS-25-1/20"</f>
        <v>5-22/NOS-25-1/20</v>
      </c>
      <c r="T731" s="1" t="s">
        <v>32</v>
      </c>
    </row>
    <row r="732" spans="1:20" ht="127.5" x14ac:dyDescent="0.25">
      <c r="A732" s="6">
        <v>729</v>
      </c>
      <c r="B732" s="1" t="str">
        <f t="shared" ref="B732:B737" si="65">"2020-2627"</f>
        <v>2020-2627</v>
      </c>
      <c r="C732" s="1" t="s">
        <v>1089</v>
      </c>
      <c r="D732" s="1" t="s">
        <v>537</v>
      </c>
      <c r="E732" s="1" t="str">
        <f>"2020/S 0F2-0024168"</f>
        <v>2020/S 0F2-0024168</v>
      </c>
      <c r="F732" s="1" t="s">
        <v>22</v>
      </c>
      <c r="G732" s="1" t="str">
        <f>CONCATENATE("GIP PIONIR D.O.O.,"," ZAGREBAČKA 145B,"," 10000 ZAGREB,"," OIB: 38262788673")</f>
        <v>GIP PIONIR D.O.O., ZAGREBAČKA 145B, 10000 ZAGREB, OIB: 38262788673</v>
      </c>
      <c r="H732" s="7"/>
      <c r="I732" s="8" t="s">
        <v>1086</v>
      </c>
      <c r="J732" s="8" t="s">
        <v>458</v>
      </c>
      <c r="K732" s="6" t="str">
        <f>"2.400.000,00"</f>
        <v>2.400.000,00</v>
      </c>
      <c r="L732" s="6" t="str">
        <f>"600.000,00"</f>
        <v>600.000,00</v>
      </c>
      <c r="M732" s="6" t="str">
        <f>"3.000.000,00"</f>
        <v>3.000.000,00</v>
      </c>
      <c r="N732" s="8" t="s">
        <v>892</v>
      </c>
      <c r="O732" s="7"/>
      <c r="P732" s="2" t="s">
        <v>5614</v>
      </c>
      <c r="Q732" s="7"/>
      <c r="R732" s="1"/>
      <c r="S732" s="1" t="str">
        <f>"NOS-26-2/20"</f>
        <v>NOS-26-2/20</v>
      </c>
      <c r="T732" s="1" t="s">
        <v>32</v>
      </c>
    </row>
    <row r="733" spans="1:20" ht="153" x14ac:dyDescent="0.25">
      <c r="A733" s="6">
        <v>730</v>
      </c>
      <c r="B733" s="1" t="str">
        <f t="shared" si="65"/>
        <v>2020-2627</v>
      </c>
      <c r="C733" s="1" t="s">
        <v>1090</v>
      </c>
      <c r="D733" s="1" t="s">
        <v>541</v>
      </c>
      <c r="E733" s="1" t="str">
        <f>""</f>
        <v/>
      </c>
      <c r="F733" s="1" t="s">
        <v>28</v>
      </c>
      <c r="G733" s="1" t="str">
        <f>CONCATENATE("GIP PIONIR D.O.O.,"," ZAGREBAČKA 145B,"," 10000 ZAGREB,"," OIB: 38262788673")</f>
        <v>GIP PIONIR D.O.O., ZAGREBAČKA 145B, 10000 ZAGREB, OIB: 38262788673</v>
      </c>
      <c r="H733" s="7"/>
      <c r="I733" s="8" t="s">
        <v>578</v>
      </c>
      <c r="J733" s="8" t="s">
        <v>41</v>
      </c>
      <c r="K733" s="6" t="str">
        <f>"1.088.800,00"</f>
        <v>1.088.800,00</v>
      </c>
      <c r="L733" s="6" t="str">
        <f>"272.200,00"</f>
        <v>272.200,00</v>
      </c>
      <c r="M733" s="6" t="str">
        <f>"1.361.000,00"</f>
        <v>1.361.000,00</v>
      </c>
      <c r="N733" s="8" t="s">
        <v>372</v>
      </c>
      <c r="O733" s="7"/>
      <c r="P733" s="2" t="s">
        <v>6098</v>
      </c>
      <c r="Q733" s="7"/>
      <c r="R733" s="1"/>
      <c r="S733" s="1" t="str">
        <f>"2-21/NOS-26-2/20"</f>
        <v>2-21/NOS-26-2/20</v>
      </c>
      <c r="T733" s="1" t="s">
        <v>32</v>
      </c>
    </row>
    <row r="734" spans="1:20" ht="153" x14ac:dyDescent="0.25">
      <c r="A734" s="6">
        <v>731</v>
      </c>
      <c r="B734" s="1" t="str">
        <f t="shared" si="65"/>
        <v>2020-2627</v>
      </c>
      <c r="C734" s="1" t="s">
        <v>1091</v>
      </c>
      <c r="D734" s="1" t="s">
        <v>541</v>
      </c>
      <c r="E734" s="1" t="str">
        <f>""</f>
        <v/>
      </c>
      <c r="F734" s="1" t="s">
        <v>28</v>
      </c>
      <c r="G734" s="1" t="str">
        <f>CONCATENATE("GIP PIONIR D.O.O.,"," ZAGREBAČKA 145B,"," 10000 ZAGREB,"," OIB: 38262788673")</f>
        <v>GIP PIONIR D.O.O., ZAGREBAČKA 145B, 10000 ZAGREB, OIB: 38262788673</v>
      </c>
      <c r="H734" s="7"/>
      <c r="I734" s="8" t="s">
        <v>1092</v>
      </c>
      <c r="J734" s="8" t="s">
        <v>123</v>
      </c>
      <c r="K734" s="6" t="str">
        <f>"669.400,00"</f>
        <v>669.400,00</v>
      </c>
      <c r="L734" s="6" t="str">
        <f>"167.350,00"</f>
        <v>167.350,00</v>
      </c>
      <c r="M734" s="6" t="str">
        <f>"836.750,00"</f>
        <v>836.750,00</v>
      </c>
      <c r="N734" s="8" t="s">
        <v>964</v>
      </c>
      <c r="O734" s="7"/>
      <c r="P734" s="2" t="s">
        <v>6099</v>
      </c>
      <c r="Q734" s="1" t="s">
        <v>5605</v>
      </c>
      <c r="R734" s="1"/>
      <c r="S734" s="1" t="str">
        <f>"1-22/NOS-26-2/20"</f>
        <v>1-22/NOS-26-2/20</v>
      </c>
      <c r="T734" s="1" t="s">
        <v>32</v>
      </c>
    </row>
    <row r="735" spans="1:20" ht="102" x14ac:dyDescent="0.25">
      <c r="A735" s="6">
        <v>732</v>
      </c>
      <c r="B735" s="1" t="str">
        <f t="shared" si="65"/>
        <v>2020-2627</v>
      </c>
      <c r="C735" s="1" t="s">
        <v>1093</v>
      </c>
      <c r="D735" s="1" t="s">
        <v>537</v>
      </c>
      <c r="E735" s="1" t="str">
        <f>"2020/S 0F2-0024168"</f>
        <v>2020/S 0F2-0024168</v>
      </c>
      <c r="F735" s="1" t="s">
        <v>22</v>
      </c>
      <c r="G735" s="1" t="str">
        <f>CONCATENATE("MALI GRM D.O.O.,"," GRANČARSKA ULICA II. ODVOJAK 4,"," 10000 ZAGREB,"," OIB: 91276298719")</f>
        <v>MALI GRM D.O.O., GRANČARSKA ULICA II. ODVOJAK 4, 10000 ZAGREB, OIB: 91276298719</v>
      </c>
      <c r="H735" s="7"/>
      <c r="I735" s="8" t="s">
        <v>1086</v>
      </c>
      <c r="J735" s="8" t="s">
        <v>458</v>
      </c>
      <c r="K735" s="6" t="str">
        <f>"4.100.000,00"</f>
        <v>4.100.000,00</v>
      </c>
      <c r="L735" s="6" t="str">
        <f>"1.025.000,00"</f>
        <v>1.025.000,00</v>
      </c>
      <c r="M735" s="6" t="str">
        <f>"5.125.000,00"</f>
        <v>5.125.000,00</v>
      </c>
      <c r="N735" s="8" t="s">
        <v>892</v>
      </c>
      <c r="O735" s="7"/>
      <c r="P735" s="2" t="s">
        <v>5614</v>
      </c>
      <c r="Q735" s="7"/>
      <c r="R735" s="1"/>
      <c r="S735" s="1" t="str">
        <f>"NOS-26-3/20"</f>
        <v>NOS-26-3/20</v>
      </c>
      <c r="T735" s="1" t="s">
        <v>32</v>
      </c>
    </row>
    <row r="736" spans="1:20" ht="127.5" x14ac:dyDescent="0.25">
      <c r="A736" s="6">
        <v>733</v>
      </c>
      <c r="B736" s="1" t="str">
        <f t="shared" si="65"/>
        <v>2020-2627</v>
      </c>
      <c r="C736" s="1" t="s">
        <v>1094</v>
      </c>
      <c r="D736" s="1" t="s">
        <v>541</v>
      </c>
      <c r="E736" s="1" t="str">
        <f>""</f>
        <v/>
      </c>
      <c r="F736" s="1" t="s">
        <v>28</v>
      </c>
      <c r="G736" s="1" t="str">
        <f>CONCATENATE("MALI GRM D.O.O.,"," GRANČARSKA ULICA II. ODVOJAK 4,"," 10000 ZAGREB,"," OIB: 91276298719")</f>
        <v>MALI GRM D.O.O., GRANČARSKA ULICA II. ODVOJAK 4, 10000 ZAGREB, OIB: 91276298719</v>
      </c>
      <c r="H736" s="7"/>
      <c r="I736" s="8" t="s">
        <v>496</v>
      </c>
      <c r="J736" s="8" t="s">
        <v>30</v>
      </c>
      <c r="K736" s="6" t="str">
        <f>"800.000,00"</f>
        <v>800.000,00</v>
      </c>
      <c r="L736" s="6" t="str">
        <f>"200.000,00"</f>
        <v>200.000,00</v>
      </c>
      <c r="M736" s="6" t="str">
        <f>"1.000.000,00"</f>
        <v>1.000.000,00</v>
      </c>
      <c r="N736" s="8" t="s">
        <v>831</v>
      </c>
      <c r="O736" s="7"/>
      <c r="P736" s="2" t="s">
        <v>6100</v>
      </c>
      <c r="Q736" s="1" t="s">
        <v>5599</v>
      </c>
      <c r="R736" s="1"/>
      <c r="S736" s="1" t="str">
        <f>"5-21/NOS-26-3/20"</f>
        <v>5-21/NOS-26-3/20</v>
      </c>
      <c r="T736" s="1" t="s">
        <v>32</v>
      </c>
    </row>
    <row r="737" spans="1:20" ht="127.5" x14ac:dyDescent="0.25">
      <c r="A737" s="6">
        <v>734</v>
      </c>
      <c r="B737" s="1" t="str">
        <f t="shared" si="65"/>
        <v>2020-2627</v>
      </c>
      <c r="C737" s="1" t="s">
        <v>1095</v>
      </c>
      <c r="D737" s="1" t="s">
        <v>541</v>
      </c>
      <c r="E737" s="1" t="str">
        <f>""</f>
        <v/>
      </c>
      <c r="F737" s="1" t="s">
        <v>28</v>
      </c>
      <c r="G737" s="1" t="str">
        <f>CONCATENATE("MALI GRM D.O.O.,"," GRANČARSKA ULICA II. ODVOJAK 4,"," 10000 ZAGREB,"," OIB: 91276298719")</f>
        <v>MALI GRM D.O.O., GRANČARSKA ULICA II. ODVOJAK 4, 10000 ZAGREB, OIB: 91276298719</v>
      </c>
      <c r="H737" s="7"/>
      <c r="I737" s="8" t="s">
        <v>499</v>
      </c>
      <c r="J737" s="8" t="s">
        <v>277</v>
      </c>
      <c r="K737" s="6" t="str">
        <f>"449.700,00"</f>
        <v>449.700,00</v>
      </c>
      <c r="L737" s="6" t="str">
        <f>"112.425,00"</f>
        <v>112.425,00</v>
      </c>
      <c r="M737" s="6" t="str">
        <f>"562.125,00"</f>
        <v>562.125,00</v>
      </c>
      <c r="N737" s="8" t="s">
        <v>469</v>
      </c>
      <c r="O737" s="7"/>
      <c r="P737" s="2" t="s">
        <v>6101</v>
      </c>
      <c r="Q737" s="7"/>
      <c r="R737" s="1"/>
      <c r="S737" s="1" t="str">
        <f>"1-22/NOS-26-3/20"</f>
        <v>1-22/NOS-26-3/20</v>
      </c>
      <c r="T737" s="1" t="s">
        <v>32</v>
      </c>
    </row>
    <row r="738" spans="1:20" ht="51" x14ac:dyDescent="0.25">
      <c r="A738" s="6">
        <v>735</v>
      </c>
      <c r="B738" s="1" t="str">
        <f>"2020-601"</f>
        <v>2020-601</v>
      </c>
      <c r="C738" s="1" t="s">
        <v>1096</v>
      </c>
      <c r="D738" s="1" t="s">
        <v>1097</v>
      </c>
      <c r="E738" s="1" t="str">
        <f>"2020/S 0F2-0023762"</f>
        <v>2020/S 0F2-0023762</v>
      </c>
      <c r="F738" s="1" t="s">
        <v>22</v>
      </c>
      <c r="G738" s="1" t="str">
        <f>CONCATENATE("FEROMIHIN D.O.O.,"," MOSLOVAČKA 22,"," 10315 NOVOSELEC,"," OIB: 34404573953")</f>
        <v>FEROMIHIN D.O.O., MOSLOVAČKA 22, 10315 NOVOSELEC, OIB: 34404573953</v>
      </c>
      <c r="H738" s="7"/>
      <c r="I738" s="8" t="s">
        <v>1098</v>
      </c>
      <c r="J738" s="8" t="s">
        <v>1099</v>
      </c>
      <c r="K738" s="6" t="str">
        <f>"400.000,00"</f>
        <v>400.000,00</v>
      </c>
      <c r="L738" s="6" t="str">
        <f>"100.000,00"</f>
        <v>100.000,00</v>
      </c>
      <c r="M738" s="6" t="str">
        <f>"500.000,00"</f>
        <v>500.000,00</v>
      </c>
      <c r="N738" s="8" t="s">
        <v>1100</v>
      </c>
      <c r="O738" s="7"/>
      <c r="P738" s="2" t="s">
        <v>6102</v>
      </c>
      <c r="Q738" s="7"/>
      <c r="R738" s="1"/>
      <c r="S738" s="1" t="str">
        <f>"NOS-28/20"</f>
        <v>NOS-28/20</v>
      </c>
      <c r="T738" s="1" t="s">
        <v>452</v>
      </c>
    </row>
    <row r="739" spans="1:20" ht="51" x14ac:dyDescent="0.25">
      <c r="A739" s="6">
        <v>736</v>
      </c>
      <c r="B739" s="1" t="str">
        <f>"2020-2107"</f>
        <v>2020-2107</v>
      </c>
      <c r="C739" s="1" t="s">
        <v>1101</v>
      </c>
      <c r="D739" s="1" t="s">
        <v>1102</v>
      </c>
      <c r="E739" s="1" t="str">
        <f>"2020/S 0F2-0032780"</f>
        <v>2020/S 0F2-0032780</v>
      </c>
      <c r="F739" s="1" t="s">
        <v>22</v>
      </c>
      <c r="G739" s="1" t="str">
        <f>CONCATENATE("SHIMADZU D.O.O.,"," ZAVRTNICA 17,"," 10000 ZAGREB,"," OIB: 16214531266")</f>
        <v>SHIMADZU D.O.O., ZAVRTNICA 17, 10000 ZAGREB, OIB: 16214531266</v>
      </c>
      <c r="H739" s="7"/>
      <c r="I739" s="8" t="s">
        <v>1103</v>
      </c>
      <c r="J739" s="8" t="s">
        <v>892</v>
      </c>
      <c r="K739" s="6" t="str">
        <f>"600.000,00"</f>
        <v>600.000,00</v>
      </c>
      <c r="L739" s="6" t="str">
        <f>"150.000,00"</f>
        <v>150.000,00</v>
      </c>
      <c r="M739" s="6" t="str">
        <f>"750.000,00"</f>
        <v>750.000,00</v>
      </c>
      <c r="N739" s="8" t="s">
        <v>1104</v>
      </c>
      <c r="O739" s="7"/>
      <c r="P739" s="2" t="s">
        <v>5614</v>
      </c>
      <c r="Q739" s="7"/>
      <c r="R739" s="1"/>
      <c r="S739" s="1" t="str">
        <f>"NOS-33/20"</f>
        <v>NOS-33/20</v>
      </c>
      <c r="T739" s="1" t="s">
        <v>55</v>
      </c>
    </row>
    <row r="740" spans="1:20" ht="51" x14ac:dyDescent="0.25">
      <c r="A740" s="6">
        <v>737</v>
      </c>
      <c r="B740" s="1" t="str">
        <f>"2020-2107"</f>
        <v>2020-2107</v>
      </c>
      <c r="C740" s="1" t="s">
        <v>1101</v>
      </c>
      <c r="D740" s="1" t="s">
        <v>1102</v>
      </c>
      <c r="E740" s="1" t="str">
        <f>""</f>
        <v/>
      </c>
      <c r="F740" s="1" t="s">
        <v>28</v>
      </c>
      <c r="G740" s="1" t="str">
        <f>CONCATENATE("SHIMADZU D.O.O.,"," ZAVRTNICA 17,"," 10000 ZAGREB,"," OIB: 16214531266")</f>
        <v>SHIMADZU D.O.O., ZAVRTNICA 17, 10000 ZAGREB, OIB: 16214531266</v>
      </c>
      <c r="H740" s="7"/>
      <c r="I740" s="8" t="s">
        <v>496</v>
      </c>
      <c r="J740" s="8" t="s">
        <v>123</v>
      </c>
      <c r="K740" s="6" t="str">
        <f>"178.107,00"</f>
        <v>178.107,00</v>
      </c>
      <c r="L740" s="6" t="str">
        <f>"44.526,75"</f>
        <v>44.526,75</v>
      </c>
      <c r="M740" s="6" t="str">
        <f>"222.633,75"</f>
        <v>222.633,75</v>
      </c>
      <c r="N740" s="8" t="s">
        <v>458</v>
      </c>
      <c r="O740" s="7"/>
      <c r="P740" s="2" t="s">
        <v>6103</v>
      </c>
      <c r="Q740" s="7"/>
      <c r="R740" s="1"/>
      <c r="S740" s="1" t="str">
        <f>"3-21/NOS-33/20"</f>
        <v>3-21/NOS-33/20</v>
      </c>
      <c r="T740" s="1" t="s">
        <v>55</v>
      </c>
    </row>
    <row r="741" spans="1:20" ht="369.75" x14ac:dyDescent="0.25">
      <c r="A741" s="6">
        <v>738</v>
      </c>
      <c r="B741" s="1" t="str">
        <f>"2020-126"</f>
        <v>2020-126</v>
      </c>
      <c r="C741" s="1" t="s">
        <v>1105</v>
      </c>
      <c r="D741" s="1" t="s">
        <v>741</v>
      </c>
      <c r="E741" s="1" t="str">
        <f>"2020/S 0F2-0026206"</f>
        <v>2020/S 0F2-0026206</v>
      </c>
      <c r="F741" s="1" t="s">
        <v>22</v>
      </c>
      <c r="G741" s="1" t="str">
        <f>CONCATENATE("SMIT-COMMERCE D.O.O.,"," GORNJOSTUPNIČKA 9B,"," 10255 GORNJI STUPNIK,"," OIB: 95243482140",CHAR(10),"",CHAR(10),"VELEKEM D.D.,"," UL.KNEZA LJUDEVITA POSAVSKOG 13,"," 10360 SESVETE,"," OIB: 62347407589",CHAR(10),"",CHAR(10),"PISMORAD D.O.O.,"," INDUSTRIJSKA 5,"," 10431 SVETA NEDELJA-NOVAKI,"," OIB: 33260306505",CHAR(10),"",CHAR(10),"CHROMOS D.D.,"," ZAGREBAČKA 30,"," 10430 SAMOBOR,"," OIB: 08231288332",CHAR(10),"",CHAR(10),"CHROMOS-SVJETLOST D.O.O.,"," MIJATA STOJANOVIĆA 13,"," 35257 LUŽANI,"," OIB: 72579903288")</f>
        <v>SMIT-COMMERCE D.O.O., GORNJOSTUPNIČKA 9B, 10255 GORNJI STUPNIK, OIB: 95243482140
VELEKEM D.D., UL.KNEZA LJUDEVITA POSAVSKOG 13, 10360 SESVETE, OIB: 62347407589
PISMORAD D.O.O., INDUSTRIJSKA 5, 10431 SVETA NEDELJA-NOVAKI, OIB: 33260306505
CHROMOS D.D., ZAGREBAČKA 30, 10430 SAMOBOR, OIB: 08231288332
CHROMOS-SVJETLOST D.O.O., MIJATA STOJANOVIĆA 13, 35257 LUŽANI, OIB: 72579903288</v>
      </c>
      <c r="H741" s="7"/>
      <c r="I741" s="8" t="s">
        <v>1106</v>
      </c>
      <c r="J741" s="8" t="s">
        <v>1107</v>
      </c>
      <c r="K741" s="6" t="str">
        <f>"3.600.000,00"</f>
        <v>3.600.000,00</v>
      </c>
      <c r="L741" s="6" t="str">
        <f>"900.000,00"</f>
        <v>900.000,00</v>
      </c>
      <c r="M741" s="6" t="str">
        <f>"4.500.000,00"</f>
        <v>4.500.000,00</v>
      </c>
      <c r="N741" s="8" t="s">
        <v>1107</v>
      </c>
      <c r="O741" s="7"/>
      <c r="P741" s="2" t="s">
        <v>5614</v>
      </c>
      <c r="Q741" s="7"/>
      <c r="R741" s="1"/>
      <c r="S741" s="1" t="str">
        <f>"NOS-31/20"</f>
        <v>NOS-31/20</v>
      </c>
      <c r="T741" s="1" t="s">
        <v>32</v>
      </c>
    </row>
    <row r="742" spans="1:20" ht="63.75" x14ac:dyDescent="0.25">
      <c r="A742" s="6">
        <v>739</v>
      </c>
      <c r="B742" s="1" t="str">
        <f>"2020-126"</f>
        <v>2020-126</v>
      </c>
      <c r="C742" s="1" t="s">
        <v>1105</v>
      </c>
      <c r="D742" s="1" t="s">
        <v>745</v>
      </c>
      <c r="E742" s="1" t="str">
        <f>""</f>
        <v/>
      </c>
      <c r="F742" s="1" t="s">
        <v>28</v>
      </c>
      <c r="G742" s="1" t="str">
        <f>CONCATENATE("CHROMOS-SVJETLOST D.O.O.,"," MIJATA STOJANOVIĆA 13,"," 35257 LUŽANI,"," OIB: 72579903288")</f>
        <v>CHROMOS-SVJETLOST D.O.O., MIJATA STOJANOVIĆA 13, 35257 LUŽANI, OIB: 72579903288</v>
      </c>
      <c r="H742" s="7"/>
      <c r="I742" s="8" t="s">
        <v>1036</v>
      </c>
      <c r="J742" s="8" t="s">
        <v>41</v>
      </c>
      <c r="K742" s="6" t="str">
        <f>"580.000,00"</f>
        <v>580.000,00</v>
      </c>
      <c r="L742" s="6" t="str">
        <f>"145.000,00"</f>
        <v>145.000,00</v>
      </c>
      <c r="M742" s="6" t="str">
        <f>"725.000,00"</f>
        <v>725.000,00</v>
      </c>
      <c r="N742" s="8" t="s">
        <v>396</v>
      </c>
      <c r="O742" s="7"/>
      <c r="P742" s="2" t="s">
        <v>6104</v>
      </c>
      <c r="Q742" s="7"/>
      <c r="R742" s="1"/>
      <c r="S742" s="1" t="str">
        <f>"11-21/NOS-31/20"</f>
        <v>11-21/NOS-31/20</v>
      </c>
      <c r="T742" s="1" t="s">
        <v>32</v>
      </c>
    </row>
    <row r="743" spans="1:20" ht="63.75" x14ac:dyDescent="0.25">
      <c r="A743" s="6">
        <v>740</v>
      </c>
      <c r="B743" s="1" t="str">
        <f>"2020-126"</f>
        <v>2020-126</v>
      </c>
      <c r="C743" s="1" t="s">
        <v>1105</v>
      </c>
      <c r="D743" s="1" t="s">
        <v>745</v>
      </c>
      <c r="E743" s="1" t="str">
        <f>""</f>
        <v/>
      </c>
      <c r="F743" s="1" t="s">
        <v>28</v>
      </c>
      <c r="G743" s="1" t="str">
        <f>CONCATENATE("CHROMOS-SVJETLOST D.O.O.,"," MIJATA STOJANOVIĆA 13,"," 35257 LUŽANI,"," OIB: 72579903288")</f>
        <v>CHROMOS-SVJETLOST D.O.O., MIJATA STOJANOVIĆA 13, 35257 LUŽANI, OIB: 72579903288</v>
      </c>
      <c r="H743" s="7"/>
      <c r="I743" s="8" t="s">
        <v>916</v>
      </c>
      <c r="J743" s="8" t="s">
        <v>214</v>
      </c>
      <c r="K743" s="6" t="str">
        <f>"365.060,00"</f>
        <v>365.060,00</v>
      </c>
      <c r="L743" s="6" t="str">
        <f>"91.265,00"</f>
        <v>91.265,00</v>
      </c>
      <c r="M743" s="6" t="str">
        <f>"456.325,00"</f>
        <v>456.325,00</v>
      </c>
      <c r="N743" s="8" t="s">
        <v>875</v>
      </c>
      <c r="O743" s="7"/>
      <c r="P743" s="2" t="s">
        <v>6105</v>
      </c>
      <c r="Q743" s="7"/>
      <c r="R743" s="1"/>
      <c r="S743" s="1" t="str">
        <f>"3-22/NOS-31/20"</f>
        <v>3-22/NOS-31/20</v>
      </c>
      <c r="T743" s="1" t="s">
        <v>32</v>
      </c>
    </row>
    <row r="744" spans="1:20" ht="114.75" x14ac:dyDescent="0.25">
      <c r="A744" s="6">
        <v>741</v>
      </c>
      <c r="B744" s="1" t="str">
        <f t="shared" ref="B744:B750" si="66">"2020-148"</f>
        <v>2020-148</v>
      </c>
      <c r="C744" s="1" t="s">
        <v>1108</v>
      </c>
      <c r="D744" s="1" t="s">
        <v>1109</v>
      </c>
      <c r="E744" s="1" t="str">
        <f>"2020/S 0F2-0032110"</f>
        <v>2020/S 0F2-0032110</v>
      </c>
      <c r="F744" s="1" t="s">
        <v>22</v>
      </c>
      <c r="G744" s="1" t="str">
        <f>CONCATENATE("Zajednica ponuditelja",CHAR(10),"BOLČEVIĆ-GRADNJA D.O.O.,"," DUGOSELSKA CESTA 56,"," 10361 SESVETSKI KRALJEVEC,"," OIB: 52098670500GUT D.O.O. SISAČKA 37,"," 10000 ZAGREB,"," OIB: 9501710522")</f>
        <v>Zajednica ponuditelja
BOLČEVIĆ-GRADNJA D.O.O., DUGOSELSKA CESTA 56, 10361 SESVETSKI KRALJEVEC, OIB: 52098670500GUT D.O.O. SISAČKA 37, 10000 ZAGREB, OIB: 9501710522</v>
      </c>
      <c r="H744" s="7"/>
      <c r="I744" s="8" t="s">
        <v>1042</v>
      </c>
      <c r="J744" s="8" t="s">
        <v>1104</v>
      </c>
      <c r="K744" s="6" t="str">
        <f>"25.000.000,00"</f>
        <v>25.000.000,00</v>
      </c>
      <c r="L744" s="6" t="str">
        <f>"6.250.000,00"</f>
        <v>6.250.000,00</v>
      </c>
      <c r="M744" s="6" t="str">
        <f>"31.250.000,00"</f>
        <v>31.250.000,00</v>
      </c>
      <c r="N744" s="8" t="s">
        <v>1110</v>
      </c>
      <c r="O744" s="7"/>
      <c r="P744" s="2" t="s">
        <v>5614</v>
      </c>
      <c r="Q744" s="7"/>
      <c r="R744" s="1"/>
      <c r="S744" s="1" t="str">
        <f>"NOS-35/20"</f>
        <v>NOS-35/20</v>
      </c>
      <c r="T744" s="1" t="s">
        <v>55</v>
      </c>
    </row>
    <row r="745" spans="1:20" ht="114.75" x14ac:dyDescent="0.25">
      <c r="A745" s="6">
        <v>742</v>
      </c>
      <c r="B745" s="1" t="str">
        <f t="shared" si="66"/>
        <v>2020-148</v>
      </c>
      <c r="C745" s="1" t="s">
        <v>1108</v>
      </c>
      <c r="D745" s="1" t="s">
        <v>1111</v>
      </c>
      <c r="E745" s="1" t="str">
        <f>""</f>
        <v/>
      </c>
      <c r="F745" s="1" t="s">
        <v>28</v>
      </c>
      <c r="G745" s="1" t="str">
        <f t="shared" ref="G745:G750" si="67">CONCATENATE("Zajednica ponuditelja:",CHAR(10),"BOLČEVIĆ-GRADNJA D.O.O.,"," DUGOSELSKA CESTA 56,"," 10361 SESVETSKI KRALJEVEC,"," OIB: 52098670500",CHAR(10),"GUT D.O.O.,"," SISAČKA 37,"," 10000 ZAGREB,"," OIB: 9501710522")</f>
        <v>Zajednica ponuditelja:
BOLČEVIĆ-GRADNJA D.O.O., DUGOSELSKA CESTA 56, 10361 SESVETSKI KRALJEVEC, OIB: 52098670500
GUT D.O.O., SISAČKA 37, 10000 ZAGREB, OIB: 9501710522</v>
      </c>
      <c r="H745" s="7"/>
      <c r="I745" s="8" t="s">
        <v>345</v>
      </c>
      <c r="J745" s="8" t="s">
        <v>231</v>
      </c>
      <c r="K745" s="6" t="str">
        <f>"331.884,87"</f>
        <v>331.884,87</v>
      </c>
      <c r="L745" s="6" t="str">
        <f t="shared" ref="L745:L750" si="68">"0,00"</f>
        <v>0,00</v>
      </c>
      <c r="M745" s="6" t="str">
        <f>"331.884,87"</f>
        <v>331.884,87</v>
      </c>
      <c r="N745" s="8" t="s">
        <v>296</v>
      </c>
      <c r="O745" s="7"/>
      <c r="P745" s="2" t="s">
        <v>6106</v>
      </c>
      <c r="Q745" s="7"/>
      <c r="R745" s="1"/>
      <c r="S745" s="1" t="str">
        <f>"1-22/NOS-35/20"</f>
        <v>1-22/NOS-35/20</v>
      </c>
      <c r="T745" s="1" t="s">
        <v>55</v>
      </c>
    </row>
    <row r="746" spans="1:20" ht="114.75" x14ac:dyDescent="0.25">
      <c r="A746" s="6">
        <v>743</v>
      </c>
      <c r="B746" s="1" t="str">
        <f t="shared" si="66"/>
        <v>2020-148</v>
      </c>
      <c r="C746" s="1" t="s">
        <v>1108</v>
      </c>
      <c r="D746" s="1" t="s">
        <v>1111</v>
      </c>
      <c r="E746" s="1" t="str">
        <f>""</f>
        <v/>
      </c>
      <c r="F746" s="1" t="s">
        <v>28</v>
      </c>
      <c r="G746" s="1" t="str">
        <f t="shared" si="67"/>
        <v>Zajednica ponuditelja:
BOLČEVIĆ-GRADNJA D.O.O., DUGOSELSKA CESTA 56, 10361 SESVETSKI KRALJEVEC, OIB: 52098670500
GUT D.O.O., SISAČKA 37, 10000 ZAGREB, OIB: 9501710522</v>
      </c>
      <c r="H746" s="7"/>
      <c r="I746" s="8" t="s">
        <v>296</v>
      </c>
      <c r="J746" s="8" t="s">
        <v>231</v>
      </c>
      <c r="K746" s="6" t="str">
        <f>"54.841,01"</f>
        <v>54.841,01</v>
      </c>
      <c r="L746" s="6" t="str">
        <f t="shared" si="68"/>
        <v>0,00</v>
      </c>
      <c r="M746" s="6" t="str">
        <f>"54.841,01"</f>
        <v>54.841,01</v>
      </c>
      <c r="N746" s="8" t="s">
        <v>94</v>
      </c>
      <c r="O746" s="7"/>
      <c r="P746" s="2" t="s">
        <v>6107</v>
      </c>
      <c r="Q746" s="7"/>
      <c r="R746" s="1"/>
      <c r="S746" s="1" t="str">
        <f>"2-22/NOS-35/20"</f>
        <v>2-22/NOS-35/20</v>
      </c>
      <c r="T746" s="1" t="s">
        <v>55</v>
      </c>
    </row>
    <row r="747" spans="1:20" ht="114.75" x14ac:dyDescent="0.25">
      <c r="A747" s="6">
        <v>744</v>
      </c>
      <c r="B747" s="1" t="str">
        <f t="shared" si="66"/>
        <v>2020-148</v>
      </c>
      <c r="C747" s="1" t="s">
        <v>1108</v>
      </c>
      <c r="D747" s="1" t="s">
        <v>1111</v>
      </c>
      <c r="E747" s="1" t="str">
        <f>""</f>
        <v/>
      </c>
      <c r="F747" s="1" t="s">
        <v>28</v>
      </c>
      <c r="G747" s="1" t="str">
        <f t="shared" si="67"/>
        <v>Zajednica ponuditelja:
BOLČEVIĆ-GRADNJA D.O.O., DUGOSELSKA CESTA 56, 10361 SESVETSKI KRALJEVEC, OIB: 52098670500
GUT D.O.O., SISAČKA 37, 10000 ZAGREB, OIB: 9501710522</v>
      </c>
      <c r="H747" s="7"/>
      <c r="I747" s="8" t="s">
        <v>260</v>
      </c>
      <c r="J747" s="8" t="s">
        <v>231</v>
      </c>
      <c r="K747" s="6" t="str">
        <f>"39.175,19"</f>
        <v>39.175,19</v>
      </c>
      <c r="L747" s="6" t="str">
        <f t="shared" si="68"/>
        <v>0,00</v>
      </c>
      <c r="M747" s="6" t="str">
        <f>"39.175,19"</f>
        <v>39.175,19</v>
      </c>
      <c r="N747" s="8" t="s">
        <v>124</v>
      </c>
      <c r="O747" s="7"/>
      <c r="P747" s="2" t="s">
        <v>5614</v>
      </c>
      <c r="Q747" s="7"/>
      <c r="R747" s="1"/>
      <c r="S747" s="1" t="str">
        <f>"3-22/NOS-35/20"</f>
        <v>3-22/NOS-35/20</v>
      </c>
      <c r="T747" s="1" t="s">
        <v>55</v>
      </c>
    </row>
    <row r="748" spans="1:20" ht="114.75" x14ac:dyDescent="0.25">
      <c r="A748" s="6">
        <v>745</v>
      </c>
      <c r="B748" s="1" t="str">
        <f t="shared" si="66"/>
        <v>2020-148</v>
      </c>
      <c r="C748" s="1" t="s">
        <v>1108</v>
      </c>
      <c r="D748" s="1" t="s">
        <v>1111</v>
      </c>
      <c r="E748" s="1" t="str">
        <f>""</f>
        <v/>
      </c>
      <c r="F748" s="1" t="s">
        <v>28</v>
      </c>
      <c r="G748" s="1" t="str">
        <f t="shared" si="67"/>
        <v>Zajednica ponuditelja:
BOLČEVIĆ-GRADNJA D.O.O., DUGOSELSKA CESTA 56, 10361 SESVETSKI KRALJEVEC, OIB: 52098670500
GUT D.O.O., SISAČKA 37, 10000 ZAGREB, OIB: 9501710522</v>
      </c>
      <c r="H748" s="7"/>
      <c r="I748" s="8" t="s">
        <v>250</v>
      </c>
      <c r="J748" s="8" t="s">
        <v>231</v>
      </c>
      <c r="K748" s="6" t="str">
        <f>"61.492,70"</f>
        <v>61.492,70</v>
      </c>
      <c r="L748" s="6" t="str">
        <f t="shared" si="68"/>
        <v>0,00</v>
      </c>
      <c r="M748" s="6" t="str">
        <f>"61.492,70"</f>
        <v>61.492,70</v>
      </c>
      <c r="N748" s="8" t="s">
        <v>1112</v>
      </c>
      <c r="O748" s="7"/>
      <c r="P748" s="2" t="s">
        <v>6108</v>
      </c>
      <c r="Q748" s="7"/>
      <c r="R748" s="1"/>
      <c r="S748" s="1" t="str">
        <f>"4-22/NOS-35/20"</f>
        <v>4-22/NOS-35/20</v>
      </c>
      <c r="T748" s="1" t="s">
        <v>55</v>
      </c>
    </row>
    <row r="749" spans="1:20" ht="114.75" x14ac:dyDescent="0.25">
      <c r="A749" s="6">
        <v>746</v>
      </c>
      <c r="B749" s="1" t="str">
        <f t="shared" si="66"/>
        <v>2020-148</v>
      </c>
      <c r="C749" s="1" t="s">
        <v>1108</v>
      </c>
      <c r="D749" s="1" t="s">
        <v>1111</v>
      </c>
      <c r="E749" s="1" t="str">
        <f>""</f>
        <v/>
      </c>
      <c r="F749" s="1" t="s">
        <v>28</v>
      </c>
      <c r="G749" s="1" t="str">
        <f t="shared" si="67"/>
        <v>Zajednica ponuditelja:
BOLČEVIĆ-GRADNJA D.O.O., DUGOSELSKA CESTA 56, 10361 SESVETSKI KRALJEVEC, OIB: 52098670500
GUT D.O.O., SISAČKA 37, 10000 ZAGREB, OIB: 9501710522</v>
      </c>
      <c r="H749" s="7"/>
      <c r="I749" s="8" t="s">
        <v>507</v>
      </c>
      <c r="J749" s="8" t="s">
        <v>231</v>
      </c>
      <c r="K749" s="6" t="str">
        <f>"471.186,50"</f>
        <v>471.186,50</v>
      </c>
      <c r="L749" s="6" t="str">
        <f t="shared" si="68"/>
        <v>0,00</v>
      </c>
      <c r="M749" s="6" t="str">
        <f>"471.186,50"</f>
        <v>471.186,50</v>
      </c>
      <c r="N749" s="8" t="s">
        <v>563</v>
      </c>
      <c r="O749" s="7"/>
      <c r="P749" s="2" t="s">
        <v>6109</v>
      </c>
      <c r="Q749" s="7"/>
      <c r="R749" s="1"/>
      <c r="S749" s="1" t="str">
        <f>"5-22/NOS-35/20"</f>
        <v>5-22/NOS-35/20</v>
      </c>
      <c r="T749" s="1" t="s">
        <v>55</v>
      </c>
    </row>
    <row r="750" spans="1:20" ht="114.75" x14ac:dyDescent="0.25">
      <c r="A750" s="6">
        <v>747</v>
      </c>
      <c r="B750" s="1" t="str">
        <f t="shared" si="66"/>
        <v>2020-148</v>
      </c>
      <c r="C750" s="1" t="s">
        <v>1108</v>
      </c>
      <c r="D750" s="1" t="s">
        <v>1111</v>
      </c>
      <c r="E750" s="1" t="str">
        <f>""</f>
        <v/>
      </c>
      <c r="F750" s="1" t="s">
        <v>28</v>
      </c>
      <c r="G750" s="1" t="str">
        <f t="shared" si="67"/>
        <v>Zajednica ponuditelja:
BOLČEVIĆ-GRADNJA D.O.O., DUGOSELSKA CESTA 56, 10361 SESVETSKI KRALJEVEC, OIB: 52098670500
GUT D.O.O., SISAČKA 37, 10000 ZAGREB, OIB: 9501710522</v>
      </c>
      <c r="H750" s="7"/>
      <c r="I750" s="8" t="s">
        <v>509</v>
      </c>
      <c r="J750" s="8" t="s">
        <v>1113</v>
      </c>
      <c r="K750" s="6" t="str">
        <f>"489.152,04"</f>
        <v>489.152,04</v>
      </c>
      <c r="L750" s="6" t="str">
        <f t="shared" si="68"/>
        <v>0,00</v>
      </c>
      <c r="M750" s="6" t="str">
        <f>"489.152,04"</f>
        <v>489.152,04</v>
      </c>
      <c r="N750" s="8" t="s">
        <v>124</v>
      </c>
      <c r="O750" s="7"/>
      <c r="P750" s="2" t="s">
        <v>5614</v>
      </c>
      <c r="Q750" s="7"/>
      <c r="R750" s="1"/>
      <c r="S750" s="1" t="str">
        <f>"6-22/NOS-35/20"</f>
        <v>6-22/NOS-35/20</v>
      </c>
      <c r="T750" s="1" t="s">
        <v>55</v>
      </c>
    </row>
    <row r="751" spans="1:20" ht="114.75" x14ac:dyDescent="0.25">
      <c r="A751" s="6">
        <v>748</v>
      </c>
      <c r="B751" s="1" t="str">
        <f t="shared" ref="B751:B782" si="69">"2019-2382"</f>
        <v>2019-2382</v>
      </c>
      <c r="C751" s="1" t="s">
        <v>1114</v>
      </c>
      <c r="D751" s="1" t="s">
        <v>914</v>
      </c>
      <c r="E751" s="1" t="str">
        <f>"2020/S 0F2-0018221"</f>
        <v>2020/S 0F2-0018221</v>
      </c>
      <c r="F751" s="1" t="s">
        <v>22</v>
      </c>
      <c r="G751" s="1" t="str">
        <f>CONCATENATE("AUTOMEHANIKA D.D.,"," KOVINSKA 4,"," 10000 ZAGREB,"," OIB: 52233171260",CHAR(10),"",CHAR(10),"BENUSSI D. O. O.,"," FAŽANSKA CESTA 86,"," 52212 FAŽANA,"," OIB: 87971197112")</f>
        <v>AUTOMEHANIKA D.D., KOVINSKA 4, 10000 ZAGREB, OIB: 52233171260
BENUSSI D. O. O., FAŽANSKA CESTA 86, 52212 FAŽANA, OIB: 87971197112</v>
      </c>
      <c r="H751" s="7"/>
      <c r="I751" s="8" t="s">
        <v>1115</v>
      </c>
      <c r="J751" s="8" t="s">
        <v>193</v>
      </c>
      <c r="K751" s="6" t="str">
        <f>"8.255.000,00"</f>
        <v>8.255.000,00</v>
      </c>
      <c r="L751" s="6" t="str">
        <f>"2.063.750,00"</f>
        <v>2.063.750,00</v>
      </c>
      <c r="M751" s="6" t="str">
        <f>"10.318.750,00"</f>
        <v>10.318.750,00</v>
      </c>
      <c r="N751" s="8" t="s">
        <v>124</v>
      </c>
      <c r="O751" s="7"/>
      <c r="P751" s="2" t="s">
        <v>5614</v>
      </c>
      <c r="Q751" s="7"/>
      <c r="R751" s="1"/>
      <c r="S751" s="1" t="str">
        <f>"NOS-110/19"</f>
        <v>NOS-110/19</v>
      </c>
      <c r="T751" s="1" t="s">
        <v>27</v>
      </c>
    </row>
    <row r="752" spans="1:20" ht="51" x14ac:dyDescent="0.25">
      <c r="A752" s="6">
        <v>749</v>
      </c>
      <c r="B752" s="1" t="str">
        <f t="shared" si="69"/>
        <v>2019-2382</v>
      </c>
      <c r="C752" s="1" t="s">
        <v>1114</v>
      </c>
      <c r="D752" s="1" t="s">
        <v>1116</v>
      </c>
      <c r="E752" s="1" t="str">
        <f>""</f>
        <v/>
      </c>
      <c r="F752" s="1" t="s">
        <v>28</v>
      </c>
      <c r="G752" s="1" t="str">
        <f t="shared" ref="G752:G783" si="70">CONCATENATE("AUTOMEHANIKA D.D.,"," KOVINSKA 4,"," 10000 ZAGREB,"," OIB: 5223317126")</f>
        <v>AUTOMEHANIKA D.D., KOVINSKA 4, 10000 ZAGREB, OIB: 5223317126</v>
      </c>
      <c r="H752" s="7"/>
      <c r="I752" s="8" t="s">
        <v>634</v>
      </c>
      <c r="J752" s="8" t="s">
        <v>41</v>
      </c>
      <c r="K752" s="6" t="str">
        <f>"474.066,06"</f>
        <v>474.066,06</v>
      </c>
      <c r="L752" s="6" t="str">
        <f>"118.516,52"</f>
        <v>118.516,52</v>
      </c>
      <c r="M752" s="6" t="str">
        <f>"592.582,58"</f>
        <v>592.582,58</v>
      </c>
      <c r="N752" s="8" t="s">
        <v>301</v>
      </c>
      <c r="O752" s="7"/>
      <c r="P752" s="2" t="s">
        <v>6110</v>
      </c>
      <c r="Q752" s="7"/>
      <c r="R752" s="1"/>
      <c r="S752" s="1" t="str">
        <f>"195-21/NOS-110/19"</f>
        <v>195-21/NOS-110/19</v>
      </c>
      <c r="T752" s="1" t="s">
        <v>32</v>
      </c>
    </row>
    <row r="753" spans="1:20" ht="51" x14ac:dyDescent="0.25">
      <c r="A753" s="6">
        <v>750</v>
      </c>
      <c r="B753" s="1" t="str">
        <f t="shared" si="69"/>
        <v>2019-2382</v>
      </c>
      <c r="C753" s="1" t="s">
        <v>1114</v>
      </c>
      <c r="D753" s="1" t="s">
        <v>1116</v>
      </c>
      <c r="E753" s="1" t="str">
        <f>""</f>
        <v/>
      </c>
      <c r="F753" s="1" t="s">
        <v>28</v>
      </c>
      <c r="G753" s="1" t="str">
        <f t="shared" si="70"/>
        <v>AUTOMEHANIKA D.D., KOVINSKA 4, 10000 ZAGREB, OIB: 5223317126</v>
      </c>
      <c r="H753" s="7"/>
      <c r="I753" s="8" t="s">
        <v>183</v>
      </c>
      <c r="J753" s="8" t="s">
        <v>57</v>
      </c>
      <c r="K753" s="6" t="str">
        <f>"299.985,90"</f>
        <v>299.985,90</v>
      </c>
      <c r="L753" s="6" t="str">
        <f>"74.996,48"</f>
        <v>74.996,48</v>
      </c>
      <c r="M753" s="6" t="str">
        <f>"374.982,38"</f>
        <v>374.982,38</v>
      </c>
      <c r="N753" s="8" t="s">
        <v>345</v>
      </c>
      <c r="O753" s="7"/>
      <c r="P753" s="2" t="s">
        <v>6111</v>
      </c>
      <c r="Q753" s="7"/>
      <c r="R753" s="1"/>
      <c r="S753" s="1" t="str">
        <f>"225-21/NOS-110/19"</f>
        <v>225-21/NOS-110/19</v>
      </c>
      <c r="T753" s="1" t="s">
        <v>32</v>
      </c>
    </row>
    <row r="754" spans="1:20" ht="51" x14ac:dyDescent="0.25">
      <c r="A754" s="6">
        <v>751</v>
      </c>
      <c r="B754" s="1" t="str">
        <f t="shared" si="69"/>
        <v>2019-2382</v>
      </c>
      <c r="C754" s="1" t="s">
        <v>1114</v>
      </c>
      <c r="D754" s="1" t="s">
        <v>1116</v>
      </c>
      <c r="E754" s="1" t="str">
        <f>""</f>
        <v/>
      </c>
      <c r="F754" s="1" t="s">
        <v>28</v>
      </c>
      <c r="G754" s="1" t="str">
        <f t="shared" si="70"/>
        <v>AUTOMEHANIKA D.D., KOVINSKA 4, 10000 ZAGREB, OIB: 5223317126</v>
      </c>
      <c r="H754" s="7"/>
      <c r="I754" s="8" t="s">
        <v>500</v>
      </c>
      <c r="J754" s="8" t="s">
        <v>123</v>
      </c>
      <c r="K754" s="6" t="str">
        <f>"200.454,71"</f>
        <v>200.454,71</v>
      </c>
      <c r="L754" s="6" t="str">
        <f>"50.113,68"</f>
        <v>50.113,68</v>
      </c>
      <c r="M754" s="6" t="str">
        <f>"250.568,39"</f>
        <v>250.568,39</v>
      </c>
      <c r="N754" s="8" t="s">
        <v>124</v>
      </c>
      <c r="O754" s="7"/>
      <c r="P754" s="2" t="s">
        <v>6112</v>
      </c>
      <c r="Q754" s="7"/>
      <c r="R754" s="1"/>
      <c r="S754" s="1" t="str">
        <f>"36-22/NOS-110/19"</f>
        <v>36-22/NOS-110/19</v>
      </c>
      <c r="T754" s="1" t="s">
        <v>32</v>
      </c>
    </row>
    <row r="755" spans="1:20" ht="51" x14ac:dyDescent="0.25">
      <c r="A755" s="6">
        <v>752</v>
      </c>
      <c r="B755" s="1" t="str">
        <f t="shared" si="69"/>
        <v>2019-2382</v>
      </c>
      <c r="C755" s="1" t="s">
        <v>1114</v>
      </c>
      <c r="D755" s="1" t="s">
        <v>1116</v>
      </c>
      <c r="E755" s="1" t="str">
        <f>""</f>
        <v/>
      </c>
      <c r="F755" s="1" t="s">
        <v>28</v>
      </c>
      <c r="G755" s="1" t="str">
        <f t="shared" si="70"/>
        <v>AUTOMEHANIKA D.D., KOVINSKA 4, 10000 ZAGREB, OIB: 5223317126</v>
      </c>
      <c r="H755" s="7"/>
      <c r="I755" s="8" t="s">
        <v>1117</v>
      </c>
      <c r="J755" s="8" t="s">
        <v>214</v>
      </c>
      <c r="K755" s="6" t="str">
        <f>"699.998,63"</f>
        <v>699.998,63</v>
      </c>
      <c r="L755" s="6" t="str">
        <f>"174.999,66"</f>
        <v>174.999,66</v>
      </c>
      <c r="M755" s="6" t="str">
        <f>"874.998,29"</f>
        <v>874.998,29</v>
      </c>
      <c r="N755" s="8" t="s">
        <v>31</v>
      </c>
      <c r="O755" s="7"/>
      <c r="P755" s="2" t="s">
        <v>6113</v>
      </c>
      <c r="Q755" s="1" t="s">
        <v>488</v>
      </c>
      <c r="R755" s="1"/>
      <c r="S755" s="1" t="str">
        <f>"20-22/NOS-110/19"</f>
        <v>20-22/NOS-110/19</v>
      </c>
      <c r="T755" s="1" t="s">
        <v>32</v>
      </c>
    </row>
    <row r="756" spans="1:20" ht="51" x14ac:dyDescent="0.25">
      <c r="A756" s="6">
        <v>753</v>
      </c>
      <c r="B756" s="1" t="str">
        <f t="shared" si="69"/>
        <v>2019-2382</v>
      </c>
      <c r="C756" s="1" t="s">
        <v>1114</v>
      </c>
      <c r="D756" s="1" t="s">
        <v>1116</v>
      </c>
      <c r="E756" s="1" t="str">
        <f>""</f>
        <v/>
      </c>
      <c r="F756" s="1" t="s">
        <v>28</v>
      </c>
      <c r="G756" s="1" t="str">
        <f t="shared" si="70"/>
        <v>AUTOMEHANIKA D.D., KOVINSKA 4, 10000 ZAGREB, OIB: 5223317126</v>
      </c>
      <c r="H756" s="7"/>
      <c r="I756" s="8" t="s">
        <v>54</v>
      </c>
      <c r="J756" s="8" t="s">
        <v>961</v>
      </c>
      <c r="K756" s="6" t="str">
        <f>"899.896,80"</f>
        <v>899.896,80</v>
      </c>
      <c r="L756" s="6" t="str">
        <f>"224.974,20"</f>
        <v>224.974,20</v>
      </c>
      <c r="M756" s="6" t="str">
        <f>"1.124.871,00"</f>
        <v>1.124.871,00</v>
      </c>
      <c r="N756" s="8" t="s">
        <v>124</v>
      </c>
      <c r="O756" s="7"/>
      <c r="P756" s="2" t="s">
        <v>6114</v>
      </c>
      <c r="Q756" s="7"/>
      <c r="R756" s="1"/>
      <c r="S756" s="1" t="str">
        <f>"99-22/NOS-110/19"</f>
        <v>99-22/NOS-110/19</v>
      </c>
      <c r="T756" s="1" t="s">
        <v>32</v>
      </c>
    </row>
    <row r="757" spans="1:20" ht="51" x14ac:dyDescent="0.25">
      <c r="A757" s="6">
        <v>754</v>
      </c>
      <c r="B757" s="1" t="str">
        <f t="shared" si="69"/>
        <v>2019-2382</v>
      </c>
      <c r="C757" s="1" t="s">
        <v>1114</v>
      </c>
      <c r="D757" s="1" t="s">
        <v>1116</v>
      </c>
      <c r="E757" s="1" t="str">
        <f>""</f>
        <v/>
      </c>
      <c r="F757" s="1" t="s">
        <v>28</v>
      </c>
      <c r="G757" s="1" t="str">
        <f t="shared" si="70"/>
        <v>AUTOMEHANIKA D.D., KOVINSKA 4, 10000 ZAGREB, OIB: 5223317126</v>
      </c>
      <c r="H757" s="7"/>
      <c r="I757" s="8" t="s">
        <v>964</v>
      </c>
      <c r="J757" s="8" t="s">
        <v>1026</v>
      </c>
      <c r="K757" s="6" t="str">
        <f>"599.461,64"</f>
        <v>599.461,64</v>
      </c>
      <c r="L757" s="6" t="str">
        <f>"149.865,41"</f>
        <v>149.865,41</v>
      </c>
      <c r="M757" s="6" t="str">
        <f>"749.327,05"</f>
        <v>749.327,05</v>
      </c>
      <c r="N757" s="8" t="s">
        <v>124</v>
      </c>
      <c r="O757" s="7"/>
      <c r="P757" s="2" t="s">
        <v>5614</v>
      </c>
      <c r="Q757" s="7"/>
      <c r="R757" s="1"/>
      <c r="S757" s="1" t="str">
        <f>"90-22/NOS-110/19"</f>
        <v>90-22/NOS-110/19</v>
      </c>
      <c r="T757" s="1" t="s">
        <v>32</v>
      </c>
    </row>
    <row r="758" spans="1:20" ht="51" x14ac:dyDescent="0.25">
      <c r="A758" s="6">
        <v>755</v>
      </c>
      <c r="B758" s="1" t="str">
        <f t="shared" si="69"/>
        <v>2019-2382</v>
      </c>
      <c r="C758" s="1" t="s">
        <v>1114</v>
      </c>
      <c r="D758" s="1" t="s">
        <v>1116</v>
      </c>
      <c r="E758" s="1" t="str">
        <f>""</f>
        <v/>
      </c>
      <c r="F758" s="1" t="s">
        <v>28</v>
      </c>
      <c r="G758" s="1" t="str">
        <f t="shared" si="70"/>
        <v>AUTOMEHANIKA D.D., KOVINSKA 4, 10000 ZAGREB, OIB: 5223317126</v>
      </c>
      <c r="H758" s="7"/>
      <c r="I758" s="8" t="s">
        <v>121</v>
      </c>
      <c r="J758" s="8" t="s">
        <v>417</v>
      </c>
      <c r="K758" s="6" t="str">
        <f>"425.412,30"</f>
        <v>425.412,30</v>
      </c>
      <c r="L758" s="6" t="str">
        <f>"106.353,08"</f>
        <v>106.353,08</v>
      </c>
      <c r="M758" s="6" t="str">
        <f>"531.765,38"</f>
        <v>531.765,38</v>
      </c>
      <c r="N758" s="8" t="s">
        <v>124</v>
      </c>
      <c r="O758" s="7"/>
      <c r="P758" s="2" t="s">
        <v>5614</v>
      </c>
      <c r="Q758" s="7"/>
      <c r="R758" s="1"/>
      <c r="S758" s="1" t="str">
        <f>"148-22/NOS-110/19"</f>
        <v>148-22/NOS-110/19</v>
      </c>
      <c r="T758" s="1" t="s">
        <v>32</v>
      </c>
    </row>
    <row r="759" spans="1:20" ht="51" x14ac:dyDescent="0.25">
      <c r="A759" s="6">
        <v>756</v>
      </c>
      <c r="B759" s="1" t="str">
        <f t="shared" si="69"/>
        <v>2019-2382</v>
      </c>
      <c r="C759" s="1" t="s">
        <v>1114</v>
      </c>
      <c r="D759" s="1" t="s">
        <v>1116</v>
      </c>
      <c r="E759" s="1" t="str">
        <f>""</f>
        <v/>
      </c>
      <c r="F759" s="1" t="s">
        <v>28</v>
      </c>
      <c r="G759" s="1" t="str">
        <f t="shared" si="70"/>
        <v>AUTOMEHANIKA D.D., KOVINSKA 4, 10000 ZAGREB, OIB: 5223317126</v>
      </c>
      <c r="H759" s="7"/>
      <c r="I759" s="8" t="s">
        <v>137</v>
      </c>
      <c r="J759" s="8" t="s">
        <v>519</v>
      </c>
      <c r="K759" s="6" t="str">
        <f>"7.644,26"</f>
        <v>7.644,26</v>
      </c>
      <c r="L759" s="6" t="str">
        <f>"1.911,07"</f>
        <v>1.911,07</v>
      </c>
      <c r="M759" s="6" t="str">
        <f>"9.555,33"</f>
        <v>9.555,33</v>
      </c>
      <c r="N759" s="8" t="s">
        <v>1118</v>
      </c>
      <c r="O759" s="7"/>
      <c r="P759" s="2" t="s">
        <v>6115</v>
      </c>
      <c r="Q759" s="7"/>
      <c r="R759" s="1"/>
      <c r="S759" s="1" t="str">
        <f>"236-21/NOS-110/19"</f>
        <v>236-21/NOS-110/19</v>
      </c>
      <c r="T759" s="1" t="s">
        <v>55</v>
      </c>
    </row>
    <row r="760" spans="1:20" ht="51" x14ac:dyDescent="0.25">
      <c r="A760" s="6">
        <v>757</v>
      </c>
      <c r="B760" s="1" t="str">
        <f t="shared" si="69"/>
        <v>2019-2382</v>
      </c>
      <c r="C760" s="1" t="s">
        <v>1114</v>
      </c>
      <c r="D760" s="1" t="s">
        <v>1116</v>
      </c>
      <c r="E760" s="1" t="str">
        <f>""</f>
        <v/>
      </c>
      <c r="F760" s="1" t="s">
        <v>28</v>
      </c>
      <c r="G760" s="1" t="str">
        <f t="shared" si="70"/>
        <v>AUTOMEHANIKA D.D., KOVINSKA 4, 10000 ZAGREB, OIB: 5223317126</v>
      </c>
      <c r="H760" s="7"/>
      <c r="I760" s="8" t="s">
        <v>735</v>
      </c>
      <c r="J760" s="8" t="s">
        <v>519</v>
      </c>
      <c r="K760" s="6" t="str">
        <f>"12.189,17"</f>
        <v>12.189,17</v>
      </c>
      <c r="L760" s="6" t="str">
        <f>"3.047,29"</f>
        <v>3.047,29</v>
      </c>
      <c r="M760" s="6" t="str">
        <f>"15.236,46"</f>
        <v>15.236,46</v>
      </c>
      <c r="N760" s="8" t="s">
        <v>955</v>
      </c>
      <c r="O760" s="7"/>
      <c r="P760" s="2" t="s">
        <v>6116</v>
      </c>
      <c r="Q760" s="7"/>
      <c r="R760" s="1"/>
      <c r="S760" s="1" t="str">
        <f>"2-22/NOS-110/19"</f>
        <v>2-22/NOS-110/19</v>
      </c>
      <c r="T760" s="1" t="s">
        <v>32</v>
      </c>
    </row>
    <row r="761" spans="1:20" ht="51" x14ac:dyDescent="0.25">
      <c r="A761" s="6">
        <v>758</v>
      </c>
      <c r="B761" s="1" t="str">
        <f t="shared" si="69"/>
        <v>2019-2382</v>
      </c>
      <c r="C761" s="1" t="s">
        <v>1114</v>
      </c>
      <c r="D761" s="1" t="s">
        <v>1116</v>
      </c>
      <c r="E761" s="1" t="str">
        <f>""</f>
        <v/>
      </c>
      <c r="F761" s="1" t="s">
        <v>28</v>
      </c>
      <c r="G761" s="1" t="str">
        <f t="shared" si="70"/>
        <v>AUTOMEHANIKA D.D., KOVINSKA 4, 10000 ZAGREB, OIB: 5223317126</v>
      </c>
      <c r="H761" s="7"/>
      <c r="I761" s="8" t="s">
        <v>103</v>
      </c>
      <c r="J761" s="8" t="s">
        <v>519</v>
      </c>
      <c r="K761" s="6" t="str">
        <f>"25.220,80"</f>
        <v>25.220,80</v>
      </c>
      <c r="L761" s="6" t="str">
        <f>"6.305,23"</f>
        <v>6.305,23</v>
      </c>
      <c r="M761" s="6" t="str">
        <f>"31.526,03"</f>
        <v>31.526,03</v>
      </c>
      <c r="N761" s="8" t="s">
        <v>955</v>
      </c>
      <c r="O761" s="7"/>
      <c r="P761" s="2" t="s">
        <v>6117</v>
      </c>
      <c r="Q761" s="7"/>
      <c r="R761" s="1"/>
      <c r="S761" s="1" t="str">
        <f>"4-22/NOS-110/19"</f>
        <v>4-22/NOS-110/19</v>
      </c>
      <c r="T761" s="1" t="s">
        <v>32</v>
      </c>
    </row>
    <row r="762" spans="1:20" ht="51" x14ac:dyDescent="0.25">
      <c r="A762" s="6">
        <v>759</v>
      </c>
      <c r="B762" s="1" t="str">
        <f t="shared" si="69"/>
        <v>2019-2382</v>
      </c>
      <c r="C762" s="1" t="s">
        <v>1114</v>
      </c>
      <c r="D762" s="1" t="s">
        <v>1116</v>
      </c>
      <c r="E762" s="1" t="str">
        <f>""</f>
        <v/>
      </c>
      <c r="F762" s="1" t="s">
        <v>28</v>
      </c>
      <c r="G762" s="1" t="str">
        <f t="shared" si="70"/>
        <v>AUTOMEHANIKA D.D., KOVINSKA 4, 10000 ZAGREB, OIB: 5223317126</v>
      </c>
      <c r="H762" s="7"/>
      <c r="I762" s="8" t="s">
        <v>744</v>
      </c>
      <c r="J762" s="8" t="s">
        <v>519</v>
      </c>
      <c r="K762" s="6" t="str">
        <f>"19.183,82"</f>
        <v>19.183,82</v>
      </c>
      <c r="L762" s="6" t="str">
        <f>"4.795,96"</f>
        <v>4.795,96</v>
      </c>
      <c r="M762" s="6" t="str">
        <f>"23.979,78"</f>
        <v>23.979,78</v>
      </c>
      <c r="N762" s="8" t="s">
        <v>955</v>
      </c>
      <c r="O762" s="7"/>
      <c r="P762" s="2" t="s">
        <v>6118</v>
      </c>
      <c r="Q762" s="7"/>
      <c r="R762" s="1"/>
      <c r="S762" s="1" t="str">
        <f>"3-22/NOS-110/19"</f>
        <v>3-22/NOS-110/19</v>
      </c>
      <c r="T762" s="1" t="s">
        <v>32</v>
      </c>
    </row>
    <row r="763" spans="1:20" ht="51" x14ac:dyDescent="0.25">
      <c r="A763" s="6">
        <v>760</v>
      </c>
      <c r="B763" s="1" t="str">
        <f t="shared" si="69"/>
        <v>2019-2382</v>
      </c>
      <c r="C763" s="1" t="s">
        <v>1114</v>
      </c>
      <c r="D763" s="1" t="s">
        <v>1116</v>
      </c>
      <c r="E763" s="1" t="str">
        <f>""</f>
        <v/>
      </c>
      <c r="F763" s="1" t="s">
        <v>28</v>
      </c>
      <c r="G763" s="1" t="str">
        <f t="shared" si="70"/>
        <v>AUTOMEHANIKA D.D., KOVINSKA 4, 10000 ZAGREB, OIB: 5223317126</v>
      </c>
      <c r="H763" s="7"/>
      <c r="I763" s="8" t="s">
        <v>220</v>
      </c>
      <c r="J763" s="8" t="s">
        <v>519</v>
      </c>
      <c r="K763" s="6" t="str">
        <f>"41.294,91"</f>
        <v>41.294,91</v>
      </c>
      <c r="L763" s="6" t="str">
        <f>"9.276,56"</f>
        <v>9.276,56</v>
      </c>
      <c r="M763" s="6" t="str">
        <f>"50.571,47"</f>
        <v>50.571,47</v>
      </c>
      <c r="N763" s="8" t="s">
        <v>255</v>
      </c>
      <c r="O763" s="7"/>
      <c r="P763" s="2" t="s">
        <v>6119</v>
      </c>
      <c r="Q763" s="7"/>
      <c r="R763" s="1"/>
      <c r="S763" s="1" t="str">
        <f>"1-22/NOS-110/19"</f>
        <v>1-22/NOS-110/19</v>
      </c>
      <c r="T763" s="1" t="s">
        <v>32</v>
      </c>
    </row>
    <row r="764" spans="1:20" ht="51" x14ac:dyDescent="0.25">
      <c r="A764" s="6">
        <v>761</v>
      </c>
      <c r="B764" s="1" t="str">
        <f t="shared" si="69"/>
        <v>2019-2382</v>
      </c>
      <c r="C764" s="1" t="s">
        <v>1114</v>
      </c>
      <c r="D764" s="1" t="s">
        <v>1116</v>
      </c>
      <c r="E764" s="1" t="str">
        <f>""</f>
        <v/>
      </c>
      <c r="F764" s="1" t="s">
        <v>28</v>
      </c>
      <c r="G764" s="1" t="str">
        <f t="shared" si="70"/>
        <v>AUTOMEHANIKA D.D., KOVINSKA 4, 10000 ZAGREB, OIB: 5223317126</v>
      </c>
      <c r="H764" s="7"/>
      <c r="I764" s="8" t="s">
        <v>41</v>
      </c>
      <c r="J764" s="8" t="s">
        <v>519</v>
      </c>
      <c r="K764" s="6" t="str">
        <f>"14.072,55"</f>
        <v>14.072,55</v>
      </c>
      <c r="L764" s="6" t="str">
        <f>"3.518,14"</f>
        <v>3.518,14</v>
      </c>
      <c r="M764" s="6" t="str">
        <f>"17.590,69"</f>
        <v>17.590,69</v>
      </c>
      <c r="N764" s="8" t="s">
        <v>939</v>
      </c>
      <c r="O764" s="7"/>
      <c r="P764" s="2" t="s">
        <v>6120</v>
      </c>
      <c r="Q764" s="7"/>
      <c r="R764" s="1"/>
      <c r="S764" s="1" t="str">
        <f>"5-22/NOS-110/19"</f>
        <v>5-22/NOS-110/19</v>
      </c>
      <c r="T764" s="1" t="s">
        <v>32</v>
      </c>
    </row>
    <row r="765" spans="1:20" ht="51" x14ac:dyDescent="0.25">
      <c r="A765" s="6">
        <v>762</v>
      </c>
      <c r="B765" s="1" t="str">
        <f t="shared" si="69"/>
        <v>2019-2382</v>
      </c>
      <c r="C765" s="1" t="s">
        <v>1114</v>
      </c>
      <c r="D765" s="1" t="s">
        <v>1116</v>
      </c>
      <c r="E765" s="1" t="str">
        <f>""</f>
        <v/>
      </c>
      <c r="F765" s="1" t="s">
        <v>28</v>
      </c>
      <c r="G765" s="1" t="str">
        <f t="shared" si="70"/>
        <v>AUTOMEHANIKA D.D., KOVINSKA 4, 10000 ZAGREB, OIB: 5223317126</v>
      </c>
      <c r="H765" s="7"/>
      <c r="I765" s="8" t="s">
        <v>421</v>
      </c>
      <c r="J765" s="8" t="s">
        <v>519</v>
      </c>
      <c r="K765" s="6" t="str">
        <f>"3.166,87"</f>
        <v>3.166,87</v>
      </c>
      <c r="L765" s="6" t="str">
        <f>"791,73"</f>
        <v>791,73</v>
      </c>
      <c r="M765" s="6" t="str">
        <f>"3.958,60"</f>
        <v>3.958,60</v>
      </c>
      <c r="N765" s="8" t="s">
        <v>939</v>
      </c>
      <c r="O765" s="7"/>
      <c r="P765" s="2" t="s">
        <v>6121</v>
      </c>
      <c r="Q765" s="7"/>
      <c r="R765" s="1"/>
      <c r="S765" s="1" t="str">
        <f>"6-22/NOS-110/19"</f>
        <v>6-22/NOS-110/19</v>
      </c>
      <c r="T765" s="1" t="s">
        <v>32</v>
      </c>
    </row>
    <row r="766" spans="1:20" ht="51" x14ac:dyDescent="0.25">
      <c r="A766" s="6">
        <v>763</v>
      </c>
      <c r="B766" s="1" t="str">
        <f t="shared" si="69"/>
        <v>2019-2382</v>
      </c>
      <c r="C766" s="1" t="s">
        <v>1114</v>
      </c>
      <c r="D766" s="1" t="s">
        <v>1116</v>
      </c>
      <c r="E766" s="1" t="str">
        <f>""</f>
        <v/>
      </c>
      <c r="F766" s="1" t="s">
        <v>28</v>
      </c>
      <c r="G766" s="1" t="str">
        <f t="shared" si="70"/>
        <v>AUTOMEHANIKA D.D., KOVINSKA 4, 10000 ZAGREB, OIB: 5223317126</v>
      </c>
      <c r="H766" s="7"/>
      <c r="I766" s="8" t="s">
        <v>258</v>
      </c>
      <c r="J766" s="8" t="s">
        <v>519</v>
      </c>
      <c r="K766" s="6" t="str">
        <f>"6.888,71"</f>
        <v>6.888,71</v>
      </c>
      <c r="L766" s="6" t="str">
        <f>"1.722,18"</f>
        <v>1.722,18</v>
      </c>
      <c r="M766" s="6" t="str">
        <f>"8.610,89"</f>
        <v>8.610,89</v>
      </c>
      <c r="N766" s="8" t="s">
        <v>259</v>
      </c>
      <c r="O766" s="7"/>
      <c r="P766" s="2" t="s">
        <v>6122</v>
      </c>
      <c r="Q766" s="7"/>
      <c r="R766" s="1"/>
      <c r="S766" s="1" t="str">
        <f>"19-22/NOS-110/19"</f>
        <v>19-22/NOS-110/19</v>
      </c>
      <c r="T766" s="1" t="s">
        <v>32</v>
      </c>
    </row>
    <row r="767" spans="1:20" ht="51" x14ac:dyDescent="0.25">
      <c r="A767" s="6">
        <v>764</v>
      </c>
      <c r="B767" s="1" t="str">
        <f t="shared" si="69"/>
        <v>2019-2382</v>
      </c>
      <c r="C767" s="1" t="s">
        <v>1114</v>
      </c>
      <c r="D767" s="1" t="s">
        <v>1116</v>
      </c>
      <c r="E767" s="1" t="str">
        <f>""</f>
        <v/>
      </c>
      <c r="F767" s="1" t="s">
        <v>28</v>
      </c>
      <c r="G767" s="1" t="str">
        <f t="shared" si="70"/>
        <v>AUTOMEHANIKA D.D., KOVINSKA 4, 10000 ZAGREB, OIB: 5223317126</v>
      </c>
      <c r="H767" s="7"/>
      <c r="I767" s="8" t="s">
        <v>127</v>
      </c>
      <c r="J767" s="8" t="s">
        <v>519</v>
      </c>
      <c r="K767" s="6" t="str">
        <f>"4.224,41"</f>
        <v>4.224,41</v>
      </c>
      <c r="L767" s="6" t="str">
        <f>"491,47"</f>
        <v>491,47</v>
      </c>
      <c r="M767" s="6" t="str">
        <f>"4.715,88"</f>
        <v>4.715,88</v>
      </c>
      <c r="N767" s="8" t="s">
        <v>919</v>
      </c>
      <c r="O767" s="7"/>
      <c r="P767" s="2" t="s">
        <v>6123</v>
      </c>
      <c r="Q767" s="7"/>
      <c r="R767" s="1"/>
      <c r="S767" s="1" t="str">
        <f>"30-22/NOS-110/19"</f>
        <v>30-22/NOS-110/19</v>
      </c>
      <c r="T767" s="1" t="s">
        <v>32</v>
      </c>
    </row>
    <row r="768" spans="1:20" ht="51" x14ac:dyDescent="0.25">
      <c r="A768" s="6">
        <v>765</v>
      </c>
      <c r="B768" s="1" t="str">
        <f t="shared" si="69"/>
        <v>2019-2382</v>
      </c>
      <c r="C768" s="1" t="s">
        <v>1114</v>
      </c>
      <c r="D768" s="1" t="s">
        <v>1116</v>
      </c>
      <c r="E768" s="1" t="str">
        <f>""</f>
        <v/>
      </c>
      <c r="F768" s="1" t="s">
        <v>28</v>
      </c>
      <c r="G768" s="1" t="str">
        <f t="shared" si="70"/>
        <v>AUTOMEHANIKA D.D., KOVINSKA 4, 10000 ZAGREB, OIB: 5223317126</v>
      </c>
      <c r="H768" s="7"/>
      <c r="I768" s="8" t="s">
        <v>127</v>
      </c>
      <c r="J768" s="8" t="s">
        <v>519</v>
      </c>
      <c r="K768" s="6" t="str">
        <f>"3.145,22"</f>
        <v>3.145,22</v>
      </c>
      <c r="L768" s="6" t="str">
        <f>"786,31"</f>
        <v>786,31</v>
      </c>
      <c r="M768" s="6" t="str">
        <f>"3.931,53"</f>
        <v>3.931,53</v>
      </c>
      <c r="N768" s="8" t="s">
        <v>345</v>
      </c>
      <c r="O768" s="7"/>
      <c r="P768" s="2" t="s">
        <v>6124</v>
      </c>
      <c r="Q768" s="7"/>
      <c r="R768" s="1"/>
      <c r="S768" s="1" t="str">
        <f>"31-22/NOS-110/19"</f>
        <v>31-22/NOS-110/19</v>
      </c>
      <c r="T768" s="1" t="s">
        <v>32</v>
      </c>
    </row>
    <row r="769" spans="1:20" ht="51" x14ac:dyDescent="0.25">
      <c r="A769" s="6">
        <v>766</v>
      </c>
      <c r="B769" s="1" t="str">
        <f t="shared" si="69"/>
        <v>2019-2382</v>
      </c>
      <c r="C769" s="1" t="s">
        <v>1114</v>
      </c>
      <c r="D769" s="1" t="s">
        <v>1116</v>
      </c>
      <c r="E769" s="1" t="str">
        <f>""</f>
        <v/>
      </c>
      <c r="F769" s="1" t="s">
        <v>28</v>
      </c>
      <c r="G769" s="1" t="str">
        <f t="shared" si="70"/>
        <v>AUTOMEHANIKA D.D., KOVINSKA 4, 10000 ZAGREB, OIB: 5223317126</v>
      </c>
      <c r="H769" s="7"/>
      <c r="I769" s="8" t="s">
        <v>127</v>
      </c>
      <c r="J769" s="8" t="s">
        <v>519</v>
      </c>
      <c r="K769" s="6" t="str">
        <f>"9.622,34"</f>
        <v>9.622,34</v>
      </c>
      <c r="L769" s="6" t="str">
        <f>"2.405,59"</f>
        <v>2.405,59</v>
      </c>
      <c r="M769" s="6" t="str">
        <f>"12.027,93"</f>
        <v>12.027,93</v>
      </c>
      <c r="N769" s="8" t="s">
        <v>939</v>
      </c>
      <c r="O769" s="7"/>
      <c r="P769" s="2" t="s">
        <v>6125</v>
      </c>
      <c r="Q769" s="7"/>
      <c r="R769" s="1"/>
      <c r="S769" s="1" t="str">
        <f>"7-22/NOS-110/19"</f>
        <v>7-22/NOS-110/19</v>
      </c>
      <c r="T769" s="1" t="s">
        <v>32</v>
      </c>
    </row>
    <row r="770" spans="1:20" ht="51" x14ac:dyDescent="0.25">
      <c r="A770" s="6">
        <v>767</v>
      </c>
      <c r="B770" s="1" t="str">
        <f t="shared" si="69"/>
        <v>2019-2382</v>
      </c>
      <c r="C770" s="1" t="s">
        <v>1114</v>
      </c>
      <c r="D770" s="1" t="s">
        <v>1116</v>
      </c>
      <c r="E770" s="1" t="str">
        <f>""</f>
        <v/>
      </c>
      <c r="F770" s="1" t="s">
        <v>28</v>
      </c>
      <c r="G770" s="1" t="str">
        <f t="shared" si="70"/>
        <v>AUTOMEHANIKA D.D., KOVINSKA 4, 10000 ZAGREB, OIB: 5223317126</v>
      </c>
      <c r="H770" s="7"/>
      <c r="I770" s="8" t="s">
        <v>127</v>
      </c>
      <c r="J770" s="8" t="s">
        <v>519</v>
      </c>
      <c r="K770" s="6" t="str">
        <f>"2.614,30"</f>
        <v>2.614,30</v>
      </c>
      <c r="L770" s="6" t="str">
        <f>"586,36"</f>
        <v>586,36</v>
      </c>
      <c r="M770" s="6" t="str">
        <f>"3.200,66"</f>
        <v>3.200,66</v>
      </c>
      <c r="N770" s="8" t="s">
        <v>345</v>
      </c>
      <c r="O770" s="7"/>
      <c r="P770" s="2" t="s">
        <v>6126</v>
      </c>
      <c r="Q770" s="7"/>
      <c r="R770" s="1"/>
      <c r="S770" s="1" t="str">
        <f>"27-22/NOS-110/19"</f>
        <v>27-22/NOS-110/19</v>
      </c>
      <c r="T770" s="1" t="s">
        <v>32</v>
      </c>
    </row>
    <row r="771" spans="1:20" ht="51" x14ac:dyDescent="0.25">
      <c r="A771" s="6">
        <v>768</v>
      </c>
      <c r="B771" s="1" t="str">
        <f t="shared" si="69"/>
        <v>2019-2382</v>
      </c>
      <c r="C771" s="1" t="s">
        <v>1114</v>
      </c>
      <c r="D771" s="1" t="s">
        <v>1116</v>
      </c>
      <c r="E771" s="1" t="str">
        <f>""</f>
        <v/>
      </c>
      <c r="F771" s="1" t="s">
        <v>28</v>
      </c>
      <c r="G771" s="1" t="str">
        <f t="shared" si="70"/>
        <v>AUTOMEHANIKA D.D., KOVINSKA 4, 10000 ZAGREB, OIB: 5223317126</v>
      </c>
      <c r="H771" s="7"/>
      <c r="I771" s="8" t="s">
        <v>127</v>
      </c>
      <c r="J771" s="8" t="s">
        <v>519</v>
      </c>
      <c r="K771" s="6" t="str">
        <f>"1.826,80"</f>
        <v>1.826,80</v>
      </c>
      <c r="L771" s="6" t="str">
        <f>"456,70"</f>
        <v>456,70</v>
      </c>
      <c r="M771" s="6" t="str">
        <f>"2.283,50"</f>
        <v>2.283,50</v>
      </c>
      <c r="N771" s="8" t="s">
        <v>345</v>
      </c>
      <c r="O771" s="7"/>
      <c r="P771" s="2" t="s">
        <v>6127</v>
      </c>
      <c r="Q771" s="7"/>
      <c r="R771" s="1"/>
      <c r="S771" s="1" t="str">
        <f>"26-22/NOS-110/19"</f>
        <v>26-22/NOS-110/19</v>
      </c>
      <c r="T771" s="1" t="s">
        <v>32</v>
      </c>
    </row>
    <row r="772" spans="1:20" ht="51" x14ac:dyDescent="0.25">
      <c r="A772" s="6">
        <v>769</v>
      </c>
      <c r="B772" s="1" t="str">
        <f t="shared" si="69"/>
        <v>2019-2382</v>
      </c>
      <c r="C772" s="1" t="s">
        <v>1114</v>
      </c>
      <c r="D772" s="1" t="s">
        <v>1116</v>
      </c>
      <c r="E772" s="1" t="str">
        <f>""</f>
        <v/>
      </c>
      <c r="F772" s="1" t="s">
        <v>28</v>
      </c>
      <c r="G772" s="1" t="str">
        <f t="shared" si="70"/>
        <v>AUTOMEHANIKA D.D., KOVINSKA 4, 10000 ZAGREB, OIB: 5223317126</v>
      </c>
      <c r="H772" s="7"/>
      <c r="I772" s="8" t="s">
        <v>398</v>
      </c>
      <c r="J772" s="8" t="s">
        <v>519</v>
      </c>
      <c r="K772" s="6" t="str">
        <f>"11.387,23"</f>
        <v>11.387,23</v>
      </c>
      <c r="L772" s="6" t="str">
        <f>"2.846,81"</f>
        <v>2.846,81</v>
      </c>
      <c r="M772" s="6" t="str">
        <f>"14.234,04"</f>
        <v>14.234,04</v>
      </c>
      <c r="N772" s="8" t="s">
        <v>345</v>
      </c>
      <c r="O772" s="7"/>
      <c r="P772" s="2" t="s">
        <v>6128</v>
      </c>
      <c r="Q772" s="7"/>
      <c r="R772" s="1"/>
      <c r="S772" s="1" t="str">
        <f>"29-22/NOS-110/19"</f>
        <v>29-22/NOS-110/19</v>
      </c>
      <c r="T772" s="1" t="s">
        <v>32</v>
      </c>
    </row>
    <row r="773" spans="1:20" ht="51" x14ac:dyDescent="0.25">
      <c r="A773" s="6">
        <v>770</v>
      </c>
      <c r="B773" s="1" t="str">
        <f t="shared" si="69"/>
        <v>2019-2382</v>
      </c>
      <c r="C773" s="1" t="s">
        <v>1114</v>
      </c>
      <c r="D773" s="1" t="s">
        <v>1116</v>
      </c>
      <c r="E773" s="1" t="str">
        <f>""</f>
        <v/>
      </c>
      <c r="F773" s="1" t="s">
        <v>28</v>
      </c>
      <c r="G773" s="1" t="str">
        <f t="shared" si="70"/>
        <v>AUTOMEHANIKA D.D., KOVINSKA 4, 10000 ZAGREB, OIB: 5223317126</v>
      </c>
      <c r="H773" s="7"/>
      <c r="I773" s="8" t="s">
        <v>398</v>
      </c>
      <c r="J773" s="8" t="s">
        <v>519</v>
      </c>
      <c r="K773" s="6" t="str">
        <f>"3.987,10"</f>
        <v>3.987,10</v>
      </c>
      <c r="L773" s="6" t="str">
        <f>"996,78"</f>
        <v>996,78</v>
      </c>
      <c r="M773" s="6" t="str">
        <f>"4.983,88"</f>
        <v>4.983,88</v>
      </c>
      <c r="N773" s="8" t="s">
        <v>345</v>
      </c>
      <c r="O773" s="7"/>
      <c r="P773" s="2" t="s">
        <v>6129</v>
      </c>
      <c r="Q773" s="7"/>
      <c r="R773" s="1"/>
      <c r="S773" s="1" t="str">
        <f>"21-22/NOS-110/19"</f>
        <v>21-22/NOS-110/19</v>
      </c>
      <c r="T773" s="1" t="s">
        <v>32</v>
      </c>
    </row>
    <row r="774" spans="1:20" ht="51" x14ac:dyDescent="0.25">
      <c r="A774" s="6">
        <v>771</v>
      </c>
      <c r="B774" s="1" t="str">
        <f t="shared" si="69"/>
        <v>2019-2382</v>
      </c>
      <c r="C774" s="1" t="s">
        <v>1114</v>
      </c>
      <c r="D774" s="1" t="s">
        <v>1116</v>
      </c>
      <c r="E774" s="1" t="str">
        <f>""</f>
        <v/>
      </c>
      <c r="F774" s="1" t="s">
        <v>28</v>
      </c>
      <c r="G774" s="1" t="str">
        <f t="shared" si="70"/>
        <v>AUTOMEHANIKA D.D., KOVINSKA 4, 10000 ZAGREB, OIB: 5223317126</v>
      </c>
      <c r="H774" s="7"/>
      <c r="I774" s="8" t="s">
        <v>398</v>
      </c>
      <c r="J774" s="8" t="s">
        <v>519</v>
      </c>
      <c r="K774" s="6" t="str">
        <f>"2.275,44"</f>
        <v>2.275,44</v>
      </c>
      <c r="L774" s="6" t="str">
        <f>"568,86"</f>
        <v>568,86</v>
      </c>
      <c r="M774" s="6" t="str">
        <f>"2.844,30"</f>
        <v>2.844,30</v>
      </c>
      <c r="N774" s="8" t="s">
        <v>345</v>
      </c>
      <c r="O774" s="7"/>
      <c r="P774" s="2" t="s">
        <v>6130</v>
      </c>
      <c r="Q774" s="7"/>
      <c r="R774" s="1"/>
      <c r="S774" s="1" t="str">
        <f>"22-22/NOS-110/19"</f>
        <v>22-22/NOS-110/19</v>
      </c>
      <c r="T774" s="1" t="s">
        <v>32</v>
      </c>
    </row>
    <row r="775" spans="1:20" ht="51" x14ac:dyDescent="0.25">
      <c r="A775" s="6">
        <v>772</v>
      </c>
      <c r="B775" s="1" t="str">
        <f t="shared" si="69"/>
        <v>2019-2382</v>
      </c>
      <c r="C775" s="1" t="s">
        <v>1114</v>
      </c>
      <c r="D775" s="1" t="s">
        <v>1116</v>
      </c>
      <c r="E775" s="1" t="str">
        <f>""</f>
        <v/>
      </c>
      <c r="F775" s="1" t="s">
        <v>28</v>
      </c>
      <c r="G775" s="1" t="str">
        <f t="shared" si="70"/>
        <v>AUTOMEHANIKA D.D., KOVINSKA 4, 10000 ZAGREB, OIB: 5223317126</v>
      </c>
      <c r="H775" s="7"/>
      <c r="I775" s="8" t="s">
        <v>918</v>
      </c>
      <c r="J775" s="8" t="s">
        <v>519</v>
      </c>
      <c r="K775" s="6" t="str">
        <f>"21.133,96"</f>
        <v>21.133,96</v>
      </c>
      <c r="L775" s="6" t="str">
        <f>"5.283,49"</f>
        <v>5.283,49</v>
      </c>
      <c r="M775" s="6" t="str">
        <f>"26.417,45"</f>
        <v>26.417,45</v>
      </c>
      <c r="N775" s="8" t="s">
        <v>400</v>
      </c>
      <c r="O775" s="7"/>
      <c r="P775" s="2" t="s">
        <v>6131</v>
      </c>
      <c r="Q775" s="7"/>
      <c r="R775" s="1"/>
      <c r="S775" s="1" t="str">
        <f>"25-22/NOS-110/19"</f>
        <v>25-22/NOS-110/19</v>
      </c>
      <c r="T775" s="1" t="s">
        <v>32</v>
      </c>
    </row>
    <row r="776" spans="1:20" ht="51" x14ac:dyDescent="0.25">
      <c r="A776" s="6">
        <v>773</v>
      </c>
      <c r="B776" s="1" t="str">
        <f t="shared" si="69"/>
        <v>2019-2382</v>
      </c>
      <c r="C776" s="1" t="s">
        <v>1114</v>
      </c>
      <c r="D776" s="1" t="s">
        <v>1116</v>
      </c>
      <c r="E776" s="1" t="str">
        <f>""</f>
        <v/>
      </c>
      <c r="F776" s="1" t="s">
        <v>28</v>
      </c>
      <c r="G776" s="1" t="str">
        <f t="shared" si="70"/>
        <v>AUTOMEHANIKA D.D., KOVINSKA 4, 10000 ZAGREB, OIB: 5223317126</v>
      </c>
      <c r="H776" s="7"/>
      <c r="I776" s="8" t="s">
        <v>918</v>
      </c>
      <c r="J776" s="8" t="s">
        <v>519</v>
      </c>
      <c r="K776" s="6" t="str">
        <f>"209.028,64"</f>
        <v>209.028,64</v>
      </c>
      <c r="L776" s="6" t="str">
        <f>"50.865,30"</f>
        <v>50.865,30</v>
      </c>
      <c r="M776" s="6" t="str">
        <f>"259.893,94"</f>
        <v>259.893,94</v>
      </c>
      <c r="N776" s="8" t="s">
        <v>404</v>
      </c>
      <c r="O776" s="7"/>
      <c r="P776" s="2" t="s">
        <v>6132</v>
      </c>
      <c r="Q776" s="7"/>
      <c r="R776" s="1"/>
      <c r="S776" s="1" t="str">
        <f>"28-22/NOS-110/19"</f>
        <v>28-22/NOS-110/19</v>
      </c>
      <c r="T776" s="1" t="s">
        <v>32</v>
      </c>
    </row>
    <row r="777" spans="1:20" ht="51" x14ac:dyDescent="0.25">
      <c r="A777" s="6">
        <v>774</v>
      </c>
      <c r="B777" s="1" t="str">
        <f t="shared" si="69"/>
        <v>2019-2382</v>
      </c>
      <c r="C777" s="1" t="s">
        <v>1114</v>
      </c>
      <c r="D777" s="1" t="s">
        <v>1116</v>
      </c>
      <c r="E777" s="1" t="str">
        <f>""</f>
        <v/>
      </c>
      <c r="F777" s="1" t="s">
        <v>28</v>
      </c>
      <c r="G777" s="1" t="str">
        <f t="shared" si="70"/>
        <v>AUTOMEHANIKA D.D., KOVINSKA 4, 10000 ZAGREB, OIB: 5223317126</v>
      </c>
      <c r="H777" s="7"/>
      <c r="I777" s="8" t="s">
        <v>259</v>
      </c>
      <c r="J777" s="8" t="s">
        <v>519</v>
      </c>
      <c r="K777" s="6" t="str">
        <f>"4.054,47"</f>
        <v>4.054,47</v>
      </c>
      <c r="L777" s="6" t="str">
        <f>"1.013,62"</f>
        <v>1.013,62</v>
      </c>
      <c r="M777" s="6" t="str">
        <f>"5.068,09"</f>
        <v>5.068,09</v>
      </c>
      <c r="N777" s="8" t="s">
        <v>939</v>
      </c>
      <c r="O777" s="7"/>
      <c r="P777" s="2" t="s">
        <v>6133</v>
      </c>
      <c r="Q777" s="7"/>
      <c r="R777" s="1"/>
      <c r="S777" s="1" t="str">
        <f>"8-22/NOS-110/19"</f>
        <v>8-22/NOS-110/19</v>
      </c>
      <c r="T777" s="1" t="s">
        <v>32</v>
      </c>
    </row>
    <row r="778" spans="1:20" ht="51" x14ac:dyDescent="0.25">
      <c r="A778" s="6">
        <v>775</v>
      </c>
      <c r="B778" s="1" t="str">
        <f t="shared" si="69"/>
        <v>2019-2382</v>
      </c>
      <c r="C778" s="1" t="s">
        <v>1114</v>
      </c>
      <c r="D778" s="1" t="s">
        <v>1116</v>
      </c>
      <c r="E778" s="1" t="str">
        <f>""</f>
        <v/>
      </c>
      <c r="F778" s="1" t="s">
        <v>28</v>
      </c>
      <c r="G778" s="1" t="str">
        <f t="shared" si="70"/>
        <v>AUTOMEHANIKA D.D., KOVINSKA 4, 10000 ZAGREB, OIB: 5223317126</v>
      </c>
      <c r="H778" s="7"/>
      <c r="I778" s="8" t="s">
        <v>259</v>
      </c>
      <c r="J778" s="8" t="s">
        <v>519</v>
      </c>
      <c r="K778" s="6" t="str">
        <f>"172,90"</f>
        <v>172,90</v>
      </c>
      <c r="L778" s="6" t="str">
        <f>"43,23"</f>
        <v>43,23</v>
      </c>
      <c r="M778" s="6" t="str">
        <f>"216,13"</f>
        <v>216,13</v>
      </c>
      <c r="N778" s="8" t="s">
        <v>371</v>
      </c>
      <c r="O778" s="7"/>
      <c r="P778" s="2" t="s">
        <v>6134</v>
      </c>
      <c r="Q778" s="7"/>
      <c r="R778" s="1"/>
      <c r="S778" s="1" t="str">
        <f>"33-22/NOS-110/19"</f>
        <v>33-22/NOS-110/19</v>
      </c>
      <c r="T778" s="1" t="s">
        <v>32</v>
      </c>
    </row>
    <row r="779" spans="1:20" ht="51" x14ac:dyDescent="0.25">
      <c r="A779" s="6">
        <v>776</v>
      </c>
      <c r="B779" s="1" t="str">
        <f t="shared" si="69"/>
        <v>2019-2382</v>
      </c>
      <c r="C779" s="1" t="s">
        <v>1114</v>
      </c>
      <c r="D779" s="1" t="s">
        <v>1116</v>
      </c>
      <c r="E779" s="1" t="str">
        <f>""</f>
        <v/>
      </c>
      <c r="F779" s="1" t="s">
        <v>28</v>
      </c>
      <c r="G779" s="1" t="str">
        <f t="shared" si="70"/>
        <v>AUTOMEHANIKA D.D., KOVINSKA 4, 10000 ZAGREB, OIB: 5223317126</v>
      </c>
      <c r="H779" s="7"/>
      <c r="I779" s="8" t="s">
        <v>259</v>
      </c>
      <c r="J779" s="8" t="s">
        <v>519</v>
      </c>
      <c r="K779" s="6" t="str">
        <f>"1.191,16"</f>
        <v>1.191,16</v>
      </c>
      <c r="L779" s="6" t="str">
        <f>"297,79"</f>
        <v>297,79</v>
      </c>
      <c r="M779" s="6" t="str">
        <f>"1.488,95"</f>
        <v>1.488,95</v>
      </c>
      <c r="N779" s="8" t="s">
        <v>296</v>
      </c>
      <c r="O779" s="7"/>
      <c r="P779" s="2" t="s">
        <v>6135</v>
      </c>
      <c r="Q779" s="7"/>
      <c r="R779" s="1"/>
      <c r="S779" s="1" t="str">
        <f>"32-22/NOS-110/19"</f>
        <v>32-22/NOS-110/19</v>
      </c>
      <c r="T779" s="1" t="s">
        <v>32</v>
      </c>
    </row>
    <row r="780" spans="1:20" ht="51" x14ac:dyDescent="0.25">
      <c r="A780" s="6">
        <v>777</v>
      </c>
      <c r="B780" s="1" t="str">
        <f t="shared" si="69"/>
        <v>2019-2382</v>
      </c>
      <c r="C780" s="1" t="s">
        <v>1114</v>
      </c>
      <c r="D780" s="1" t="s">
        <v>1116</v>
      </c>
      <c r="E780" s="1" t="str">
        <f>""</f>
        <v/>
      </c>
      <c r="F780" s="1" t="s">
        <v>28</v>
      </c>
      <c r="G780" s="1" t="str">
        <f t="shared" si="70"/>
        <v>AUTOMEHANIKA D.D., KOVINSKA 4, 10000 ZAGREB, OIB: 5223317126</v>
      </c>
      <c r="H780" s="7"/>
      <c r="I780" s="8" t="s">
        <v>259</v>
      </c>
      <c r="J780" s="8" t="s">
        <v>519</v>
      </c>
      <c r="K780" s="6" t="str">
        <f>"29.279,98"</f>
        <v>29.279,98</v>
      </c>
      <c r="L780" s="6" t="str">
        <f>"7.320,00"</f>
        <v>7.320,00</v>
      </c>
      <c r="M780" s="6" t="str">
        <f>"36.599,98"</f>
        <v>36.599,98</v>
      </c>
      <c r="N780" s="8" t="s">
        <v>521</v>
      </c>
      <c r="O780" s="7"/>
      <c r="P780" s="2" t="s">
        <v>6136</v>
      </c>
      <c r="Q780" s="7"/>
      <c r="R780" s="1"/>
      <c r="S780" s="1" t="str">
        <f>"23-22/NOS-110/19"</f>
        <v>23-22/NOS-110/19</v>
      </c>
      <c r="T780" s="1" t="s">
        <v>32</v>
      </c>
    </row>
    <row r="781" spans="1:20" ht="51" x14ac:dyDescent="0.25">
      <c r="A781" s="6">
        <v>778</v>
      </c>
      <c r="B781" s="1" t="str">
        <f t="shared" si="69"/>
        <v>2019-2382</v>
      </c>
      <c r="C781" s="1" t="s">
        <v>1114</v>
      </c>
      <c r="D781" s="1" t="s">
        <v>1116</v>
      </c>
      <c r="E781" s="1" t="str">
        <f>""</f>
        <v/>
      </c>
      <c r="F781" s="1" t="s">
        <v>28</v>
      </c>
      <c r="G781" s="1" t="str">
        <f t="shared" si="70"/>
        <v>AUTOMEHANIKA D.D., KOVINSKA 4, 10000 ZAGREB, OIB: 5223317126</v>
      </c>
      <c r="H781" s="7"/>
      <c r="I781" s="8" t="s">
        <v>345</v>
      </c>
      <c r="J781" s="8" t="s">
        <v>519</v>
      </c>
      <c r="K781" s="6" t="str">
        <f>"717,80"</f>
        <v>717,80</v>
      </c>
      <c r="L781" s="6" t="str">
        <f>"179,45"</f>
        <v>179,45</v>
      </c>
      <c r="M781" s="6" t="str">
        <f>"897,25"</f>
        <v>897,25</v>
      </c>
      <c r="N781" s="8" t="s">
        <v>855</v>
      </c>
      <c r="O781" s="7"/>
      <c r="P781" s="2" t="s">
        <v>6137</v>
      </c>
      <c r="Q781" s="7"/>
      <c r="R781" s="1"/>
      <c r="S781" s="1" t="str">
        <f>"38-22/NOS-110/19"</f>
        <v>38-22/NOS-110/19</v>
      </c>
      <c r="T781" s="1" t="s">
        <v>32</v>
      </c>
    </row>
    <row r="782" spans="1:20" ht="51" x14ac:dyDescent="0.25">
      <c r="A782" s="6">
        <v>779</v>
      </c>
      <c r="B782" s="1" t="str">
        <f t="shared" si="69"/>
        <v>2019-2382</v>
      </c>
      <c r="C782" s="1" t="s">
        <v>1114</v>
      </c>
      <c r="D782" s="1" t="s">
        <v>1116</v>
      </c>
      <c r="E782" s="1" t="str">
        <f>""</f>
        <v/>
      </c>
      <c r="F782" s="1" t="s">
        <v>28</v>
      </c>
      <c r="G782" s="1" t="str">
        <f t="shared" si="70"/>
        <v>AUTOMEHANIKA D.D., KOVINSKA 4, 10000 ZAGREB, OIB: 5223317126</v>
      </c>
      <c r="H782" s="7"/>
      <c r="I782" s="8" t="s">
        <v>345</v>
      </c>
      <c r="J782" s="8" t="s">
        <v>519</v>
      </c>
      <c r="K782" s="6" t="str">
        <f>"4.178,08"</f>
        <v>4.178,08</v>
      </c>
      <c r="L782" s="6" t="str">
        <f>"1.044,52"</f>
        <v>1.044,52</v>
      </c>
      <c r="M782" s="6" t="str">
        <f>"5.222,60"</f>
        <v>5.222,60</v>
      </c>
      <c r="N782" s="8" t="s">
        <v>296</v>
      </c>
      <c r="O782" s="7"/>
      <c r="P782" s="2" t="s">
        <v>6138</v>
      </c>
      <c r="Q782" s="7"/>
      <c r="R782" s="1"/>
      <c r="S782" s="1" t="str">
        <f>"37-22/NOS-110/19"</f>
        <v>37-22/NOS-110/19</v>
      </c>
      <c r="T782" s="1" t="s">
        <v>32</v>
      </c>
    </row>
    <row r="783" spans="1:20" ht="51" x14ac:dyDescent="0.25">
      <c r="A783" s="6">
        <v>780</v>
      </c>
      <c r="B783" s="1" t="str">
        <f t="shared" ref="B783:B814" si="71">"2019-2382"</f>
        <v>2019-2382</v>
      </c>
      <c r="C783" s="1" t="s">
        <v>1114</v>
      </c>
      <c r="D783" s="1" t="s">
        <v>1116</v>
      </c>
      <c r="E783" s="1" t="str">
        <f>""</f>
        <v/>
      </c>
      <c r="F783" s="1" t="s">
        <v>28</v>
      </c>
      <c r="G783" s="1" t="str">
        <f t="shared" si="70"/>
        <v>AUTOMEHANIKA D.D., KOVINSKA 4, 10000 ZAGREB, OIB: 5223317126</v>
      </c>
      <c r="H783" s="7"/>
      <c r="I783" s="8" t="s">
        <v>345</v>
      </c>
      <c r="J783" s="8" t="s">
        <v>519</v>
      </c>
      <c r="K783" s="6" t="str">
        <f>"662,17"</f>
        <v>662,17</v>
      </c>
      <c r="L783" s="6" t="str">
        <f>"165,54"</f>
        <v>165,54</v>
      </c>
      <c r="M783" s="6" t="str">
        <f>"827,71"</f>
        <v>827,71</v>
      </c>
      <c r="N783" s="8" t="s">
        <v>296</v>
      </c>
      <c r="O783" s="7"/>
      <c r="P783" s="2" t="s">
        <v>6139</v>
      </c>
      <c r="Q783" s="7"/>
      <c r="R783" s="1"/>
      <c r="S783" s="1" t="str">
        <f>"39-22/NOS-110/19"</f>
        <v>39-22/NOS-110/19</v>
      </c>
      <c r="T783" s="1" t="s">
        <v>32</v>
      </c>
    </row>
    <row r="784" spans="1:20" ht="51" x14ac:dyDescent="0.25">
      <c r="A784" s="6">
        <v>781</v>
      </c>
      <c r="B784" s="1" t="str">
        <f t="shared" si="71"/>
        <v>2019-2382</v>
      </c>
      <c r="C784" s="1" t="s">
        <v>1114</v>
      </c>
      <c r="D784" s="1" t="s">
        <v>1116</v>
      </c>
      <c r="E784" s="1" t="str">
        <f>""</f>
        <v/>
      </c>
      <c r="F784" s="1" t="s">
        <v>28</v>
      </c>
      <c r="G784" s="1" t="str">
        <f t="shared" ref="G784:G815" si="72">CONCATENATE("AUTOMEHANIKA D.D.,"," KOVINSKA 4,"," 10000 ZAGREB,"," OIB: 5223317126")</f>
        <v>AUTOMEHANIKA D.D., KOVINSKA 4, 10000 ZAGREB, OIB: 5223317126</v>
      </c>
      <c r="H784" s="7"/>
      <c r="I784" s="8" t="s">
        <v>345</v>
      </c>
      <c r="J784" s="8" t="s">
        <v>519</v>
      </c>
      <c r="K784" s="6" t="str">
        <f>"5.880,69"</f>
        <v>5.880,69</v>
      </c>
      <c r="L784" s="6" t="str">
        <f>"1.470,17"</f>
        <v>1.470,17</v>
      </c>
      <c r="M784" s="6" t="str">
        <f>"7.350,86"</f>
        <v>7.350,86</v>
      </c>
      <c r="N784" s="8" t="s">
        <v>855</v>
      </c>
      <c r="O784" s="7"/>
      <c r="P784" s="2" t="s">
        <v>6140</v>
      </c>
      <c r="Q784" s="7"/>
      <c r="R784" s="1"/>
      <c r="S784" s="1" t="str">
        <f>"35-22/NOS-110/19"</f>
        <v>35-22/NOS-110/19</v>
      </c>
      <c r="T784" s="1" t="s">
        <v>32</v>
      </c>
    </row>
    <row r="785" spans="1:20" ht="51" x14ac:dyDescent="0.25">
      <c r="A785" s="6">
        <v>782</v>
      </c>
      <c r="B785" s="1" t="str">
        <f t="shared" si="71"/>
        <v>2019-2382</v>
      </c>
      <c r="C785" s="1" t="s">
        <v>1114</v>
      </c>
      <c r="D785" s="1" t="s">
        <v>1116</v>
      </c>
      <c r="E785" s="1" t="str">
        <f>""</f>
        <v/>
      </c>
      <c r="F785" s="1" t="s">
        <v>28</v>
      </c>
      <c r="G785" s="1" t="str">
        <f t="shared" si="72"/>
        <v>AUTOMEHANIKA D.D., KOVINSKA 4, 10000 ZAGREB, OIB: 5223317126</v>
      </c>
      <c r="H785" s="7"/>
      <c r="I785" s="8" t="s">
        <v>1119</v>
      </c>
      <c r="J785" s="8" t="s">
        <v>519</v>
      </c>
      <c r="K785" s="6" t="str">
        <f>"2.221,03"</f>
        <v>2.221,03</v>
      </c>
      <c r="L785" s="6" t="str">
        <f>"555,26"</f>
        <v>555,26</v>
      </c>
      <c r="M785" s="6" t="str">
        <f>"2.776,29"</f>
        <v>2.776,29</v>
      </c>
      <c r="N785" s="8" t="s">
        <v>919</v>
      </c>
      <c r="O785" s="7"/>
      <c r="P785" s="2" t="s">
        <v>6141</v>
      </c>
      <c r="Q785" s="7"/>
      <c r="R785" s="1"/>
      <c r="S785" s="1" t="str">
        <f>"34-22/NOS-110/19"</f>
        <v>34-22/NOS-110/19</v>
      </c>
      <c r="T785" s="1" t="s">
        <v>32</v>
      </c>
    </row>
    <row r="786" spans="1:20" ht="51" x14ac:dyDescent="0.25">
      <c r="A786" s="6">
        <v>783</v>
      </c>
      <c r="B786" s="1" t="str">
        <f t="shared" si="71"/>
        <v>2019-2382</v>
      </c>
      <c r="C786" s="1" t="s">
        <v>1114</v>
      </c>
      <c r="D786" s="1" t="s">
        <v>1116</v>
      </c>
      <c r="E786" s="1" t="str">
        <f>""</f>
        <v/>
      </c>
      <c r="F786" s="1" t="s">
        <v>28</v>
      </c>
      <c r="G786" s="1" t="str">
        <f t="shared" si="72"/>
        <v>AUTOMEHANIKA D.D., KOVINSKA 4, 10000 ZAGREB, OIB: 5223317126</v>
      </c>
      <c r="H786" s="7"/>
      <c r="I786" s="8" t="s">
        <v>400</v>
      </c>
      <c r="J786" s="8" t="s">
        <v>519</v>
      </c>
      <c r="K786" s="6" t="str">
        <f>"136,34"</f>
        <v>136,34</v>
      </c>
      <c r="L786" s="6" t="str">
        <f>"34,09"</f>
        <v>34,09</v>
      </c>
      <c r="M786" s="6" t="str">
        <f>"170,43"</f>
        <v>170,43</v>
      </c>
      <c r="N786" s="8" t="s">
        <v>919</v>
      </c>
      <c r="O786" s="7"/>
      <c r="P786" s="2" t="s">
        <v>6142</v>
      </c>
      <c r="Q786" s="7"/>
      <c r="R786" s="1"/>
      <c r="S786" s="1" t="str">
        <f>"47-22/NOS-110/19"</f>
        <v>47-22/NOS-110/19</v>
      </c>
      <c r="T786" s="1" t="s">
        <v>32</v>
      </c>
    </row>
    <row r="787" spans="1:20" ht="51" x14ac:dyDescent="0.25">
      <c r="A787" s="6">
        <v>784</v>
      </c>
      <c r="B787" s="1" t="str">
        <f t="shared" si="71"/>
        <v>2019-2382</v>
      </c>
      <c r="C787" s="1" t="s">
        <v>1114</v>
      </c>
      <c r="D787" s="1" t="s">
        <v>1116</v>
      </c>
      <c r="E787" s="1" t="str">
        <f>""</f>
        <v/>
      </c>
      <c r="F787" s="1" t="s">
        <v>28</v>
      </c>
      <c r="G787" s="1" t="str">
        <f t="shared" si="72"/>
        <v>AUTOMEHANIKA D.D., KOVINSKA 4, 10000 ZAGREB, OIB: 5223317126</v>
      </c>
      <c r="H787" s="7"/>
      <c r="I787" s="8" t="s">
        <v>400</v>
      </c>
      <c r="J787" s="8" t="s">
        <v>519</v>
      </c>
      <c r="K787" s="6" t="str">
        <f>"643,81"</f>
        <v>643,81</v>
      </c>
      <c r="L787" s="6" t="str">
        <f>"160,95"</f>
        <v>160,95</v>
      </c>
      <c r="M787" s="6" t="str">
        <f>"804,76"</f>
        <v>804,76</v>
      </c>
      <c r="N787" s="8" t="s">
        <v>919</v>
      </c>
      <c r="O787" s="7"/>
      <c r="P787" s="2" t="s">
        <v>6143</v>
      </c>
      <c r="Q787" s="7"/>
      <c r="R787" s="1"/>
      <c r="S787" s="1" t="str">
        <f>"48-22/NOS-110/19"</f>
        <v>48-22/NOS-110/19</v>
      </c>
      <c r="T787" s="1" t="s">
        <v>32</v>
      </c>
    </row>
    <row r="788" spans="1:20" ht="51" x14ac:dyDescent="0.25">
      <c r="A788" s="6">
        <v>785</v>
      </c>
      <c r="B788" s="1" t="str">
        <f t="shared" si="71"/>
        <v>2019-2382</v>
      </c>
      <c r="C788" s="1" t="s">
        <v>1114</v>
      </c>
      <c r="D788" s="1" t="s">
        <v>1116</v>
      </c>
      <c r="E788" s="1" t="str">
        <f>""</f>
        <v/>
      </c>
      <c r="F788" s="1" t="s">
        <v>28</v>
      </c>
      <c r="G788" s="1" t="str">
        <f t="shared" si="72"/>
        <v>AUTOMEHANIKA D.D., KOVINSKA 4, 10000 ZAGREB, OIB: 5223317126</v>
      </c>
      <c r="H788" s="7"/>
      <c r="I788" s="8" t="s">
        <v>400</v>
      </c>
      <c r="J788" s="8" t="s">
        <v>519</v>
      </c>
      <c r="K788" s="6" t="str">
        <f>"8.556,80"</f>
        <v>8.556,80</v>
      </c>
      <c r="L788" s="6" t="str">
        <f>"2.139,20"</f>
        <v>2.139,20</v>
      </c>
      <c r="M788" s="6" t="str">
        <f>"10.696,00"</f>
        <v>10.696,00</v>
      </c>
      <c r="N788" s="8" t="s">
        <v>260</v>
      </c>
      <c r="O788" s="7"/>
      <c r="P788" s="2" t="s">
        <v>6144</v>
      </c>
      <c r="Q788" s="7"/>
      <c r="R788" s="1"/>
      <c r="S788" s="1" t="str">
        <f>"44-22/NOS-110/19"</f>
        <v>44-22/NOS-110/19</v>
      </c>
      <c r="T788" s="1" t="s">
        <v>55</v>
      </c>
    </row>
    <row r="789" spans="1:20" ht="51" x14ac:dyDescent="0.25">
      <c r="A789" s="6">
        <v>786</v>
      </c>
      <c r="B789" s="1" t="str">
        <f t="shared" si="71"/>
        <v>2019-2382</v>
      </c>
      <c r="C789" s="1" t="s">
        <v>1114</v>
      </c>
      <c r="D789" s="1" t="s">
        <v>1116</v>
      </c>
      <c r="E789" s="1" t="str">
        <f>""</f>
        <v/>
      </c>
      <c r="F789" s="1" t="s">
        <v>28</v>
      </c>
      <c r="G789" s="1" t="str">
        <f t="shared" si="72"/>
        <v>AUTOMEHANIKA D.D., KOVINSKA 4, 10000 ZAGREB, OIB: 5223317126</v>
      </c>
      <c r="H789" s="7"/>
      <c r="I789" s="8" t="s">
        <v>400</v>
      </c>
      <c r="J789" s="8" t="s">
        <v>519</v>
      </c>
      <c r="K789" s="6" t="str">
        <f>"2.186,30"</f>
        <v>2.186,30</v>
      </c>
      <c r="L789" s="6" t="str">
        <f>"546,58"</f>
        <v>546,58</v>
      </c>
      <c r="M789" s="6" t="str">
        <f>"2.732,88"</f>
        <v>2.732,88</v>
      </c>
      <c r="N789" s="8" t="s">
        <v>923</v>
      </c>
      <c r="O789" s="7"/>
      <c r="P789" s="2" t="s">
        <v>6145</v>
      </c>
      <c r="Q789" s="7"/>
      <c r="R789" s="1"/>
      <c r="S789" s="1" t="str">
        <f>"9-22/NOS-110/19"</f>
        <v>9-22/NOS-110/19</v>
      </c>
      <c r="T789" s="1" t="s">
        <v>32</v>
      </c>
    </row>
    <row r="790" spans="1:20" ht="51" x14ac:dyDescent="0.25">
      <c r="A790" s="6">
        <v>787</v>
      </c>
      <c r="B790" s="1" t="str">
        <f t="shared" si="71"/>
        <v>2019-2382</v>
      </c>
      <c r="C790" s="1" t="s">
        <v>1114</v>
      </c>
      <c r="D790" s="1" t="s">
        <v>1116</v>
      </c>
      <c r="E790" s="1" t="str">
        <f>""</f>
        <v/>
      </c>
      <c r="F790" s="1" t="s">
        <v>28</v>
      </c>
      <c r="G790" s="1" t="str">
        <f t="shared" si="72"/>
        <v>AUTOMEHANIKA D.D., KOVINSKA 4, 10000 ZAGREB, OIB: 5223317126</v>
      </c>
      <c r="H790" s="7"/>
      <c r="I790" s="8" t="s">
        <v>400</v>
      </c>
      <c r="J790" s="8" t="s">
        <v>519</v>
      </c>
      <c r="K790" s="6" t="str">
        <f>"8.151,78"</f>
        <v>8.151,78</v>
      </c>
      <c r="L790" s="6" t="str">
        <f>"2.037,95"</f>
        <v>2.037,95</v>
      </c>
      <c r="M790" s="6" t="str">
        <f>"10.189,73"</f>
        <v>10.189,73</v>
      </c>
      <c r="N790" s="8" t="s">
        <v>923</v>
      </c>
      <c r="O790" s="7"/>
      <c r="P790" s="2" t="s">
        <v>6146</v>
      </c>
      <c r="Q790" s="7"/>
      <c r="R790" s="1"/>
      <c r="S790" s="1" t="str">
        <f>"10-22/NOS-110/19"</f>
        <v>10-22/NOS-110/19</v>
      </c>
      <c r="T790" s="1" t="s">
        <v>32</v>
      </c>
    </row>
    <row r="791" spans="1:20" ht="51" x14ac:dyDescent="0.25">
      <c r="A791" s="6">
        <v>788</v>
      </c>
      <c r="B791" s="1" t="str">
        <f t="shared" si="71"/>
        <v>2019-2382</v>
      </c>
      <c r="C791" s="1" t="s">
        <v>1114</v>
      </c>
      <c r="D791" s="1" t="s">
        <v>1116</v>
      </c>
      <c r="E791" s="1" t="str">
        <f>""</f>
        <v/>
      </c>
      <c r="F791" s="1" t="s">
        <v>28</v>
      </c>
      <c r="G791" s="1" t="str">
        <f t="shared" si="72"/>
        <v>AUTOMEHANIKA D.D., KOVINSKA 4, 10000 ZAGREB, OIB: 5223317126</v>
      </c>
      <c r="H791" s="7"/>
      <c r="I791" s="8" t="s">
        <v>400</v>
      </c>
      <c r="J791" s="8" t="s">
        <v>519</v>
      </c>
      <c r="K791" s="6" t="str">
        <f>"274,37"</f>
        <v>274,37</v>
      </c>
      <c r="L791" s="6" t="str">
        <f>"68,59"</f>
        <v>68,59</v>
      </c>
      <c r="M791" s="6" t="str">
        <f>"342,96"</f>
        <v>342,96</v>
      </c>
      <c r="N791" s="8" t="s">
        <v>919</v>
      </c>
      <c r="O791" s="7"/>
      <c r="P791" s="2" t="s">
        <v>6147</v>
      </c>
      <c r="Q791" s="7"/>
      <c r="R791" s="1"/>
      <c r="S791" s="1" t="str">
        <f>"46-22/NOS-110/19"</f>
        <v>46-22/NOS-110/19</v>
      </c>
      <c r="T791" s="1" t="s">
        <v>32</v>
      </c>
    </row>
    <row r="792" spans="1:20" ht="51" x14ac:dyDescent="0.25">
      <c r="A792" s="6">
        <v>789</v>
      </c>
      <c r="B792" s="1" t="str">
        <f t="shared" si="71"/>
        <v>2019-2382</v>
      </c>
      <c r="C792" s="1" t="s">
        <v>1114</v>
      </c>
      <c r="D792" s="1" t="s">
        <v>1116</v>
      </c>
      <c r="E792" s="1" t="str">
        <f>""</f>
        <v/>
      </c>
      <c r="F792" s="1" t="s">
        <v>28</v>
      </c>
      <c r="G792" s="1" t="str">
        <f t="shared" si="72"/>
        <v>AUTOMEHANIKA D.D., KOVINSKA 4, 10000 ZAGREB, OIB: 5223317126</v>
      </c>
      <c r="H792" s="7"/>
      <c r="I792" s="8" t="s">
        <v>400</v>
      </c>
      <c r="J792" s="8" t="s">
        <v>519</v>
      </c>
      <c r="K792" s="6" t="str">
        <f>"713,85"</f>
        <v>713,85</v>
      </c>
      <c r="L792" s="6" t="str">
        <f>"178,46"</f>
        <v>178,46</v>
      </c>
      <c r="M792" s="6" t="str">
        <f>"892,31"</f>
        <v>892,31</v>
      </c>
      <c r="N792" s="8" t="s">
        <v>260</v>
      </c>
      <c r="O792" s="7"/>
      <c r="P792" s="2" t="s">
        <v>6148</v>
      </c>
      <c r="Q792" s="7"/>
      <c r="R792" s="1"/>
      <c r="S792" s="1" t="str">
        <f>"42-22/NOS-110/19"</f>
        <v>42-22/NOS-110/19</v>
      </c>
      <c r="T792" s="1" t="s">
        <v>55</v>
      </c>
    </row>
    <row r="793" spans="1:20" ht="51" x14ac:dyDescent="0.25">
      <c r="A793" s="6">
        <v>790</v>
      </c>
      <c r="B793" s="1" t="str">
        <f t="shared" si="71"/>
        <v>2019-2382</v>
      </c>
      <c r="C793" s="1" t="s">
        <v>1114</v>
      </c>
      <c r="D793" s="1" t="s">
        <v>1116</v>
      </c>
      <c r="E793" s="1" t="str">
        <f>""</f>
        <v/>
      </c>
      <c r="F793" s="1" t="s">
        <v>28</v>
      </c>
      <c r="G793" s="1" t="str">
        <f t="shared" si="72"/>
        <v>AUTOMEHANIKA D.D., KOVINSKA 4, 10000 ZAGREB, OIB: 5223317126</v>
      </c>
      <c r="H793" s="7"/>
      <c r="I793" s="8" t="s">
        <v>400</v>
      </c>
      <c r="J793" s="8" t="s">
        <v>519</v>
      </c>
      <c r="K793" s="6" t="str">
        <f>"1.122,29"</f>
        <v>1.122,29</v>
      </c>
      <c r="L793" s="6" t="str">
        <f>"280,57"</f>
        <v>280,57</v>
      </c>
      <c r="M793" s="6" t="str">
        <f>"1.402,86"</f>
        <v>1.402,86</v>
      </c>
      <c r="N793" s="8" t="s">
        <v>260</v>
      </c>
      <c r="O793" s="7"/>
      <c r="P793" s="2" t="s">
        <v>6149</v>
      </c>
      <c r="Q793" s="7"/>
      <c r="R793" s="1"/>
      <c r="S793" s="1" t="str">
        <f>"41-22/NOS-110/19"</f>
        <v>41-22/NOS-110/19</v>
      </c>
      <c r="T793" s="1" t="s">
        <v>55</v>
      </c>
    </row>
    <row r="794" spans="1:20" ht="51" x14ac:dyDescent="0.25">
      <c r="A794" s="6">
        <v>791</v>
      </c>
      <c r="B794" s="1" t="str">
        <f t="shared" si="71"/>
        <v>2019-2382</v>
      </c>
      <c r="C794" s="1" t="s">
        <v>1114</v>
      </c>
      <c r="D794" s="1" t="s">
        <v>1116</v>
      </c>
      <c r="E794" s="1" t="str">
        <f>""</f>
        <v/>
      </c>
      <c r="F794" s="1" t="s">
        <v>28</v>
      </c>
      <c r="G794" s="1" t="str">
        <f t="shared" si="72"/>
        <v>AUTOMEHANIKA D.D., KOVINSKA 4, 10000 ZAGREB, OIB: 5223317126</v>
      </c>
      <c r="H794" s="7"/>
      <c r="I794" s="8" t="s">
        <v>400</v>
      </c>
      <c r="J794" s="8" t="s">
        <v>519</v>
      </c>
      <c r="K794" s="6" t="str">
        <f>"1.378,47"</f>
        <v>1.378,47</v>
      </c>
      <c r="L794" s="6" t="str">
        <f>"344,62"</f>
        <v>344,62</v>
      </c>
      <c r="M794" s="6" t="str">
        <f>"1.723,09"</f>
        <v>1.723,09</v>
      </c>
      <c r="N794" s="8" t="s">
        <v>260</v>
      </c>
      <c r="O794" s="7"/>
      <c r="P794" s="2" t="s">
        <v>6150</v>
      </c>
      <c r="Q794" s="7"/>
      <c r="R794" s="1"/>
      <c r="S794" s="1" t="str">
        <f>"40-22/NOS-110/19"</f>
        <v>40-22/NOS-110/19</v>
      </c>
      <c r="T794" s="1" t="s">
        <v>55</v>
      </c>
    </row>
    <row r="795" spans="1:20" ht="51" x14ac:dyDescent="0.25">
      <c r="A795" s="6">
        <v>792</v>
      </c>
      <c r="B795" s="1" t="str">
        <f t="shared" si="71"/>
        <v>2019-2382</v>
      </c>
      <c r="C795" s="1" t="s">
        <v>1114</v>
      </c>
      <c r="D795" s="1" t="s">
        <v>1116</v>
      </c>
      <c r="E795" s="1" t="str">
        <f>""</f>
        <v/>
      </c>
      <c r="F795" s="1" t="s">
        <v>28</v>
      </c>
      <c r="G795" s="1" t="str">
        <f t="shared" si="72"/>
        <v>AUTOMEHANIKA D.D., KOVINSKA 4, 10000 ZAGREB, OIB: 5223317126</v>
      </c>
      <c r="H795" s="7"/>
      <c r="I795" s="8" t="s">
        <v>296</v>
      </c>
      <c r="J795" s="8" t="s">
        <v>519</v>
      </c>
      <c r="K795" s="6" t="str">
        <f>"23.456,81"</f>
        <v>23.456,81</v>
      </c>
      <c r="L795" s="6" t="str">
        <f>"5.691,12"</f>
        <v>5.691,12</v>
      </c>
      <c r="M795" s="6" t="str">
        <f>"29.147,93"</f>
        <v>29.147,93</v>
      </c>
      <c r="N795" s="8" t="s">
        <v>403</v>
      </c>
      <c r="O795" s="7"/>
      <c r="P795" s="2" t="s">
        <v>6151</v>
      </c>
      <c r="Q795" s="7"/>
      <c r="R795" s="1"/>
      <c r="S795" s="1" t="str">
        <f>"24-22/NOS-110/19"</f>
        <v>24-22/NOS-110/19</v>
      </c>
      <c r="T795" s="1" t="s">
        <v>55</v>
      </c>
    </row>
    <row r="796" spans="1:20" ht="51" x14ac:dyDescent="0.25">
      <c r="A796" s="6">
        <v>793</v>
      </c>
      <c r="B796" s="1" t="str">
        <f t="shared" si="71"/>
        <v>2019-2382</v>
      </c>
      <c r="C796" s="1" t="s">
        <v>1114</v>
      </c>
      <c r="D796" s="1" t="s">
        <v>1116</v>
      </c>
      <c r="E796" s="1" t="str">
        <f>""</f>
        <v/>
      </c>
      <c r="F796" s="1" t="s">
        <v>28</v>
      </c>
      <c r="G796" s="1" t="str">
        <f t="shared" si="72"/>
        <v>AUTOMEHANIKA D.D., KOVINSKA 4, 10000 ZAGREB, OIB: 5223317126</v>
      </c>
      <c r="H796" s="7"/>
      <c r="I796" s="8" t="s">
        <v>296</v>
      </c>
      <c r="J796" s="8" t="s">
        <v>519</v>
      </c>
      <c r="K796" s="6" t="str">
        <f>"5.527,85"</f>
        <v>5.527,85</v>
      </c>
      <c r="L796" s="6" t="str">
        <f>"1.381,96"</f>
        <v>1.381,96</v>
      </c>
      <c r="M796" s="6" t="str">
        <f>"6.909,81"</f>
        <v>6.909,81</v>
      </c>
      <c r="N796" s="8" t="s">
        <v>919</v>
      </c>
      <c r="O796" s="7"/>
      <c r="P796" s="2" t="s">
        <v>6152</v>
      </c>
      <c r="Q796" s="7"/>
      <c r="R796" s="1"/>
      <c r="S796" s="1" t="str">
        <f>"45-22/NOS-110/19"</f>
        <v>45-22/NOS-110/19</v>
      </c>
      <c r="T796" s="1" t="s">
        <v>32</v>
      </c>
    </row>
    <row r="797" spans="1:20" ht="51" x14ac:dyDescent="0.25">
      <c r="A797" s="6">
        <v>794</v>
      </c>
      <c r="B797" s="1" t="str">
        <f t="shared" si="71"/>
        <v>2019-2382</v>
      </c>
      <c r="C797" s="1" t="s">
        <v>1114</v>
      </c>
      <c r="D797" s="1" t="s">
        <v>1116</v>
      </c>
      <c r="E797" s="1" t="str">
        <f>""</f>
        <v/>
      </c>
      <c r="F797" s="1" t="s">
        <v>28</v>
      </c>
      <c r="G797" s="1" t="str">
        <f t="shared" si="72"/>
        <v>AUTOMEHANIKA D.D., KOVINSKA 4, 10000 ZAGREB, OIB: 5223317126</v>
      </c>
      <c r="H797" s="7"/>
      <c r="I797" s="8" t="s">
        <v>273</v>
      </c>
      <c r="J797" s="8" t="s">
        <v>519</v>
      </c>
      <c r="K797" s="6" t="str">
        <f>"9.835,65"</f>
        <v>9.835,65</v>
      </c>
      <c r="L797" s="6" t="str">
        <f>"2.458,91"</f>
        <v>2.458,91</v>
      </c>
      <c r="M797" s="6" t="str">
        <f>"12.294,56"</f>
        <v>12.294,56</v>
      </c>
      <c r="N797" s="8" t="s">
        <v>260</v>
      </c>
      <c r="O797" s="7"/>
      <c r="P797" s="2" t="s">
        <v>6153</v>
      </c>
      <c r="Q797" s="7"/>
      <c r="R797" s="1"/>
      <c r="S797" s="1" t="str">
        <f>"43-22/NOS-110/19"</f>
        <v>43-22/NOS-110/19</v>
      </c>
      <c r="T797" s="1" t="s">
        <v>55</v>
      </c>
    </row>
    <row r="798" spans="1:20" ht="51" x14ac:dyDescent="0.25">
      <c r="A798" s="6">
        <v>795</v>
      </c>
      <c r="B798" s="1" t="str">
        <f t="shared" si="71"/>
        <v>2019-2382</v>
      </c>
      <c r="C798" s="1" t="s">
        <v>1114</v>
      </c>
      <c r="D798" s="1" t="s">
        <v>1116</v>
      </c>
      <c r="E798" s="1" t="str">
        <f>""</f>
        <v/>
      </c>
      <c r="F798" s="1" t="s">
        <v>28</v>
      </c>
      <c r="G798" s="1" t="str">
        <f t="shared" si="72"/>
        <v>AUTOMEHANIKA D.D., KOVINSKA 4, 10000 ZAGREB, OIB: 5223317126</v>
      </c>
      <c r="H798" s="7"/>
      <c r="I798" s="8" t="s">
        <v>94</v>
      </c>
      <c r="J798" s="8" t="s">
        <v>519</v>
      </c>
      <c r="K798" s="6" t="str">
        <f>"12.629,86"</f>
        <v>12.629,86</v>
      </c>
      <c r="L798" s="6" t="str">
        <f>"3.157,47"</f>
        <v>3.157,47</v>
      </c>
      <c r="M798" s="6" t="str">
        <f>"15.787,33"</f>
        <v>15.787,33</v>
      </c>
      <c r="N798" s="8" t="s">
        <v>247</v>
      </c>
      <c r="O798" s="7"/>
      <c r="P798" s="2" t="s">
        <v>6154</v>
      </c>
      <c r="Q798" s="7"/>
      <c r="R798" s="1"/>
      <c r="S798" s="1" t="str">
        <f>"49-22/NOS-110/19"</f>
        <v>49-22/NOS-110/19</v>
      </c>
      <c r="T798" s="1" t="s">
        <v>32</v>
      </c>
    </row>
    <row r="799" spans="1:20" ht="51" x14ac:dyDescent="0.25">
      <c r="A799" s="6">
        <v>796</v>
      </c>
      <c r="B799" s="1" t="str">
        <f t="shared" si="71"/>
        <v>2019-2382</v>
      </c>
      <c r="C799" s="1" t="s">
        <v>1114</v>
      </c>
      <c r="D799" s="1" t="s">
        <v>1116</v>
      </c>
      <c r="E799" s="1" t="str">
        <f>""</f>
        <v/>
      </c>
      <c r="F799" s="1" t="s">
        <v>28</v>
      </c>
      <c r="G799" s="1" t="str">
        <f t="shared" si="72"/>
        <v>AUTOMEHANIKA D.D., KOVINSKA 4, 10000 ZAGREB, OIB: 5223317126</v>
      </c>
      <c r="H799" s="7"/>
      <c r="I799" s="8" t="s">
        <v>920</v>
      </c>
      <c r="J799" s="8" t="s">
        <v>519</v>
      </c>
      <c r="K799" s="6" t="str">
        <f>"8.196,79"</f>
        <v>8.196,79</v>
      </c>
      <c r="L799" s="6" t="str">
        <f>"2.049,20"</f>
        <v>2.049,20</v>
      </c>
      <c r="M799" s="6" t="str">
        <f>"10.245,99"</f>
        <v>10.245,99</v>
      </c>
      <c r="N799" s="8" t="s">
        <v>247</v>
      </c>
      <c r="O799" s="7"/>
      <c r="P799" s="2" t="s">
        <v>6155</v>
      </c>
      <c r="Q799" s="7"/>
      <c r="R799" s="1"/>
      <c r="S799" s="1" t="str">
        <f>"50-22/NOS-110/19"</f>
        <v>50-22/NOS-110/19</v>
      </c>
      <c r="T799" s="1" t="s">
        <v>32</v>
      </c>
    </row>
    <row r="800" spans="1:20" ht="51" x14ac:dyDescent="0.25">
      <c r="A800" s="6">
        <v>797</v>
      </c>
      <c r="B800" s="1" t="str">
        <f t="shared" si="71"/>
        <v>2019-2382</v>
      </c>
      <c r="C800" s="1" t="s">
        <v>1114</v>
      </c>
      <c r="D800" s="1" t="s">
        <v>1116</v>
      </c>
      <c r="E800" s="1" t="str">
        <f>""</f>
        <v/>
      </c>
      <c r="F800" s="1" t="s">
        <v>28</v>
      </c>
      <c r="G800" s="1" t="str">
        <f t="shared" si="72"/>
        <v>AUTOMEHANIKA D.D., KOVINSKA 4, 10000 ZAGREB, OIB: 5223317126</v>
      </c>
      <c r="H800" s="7"/>
      <c r="I800" s="8" t="s">
        <v>921</v>
      </c>
      <c r="J800" s="8" t="s">
        <v>519</v>
      </c>
      <c r="K800" s="6" t="str">
        <f>"12.328,01"</f>
        <v>12.328,01</v>
      </c>
      <c r="L800" s="6" t="str">
        <f>"3.082,00"</f>
        <v>3.082,00</v>
      </c>
      <c r="M800" s="6" t="str">
        <f>"15.410,01"</f>
        <v>15.410,01</v>
      </c>
      <c r="N800" s="8" t="s">
        <v>521</v>
      </c>
      <c r="O800" s="7"/>
      <c r="P800" s="2" t="s">
        <v>6156</v>
      </c>
      <c r="Q800" s="7"/>
      <c r="R800" s="1"/>
      <c r="S800" s="1" t="str">
        <f>"52-22/NOS-110/19"</f>
        <v>52-22/NOS-110/19</v>
      </c>
      <c r="T800" s="1" t="s">
        <v>32</v>
      </c>
    </row>
    <row r="801" spans="1:20" ht="51" x14ac:dyDescent="0.25">
      <c r="A801" s="6">
        <v>798</v>
      </c>
      <c r="B801" s="1" t="str">
        <f t="shared" si="71"/>
        <v>2019-2382</v>
      </c>
      <c r="C801" s="1" t="s">
        <v>1114</v>
      </c>
      <c r="D801" s="1" t="s">
        <v>1116</v>
      </c>
      <c r="E801" s="1" t="str">
        <f>""</f>
        <v/>
      </c>
      <c r="F801" s="1" t="s">
        <v>28</v>
      </c>
      <c r="G801" s="1" t="str">
        <f t="shared" si="72"/>
        <v>AUTOMEHANIKA D.D., KOVINSKA 4, 10000 ZAGREB, OIB: 5223317126</v>
      </c>
      <c r="H801" s="7"/>
      <c r="I801" s="8" t="s">
        <v>291</v>
      </c>
      <c r="J801" s="8" t="s">
        <v>1120</v>
      </c>
      <c r="K801" s="6" t="str">
        <f>"8.962,88"</f>
        <v>8.962,88</v>
      </c>
      <c r="L801" s="6" t="str">
        <f>"2.240,72"</f>
        <v>2.240,72</v>
      </c>
      <c r="M801" s="6" t="str">
        <f>"11.203,60"</f>
        <v>11.203,60</v>
      </c>
      <c r="N801" s="8" t="s">
        <v>293</v>
      </c>
      <c r="O801" s="7"/>
      <c r="P801" s="2" t="s">
        <v>6157</v>
      </c>
      <c r="Q801" s="7"/>
      <c r="R801" s="1"/>
      <c r="S801" s="1" t="str">
        <f>"51-22/NOS-110/19"</f>
        <v>51-22/NOS-110/19</v>
      </c>
      <c r="T801" s="1" t="s">
        <v>55</v>
      </c>
    </row>
    <row r="802" spans="1:20" ht="51" x14ac:dyDescent="0.25">
      <c r="A802" s="6">
        <v>799</v>
      </c>
      <c r="B802" s="1" t="str">
        <f t="shared" si="71"/>
        <v>2019-2382</v>
      </c>
      <c r="C802" s="1" t="s">
        <v>1114</v>
      </c>
      <c r="D802" s="1" t="s">
        <v>1116</v>
      </c>
      <c r="E802" s="1" t="str">
        <f>""</f>
        <v/>
      </c>
      <c r="F802" s="1" t="s">
        <v>28</v>
      </c>
      <c r="G802" s="1" t="str">
        <f t="shared" si="72"/>
        <v>AUTOMEHANIKA D.D., KOVINSKA 4, 10000 ZAGREB, OIB: 5223317126</v>
      </c>
      <c r="H802" s="7"/>
      <c r="I802" s="8" t="s">
        <v>250</v>
      </c>
      <c r="J802" s="8" t="s">
        <v>519</v>
      </c>
      <c r="K802" s="6" t="str">
        <f>"10.679,02"</f>
        <v>10.679,02</v>
      </c>
      <c r="L802" s="6" t="str">
        <f>"2.669,76"</f>
        <v>2.669,76</v>
      </c>
      <c r="M802" s="6" t="str">
        <f>"13.348,78"</f>
        <v>13.348,78</v>
      </c>
      <c r="N802" s="8" t="s">
        <v>607</v>
      </c>
      <c r="O802" s="7"/>
      <c r="P802" s="2" t="s">
        <v>6158</v>
      </c>
      <c r="Q802" s="7"/>
      <c r="R802" s="1"/>
      <c r="S802" s="1" t="str">
        <f>"54-22/NOS-110/19"</f>
        <v>54-22/NOS-110/19</v>
      </c>
      <c r="T802" s="1" t="s">
        <v>32</v>
      </c>
    </row>
    <row r="803" spans="1:20" ht="51" x14ac:dyDescent="0.25">
      <c r="A803" s="6">
        <v>800</v>
      </c>
      <c r="B803" s="1" t="str">
        <f t="shared" si="71"/>
        <v>2019-2382</v>
      </c>
      <c r="C803" s="1" t="s">
        <v>1114</v>
      </c>
      <c r="D803" s="1" t="s">
        <v>1116</v>
      </c>
      <c r="E803" s="1" t="str">
        <f>""</f>
        <v/>
      </c>
      <c r="F803" s="1" t="s">
        <v>28</v>
      </c>
      <c r="G803" s="1" t="str">
        <f t="shared" si="72"/>
        <v>AUTOMEHANIKA D.D., KOVINSKA 4, 10000 ZAGREB, OIB: 5223317126</v>
      </c>
      <c r="H803" s="7"/>
      <c r="I803" s="8" t="s">
        <v>293</v>
      </c>
      <c r="J803" s="8" t="s">
        <v>519</v>
      </c>
      <c r="K803" s="6" t="str">
        <f>"21.581,45"</f>
        <v>21.581,45</v>
      </c>
      <c r="L803" s="6" t="str">
        <f>"5.395,36"</f>
        <v>5.395,36</v>
      </c>
      <c r="M803" s="6" t="str">
        <f>"26.976,81"</f>
        <v>26.976,81</v>
      </c>
      <c r="N803" s="8" t="s">
        <v>923</v>
      </c>
      <c r="O803" s="7"/>
      <c r="P803" s="2" t="s">
        <v>6159</v>
      </c>
      <c r="Q803" s="7"/>
      <c r="R803" s="1"/>
      <c r="S803" s="1" t="str">
        <f>"11-22/NOS-110/19"</f>
        <v>11-22/NOS-110/19</v>
      </c>
      <c r="T803" s="1" t="s">
        <v>32</v>
      </c>
    </row>
    <row r="804" spans="1:20" ht="51" x14ac:dyDescent="0.25">
      <c r="A804" s="6">
        <v>801</v>
      </c>
      <c r="B804" s="1" t="str">
        <f t="shared" si="71"/>
        <v>2019-2382</v>
      </c>
      <c r="C804" s="1" t="s">
        <v>1114</v>
      </c>
      <c r="D804" s="1" t="s">
        <v>1116</v>
      </c>
      <c r="E804" s="1" t="str">
        <f>""</f>
        <v/>
      </c>
      <c r="F804" s="1" t="s">
        <v>28</v>
      </c>
      <c r="G804" s="1" t="str">
        <f t="shared" si="72"/>
        <v>AUTOMEHANIKA D.D., KOVINSKA 4, 10000 ZAGREB, OIB: 5223317126</v>
      </c>
      <c r="H804" s="7"/>
      <c r="I804" s="8" t="s">
        <v>293</v>
      </c>
      <c r="J804" s="8" t="s">
        <v>519</v>
      </c>
      <c r="K804" s="6" t="str">
        <f>"11.251,55"</f>
        <v>11.251,55</v>
      </c>
      <c r="L804" s="6" t="str">
        <f>"2.812,89"</f>
        <v>2.812,89</v>
      </c>
      <c r="M804" s="6" t="str">
        <f>"14.064,44"</f>
        <v>14.064,44</v>
      </c>
      <c r="N804" s="8" t="s">
        <v>923</v>
      </c>
      <c r="O804" s="7"/>
      <c r="P804" s="2" t="s">
        <v>6160</v>
      </c>
      <c r="Q804" s="7"/>
      <c r="R804" s="1"/>
      <c r="S804" s="1" t="str">
        <f>"13-22/NOS-110/19"</f>
        <v>13-22/NOS-110/19</v>
      </c>
      <c r="T804" s="1" t="s">
        <v>32</v>
      </c>
    </row>
    <row r="805" spans="1:20" ht="51" x14ac:dyDescent="0.25">
      <c r="A805" s="6">
        <v>802</v>
      </c>
      <c r="B805" s="1" t="str">
        <f t="shared" si="71"/>
        <v>2019-2382</v>
      </c>
      <c r="C805" s="1" t="s">
        <v>1114</v>
      </c>
      <c r="D805" s="1" t="s">
        <v>1116</v>
      </c>
      <c r="E805" s="1" t="str">
        <f>""</f>
        <v/>
      </c>
      <c r="F805" s="1" t="s">
        <v>28</v>
      </c>
      <c r="G805" s="1" t="str">
        <f t="shared" si="72"/>
        <v>AUTOMEHANIKA D.D., KOVINSKA 4, 10000 ZAGREB, OIB: 5223317126</v>
      </c>
      <c r="H805" s="7"/>
      <c r="I805" s="8" t="s">
        <v>293</v>
      </c>
      <c r="J805" s="8" t="s">
        <v>519</v>
      </c>
      <c r="K805" s="6" t="str">
        <f>"5.477,20"</f>
        <v>5.477,20</v>
      </c>
      <c r="L805" s="6" t="str">
        <f>"1.369,30"</f>
        <v>1.369,30</v>
      </c>
      <c r="M805" s="6" t="str">
        <f>"6.846,50"</f>
        <v>6.846,50</v>
      </c>
      <c r="N805" s="8" t="s">
        <v>408</v>
      </c>
      <c r="O805" s="7"/>
      <c r="P805" s="2" t="s">
        <v>6161</v>
      </c>
      <c r="Q805" s="7"/>
      <c r="R805" s="1"/>
      <c r="S805" s="1" t="str">
        <f>"60-22/NOS-110/19"</f>
        <v>60-22/NOS-110/19</v>
      </c>
      <c r="T805" s="1" t="s">
        <v>55</v>
      </c>
    </row>
    <row r="806" spans="1:20" ht="51" x14ac:dyDescent="0.25">
      <c r="A806" s="6">
        <v>803</v>
      </c>
      <c r="B806" s="1" t="str">
        <f t="shared" si="71"/>
        <v>2019-2382</v>
      </c>
      <c r="C806" s="1" t="s">
        <v>1114</v>
      </c>
      <c r="D806" s="1" t="s">
        <v>1116</v>
      </c>
      <c r="E806" s="1" t="str">
        <f>""</f>
        <v/>
      </c>
      <c r="F806" s="1" t="s">
        <v>28</v>
      </c>
      <c r="G806" s="1" t="str">
        <f t="shared" si="72"/>
        <v>AUTOMEHANIKA D.D., KOVINSKA 4, 10000 ZAGREB, OIB: 5223317126</v>
      </c>
      <c r="H806" s="7"/>
      <c r="I806" s="8" t="s">
        <v>293</v>
      </c>
      <c r="J806" s="8" t="s">
        <v>519</v>
      </c>
      <c r="K806" s="6" t="str">
        <f>"1.236,41"</f>
        <v>1.236,41</v>
      </c>
      <c r="L806" s="6" t="str">
        <f>"0,00"</f>
        <v>0,00</v>
      </c>
      <c r="M806" s="6" t="str">
        <f>"1.236,41"</f>
        <v>1.236,41</v>
      </c>
      <c r="N806" s="8" t="s">
        <v>124</v>
      </c>
      <c r="O806" s="7"/>
      <c r="P806" s="2" t="s">
        <v>5614</v>
      </c>
      <c r="Q806" s="7"/>
      <c r="R806" s="1"/>
      <c r="S806" s="1" t="str">
        <f>"61-22/NOS-110/19"</f>
        <v>61-22/NOS-110/19</v>
      </c>
      <c r="T806" s="1" t="s">
        <v>55</v>
      </c>
    </row>
    <row r="807" spans="1:20" ht="51" x14ac:dyDescent="0.25">
      <c r="A807" s="6">
        <v>804</v>
      </c>
      <c r="B807" s="1" t="str">
        <f t="shared" si="71"/>
        <v>2019-2382</v>
      </c>
      <c r="C807" s="1" t="s">
        <v>1114</v>
      </c>
      <c r="D807" s="1" t="s">
        <v>1116</v>
      </c>
      <c r="E807" s="1" t="str">
        <f>""</f>
        <v/>
      </c>
      <c r="F807" s="1" t="s">
        <v>28</v>
      </c>
      <c r="G807" s="1" t="str">
        <f t="shared" si="72"/>
        <v>AUTOMEHANIKA D.D., KOVINSKA 4, 10000 ZAGREB, OIB: 5223317126</v>
      </c>
      <c r="H807" s="7"/>
      <c r="I807" s="8" t="s">
        <v>30</v>
      </c>
      <c r="J807" s="8" t="s">
        <v>519</v>
      </c>
      <c r="K807" s="6" t="str">
        <f>"23.855,89"</f>
        <v>23.855,89</v>
      </c>
      <c r="L807" s="6" t="str">
        <f>"5.963,98"</f>
        <v>5.963,98</v>
      </c>
      <c r="M807" s="6" t="str">
        <f>"29.819,87"</f>
        <v>29.819,87</v>
      </c>
      <c r="N807" s="8" t="s">
        <v>916</v>
      </c>
      <c r="O807" s="7"/>
      <c r="P807" s="2" t="s">
        <v>6162</v>
      </c>
      <c r="Q807" s="7"/>
      <c r="R807" s="1"/>
      <c r="S807" s="1" t="str">
        <f>"15-22/NOS-110/19"</f>
        <v>15-22/NOS-110/19</v>
      </c>
      <c r="T807" s="1" t="s">
        <v>32</v>
      </c>
    </row>
    <row r="808" spans="1:20" ht="51" x14ac:dyDescent="0.25">
      <c r="A808" s="6">
        <v>805</v>
      </c>
      <c r="B808" s="1" t="str">
        <f t="shared" si="71"/>
        <v>2019-2382</v>
      </c>
      <c r="C808" s="1" t="s">
        <v>1114</v>
      </c>
      <c r="D808" s="1" t="s">
        <v>1116</v>
      </c>
      <c r="E808" s="1" t="str">
        <f>""</f>
        <v/>
      </c>
      <c r="F808" s="1" t="s">
        <v>28</v>
      </c>
      <c r="G808" s="1" t="str">
        <f t="shared" si="72"/>
        <v>AUTOMEHANIKA D.D., KOVINSKA 4, 10000 ZAGREB, OIB: 5223317126</v>
      </c>
      <c r="H808" s="7"/>
      <c r="I808" s="8" t="s">
        <v>405</v>
      </c>
      <c r="J808" s="8" t="s">
        <v>555</v>
      </c>
      <c r="K808" s="6" t="str">
        <f>"4.798,37"</f>
        <v>4.798,37</v>
      </c>
      <c r="L808" s="6" t="str">
        <f>"0,00"</f>
        <v>0,00</v>
      </c>
      <c r="M808" s="6" t="str">
        <f>"4.798,37"</f>
        <v>4.798,37</v>
      </c>
      <c r="N808" s="8" t="s">
        <v>124</v>
      </c>
      <c r="O808" s="7"/>
      <c r="P808" s="2" t="s">
        <v>5614</v>
      </c>
      <c r="Q808" s="7"/>
      <c r="R808" s="1"/>
      <c r="S808" s="1" t="str">
        <f>"55-22/NOS-110/19"</f>
        <v>55-22/NOS-110/19</v>
      </c>
      <c r="T808" s="1" t="s">
        <v>55</v>
      </c>
    </row>
    <row r="809" spans="1:20" ht="51" x14ac:dyDescent="0.25">
      <c r="A809" s="6">
        <v>806</v>
      </c>
      <c r="B809" s="1" t="str">
        <f t="shared" si="71"/>
        <v>2019-2382</v>
      </c>
      <c r="C809" s="1" t="s">
        <v>1114</v>
      </c>
      <c r="D809" s="1" t="s">
        <v>1116</v>
      </c>
      <c r="E809" s="1" t="str">
        <f>""</f>
        <v/>
      </c>
      <c r="F809" s="1" t="s">
        <v>28</v>
      </c>
      <c r="G809" s="1" t="str">
        <f t="shared" si="72"/>
        <v>AUTOMEHANIKA D.D., KOVINSKA 4, 10000 ZAGREB, OIB: 5223317126</v>
      </c>
      <c r="H809" s="7"/>
      <c r="I809" s="8" t="s">
        <v>405</v>
      </c>
      <c r="J809" s="8" t="s">
        <v>519</v>
      </c>
      <c r="K809" s="6" t="str">
        <f>"3.919,82"</f>
        <v>3.919,82</v>
      </c>
      <c r="L809" s="6" t="str">
        <f>"0,00"</f>
        <v>0,00</v>
      </c>
      <c r="M809" s="6" t="str">
        <f>"3.919,82"</f>
        <v>3.919,82</v>
      </c>
      <c r="N809" s="8" t="s">
        <v>124</v>
      </c>
      <c r="O809" s="7"/>
      <c r="P809" s="2" t="s">
        <v>5614</v>
      </c>
      <c r="Q809" s="7"/>
      <c r="R809" s="1"/>
      <c r="S809" s="1" t="str">
        <f>"56-22/NOS-110/19"</f>
        <v>56-22/NOS-110/19</v>
      </c>
      <c r="T809" s="1" t="s">
        <v>55</v>
      </c>
    </row>
    <row r="810" spans="1:20" ht="51" x14ac:dyDescent="0.25">
      <c r="A810" s="6">
        <v>807</v>
      </c>
      <c r="B810" s="1" t="str">
        <f t="shared" si="71"/>
        <v>2019-2382</v>
      </c>
      <c r="C810" s="1" t="s">
        <v>1114</v>
      </c>
      <c r="D810" s="1" t="s">
        <v>1116</v>
      </c>
      <c r="E810" s="1" t="str">
        <f>""</f>
        <v/>
      </c>
      <c r="F810" s="1" t="s">
        <v>28</v>
      </c>
      <c r="G810" s="1" t="str">
        <f t="shared" si="72"/>
        <v>AUTOMEHANIKA D.D., KOVINSKA 4, 10000 ZAGREB, OIB: 5223317126</v>
      </c>
      <c r="H810" s="7"/>
      <c r="I810" s="8" t="s">
        <v>405</v>
      </c>
      <c r="J810" s="8" t="s">
        <v>555</v>
      </c>
      <c r="K810" s="6" t="str">
        <f>"6.268,52"</f>
        <v>6.268,52</v>
      </c>
      <c r="L810" s="6" t="str">
        <f>"0,00"</f>
        <v>0,00</v>
      </c>
      <c r="M810" s="6" t="str">
        <f>"6.268,52"</f>
        <v>6.268,52</v>
      </c>
      <c r="N810" s="8" t="s">
        <v>124</v>
      </c>
      <c r="O810" s="7"/>
      <c r="P810" s="2" t="s">
        <v>5614</v>
      </c>
      <c r="Q810" s="7"/>
      <c r="R810" s="1"/>
      <c r="S810" s="1" t="str">
        <f>"57-22/NOS-110/19"</f>
        <v>57-22/NOS-110/19</v>
      </c>
      <c r="T810" s="1" t="s">
        <v>55</v>
      </c>
    </row>
    <row r="811" spans="1:20" ht="51" x14ac:dyDescent="0.25">
      <c r="A811" s="6">
        <v>808</v>
      </c>
      <c r="B811" s="1" t="str">
        <f t="shared" si="71"/>
        <v>2019-2382</v>
      </c>
      <c r="C811" s="1" t="s">
        <v>1114</v>
      </c>
      <c r="D811" s="1" t="s">
        <v>1116</v>
      </c>
      <c r="E811" s="1" t="str">
        <f>""</f>
        <v/>
      </c>
      <c r="F811" s="1" t="s">
        <v>28</v>
      </c>
      <c r="G811" s="1" t="str">
        <f t="shared" si="72"/>
        <v>AUTOMEHANIKA D.D., KOVINSKA 4, 10000 ZAGREB, OIB: 5223317126</v>
      </c>
      <c r="H811" s="7"/>
      <c r="I811" s="8" t="s">
        <v>405</v>
      </c>
      <c r="J811" s="8" t="s">
        <v>555</v>
      </c>
      <c r="K811" s="6" t="str">
        <f>"170,00"</f>
        <v>170,00</v>
      </c>
      <c r="L811" s="6" t="str">
        <f>"0,00"</f>
        <v>0,00</v>
      </c>
      <c r="M811" s="6" t="str">
        <f>"170,00"</f>
        <v>170,00</v>
      </c>
      <c r="N811" s="8" t="s">
        <v>124</v>
      </c>
      <c r="O811" s="7"/>
      <c r="P811" s="2" t="s">
        <v>5614</v>
      </c>
      <c r="Q811" s="7"/>
      <c r="R811" s="1"/>
      <c r="S811" s="1" t="str">
        <f>"58-22/NOS-110/19"</f>
        <v>58-22/NOS-110/19</v>
      </c>
      <c r="T811" s="1" t="s">
        <v>55</v>
      </c>
    </row>
    <row r="812" spans="1:20" ht="51" x14ac:dyDescent="0.25">
      <c r="A812" s="6">
        <v>809</v>
      </c>
      <c r="B812" s="1" t="str">
        <f t="shared" si="71"/>
        <v>2019-2382</v>
      </c>
      <c r="C812" s="1" t="s">
        <v>1114</v>
      </c>
      <c r="D812" s="1" t="s">
        <v>1116</v>
      </c>
      <c r="E812" s="1" t="str">
        <f>""</f>
        <v/>
      </c>
      <c r="F812" s="1" t="s">
        <v>28</v>
      </c>
      <c r="G812" s="1" t="str">
        <f t="shared" si="72"/>
        <v>AUTOMEHANIKA D.D., KOVINSKA 4, 10000 ZAGREB, OIB: 5223317126</v>
      </c>
      <c r="H812" s="7"/>
      <c r="I812" s="8" t="s">
        <v>405</v>
      </c>
      <c r="J812" s="8" t="s">
        <v>555</v>
      </c>
      <c r="K812" s="6" t="str">
        <f>"5.692,38"</f>
        <v>5.692,38</v>
      </c>
      <c r="L812" s="6" t="str">
        <f>"1.423,10"</f>
        <v>1.423,10</v>
      </c>
      <c r="M812" s="6" t="str">
        <f>"7.115,48"</f>
        <v>7.115,48</v>
      </c>
      <c r="N812" s="8" t="s">
        <v>214</v>
      </c>
      <c r="O812" s="7"/>
      <c r="P812" s="2" t="s">
        <v>6163</v>
      </c>
      <c r="Q812" s="7"/>
      <c r="R812" s="1"/>
      <c r="S812" s="1" t="str">
        <f>"59-22/NOS-110/19"</f>
        <v>59-22/NOS-110/19</v>
      </c>
      <c r="T812" s="1" t="s">
        <v>55</v>
      </c>
    </row>
    <row r="813" spans="1:20" ht="51" x14ac:dyDescent="0.25">
      <c r="A813" s="6">
        <v>810</v>
      </c>
      <c r="B813" s="1" t="str">
        <f t="shared" si="71"/>
        <v>2019-2382</v>
      </c>
      <c r="C813" s="1" t="s">
        <v>1114</v>
      </c>
      <c r="D813" s="1" t="s">
        <v>1116</v>
      </c>
      <c r="E813" s="1" t="str">
        <f>""</f>
        <v/>
      </c>
      <c r="F813" s="1" t="s">
        <v>28</v>
      </c>
      <c r="G813" s="1" t="str">
        <f t="shared" si="72"/>
        <v>AUTOMEHANIKA D.D., KOVINSKA 4, 10000 ZAGREB, OIB: 5223317126</v>
      </c>
      <c r="H813" s="7"/>
      <c r="I813" s="8" t="s">
        <v>405</v>
      </c>
      <c r="J813" s="8" t="s">
        <v>519</v>
      </c>
      <c r="K813" s="6" t="str">
        <f>"9.239,74"</f>
        <v>9.239,74</v>
      </c>
      <c r="L813" s="6" t="str">
        <f>"0,00"</f>
        <v>0,00</v>
      </c>
      <c r="M813" s="6" t="str">
        <f>"9.239,74"</f>
        <v>9.239,74</v>
      </c>
      <c r="N813" s="8" t="s">
        <v>124</v>
      </c>
      <c r="O813" s="7"/>
      <c r="P813" s="2" t="s">
        <v>5614</v>
      </c>
      <c r="Q813" s="7"/>
      <c r="R813" s="1"/>
      <c r="S813" s="1" t="str">
        <f>"62-22/NOS-110/19"</f>
        <v>62-22/NOS-110/19</v>
      </c>
      <c r="T813" s="1" t="s">
        <v>55</v>
      </c>
    </row>
    <row r="814" spans="1:20" ht="51" x14ac:dyDescent="0.25">
      <c r="A814" s="6">
        <v>811</v>
      </c>
      <c r="B814" s="1" t="str">
        <f t="shared" si="71"/>
        <v>2019-2382</v>
      </c>
      <c r="C814" s="1" t="s">
        <v>1114</v>
      </c>
      <c r="D814" s="1" t="s">
        <v>1116</v>
      </c>
      <c r="E814" s="1" t="str">
        <f>""</f>
        <v/>
      </c>
      <c r="F814" s="1" t="s">
        <v>28</v>
      </c>
      <c r="G814" s="1" t="str">
        <f t="shared" si="72"/>
        <v>AUTOMEHANIKA D.D., KOVINSKA 4, 10000 ZAGREB, OIB: 5223317126</v>
      </c>
      <c r="H814" s="7"/>
      <c r="I814" s="8" t="s">
        <v>848</v>
      </c>
      <c r="J814" s="8" t="s">
        <v>519</v>
      </c>
      <c r="K814" s="6" t="str">
        <f>"2.891,41"</f>
        <v>2.891,41</v>
      </c>
      <c r="L814" s="6" t="str">
        <f>"722,85"</f>
        <v>722,85</v>
      </c>
      <c r="M814" s="6" t="str">
        <f>"3.614,26"</f>
        <v>3.614,26</v>
      </c>
      <c r="N814" s="8" t="s">
        <v>916</v>
      </c>
      <c r="O814" s="7"/>
      <c r="P814" s="2" t="s">
        <v>6164</v>
      </c>
      <c r="Q814" s="7"/>
      <c r="R814" s="1"/>
      <c r="S814" s="1" t="str">
        <f>"14-22/NOS-110/19"</f>
        <v>14-22/NOS-110/19</v>
      </c>
      <c r="T814" s="1" t="s">
        <v>32</v>
      </c>
    </row>
    <row r="815" spans="1:20" ht="51" x14ac:dyDescent="0.25">
      <c r="A815" s="6">
        <v>812</v>
      </c>
      <c r="B815" s="1" t="str">
        <f t="shared" ref="B815:B846" si="73">"2019-2382"</f>
        <v>2019-2382</v>
      </c>
      <c r="C815" s="1" t="s">
        <v>1114</v>
      </c>
      <c r="D815" s="1" t="s">
        <v>1116</v>
      </c>
      <c r="E815" s="1" t="str">
        <f>""</f>
        <v/>
      </c>
      <c r="F815" s="1" t="s">
        <v>28</v>
      </c>
      <c r="G815" s="1" t="str">
        <f t="shared" si="72"/>
        <v>AUTOMEHANIKA D.D., KOVINSKA 4, 10000 ZAGREB, OIB: 5223317126</v>
      </c>
      <c r="H815" s="7"/>
      <c r="I815" s="8" t="s">
        <v>350</v>
      </c>
      <c r="J815" s="8" t="s">
        <v>519</v>
      </c>
      <c r="K815" s="6" t="str">
        <f>"4.237,71"</f>
        <v>4.237,71</v>
      </c>
      <c r="L815" s="6" t="str">
        <f>"1.059,43"</f>
        <v>1.059,43</v>
      </c>
      <c r="M815" s="6" t="str">
        <f>"5.297,14"</f>
        <v>5.297,14</v>
      </c>
      <c r="N815" s="8" t="s">
        <v>208</v>
      </c>
      <c r="O815" s="7"/>
      <c r="P815" s="2" t="s">
        <v>6165</v>
      </c>
      <c r="Q815" s="7"/>
      <c r="R815" s="1"/>
      <c r="S815" s="1" t="str">
        <f>"12-22/NOS-110/19"</f>
        <v>12-22/NOS-110/19</v>
      </c>
      <c r="T815" s="1" t="s">
        <v>32</v>
      </c>
    </row>
    <row r="816" spans="1:20" ht="51" x14ac:dyDescent="0.25">
      <c r="A816" s="6">
        <v>813</v>
      </c>
      <c r="B816" s="1" t="str">
        <f t="shared" si="73"/>
        <v>2019-2382</v>
      </c>
      <c r="C816" s="1" t="s">
        <v>1114</v>
      </c>
      <c r="D816" s="1" t="s">
        <v>1116</v>
      </c>
      <c r="E816" s="1" t="str">
        <f>""</f>
        <v/>
      </c>
      <c r="F816" s="1" t="s">
        <v>28</v>
      </c>
      <c r="G816" s="1" t="str">
        <f t="shared" ref="G816:G847" si="74">CONCATENATE("AUTOMEHANIKA D.D.,"," KOVINSKA 4,"," 10000 ZAGREB,"," OIB: 5223317126")</f>
        <v>AUTOMEHANIKA D.D., KOVINSKA 4, 10000 ZAGREB, OIB: 5223317126</v>
      </c>
      <c r="H816" s="7"/>
      <c r="I816" s="8" t="s">
        <v>898</v>
      </c>
      <c r="J816" s="8" t="s">
        <v>519</v>
      </c>
      <c r="K816" s="6" t="str">
        <f>"12.527,04"</f>
        <v>12.527,04</v>
      </c>
      <c r="L816" s="6" t="str">
        <f>"3.131,76"</f>
        <v>3.131,76</v>
      </c>
      <c r="M816" s="6" t="str">
        <f>"15.658,80"</f>
        <v>15.658,80</v>
      </c>
      <c r="N816" s="8" t="s">
        <v>208</v>
      </c>
      <c r="O816" s="7"/>
      <c r="P816" s="2" t="s">
        <v>6166</v>
      </c>
      <c r="Q816" s="7"/>
      <c r="R816" s="1"/>
      <c r="S816" s="1" t="str">
        <f>"17-22/NOS-110/19"</f>
        <v>17-22/NOS-110/19</v>
      </c>
      <c r="T816" s="1" t="s">
        <v>32</v>
      </c>
    </row>
    <row r="817" spans="1:20" ht="51" x14ac:dyDescent="0.25">
      <c r="A817" s="6">
        <v>814</v>
      </c>
      <c r="B817" s="1" t="str">
        <f t="shared" si="73"/>
        <v>2019-2382</v>
      </c>
      <c r="C817" s="1" t="s">
        <v>1114</v>
      </c>
      <c r="D817" s="1" t="s">
        <v>1116</v>
      </c>
      <c r="E817" s="1" t="str">
        <f>""</f>
        <v/>
      </c>
      <c r="F817" s="1" t="s">
        <v>28</v>
      </c>
      <c r="G817" s="1" t="str">
        <f t="shared" si="74"/>
        <v>AUTOMEHANIKA D.D., KOVINSKA 4, 10000 ZAGREB, OIB: 5223317126</v>
      </c>
      <c r="H817" s="7"/>
      <c r="I817" s="8" t="s">
        <v>898</v>
      </c>
      <c r="J817" s="8" t="s">
        <v>519</v>
      </c>
      <c r="K817" s="6" t="str">
        <f>"9.649,97"</f>
        <v>9.649,97</v>
      </c>
      <c r="L817" s="6" t="str">
        <f>"2.412,49"</f>
        <v>2.412,49</v>
      </c>
      <c r="M817" s="6" t="str">
        <f>"12.062,46"</f>
        <v>12.062,46</v>
      </c>
      <c r="N817" s="8" t="s">
        <v>208</v>
      </c>
      <c r="O817" s="7"/>
      <c r="P817" s="2" t="s">
        <v>6167</v>
      </c>
      <c r="Q817" s="7"/>
      <c r="R817" s="1"/>
      <c r="S817" s="1" t="str">
        <f>"16-22/NOS-110/19"</f>
        <v>16-22/NOS-110/19</v>
      </c>
      <c r="T817" s="1" t="s">
        <v>32</v>
      </c>
    </row>
    <row r="818" spans="1:20" ht="51" x14ac:dyDescent="0.25">
      <c r="A818" s="6">
        <v>815</v>
      </c>
      <c r="B818" s="1" t="str">
        <f t="shared" si="73"/>
        <v>2019-2382</v>
      </c>
      <c r="C818" s="1" t="s">
        <v>1114</v>
      </c>
      <c r="D818" s="1" t="s">
        <v>1116</v>
      </c>
      <c r="E818" s="1" t="str">
        <f>""</f>
        <v/>
      </c>
      <c r="F818" s="1" t="s">
        <v>28</v>
      </c>
      <c r="G818" s="1" t="str">
        <f t="shared" si="74"/>
        <v>AUTOMEHANIKA D.D., KOVINSKA 4, 10000 ZAGREB, OIB: 5223317126</v>
      </c>
      <c r="H818" s="7"/>
      <c r="I818" s="8" t="s">
        <v>994</v>
      </c>
      <c r="J818" s="8" t="s">
        <v>519</v>
      </c>
      <c r="K818" s="6" t="str">
        <f>"14.063,96"</f>
        <v>14.063,96</v>
      </c>
      <c r="L818" s="6" t="str">
        <f>"3.515,99"</f>
        <v>3.515,99</v>
      </c>
      <c r="M818" s="6" t="str">
        <f>"17.579,95"</f>
        <v>17.579,95</v>
      </c>
      <c r="N818" s="8" t="s">
        <v>272</v>
      </c>
      <c r="O818" s="7"/>
      <c r="P818" s="2" t="s">
        <v>6168</v>
      </c>
      <c r="Q818" s="7"/>
      <c r="R818" s="1"/>
      <c r="S818" s="1" t="str">
        <f>"65-22/NOS-110/19"</f>
        <v>65-22/NOS-110/19</v>
      </c>
      <c r="T818" s="1" t="s">
        <v>55</v>
      </c>
    </row>
    <row r="819" spans="1:20" ht="51" x14ac:dyDescent="0.25">
      <c r="A819" s="6">
        <v>816</v>
      </c>
      <c r="B819" s="1" t="str">
        <f t="shared" si="73"/>
        <v>2019-2382</v>
      </c>
      <c r="C819" s="1" t="s">
        <v>1114</v>
      </c>
      <c r="D819" s="1" t="s">
        <v>1116</v>
      </c>
      <c r="E819" s="1" t="str">
        <f>""</f>
        <v/>
      </c>
      <c r="F819" s="1" t="s">
        <v>28</v>
      </c>
      <c r="G819" s="1" t="str">
        <f t="shared" si="74"/>
        <v>AUTOMEHANIKA D.D., KOVINSKA 4, 10000 ZAGREB, OIB: 5223317126</v>
      </c>
      <c r="H819" s="7"/>
      <c r="I819" s="8" t="s">
        <v>994</v>
      </c>
      <c r="J819" s="8" t="s">
        <v>519</v>
      </c>
      <c r="K819" s="6" t="str">
        <f>"8.804,26"</f>
        <v>8.804,26</v>
      </c>
      <c r="L819" s="6" t="str">
        <f>"2.201,07"</f>
        <v>2.201,07</v>
      </c>
      <c r="M819" s="6" t="str">
        <f>"11.005,33"</f>
        <v>11.005,33</v>
      </c>
      <c r="N819" s="8" t="s">
        <v>172</v>
      </c>
      <c r="O819" s="7"/>
      <c r="P819" s="2" t="s">
        <v>6169</v>
      </c>
      <c r="Q819" s="7"/>
      <c r="R819" s="1"/>
      <c r="S819" s="1" t="str">
        <f>"66-22/NOS-110/19"</f>
        <v>66-22/NOS-110/19</v>
      </c>
      <c r="T819" s="1" t="s">
        <v>55</v>
      </c>
    </row>
    <row r="820" spans="1:20" ht="51" x14ac:dyDescent="0.25">
      <c r="A820" s="6">
        <v>817</v>
      </c>
      <c r="B820" s="1" t="str">
        <f t="shared" si="73"/>
        <v>2019-2382</v>
      </c>
      <c r="C820" s="1" t="s">
        <v>1114</v>
      </c>
      <c r="D820" s="1" t="s">
        <v>1116</v>
      </c>
      <c r="E820" s="1" t="str">
        <f>""</f>
        <v/>
      </c>
      <c r="F820" s="1" t="s">
        <v>28</v>
      </c>
      <c r="G820" s="1" t="str">
        <f t="shared" si="74"/>
        <v>AUTOMEHANIKA D.D., KOVINSKA 4, 10000 ZAGREB, OIB: 5223317126</v>
      </c>
      <c r="H820" s="7"/>
      <c r="I820" s="8" t="s">
        <v>994</v>
      </c>
      <c r="J820" s="8" t="s">
        <v>519</v>
      </c>
      <c r="K820" s="6" t="str">
        <f>"3.194,99"</f>
        <v>3.194,99</v>
      </c>
      <c r="L820" s="6" t="str">
        <f>"798,75"</f>
        <v>798,75</v>
      </c>
      <c r="M820" s="6" t="str">
        <f>"3.993,74"</f>
        <v>3.993,74</v>
      </c>
      <c r="N820" s="8" t="s">
        <v>208</v>
      </c>
      <c r="O820" s="7"/>
      <c r="P820" s="2" t="s">
        <v>6170</v>
      </c>
      <c r="Q820" s="7"/>
      <c r="R820" s="1"/>
      <c r="S820" s="1" t="str">
        <f>"67-22/NOS-110/19"</f>
        <v>67-22/NOS-110/19</v>
      </c>
      <c r="T820" s="1" t="s">
        <v>32</v>
      </c>
    </row>
    <row r="821" spans="1:20" ht="51" x14ac:dyDescent="0.25">
      <c r="A821" s="6">
        <v>818</v>
      </c>
      <c r="B821" s="1" t="str">
        <f t="shared" si="73"/>
        <v>2019-2382</v>
      </c>
      <c r="C821" s="1" t="s">
        <v>1114</v>
      </c>
      <c r="D821" s="1" t="s">
        <v>1116</v>
      </c>
      <c r="E821" s="1" t="str">
        <f>""</f>
        <v/>
      </c>
      <c r="F821" s="1" t="s">
        <v>28</v>
      </c>
      <c r="G821" s="1" t="str">
        <f t="shared" si="74"/>
        <v>AUTOMEHANIKA D.D., KOVINSKA 4, 10000 ZAGREB, OIB: 5223317126</v>
      </c>
      <c r="H821" s="7"/>
      <c r="I821" s="8" t="s">
        <v>994</v>
      </c>
      <c r="J821" s="8" t="s">
        <v>519</v>
      </c>
      <c r="K821" s="6" t="str">
        <f>"963,78"</f>
        <v>963,78</v>
      </c>
      <c r="L821" s="6" t="str">
        <f>"240,95"</f>
        <v>240,95</v>
      </c>
      <c r="M821" s="6" t="str">
        <f>"1.204,73"</f>
        <v>1.204,73</v>
      </c>
      <c r="N821" s="8" t="s">
        <v>208</v>
      </c>
      <c r="O821" s="7"/>
      <c r="P821" s="2" t="s">
        <v>6171</v>
      </c>
      <c r="Q821" s="7"/>
      <c r="R821" s="1"/>
      <c r="S821" s="1" t="str">
        <f>"18-22/NOS-110/19"</f>
        <v>18-22/NOS-110/19</v>
      </c>
      <c r="T821" s="1" t="s">
        <v>32</v>
      </c>
    </row>
    <row r="822" spans="1:20" ht="51" x14ac:dyDescent="0.25">
      <c r="A822" s="6">
        <v>819</v>
      </c>
      <c r="B822" s="1" t="str">
        <f t="shared" si="73"/>
        <v>2019-2382</v>
      </c>
      <c r="C822" s="1" t="s">
        <v>1114</v>
      </c>
      <c r="D822" s="1" t="s">
        <v>1116</v>
      </c>
      <c r="E822" s="1" t="str">
        <f>""</f>
        <v/>
      </c>
      <c r="F822" s="1" t="s">
        <v>28</v>
      </c>
      <c r="G822" s="1" t="str">
        <f t="shared" si="74"/>
        <v>AUTOMEHANIKA D.D., KOVINSKA 4, 10000 ZAGREB, OIB: 5223317126</v>
      </c>
      <c r="H822" s="7"/>
      <c r="I822" s="8" t="s">
        <v>172</v>
      </c>
      <c r="J822" s="8" t="s">
        <v>519</v>
      </c>
      <c r="K822" s="6" t="str">
        <f>"14.401,83"</f>
        <v>14.401,83</v>
      </c>
      <c r="L822" s="6" t="str">
        <f>"3.600,46"</f>
        <v>3.600,46</v>
      </c>
      <c r="M822" s="6" t="str">
        <f>"18.002,29"</f>
        <v>18.002,29</v>
      </c>
      <c r="N822" s="8" t="s">
        <v>208</v>
      </c>
      <c r="O822" s="7"/>
      <c r="P822" s="2" t="s">
        <v>6172</v>
      </c>
      <c r="Q822" s="7"/>
      <c r="R822" s="1"/>
      <c r="S822" s="1" t="str">
        <f>"69-22/NOS-110/19"</f>
        <v>69-22/NOS-110/19</v>
      </c>
      <c r="T822" s="1" t="s">
        <v>32</v>
      </c>
    </row>
    <row r="823" spans="1:20" ht="51" x14ac:dyDescent="0.25">
      <c r="A823" s="6">
        <v>820</v>
      </c>
      <c r="B823" s="1" t="str">
        <f t="shared" si="73"/>
        <v>2019-2382</v>
      </c>
      <c r="C823" s="1" t="s">
        <v>1114</v>
      </c>
      <c r="D823" s="1" t="s">
        <v>1116</v>
      </c>
      <c r="E823" s="1" t="str">
        <f>""</f>
        <v/>
      </c>
      <c r="F823" s="1" t="s">
        <v>28</v>
      </c>
      <c r="G823" s="1" t="str">
        <f t="shared" si="74"/>
        <v>AUTOMEHANIKA D.D., KOVINSKA 4, 10000 ZAGREB, OIB: 5223317126</v>
      </c>
      <c r="H823" s="7"/>
      <c r="I823" s="8" t="s">
        <v>172</v>
      </c>
      <c r="J823" s="8" t="s">
        <v>519</v>
      </c>
      <c r="K823" s="6" t="str">
        <f>"2.772,39"</f>
        <v>2.772,39</v>
      </c>
      <c r="L823" s="6" t="str">
        <f>"693,10"</f>
        <v>693,10</v>
      </c>
      <c r="M823" s="6" t="str">
        <f>"3.465,49"</f>
        <v>3.465,49</v>
      </c>
      <c r="N823" s="8" t="s">
        <v>506</v>
      </c>
      <c r="O823" s="7"/>
      <c r="P823" s="2" t="s">
        <v>6173</v>
      </c>
      <c r="Q823" s="7"/>
      <c r="R823" s="1"/>
      <c r="S823" s="1" t="str">
        <f>"68-22/NOS-110/19"</f>
        <v>68-22/NOS-110/19</v>
      </c>
      <c r="T823" s="1" t="s">
        <v>55</v>
      </c>
    </row>
    <row r="824" spans="1:20" ht="51" x14ac:dyDescent="0.25">
      <c r="A824" s="6">
        <v>821</v>
      </c>
      <c r="B824" s="1" t="str">
        <f t="shared" si="73"/>
        <v>2019-2382</v>
      </c>
      <c r="C824" s="1" t="s">
        <v>1114</v>
      </c>
      <c r="D824" s="1" t="s">
        <v>1116</v>
      </c>
      <c r="E824" s="1" t="str">
        <f>""</f>
        <v/>
      </c>
      <c r="F824" s="1" t="s">
        <v>28</v>
      </c>
      <c r="G824" s="1" t="str">
        <f t="shared" si="74"/>
        <v>AUTOMEHANIKA D.D., KOVINSKA 4, 10000 ZAGREB, OIB: 5223317126</v>
      </c>
      <c r="H824" s="7"/>
      <c r="I824" s="8" t="s">
        <v>562</v>
      </c>
      <c r="J824" s="8" t="s">
        <v>519</v>
      </c>
      <c r="K824" s="6" t="str">
        <f>"2.407,97"</f>
        <v>2.407,97</v>
      </c>
      <c r="L824" s="6" t="str">
        <f>"601,99"</f>
        <v>601,99</v>
      </c>
      <c r="M824" s="6" t="str">
        <f>"3.009,96"</f>
        <v>3.009,96</v>
      </c>
      <c r="N824" s="8" t="s">
        <v>208</v>
      </c>
      <c r="O824" s="7"/>
      <c r="P824" s="2" t="s">
        <v>6174</v>
      </c>
      <c r="Q824" s="7"/>
      <c r="R824" s="1"/>
      <c r="S824" s="1" t="str">
        <f>"73-22/NOS-110/19"</f>
        <v>73-22/NOS-110/19</v>
      </c>
      <c r="T824" s="1" t="s">
        <v>32</v>
      </c>
    </row>
    <row r="825" spans="1:20" ht="51" x14ac:dyDescent="0.25">
      <c r="A825" s="6">
        <v>822</v>
      </c>
      <c r="B825" s="1" t="str">
        <f t="shared" si="73"/>
        <v>2019-2382</v>
      </c>
      <c r="C825" s="1" t="s">
        <v>1114</v>
      </c>
      <c r="D825" s="1" t="s">
        <v>1116</v>
      </c>
      <c r="E825" s="1" t="str">
        <f>""</f>
        <v/>
      </c>
      <c r="F825" s="1" t="s">
        <v>28</v>
      </c>
      <c r="G825" s="1" t="str">
        <f t="shared" si="74"/>
        <v>AUTOMEHANIKA D.D., KOVINSKA 4, 10000 ZAGREB, OIB: 5223317126</v>
      </c>
      <c r="H825" s="7"/>
      <c r="I825" s="8" t="s">
        <v>562</v>
      </c>
      <c r="J825" s="8" t="s">
        <v>519</v>
      </c>
      <c r="K825" s="6" t="str">
        <f>"3.271,96"</f>
        <v>3.271,96</v>
      </c>
      <c r="L825" s="6" t="str">
        <f>"817,99"</f>
        <v>817,99</v>
      </c>
      <c r="M825" s="6" t="str">
        <f>"4.089,95"</f>
        <v>4.089,95</v>
      </c>
      <c r="N825" s="8" t="s">
        <v>524</v>
      </c>
      <c r="O825" s="7"/>
      <c r="P825" s="2" t="s">
        <v>6175</v>
      </c>
      <c r="Q825" s="7"/>
      <c r="R825" s="1"/>
      <c r="S825" s="1" t="str">
        <f>"70-22/NOS-110/19"</f>
        <v>70-22/NOS-110/19</v>
      </c>
      <c r="T825" s="1" t="s">
        <v>55</v>
      </c>
    </row>
    <row r="826" spans="1:20" ht="51" x14ac:dyDescent="0.25">
      <c r="A826" s="6">
        <v>823</v>
      </c>
      <c r="B826" s="1" t="str">
        <f t="shared" si="73"/>
        <v>2019-2382</v>
      </c>
      <c r="C826" s="1" t="s">
        <v>1114</v>
      </c>
      <c r="D826" s="1" t="s">
        <v>1116</v>
      </c>
      <c r="E826" s="1" t="str">
        <f>""</f>
        <v/>
      </c>
      <c r="F826" s="1" t="s">
        <v>28</v>
      </c>
      <c r="G826" s="1" t="str">
        <f t="shared" si="74"/>
        <v>AUTOMEHANIKA D.D., KOVINSKA 4, 10000 ZAGREB, OIB: 5223317126</v>
      </c>
      <c r="H826" s="7"/>
      <c r="I826" s="8" t="s">
        <v>562</v>
      </c>
      <c r="J826" s="8" t="s">
        <v>519</v>
      </c>
      <c r="K826" s="6" t="str">
        <f>"5.366,62"</f>
        <v>5.366,62</v>
      </c>
      <c r="L826" s="6" t="str">
        <f>"1.341,66"</f>
        <v>1.341,66</v>
      </c>
      <c r="M826" s="6" t="str">
        <f>"6.708,28"</f>
        <v>6.708,28</v>
      </c>
      <c r="N826" s="8" t="s">
        <v>285</v>
      </c>
      <c r="O826" s="7"/>
      <c r="P826" s="2" t="s">
        <v>6176</v>
      </c>
      <c r="Q826" s="7"/>
      <c r="R826" s="1"/>
      <c r="S826" s="1" t="str">
        <f>"71-22/NOS-110/19"</f>
        <v>71-22/NOS-110/19</v>
      </c>
      <c r="T826" s="1" t="s">
        <v>55</v>
      </c>
    </row>
    <row r="827" spans="1:20" ht="51" x14ac:dyDescent="0.25">
      <c r="A827" s="6">
        <v>824</v>
      </c>
      <c r="B827" s="1" t="str">
        <f t="shared" si="73"/>
        <v>2019-2382</v>
      </c>
      <c r="C827" s="1" t="s">
        <v>1114</v>
      </c>
      <c r="D827" s="1" t="s">
        <v>1116</v>
      </c>
      <c r="E827" s="1" t="str">
        <f>""</f>
        <v/>
      </c>
      <c r="F827" s="1" t="s">
        <v>28</v>
      </c>
      <c r="G827" s="1" t="str">
        <f t="shared" si="74"/>
        <v>AUTOMEHANIKA D.D., KOVINSKA 4, 10000 ZAGREB, OIB: 5223317126</v>
      </c>
      <c r="H827" s="7"/>
      <c r="I827" s="8" t="s">
        <v>562</v>
      </c>
      <c r="J827" s="8" t="s">
        <v>519</v>
      </c>
      <c r="K827" s="6" t="str">
        <f>"1.220,03"</f>
        <v>1.220,03</v>
      </c>
      <c r="L827" s="6" t="str">
        <f>"305,01"</f>
        <v>305,01</v>
      </c>
      <c r="M827" s="6" t="str">
        <f>"1.525,04"</f>
        <v>1.525,04</v>
      </c>
      <c r="N827" s="8" t="s">
        <v>408</v>
      </c>
      <c r="O827" s="7"/>
      <c r="P827" s="2" t="s">
        <v>6177</v>
      </c>
      <c r="Q827" s="7"/>
      <c r="R827" s="1"/>
      <c r="S827" s="1" t="str">
        <f>"72-22/NOS-110/19"</f>
        <v>72-22/NOS-110/19</v>
      </c>
      <c r="T827" s="1" t="s">
        <v>55</v>
      </c>
    </row>
    <row r="828" spans="1:20" ht="51" x14ac:dyDescent="0.25">
      <c r="A828" s="6">
        <v>825</v>
      </c>
      <c r="B828" s="1" t="str">
        <f t="shared" si="73"/>
        <v>2019-2382</v>
      </c>
      <c r="C828" s="1" t="s">
        <v>1114</v>
      </c>
      <c r="D828" s="1" t="s">
        <v>1116</v>
      </c>
      <c r="E828" s="1" t="str">
        <f>""</f>
        <v/>
      </c>
      <c r="F828" s="1" t="s">
        <v>28</v>
      </c>
      <c r="G828" s="1" t="str">
        <f t="shared" si="74"/>
        <v>AUTOMEHANIKA D.D., KOVINSKA 4, 10000 ZAGREB, OIB: 5223317126</v>
      </c>
      <c r="H828" s="7"/>
      <c r="I828" s="8" t="s">
        <v>562</v>
      </c>
      <c r="J828" s="8" t="s">
        <v>519</v>
      </c>
      <c r="K828" s="6" t="str">
        <f>"8.070,04"</f>
        <v>8.070,04</v>
      </c>
      <c r="L828" s="6" t="str">
        <f>"2.017,51"</f>
        <v>2.017,51</v>
      </c>
      <c r="M828" s="6" t="str">
        <f>"10.087,55"</f>
        <v>10.087,55</v>
      </c>
      <c r="N828" s="8" t="s">
        <v>438</v>
      </c>
      <c r="O828" s="7"/>
      <c r="P828" s="2" t="s">
        <v>6178</v>
      </c>
      <c r="Q828" s="7"/>
      <c r="R828" s="1"/>
      <c r="S828" s="1" t="str">
        <f>"74-22/NOS-110/19"</f>
        <v>74-22/NOS-110/19</v>
      </c>
      <c r="T828" s="1" t="s">
        <v>55</v>
      </c>
    </row>
    <row r="829" spans="1:20" ht="51" x14ac:dyDescent="0.25">
      <c r="A829" s="6">
        <v>826</v>
      </c>
      <c r="B829" s="1" t="str">
        <f t="shared" si="73"/>
        <v>2019-2382</v>
      </c>
      <c r="C829" s="1" t="s">
        <v>1114</v>
      </c>
      <c r="D829" s="1" t="s">
        <v>1116</v>
      </c>
      <c r="E829" s="1" t="str">
        <f>""</f>
        <v/>
      </c>
      <c r="F829" s="1" t="s">
        <v>28</v>
      </c>
      <c r="G829" s="1" t="str">
        <f t="shared" si="74"/>
        <v>AUTOMEHANIKA D.D., KOVINSKA 4, 10000 ZAGREB, OIB: 5223317126</v>
      </c>
      <c r="H829" s="7"/>
      <c r="I829" s="8" t="s">
        <v>240</v>
      </c>
      <c r="J829" s="8" t="s">
        <v>519</v>
      </c>
      <c r="K829" s="6" t="str">
        <f>"6.741,54"</f>
        <v>6.741,54</v>
      </c>
      <c r="L829" s="6" t="str">
        <f>"1.685,39"</f>
        <v>1.685,39</v>
      </c>
      <c r="M829" s="6" t="str">
        <f>"8.426,93"</f>
        <v>8.426,93</v>
      </c>
      <c r="N829" s="8" t="s">
        <v>431</v>
      </c>
      <c r="O829" s="7"/>
      <c r="P829" s="2" t="s">
        <v>6179</v>
      </c>
      <c r="Q829" s="7"/>
      <c r="R829" s="1"/>
      <c r="S829" s="1" t="str">
        <f>"77-22/NOS-110/19"</f>
        <v>77-22/NOS-110/19</v>
      </c>
      <c r="T829" s="1" t="s">
        <v>32</v>
      </c>
    </row>
    <row r="830" spans="1:20" ht="51" x14ac:dyDescent="0.25">
      <c r="A830" s="6">
        <v>827</v>
      </c>
      <c r="B830" s="1" t="str">
        <f t="shared" si="73"/>
        <v>2019-2382</v>
      </c>
      <c r="C830" s="1" t="s">
        <v>1114</v>
      </c>
      <c r="D830" s="1" t="s">
        <v>1116</v>
      </c>
      <c r="E830" s="1" t="str">
        <f>""</f>
        <v/>
      </c>
      <c r="F830" s="1" t="s">
        <v>28</v>
      </c>
      <c r="G830" s="1" t="str">
        <f t="shared" si="74"/>
        <v>AUTOMEHANIKA D.D., KOVINSKA 4, 10000 ZAGREB, OIB: 5223317126</v>
      </c>
      <c r="H830" s="7"/>
      <c r="I830" s="8" t="s">
        <v>203</v>
      </c>
      <c r="J830" s="8" t="s">
        <v>519</v>
      </c>
      <c r="K830" s="6" t="str">
        <f>"5.298,28"</f>
        <v>5.298,28</v>
      </c>
      <c r="L830" s="6" t="str">
        <f>"1.324,57"</f>
        <v>1.324,57</v>
      </c>
      <c r="M830" s="6" t="str">
        <f>"6.622,85"</f>
        <v>6.622,85</v>
      </c>
      <c r="N830" s="8" t="s">
        <v>535</v>
      </c>
      <c r="O830" s="7"/>
      <c r="P830" s="2" t="s">
        <v>6180</v>
      </c>
      <c r="Q830" s="7"/>
      <c r="R830" s="1"/>
      <c r="S830" s="1" t="str">
        <f>"78-22/NOS-110/19"</f>
        <v>78-22/NOS-110/19</v>
      </c>
      <c r="T830" s="1" t="s">
        <v>55</v>
      </c>
    </row>
    <row r="831" spans="1:20" ht="51" x14ac:dyDescent="0.25">
      <c r="A831" s="6">
        <v>828</v>
      </c>
      <c r="B831" s="1" t="str">
        <f t="shared" si="73"/>
        <v>2019-2382</v>
      </c>
      <c r="C831" s="1" t="s">
        <v>1114</v>
      </c>
      <c r="D831" s="1" t="s">
        <v>1116</v>
      </c>
      <c r="E831" s="1" t="str">
        <f>""</f>
        <v/>
      </c>
      <c r="F831" s="1" t="s">
        <v>28</v>
      </c>
      <c r="G831" s="1" t="str">
        <f t="shared" si="74"/>
        <v>AUTOMEHANIKA D.D., KOVINSKA 4, 10000 ZAGREB, OIB: 5223317126</v>
      </c>
      <c r="H831" s="7"/>
      <c r="I831" s="8" t="s">
        <v>427</v>
      </c>
      <c r="J831" s="8" t="s">
        <v>519</v>
      </c>
      <c r="K831" s="6" t="str">
        <f>"40.243,94"</f>
        <v>40.243,94</v>
      </c>
      <c r="L831" s="6" t="str">
        <f>"10.060,99"</f>
        <v>10.060,99</v>
      </c>
      <c r="M831" s="6" t="str">
        <f>"50.304,93"</f>
        <v>50.304,93</v>
      </c>
      <c r="N831" s="8" t="s">
        <v>431</v>
      </c>
      <c r="O831" s="7"/>
      <c r="P831" s="2" t="s">
        <v>6181</v>
      </c>
      <c r="Q831" s="7"/>
      <c r="R831" s="1"/>
      <c r="S831" s="1" t="str">
        <f>"80-22/NOS-110/19"</f>
        <v>80-22/NOS-110/19</v>
      </c>
      <c r="T831" s="1" t="s">
        <v>32</v>
      </c>
    </row>
    <row r="832" spans="1:20" ht="51" x14ac:dyDescent="0.25">
      <c r="A832" s="6">
        <v>829</v>
      </c>
      <c r="B832" s="1" t="str">
        <f t="shared" si="73"/>
        <v>2019-2382</v>
      </c>
      <c r="C832" s="1" t="s">
        <v>1114</v>
      </c>
      <c r="D832" s="1" t="s">
        <v>1116</v>
      </c>
      <c r="E832" s="1" t="str">
        <f>""</f>
        <v/>
      </c>
      <c r="F832" s="1" t="s">
        <v>28</v>
      </c>
      <c r="G832" s="1" t="str">
        <f t="shared" si="74"/>
        <v>AUTOMEHANIKA D.D., KOVINSKA 4, 10000 ZAGREB, OIB: 5223317126</v>
      </c>
      <c r="H832" s="7"/>
      <c r="I832" s="8" t="s">
        <v>402</v>
      </c>
      <c r="J832" s="8" t="s">
        <v>519</v>
      </c>
      <c r="K832" s="6" t="str">
        <f>"2.890,75"</f>
        <v>2.890,75</v>
      </c>
      <c r="L832" s="6" t="str">
        <f>"722,69"</f>
        <v>722,69</v>
      </c>
      <c r="M832" s="6" t="str">
        <f>"3.613,44"</f>
        <v>3.613,44</v>
      </c>
      <c r="N832" s="8" t="s">
        <v>214</v>
      </c>
      <c r="O832" s="7"/>
      <c r="P832" s="2" t="s">
        <v>6182</v>
      </c>
      <c r="Q832" s="7"/>
      <c r="R832" s="1"/>
      <c r="S832" s="1" t="str">
        <f>"82-22/NOS-110/19"</f>
        <v>82-22/NOS-110/19</v>
      </c>
      <c r="T832" s="1" t="s">
        <v>55</v>
      </c>
    </row>
    <row r="833" spans="1:20" ht="51" x14ac:dyDescent="0.25">
      <c r="A833" s="6">
        <v>830</v>
      </c>
      <c r="B833" s="1" t="str">
        <f t="shared" si="73"/>
        <v>2019-2382</v>
      </c>
      <c r="C833" s="1" t="s">
        <v>1114</v>
      </c>
      <c r="D833" s="1" t="s">
        <v>1116</v>
      </c>
      <c r="E833" s="1" t="str">
        <f>""</f>
        <v/>
      </c>
      <c r="F833" s="1" t="s">
        <v>28</v>
      </c>
      <c r="G833" s="1" t="str">
        <f t="shared" si="74"/>
        <v>AUTOMEHANIKA D.D., KOVINSKA 4, 10000 ZAGREB, OIB: 5223317126</v>
      </c>
      <c r="H833" s="7"/>
      <c r="I833" s="8" t="s">
        <v>402</v>
      </c>
      <c r="J833" s="8" t="s">
        <v>519</v>
      </c>
      <c r="K833" s="6" t="str">
        <f>"2.461,33"</f>
        <v>2.461,33</v>
      </c>
      <c r="L833" s="6" t="str">
        <f>"615,33"</f>
        <v>615,33</v>
      </c>
      <c r="M833" s="6" t="str">
        <f>"3.076,66"</f>
        <v>3.076,66</v>
      </c>
      <c r="N833" s="8" t="s">
        <v>214</v>
      </c>
      <c r="O833" s="7"/>
      <c r="P833" s="2" t="s">
        <v>6183</v>
      </c>
      <c r="Q833" s="7"/>
      <c r="R833" s="1"/>
      <c r="S833" s="1" t="str">
        <f>"83-22/NOS-110/19"</f>
        <v>83-22/NOS-110/19</v>
      </c>
      <c r="T833" s="1" t="s">
        <v>55</v>
      </c>
    </row>
    <row r="834" spans="1:20" ht="51" x14ac:dyDescent="0.25">
      <c r="A834" s="6">
        <v>831</v>
      </c>
      <c r="B834" s="1" t="str">
        <f t="shared" si="73"/>
        <v>2019-2382</v>
      </c>
      <c r="C834" s="1" t="s">
        <v>1114</v>
      </c>
      <c r="D834" s="1" t="s">
        <v>1116</v>
      </c>
      <c r="E834" s="1" t="str">
        <f>""</f>
        <v/>
      </c>
      <c r="F834" s="1" t="s">
        <v>28</v>
      </c>
      <c r="G834" s="1" t="str">
        <f t="shared" si="74"/>
        <v>AUTOMEHANIKA D.D., KOVINSKA 4, 10000 ZAGREB, OIB: 5223317126</v>
      </c>
      <c r="H834" s="7"/>
      <c r="I834" s="8" t="s">
        <v>169</v>
      </c>
      <c r="J834" s="8" t="s">
        <v>519</v>
      </c>
      <c r="K834" s="6" t="str">
        <f>"8.070,04"</f>
        <v>8.070,04</v>
      </c>
      <c r="L834" s="6" t="str">
        <f>"2.017,51"</f>
        <v>2.017,51</v>
      </c>
      <c r="M834" s="6" t="str">
        <f>"10.087,55"</f>
        <v>10.087,55</v>
      </c>
      <c r="N834" s="8" t="s">
        <v>408</v>
      </c>
      <c r="O834" s="7"/>
      <c r="P834" s="2" t="s">
        <v>6178</v>
      </c>
      <c r="Q834" s="7"/>
      <c r="R834" s="1"/>
      <c r="S834" s="1" t="str">
        <f>"64-22/NOS-110/19"</f>
        <v>64-22/NOS-110/19</v>
      </c>
      <c r="T834" s="1" t="s">
        <v>55</v>
      </c>
    </row>
    <row r="835" spans="1:20" ht="51" x14ac:dyDescent="0.25">
      <c r="A835" s="6">
        <v>832</v>
      </c>
      <c r="B835" s="1" t="str">
        <f t="shared" si="73"/>
        <v>2019-2382</v>
      </c>
      <c r="C835" s="1" t="s">
        <v>1114</v>
      </c>
      <c r="D835" s="1" t="s">
        <v>1116</v>
      </c>
      <c r="E835" s="1" t="str">
        <f>""</f>
        <v/>
      </c>
      <c r="F835" s="1" t="s">
        <v>28</v>
      </c>
      <c r="G835" s="1" t="str">
        <f t="shared" si="74"/>
        <v>AUTOMEHANIKA D.D., KOVINSKA 4, 10000 ZAGREB, OIB: 5223317126</v>
      </c>
      <c r="H835" s="7"/>
      <c r="I835" s="8" t="s">
        <v>169</v>
      </c>
      <c r="J835" s="8" t="s">
        <v>519</v>
      </c>
      <c r="K835" s="6" t="str">
        <f>"7.891,70"</f>
        <v>7.891,70</v>
      </c>
      <c r="L835" s="6" t="str">
        <f>"1.975,93"</f>
        <v>1.975,93</v>
      </c>
      <c r="M835" s="6" t="str">
        <f>"9.867,63"</f>
        <v>9.867,63</v>
      </c>
      <c r="N835" s="8" t="s">
        <v>215</v>
      </c>
      <c r="O835" s="7"/>
      <c r="P835" s="2" t="s">
        <v>6184</v>
      </c>
      <c r="Q835" s="7"/>
      <c r="R835" s="1"/>
      <c r="S835" s="1" t="str">
        <f>"85-22/NOS-110/19"</f>
        <v>85-22/NOS-110/19</v>
      </c>
      <c r="T835" s="1" t="s">
        <v>55</v>
      </c>
    </row>
    <row r="836" spans="1:20" ht="51" x14ac:dyDescent="0.25">
      <c r="A836" s="6">
        <v>833</v>
      </c>
      <c r="B836" s="1" t="str">
        <f t="shared" si="73"/>
        <v>2019-2382</v>
      </c>
      <c r="C836" s="1" t="s">
        <v>1114</v>
      </c>
      <c r="D836" s="1" t="s">
        <v>1116</v>
      </c>
      <c r="E836" s="1" t="str">
        <f>""</f>
        <v/>
      </c>
      <c r="F836" s="1" t="s">
        <v>28</v>
      </c>
      <c r="G836" s="1" t="str">
        <f t="shared" si="74"/>
        <v>AUTOMEHANIKA D.D., KOVINSKA 4, 10000 ZAGREB, OIB: 5223317126</v>
      </c>
      <c r="H836" s="7"/>
      <c r="I836" s="8" t="s">
        <v>169</v>
      </c>
      <c r="J836" s="8" t="s">
        <v>519</v>
      </c>
      <c r="K836" s="6" t="str">
        <f>"7.785,72"</f>
        <v>7.785,72</v>
      </c>
      <c r="L836" s="6" t="str">
        <f>"1.946,43"</f>
        <v>1.946,43</v>
      </c>
      <c r="M836" s="6" t="str">
        <f>"9.732,15"</f>
        <v>9.732,15</v>
      </c>
      <c r="N836" s="8" t="s">
        <v>214</v>
      </c>
      <c r="O836" s="7"/>
      <c r="P836" s="2" t="s">
        <v>6185</v>
      </c>
      <c r="Q836" s="7"/>
      <c r="R836" s="1"/>
      <c r="S836" s="1" t="str">
        <f>"84-22/NOS-110/19"</f>
        <v>84-22/NOS-110/19</v>
      </c>
      <c r="T836" s="1" t="s">
        <v>55</v>
      </c>
    </row>
    <row r="837" spans="1:20" ht="51" x14ac:dyDescent="0.25">
      <c r="A837" s="6">
        <v>834</v>
      </c>
      <c r="B837" s="1" t="str">
        <f t="shared" si="73"/>
        <v>2019-2382</v>
      </c>
      <c r="C837" s="1" t="s">
        <v>1114</v>
      </c>
      <c r="D837" s="1" t="s">
        <v>1116</v>
      </c>
      <c r="E837" s="1" t="str">
        <f>""</f>
        <v/>
      </c>
      <c r="F837" s="1" t="s">
        <v>28</v>
      </c>
      <c r="G837" s="1" t="str">
        <f t="shared" si="74"/>
        <v>AUTOMEHANIKA D.D., KOVINSKA 4, 10000 ZAGREB, OIB: 5223317126</v>
      </c>
      <c r="H837" s="7"/>
      <c r="I837" s="8" t="s">
        <v>169</v>
      </c>
      <c r="J837" s="8" t="s">
        <v>519</v>
      </c>
      <c r="K837" s="6" t="str">
        <f>"6.581,00"</f>
        <v>6.581,00</v>
      </c>
      <c r="L837" s="6" t="str">
        <f>"1.645,25"</f>
        <v>1.645,25</v>
      </c>
      <c r="M837" s="6" t="str">
        <f>"8.226,25"</f>
        <v>8.226,25</v>
      </c>
      <c r="N837" s="8" t="s">
        <v>214</v>
      </c>
      <c r="O837" s="7"/>
      <c r="P837" s="2" t="s">
        <v>6186</v>
      </c>
      <c r="Q837" s="7"/>
      <c r="R837" s="1"/>
      <c r="S837" s="1" t="str">
        <f>"76-22/NOS-110/19"</f>
        <v>76-22/NOS-110/19</v>
      </c>
      <c r="T837" s="1" t="s">
        <v>55</v>
      </c>
    </row>
    <row r="838" spans="1:20" ht="51" x14ac:dyDescent="0.25">
      <c r="A838" s="6">
        <v>835</v>
      </c>
      <c r="B838" s="1" t="str">
        <f t="shared" si="73"/>
        <v>2019-2382</v>
      </c>
      <c r="C838" s="1" t="s">
        <v>1114</v>
      </c>
      <c r="D838" s="1" t="s">
        <v>1116</v>
      </c>
      <c r="E838" s="1" t="str">
        <f>""</f>
        <v/>
      </c>
      <c r="F838" s="1" t="s">
        <v>28</v>
      </c>
      <c r="G838" s="1" t="str">
        <f t="shared" si="74"/>
        <v>AUTOMEHANIKA D.D., KOVINSKA 4, 10000 ZAGREB, OIB: 5223317126</v>
      </c>
      <c r="H838" s="7"/>
      <c r="I838" s="8" t="s">
        <v>169</v>
      </c>
      <c r="J838" s="8" t="s">
        <v>519</v>
      </c>
      <c r="K838" s="6" t="str">
        <f>"5.900,53"</f>
        <v>5.900,53</v>
      </c>
      <c r="L838" s="6" t="str">
        <f>"1.475,13"</f>
        <v>1.475,13</v>
      </c>
      <c r="M838" s="6" t="str">
        <f>"7.375,66"</f>
        <v>7.375,66</v>
      </c>
      <c r="N838" s="8" t="s">
        <v>408</v>
      </c>
      <c r="O838" s="7"/>
      <c r="P838" s="2" t="s">
        <v>6187</v>
      </c>
      <c r="Q838" s="7"/>
      <c r="R838" s="1"/>
      <c r="S838" s="1" t="str">
        <f>"81-22/NOS-110/19"</f>
        <v>81-22/NOS-110/19</v>
      </c>
      <c r="T838" s="1" t="s">
        <v>55</v>
      </c>
    </row>
    <row r="839" spans="1:20" ht="51" x14ac:dyDescent="0.25">
      <c r="A839" s="6">
        <v>836</v>
      </c>
      <c r="B839" s="1" t="str">
        <f t="shared" si="73"/>
        <v>2019-2382</v>
      </c>
      <c r="C839" s="1" t="s">
        <v>1114</v>
      </c>
      <c r="D839" s="1" t="s">
        <v>1116</v>
      </c>
      <c r="E839" s="1" t="str">
        <f>""</f>
        <v/>
      </c>
      <c r="F839" s="1" t="s">
        <v>28</v>
      </c>
      <c r="G839" s="1" t="str">
        <f t="shared" si="74"/>
        <v>AUTOMEHANIKA D.D., KOVINSKA 4, 10000 ZAGREB, OIB: 5223317126</v>
      </c>
      <c r="H839" s="7"/>
      <c r="I839" s="8" t="s">
        <v>1121</v>
      </c>
      <c r="J839" s="8" t="s">
        <v>519</v>
      </c>
      <c r="K839" s="6" t="str">
        <f>"15.790,24"</f>
        <v>15.790,24</v>
      </c>
      <c r="L839" s="6" t="str">
        <f>"3.947,56"</f>
        <v>3.947,56</v>
      </c>
      <c r="M839" s="6" t="str">
        <f>"19.737,80"</f>
        <v>19.737,80</v>
      </c>
      <c r="N839" s="8" t="s">
        <v>214</v>
      </c>
      <c r="O839" s="7"/>
      <c r="P839" s="2" t="s">
        <v>6188</v>
      </c>
      <c r="Q839" s="7"/>
      <c r="R839" s="1"/>
      <c r="S839" s="1" t="str">
        <f>"63-22/NOS-110/19"</f>
        <v>63-22/NOS-110/19</v>
      </c>
      <c r="T839" s="1" t="s">
        <v>55</v>
      </c>
    </row>
    <row r="840" spans="1:20" ht="51" x14ac:dyDescent="0.25">
      <c r="A840" s="6">
        <v>837</v>
      </c>
      <c r="B840" s="1" t="str">
        <f t="shared" si="73"/>
        <v>2019-2382</v>
      </c>
      <c r="C840" s="1" t="s">
        <v>1114</v>
      </c>
      <c r="D840" s="1" t="s">
        <v>1116</v>
      </c>
      <c r="E840" s="1" t="str">
        <f>""</f>
        <v/>
      </c>
      <c r="F840" s="1" t="s">
        <v>28</v>
      </c>
      <c r="G840" s="1" t="str">
        <f t="shared" si="74"/>
        <v>AUTOMEHANIKA D.D., KOVINSKA 4, 10000 ZAGREB, OIB: 5223317126</v>
      </c>
      <c r="H840" s="7"/>
      <c r="I840" s="8" t="s">
        <v>1121</v>
      </c>
      <c r="J840" s="8" t="s">
        <v>519</v>
      </c>
      <c r="K840" s="6" t="str">
        <f>"9.570,03"</f>
        <v>9.570,03</v>
      </c>
      <c r="L840" s="6" t="str">
        <f>"0,00"</f>
        <v>0,00</v>
      </c>
      <c r="M840" s="6" t="str">
        <f>"9.570,03"</f>
        <v>9.570,03</v>
      </c>
      <c r="N840" s="8" t="s">
        <v>124</v>
      </c>
      <c r="O840" s="7"/>
      <c r="P840" s="2" t="s">
        <v>5614</v>
      </c>
      <c r="Q840" s="7"/>
      <c r="R840" s="1"/>
      <c r="S840" s="1" t="str">
        <f>"79-22/NOS-110/19"</f>
        <v>79-22/NOS-110/19</v>
      </c>
      <c r="T840" s="1" t="s">
        <v>32</v>
      </c>
    </row>
    <row r="841" spans="1:20" ht="51" x14ac:dyDescent="0.25">
      <c r="A841" s="6">
        <v>838</v>
      </c>
      <c r="B841" s="1" t="str">
        <f t="shared" si="73"/>
        <v>2019-2382</v>
      </c>
      <c r="C841" s="1" t="s">
        <v>1114</v>
      </c>
      <c r="D841" s="1" t="s">
        <v>1116</v>
      </c>
      <c r="E841" s="1" t="str">
        <f>""</f>
        <v/>
      </c>
      <c r="F841" s="1" t="s">
        <v>28</v>
      </c>
      <c r="G841" s="1" t="str">
        <f t="shared" si="74"/>
        <v>AUTOMEHANIKA D.D., KOVINSKA 4, 10000 ZAGREB, OIB: 5223317126</v>
      </c>
      <c r="H841" s="7"/>
      <c r="I841" s="8" t="s">
        <v>428</v>
      </c>
      <c r="J841" s="8" t="s">
        <v>519</v>
      </c>
      <c r="K841" s="6" t="str">
        <f>"15.721,12"</f>
        <v>15.721,12</v>
      </c>
      <c r="L841" s="6" t="str">
        <f>"3.930,28"</f>
        <v>3.930,28</v>
      </c>
      <c r="M841" s="6" t="str">
        <f>"19.651,40"</f>
        <v>19.651,40</v>
      </c>
      <c r="N841" s="8" t="s">
        <v>214</v>
      </c>
      <c r="O841" s="7"/>
      <c r="P841" s="2" t="s">
        <v>6189</v>
      </c>
      <c r="Q841" s="7"/>
      <c r="R841" s="1"/>
      <c r="S841" s="1" t="str">
        <f>"89-22/NOS-110/19"</f>
        <v>89-22/NOS-110/19</v>
      </c>
      <c r="T841" s="1" t="s">
        <v>55</v>
      </c>
    </row>
    <row r="842" spans="1:20" ht="51" x14ac:dyDescent="0.25">
      <c r="A842" s="6">
        <v>839</v>
      </c>
      <c r="B842" s="1" t="str">
        <f t="shared" si="73"/>
        <v>2019-2382</v>
      </c>
      <c r="C842" s="1" t="s">
        <v>1114</v>
      </c>
      <c r="D842" s="1" t="s">
        <v>1116</v>
      </c>
      <c r="E842" s="1" t="str">
        <f>""</f>
        <v/>
      </c>
      <c r="F842" s="1" t="s">
        <v>28</v>
      </c>
      <c r="G842" s="1" t="str">
        <f t="shared" si="74"/>
        <v>AUTOMEHANIKA D.D., KOVINSKA 4, 10000 ZAGREB, OIB: 5223317126</v>
      </c>
      <c r="H842" s="7"/>
      <c r="I842" s="8" t="s">
        <v>910</v>
      </c>
      <c r="J842" s="8" t="s">
        <v>519</v>
      </c>
      <c r="K842" s="6" t="str">
        <f>"11.022,52"</f>
        <v>11.022,52</v>
      </c>
      <c r="L842" s="6" t="str">
        <f>"2.755,63"</f>
        <v>2.755,63</v>
      </c>
      <c r="M842" s="6" t="str">
        <f>"13.778,15"</f>
        <v>13.778,15</v>
      </c>
      <c r="N842" s="8" t="s">
        <v>408</v>
      </c>
      <c r="O842" s="7"/>
      <c r="P842" s="2" t="s">
        <v>6190</v>
      </c>
      <c r="Q842" s="7"/>
      <c r="R842" s="1"/>
      <c r="S842" s="1" t="str">
        <f>"75-22/NOS-110/19"</f>
        <v>75-22/NOS-110/19</v>
      </c>
      <c r="T842" s="1" t="s">
        <v>55</v>
      </c>
    </row>
    <row r="843" spans="1:20" ht="51" x14ac:dyDescent="0.25">
      <c r="A843" s="6">
        <v>840</v>
      </c>
      <c r="B843" s="1" t="str">
        <f t="shared" si="73"/>
        <v>2019-2382</v>
      </c>
      <c r="C843" s="1" t="s">
        <v>1114</v>
      </c>
      <c r="D843" s="1" t="s">
        <v>1116</v>
      </c>
      <c r="E843" s="1" t="str">
        <f>""</f>
        <v/>
      </c>
      <c r="F843" s="1" t="s">
        <v>28</v>
      </c>
      <c r="G843" s="1" t="str">
        <f t="shared" si="74"/>
        <v>AUTOMEHANIKA D.D., KOVINSKA 4, 10000 ZAGREB, OIB: 5223317126</v>
      </c>
      <c r="H843" s="7"/>
      <c r="I843" s="8" t="s">
        <v>431</v>
      </c>
      <c r="J843" s="8" t="s">
        <v>555</v>
      </c>
      <c r="K843" s="6" t="str">
        <f>"23.977,55"</f>
        <v>23.977,55</v>
      </c>
      <c r="L843" s="6" t="str">
        <f>"5.994,39"</f>
        <v>5.994,39</v>
      </c>
      <c r="M843" s="6" t="str">
        <f>"29.971,94"</f>
        <v>29.971,94</v>
      </c>
      <c r="N843" s="8" t="s">
        <v>285</v>
      </c>
      <c r="O843" s="7"/>
      <c r="P843" s="2" t="s">
        <v>6191</v>
      </c>
      <c r="Q843" s="7"/>
      <c r="R843" s="1"/>
      <c r="S843" s="1" t="str">
        <f>"92-22/NOS-110/19"</f>
        <v>92-22/NOS-110/19</v>
      </c>
      <c r="T843" s="1" t="s">
        <v>55</v>
      </c>
    </row>
    <row r="844" spans="1:20" ht="51" x14ac:dyDescent="0.25">
      <c r="A844" s="6">
        <v>841</v>
      </c>
      <c r="B844" s="1" t="str">
        <f t="shared" si="73"/>
        <v>2019-2382</v>
      </c>
      <c r="C844" s="1" t="s">
        <v>1114</v>
      </c>
      <c r="D844" s="1" t="s">
        <v>1116</v>
      </c>
      <c r="E844" s="1" t="str">
        <f>""</f>
        <v/>
      </c>
      <c r="F844" s="1" t="s">
        <v>28</v>
      </c>
      <c r="G844" s="1" t="str">
        <f t="shared" si="74"/>
        <v>AUTOMEHANIKA D.D., KOVINSKA 4, 10000 ZAGREB, OIB: 5223317126</v>
      </c>
      <c r="H844" s="7"/>
      <c r="I844" s="8" t="s">
        <v>431</v>
      </c>
      <c r="J844" s="8" t="s">
        <v>519</v>
      </c>
      <c r="K844" s="6" t="str">
        <f>"9.391,58"</f>
        <v>9.391,58</v>
      </c>
      <c r="L844" s="6" t="str">
        <f>"2.347,90"</f>
        <v>2.347,90</v>
      </c>
      <c r="M844" s="6" t="str">
        <f>"11.739,48"</f>
        <v>11.739,48</v>
      </c>
      <c r="N844" s="8" t="s">
        <v>374</v>
      </c>
      <c r="O844" s="7"/>
      <c r="P844" s="2" t="s">
        <v>6192</v>
      </c>
      <c r="Q844" s="7"/>
      <c r="R844" s="1"/>
      <c r="S844" s="1" t="str">
        <f>"96-22/NOS-110/19"</f>
        <v>96-22/NOS-110/19</v>
      </c>
      <c r="T844" s="1" t="s">
        <v>32</v>
      </c>
    </row>
    <row r="845" spans="1:20" ht="51" x14ac:dyDescent="0.25">
      <c r="A845" s="6">
        <v>842</v>
      </c>
      <c r="B845" s="1" t="str">
        <f t="shared" si="73"/>
        <v>2019-2382</v>
      </c>
      <c r="C845" s="1" t="s">
        <v>1114</v>
      </c>
      <c r="D845" s="1" t="s">
        <v>1116</v>
      </c>
      <c r="E845" s="1" t="str">
        <f>""</f>
        <v/>
      </c>
      <c r="F845" s="1" t="s">
        <v>28</v>
      </c>
      <c r="G845" s="1" t="str">
        <f t="shared" si="74"/>
        <v>AUTOMEHANIKA D.D., KOVINSKA 4, 10000 ZAGREB, OIB: 5223317126</v>
      </c>
      <c r="H845" s="7"/>
      <c r="I845" s="8" t="s">
        <v>431</v>
      </c>
      <c r="J845" s="8" t="s">
        <v>519</v>
      </c>
      <c r="K845" s="6" t="str">
        <f>"3.022,16"</f>
        <v>3.022,16</v>
      </c>
      <c r="L845" s="6" t="str">
        <f>"755,54"</f>
        <v>755,54</v>
      </c>
      <c r="M845" s="6" t="str">
        <f>"3.777,70"</f>
        <v>3.777,70</v>
      </c>
      <c r="N845" s="8" t="s">
        <v>374</v>
      </c>
      <c r="O845" s="7"/>
      <c r="P845" s="2" t="s">
        <v>6193</v>
      </c>
      <c r="Q845" s="7"/>
      <c r="R845" s="1"/>
      <c r="S845" s="1" t="str">
        <f>"100-22/NOS-110/19"</f>
        <v>100-22/NOS-110/19</v>
      </c>
      <c r="T845" s="1" t="s">
        <v>32</v>
      </c>
    </row>
    <row r="846" spans="1:20" ht="51" x14ac:dyDescent="0.25">
      <c r="A846" s="6">
        <v>843</v>
      </c>
      <c r="B846" s="1" t="str">
        <f t="shared" si="73"/>
        <v>2019-2382</v>
      </c>
      <c r="C846" s="1" t="s">
        <v>1114</v>
      </c>
      <c r="D846" s="1" t="s">
        <v>1116</v>
      </c>
      <c r="E846" s="1" t="str">
        <f>""</f>
        <v/>
      </c>
      <c r="F846" s="1" t="s">
        <v>28</v>
      </c>
      <c r="G846" s="1" t="str">
        <f t="shared" si="74"/>
        <v>AUTOMEHANIKA D.D., KOVINSKA 4, 10000 ZAGREB, OIB: 5223317126</v>
      </c>
      <c r="H846" s="7"/>
      <c r="I846" s="8" t="s">
        <v>431</v>
      </c>
      <c r="J846" s="8" t="s">
        <v>519</v>
      </c>
      <c r="K846" s="6" t="str">
        <f>"4.234,97"</f>
        <v>4.234,97</v>
      </c>
      <c r="L846" s="6" t="str">
        <f>"1.058,74"</f>
        <v>1.058,74</v>
      </c>
      <c r="M846" s="6" t="str">
        <f>"5.293,71"</f>
        <v>5.293,71</v>
      </c>
      <c r="N846" s="8" t="s">
        <v>374</v>
      </c>
      <c r="O846" s="7"/>
      <c r="P846" s="2" t="s">
        <v>6194</v>
      </c>
      <c r="Q846" s="7"/>
      <c r="R846" s="1"/>
      <c r="S846" s="1" t="str">
        <f>"98-22/NOS-110/19"</f>
        <v>98-22/NOS-110/19</v>
      </c>
      <c r="T846" s="1" t="s">
        <v>32</v>
      </c>
    </row>
    <row r="847" spans="1:20" ht="51" x14ac:dyDescent="0.25">
      <c r="A847" s="6">
        <v>844</v>
      </c>
      <c r="B847" s="1" t="str">
        <f t="shared" ref="B847:B878" si="75">"2019-2382"</f>
        <v>2019-2382</v>
      </c>
      <c r="C847" s="1" t="s">
        <v>1114</v>
      </c>
      <c r="D847" s="1" t="s">
        <v>1116</v>
      </c>
      <c r="E847" s="1" t="str">
        <f>""</f>
        <v/>
      </c>
      <c r="F847" s="1" t="s">
        <v>28</v>
      </c>
      <c r="G847" s="1" t="str">
        <f t="shared" si="74"/>
        <v>AUTOMEHANIKA D.D., KOVINSKA 4, 10000 ZAGREB, OIB: 5223317126</v>
      </c>
      <c r="H847" s="7"/>
      <c r="I847" s="8" t="s">
        <v>431</v>
      </c>
      <c r="J847" s="8" t="s">
        <v>555</v>
      </c>
      <c r="K847" s="6" t="str">
        <f>"4.875,38"</f>
        <v>4.875,38</v>
      </c>
      <c r="L847" s="6" t="str">
        <f>"1.218,85"</f>
        <v>1.218,85</v>
      </c>
      <c r="M847" s="6" t="str">
        <f>"6.094,23"</f>
        <v>6.094,23</v>
      </c>
      <c r="N847" s="8" t="s">
        <v>1122</v>
      </c>
      <c r="O847" s="7"/>
      <c r="P847" s="2" t="s">
        <v>6195</v>
      </c>
      <c r="Q847" s="7"/>
      <c r="R847" s="1"/>
      <c r="S847" s="1" t="str">
        <f>"94-22/NOS-110/19"</f>
        <v>94-22/NOS-110/19</v>
      </c>
      <c r="T847" s="1" t="s">
        <v>55</v>
      </c>
    </row>
    <row r="848" spans="1:20" ht="51" x14ac:dyDescent="0.25">
      <c r="A848" s="6">
        <v>845</v>
      </c>
      <c r="B848" s="1" t="str">
        <f t="shared" si="75"/>
        <v>2019-2382</v>
      </c>
      <c r="C848" s="1" t="s">
        <v>1114</v>
      </c>
      <c r="D848" s="1" t="s">
        <v>1116</v>
      </c>
      <c r="E848" s="1" t="str">
        <f>""</f>
        <v/>
      </c>
      <c r="F848" s="1" t="s">
        <v>28</v>
      </c>
      <c r="G848" s="1" t="str">
        <f t="shared" ref="G848:G879" si="76">CONCATENATE("AUTOMEHANIKA D.D.,"," KOVINSKA 4,"," 10000 ZAGREB,"," OIB: 5223317126")</f>
        <v>AUTOMEHANIKA D.D., KOVINSKA 4, 10000 ZAGREB, OIB: 5223317126</v>
      </c>
      <c r="H848" s="7"/>
      <c r="I848" s="8" t="s">
        <v>431</v>
      </c>
      <c r="J848" s="8" t="s">
        <v>519</v>
      </c>
      <c r="K848" s="6" t="str">
        <f>"1.528,36"</f>
        <v>1.528,36</v>
      </c>
      <c r="L848" s="6" t="str">
        <f>"382,09"</f>
        <v>382,09</v>
      </c>
      <c r="M848" s="6" t="str">
        <f>"1.910,45"</f>
        <v>1.910,45</v>
      </c>
      <c r="N848" s="8" t="s">
        <v>285</v>
      </c>
      <c r="O848" s="7"/>
      <c r="P848" s="2" t="s">
        <v>6196</v>
      </c>
      <c r="Q848" s="7"/>
      <c r="R848" s="1"/>
      <c r="S848" s="1" t="str">
        <f>"93-22/NOS-110/19"</f>
        <v>93-22/NOS-110/19</v>
      </c>
      <c r="T848" s="1" t="s">
        <v>55</v>
      </c>
    </row>
    <row r="849" spans="1:20" ht="51" x14ac:dyDescent="0.25">
      <c r="A849" s="6">
        <v>846</v>
      </c>
      <c r="B849" s="1" t="str">
        <f t="shared" si="75"/>
        <v>2019-2382</v>
      </c>
      <c r="C849" s="1" t="s">
        <v>1114</v>
      </c>
      <c r="D849" s="1" t="s">
        <v>1116</v>
      </c>
      <c r="E849" s="1" t="str">
        <f>""</f>
        <v/>
      </c>
      <c r="F849" s="1" t="s">
        <v>28</v>
      </c>
      <c r="G849" s="1" t="str">
        <f t="shared" si="76"/>
        <v>AUTOMEHANIKA D.D., KOVINSKA 4, 10000 ZAGREB, OIB: 5223317126</v>
      </c>
      <c r="H849" s="7"/>
      <c r="I849" s="8" t="s">
        <v>431</v>
      </c>
      <c r="J849" s="8" t="s">
        <v>519</v>
      </c>
      <c r="K849" s="6" t="str">
        <f>"10.796,63"</f>
        <v>10.796,63</v>
      </c>
      <c r="L849" s="6" t="str">
        <f>"2.699,16"</f>
        <v>2.699,16</v>
      </c>
      <c r="M849" s="6" t="str">
        <f>"13.495,79"</f>
        <v>13.495,79</v>
      </c>
      <c r="N849" s="8" t="s">
        <v>420</v>
      </c>
      <c r="O849" s="7"/>
      <c r="P849" s="2" t="s">
        <v>6197</v>
      </c>
      <c r="Q849" s="7"/>
      <c r="R849" s="1"/>
      <c r="S849" s="1" t="str">
        <f>"101-22/NOS-110/19"</f>
        <v>101-22/NOS-110/19</v>
      </c>
      <c r="T849" s="1" t="s">
        <v>32</v>
      </c>
    </row>
    <row r="850" spans="1:20" ht="51" x14ac:dyDescent="0.25">
      <c r="A850" s="6">
        <v>847</v>
      </c>
      <c r="B850" s="1" t="str">
        <f t="shared" si="75"/>
        <v>2019-2382</v>
      </c>
      <c r="C850" s="1" t="s">
        <v>1114</v>
      </c>
      <c r="D850" s="1" t="s">
        <v>1116</v>
      </c>
      <c r="E850" s="1" t="str">
        <f>""</f>
        <v/>
      </c>
      <c r="F850" s="1" t="s">
        <v>28</v>
      </c>
      <c r="G850" s="1" t="str">
        <f t="shared" si="76"/>
        <v>AUTOMEHANIKA D.D., KOVINSKA 4, 10000 ZAGREB, OIB: 5223317126</v>
      </c>
      <c r="H850" s="7"/>
      <c r="I850" s="8" t="s">
        <v>565</v>
      </c>
      <c r="J850" s="8" t="s">
        <v>519</v>
      </c>
      <c r="K850" s="6" t="str">
        <f>"893,41"</f>
        <v>893,41</v>
      </c>
      <c r="L850" s="6" t="str">
        <f>"223,35"</f>
        <v>223,35</v>
      </c>
      <c r="M850" s="6" t="str">
        <f>"1.116,76"</f>
        <v>1.116,76</v>
      </c>
      <c r="N850" s="8" t="s">
        <v>310</v>
      </c>
      <c r="O850" s="7"/>
      <c r="P850" s="2" t="s">
        <v>6198</v>
      </c>
      <c r="Q850" s="7"/>
      <c r="R850" s="1"/>
      <c r="S850" s="1" t="str">
        <f>"107-22/NOS-110/19"</f>
        <v>107-22/NOS-110/19</v>
      </c>
      <c r="T850" s="1" t="s">
        <v>55</v>
      </c>
    </row>
    <row r="851" spans="1:20" ht="51" x14ac:dyDescent="0.25">
      <c r="A851" s="6">
        <v>848</v>
      </c>
      <c r="B851" s="1" t="str">
        <f t="shared" si="75"/>
        <v>2019-2382</v>
      </c>
      <c r="C851" s="1" t="s">
        <v>1114</v>
      </c>
      <c r="D851" s="1" t="s">
        <v>1116</v>
      </c>
      <c r="E851" s="1" t="str">
        <f>""</f>
        <v/>
      </c>
      <c r="F851" s="1" t="s">
        <v>28</v>
      </c>
      <c r="G851" s="1" t="str">
        <f t="shared" si="76"/>
        <v>AUTOMEHANIKA D.D., KOVINSKA 4, 10000 ZAGREB, OIB: 5223317126</v>
      </c>
      <c r="H851" s="7"/>
      <c r="I851" s="8" t="s">
        <v>565</v>
      </c>
      <c r="J851" s="8" t="s">
        <v>519</v>
      </c>
      <c r="K851" s="6" t="str">
        <f>"8.316,85"</f>
        <v>8.316,85</v>
      </c>
      <c r="L851" s="6" t="str">
        <f>"2.079,21"</f>
        <v>2.079,21</v>
      </c>
      <c r="M851" s="6" t="str">
        <f>"10.396,06"</f>
        <v>10.396,06</v>
      </c>
      <c r="N851" s="8" t="s">
        <v>310</v>
      </c>
      <c r="O851" s="7"/>
      <c r="P851" s="2" t="s">
        <v>6199</v>
      </c>
      <c r="Q851" s="7"/>
      <c r="R851" s="1"/>
      <c r="S851" s="1" t="str">
        <f>"108-22/NOS-110/19"</f>
        <v>108-22/NOS-110/19</v>
      </c>
      <c r="T851" s="1" t="s">
        <v>55</v>
      </c>
    </row>
    <row r="852" spans="1:20" ht="51" x14ac:dyDescent="0.25">
      <c r="A852" s="6">
        <v>849</v>
      </c>
      <c r="B852" s="1" t="str">
        <f t="shared" si="75"/>
        <v>2019-2382</v>
      </c>
      <c r="C852" s="1" t="s">
        <v>1114</v>
      </c>
      <c r="D852" s="1" t="s">
        <v>1116</v>
      </c>
      <c r="E852" s="1" t="str">
        <f>""</f>
        <v/>
      </c>
      <c r="F852" s="1" t="s">
        <v>28</v>
      </c>
      <c r="G852" s="1" t="str">
        <f t="shared" si="76"/>
        <v>AUTOMEHANIKA D.D., KOVINSKA 4, 10000 ZAGREB, OIB: 5223317126</v>
      </c>
      <c r="H852" s="7"/>
      <c r="I852" s="8" t="s">
        <v>285</v>
      </c>
      <c r="J852" s="8" t="s">
        <v>519</v>
      </c>
      <c r="K852" s="6" t="str">
        <f>"9.370,65"</f>
        <v>9.370,65</v>
      </c>
      <c r="L852" s="6" t="str">
        <f>"0,00"</f>
        <v>0,00</v>
      </c>
      <c r="M852" s="6" t="str">
        <f>"9.370,65"</f>
        <v>9.370,65</v>
      </c>
      <c r="N852" s="8" t="s">
        <v>124</v>
      </c>
      <c r="O852" s="7"/>
      <c r="P852" s="2" t="s">
        <v>5614</v>
      </c>
      <c r="Q852" s="7"/>
      <c r="R852" s="1"/>
      <c r="S852" s="1" t="str">
        <f>"95-22/NOS-110/19"</f>
        <v>95-22/NOS-110/19</v>
      </c>
      <c r="T852" s="1" t="s">
        <v>32</v>
      </c>
    </row>
    <row r="853" spans="1:20" ht="51" x14ac:dyDescent="0.25">
      <c r="A853" s="6">
        <v>850</v>
      </c>
      <c r="B853" s="1" t="str">
        <f t="shared" si="75"/>
        <v>2019-2382</v>
      </c>
      <c r="C853" s="1" t="s">
        <v>1114</v>
      </c>
      <c r="D853" s="1" t="s">
        <v>1116</v>
      </c>
      <c r="E853" s="1" t="str">
        <f>""</f>
        <v/>
      </c>
      <c r="F853" s="1" t="s">
        <v>28</v>
      </c>
      <c r="G853" s="1" t="str">
        <f t="shared" si="76"/>
        <v>AUTOMEHANIKA D.D., KOVINSKA 4, 10000 ZAGREB, OIB: 5223317126</v>
      </c>
      <c r="H853" s="7"/>
      <c r="I853" s="8" t="s">
        <v>1122</v>
      </c>
      <c r="J853" s="8" t="s">
        <v>519</v>
      </c>
      <c r="K853" s="6" t="str">
        <f>"2.997,71"</f>
        <v>2.997,71</v>
      </c>
      <c r="L853" s="6" t="str">
        <f>"749,43"</f>
        <v>749,43</v>
      </c>
      <c r="M853" s="6" t="str">
        <f>"3.747,14"</f>
        <v>3.747,14</v>
      </c>
      <c r="N853" s="8" t="s">
        <v>31</v>
      </c>
      <c r="O853" s="7"/>
      <c r="P853" s="2" t="s">
        <v>6200</v>
      </c>
      <c r="Q853" s="7"/>
      <c r="R853" s="1"/>
      <c r="S853" s="1" t="str">
        <f>"102-22/NOS-110/19"</f>
        <v>102-22/NOS-110/19</v>
      </c>
      <c r="T853" s="1" t="s">
        <v>32</v>
      </c>
    </row>
    <row r="854" spans="1:20" ht="51" x14ac:dyDescent="0.25">
      <c r="A854" s="6">
        <v>851</v>
      </c>
      <c r="B854" s="1" t="str">
        <f t="shared" si="75"/>
        <v>2019-2382</v>
      </c>
      <c r="C854" s="1" t="s">
        <v>1114</v>
      </c>
      <c r="D854" s="1" t="s">
        <v>1116</v>
      </c>
      <c r="E854" s="1" t="str">
        <f>""</f>
        <v/>
      </c>
      <c r="F854" s="1" t="s">
        <v>28</v>
      </c>
      <c r="G854" s="1" t="str">
        <f t="shared" si="76"/>
        <v>AUTOMEHANIKA D.D., KOVINSKA 4, 10000 ZAGREB, OIB: 5223317126</v>
      </c>
      <c r="H854" s="7"/>
      <c r="I854" s="8" t="s">
        <v>1122</v>
      </c>
      <c r="J854" s="8" t="s">
        <v>519</v>
      </c>
      <c r="K854" s="6" t="str">
        <f>"588,16"</f>
        <v>588,16</v>
      </c>
      <c r="L854" s="6" t="str">
        <f>"0,00"</f>
        <v>0,00</v>
      </c>
      <c r="M854" s="6" t="str">
        <f>"588,16"</f>
        <v>588,16</v>
      </c>
      <c r="N854" s="8" t="s">
        <v>124</v>
      </c>
      <c r="O854" s="7"/>
      <c r="P854" s="2" t="s">
        <v>5614</v>
      </c>
      <c r="Q854" s="7"/>
      <c r="R854" s="1"/>
      <c r="S854" s="1" t="str">
        <f>"111-22/NOS-110/19"</f>
        <v>111-22/NOS-110/19</v>
      </c>
      <c r="T854" s="1" t="s">
        <v>55</v>
      </c>
    </row>
    <row r="855" spans="1:20" ht="51" x14ac:dyDescent="0.25">
      <c r="A855" s="6">
        <v>852</v>
      </c>
      <c r="B855" s="1" t="str">
        <f t="shared" si="75"/>
        <v>2019-2382</v>
      </c>
      <c r="C855" s="1" t="s">
        <v>1114</v>
      </c>
      <c r="D855" s="1" t="s">
        <v>1116</v>
      </c>
      <c r="E855" s="1" t="str">
        <f>""</f>
        <v/>
      </c>
      <c r="F855" s="1" t="s">
        <v>28</v>
      </c>
      <c r="G855" s="1" t="str">
        <f t="shared" si="76"/>
        <v>AUTOMEHANIKA D.D., KOVINSKA 4, 10000 ZAGREB, OIB: 5223317126</v>
      </c>
      <c r="H855" s="7"/>
      <c r="I855" s="8" t="s">
        <v>1122</v>
      </c>
      <c r="J855" s="8" t="s">
        <v>519</v>
      </c>
      <c r="K855" s="6" t="str">
        <f>"36.447,98"</f>
        <v>36.447,98</v>
      </c>
      <c r="L855" s="6" t="str">
        <f>"0,00"</f>
        <v>0,00</v>
      </c>
      <c r="M855" s="6" t="str">
        <f>"36.447,98"</f>
        <v>36.447,98</v>
      </c>
      <c r="N855" s="8" t="s">
        <v>124</v>
      </c>
      <c r="O855" s="7"/>
      <c r="P855" s="2" t="s">
        <v>5614</v>
      </c>
      <c r="Q855" s="7"/>
      <c r="R855" s="1"/>
      <c r="S855" s="1" t="str">
        <f>"110-22/NOS-110/19"</f>
        <v>110-22/NOS-110/19</v>
      </c>
      <c r="T855" s="1" t="s">
        <v>32</v>
      </c>
    </row>
    <row r="856" spans="1:20" ht="51" x14ac:dyDescent="0.25">
      <c r="A856" s="6">
        <v>853</v>
      </c>
      <c r="B856" s="1" t="str">
        <f t="shared" si="75"/>
        <v>2019-2382</v>
      </c>
      <c r="C856" s="1" t="s">
        <v>1114</v>
      </c>
      <c r="D856" s="1" t="s">
        <v>1116</v>
      </c>
      <c r="E856" s="1" t="str">
        <f>""</f>
        <v/>
      </c>
      <c r="F856" s="1" t="s">
        <v>28</v>
      </c>
      <c r="G856" s="1" t="str">
        <f t="shared" si="76"/>
        <v>AUTOMEHANIKA D.D., KOVINSKA 4, 10000 ZAGREB, OIB: 5223317126</v>
      </c>
      <c r="H856" s="7"/>
      <c r="I856" s="8" t="s">
        <v>1122</v>
      </c>
      <c r="J856" s="8" t="s">
        <v>519</v>
      </c>
      <c r="K856" s="6" t="str">
        <f>"21.385,28"</f>
        <v>21.385,28</v>
      </c>
      <c r="L856" s="6" t="str">
        <f>"5.346,32"</f>
        <v>5.346,32</v>
      </c>
      <c r="M856" s="6" t="str">
        <f>"26.731,60"</f>
        <v>26.731,60</v>
      </c>
      <c r="N856" s="8" t="s">
        <v>409</v>
      </c>
      <c r="O856" s="7"/>
      <c r="P856" s="2" t="s">
        <v>6201</v>
      </c>
      <c r="Q856" s="7"/>
      <c r="R856" s="1"/>
      <c r="S856" s="1" t="str">
        <f>"113-22/NOS-110/19"</f>
        <v>113-22/NOS-110/19</v>
      </c>
      <c r="T856" s="1" t="s">
        <v>32</v>
      </c>
    </row>
    <row r="857" spans="1:20" ht="51" x14ac:dyDescent="0.25">
      <c r="A857" s="6">
        <v>854</v>
      </c>
      <c r="B857" s="1" t="str">
        <f t="shared" si="75"/>
        <v>2019-2382</v>
      </c>
      <c r="C857" s="1" t="s">
        <v>1114</v>
      </c>
      <c r="D857" s="1" t="s">
        <v>1116</v>
      </c>
      <c r="E857" s="1" t="str">
        <f>""</f>
        <v/>
      </c>
      <c r="F857" s="1" t="s">
        <v>28</v>
      </c>
      <c r="G857" s="1" t="str">
        <f t="shared" si="76"/>
        <v>AUTOMEHANIKA D.D., KOVINSKA 4, 10000 ZAGREB, OIB: 5223317126</v>
      </c>
      <c r="H857" s="7"/>
      <c r="I857" s="8" t="s">
        <v>374</v>
      </c>
      <c r="J857" s="8" t="s">
        <v>519</v>
      </c>
      <c r="K857" s="6" t="str">
        <f>"16.867,56"</f>
        <v>16.867,56</v>
      </c>
      <c r="L857" s="6" t="str">
        <f>"0,00"</f>
        <v>0,00</v>
      </c>
      <c r="M857" s="6" t="str">
        <f>"16.867,56"</f>
        <v>16.867,56</v>
      </c>
      <c r="N857" s="8" t="s">
        <v>124</v>
      </c>
      <c r="O857" s="7"/>
      <c r="P857" s="2" t="s">
        <v>5614</v>
      </c>
      <c r="Q857" s="7"/>
      <c r="R857" s="1"/>
      <c r="S857" s="1" t="str">
        <f>"97-22/NOS-110/19"</f>
        <v>97-22/NOS-110/19</v>
      </c>
      <c r="T857" s="1" t="s">
        <v>32</v>
      </c>
    </row>
    <row r="858" spans="1:20" ht="51" x14ac:dyDescent="0.25">
      <c r="A858" s="6">
        <v>855</v>
      </c>
      <c r="B858" s="1" t="str">
        <f t="shared" si="75"/>
        <v>2019-2382</v>
      </c>
      <c r="C858" s="1" t="s">
        <v>1114</v>
      </c>
      <c r="D858" s="1" t="s">
        <v>1116</v>
      </c>
      <c r="E858" s="1" t="str">
        <f>""</f>
        <v/>
      </c>
      <c r="F858" s="1" t="s">
        <v>28</v>
      </c>
      <c r="G858" s="1" t="str">
        <f t="shared" si="76"/>
        <v>AUTOMEHANIKA D.D., KOVINSKA 4, 10000 ZAGREB, OIB: 5223317126</v>
      </c>
      <c r="H858" s="7"/>
      <c r="I858" s="8" t="s">
        <v>374</v>
      </c>
      <c r="J858" s="8" t="s">
        <v>519</v>
      </c>
      <c r="K858" s="6" t="str">
        <f>"675,84"</f>
        <v>675,84</v>
      </c>
      <c r="L858" s="6" t="str">
        <f>"168,96"</f>
        <v>168,96</v>
      </c>
      <c r="M858" s="6" t="str">
        <f>"844,80"</f>
        <v>844,80</v>
      </c>
      <c r="N858" s="8" t="s">
        <v>414</v>
      </c>
      <c r="O858" s="7"/>
      <c r="P858" s="2" t="s">
        <v>6202</v>
      </c>
      <c r="Q858" s="7"/>
      <c r="R858" s="1"/>
      <c r="S858" s="1" t="str">
        <f>"115-22/NOS-110/19"</f>
        <v>115-22/NOS-110/19</v>
      </c>
      <c r="T858" s="1" t="s">
        <v>32</v>
      </c>
    </row>
    <row r="859" spans="1:20" ht="51" x14ac:dyDescent="0.25">
      <c r="A859" s="6">
        <v>856</v>
      </c>
      <c r="B859" s="1" t="str">
        <f t="shared" si="75"/>
        <v>2019-2382</v>
      </c>
      <c r="C859" s="1" t="s">
        <v>1114</v>
      </c>
      <c r="D859" s="1" t="s">
        <v>1116</v>
      </c>
      <c r="E859" s="1" t="str">
        <f>""</f>
        <v/>
      </c>
      <c r="F859" s="1" t="s">
        <v>28</v>
      </c>
      <c r="G859" s="1" t="str">
        <f t="shared" si="76"/>
        <v>AUTOMEHANIKA D.D., KOVINSKA 4, 10000 ZAGREB, OIB: 5223317126</v>
      </c>
      <c r="H859" s="7"/>
      <c r="I859" s="8" t="s">
        <v>374</v>
      </c>
      <c r="J859" s="8" t="s">
        <v>519</v>
      </c>
      <c r="K859" s="6" t="str">
        <f>"5.724,26"</f>
        <v>5.724,26</v>
      </c>
      <c r="L859" s="6" t="str">
        <f>"1.431,07"</f>
        <v>1.431,07</v>
      </c>
      <c r="M859" s="6" t="str">
        <f>"7.155,33"</f>
        <v>7.155,33</v>
      </c>
      <c r="N859" s="8" t="s">
        <v>414</v>
      </c>
      <c r="O859" s="7"/>
      <c r="P859" s="2" t="s">
        <v>6203</v>
      </c>
      <c r="Q859" s="7"/>
      <c r="R859" s="1"/>
      <c r="S859" s="1" t="str">
        <f>"109-22/NOS-110/19"</f>
        <v>109-22/NOS-110/19</v>
      </c>
      <c r="T859" s="1" t="s">
        <v>32</v>
      </c>
    </row>
    <row r="860" spans="1:20" ht="51" x14ac:dyDescent="0.25">
      <c r="A860" s="6">
        <v>857</v>
      </c>
      <c r="B860" s="1" t="str">
        <f t="shared" si="75"/>
        <v>2019-2382</v>
      </c>
      <c r="C860" s="1" t="s">
        <v>1114</v>
      </c>
      <c r="D860" s="1" t="s">
        <v>1116</v>
      </c>
      <c r="E860" s="1" t="str">
        <f>""</f>
        <v/>
      </c>
      <c r="F860" s="1" t="s">
        <v>28</v>
      </c>
      <c r="G860" s="1" t="str">
        <f t="shared" si="76"/>
        <v>AUTOMEHANIKA D.D., KOVINSKA 4, 10000 ZAGREB, OIB: 5223317126</v>
      </c>
      <c r="H860" s="7"/>
      <c r="I860" s="8" t="s">
        <v>374</v>
      </c>
      <c r="J860" s="8" t="s">
        <v>519</v>
      </c>
      <c r="K860" s="6" t="str">
        <f>"1.165,39"</f>
        <v>1.165,39</v>
      </c>
      <c r="L860" s="6" t="str">
        <f>"291,35"</f>
        <v>291,35</v>
      </c>
      <c r="M860" s="6" t="str">
        <f>"1.456,74"</f>
        <v>1.456,74</v>
      </c>
      <c r="N860" s="8" t="s">
        <v>414</v>
      </c>
      <c r="O860" s="7"/>
      <c r="P860" s="2" t="s">
        <v>6204</v>
      </c>
      <c r="Q860" s="7"/>
      <c r="R860" s="1"/>
      <c r="S860" s="1" t="str">
        <f>"114-22/NOS-110/19"</f>
        <v>114-22/NOS-110/19</v>
      </c>
      <c r="T860" s="1" t="s">
        <v>32</v>
      </c>
    </row>
    <row r="861" spans="1:20" ht="51" x14ac:dyDescent="0.25">
      <c r="A861" s="6">
        <v>858</v>
      </c>
      <c r="B861" s="1" t="str">
        <f t="shared" si="75"/>
        <v>2019-2382</v>
      </c>
      <c r="C861" s="1" t="s">
        <v>1114</v>
      </c>
      <c r="D861" s="1" t="s">
        <v>1116</v>
      </c>
      <c r="E861" s="1" t="str">
        <f>""</f>
        <v/>
      </c>
      <c r="F861" s="1" t="s">
        <v>28</v>
      </c>
      <c r="G861" s="1" t="str">
        <f t="shared" si="76"/>
        <v>AUTOMEHANIKA D.D., KOVINSKA 4, 10000 ZAGREB, OIB: 5223317126</v>
      </c>
      <c r="H861" s="7"/>
      <c r="I861" s="8" t="s">
        <v>310</v>
      </c>
      <c r="J861" s="8" t="s">
        <v>519</v>
      </c>
      <c r="K861" s="6" t="str">
        <f>"19.414,07"</f>
        <v>19.414,07</v>
      </c>
      <c r="L861" s="6" t="str">
        <f>"4.853,52"</f>
        <v>4.853,52</v>
      </c>
      <c r="M861" s="6" t="str">
        <f>"24.267,59"</f>
        <v>24.267,59</v>
      </c>
      <c r="N861" s="8" t="s">
        <v>732</v>
      </c>
      <c r="O861" s="7"/>
      <c r="P861" s="2" t="s">
        <v>6205</v>
      </c>
      <c r="Q861" s="7"/>
      <c r="R861" s="1"/>
      <c r="S861" s="1" t="str">
        <f>"112-22/NOS-110/19"</f>
        <v>112-22/NOS-110/19</v>
      </c>
      <c r="T861" s="1" t="s">
        <v>32</v>
      </c>
    </row>
    <row r="862" spans="1:20" ht="51" x14ac:dyDescent="0.25">
      <c r="A862" s="6">
        <v>859</v>
      </c>
      <c r="B862" s="1" t="str">
        <f t="shared" si="75"/>
        <v>2019-2382</v>
      </c>
      <c r="C862" s="1" t="s">
        <v>1114</v>
      </c>
      <c r="D862" s="1" t="s">
        <v>1116</v>
      </c>
      <c r="E862" s="1" t="str">
        <f>""</f>
        <v/>
      </c>
      <c r="F862" s="1" t="s">
        <v>28</v>
      </c>
      <c r="G862" s="1" t="str">
        <f t="shared" si="76"/>
        <v>AUTOMEHANIKA D.D., KOVINSKA 4, 10000 ZAGREB, OIB: 5223317126</v>
      </c>
      <c r="H862" s="7"/>
      <c r="I862" s="8" t="s">
        <v>310</v>
      </c>
      <c r="J862" s="8" t="s">
        <v>519</v>
      </c>
      <c r="K862" s="6" t="str">
        <f>"12.124,77"</f>
        <v>12.124,77</v>
      </c>
      <c r="L862" s="6" t="str">
        <f>"0,00"</f>
        <v>0,00</v>
      </c>
      <c r="M862" s="6" t="str">
        <f>"12.124,77"</f>
        <v>12.124,77</v>
      </c>
      <c r="N862" s="8" t="s">
        <v>124</v>
      </c>
      <c r="O862" s="7"/>
      <c r="P862" s="2" t="s">
        <v>5614</v>
      </c>
      <c r="Q862" s="7"/>
      <c r="R862" s="1"/>
      <c r="S862" s="1" t="str">
        <f>"104-22/NOS-110/19"</f>
        <v>104-22/NOS-110/19</v>
      </c>
      <c r="T862" s="1" t="s">
        <v>32</v>
      </c>
    </row>
    <row r="863" spans="1:20" ht="51" x14ac:dyDescent="0.25">
      <c r="A863" s="6">
        <v>860</v>
      </c>
      <c r="B863" s="1" t="str">
        <f t="shared" si="75"/>
        <v>2019-2382</v>
      </c>
      <c r="C863" s="1" t="s">
        <v>1114</v>
      </c>
      <c r="D863" s="1" t="s">
        <v>1116</v>
      </c>
      <c r="E863" s="1" t="str">
        <f>""</f>
        <v/>
      </c>
      <c r="F863" s="1" t="s">
        <v>28</v>
      </c>
      <c r="G863" s="1" t="str">
        <f t="shared" si="76"/>
        <v>AUTOMEHANIKA D.D., KOVINSKA 4, 10000 ZAGREB, OIB: 5223317126</v>
      </c>
      <c r="H863" s="7"/>
      <c r="I863" s="8" t="s">
        <v>567</v>
      </c>
      <c r="J863" s="8" t="s">
        <v>519</v>
      </c>
      <c r="K863" s="6" t="str">
        <f>"9.080,51"</f>
        <v>9.080,51</v>
      </c>
      <c r="L863" s="6" t="str">
        <f>"2.270,13"</f>
        <v>2.270,13</v>
      </c>
      <c r="M863" s="6" t="str">
        <f>"11.350,64"</f>
        <v>11.350,64</v>
      </c>
      <c r="N863" s="8" t="s">
        <v>409</v>
      </c>
      <c r="O863" s="7"/>
      <c r="P863" s="2" t="s">
        <v>6206</v>
      </c>
      <c r="Q863" s="7"/>
      <c r="R863" s="1"/>
      <c r="S863" s="1" t="str">
        <f>"121-22/NOS-110/19"</f>
        <v>121-22/NOS-110/19</v>
      </c>
      <c r="T863" s="1" t="s">
        <v>32</v>
      </c>
    </row>
    <row r="864" spans="1:20" ht="51" x14ac:dyDescent="0.25">
      <c r="A864" s="6">
        <v>861</v>
      </c>
      <c r="B864" s="1" t="str">
        <f t="shared" si="75"/>
        <v>2019-2382</v>
      </c>
      <c r="C864" s="1" t="s">
        <v>1114</v>
      </c>
      <c r="D864" s="1" t="s">
        <v>1116</v>
      </c>
      <c r="E864" s="1" t="str">
        <f>""</f>
        <v/>
      </c>
      <c r="F864" s="1" t="s">
        <v>28</v>
      </c>
      <c r="G864" s="1" t="str">
        <f t="shared" si="76"/>
        <v>AUTOMEHANIKA D.D., KOVINSKA 4, 10000 ZAGREB, OIB: 5223317126</v>
      </c>
      <c r="H864" s="7"/>
      <c r="I864" s="8" t="s">
        <v>567</v>
      </c>
      <c r="J864" s="8" t="s">
        <v>519</v>
      </c>
      <c r="K864" s="6" t="str">
        <f>"11.516,15"</f>
        <v>11.516,15</v>
      </c>
      <c r="L864" s="6" t="str">
        <f>"2.879,04"</f>
        <v>2.879,04</v>
      </c>
      <c r="M864" s="6" t="str">
        <f>"14.395,19"</f>
        <v>14.395,19</v>
      </c>
      <c r="N864" s="8" t="s">
        <v>31</v>
      </c>
      <c r="O864" s="7"/>
      <c r="P864" s="2" t="s">
        <v>6207</v>
      </c>
      <c r="Q864" s="7"/>
      <c r="R864" s="1"/>
      <c r="S864" s="1" t="str">
        <f>"120-22/NOS-110/19"</f>
        <v>120-22/NOS-110/19</v>
      </c>
      <c r="T864" s="1" t="s">
        <v>32</v>
      </c>
    </row>
    <row r="865" spans="1:20" ht="51" x14ac:dyDescent="0.25">
      <c r="A865" s="6">
        <v>862</v>
      </c>
      <c r="B865" s="1" t="str">
        <f t="shared" si="75"/>
        <v>2019-2382</v>
      </c>
      <c r="C865" s="1" t="s">
        <v>1114</v>
      </c>
      <c r="D865" s="1" t="s">
        <v>1116</v>
      </c>
      <c r="E865" s="1" t="str">
        <f>""</f>
        <v/>
      </c>
      <c r="F865" s="1" t="s">
        <v>28</v>
      </c>
      <c r="G865" s="1" t="str">
        <f t="shared" si="76"/>
        <v>AUTOMEHANIKA D.D., KOVINSKA 4, 10000 ZAGREB, OIB: 5223317126</v>
      </c>
      <c r="H865" s="7"/>
      <c r="I865" s="8" t="s">
        <v>567</v>
      </c>
      <c r="J865" s="8" t="s">
        <v>519</v>
      </c>
      <c r="K865" s="6" t="str">
        <f>"4.782,89"</f>
        <v>4.782,89</v>
      </c>
      <c r="L865" s="6" t="str">
        <f>"0,00"</f>
        <v>0,00</v>
      </c>
      <c r="M865" s="6" t="str">
        <f>"4.782,89"</f>
        <v>4.782,89</v>
      </c>
      <c r="N865" s="8" t="s">
        <v>124</v>
      </c>
      <c r="O865" s="7"/>
      <c r="P865" s="2" t="s">
        <v>5614</v>
      </c>
      <c r="Q865" s="7"/>
      <c r="R865" s="1"/>
      <c r="S865" s="1" t="str">
        <f>"116-22/NOS-110/19"</f>
        <v>116-22/NOS-110/19</v>
      </c>
      <c r="T865" s="1" t="s">
        <v>32</v>
      </c>
    </row>
    <row r="866" spans="1:20" ht="51" x14ac:dyDescent="0.25">
      <c r="A866" s="6">
        <v>863</v>
      </c>
      <c r="B866" s="1" t="str">
        <f t="shared" si="75"/>
        <v>2019-2382</v>
      </c>
      <c r="C866" s="1" t="s">
        <v>1114</v>
      </c>
      <c r="D866" s="1" t="s">
        <v>1116</v>
      </c>
      <c r="E866" s="1" t="str">
        <f>""</f>
        <v/>
      </c>
      <c r="F866" s="1" t="s">
        <v>28</v>
      </c>
      <c r="G866" s="1" t="str">
        <f t="shared" si="76"/>
        <v>AUTOMEHANIKA D.D., KOVINSKA 4, 10000 ZAGREB, OIB: 5223317126</v>
      </c>
      <c r="H866" s="7"/>
      <c r="I866" s="8" t="s">
        <v>301</v>
      </c>
      <c r="J866" s="8" t="s">
        <v>519</v>
      </c>
      <c r="K866" s="6" t="str">
        <f>"20.502,01"</f>
        <v>20.502,01</v>
      </c>
      <c r="L866" s="6" t="str">
        <f>"5.125,50"</f>
        <v>5.125,50</v>
      </c>
      <c r="M866" s="6" t="str">
        <f>"25.627,51"</f>
        <v>25.627,51</v>
      </c>
      <c r="N866" s="8" t="s">
        <v>409</v>
      </c>
      <c r="O866" s="7"/>
      <c r="P866" s="2" t="s">
        <v>6208</v>
      </c>
      <c r="Q866" s="7"/>
      <c r="R866" s="1"/>
      <c r="S866" s="1" t="str">
        <f>"124-22/NOS-110/19"</f>
        <v>124-22/NOS-110/19</v>
      </c>
      <c r="T866" s="1" t="s">
        <v>32</v>
      </c>
    </row>
    <row r="867" spans="1:20" ht="51" x14ac:dyDescent="0.25">
      <c r="A867" s="6">
        <v>864</v>
      </c>
      <c r="B867" s="1" t="str">
        <f t="shared" si="75"/>
        <v>2019-2382</v>
      </c>
      <c r="C867" s="1" t="s">
        <v>1114</v>
      </c>
      <c r="D867" s="1" t="s">
        <v>1116</v>
      </c>
      <c r="E867" s="1" t="str">
        <f>""</f>
        <v/>
      </c>
      <c r="F867" s="1" t="s">
        <v>28</v>
      </c>
      <c r="G867" s="1" t="str">
        <f t="shared" si="76"/>
        <v>AUTOMEHANIKA D.D., KOVINSKA 4, 10000 ZAGREB, OIB: 5223317126</v>
      </c>
      <c r="H867" s="7"/>
      <c r="I867" s="8" t="s">
        <v>301</v>
      </c>
      <c r="J867" s="8" t="s">
        <v>519</v>
      </c>
      <c r="K867" s="6" t="str">
        <f>"3.704,79"</f>
        <v>3.704,79</v>
      </c>
      <c r="L867" s="6" t="str">
        <f>"926,20"</f>
        <v>926,20</v>
      </c>
      <c r="M867" s="6" t="str">
        <f>"4.630,99"</f>
        <v>4.630,99</v>
      </c>
      <c r="N867" s="8" t="s">
        <v>31</v>
      </c>
      <c r="O867" s="7"/>
      <c r="P867" s="2" t="s">
        <v>6209</v>
      </c>
      <c r="Q867" s="7"/>
      <c r="R867" s="1"/>
      <c r="S867" s="1" t="str">
        <f>"123-22/NOS-110/19"</f>
        <v>123-22/NOS-110/19</v>
      </c>
      <c r="T867" s="1" t="s">
        <v>32</v>
      </c>
    </row>
    <row r="868" spans="1:20" ht="51" x14ac:dyDescent="0.25">
      <c r="A868" s="6">
        <v>865</v>
      </c>
      <c r="B868" s="1" t="str">
        <f t="shared" si="75"/>
        <v>2019-2382</v>
      </c>
      <c r="C868" s="1" t="s">
        <v>1114</v>
      </c>
      <c r="D868" s="1" t="s">
        <v>1116</v>
      </c>
      <c r="E868" s="1" t="str">
        <f>""</f>
        <v/>
      </c>
      <c r="F868" s="1" t="s">
        <v>28</v>
      </c>
      <c r="G868" s="1" t="str">
        <f t="shared" si="76"/>
        <v>AUTOMEHANIKA D.D., KOVINSKA 4, 10000 ZAGREB, OIB: 5223317126</v>
      </c>
      <c r="H868" s="7"/>
      <c r="I868" s="8" t="s">
        <v>301</v>
      </c>
      <c r="J868" s="8" t="s">
        <v>519</v>
      </c>
      <c r="K868" s="6" t="str">
        <f>"3.595,29"</f>
        <v>3.595,29</v>
      </c>
      <c r="L868" s="6" t="str">
        <f>"898,82"</f>
        <v>898,82</v>
      </c>
      <c r="M868" s="6" t="str">
        <f>"4.494,11"</f>
        <v>4.494,11</v>
      </c>
      <c r="N868" s="8" t="s">
        <v>31</v>
      </c>
      <c r="O868" s="7"/>
      <c r="P868" s="2" t="s">
        <v>6210</v>
      </c>
      <c r="Q868" s="7"/>
      <c r="R868" s="1"/>
      <c r="S868" s="1" t="str">
        <f>"125-22/NOS-110/19"</f>
        <v>125-22/NOS-110/19</v>
      </c>
      <c r="T868" s="1" t="s">
        <v>32</v>
      </c>
    </row>
    <row r="869" spans="1:20" ht="51" x14ac:dyDescent="0.25">
      <c r="A869" s="6">
        <v>866</v>
      </c>
      <c r="B869" s="1" t="str">
        <f t="shared" si="75"/>
        <v>2019-2382</v>
      </c>
      <c r="C869" s="1" t="s">
        <v>1114</v>
      </c>
      <c r="D869" s="1" t="s">
        <v>1116</v>
      </c>
      <c r="E869" s="1" t="str">
        <f>""</f>
        <v/>
      </c>
      <c r="F869" s="1" t="s">
        <v>28</v>
      </c>
      <c r="G869" s="1" t="str">
        <f t="shared" si="76"/>
        <v>AUTOMEHANIKA D.D., KOVINSKA 4, 10000 ZAGREB, OIB: 5223317126</v>
      </c>
      <c r="H869" s="7"/>
      <c r="I869" s="8" t="s">
        <v>1032</v>
      </c>
      <c r="J869" s="8" t="s">
        <v>519</v>
      </c>
      <c r="K869" s="6" t="str">
        <f>"16.478,80"</f>
        <v>16.478,80</v>
      </c>
      <c r="L869" s="6" t="str">
        <f>"4.119,70"</f>
        <v>4.119,70</v>
      </c>
      <c r="M869" s="6" t="str">
        <f>"20.598,50"</f>
        <v>20.598,50</v>
      </c>
      <c r="N869" s="8" t="s">
        <v>409</v>
      </c>
      <c r="O869" s="7"/>
      <c r="P869" s="2" t="s">
        <v>6211</v>
      </c>
      <c r="Q869" s="7"/>
      <c r="R869" s="1"/>
      <c r="S869" s="1" t="str">
        <f>"128-22/NOS-110/19"</f>
        <v>128-22/NOS-110/19</v>
      </c>
      <c r="T869" s="1" t="s">
        <v>32</v>
      </c>
    </row>
    <row r="870" spans="1:20" ht="51" x14ac:dyDescent="0.25">
      <c r="A870" s="6">
        <v>867</v>
      </c>
      <c r="B870" s="1" t="str">
        <f t="shared" si="75"/>
        <v>2019-2382</v>
      </c>
      <c r="C870" s="1" t="s">
        <v>1114</v>
      </c>
      <c r="D870" s="1" t="s">
        <v>1116</v>
      </c>
      <c r="E870" s="1" t="str">
        <f>""</f>
        <v/>
      </c>
      <c r="F870" s="1" t="s">
        <v>28</v>
      </c>
      <c r="G870" s="1" t="str">
        <f t="shared" si="76"/>
        <v>AUTOMEHANIKA D.D., KOVINSKA 4, 10000 ZAGREB, OIB: 5223317126</v>
      </c>
      <c r="H870" s="7"/>
      <c r="I870" s="8" t="s">
        <v>1032</v>
      </c>
      <c r="J870" s="8" t="s">
        <v>519</v>
      </c>
      <c r="K870" s="6" t="str">
        <f>"5.445,43"</f>
        <v>5.445,43</v>
      </c>
      <c r="L870" s="6" t="str">
        <f>"1.361,36"</f>
        <v>1.361,36</v>
      </c>
      <c r="M870" s="6" t="str">
        <f>"6.806,79"</f>
        <v>6.806,79</v>
      </c>
      <c r="N870" s="8" t="s">
        <v>409</v>
      </c>
      <c r="O870" s="7"/>
      <c r="P870" s="2" t="s">
        <v>6212</v>
      </c>
      <c r="Q870" s="7"/>
      <c r="R870" s="1"/>
      <c r="S870" s="1" t="str">
        <f>"129-22/NOS-110/19"</f>
        <v>129-22/NOS-110/19</v>
      </c>
      <c r="T870" s="1" t="s">
        <v>32</v>
      </c>
    </row>
    <row r="871" spans="1:20" ht="51" x14ac:dyDescent="0.25">
      <c r="A871" s="6">
        <v>868</v>
      </c>
      <c r="B871" s="1" t="str">
        <f t="shared" si="75"/>
        <v>2019-2382</v>
      </c>
      <c r="C871" s="1" t="s">
        <v>1114</v>
      </c>
      <c r="D871" s="1" t="s">
        <v>1116</v>
      </c>
      <c r="E871" s="1" t="str">
        <f>""</f>
        <v/>
      </c>
      <c r="F871" s="1" t="s">
        <v>28</v>
      </c>
      <c r="G871" s="1" t="str">
        <f t="shared" si="76"/>
        <v>AUTOMEHANIKA D.D., KOVINSKA 4, 10000 ZAGREB, OIB: 5223317126</v>
      </c>
      <c r="H871" s="7"/>
      <c r="I871" s="8" t="s">
        <v>1032</v>
      </c>
      <c r="J871" s="8" t="s">
        <v>519</v>
      </c>
      <c r="K871" s="6" t="str">
        <f>"18.805,59"</f>
        <v>18.805,59</v>
      </c>
      <c r="L871" s="6" t="str">
        <f>"4.701,40"</f>
        <v>4.701,40</v>
      </c>
      <c r="M871" s="6" t="str">
        <f>"23.506,99"</f>
        <v>23.506,99</v>
      </c>
      <c r="N871" s="8" t="s">
        <v>409</v>
      </c>
      <c r="O871" s="7"/>
      <c r="P871" s="2" t="s">
        <v>6213</v>
      </c>
      <c r="Q871" s="7"/>
      <c r="R871" s="1"/>
      <c r="S871" s="1" t="str">
        <f>"127-22/NOS-110/19"</f>
        <v>127-22/NOS-110/19</v>
      </c>
      <c r="T871" s="1" t="s">
        <v>32</v>
      </c>
    </row>
    <row r="872" spans="1:20" ht="51" x14ac:dyDescent="0.25">
      <c r="A872" s="6">
        <v>869</v>
      </c>
      <c r="B872" s="1" t="str">
        <f t="shared" si="75"/>
        <v>2019-2382</v>
      </c>
      <c r="C872" s="1" t="s">
        <v>1114</v>
      </c>
      <c r="D872" s="1" t="s">
        <v>1116</v>
      </c>
      <c r="E872" s="1" t="str">
        <f>""</f>
        <v/>
      </c>
      <c r="F872" s="1" t="s">
        <v>28</v>
      </c>
      <c r="G872" s="1" t="str">
        <f t="shared" si="76"/>
        <v>AUTOMEHANIKA D.D., KOVINSKA 4, 10000 ZAGREB, OIB: 5223317126</v>
      </c>
      <c r="H872" s="7"/>
      <c r="I872" s="8" t="s">
        <v>1032</v>
      </c>
      <c r="J872" s="8" t="s">
        <v>519</v>
      </c>
      <c r="K872" s="6" t="str">
        <f>"9.697,99"</f>
        <v>9.697,99</v>
      </c>
      <c r="L872" s="6" t="str">
        <f>"2.424,50"</f>
        <v>2.424,50</v>
      </c>
      <c r="M872" s="6" t="str">
        <f>"12.122,49"</f>
        <v>12.122,49</v>
      </c>
      <c r="N872" s="8" t="s">
        <v>409</v>
      </c>
      <c r="O872" s="7"/>
      <c r="P872" s="2" t="s">
        <v>6214</v>
      </c>
      <c r="Q872" s="7"/>
      <c r="R872" s="1"/>
      <c r="S872" s="1" t="str">
        <f>"131-22/NOS-110/19"</f>
        <v>131-22/NOS-110/19</v>
      </c>
      <c r="T872" s="1" t="s">
        <v>32</v>
      </c>
    </row>
    <row r="873" spans="1:20" ht="51" x14ac:dyDescent="0.25">
      <c r="A873" s="6">
        <v>870</v>
      </c>
      <c r="B873" s="1" t="str">
        <f t="shared" si="75"/>
        <v>2019-2382</v>
      </c>
      <c r="C873" s="1" t="s">
        <v>1114</v>
      </c>
      <c r="D873" s="1" t="s">
        <v>1116</v>
      </c>
      <c r="E873" s="1" t="str">
        <f>""</f>
        <v/>
      </c>
      <c r="F873" s="1" t="s">
        <v>28</v>
      </c>
      <c r="G873" s="1" t="str">
        <f t="shared" si="76"/>
        <v>AUTOMEHANIKA D.D., KOVINSKA 4, 10000 ZAGREB, OIB: 5223317126</v>
      </c>
      <c r="H873" s="7"/>
      <c r="I873" s="8" t="s">
        <v>964</v>
      </c>
      <c r="J873" s="8" t="s">
        <v>519</v>
      </c>
      <c r="K873" s="6" t="str">
        <f>"15.811,44"</f>
        <v>15.811,44</v>
      </c>
      <c r="L873" s="6" t="str">
        <f t="shared" ref="L873:L880" si="77">"0,00"</f>
        <v>0,00</v>
      </c>
      <c r="M873" s="6" t="str">
        <f>"15.811,44"</f>
        <v>15.811,44</v>
      </c>
      <c r="N873" s="8" t="s">
        <v>124</v>
      </c>
      <c r="O873" s="7"/>
      <c r="P873" s="2" t="s">
        <v>5614</v>
      </c>
      <c r="Q873" s="7"/>
      <c r="R873" s="1"/>
      <c r="S873" s="1" t="str">
        <f>"117-22/NOS-110/19"</f>
        <v>117-22/NOS-110/19</v>
      </c>
      <c r="T873" s="1" t="s">
        <v>32</v>
      </c>
    </row>
    <row r="874" spans="1:20" ht="51" x14ac:dyDescent="0.25">
      <c r="A874" s="6">
        <v>871</v>
      </c>
      <c r="B874" s="1" t="str">
        <f t="shared" si="75"/>
        <v>2019-2382</v>
      </c>
      <c r="C874" s="1" t="s">
        <v>1114</v>
      </c>
      <c r="D874" s="1" t="s">
        <v>1116</v>
      </c>
      <c r="E874" s="1" t="str">
        <f>""</f>
        <v/>
      </c>
      <c r="F874" s="1" t="s">
        <v>28</v>
      </c>
      <c r="G874" s="1" t="str">
        <f t="shared" si="76"/>
        <v>AUTOMEHANIKA D.D., KOVINSKA 4, 10000 ZAGREB, OIB: 5223317126</v>
      </c>
      <c r="H874" s="7"/>
      <c r="I874" s="8" t="s">
        <v>31</v>
      </c>
      <c r="J874" s="8" t="s">
        <v>519</v>
      </c>
      <c r="K874" s="6" t="str">
        <f>"24.929,81"</f>
        <v>24.929,81</v>
      </c>
      <c r="L874" s="6" t="str">
        <f t="shared" si="77"/>
        <v>0,00</v>
      </c>
      <c r="M874" s="6" t="str">
        <f>"24.929,81"</f>
        <v>24.929,81</v>
      </c>
      <c r="N874" s="8" t="s">
        <v>124</v>
      </c>
      <c r="O874" s="7"/>
      <c r="P874" s="2" t="s">
        <v>5614</v>
      </c>
      <c r="Q874" s="7"/>
      <c r="R874" s="1"/>
      <c r="S874" s="1" t="str">
        <f>"126-22/NOS-110/19"</f>
        <v>126-22/NOS-110/19</v>
      </c>
      <c r="T874" s="1" t="s">
        <v>32</v>
      </c>
    </row>
    <row r="875" spans="1:20" ht="51" x14ac:dyDescent="0.25">
      <c r="A875" s="6">
        <v>872</v>
      </c>
      <c r="B875" s="1" t="str">
        <f t="shared" si="75"/>
        <v>2019-2382</v>
      </c>
      <c r="C875" s="1" t="s">
        <v>1114</v>
      </c>
      <c r="D875" s="1" t="s">
        <v>1116</v>
      </c>
      <c r="E875" s="1" t="str">
        <f>""</f>
        <v/>
      </c>
      <c r="F875" s="1" t="s">
        <v>28</v>
      </c>
      <c r="G875" s="1" t="str">
        <f t="shared" si="76"/>
        <v>AUTOMEHANIKA D.D., KOVINSKA 4, 10000 ZAGREB, OIB: 5223317126</v>
      </c>
      <c r="H875" s="7"/>
      <c r="I875" s="8" t="s">
        <v>508</v>
      </c>
      <c r="J875" s="8" t="s">
        <v>393</v>
      </c>
      <c r="K875" s="6" t="str">
        <f>"8.807,51"</f>
        <v>8.807,51</v>
      </c>
      <c r="L875" s="6" t="str">
        <f t="shared" si="77"/>
        <v>0,00</v>
      </c>
      <c r="M875" s="6" t="str">
        <f>"8.807,51"</f>
        <v>8.807,51</v>
      </c>
      <c r="N875" s="8" t="s">
        <v>124</v>
      </c>
      <c r="O875" s="7"/>
      <c r="P875" s="2" t="s">
        <v>5614</v>
      </c>
      <c r="Q875" s="7"/>
      <c r="R875" s="1"/>
      <c r="S875" s="1" t="str">
        <f>"103-22/NOS-110/19"</f>
        <v>103-22/NOS-110/19</v>
      </c>
      <c r="T875" s="1" t="s">
        <v>55</v>
      </c>
    </row>
    <row r="876" spans="1:20" ht="51" x14ac:dyDescent="0.25">
      <c r="A876" s="6">
        <v>873</v>
      </c>
      <c r="B876" s="1" t="str">
        <f t="shared" si="75"/>
        <v>2019-2382</v>
      </c>
      <c r="C876" s="1" t="s">
        <v>1114</v>
      </c>
      <c r="D876" s="1" t="s">
        <v>1116</v>
      </c>
      <c r="E876" s="1" t="str">
        <f>""</f>
        <v/>
      </c>
      <c r="F876" s="1" t="s">
        <v>28</v>
      </c>
      <c r="G876" s="1" t="str">
        <f t="shared" si="76"/>
        <v>AUTOMEHANIKA D.D., KOVINSKA 4, 10000 ZAGREB, OIB: 5223317126</v>
      </c>
      <c r="H876" s="7"/>
      <c r="I876" s="8" t="s">
        <v>508</v>
      </c>
      <c r="J876" s="8" t="s">
        <v>555</v>
      </c>
      <c r="K876" s="6" t="str">
        <f>"8.047,48"</f>
        <v>8.047,48</v>
      </c>
      <c r="L876" s="6" t="str">
        <f t="shared" si="77"/>
        <v>0,00</v>
      </c>
      <c r="M876" s="6" t="str">
        <f>"8.047,48"</f>
        <v>8.047,48</v>
      </c>
      <c r="N876" s="8" t="s">
        <v>124</v>
      </c>
      <c r="O876" s="7"/>
      <c r="P876" s="2" t="s">
        <v>5614</v>
      </c>
      <c r="Q876" s="7"/>
      <c r="R876" s="1"/>
      <c r="S876" s="1" t="str">
        <f>"105-22/NOS-110/19"</f>
        <v>105-22/NOS-110/19</v>
      </c>
      <c r="T876" s="1" t="s">
        <v>55</v>
      </c>
    </row>
    <row r="877" spans="1:20" ht="51" x14ac:dyDescent="0.25">
      <c r="A877" s="6">
        <v>874</v>
      </c>
      <c r="B877" s="1" t="str">
        <f t="shared" si="75"/>
        <v>2019-2382</v>
      </c>
      <c r="C877" s="1" t="s">
        <v>1114</v>
      </c>
      <c r="D877" s="1" t="s">
        <v>1116</v>
      </c>
      <c r="E877" s="1" t="str">
        <f>""</f>
        <v/>
      </c>
      <c r="F877" s="1" t="s">
        <v>28</v>
      </c>
      <c r="G877" s="1" t="str">
        <f t="shared" si="76"/>
        <v>AUTOMEHANIKA D.D., KOVINSKA 4, 10000 ZAGREB, OIB: 5223317126</v>
      </c>
      <c r="H877" s="7"/>
      <c r="I877" s="8" t="s">
        <v>508</v>
      </c>
      <c r="J877" s="8" t="s">
        <v>555</v>
      </c>
      <c r="K877" s="6" t="str">
        <f>"4.609,59"</f>
        <v>4.609,59</v>
      </c>
      <c r="L877" s="6" t="str">
        <f t="shared" si="77"/>
        <v>0,00</v>
      </c>
      <c r="M877" s="6" t="str">
        <f>"4.609,59"</f>
        <v>4.609,59</v>
      </c>
      <c r="N877" s="8" t="s">
        <v>124</v>
      </c>
      <c r="O877" s="7"/>
      <c r="P877" s="2" t="s">
        <v>5614</v>
      </c>
      <c r="Q877" s="7"/>
      <c r="R877" s="1"/>
      <c r="S877" s="1" t="str">
        <f>"106-22/NOS-110/19"</f>
        <v>106-22/NOS-110/19</v>
      </c>
      <c r="T877" s="1" t="s">
        <v>55</v>
      </c>
    </row>
    <row r="878" spans="1:20" ht="51" x14ac:dyDescent="0.25">
      <c r="A878" s="6">
        <v>875</v>
      </c>
      <c r="B878" s="1" t="str">
        <f t="shared" si="75"/>
        <v>2019-2382</v>
      </c>
      <c r="C878" s="1" t="s">
        <v>1114</v>
      </c>
      <c r="D878" s="1" t="s">
        <v>1116</v>
      </c>
      <c r="E878" s="1" t="str">
        <f>""</f>
        <v/>
      </c>
      <c r="F878" s="1" t="s">
        <v>28</v>
      </c>
      <c r="G878" s="1" t="str">
        <f t="shared" si="76"/>
        <v>AUTOMEHANIKA D.D., KOVINSKA 4, 10000 ZAGREB, OIB: 5223317126</v>
      </c>
      <c r="H878" s="7"/>
      <c r="I878" s="8" t="s">
        <v>508</v>
      </c>
      <c r="J878" s="8" t="s">
        <v>555</v>
      </c>
      <c r="K878" s="6" t="str">
        <f>"2.960,47"</f>
        <v>2.960,47</v>
      </c>
      <c r="L878" s="6" t="str">
        <f t="shared" si="77"/>
        <v>0,00</v>
      </c>
      <c r="M878" s="6" t="str">
        <f>"2.960,47"</f>
        <v>2.960,47</v>
      </c>
      <c r="N878" s="8" t="s">
        <v>124</v>
      </c>
      <c r="O878" s="7"/>
      <c r="P878" s="2" t="s">
        <v>5614</v>
      </c>
      <c r="Q878" s="7"/>
      <c r="R878" s="1"/>
      <c r="S878" s="1" t="str">
        <f>"118-22/NOS-110/19"</f>
        <v>118-22/NOS-110/19</v>
      </c>
      <c r="T878" s="1" t="s">
        <v>55</v>
      </c>
    </row>
    <row r="879" spans="1:20" ht="51" x14ac:dyDescent="0.25">
      <c r="A879" s="6">
        <v>876</v>
      </c>
      <c r="B879" s="1" t="str">
        <f t="shared" ref="B879:B893" si="78">"2019-2382"</f>
        <v>2019-2382</v>
      </c>
      <c r="C879" s="1" t="s">
        <v>1114</v>
      </c>
      <c r="D879" s="1" t="s">
        <v>1116</v>
      </c>
      <c r="E879" s="1" t="str">
        <f>""</f>
        <v/>
      </c>
      <c r="F879" s="1" t="s">
        <v>28</v>
      </c>
      <c r="G879" s="1" t="str">
        <f t="shared" si="76"/>
        <v>AUTOMEHANIKA D.D., KOVINSKA 4, 10000 ZAGREB, OIB: 5223317126</v>
      </c>
      <c r="H879" s="7"/>
      <c r="I879" s="8" t="s">
        <v>508</v>
      </c>
      <c r="J879" s="8" t="s">
        <v>519</v>
      </c>
      <c r="K879" s="6" t="str">
        <f>"2.899,60"</f>
        <v>2.899,60</v>
      </c>
      <c r="L879" s="6" t="str">
        <f t="shared" si="77"/>
        <v>0,00</v>
      </c>
      <c r="M879" s="6" t="str">
        <f>"2.899,60"</f>
        <v>2.899,60</v>
      </c>
      <c r="N879" s="8" t="s">
        <v>124</v>
      </c>
      <c r="O879" s="7"/>
      <c r="P879" s="2" t="s">
        <v>5614</v>
      </c>
      <c r="Q879" s="7"/>
      <c r="R879" s="1"/>
      <c r="S879" s="1" t="str">
        <f>"119-22/NOS-110/19"</f>
        <v>119-22/NOS-110/19</v>
      </c>
      <c r="T879" s="1" t="s">
        <v>55</v>
      </c>
    </row>
    <row r="880" spans="1:20" ht="51" x14ac:dyDescent="0.25">
      <c r="A880" s="6">
        <v>877</v>
      </c>
      <c r="B880" s="1" t="str">
        <f t="shared" si="78"/>
        <v>2019-2382</v>
      </c>
      <c r="C880" s="1" t="s">
        <v>1114</v>
      </c>
      <c r="D880" s="1" t="s">
        <v>1116</v>
      </c>
      <c r="E880" s="1" t="str">
        <f>""</f>
        <v/>
      </c>
      <c r="F880" s="1" t="s">
        <v>28</v>
      </c>
      <c r="G880" s="1" t="str">
        <f t="shared" ref="G880:G893" si="79">CONCATENATE("AUTOMEHANIKA D.D.,"," KOVINSKA 4,"," 10000 ZAGREB,"," OIB: 5223317126")</f>
        <v>AUTOMEHANIKA D.D., KOVINSKA 4, 10000 ZAGREB, OIB: 5223317126</v>
      </c>
      <c r="H880" s="7"/>
      <c r="I880" s="8" t="s">
        <v>1099</v>
      </c>
      <c r="J880" s="8" t="s">
        <v>519</v>
      </c>
      <c r="K880" s="6" t="str">
        <f>"10.532,32"</f>
        <v>10.532,32</v>
      </c>
      <c r="L880" s="6" t="str">
        <f t="shared" si="77"/>
        <v>0,00</v>
      </c>
      <c r="M880" s="6" t="str">
        <f>"10.532,32"</f>
        <v>10.532,32</v>
      </c>
      <c r="N880" s="8" t="s">
        <v>124</v>
      </c>
      <c r="O880" s="7"/>
      <c r="P880" s="2" t="s">
        <v>5614</v>
      </c>
      <c r="Q880" s="7"/>
      <c r="R880" s="1"/>
      <c r="S880" s="1" t="str">
        <f>"132-22/NOS-110/19"</f>
        <v>132-22/NOS-110/19</v>
      </c>
      <c r="T880" s="1" t="s">
        <v>32</v>
      </c>
    </row>
    <row r="881" spans="1:20" ht="51" x14ac:dyDescent="0.25">
      <c r="A881" s="6">
        <v>878</v>
      </c>
      <c r="B881" s="1" t="str">
        <f t="shared" si="78"/>
        <v>2019-2382</v>
      </c>
      <c r="C881" s="1" t="s">
        <v>1114</v>
      </c>
      <c r="D881" s="1" t="s">
        <v>1116</v>
      </c>
      <c r="E881" s="1" t="str">
        <f>""</f>
        <v/>
      </c>
      <c r="F881" s="1" t="s">
        <v>28</v>
      </c>
      <c r="G881" s="1" t="str">
        <f t="shared" si="79"/>
        <v>AUTOMEHANIKA D.D., KOVINSKA 4, 10000 ZAGREB, OIB: 5223317126</v>
      </c>
      <c r="H881" s="7"/>
      <c r="I881" s="8" t="s">
        <v>227</v>
      </c>
      <c r="J881" s="8" t="s">
        <v>519</v>
      </c>
      <c r="K881" s="6" t="str">
        <f>"614,52"</f>
        <v>614,52</v>
      </c>
      <c r="L881" s="6" t="str">
        <f>"153,63"</f>
        <v>153,63</v>
      </c>
      <c r="M881" s="6" t="str">
        <f>"768,15"</f>
        <v>768,15</v>
      </c>
      <c r="N881" s="8" t="s">
        <v>1123</v>
      </c>
      <c r="O881" s="7"/>
      <c r="P881" s="2" t="s">
        <v>6215</v>
      </c>
      <c r="Q881" s="7"/>
      <c r="R881" s="1"/>
      <c r="S881" s="1" t="str">
        <f>"139-22/NOS-110/19"</f>
        <v>139-22/NOS-110/19</v>
      </c>
      <c r="T881" s="1" t="s">
        <v>55</v>
      </c>
    </row>
    <row r="882" spans="1:20" ht="51" x14ac:dyDescent="0.25">
      <c r="A882" s="6">
        <v>879</v>
      </c>
      <c r="B882" s="1" t="str">
        <f t="shared" si="78"/>
        <v>2019-2382</v>
      </c>
      <c r="C882" s="1" t="s">
        <v>1114</v>
      </c>
      <c r="D882" s="1" t="s">
        <v>1116</v>
      </c>
      <c r="E882" s="1" t="str">
        <f>""</f>
        <v/>
      </c>
      <c r="F882" s="1" t="s">
        <v>28</v>
      </c>
      <c r="G882" s="1" t="str">
        <f t="shared" si="79"/>
        <v>AUTOMEHANIKA D.D., KOVINSKA 4, 10000 ZAGREB, OIB: 5223317126</v>
      </c>
      <c r="H882" s="7"/>
      <c r="I882" s="8" t="s">
        <v>227</v>
      </c>
      <c r="J882" s="8" t="s">
        <v>519</v>
      </c>
      <c r="K882" s="6" t="str">
        <f>"1.040,00"</f>
        <v>1.040,00</v>
      </c>
      <c r="L882" s="6" t="str">
        <f>"260,00"</f>
        <v>260,00</v>
      </c>
      <c r="M882" s="6" t="str">
        <f>"1.300,00"</f>
        <v>1.300,00</v>
      </c>
      <c r="N882" s="8" t="s">
        <v>458</v>
      </c>
      <c r="O882" s="7"/>
      <c r="P882" s="2" t="s">
        <v>6216</v>
      </c>
      <c r="Q882" s="7"/>
      <c r="R882" s="1"/>
      <c r="S882" s="1" t="str">
        <f>"140-22/NOS-110/19"</f>
        <v>140-22/NOS-110/19</v>
      </c>
      <c r="T882" s="1" t="s">
        <v>55</v>
      </c>
    </row>
    <row r="883" spans="1:20" ht="51" x14ac:dyDescent="0.25">
      <c r="A883" s="6">
        <v>880</v>
      </c>
      <c r="B883" s="1" t="str">
        <f t="shared" si="78"/>
        <v>2019-2382</v>
      </c>
      <c r="C883" s="1" t="s">
        <v>1114</v>
      </c>
      <c r="D883" s="1" t="s">
        <v>1116</v>
      </c>
      <c r="E883" s="1" t="str">
        <f>""</f>
        <v/>
      </c>
      <c r="F883" s="1" t="s">
        <v>28</v>
      </c>
      <c r="G883" s="1" t="str">
        <f t="shared" si="79"/>
        <v>AUTOMEHANIKA D.D., KOVINSKA 4, 10000 ZAGREB, OIB: 5223317126</v>
      </c>
      <c r="H883" s="7"/>
      <c r="I883" s="8" t="s">
        <v>227</v>
      </c>
      <c r="J883" s="8" t="s">
        <v>519</v>
      </c>
      <c r="K883" s="6" t="str">
        <f>"2.818,00"</f>
        <v>2.818,00</v>
      </c>
      <c r="L883" s="6" t="str">
        <f>"704,50"</f>
        <v>704,50</v>
      </c>
      <c r="M883" s="6" t="str">
        <f>"3.522,50"</f>
        <v>3.522,50</v>
      </c>
      <c r="N883" s="8" t="s">
        <v>458</v>
      </c>
      <c r="O883" s="7"/>
      <c r="P883" s="2" t="s">
        <v>6217</v>
      </c>
      <c r="Q883" s="7"/>
      <c r="R883" s="1"/>
      <c r="S883" s="1" t="str">
        <f>"142-22/NOS-110/19"</f>
        <v>142-22/NOS-110/19</v>
      </c>
      <c r="T883" s="1" t="s">
        <v>55</v>
      </c>
    </row>
    <row r="884" spans="1:20" ht="51" x14ac:dyDescent="0.25">
      <c r="A884" s="6">
        <v>881</v>
      </c>
      <c r="B884" s="1" t="str">
        <f t="shared" si="78"/>
        <v>2019-2382</v>
      </c>
      <c r="C884" s="1" t="s">
        <v>1114</v>
      </c>
      <c r="D884" s="1" t="s">
        <v>1116</v>
      </c>
      <c r="E884" s="1" t="str">
        <f>""</f>
        <v/>
      </c>
      <c r="F884" s="1" t="s">
        <v>28</v>
      </c>
      <c r="G884" s="1" t="str">
        <f t="shared" si="79"/>
        <v>AUTOMEHANIKA D.D., KOVINSKA 4, 10000 ZAGREB, OIB: 5223317126</v>
      </c>
      <c r="H884" s="7"/>
      <c r="I884" s="8" t="s">
        <v>227</v>
      </c>
      <c r="J884" s="8" t="s">
        <v>519</v>
      </c>
      <c r="K884" s="6" t="str">
        <f>"3.630,81"</f>
        <v>3.630,81</v>
      </c>
      <c r="L884" s="6" t="str">
        <f>"907,70"</f>
        <v>907,70</v>
      </c>
      <c r="M884" s="6" t="str">
        <f>"4.538,51"</f>
        <v>4.538,51</v>
      </c>
      <c r="N884" s="8" t="s">
        <v>458</v>
      </c>
      <c r="O884" s="7"/>
      <c r="P884" s="2" t="s">
        <v>6218</v>
      </c>
      <c r="Q884" s="7"/>
      <c r="R884" s="1"/>
      <c r="S884" s="1" t="str">
        <f>"141-22/NOS-110/19"</f>
        <v>141-22/NOS-110/19</v>
      </c>
      <c r="T884" s="1" t="s">
        <v>55</v>
      </c>
    </row>
    <row r="885" spans="1:20" ht="51" x14ac:dyDescent="0.25">
      <c r="A885" s="6">
        <v>882</v>
      </c>
      <c r="B885" s="1" t="str">
        <f t="shared" si="78"/>
        <v>2019-2382</v>
      </c>
      <c r="C885" s="1" t="s">
        <v>1114</v>
      </c>
      <c r="D885" s="1" t="s">
        <v>1116</v>
      </c>
      <c r="E885" s="1" t="str">
        <f>""</f>
        <v/>
      </c>
      <c r="F885" s="1" t="s">
        <v>28</v>
      </c>
      <c r="G885" s="1" t="str">
        <f t="shared" si="79"/>
        <v>AUTOMEHANIKA D.D., KOVINSKA 4, 10000 ZAGREB, OIB: 5223317126</v>
      </c>
      <c r="H885" s="7"/>
      <c r="I885" s="8" t="s">
        <v>227</v>
      </c>
      <c r="J885" s="8" t="s">
        <v>519</v>
      </c>
      <c r="K885" s="6" t="str">
        <f>"5.481,01"</f>
        <v>5.481,01</v>
      </c>
      <c r="L885" s="6" t="str">
        <f>"1.370,25"</f>
        <v>1.370,25</v>
      </c>
      <c r="M885" s="6" t="str">
        <f>"6.851,26"</f>
        <v>6.851,26</v>
      </c>
      <c r="N885" s="8" t="s">
        <v>1123</v>
      </c>
      <c r="O885" s="7"/>
      <c r="P885" s="2" t="s">
        <v>6219</v>
      </c>
      <c r="Q885" s="7"/>
      <c r="R885" s="1"/>
      <c r="S885" s="1" t="str">
        <f>"138-22/NOS-110/19"</f>
        <v>138-22/NOS-110/19</v>
      </c>
      <c r="T885" s="1" t="s">
        <v>55</v>
      </c>
    </row>
    <row r="886" spans="1:20" ht="51" x14ac:dyDescent="0.25">
      <c r="A886" s="6">
        <v>883</v>
      </c>
      <c r="B886" s="1" t="str">
        <f t="shared" si="78"/>
        <v>2019-2382</v>
      </c>
      <c r="C886" s="1" t="s">
        <v>1114</v>
      </c>
      <c r="D886" s="1" t="s">
        <v>1116</v>
      </c>
      <c r="E886" s="1" t="str">
        <f>""</f>
        <v/>
      </c>
      <c r="F886" s="1" t="s">
        <v>28</v>
      </c>
      <c r="G886" s="1" t="str">
        <f t="shared" si="79"/>
        <v>AUTOMEHANIKA D.D., KOVINSKA 4, 10000 ZAGREB, OIB: 5223317126</v>
      </c>
      <c r="H886" s="7"/>
      <c r="I886" s="8" t="s">
        <v>227</v>
      </c>
      <c r="J886" s="8" t="s">
        <v>519</v>
      </c>
      <c r="K886" s="6" t="str">
        <f>"19.563,73"</f>
        <v>19.563,73</v>
      </c>
      <c r="L886" s="6" t="str">
        <f>"4.890,93"</f>
        <v>4.890,93</v>
      </c>
      <c r="M886" s="6" t="str">
        <f>"24.454,66"</f>
        <v>24.454,66</v>
      </c>
      <c r="N886" s="8" t="s">
        <v>892</v>
      </c>
      <c r="O886" s="7"/>
      <c r="P886" s="2" t="s">
        <v>6220</v>
      </c>
      <c r="Q886" s="7"/>
      <c r="R886" s="1"/>
      <c r="S886" s="1" t="str">
        <f>"137-22/NOS-110/19"</f>
        <v>137-22/NOS-110/19</v>
      </c>
      <c r="T886" s="1" t="s">
        <v>55</v>
      </c>
    </row>
    <row r="887" spans="1:20" ht="51" x14ac:dyDescent="0.25">
      <c r="A887" s="6">
        <v>884</v>
      </c>
      <c r="B887" s="1" t="str">
        <f t="shared" si="78"/>
        <v>2019-2382</v>
      </c>
      <c r="C887" s="1" t="s">
        <v>1114</v>
      </c>
      <c r="D887" s="1" t="s">
        <v>1116</v>
      </c>
      <c r="E887" s="1" t="str">
        <f>""</f>
        <v/>
      </c>
      <c r="F887" s="1" t="s">
        <v>28</v>
      </c>
      <c r="G887" s="1" t="str">
        <f t="shared" si="79"/>
        <v>AUTOMEHANIKA D.D., KOVINSKA 4, 10000 ZAGREB, OIB: 5223317126</v>
      </c>
      <c r="H887" s="7"/>
      <c r="I887" s="8" t="s">
        <v>227</v>
      </c>
      <c r="J887" s="8" t="s">
        <v>519</v>
      </c>
      <c r="K887" s="6" t="str">
        <f>"24.439,38"</f>
        <v>24.439,38</v>
      </c>
      <c r="L887" s="6" t="str">
        <f>"3.353,05"</f>
        <v>3.353,05</v>
      </c>
      <c r="M887" s="6" t="str">
        <f>"27.792,43"</f>
        <v>27.792,43</v>
      </c>
      <c r="N887" s="8" t="s">
        <v>384</v>
      </c>
      <c r="O887" s="7"/>
      <c r="P887" s="2" t="s">
        <v>6221</v>
      </c>
      <c r="Q887" s="7"/>
      <c r="R887" s="1"/>
      <c r="S887" s="1" t="str">
        <f>"130-22/NOS-110/19"</f>
        <v>130-22/NOS-110/19</v>
      </c>
      <c r="T887" s="1" t="s">
        <v>32</v>
      </c>
    </row>
    <row r="888" spans="1:20" ht="51" x14ac:dyDescent="0.25">
      <c r="A888" s="6">
        <v>885</v>
      </c>
      <c r="B888" s="1" t="str">
        <f t="shared" si="78"/>
        <v>2019-2382</v>
      </c>
      <c r="C888" s="1" t="s">
        <v>1114</v>
      </c>
      <c r="D888" s="1" t="s">
        <v>1116</v>
      </c>
      <c r="E888" s="1" t="str">
        <f>""</f>
        <v/>
      </c>
      <c r="F888" s="1" t="s">
        <v>28</v>
      </c>
      <c r="G888" s="1" t="str">
        <f t="shared" si="79"/>
        <v>AUTOMEHANIKA D.D., KOVINSKA 4, 10000 ZAGREB, OIB: 5223317126</v>
      </c>
      <c r="H888" s="7"/>
      <c r="I888" s="8" t="s">
        <v>525</v>
      </c>
      <c r="J888" s="8" t="s">
        <v>519</v>
      </c>
      <c r="K888" s="6" t="str">
        <f>"7.896,47"</f>
        <v>7.896,47</v>
      </c>
      <c r="L888" s="6" t="str">
        <f>"0,00"</f>
        <v>0,00</v>
      </c>
      <c r="M888" s="6" t="str">
        <f>"7.896,47"</f>
        <v>7.896,47</v>
      </c>
      <c r="N888" s="8" t="s">
        <v>124</v>
      </c>
      <c r="O888" s="7"/>
      <c r="P888" s="2" t="s">
        <v>5614</v>
      </c>
      <c r="Q888" s="7"/>
      <c r="R888" s="1"/>
      <c r="S888" s="1" t="str">
        <f>"136-22/NOS-110/19"</f>
        <v>136-22/NOS-110/19</v>
      </c>
      <c r="T888" s="1" t="s">
        <v>32</v>
      </c>
    </row>
    <row r="889" spans="1:20" ht="51" x14ac:dyDescent="0.25">
      <c r="A889" s="6">
        <v>886</v>
      </c>
      <c r="B889" s="1" t="str">
        <f t="shared" si="78"/>
        <v>2019-2382</v>
      </c>
      <c r="C889" s="1" t="s">
        <v>1114</v>
      </c>
      <c r="D889" s="1" t="s">
        <v>1116</v>
      </c>
      <c r="E889" s="1" t="str">
        <f>""</f>
        <v/>
      </c>
      <c r="F889" s="1" t="s">
        <v>28</v>
      </c>
      <c r="G889" s="1" t="str">
        <f t="shared" si="79"/>
        <v>AUTOMEHANIKA D.D., KOVINSKA 4, 10000 ZAGREB, OIB: 5223317126</v>
      </c>
      <c r="H889" s="7"/>
      <c r="I889" s="8" t="s">
        <v>388</v>
      </c>
      <c r="J889" s="8" t="s">
        <v>519</v>
      </c>
      <c r="K889" s="6" t="str">
        <f>"22.507,53"</f>
        <v>22.507,53</v>
      </c>
      <c r="L889" s="6" t="str">
        <f>"5.626,88"</f>
        <v>5.626,88</v>
      </c>
      <c r="M889" s="6" t="str">
        <f>"28.134,41"</f>
        <v>28.134,41</v>
      </c>
      <c r="N889" s="8" t="s">
        <v>489</v>
      </c>
      <c r="O889" s="7"/>
      <c r="P889" s="2" t="s">
        <v>6222</v>
      </c>
      <c r="Q889" s="7"/>
      <c r="R889" s="1"/>
      <c r="S889" s="1" t="str">
        <f>"91-22/NOS-110/19"</f>
        <v>91-22/NOS-110/19</v>
      </c>
      <c r="T889" s="1" t="s">
        <v>55</v>
      </c>
    </row>
    <row r="890" spans="1:20" ht="51" x14ac:dyDescent="0.25">
      <c r="A890" s="6">
        <v>887</v>
      </c>
      <c r="B890" s="1" t="str">
        <f t="shared" si="78"/>
        <v>2019-2382</v>
      </c>
      <c r="C890" s="1" t="s">
        <v>1114</v>
      </c>
      <c r="D890" s="1" t="s">
        <v>1116</v>
      </c>
      <c r="E890" s="1" t="str">
        <f>""</f>
        <v/>
      </c>
      <c r="F890" s="1" t="s">
        <v>28</v>
      </c>
      <c r="G890" s="1" t="str">
        <f t="shared" si="79"/>
        <v>AUTOMEHANIKA D.D., KOVINSKA 4, 10000 ZAGREB, OIB: 5223317126</v>
      </c>
      <c r="H890" s="7"/>
      <c r="I890" s="8" t="s">
        <v>388</v>
      </c>
      <c r="J890" s="8" t="s">
        <v>519</v>
      </c>
      <c r="K890" s="6" t="str">
        <f>"36.015,56"</f>
        <v>36.015,56</v>
      </c>
      <c r="L890" s="6" t="str">
        <f>"0,00"</f>
        <v>0,00</v>
      </c>
      <c r="M890" s="6" t="str">
        <f>"36.015,56"</f>
        <v>36.015,56</v>
      </c>
      <c r="N890" s="8" t="s">
        <v>124</v>
      </c>
      <c r="O890" s="7"/>
      <c r="P890" s="2" t="s">
        <v>5614</v>
      </c>
      <c r="Q890" s="7"/>
      <c r="R890" s="1"/>
      <c r="S890" s="1" t="str">
        <f>"144-22/NOS-110/19"</f>
        <v>144-22/NOS-110/19</v>
      </c>
      <c r="T890" s="1" t="s">
        <v>32</v>
      </c>
    </row>
    <row r="891" spans="1:20" ht="51" x14ac:dyDescent="0.25">
      <c r="A891" s="6">
        <v>888</v>
      </c>
      <c r="B891" s="1" t="str">
        <f t="shared" si="78"/>
        <v>2019-2382</v>
      </c>
      <c r="C891" s="1" t="s">
        <v>1114</v>
      </c>
      <c r="D891" s="1" t="s">
        <v>1116</v>
      </c>
      <c r="E891" s="1" t="str">
        <f>""</f>
        <v/>
      </c>
      <c r="F891" s="1" t="s">
        <v>28</v>
      </c>
      <c r="G891" s="1" t="str">
        <f t="shared" si="79"/>
        <v>AUTOMEHANIKA D.D., KOVINSKA 4, 10000 ZAGREB, OIB: 5223317126</v>
      </c>
      <c r="H891" s="7"/>
      <c r="I891" s="8" t="s">
        <v>388</v>
      </c>
      <c r="J891" s="8" t="s">
        <v>519</v>
      </c>
      <c r="K891" s="6" t="str">
        <f>"10.393,90"</f>
        <v>10.393,90</v>
      </c>
      <c r="L891" s="6" t="str">
        <f>"0,00"</f>
        <v>0,00</v>
      </c>
      <c r="M891" s="6" t="str">
        <f>"10.393,90"</f>
        <v>10.393,90</v>
      </c>
      <c r="N891" s="8" t="s">
        <v>124</v>
      </c>
      <c r="O891" s="7"/>
      <c r="P891" s="2" t="s">
        <v>5614</v>
      </c>
      <c r="Q891" s="7"/>
      <c r="R891" s="1"/>
      <c r="S891" s="1" t="str">
        <f>"133-22/NOS-110/19"</f>
        <v>133-22/NOS-110/19</v>
      </c>
      <c r="T891" s="1" t="s">
        <v>32</v>
      </c>
    </row>
    <row r="892" spans="1:20" ht="51" x14ac:dyDescent="0.25">
      <c r="A892" s="6">
        <v>889</v>
      </c>
      <c r="B892" s="1" t="str">
        <f t="shared" si="78"/>
        <v>2019-2382</v>
      </c>
      <c r="C892" s="1" t="s">
        <v>1114</v>
      </c>
      <c r="D892" s="1" t="s">
        <v>1116</v>
      </c>
      <c r="E892" s="1" t="str">
        <f>""</f>
        <v/>
      </c>
      <c r="F892" s="1" t="s">
        <v>28</v>
      </c>
      <c r="G892" s="1" t="str">
        <f t="shared" si="79"/>
        <v>AUTOMEHANIKA D.D., KOVINSKA 4, 10000 ZAGREB, OIB: 5223317126</v>
      </c>
      <c r="H892" s="7"/>
      <c r="I892" s="8" t="s">
        <v>553</v>
      </c>
      <c r="J892" s="8" t="s">
        <v>519</v>
      </c>
      <c r="K892" s="6" t="str">
        <f>"2.600,00"</f>
        <v>2.600,00</v>
      </c>
      <c r="L892" s="6" t="str">
        <f>"0,00"</f>
        <v>0,00</v>
      </c>
      <c r="M892" s="6" t="str">
        <f>"2.600,00"</f>
        <v>2.600,00</v>
      </c>
      <c r="N892" s="8" t="s">
        <v>124</v>
      </c>
      <c r="O892" s="7"/>
      <c r="P892" s="2" t="s">
        <v>5614</v>
      </c>
      <c r="Q892" s="7"/>
      <c r="R892" s="1"/>
      <c r="S892" s="1" t="str">
        <f>"135-22/NOS-110/19"</f>
        <v>135-22/NOS-110/19</v>
      </c>
      <c r="T892" s="1" t="s">
        <v>32</v>
      </c>
    </row>
    <row r="893" spans="1:20" ht="51" x14ac:dyDescent="0.25">
      <c r="A893" s="6">
        <v>890</v>
      </c>
      <c r="B893" s="1" t="str">
        <f t="shared" si="78"/>
        <v>2019-2382</v>
      </c>
      <c r="C893" s="1" t="s">
        <v>1114</v>
      </c>
      <c r="D893" s="1" t="s">
        <v>1116</v>
      </c>
      <c r="E893" s="1" t="str">
        <f>""</f>
        <v/>
      </c>
      <c r="F893" s="1" t="s">
        <v>28</v>
      </c>
      <c r="G893" s="1" t="str">
        <f t="shared" si="79"/>
        <v>AUTOMEHANIKA D.D., KOVINSKA 4, 10000 ZAGREB, OIB: 5223317126</v>
      </c>
      <c r="H893" s="7"/>
      <c r="I893" s="8" t="s">
        <v>489</v>
      </c>
      <c r="J893" s="8" t="s">
        <v>519</v>
      </c>
      <c r="K893" s="6" t="str">
        <f>"37.670,92"</f>
        <v>37.670,92</v>
      </c>
      <c r="L893" s="6" t="str">
        <f>"0,00"</f>
        <v>0,00</v>
      </c>
      <c r="M893" s="6" t="str">
        <f>"37.670,92"</f>
        <v>37.670,92</v>
      </c>
      <c r="N893" s="8" t="s">
        <v>124</v>
      </c>
      <c r="O893" s="7"/>
      <c r="P893" s="2" t="s">
        <v>5614</v>
      </c>
      <c r="Q893" s="7"/>
      <c r="R893" s="1"/>
      <c r="S893" s="1" t="str">
        <f>"154-22/NOS-110/19"</f>
        <v>154-22/NOS-110/19</v>
      </c>
      <c r="T893" s="1" t="s">
        <v>32</v>
      </c>
    </row>
    <row r="894" spans="1:20" ht="102" x14ac:dyDescent="0.25">
      <c r="A894" s="6">
        <v>891</v>
      </c>
      <c r="B894" s="1" t="str">
        <f>"2020-2726"</f>
        <v>2020-2726</v>
      </c>
      <c r="C894" s="1" t="s">
        <v>1124</v>
      </c>
      <c r="D894" s="1" t="s">
        <v>1125</v>
      </c>
      <c r="E894" s="1" t="str">
        <f>"2020/S 0F2-0022675"</f>
        <v>2020/S 0F2-0022675</v>
      </c>
      <c r="F894" s="1" t="s">
        <v>22</v>
      </c>
      <c r="G894" s="1" t="str">
        <f>CONCATENATE("VODOTEHNIKA D.D.,"," KOTURAŠKA CESTA 49,"," 10000 ZAGREB,"," OIB: 1763143132")</f>
        <v>VODOTEHNIKA D.D., KOTURAŠKA CESTA 49, 10000 ZAGREB, OIB: 1763143132</v>
      </c>
      <c r="H894" s="7"/>
      <c r="I894" s="8" t="s">
        <v>1126</v>
      </c>
      <c r="J894" s="8" t="s">
        <v>892</v>
      </c>
      <c r="K894" s="6" t="str">
        <f>"30.000.000,00"</f>
        <v>30.000.000,00</v>
      </c>
      <c r="L894" s="6" t="str">
        <f>"7.500.000,00"</f>
        <v>7.500.000,00</v>
      </c>
      <c r="M894" s="6" t="str">
        <f>"37.500.000,00"</f>
        <v>37.500.000,00</v>
      </c>
      <c r="N894" s="8" t="s">
        <v>124</v>
      </c>
      <c r="O894" s="7"/>
      <c r="P894" s="2" t="s">
        <v>5614</v>
      </c>
      <c r="Q894" s="7"/>
      <c r="R894" s="1"/>
      <c r="S894" s="1" t="str">
        <f>"NOS-36/20"</f>
        <v>NOS-36/20</v>
      </c>
      <c r="T894" s="1" t="s">
        <v>55</v>
      </c>
    </row>
    <row r="895" spans="1:20" ht="102" x14ac:dyDescent="0.25">
      <c r="A895" s="6">
        <v>892</v>
      </c>
      <c r="B895" s="1" t="str">
        <f>"2020-2726"</f>
        <v>2020-2726</v>
      </c>
      <c r="C895" s="1" t="s">
        <v>1124</v>
      </c>
      <c r="D895" s="1" t="s">
        <v>1111</v>
      </c>
      <c r="E895" s="1" t="str">
        <f>""</f>
        <v/>
      </c>
      <c r="F895" s="1" t="s">
        <v>28</v>
      </c>
      <c r="G895" s="1" t="str">
        <f>CONCATENATE("VODOTEHNIKA D.D.,"," KOTURAŠKA CESTA 49,"," 10000 ZAGREB,"," OIB: 1763143132")</f>
        <v>VODOTEHNIKA D.D., KOTURAŠKA CESTA 49, 10000 ZAGREB, OIB: 1763143132</v>
      </c>
      <c r="H895" s="7"/>
      <c r="I895" s="8" t="s">
        <v>1127</v>
      </c>
      <c r="J895" s="8" t="s">
        <v>397</v>
      </c>
      <c r="K895" s="6" t="str">
        <f>"6.800.119,88"</f>
        <v>6.800.119,88</v>
      </c>
      <c r="L895" s="6" t="str">
        <f>"1.700.029,97"</f>
        <v>1.700.029,97</v>
      </c>
      <c r="M895" s="6" t="str">
        <f>"8.500.149,85"</f>
        <v>8.500.149,85</v>
      </c>
      <c r="N895" s="8" t="s">
        <v>124</v>
      </c>
      <c r="O895" s="7"/>
      <c r="P895" s="2" t="s">
        <v>5614</v>
      </c>
      <c r="Q895" s="7"/>
      <c r="R895" s="1"/>
      <c r="S895" s="1" t="str">
        <f>"1-21/NOS-36/20"</f>
        <v>1-21/NOS-36/20</v>
      </c>
      <c r="T895" s="1" t="s">
        <v>55</v>
      </c>
    </row>
    <row r="896" spans="1:20" ht="102" x14ac:dyDescent="0.25">
      <c r="A896" s="6">
        <v>893</v>
      </c>
      <c r="B896" s="1" t="str">
        <f>"2020-2726"</f>
        <v>2020-2726</v>
      </c>
      <c r="C896" s="1" t="s">
        <v>1124</v>
      </c>
      <c r="D896" s="1" t="s">
        <v>1111</v>
      </c>
      <c r="E896" s="1" t="str">
        <f>""</f>
        <v/>
      </c>
      <c r="F896" s="1" t="s">
        <v>28</v>
      </c>
      <c r="G896" s="1" t="str">
        <f>CONCATENATE("VODOTEHNIKA D.D.,"," KOTURAŠKA CESTA 49,"," 10000 ZAGREB,"," OIB: 1763143132")</f>
        <v>VODOTEHNIKA D.D., KOTURAŠKA CESTA 49, 10000 ZAGREB, OIB: 1763143132</v>
      </c>
      <c r="H896" s="7"/>
      <c r="I896" s="8" t="s">
        <v>98</v>
      </c>
      <c r="J896" s="8" t="s">
        <v>207</v>
      </c>
      <c r="K896" s="6" t="str">
        <f>"1.230.927,83"</f>
        <v>1.230.927,83</v>
      </c>
      <c r="L896" s="6" t="str">
        <f>"307.731,96"</f>
        <v>307.731,96</v>
      </c>
      <c r="M896" s="6" t="str">
        <f>"1.538.659,79"</f>
        <v>1.538.659,79</v>
      </c>
      <c r="N896" s="8" t="s">
        <v>124</v>
      </c>
      <c r="O896" s="7"/>
      <c r="P896" s="2" t="s">
        <v>5614</v>
      </c>
      <c r="Q896" s="7"/>
      <c r="R896" s="1"/>
      <c r="S896" s="1" t="str">
        <f>"2-21/NOS-36/20"</f>
        <v>2-21/NOS-36/20</v>
      </c>
      <c r="T896" s="1" t="s">
        <v>55</v>
      </c>
    </row>
    <row r="897" spans="1:20" ht="114.75" x14ac:dyDescent="0.25">
      <c r="A897" s="6">
        <v>894</v>
      </c>
      <c r="B897" s="1" t="str">
        <f>"2020-2726"</f>
        <v>2020-2726</v>
      </c>
      <c r="C897" s="1" t="s">
        <v>1128</v>
      </c>
      <c r="D897" s="1" t="s">
        <v>1111</v>
      </c>
      <c r="E897" s="1" t="str">
        <f>""</f>
        <v/>
      </c>
      <c r="F897" s="1" t="s">
        <v>92</v>
      </c>
      <c r="G897" s="1" t="str">
        <f>CONCATENATE("VODOTEHNIKA D.D.,"," KOTURAŠKA CESTA 49,"," 10000 ZAGREB,"," OIB: 1763143132")</f>
        <v>VODOTEHNIKA D.D., KOTURAŠKA CESTA 49, 10000 ZAGREB, OIB: 1763143132</v>
      </c>
      <c r="H897" s="7"/>
      <c r="I897" s="8" t="s">
        <v>1129</v>
      </c>
      <c r="J897" s="8" t="s">
        <v>397</v>
      </c>
      <c r="K897" s="6" t="str">
        <f>"1.844.313,61"</f>
        <v>1.844.313,61</v>
      </c>
      <c r="L897" s="6" t="str">
        <f>"461.078,40"</f>
        <v>461.078,40</v>
      </c>
      <c r="M897" s="6" t="str">
        <f>"2.305.392,01"</f>
        <v>2.305.392,01</v>
      </c>
      <c r="N897" s="8" t="s">
        <v>124</v>
      </c>
      <c r="O897" s="7"/>
      <c r="P897" s="2" t="s">
        <v>5614</v>
      </c>
      <c r="Q897" s="7"/>
      <c r="R897" s="1"/>
      <c r="S897" s="1" t="str">
        <f>"1-21/NOS-36/20#1"</f>
        <v>1-21/NOS-36/20#1</v>
      </c>
      <c r="T897" s="1" t="s">
        <v>55</v>
      </c>
    </row>
    <row r="898" spans="1:20" ht="114.75" x14ac:dyDescent="0.25">
      <c r="A898" s="6">
        <v>895</v>
      </c>
      <c r="B898" s="1" t="str">
        <f>"2020-2726"</f>
        <v>2020-2726</v>
      </c>
      <c r="C898" s="1" t="s">
        <v>1128</v>
      </c>
      <c r="D898" s="1" t="s">
        <v>1111</v>
      </c>
      <c r="E898" s="1" t="str">
        <f>""</f>
        <v/>
      </c>
      <c r="F898" s="1" t="s">
        <v>92</v>
      </c>
      <c r="G898" s="1" t="str">
        <f>CONCATENATE("VODOTEHNIKA D.D.,"," KOTURAŠKA CESTA 49,"," 10000 ZAGREB,"," OIB: 1763143132")</f>
        <v>VODOTEHNIKA D.D., KOTURAŠKA CESTA 49, 10000 ZAGREB, OIB: 1763143132</v>
      </c>
      <c r="H898" s="7"/>
      <c r="I898" s="8" t="s">
        <v>263</v>
      </c>
      <c r="J898" s="8" t="s">
        <v>207</v>
      </c>
      <c r="K898" s="6" t="str">
        <f>"313.428,17"</f>
        <v>313.428,17</v>
      </c>
      <c r="L898" s="6" t="str">
        <f>"78.357,04"</f>
        <v>78.357,04</v>
      </c>
      <c r="M898" s="6" t="str">
        <f>"391.785,21"</f>
        <v>391.785,21</v>
      </c>
      <c r="N898" s="8" t="s">
        <v>124</v>
      </c>
      <c r="O898" s="7"/>
      <c r="P898" s="2" t="s">
        <v>5614</v>
      </c>
      <c r="Q898" s="7"/>
      <c r="R898" s="1"/>
      <c r="S898" s="1" t="str">
        <f>"2-21/NOS-36/20#1"</f>
        <v>2-21/NOS-36/20#1</v>
      </c>
      <c r="T898" s="1" t="s">
        <v>55</v>
      </c>
    </row>
    <row r="899" spans="1:20" ht="306" x14ac:dyDescent="0.25">
      <c r="A899" s="6">
        <v>896</v>
      </c>
      <c r="B899" s="1" t="str">
        <f t="shared" ref="B899:B940" si="80">"2020-2753"</f>
        <v>2020-2753</v>
      </c>
      <c r="C899" s="1" t="s">
        <v>1130</v>
      </c>
      <c r="D899" s="1" t="s">
        <v>1131</v>
      </c>
      <c r="E899" s="1" t="str">
        <f>"2020/S 0F2-0020715"</f>
        <v>2020/S 0F2-0020715</v>
      </c>
      <c r="F899" s="1" t="s">
        <v>22</v>
      </c>
      <c r="G899" s="1"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899" s="7"/>
      <c r="I899" s="8" t="s">
        <v>1126</v>
      </c>
      <c r="J899" s="8" t="s">
        <v>1132</v>
      </c>
      <c r="K899" s="6" t="str">
        <f>"1.620.000,00"</f>
        <v>1.620.000,00</v>
      </c>
      <c r="L899" s="6" t="str">
        <f>"405.000,00"</f>
        <v>405.000,00</v>
      </c>
      <c r="M899" s="6" t="str">
        <f>"2.025.000,00"</f>
        <v>2.025.000,00</v>
      </c>
      <c r="N899" s="8" t="s">
        <v>433</v>
      </c>
      <c r="O899" s="7"/>
      <c r="P899" s="2" t="s">
        <v>6223</v>
      </c>
      <c r="Q899" s="7"/>
      <c r="R899" s="1"/>
      <c r="S899" s="1" t="str">
        <f>"NOS-37-1-ZGH/20"</f>
        <v>NOS-37-1-ZGH/20</v>
      </c>
      <c r="T899" s="1" t="s">
        <v>531</v>
      </c>
    </row>
    <row r="900" spans="1:20" ht="51" x14ac:dyDescent="0.25">
      <c r="A900" s="6">
        <v>897</v>
      </c>
      <c r="B900" s="1" t="str">
        <f t="shared" si="80"/>
        <v>2020-2753</v>
      </c>
      <c r="C900" s="1" t="s">
        <v>1133</v>
      </c>
      <c r="D900" s="1" t="s">
        <v>1131</v>
      </c>
      <c r="E900" s="1" t="str">
        <f>""</f>
        <v/>
      </c>
      <c r="F900" s="1" t="s">
        <v>28</v>
      </c>
      <c r="G900" s="1" t="str">
        <f>CONCATENATE("NARODNE NOVINE D.D.,"," SAVSKI GAJ XIII. PUT br. 6,"," 10000 ZAGREB,"," OIB: 64546066176")</f>
        <v>NARODNE NOVINE D.D., SAVSKI GAJ XIII. PUT br. 6, 10000 ZAGREB, OIB: 64546066176</v>
      </c>
      <c r="H900" s="7"/>
      <c r="I900" s="8" t="s">
        <v>1134</v>
      </c>
      <c r="J900" s="8" t="s">
        <v>1135</v>
      </c>
      <c r="K900" s="6" t="str">
        <f>"41.643,70"</f>
        <v>41.643,70</v>
      </c>
      <c r="L900" s="6" t="str">
        <f>"10.410,93"</f>
        <v>10.410,93</v>
      </c>
      <c r="M900" s="6" t="str">
        <f>"52.054,63"</f>
        <v>52.054,63</v>
      </c>
      <c r="N900" s="8" t="s">
        <v>240</v>
      </c>
      <c r="O900" s="7"/>
      <c r="P900" s="2" t="s">
        <v>6224</v>
      </c>
      <c r="Q900" s="7"/>
      <c r="R900" s="1"/>
      <c r="S900" s="1" t="str">
        <f>"5-21/NOS-37-1-ZGH/20"</f>
        <v>5-21/NOS-37-1-ZGH/20</v>
      </c>
      <c r="T900" s="1" t="s">
        <v>452</v>
      </c>
    </row>
    <row r="901" spans="1:20" ht="63.75" x14ac:dyDescent="0.25">
      <c r="A901" s="6">
        <v>898</v>
      </c>
      <c r="B901" s="1" t="str">
        <f t="shared" si="80"/>
        <v>2020-2753</v>
      </c>
      <c r="C901" s="1" t="s">
        <v>1136</v>
      </c>
      <c r="D901" s="1" t="s">
        <v>1131</v>
      </c>
      <c r="E901" s="1" t="str">
        <f>""</f>
        <v/>
      </c>
      <c r="F901" s="1" t="s">
        <v>28</v>
      </c>
      <c r="G901" s="1" t="str">
        <f>CONCATENATE("NARODNE NOVINE D.D.,"," SAVSKI GAJ XIII. PUT br. 6,"," 10000 ZAGREB,"," OIB: 64546066176")</f>
        <v>NARODNE NOVINE D.D., SAVSKI GAJ XIII. PUT br. 6, 10000 ZAGREB, OIB: 64546066176</v>
      </c>
      <c r="H901" s="7"/>
      <c r="I901" s="8" t="s">
        <v>656</v>
      </c>
      <c r="J901" s="8" t="s">
        <v>214</v>
      </c>
      <c r="K901" s="6" t="str">
        <f>"32.186,00"</f>
        <v>32.186,00</v>
      </c>
      <c r="L901" s="6" t="str">
        <f>"8.046,50"</f>
        <v>8.046,50</v>
      </c>
      <c r="M901" s="6" t="str">
        <f>"40.232,50"</f>
        <v>40.232,50</v>
      </c>
      <c r="N901" s="8" t="s">
        <v>732</v>
      </c>
      <c r="O901" s="7"/>
      <c r="P901" s="2" t="s">
        <v>6225</v>
      </c>
      <c r="Q901" s="7"/>
      <c r="R901" s="1"/>
      <c r="S901" s="1" t="str">
        <f>"18-21/NOS-37-1-ZGH/20"</f>
        <v>18-21/NOS-37-1-ZGH/20</v>
      </c>
      <c r="T901" s="1" t="s">
        <v>43</v>
      </c>
    </row>
    <row r="902" spans="1:20" ht="51" x14ac:dyDescent="0.25">
      <c r="A902" s="6">
        <v>899</v>
      </c>
      <c r="B902" s="1" t="str">
        <f t="shared" si="80"/>
        <v>2020-2753</v>
      </c>
      <c r="C902" s="1" t="s">
        <v>1133</v>
      </c>
      <c r="D902" s="1" t="s">
        <v>1131</v>
      </c>
      <c r="E902" s="1" t="str">
        <f>""</f>
        <v/>
      </c>
      <c r="F902" s="1" t="s">
        <v>28</v>
      </c>
      <c r="G902" s="1" t="str">
        <f>CONCATENATE("NARODNE NOVINE D.D.,"," SAVSKI GAJ XIII. PUT br. 6,"," 10000 ZAGREB,"," OIB: 64546066176")</f>
        <v>NARODNE NOVINE D.D., SAVSKI GAJ XIII. PUT br. 6, 10000 ZAGREB, OIB: 64546066176</v>
      </c>
      <c r="H902" s="7"/>
      <c r="I902" s="8" t="s">
        <v>416</v>
      </c>
      <c r="J902" s="8" t="s">
        <v>502</v>
      </c>
      <c r="K902" s="6" t="str">
        <f>"10.069,60"</f>
        <v>10.069,60</v>
      </c>
      <c r="L902" s="6" t="str">
        <f>"2.517,40"</f>
        <v>2.517,40</v>
      </c>
      <c r="M902" s="6" t="str">
        <f>"12.587,00"</f>
        <v>12.587,00</v>
      </c>
      <c r="N902" s="8" t="s">
        <v>801</v>
      </c>
      <c r="O902" s="7"/>
      <c r="P902" s="2" t="s">
        <v>6226</v>
      </c>
      <c r="Q902" s="7"/>
      <c r="R902" s="1"/>
      <c r="S902" s="1" t="str">
        <f>"21-21/NOS-37-1-ZGH/20"</f>
        <v>21-21/NOS-37-1-ZGH/20</v>
      </c>
      <c r="T902" s="1" t="s">
        <v>32</v>
      </c>
    </row>
    <row r="903" spans="1:20" ht="51" x14ac:dyDescent="0.25">
      <c r="A903" s="6">
        <v>900</v>
      </c>
      <c r="B903" s="1" t="str">
        <f t="shared" si="80"/>
        <v>2020-2753</v>
      </c>
      <c r="C903" s="1" t="s">
        <v>1133</v>
      </c>
      <c r="D903" s="1" t="s">
        <v>1131</v>
      </c>
      <c r="E903" s="1" t="str">
        <f>""</f>
        <v/>
      </c>
      <c r="F903" s="1" t="s">
        <v>28</v>
      </c>
      <c r="G903" s="1" t="str">
        <f>CONCATENATE("NARODNE NOVINE D.D.,"," SAVSKI GAJ XIII. PUT br. 6,"," 10000 ZAGREB,"," OIB: 64546066176")</f>
        <v>NARODNE NOVINE D.D., SAVSKI GAJ XIII. PUT br. 6, 10000 ZAGREB, OIB: 64546066176</v>
      </c>
      <c r="H903" s="7"/>
      <c r="I903" s="8" t="s">
        <v>163</v>
      </c>
      <c r="J903" s="8" t="s">
        <v>259</v>
      </c>
      <c r="K903" s="6" t="str">
        <f>"11.954,80"</f>
        <v>11.954,80</v>
      </c>
      <c r="L903" s="6" t="str">
        <f>"2.988,70"</f>
        <v>2.988,70</v>
      </c>
      <c r="M903" s="6" t="str">
        <f>"14.943,50"</f>
        <v>14.943,50</v>
      </c>
      <c r="N903" s="8" t="s">
        <v>296</v>
      </c>
      <c r="O903" s="7"/>
      <c r="P903" s="2" t="s">
        <v>6227</v>
      </c>
      <c r="Q903" s="7"/>
      <c r="R903" s="1"/>
      <c r="S903" s="1" t="str">
        <f>"1-22/NOS-37-1-ZGH/20"</f>
        <v>1-22/NOS-37-1-ZGH/20</v>
      </c>
      <c r="T903" s="1" t="s">
        <v>32</v>
      </c>
    </row>
    <row r="904" spans="1:20" ht="306" x14ac:dyDescent="0.25">
      <c r="A904" s="6">
        <v>901</v>
      </c>
      <c r="B904" s="1" t="str">
        <f t="shared" si="80"/>
        <v>2020-2753</v>
      </c>
      <c r="C904" s="1" t="s">
        <v>1137</v>
      </c>
      <c r="D904" s="1" t="s">
        <v>1131</v>
      </c>
      <c r="E904" s="1" t="str">
        <f>"2020/S 0F2-0020715"</f>
        <v>2020/S 0F2-0020715</v>
      </c>
      <c r="F904" s="1" t="s">
        <v>22</v>
      </c>
      <c r="G904" s="1"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904" s="7"/>
      <c r="I904" s="8" t="s">
        <v>1126</v>
      </c>
      <c r="J904" s="8" t="s">
        <v>1132</v>
      </c>
      <c r="K904" s="6" t="str">
        <f>"3.355.000,00"</f>
        <v>3.355.000,00</v>
      </c>
      <c r="L904" s="6" t="str">
        <f>"838.750,00"</f>
        <v>838.750,00</v>
      </c>
      <c r="M904" s="6" t="str">
        <f>"4.193.750,00"</f>
        <v>4.193.750,00</v>
      </c>
      <c r="N904" s="8" t="s">
        <v>433</v>
      </c>
      <c r="O904" s="7"/>
      <c r="P904" s="2" t="s">
        <v>6228</v>
      </c>
      <c r="Q904" s="7"/>
      <c r="R904" s="1"/>
      <c r="S904" s="1" t="str">
        <f>"NOS-37-2-ZGH/20"</f>
        <v>NOS-37-2-ZGH/20</v>
      </c>
      <c r="T904" s="1" t="s">
        <v>531</v>
      </c>
    </row>
    <row r="905" spans="1:20" ht="127.5" x14ac:dyDescent="0.25">
      <c r="A905" s="6">
        <v>902</v>
      </c>
      <c r="B905" s="1" t="str">
        <f t="shared" si="80"/>
        <v>2020-2753</v>
      </c>
      <c r="C905" s="1" t="s">
        <v>1133</v>
      </c>
      <c r="D905" s="1" t="s">
        <v>1131</v>
      </c>
      <c r="E905" s="1" t="str">
        <f>""</f>
        <v/>
      </c>
      <c r="F905" s="1" t="s">
        <v>28</v>
      </c>
      <c r="G905" s="1"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905" s="7"/>
      <c r="I905" s="8" t="s">
        <v>1134</v>
      </c>
      <c r="J905" s="8" t="s">
        <v>1135</v>
      </c>
      <c r="K905" s="6" t="str">
        <f>"103.939,00"</f>
        <v>103.939,00</v>
      </c>
      <c r="L905" s="6" t="str">
        <f>"25.984,75"</f>
        <v>25.984,75</v>
      </c>
      <c r="M905" s="6" t="str">
        <f>"129.923,75"</f>
        <v>129.923,75</v>
      </c>
      <c r="N905" s="8" t="s">
        <v>1121</v>
      </c>
      <c r="O905" s="7"/>
      <c r="P905" s="2" t="s">
        <v>6229</v>
      </c>
      <c r="Q905" s="7"/>
      <c r="R905" s="1"/>
      <c r="S905" s="1" t="str">
        <f>"6-21/NOS-37-2-ZGH/20"</f>
        <v>6-21/NOS-37-2-ZGH/20</v>
      </c>
      <c r="T905" s="1" t="s">
        <v>452</v>
      </c>
    </row>
    <row r="906" spans="1:20" ht="127.5" x14ac:dyDescent="0.25">
      <c r="A906" s="6">
        <v>903</v>
      </c>
      <c r="B906" s="1" t="str">
        <f t="shared" si="80"/>
        <v>2020-2753</v>
      </c>
      <c r="C906" s="1" t="s">
        <v>1138</v>
      </c>
      <c r="D906" s="1" t="s">
        <v>1131</v>
      </c>
      <c r="E906" s="1" t="str">
        <f>""</f>
        <v/>
      </c>
      <c r="F906" s="1" t="s">
        <v>28</v>
      </c>
      <c r="G906" s="1" t="str">
        <f>CONCATENATE("Zajednica ponuditelja",CHAR(10),"TIP - ZAGREB D.O.O.,"," VINOGRADSKA 34,"," 10431 SVETA NEDELJA,"," OIB: 36198195227INGPRO D.O.O. SLAVONSKA AVENIJA 24/6,"," 10000 ZAGREB,"," OIB: 93205229945")</f>
        <v>Zajednica ponuditelja
TIP - ZAGREB D.O.O., VINOGRADSKA 34, 10431 SVETA NEDELJA, OIB: 36198195227INGPRO D.O.O. SLAVONSKA AVENIJA 24/6, 10000 ZAGREB, OIB: 93205229945</v>
      </c>
      <c r="H906" s="7"/>
      <c r="I906" s="8" t="s">
        <v>656</v>
      </c>
      <c r="J906" s="8" t="s">
        <v>214</v>
      </c>
      <c r="K906" s="6" t="str">
        <f>"22.787,70"</f>
        <v>22.787,70</v>
      </c>
      <c r="L906" s="6" t="str">
        <f>"5.696,93"</f>
        <v>5.696,93</v>
      </c>
      <c r="M906" s="6" t="str">
        <f>"28.484,63"</f>
        <v>28.484,63</v>
      </c>
      <c r="N906" s="8" t="s">
        <v>669</v>
      </c>
      <c r="O906" s="7"/>
      <c r="P906" s="2" t="s">
        <v>6230</v>
      </c>
      <c r="Q906" s="7"/>
      <c r="R906" s="1"/>
      <c r="S906" s="1" t="str">
        <f>"27-21/NOS-37-2-ZGH/20"</f>
        <v>27-21/NOS-37-2-ZGH/20</v>
      </c>
      <c r="T906" s="1" t="s">
        <v>43</v>
      </c>
    </row>
    <row r="907" spans="1:20" ht="114.75" x14ac:dyDescent="0.25">
      <c r="A907" s="6">
        <v>904</v>
      </c>
      <c r="B907" s="1" t="str">
        <f t="shared" si="80"/>
        <v>2020-2753</v>
      </c>
      <c r="C907" s="1" t="s">
        <v>1137</v>
      </c>
      <c r="D907" s="1" t="s">
        <v>1131</v>
      </c>
      <c r="E907" s="1" t="str">
        <f>""</f>
        <v/>
      </c>
      <c r="F907" s="1" t="s">
        <v>28</v>
      </c>
      <c r="G907" s="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907" s="7"/>
      <c r="I907" s="8" t="s">
        <v>681</v>
      </c>
      <c r="J907" s="8" t="s">
        <v>423</v>
      </c>
      <c r="K907" s="6" t="str">
        <f>"4.619,50"</f>
        <v>4.619,50</v>
      </c>
      <c r="L907" s="6" t="str">
        <f>"1.154,88"</f>
        <v>1.154,88</v>
      </c>
      <c r="M907" s="6" t="str">
        <f>"5.774,38"</f>
        <v>5.774,38</v>
      </c>
      <c r="N907" s="8" t="s">
        <v>478</v>
      </c>
      <c r="O907" s="7"/>
      <c r="P907" s="2" t="s">
        <v>6231</v>
      </c>
      <c r="Q907" s="7"/>
      <c r="R907" s="1"/>
      <c r="S907" s="1" t="str">
        <f>"1-22/NOS-37-2-ZGH/20"</f>
        <v>1-22/NOS-37-2-ZGH/20</v>
      </c>
      <c r="T907" s="1" t="s">
        <v>32</v>
      </c>
    </row>
    <row r="908" spans="1:20" ht="114.75" x14ac:dyDescent="0.25">
      <c r="A908" s="6">
        <v>905</v>
      </c>
      <c r="B908" s="1" t="str">
        <f t="shared" si="80"/>
        <v>2020-2753</v>
      </c>
      <c r="C908" s="1" t="s">
        <v>1137</v>
      </c>
      <c r="D908" s="1" t="s">
        <v>1131</v>
      </c>
      <c r="E908" s="1" t="str">
        <f>""</f>
        <v/>
      </c>
      <c r="F908" s="1" t="s">
        <v>28</v>
      </c>
      <c r="G908" s="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908" s="7"/>
      <c r="I908" s="8" t="s">
        <v>345</v>
      </c>
      <c r="J908" s="7"/>
      <c r="K908" s="6" t="str">
        <f>"14.498,00"</f>
        <v>14.498,00</v>
      </c>
      <c r="L908" s="6" t="str">
        <f>"0,00"</f>
        <v>0,00</v>
      </c>
      <c r="M908" s="6" t="str">
        <f>"14.498,00"</f>
        <v>14.498,00</v>
      </c>
      <c r="N908" s="8" t="s">
        <v>124</v>
      </c>
      <c r="O908" s="7"/>
      <c r="P908" s="2" t="s">
        <v>5614</v>
      </c>
      <c r="Q908" s="7"/>
      <c r="R908" s="1"/>
      <c r="S908" s="1" t="str">
        <f>"8-22/NOS-37-2-ZGH/20"</f>
        <v>8-22/NOS-37-2-ZGH/20</v>
      </c>
      <c r="T908" s="1" t="s">
        <v>32</v>
      </c>
    </row>
    <row r="909" spans="1:20" ht="114.75" x14ac:dyDescent="0.25">
      <c r="A909" s="6">
        <v>906</v>
      </c>
      <c r="B909" s="1" t="str">
        <f t="shared" si="80"/>
        <v>2020-2753</v>
      </c>
      <c r="C909" s="1" t="s">
        <v>1137</v>
      </c>
      <c r="D909" s="1" t="s">
        <v>1131</v>
      </c>
      <c r="E909" s="1" t="str">
        <f>""</f>
        <v/>
      </c>
      <c r="F909" s="1" t="s">
        <v>28</v>
      </c>
      <c r="G909" s="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909" s="7"/>
      <c r="I909" s="8" t="s">
        <v>345</v>
      </c>
      <c r="J909" s="8" t="s">
        <v>423</v>
      </c>
      <c r="K909" s="6" t="str">
        <f>"4.907,00"</f>
        <v>4.907,00</v>
      </c>
      <c r="L909" s="6" t="str">
        <f>"1.226,75"</f>
        <v>1.226,75</v>
      </c>
      <c r="M909" s="6" t="str">
        <f>"6.133,75"</f>
        <v>6.133,75</v>
      </c>
      <c r="N909" s="8" t="s">
        <v>293</v>
      </c>
      <c r="O909" s="7"/>
      <c r="P909" s="2" t="s">
        <v>6232</v>
      </c>
      <c r="Q909" s="7"/>
      <c r="R909" s="1"/>
      <c r="S909" s="1" t="str">
        <f>"11-22/NOS-37-2-ZGH/20"</f>
        <v>11-22/NOS-37-2-ZGH/20</v>
      </c>
      <c r="T909" s="1" t="s">
        <v>32</v>
      </c>
    </row>
    <row r="910" spans="1:20" ht="114.75" x14ac:dyDescent="0.25">
      <c r="A910" s="6">
        <v>907</v>
      </c>
      <c r="B910" s="1" t="str">
        <f t="shared" si="80"/>
        <v>2020-2753</v>
      </c>
      <c r="C910" s="1" t="s">
        <v>1137</v>
      </c>
      <c r="D910" s="1" t="s">
        <v>1131</v>
      </c>
      <c r="E910" s="1" t="str">
        <f>""</f>
        <v/>
      </c>
      <c r="F910" s="1" t="s">
        <v>28</v>
      </c>
      <c r="G910" s="1"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910" s="7"/>
      <c r="I910" s="8" t="s">
        <v>293</v>
      </c>
      <c r="J910" s="8" t="s">
        <v>423</v>
      </c>
      <c r="K910" s="6" t="str">
        <f>"920,00"</f>
        <v>920,00</v>
      </c>
      <c r="L910" s="6" t="str">
        <f>"230,00"</f>
        <v>230,00</v>
      </c>
      <c r="M910" s="6" t="str">
        <f>"1.150,00"</f>
        <v>1.150,00</v>
      </c>
      <c r="N910" s="8" t="s">
        <v>478</v>
      </c>
      <c r="O910" s="7"/>
      <c r="P910" s="2" t="s">
        <v>6233</v>
      </c>
      <c r="Q910" s="7"/>
      <c r="R910" s="1"/>
      <c r="S910" s="1" t="str">
        <f>"14-22/NOS-37-2-ZGH/20"</f>
        <v>14-22/NOS-37-2-ZGH/20</v>
      </c>
      <c r="T910" s="1" t="s">
        <v>32</v>
      </c>
    </row>
    <row r="911" spans="1:20" ht="51" x14ac:dyDescent="0.25">
      <c r="A911" s="6">
        <v>908</v>
      </c>
      <c r="B911" s="1" t="str">
        <f t="shared" si="80"/>
        <v>2020-2753</v>
      </c>
      <c r="C911" s="1" t="s">
        <v>1137</v>
      </c>
      <c r="D911" s="1" t="s">
        <v>1131</v>
      </c>
      <c r="E911" s="1" t="str">
        <f>""</f>
        <v/>
      </c>
      <c r="F911" s="1" t="s">
        <v>28</v>
      </c>
      <c r="G911" s="1" t="str">
        <f>CONCATENATE("NARODNE NOVINE D.D.,"," SAVSKI GAJ XIII. PUT br. 6,"," 10000 ZAGREB,"," OIB: 64546066176")</f>
        <v>NARODNE NOVINE D.D., SAVSKI GAJ XIII. PUT br. 6, 10000 ZAGREB, OIB: 64546066176</v>
      </c>
      <c r="H911" s="7"/>
      <c r="I911" s="8" t="s">
        <v>862</v>
      </c>
      <c r="J911" s="8" t="s">
        <v>423</v>
      </c>
      <c r="K911" s="6" t="str">
        <f>"4.194,70"</f>
        <v>4.194,70</v>
      </c>
      <c r="L911" s="6" t="str">
        <f>"0,00"</f>
        <v>0,00</v>
      </c>
      <c r="M911" s="6" t="str">
        <f>"4.194,70"</f>
        <v>4.194,70</v>
      </c>
      <c r="N911" s="8" t="s">
        <v>994</v>
      </c>
      <c r="O911" s="7"/>
      <c r="P911" s="2" t="s">
        <v>5614</v>
      </c>
      <c r="Q911" s="7"/>
      <c r="R911" s="1"/>
      <c r="S911" s="1" t="str">
        <f>"9-22/NOS-37-2-ZGH/20"</f>
        <v>9-22/NOS-37-2-ZGH/20</v>
      </c>
      <c r="T911" s="1" t="s">
        <v>55</v>
      </c>
    </row>
    <row r="912" spans="1:20" ht="114.75" x14ac:dyDescent="0.25">
      <c r="A912" s="6">
        <v>909</v>
      </c>
      <c r="B912" s="1" t="str">
        <f t="shared" si="80"/>
        <v>2020-2753</v>
      </c>
      <c r="C912" s="1" t="s">
        <v>1137</v>
      </c>
      <c r="D912" s="1" t="s">
        <v>1131</v>
      </c>
      <c r="E912" s="1" t="str">
        <f>""</f>
        <v/>
      </c>
      <c r="F912" s="1" t="s">
        <v>28</v>
      </c>
      <c r="G912" s="1" t="str">
        <f t="shared" ref="G912:G925" si="81">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912" s="7"/>
      <c r="I912" s="8" t="s">
        <v>862</v>
      </c>
      <c r="J912" s="8" t="s">
        <v>423</v>
      </c>
      <c r="K912" s="6" t="str">
        <f>"76.214,24"</f>
        <v>76.214,24</v>
      </c>
      <c r="L912" s="6" t="str">
        <f>"0,00"</f>
        <v>0,00</v>
      </c>
      <c r="M912" s="6" t="str">
        <f>"76.214,24"</f>
        <v>76.214,24</v>
      </c>
      <c r="N912" s="8" t="s">
        <v>124</v>
      </c>
      <c r="O912" s="7"/>
      <c r="P912" s="2" t="s">
        <v>5614</v>
      </c>
      <c r="Q912" s="7"/>
      <c r="R912" s="1"/>
      <c r="S912" s="1" t="str">
        <f>"16-22/NOS-37-2-ZGH/20"</f>
        <v>16-22/NOS-37-2-ZGH/20</v>
      </c>
      <c r="T912" s="1" t="s">
        <v>86</v>
      </c>
    </row>
    <row r="913" spans="1:20" ht="114.75" x14ac:dyDescent="0.25">
      <c r="A913" s="6">
        <v>910</v>
      </c>
      <c r="B913" s="1" t="str">
        <f t="shared" si="80"/>
        <v>2020-2753</v>
      </c>
      <c r="C913" s="1" t="s">
        <v>1137</v>
      </c>
      <c r="D913" s="1" t="s">
        <v>1131</v>
      </c>
      <c r="E913" s="1" t="str">
        <f>""</f>
        <v/>
      </c>
      <c r="F913" s="1" t="s">
        <v>28</v>
      </c>
      <c r="G913" s="1" t="str">
        <f t="shared" si="81"/>
        <v>Zajednica ponuditelja:
TIP - ZAGREB D.O.O., VINOGRADSKA 34, 10431 SVETA NEDELJA, OIB: 36198195227
INGPRO D.O.O., SLAVONSKA AVENIJA 24/6, 10000 ZAGREB, OIB: 93205229945</v>
      </c>
      <c r="H913" s="7"/>
      <c r="I913" s="8" t="s">
        <v>427</v>
      </c>
      <c r="J913" s="7"/>
      <c r="K913" s="6" t="str">
        <f>"17.221,50"</f>
        <v>17.221,50</v>
      </c>
      <c r="L913" s="6" t="str">
        <f>"4.305,38"</f>
        <v>4.305,38</v>
      </c>
      <c r="M913" s="6" t="str">
        <f>"21.526,88"</f>
        <v>21.526,88</v>
      </c>
      <c r="N913" s="8" t="s">
        <v>565</v>
      </c>
      <c r="O913" s="7"/>
      <c r="P913" s="2" t="s">
        <v>6234</v>
      </c>
      <c r="Q913" s="7"/>
      <c r="R913" s="1"/>
      <c r="S913" s="1" t="str">
        <f>"20-22/NOS-37-2-ZGH/20"</f>
        <v>20-22/NOS-37-2-ZGH/20</v>
      </c>
      <c r="T913" s="1" t="s">
        <v>55</v>
      </c>
    </row>
    <row r="914" spans="1:20" ht="114.75" x14ac:dyDescent="0.25">
      <c r="A914" s="6">
        <v>911</v>
      </c>
      <c r="B914" s="1" t="str">
        <f t="shared" si="80"/>
        <v>2020-2753</v>
      </c>
      <c r="C914" s="1" t="s">
        <v>1137</v>
      </c>
      <c r="D914" s="1" t="s">
        <v>1131</v>
      </c>
      <c r="E914" s="1" t="str">
        <f>""</f>
        <v/>
      </c>
      <c r="F914" s="1" t="s">
        <v>28</v>
      </c>
      <c r="G914" s="1" t="str">
        <f t="shared" si="81"/>
        <v>Zajednica ponuditelja:
TIP - ZAGREB D.O.O., VINOGRADSKA 34, 10431 SVETA NEDELJA, OIB: 36198195227
INGPRO D.O.O., SLAVONSKA AVENIJA 24/6, 10000 ZAGREB, OIB: 93205229945</v>
      </c>
      <c r="H914" s="7"/>
      <c r="I914" s="8" t="s">
        <v>916</v>
      </c>
      <c r="J914" s="8" t="s">
        <v>423</v>
      </c>
      <c r="K914" s="6" t="str">
        <f>"2.727,70"</f>
        <v>2.727,70</v>
      </c>
      <c r="L914" s="6" t="str">
        <f>"681,93"</f>
        <v>681,93</v>
      </c>
      <c r="M914" s="6" t="str">
        <f>"3.409,63"</f>
        <v>3.409,63</v>
      </c>
      <c r="N914" s="8" t="s">
        <v>669</v>
      </c>
      <c r="O914" s="7"/>
      <c r="P914" s="2" t="s">
        <v>6235</v>
      </c>
      <c r="Q914" s="7"/>
      <c r="R914" s="1"/>
      <c r="S914" s="1" t="str">
        <f>"21-22/NOS-37-2-ZGH/20"</f>
        <v>21-22/NOS-37-2-ZGH/20</v>
      </c>
      <c r="T914" s="1" t="s">
        <v>55</v>
      </c>
    </row>
    <row r="915" spans="1:20" ht="114.75" x14ac:dyDescent="0.25">
      <c r="A915" s="6">
        <v>912</v>
      </c>
      <c r="B915" s="1" t="str">
        <f t="shared" si="80"/>
        <v>2020-2753</v>
      </c>
      <c r="C915" s="1" t="s">
        <v>1137</v>
      </c>
      <c r="D915" s="1" t="s">
        <v>1131</v>
      </c>
      <c r="E915" s="1" t="str">
        <f>""</f>
        <v/>
      </c>
      <c r="F915" s="1" t="s">
        <v>28</v>
      </c>
      <c r="G915" s="1" t="str">
        <f t="shared" si="81"/>
        <v>Zajednica ponuditelja:
TIP - ZAGREB D.O.O., VINOGRADSKA 34, 10431 SVETA NEDELJA, OIB: 36198195227
INGPRO D.O.O., SLAVONSKA AVENIJA 24/6, 10000 ZAGREB, OIB: 93205229945</v>
      </c>
      <c r="H915" s="7"/>
      <c r="I915" s="8" t="s">
        <v>910</v>
      </c>
      <c r="J915" s="8" t="s">
        <v>423</v>
      </c>
      <c r="K915" s="6" t="str">
        <f>"4.603,00"</f>
        <v>4.603,00</v>
      </c>
      <c r="L915" s="6" t="str">
        <f>"1.150,75"</f>
        <v>1.150,75</v>
      </c>
      <c r="M915" s="6" t="str">
        <f>"5.753,75"</f>
        <v>5.753,75</v>
      </c>
      <c r="N915" s="8" t="s">
        <v>567</v>
      </c>
      <c r="O915" s="7"/>
      <c r="P915" s="2" t="s">
        <v>6236</v>
      </c>
      <c r="Q915" s="7"/>
      <c r="R915" s="1"/>
      <c r="S915" s="1" t="str">
        <f>"22-22/NOS-37-2-ZGH/20"</f>
        <v>22-22/NOS-37-2-ZGH/20</v>
      </c>
      <c r="T915" s="1" t="s">
        <v>43</v>
      </c>
    </row>
    <row r="916" spans="1:20" ht="114.75" x14ac:dyDescent="0.25">
      <c r="A916" s="6">
        <v>913</v>
      </c>
      <c r="B916" s="1" t="str">
        <f t="shared" si="80"/>
        <v>2020-2753</v>
      </c>
      <c r="C916" s="1" t="s">
        <v>1137</v>
      </c>
      <c r="D916" s="1" t="s">
        <v>1131</v>
      </c>
      <c r="E916" s="1" t="str">
        <f>""</f>
        <v/>
      </c>
      <c r="F916" s="1" t="s">
        <v>28</v>
      </c>
      <c r="G916" s="1" t="str">
        <f t="shared" si="81"/>
        <v>Zajednica ponuditelja:
TIP - ZAGREB D.O.O., VINOGRADSKA 34, 10431 SVETA NEDELJA, OIB: 36198195227
INGPRO D.O.O., SLAVONSKA AVENIJA 24/6, 10000 ZAGREB, OIB: 93205229945</v>
      </c>
      <c r="H916" s="7"/>
      <c r="I916" s="8" t="s">
        <v>374</v>
      </c>
      <c r="J916" s="8" t="s">
        <v>423</v>
      </c>
      <c r="K916" s="6" t="str">
        <f>"1.706,00"</f>
        <v>1.706,00</v>
      </c>
      <c r="L916" s="6" t="str">
        <f>"426,50"</f>
        <v>426,50</v>
      </c>
      <c r="M916" s="6" t="str">
        <f>"2.132,50"</f>
        <v>2.132,50</v>
      </c>
      <c r="N916" s="8" t="s">
        <v>732</v>
      </c>
      <c r="O916" s="7"/>
      <c r="P916" s="2" t="s">
        <v>6237</v>
      </c>
      <c r="Q916" s="7"/>
      <c r="R916" s="1"/>
      <c r="S916" s="1" t="str">
        <f>"29-22/NOS-37-2-ZGH/20"</f>
        <v>29-22/NOS-37-2-ZGH/20</v>
      </c>
      <c r="T916" s="1" t="s">
        <v>43</v>
      </c>
    </row>
    <row r="917" spans="1:20" ht="114.75" x14ac:dyDescent="0.25">
      <c r="A917" s="6">
        <v>914</v>
      </c>
      <c r="B917" s="1" t="str">
        <f t="shared" si="80"/>
        <v>2020-2753</v>
      </c>
      <c r="C917" s="1" t="s">
        <v>1137</v>
      </c>
      <c r="D917" s="1" t="s">
        <v>1131</v>
      </c>
      <c r="E917" s="1" t="str">
        <f>""</f>
        <v/>
      </c>
      <c r="F917" s="1" t="s">
        <v>28</v>
      </c>
      <c r="G917" s="1" t="str">
        <f t="shared" si="81"/>
        <v>Zajednica ponuditelja:
TIP - ZAGREB D.O.O., VINOGRADSKA 34, 10431 SVETA NEDELJA, OIB: 36198195227
INGPRO D.O.O., SLAVONSKA AVENIJA 24/6, 10000 ZAGREB, OIB: 93205229945</v>
      </c>
      <c r="H917" s="7"/>
      <c r="I917" s="8" t="s">
        <v>414</v>
      </c>
      <c r="J917" s="8" t="s">
        <v>423</v>
      </c>
      <c r="K917" s="6" t="str">
        <f>"2.505,00"</f>
        <v>2.505,00</v>
      </c>
      <c r="L917" s="6" t="str">
        <f>"626,25"</f>
        <v>626,25</v>
      </c>
      <c r="M917" s="6" t="str">
        <f>"3.131,25"</f>
        <v>3.131,25</v>
      </c>
      <c r="N917" s="8" t="s">
        <v>508</v>
      </c>
      <c r="O917" s="7"/>
      <c r="P917" s="2" t="s">
        <v>6238</v>
      </c>
      <c r="Q917" s="7"/>
      <c r="R917" s="1"/>
      <c r="S917" s="1" t="str">
        <f>"31-22/NOS-37-2-ZGH/20"</f>
        <v>31-22/NOS-37-2-ZGH/20</v>
      </c>
      <c r="T917" s="1" t="s">
        <v>43</v>
      </c>
    </row>
    <row r="918" spans="1:20" ht="114.75" x14ac:dyDescent="0.25">
      <c r="A918" s="6">
        <v>915</v>
      </c>
      <c r="B918" s="1" t="str">
        <f t="shared" si="80"/>
        <v>2020-2753</v>
      </c>
      <c r="C918" s="1" t="s">
        <v>1137</v>
      </c>
      <c r="D918" s="1" t="s">
        <v>1131</v>
      </c>
      <c r="E918" s="1" t="str">
        <f>""</f>
        <v/>
      </c>
      <c r="F918" s="1" t="s">
        <v>28</v>
      </c>
      <c r="G918" s="1" t="str">
        <f t="shared" si="81"/>
        <v>Zajednica ponuditelja:
TIP - ZAGREB D.O.O., VINOGRADSKA 34, 10431 SVETA NEDELJA, OIB: 36198195227
INGPRO D.O.O., SLAVONSKA AVENIJA 24/6, 10000 ZAGREB, OIB: 93205229945</v>
      </c>
      <c r="H918" s="7"/>
      <c r="I918" s="8" t="s">
        <v>81</v>
      </c>
      <c r="J918" s="8" t="s">
        <v>423</v>
      </c>
      <c r="K918" s="6" t="str">
        <f>"9.635,54"</f>
        <v>9.635,54</v>
      </c>
      <c r="L918" s="6" t="str">
        <f>"2.398,64"</f>
        <v>2.398,64</v>
      </c>
      <c r="M918" s="6" t="str">
        <f>"12.034,18"</f>
        <v>12.034,18</v>
      </c>
      <c r="N918" s="8" t="s">
        <v>207</v>
      </c>
      <c r="O918" s="7"/>
      <c r="P918" s="2" t="s">
        <v>6239</v>
      </c>
      <c r="Q918" s="7"/>
      <c r="R918" s="1"/>
      <c r="S918" s="1" t="str">
        <f>"33-22/NOS-37-2-ZGH/20"</f>
        <v>33-22/NOS-37-2-ZGH/20</v>
      </c>
      <c r="T918" s="1" t="s">
        <v>32</v>
      </c>
    </row>
    <row r="919" spans="1:20" ht="114.75" x14ac:dyDescent="0.25">
      <c r="A919" s="6">
        <v>916</v>
      </c>
      <c r="B919" s="1" t="str">
        <f t="shared" si="80"/>
        <v>2020-2753</v>
      </c>
      <c r="C919" s="1" t="s">
        <v>1137</v>
      </c>
      <c r="D919" s="1" t="s">
        <v>1131</v>
      </c>
      <c r="E919" s="1" t="str">
        <f>""</f>
        <v/>
      </c>
      <c r="F919" s="1" t="s">
        <v>28</v>
      </c>
      <c r="G919" s="1" t="str">
        <f t="shared" si="81"/>
        <v>Zajednica ponuditelja:
TIP - ZAGREB D.O.O., VINOGRADSKA 34, 10431 SVETA NEDELJA, OIB: 36198195227
INGPRO D.O.O., SLAVONSKA AVENIJA 24/6, 10000 ZAGREB, OIB: 93205229945</v>
      </c>
      <c r="H919" s="7"/>
      <c r="I919" s="8" t="s">
        <v>964</v>
      </c>
      <c r="J919" s="8" t="s">
        <v>423</v>
      </c>
      <c r="K919" s="6" t="str">
        <f>"1.655,50"</f>
        <v>1.655,50</v>
      </c>
      <c r="L919" s="6" t="str">
        <f>"413,88"</f>
        <v>413,88</v>
      </c>
      <c r="M919" s="6" t="str">
        <f>"2.069,38"</f>
        <v>2.069,38</v>
      </c>
      <c r="N919" s="8" t="s">
        <v>207</v>
      </c>
      <c r="O919" s="7"/>
      <c r="P919" s="2" t="s">
        <v>6240</v>
      </c>
      <c r="Q919" s="7"/>
      <c r="R919" s="1"/>
      <c r="S919" s="1" t="str">
        <f>"45-22/NOS-37-2-ZGH/20"</f>
        <v>45-22/NOS-37-2-ZGH/20</v>
      </c>
      <c r="T919" s="1" t="s">
        <v>32</v>
      </c>
    </row>
    <row r="920" spans="1:20" ht="114.75" x14ac:dyDescent="0.25">
      <c r="A920" s="6">
        <v>917</v>
      </c>
      <c r="B920" s="1" t="str">
        <f t="shared" si="80"/>
        <v>2020-2753</v>
      </c>
      <c r="C920" s="1" t="s">
        <v>1137</v>
      </c>
      <c r="D920" s="1" t="s">
        <v>1131</v>
      </c>
      <c r="E920" s="1" t="str">
        <f>""</f>
        <v/>
      </c>
      <c r="F920" s="1" t="s">
        <v>28</v>
      </c>
      <c r="G920" s="1" t="str">
        <f t="shared" si="81"/>
        <v>Zajednica ponuditelja:
TIP - ZAGREB D.O.O., VINOGRADSKA 34, 10431 SVETA NEDELJA, OIB: 36198195227
INGPRO D.O.O., SLAVONSKA AVENIJA 24/6, 10000 ZAGREB, OIB: 93205229945</v>
      </c>
      <c r="H920" s="7"/>
      <c r="I920" s="8" t="s">
        <v>409</v>
      </c>
      <c r="J920" s="8" t="s">
        <v>423</v>
      </c>
      <c r="K920" s="6" t="str">
        <f>"2.044,00"</f>
        <v>2.044,00</v>
      </c>
      <c r="L920" s="6" t="str">
        <f t="shared" ref="L920:L925" si="82">"0,00"</f>
        <v>0,00</v>
      </c>
      <c r="M920" s="6" t="str">
        <f>"2.044,00"</f>
        <v>2.044,00</v>
      </c>
      <c r="N920" s="8" t="s">
        <v>124</v>
      </c>
      <c r="O920" s="7"/>
      <c r="P920" s="2" t="s">
        <v>5614</v>
      </c>
      <c r="Q920" s="7"/>
      <c r="R920" s="1"/>
      <c r="S920" s="1" t="str">
        <f>"30-22/NOS-37-2-ZGH/20"</f>
        <v>30-22/NOS-37-2-ZGH/20</v>
      </c>
      <c r="T920" s="1" t="s">
        <v>32</v>
      </c>
    </row>
    <row r="921" spans="1:20" ht="114.75" x14ac:dyDescent="0.25">
      <c r="A921" s="6">
        <v>918</v>
      </c>
      <c r="B921" s="1" t="str">
        <f t="shared" si="80"/>
        <v>2020-2753</v>
      </c>
      <c r="C921" s="1" t="s">
        <v>1137</v>
      </c>
      <c r="D921" s="1" t="s">
        <v>1131</v>
      </c>
      <c r="E921" s="1" t="str">
        <f>""</f>
        <v/>
      </c>
      <c r="F921" s="1" t="s">
        <v>28</v>
      </c>
      <c r="G921" s="1" t="str">
        <f t="shared" si="81"/>
        <v>Zajednica ponuditelja:
TIP - ZAGREB D.O.O., VINOGRADSKA 34, 10431 SVETA NEDELJA, OIB: 36198195227
INGPRO D.O.O., SLAVONSKA AVENIJA 24/6, 10000 ZAGREB, OIB: 93205229945</v>
      </c>
      <c r="H921" s="7"/>
      <c r="I921" s="8" t="s">
        <v>409</v>
      </c>
      <c r="J921" s="8" t="s">
        <v>423</v>
      </c>
      <c r="K921" s="6" t="str">
        <f>"2.070,90"</f>
        <v>2.070,90</v>
      </c>
      <c r="L921" s="6" t="str">
        <f t="shared" si="82"/>
        <v>0,00</v>
      </c>
      <c r="M921" s="6" t="str">
        <f>"2.070,90"</f>
        <v>2.070,90</v>
      </c>
      <c r="N921" s="8" t="s">
        <v>124</v>
      </c>
      <c r="O921" s="7"/>
      <c r="P921" s="2" t="s">
        <v>5614</v>
      </c>
      <c r="Q921" s="7"/>
      <c r="R921" s="1"/>
      <c r="S921" s="1" t="str">
        <f>"28-22/NOS-37-2-ZGH/20"</f>
        <v>28-22/NOS-37-2-ZGH/20</v>
      </c>
      <c r="T921" s="1" t="s">
        <v>55</v>
      </c>
    </row>
    <row r="922" spans="1:20" ht="114.75" x14ac:dyDescent="0.25">
      <c r="A922" s="6">
        <v>919</v>
      </c>
      <c r="B922" s="1" t="str">
        <f t="shared" si="80"/>
        <v>2020-2753</v>
      </c>
      <c r="C922" s="1" t="s">
        <v>1137</v>
      </c>
      <c r="D922" s="1" t="s">
        <v>1131</v>
      </c>
      <c r="E922" s="1" t="str">
        <f>""</f>
        <v/>
      </c>
      <c r="F922" s="1" t="s">
        <v>28</v>
      </c>
      <c r="G922" s="1" t="str">
        <f t="shared" si="81"/>
        <v>Zajednica ponuditelja:
TIP - ZAGREB D.O.O., VINOGRADSKA 34, 10431 SVETA NEDELJA, OIB: 36198195227
INGPRO D.O.O., SLAVONSKA AVENIJA 24/6, 10000 ZAGREB, OIB: 93205229945</v>
      </c>
      <c r="H922" s="7"/>
      <c r="I922" s="8" t="s">
        <v>227</v>
      </c>
      <c r="J922" s="8" t="s">
        <v>423</v>
      </c>
      <c r="K922" s="6" t="str">
        <f>"15.722,00"</f>
        <v>15.722,00</v>
      </c>
      <c r="L922" s="6" t="str">
        <f t="shared" si="82"/>
        <v>0,00</v>
      </c>
      <c r="M922" s="6" t="str">
        <f>"15.722,00"</f>
        <v>15.722,00</v>
      </c>
      <c r="N922" s="8" t="s">
        <v>124</v>
      </c>
      <c r="O922" s="7"/>
      <c r="P922" s="2" t="s">
        <v>5614</v>
      </c>
      <c r="Q922" s="7"/>
      <c r="R922" s="1"/>
      <c r="S922" s="1" t="str">
        <f>"44-22/NOS-37-2-ZGH/20"</f>
        <v>44-22/NOS-37-2-ZGH/20</v>
      </c>
      <c r="T922" s="1" t="s">
        <v>43</v>
      </c>
    </row>
    <row r="923" spans="1:20" ht="114.75" x14ac:dyDescent="0.25">
      <c r="A923" s="6">
        <v>920</v>
      </c>
      <c r="B923" s="1" t="str">
        <f t="shared" si="80"/>
        <v>2020-2753</v>
      </c>
      <c r="C923" s="1" t="s">
        <v>1137</v>
      </c>
      <c r="D923" s="1" t="s">
        <v>1131</v>
      </c>
      <c r="E923" s="1" t="str">
        <f>""</f>
        <v/>
      </c>
      <c r="F923" s="1" t="s">
        <v>28</v>
      </c>
      <c r="G923" s="1" t="str">
        <f t="shared" si="81"/>
        <v>Zajednica ponuditelja:
TIP - ZAGREB D.O.O., VINOGRADSKA 34, 10431 SVETA NEDELJA, OIB: 36198195227
INGPRO D.O.O., SLAVONSKA AVENIJA 24/6, 10000 ZAGREB, OIB: 93205229945</v>
      </c>
      <c r="H923" s="7"/>
      <c r="I923" s="8" t="s">
        <v>227</v>
      </c>
      <c r="J923" s="8" t="s">
        <v>423</v>
      </c>
      <c r="K923" s="6" t="str">
        <f>"1.800,00"</f>
        <v>1.800,00</v>
      </c>
      <c r="L923" s="6" t="str">
        <f t="shared" si="82"/>
        <v>0,00</v>
      </c>
      <c r="M923" s="6" t="str">
        <f>"1.800,00"</f>
        <v>1.800,00</v>
      </c>
      <c r="N923" s="8" t="s">
        <v>124</v>
      </c>
      <c r="O923" s="7"/>
      <c r="P923" s="2" t="s">
        <v>5614</v>
      </c>
      <c r="Q923" s="7"/>
      <c r="R923" s="1"/>
      <c r="S923" s="1" t="str">
        <f>"46-22/NOS-37-2-ZGH/20"</f>
        <v>46-22/NOS-37-2-ZGH/20</v>
      </c>
      <c r="T923" s="1" t="s">
        <v>32</v>
      </c>
    </row>
    <row r="924" spans="1:20" ht="114.75" x14ac:dyDescent="0.25">
      <c r="A924" s="6">
        <v>921</v>
      </c>
      <c r="B924" s="1" t="str">
        <f t="shared" si="80"/>
        <v>2020-2753</v>
      </c>
      <c r="C924" s="1" t="s">
        <v>1137</v>
      </c>
      <c r="D924" s="1" t="s">
        <v>1131</v>
      </c>
      <c r="E924" s="1" t="str">
        <f>""</f>
        <v/>
      </c>
      <c r="F924" s="1" t="s">
        <v>28</v>
      </c>
      <c r="G924" s="1" t="str">
        <f t="shared" si="81"/>
        <v>Zajednica ponuditelja:
TIP - ZAGREB D.O.O., VINOGRADSKA 34, 10431 SVETA NEDELJA, OIB: 36198195227
INGPRO D.O.O., SLAVONSKA AVENIJA 24/6, 10000 ZAGREB, OIB: 93205229945</v>
      </c>
      <c r="H924" s="7"/>
      <c r="I924" s="8" t="s">
        <v>383</v>
      </c>
      <c r="J924" s="7"/>
      <c r="K924" s="6" t="str">
        <f>"2.977,00"</f>
        <v>2.977,00</v>
      </c>
      <c r="L924" s="6" t="str">
        <f t="shared" si="82"/>
        <v>0,00</v>
      </c>
      <c r="M924" s="6" t="str">
        <f>"2.977,00"</f>
        <v>2.977,00</v>
      </c>
      <c r="N924" s="8" t="s">
        <v>124</v>
      </c>
      <c r="O924" s="7"/>
      <c r="P924" s="2" t="s">
        <v>5614</v>
      </c>
      <c r="Q924" s="7"/>
      <c r="R924" s="1"/>
      <c r="S924" s="1" t="str">
        <f>"35-22/NOS-37-2-ZGH/20"</f>
        <v>35-22/NOS-37-2-ZGH/20</v>
      </c>
      <c r="T924" s="1" t="s">
        <v>32</v>
      </c>
    </row>
    <row r="925" spans="1:20" ht="114.75" x14ac:dyDescent="0.25">
      <c r="A925" s="6">
        <v>922</v>
      </c>
      <c r="B925" s="1" t="str">
        <f t="shared" si="80"/>
        <v>2020-2753</v>
      </c>
      <c r="C925" s="1" t="s">
        <v>1137</v>
      </c>
      <c r="D925" s="1" t="s">
        <v>1131</v>
      </c>
      <c r="E925" s="1" t="str">
        <f>""</f>
        <v/>
      </c>
      <c r="F925" s="1" t="s">
        <v>28</v>
      </c>
      <c r="G925" s="1" t="str">
        <f t="shared" si="81"/>
        <v>Zajednica ponuditelja:
TIP - ZAGREB D.O.O., VINOGRADSKA 34, 10431 SVETA NEDELJA, OIB: 36198195227
INGPRO D.O.O., SLAVONSKA AVENIJA 24/6, 10000 ZAGREB, OIB: 93205229945</v>
      </c>
      <c r="H925" s="7"/>
      <c r="I925" s="8" t="s">
        <v>384</v>
      </c>
      <c r="J925" s="8" t="s">
        <v>423</v>
      </c>
      <c r="K925" s="6" t="str">
        <f>"1.244,50"</f>
        <v>1.244,50</v>
      </c>
      <c r="L925" s="6" t="str">
        <f t="shared" si="82"/>
        <v>0,00</v>
      </c>
      <c r="M925" s="6" t="str">
        <f>"1.244,50"</f>
        <v>1.244,50</v>
      </c>
      <c r="N925" s="8" t="s">
        <v>124</v>
      </c>
      <c r="O925" s="7"/>
      <c r="P925" s="2" t="s">
        <v>5614</v>
      </c>
      <c r="Q925" s="7"/>
      <c r="R925" s="1"/>
      <c r="S925" s="1" t="str">
        <f>"50-22/NOS-37-2-ZGH/20"</f>
        <v>50-22/NOS-37-2-ZGH/20</v>
      </c>
      <c r="T925" s="1" t="s">
        <v>43</v>
      </c>
    </row>
    <row r="926" spans="1:20" ht="51" x14ac:dyDescent="0.25">
      <c r="A926" s="6">
        <v>923</v>
      </c>
      <c r="B926" s="1" t="str">
        <f t="shared" si="80"/>
        <v>2020-2753</v>
      </c>
      <c r="C926" s="1" t="s">
        <v>1133</v>
      </c>
      <c r="D926" s="1" t="s">
        <v>1131</v>
      </c>
      <c r="E926" s="1" t="str">
        <f>""</f>
        <v/>
      </c>
      <c r="F926" s="1" t="s">
        <v>28</v>
      </c>
      <c r="G926" s="1" t="str">
        <f t="shared" ref="G926:G940" si="83">CONCATENATE("TIP - ZAGREB D.O.O.,"," VINOGRADSKA 34,"," 10431 SVETA NEDELJA,"," OIB: 36198195227")</f>
        <v>TIP - ZAGREB D.O.O., VINOGRADSKA 34, 10431 SVETA NEDELJA, OIB: 36198195227</v>
      </c>
      <c r="H926" s="7"/>
      <c r="I926" s="8" t="s">
        <v>416</v>
      </c>
      <c r="J926" s="8" t="s">
        <v>502</v>
      </c>
      <c r="K926" s="6" t="str">
        <f>"21.772,90"</f>
        <v>21.772,90</v>
      </c>
      <c r="L926" s="6" t="str">
        <f>"5.443,23"</f>
        <v>5.443,23</v>
      </c>
      <c r="M926" s="6" t="str">
        <f>"27.216,13"</f>
        <v>27.216,13</v>
      </c>
      <c r="N926" s="8" t="s">
        <v>1139</v>
      </c>
      <c r="O926" s="7"/>
      <c r="P926" s="2" t="s">
        <v>6241</v>
      </c>
      <c r="Q926" s="7"/>
      <c r="R926" s="1"/>
      <c r="S926" s="1" t="str">
        <f>"34-21/NOS-37-2-ZGH/20"</f>
        <v>34-21/NOS-37-2-ZGH/20</v>
      </c>
      <c r="T926" s="1" t="s">
        <v>32</v>
      </c>
    </row>
    <row r="927" spans="1:20" ht="51" x14ac:dyDescent="0.25">
      <c r="A927" s="6">
        <v>924</v>
      </c>
      <c r="B927" s="1" t="str">
        <f t="shared" si="80"/>
        <v>2020-2753</v>
      </c>
      <c r="C927" s="1" t="s">
        <v>1133</v>
      </c>
      <c r="D927" s="1" t="s">
        <v>1131</v>
      </c>
      <c r="E927" s="1" t="str">
        <f>""</f>
        <v/>
      </c>
      <c r="F927" s="1" t="s">
        <v>28</v>
      </c>
      <c r="G927" s="1" t="str">
        <f t="shared" si="83"/>
        <v>TIP - ZAGREB D.O.O., VINOGRADSKA 34, 10431 SVETA NEDELJA, OIB: 36198195227</v>
      </c>
      <c r="H927" s="7"/>
      <c r="I927" s="8" t="s">
        <v>1140</v>
      </c>
      <c r="J927" s="8" t="s">
        <v>226</v>
      </c>
      <c r="K927" s="6" t="str">
        <f>"11.665,50"</f>
        <v>11.665,50</v>
      </c>
      <c r="L927" s="6" t="str">
        <f>"2.916,38"</f>
        <v>2.916,38</v>
      </c>
      <c r="M927" s="6" t="str">
        <f>"14.581,88"</f>
        <v>14.581,88</v>
      </c>
      <c r="N927" s="8" t="s">
        <v>154</v>
      </c>
      <c r="O927" s="7"/>
      <c r="P927" s="2" t="s">
        <v>6242</v>
      </c>
      <c r="Q927" s="7"/>
      <c r="R927" s="1"/>
      <c r="S927" s="1" t="str">
        <f>"5-22/NOS-37-2-ZGH/20"</f>
        <v>5-22/NOS-37-2-ZGH/20</v>
      </c>
      <c r="T927" s="1" t="s">
        <v>32</v>
      </c>
    </row>
    <row r="928" spans="1:20" ht="51" x14ac:dyDescent="0.25">
      <c r="A928" s="6">
        <v>925</v>
      </c>
      <c r="B928" s="1" t="str">
        <f t="shared" si="80"/>
        <v>2020-2753</v>
      </c>
      <c r="C928" s="1" t="s">
        <v>1133</v>
      </c>
      <c r="D928" s="1" t="s">
        <v>1131</v>
      </c>
      <c r="E928" s="1" t="str">
        <f>""</f>
        <v/>
      </c>
      <c r="F928" s="1" t="s">
        <v>28</v>
      </c>
      <c r="G928" s="1" t="str">
        <f t="shared" si="83"/>
        <v>TIP - ZAGREB D.O.O., VINOGRADSKA 34, 10431 SVETA NEDELJA, OIB: 36198195227</v>
      </c>
      <c r="H928" s="7"/>
      <c r="I928" s="8" t="s">
        <v>752</v>
      </c>
      <c r="J928" s="8" t="s">
        <v>504</v>
      </c>
      <c r="K928" s="6" t="str">
        <f>"32.143,60"</f>
        <v>32.143,60</v>
      </c>
      <c r="L928" s="6" t="str">
        <f>"8.035,90"</f>
        <v>8.035,90</v>
      </c>
      <c r="M928" s="6" t="str">
        <f>"40.179,50"</f>
        <v>40.179,50</v>
      </c>
      <c r="N928" s="8" t="s">
        <v>242</v>
      </c>
      <c r="O928" s="7"/>
      <c r="P928" s="2" t="s">
        <v>6243</v>
      </c>
      <c r="Q928" s="1" t="s">
        <v>582</v>
      </c>
      <c r="R928" s="1"/>
      <c r="S928" s="1" t="str">
        <f>"6-22/NOS-37-2-ZGH/20"</f>
        <v>6-22/NOS-37-2-ZGH/20</v>
      </c>
      <c r="T928" s="1" t="s">
        <v>32</v>
      </c>
    </row>
    <row r="929" spans="1:20" ht="51" x14ac:dyDescent="0.25">
      <c r="A929" s="6">
        <v>926</v>
      </c>
      <c r="B929" s="1" t="str">
        <f t="shared" si="80"/>
        <v>2020-2753</v>
      </c>
      <c r="C929" s="1" t="s">
        <v>1133</v>
      </c>
      <c r="D929" s="1" t="s">
        <v>1131</v>
      </c>
      <c r="E929" s="1" t="str">
        <f>""</f>
        <v/>
      </c>
      <c r="F929" s="1" t="s">
        <v>28</v>
      </c>
      <c r="G929" s="1" t="str">
        <f t="shared" si="83"/>
        <v>TIP - ZAGREB D.O.O., VINOGRADSKA 34, 10431 SVETA NEDELJA, OIB: 36198195227</v>
      </c>
      <c r="H929" s="7"/>
      <c r="I929" s="8" t="s">
        <v>259</v>
      </c>
      <c r="J929" s="8" t="s">
        <v>53</v>
      </c>
      <c r="K929" s="6" t="str">
        <f>"13.179,15"</f>
        <v>13.179,15</v>
      </c>
      <c r="L929" s="6" t="str">
        <f>"3.294,79"</f>
        <v>3.294,79</v>
      </c>
      <c r="M929" s="6" t="str">
        <f>"16.473,94"</f>
        <v>16.473,94</v>
      </c>
      <c r="N929" s="8" t="s">
        <v>296</v>
      </c>
      <c r="O929" s="7"/>
      <c r="P929" s="2" t="s">
        <v>6244</v>
      </c>
      <c r="Q929" s="7"/>
      <c r="R929" s="1"/>
      <c r="S929" s="1" t="str">
        <f>"7-22/NOS-37-2-ZGH/20"</f>
        <v>7-22/NOS-37-2-ZGH/20</v>
      </c>
      <c r="T929" s="1" t="s">
        <v>32</v>
      </c>
    </row>
    <row r="930" spans="1:20" ht="51" x14ac:dyDescent="0.25">
      <c r="A930" s="6">
        <v>927</v>
      </c>
      <c r="B930" s="1" t="str">
        <f t="shared" si="80"/>
        <v>2020-2753</v>
      </c>
      <c r="C930" s="1" t="s">
        <v>1133</v>
      </c>
      <c r="D930" s="1" t="s">
        <v>1131</v>
      </c>
      <c r="E930" s="1" t="str">
        <f>""</f>
        <v/>
      </c>
      <c r="F930" s="1" t="s">
        <v>28</v>
      </c>
      <c r="G930" s="1" t="str">
        <f t="shared" si="83"/>
        <v>TIP - ZAGREB D.O.O., VINOGRADSKA 34, 10431 SVETA NEDELJA, OIB: 36198195227</v>
      </c>
      <c r="H930" s="7"/>
      <c r="I930" s="8" t="s">
        <v>371</v>
      </c>
      <c r="J930" s="8" t="s">
        <v>401</v>
      </c>
      <c r="K930" s="6" t="str">
        <f>"3.987,70"</f>
        <v>3.987,70</v>
      </c>
      <c r="L930" s="6" t="str">
        <f>"996,93"</f>
        <v>996,93</v>
      </c>
      <c r="M930" s="6" t="str">
        <f>"4.984,63"</f>
        <v>4.984,63</v>
      </c>
      <c r="N930" s="8" t="s">
        <v>855</v>
      </c>
      <c r="O930" s="7"/>
      <c r="P930" s="2" t="s">
        <v>6245</v>
      </c>
      <c r="Q930" s="7"/>
      <c r="R930" s="1"/>
      <c r="S930" s="1" t="str">
        <f>"10-22/NOS-37-2-ZGH/20"</f>
        <v>10-22/NOS-37-2-ZGH/20</v>
      </c>
      <c r="T930" s="1" t="s">
        <v>32</v>
      </c>
    </row>
    <row r="931" spans="1:20" ht="51" x14ac:dyDescent="0.25">
      <c r="A931" s="6">
        <v>928</v>
      </c>
      <c r="B931" s="1" t="str">
        <f t="shared" si="80"/>
        <v>2020-2753</v>
      </c>
      <c r="C931" s="1" t="s">
        <v>1133</v>
      </c>
      <c r="D931" s="1" t="s">
        <v>1131</v>
      </c>
      <c r="E931" s="1" t="str">
        <f>""</f>
        <v/>
      </c>
      <c r="F931" s="1" t="s">
        <v>28</v>
      </c>
      <c r="G931" s="1" t="str">
        <f t="shared" si="83"/>
        <v>TIP - ZAGREB D.O.O., VINOGRADSKA 34, 10431 SVETA NEDELJA, OIB: 36198195227</v>
      </c>
      <c r="H931" s="7"/>
      <c r="I931" s="8" t="s">
        <v>261</v>
      </c>
      <c r="J931" s="8" t="s">
        <v>250</v>
      </c>
      <c r="K931" s="6" t="str">
        <f>"11.639,10"</f>
        <v>11.639,10</v>
      </c>
      <c r="L931" s="6" t="str">
        <f>"2.909,78"</f>
        <v>2.909,78</v>
      </c>
      <c r="M931" s="6" t="str">
        <f>"14.548,88"</f>
        <v>14.548,88</v>
      </c>
      <c r="N931" s="8" t="s">
        <v>848</v>
      </c>
      <c r="O931" s="7"/>
      <c r="P931" s="2" t="s">
        <v>6246</v>
      </c>
      <c r="Q931" s="1" t="s">
        <v>5599</v>
      </c>
      <c r="R931" s="1"/>
      <c r="S931" s="1" t="str">
        <f>"12-22/NOS-37-2-ZGH/20"</f>
        <v>12-22/NOS-37-2-ZGH/20</v>
      </c>
      <c r="T931" s="1" t="s">
        <v>32</v>
      </c>
    </row>
    <row r="932" spans="1:20" ht="51" x14ac:dyDescent="0.25">
      <c r="A932" s="6">
        <v>929</v>
      </c>
      <c r="B932" s="1" t="str">
        <f t="shared" si="80"/>
        <v>2020-2753</v>
      </c>
      <c r="C932" s="1" t="s">
        <v>1133</v>
      </c>
      <c r="D932" s="1" t="s">
        <v>1131</v>
      </c>
      <c r="E932" s="1" t="str">
        <f>""</f>
        <v/>
      </c>
      <c r="F932" s="1" t="s">
        <v>28</v>
      </c>
      <c r="G932" s="1" t="str">
        <f t="shared" si="83"/>
        <v>TIP - ZAGREB D.O.O., VINOGRADSKA 34, 10431 SVETA NEDELJA, OIB: 36198195227</v>
      </c>
      <c r="H932" s="7"/>
      <c r="I932" s="8" t="s">
        <v>308</v>
      </c>
      <c r="J932" s="8" t="s">
        <v>350</v>
      </c>
      <c r="K932" s="6" t="str">
        <f>"14.574,00"</f>
        <v>14.574,00</v>
      </c>
      <c r="L932" s="6" t="str">
        <f>"3.643,50"</f>
        <v>3.643,50</v>
      </c>
      <c r="M932" s="6" t="str">
        <f>"18.217,50"</f>
        <v>18.217,50</v>
      </c>
      <c r="N932" s="8" t="s">
        <v>160</v>
      </c>
      <c r="O932" s="7"/>
      <c r="P932" s="2" t="s">
        <v>6247</v>
      </c>
      <c r="Q932" s="7"/>
      <c r="R932" s="1"/>
      <c r="S932" s="1" t="str">
        <f>"13-22/NOS-37-2-ZGH/20"</f>
        <v>13-22/NOS-37-2-ZGH/20</v>
      </c>
      <c r="T932" s="1" t="s">
        <v>32</v>
      </c>
    </row>
    <row r="933" spans="1:20" ht="51" x14ac:dyDescent="0.25">
      <c r="A933" s="6">
        <v>930</v>
      </c>
      <c r="B933" s="1" t="str">
        <f t="shared" si="80"/>
        <v>2020-2753</v>
      </c>
      <c r="C933" s="1" t="s">
        <v>1133</v>
      </c>
      <c r="D933" s="1" t="s">
        <v>1131</v>
      </c>
      <c r="E933" s="1" t="str">
        <f>""</f>
        <v/>
      </c>
      <c r="F933" s="1" t="s">
        <v>28</v>
      </c>
      <c r="G933" s="1" t="str">
        <f t="shared" si="83"/>
        <v>TIP - ZAGREB D.O.O., VINOGRADSKA 34, 10431 SVETA NEDELJA, OIB: 36198195227</v>
      </c>
      <c r="H933" s="7"/>
      <c r="I933" s="8" t="s">
        <v>425</v>
      </c>
      <c r="J933" s="8" t="s">
        <v>905</v>
      </c>
      <c r="K933" s="6" t="str">
        <f>"1.983,90"</f>
        <v>1.983,90</v>
      </c>
      <c r="L933" s="6" t="str">
        <f>"495,98"</f>
        <v>495,98</v>
      </c>
      <c r="M933" s="6" t="str">
        <f>"2.479,88"</f>
        <v>2.479,88</v>
      </c>
      <c r="N933" s="8" t="s">
        <v>426</v>
      </c>
      <c r="O933" s="7"/>
      <c r="P933" s="2" t="s">
        <v>6248</v>
      </c>
      <c r="Q933" s="7"/>
      <c r="R933" s="1"/>
      <c r="S933" s="1" t="str">
        <f>"15-22/NOS-37-2-ZGH/20"</f>
        <v>15-22/NOS-37-2-ZGH/20</v>
      </c>
      <c r="T933" s="1" t="s">
        <v>32</v>
      </c>
    </row>
    <row r="934" spans="1:20" ht="51" x14ac:dyDescent="0.25">
      <c r="A934" s="6">
        <v>931</v>
      </c>
      <c r="B934" s="1" t="str">
        <f t="shared" si="80"/>
        <v>2020-2753</v>
      </c>
      <c r="C934" s="1" t="s">
        <v>1133</v>
      </c>
      <c r="D934" s="1" t="s">
        <v>1131</v>
      </c>
      <c r="E934" s="1" t="str">
        <f>""</f>
        <v/>
      </c>
      <c r="F934" s="1" t="s">
        <v>28</v>
      </c>
      <c r="G934" s="1" t="str">
        <f t="shared" si="83"/>
        <v>TIP - ZAGREB D.O.O., VINOGRADSKA 34, 10431 SVETA NEDELJA, OIB: 36198195227</v>
      </c>
      <c r="H934" s="7"/>
      <c r="I934" s="8" t="s">
        <v>895</v>
      </c>
      <c r="J934" s="8" t="s">
        <v>407</v>
      </c>
      <c r="K934" s="6" t="str">
        <f>"6.682,00"</f>
        <v>6.682,00</v>
      </c>
      <c r="L934" s="6" t="str">
        <f>"1.670,50"</f>
        <v>1.670,50</v>
      </c>
      <c r="M934" s="6" t="str">
        <f>"8.352,50"</f>
        <v>8.352,50</v>
      </c>
      <c r="N934" s="8" t="s">
        <v>723</v>
      </c>
      <c r="O934" s="7"/>
      <c r="P934" s="2" t="s">
        <v>6249</v>
      </c>
      <c r="Q934" s="7"/>
      <c r="R934" s="1"/>
      <c r="S934" s="1" t="str">
        <f>"17-22/NOS-37-2-ZGH/20"</f>
        <v>17-22/NOS-37-2-ZGH/20</v>
      </c>
      <c r="T934" s="1" t="s">
        <v>32</v>
      </c>
    </row>
    <row r="935" spans="1:20" ht="51" x14ac:dyDescent="0.25">
      <c r="A935" s="6">
        <v>932</v>
      </c>
      <c r="B935" s="1" t="str">
        <f t="shared" si="80"/>
        <v>2020-2753</v>
      </c>
      <c r="C935" s="1" t="s">
        <v>1133</v>
      </c>
      <c r="D935" s="1" t="s">
        <v>1131</v>
      </c>
      <c r="E935" s="1" t="str">
        <f>""</f>
        <v/>
      </c>
      <c r="F935" s="1" t="s">
        <v>28</v>
      </c>
      <c r="G935" s="1" t="str">
        <f t="shared" si="83"/>
        <v>TIP - ZAGREB D.O.O., VINOGRADSKA 34, 10431 SVETA NEDELJA, OIB: 36198195227</v>
      </c>
      <c r="H935" s="7"/>
      <c r="I935" s="8" t="s">
        <v>278</v>
      </c>
      <c r="J935" s="8" t="s">
        <v>240</v>
      </c>
      <c r="K935" s="6" t="str">
        <f>"5.665,50"</f>
        <v>5.665,50</v>
      </c>
      <c r="L935" s="6" t="str">
        <f>"1.416,38"</f>
        <v>1.416,38</v>
      </c>
      <c r="M935" s="6" t="str">
        <f>"7.081,88"</f>
        <v>7.081,88</v>
      </c>
      <c r="N935" s="8" t="s">
        <v>723</v>
      </c>
      <c r="O935" s="7"/>
      <c r="P935" s="2" t="s">
        <v>6250</v>
      </c>
      <c r="Q935" s="7"/>
      <c r="R935" s="1"/>
      <c r="S935" s="1" t="str">
        <f>"18-22/NOS-37-2-ZGH/20"</f>
        <v>18-22/NOS-37-2-ZGH/20</v>
      </c>
      <c r="T935" s="1" t="s">
        <v>32</v>
      </c>
    </row>
    <row r="936" spans="1:20" ht="51" x14ac:dyDescent="0.25">
      <c r="A936" s="6">
        <v>933</v>
      </c>
      <c r="B936" s="1" t="str">
        <f t="shared" si="80"/>
        <v>2020-2753</v>
      </c>
      <c r="C936" s="1" t="s">
        <v>1133</v>
      </c>
      <c r="D936" s="1" t="s">
        <v>1131</v>
      </c>
      <c r="E936" s="1" t="str">
        <f>""</f>
        <v/>
      </c>
      <c r="F936" s="1" t="s">
        <v>28</v>
      </c>
      <c r="G936" s="1" t="str">
        <f t="shared" si="83"/>
        <v>TIP - ZAGREB D.O.O., VINOGRADSKA 34, 10431 SVETA NEDELJA, OIB: 36198195227</v>
      </c>
      <c r="H936" s="7"/>
      <c r="I936" s="8" t="s">
        <v>430</v>
      </c>
      <c r="J936" s="8" t="s">
        <v>377</v>
      </c>
      <c r="K936" s="6" t="str">
        <f>"24.214,20"</f>
        <v>24.214,20</v>
      </c>
      <c r="L936" s="6" t="str">
        <f>"6.053,55"</f>
        <v>6.053,55</v>
      </c>
      <c r="M936" s="6" t="str">
        <f>"30.267,75"</f>
        <v>30.267,75</v>
      </c>
      <c r="N936" s="8" t="s">
        <v>432</v>
      </c>
      <c r="O936" s="7"/>
      <c r="P936" s="2" t="s">
        <v>6251</v>
      </c>
      <c r="Q936" s="7"/>
      <c r="R936" s="1"/>
      <c r="S936" s="1" t="str">
        <f>"19-22/NOS-37-2-ZGH/20"</f>
        <v>19-22/NOS-37-2-ZGH/20</v>
      </c>
      <c r="T936" s="1" t="s">
        <v>32</v>
      </c>
    </row>
    <row r="937" spans="1:20" ht="51" x14ac:dyDescent="0.25">
      <c r="A937" s="6">
        <v>934</v>
      </c>
      <c r="B937" s="1" t="str">
        <f t="shared" si="80"/>
        <v>2020-2753</v>
      </c>
      <c r="C937" s="1" t="s">
        <v>1133</v>
      </c>
      <c r="D937" s="1" t="s">
        <v>1131</v>
      </c>
      <c r="E937" s="1" t="str">
        <f>""</f>
        <v/>
      </c>
      <c r="F937" s="1" t="s">
        <v>28</v>
      </c>
      <c r="G937" s="1" t="str">
        <f t="shared" si="83"/>
        <v>TIP - ZAGREB D.O.O., VINOGRADSKA 34, 10431 SVETA NEDELJA, OIB: 36198195227</v>
      </c>
      <c r="H937" s="7"/>
      <c r="I937" s="8" t="s">
        <v>365</v>
      </c>
      <c r="J937" s="8" t="s">
        <v>377</v>
      </c>
      <c r="K937" s="6" t="str">
        <f>"25.986,40"</f>
        <v>25.986,40</v>
      </c>
      <c r="L937" s="6" t="str">
        <f>"6.496,60"</f>
        <v>6.496,60</v>
      </c>
      <c r="M937" s="6" t="str">
        <f>"32.483,00"</f>
        <v>32.483,00</v>
      </c>
      <c r="N937" s="8" t="s">
        <v>124</v>
      </c>
      <c r="O937" s="7"/>
      <c r="P937" s="2" t="s">
        <v>5614</v>
      </c>
      <c r="Q937" s="7"/>
      <c r="R937" s="1"/>
      <c r="S937" s="1" t="str">
        <f>"23-22/NOS-37-2-ZGH/20"</f>
        <v>23-22/NOS-37-2-ZGH/20</v>
      </c>
      <c r="T937" s="1" t="s">
        <v>32</v>
      </c>
    </row>
    <row r="938" spans="1:20" ht="102" x14ac:dyDescent="0.25">
      <c r="A938" s="6">
        <v>935</v>
      </c>
      <c r="B938" s="1" t="str">
        <f t="shared" si="80"/>
        <v>2020-2753</v>
      </c>
      <c r="C938" s="1" t="s">
        <v>1141</v>
      </c>
      <c r="D938" s="1" t="s">
        <v>1131</v>
      </c>
      <c r="E938" s="1" t="str">
        <f>""</f>
        <v/>
      </c>
      <c r="F938" s="1" t="s">
        <v>92</v>
      </c>
      <c r="G938" s="1" t="str">
        <f t="shared" si="83"/>
        <v>TIP - ZAGREB D.O.O., VINOGRADSKA 34, 10431 SVETA NEDELJA, OIB: 36198195227</v>
      </c>
      <c r="H938" s="7"/>
      <c r="I938" s="8" t="s">
        <v>377</v>
      </c>
      <c r="J938" s="8" t="s">
        <v>409</v>
      </c>
      <c r="K938" s="6" t="str">
        <f>"2.160,00"</f>
        <v>2.160,00</v>
      </c>
      <c r="L938" s="6" t="str">
        <f>"540,00"</f>
        <v>540,00</v>
      </c>
      <c r="M938" s="6" t="str">
        <f>"2.700,00"</f>
        <v>2.700,00</v>
      </c>
      <c r="N938" s="8" t="s">
        <v>409</v>
      </c>
      <c r="O938" s="7"/>
      <c r="P938" s="2" t="s">
        <v>6252</v>
      </c>
      <c r="Q938" s="7"/>
      <c r="R938" s="1" t="s">
        <v>191</v>
      </c>
      <c r="S938" s="1" t="str">
        <f>"23-22/NOS-37-2-ZGH/20#1"</f>
        <v>23-22/NOS-37-2-ZGH/20#1</v>
      </c>
      <c r="T938" s="1" t="s">
        <v>32</v>
      </c>
    </row>
    <row r="939" spans="1:20" ht="51" x14ac:dyDescent="0.25">
      <c r="A939" s="6">
        <v>936</v>
      </c>
      <c r="B939" s="1" t="str">
        <f t="shared" si="80"/>
        <v>2020-2753</v>
      </c>
      <c r="C939" s="1" t="s">
        <v>1133</v>
      </c>
      <c r="D939" s="1" t="s">
        <v>1131</v>
      </c>
      <c r="E939" s="1" t="str">
        <f>""</f>
        <v/>
      </c>
      <c r="F939" s="1" t="s">
        <v>28</v>
      </c>
      <c r="G939" s="1" t="str">
        <f t="shared" si="83"/>
        <v>TIP - ZAGREB D.O.O., VINOGRADSKA 34, 10431 SVETA NEDELJA, OIB: 36198195227</v>
      </c>
      <c r="H939" s="7"/>
      <c r="I939" s="8" t="s">
        <v>384</v>
      </c>
      <c r="J939" s="8" t="s">
        <v>170</v>
      </c>
      <c r="K939" s="6" t="str">
        <f>"38.258,60"</f>
        <v>38.258,60</v>
      </c>
      <c r="L939" s="6" t="str">
        <f>"9.564,65"</f>
        <v>9.564,65</v>
      </c>
      <c r="M939" s="6" t="str">
        <f>"47.823,25"</f>
        <v>47.823,25</v>
      </c>
      <c r="N939" s="8" t="s">
        <v>124</v>
      </c>
      <c r="O939" s="7"/>
      <c r="P939" s="2" t="s">
        <v>5614</v>
      </c>
      <c r="Q939" s="7"/>
      <c r="R939" s="1"/>
      <c r="S939" s="1" t="str">
        <f>"47-22/NOS-37-2-ZGH/20"</f>
        <v>47-22/NOS-37-2-ZGH/20</v>
      </c>
      <c r="T939" s="1" t="s">
        <v>32</v>
      </c>
    </row>
    <row r="940" spans="1:20" ht="51" x14ac:dyDescent="0.25">
      <c r="A940" s="6">
        <v>937</v>
      </c>
      <c r="B940" s="1" t="str">
        <f t="shared" si="80"/>
        <v>2020-2753</v>
      </c>
      <c r="C940" s="1" t="s">
        <v>1133</v>
      </c>
      <c r="D940" s="1" t="s">
        <v>1131</v>
      </c>
      <c r="E940" s="1" t="str">
        <f>""</f>
        <v/>
      </c>
      <c r="F940" s="1" t="s">
        <v>28</v>
      </c>
      <c r="G940" s="1" t="str">
        <f t="shared" si="83"/>
        <v>TIP - ZAGREB D.O.O., VINOGRADSKA 34, 10431 SVETA NEDELJA, OIB: 36198195227</v>
      </c>
      <c r="H940" s="7"/>
      <c r="I940" s="8" t="s">
        <v>433</v>
      </c>
      <c r="J940" s="8" t="s">
        <v>411</v>
      </c>
      <c r="K940" s="6" t="str">
        <f>"23.371,10"</f>
        <v>23.371,10</v>
      </c>
      <c r="L940" s="6" t="str">
        <f>"5.842,78"</f>
        <v>5.842,78</v>
      </c>
      <c r="M940" s="6" t="str">
        <f>"29.213,88"</f>
        <v>29.213,88</v>
      </c>
      <c r="N940" s="8" t="s">
        <v>124</v>
      </c>
      <c r="O940" s="7"/>
      <c r="P940" s="2" t="s">
        <v>5614</v>
      </c>
      <c r="Q940" s="7"/>
      <c r="R940" s="1"/>
      <c r="S940" s="1" t="str">
        <f>"52-22/NOS-37-2-ZGH/20"</f>
        <v>52-22/NOS-37-2-ZGH/20</v>
      </c>
      <c r="T940" s="1" t="s">
        <v>32</v>
      </c>
    </row>
    <row r="941" spans="1:20" ht="127.5" x14ac:dyDescent="0.25">
      <c r="A941" s="6">
        <v>938</v>
      </c>
      <c r="B941" s="1" t="str">
        <f>"2020-2793"</f>
        <v>2020-2793</v>
      </c>
      <c r="C941" s="1" t="s">
        <v>1142</v>
      </c>
      <c r="D941" s="1" t="s">
        <v>1143</v>
      </c>
      <c r="E941" s="1" t="str">
        <f>" 2020/S F14-0033350"</f>
        <v xml:space="preserve"> 2020/S F14-0033350</v>
      </c>
      <c r="F941" s="1" t="s">
        <v>22</v>
      </c>
      <c r="G941" s="1"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941" s="7"/>
      <c r="I941" s="8" t="s">
        <v>1103</v>
      </c>
      <c r="J941" s="8" t="s">
        <v>458</v>
      </c>
      <c r="K941" s="6" t="str">
        <f>"750.000,00"</f>
        <v>750.000,00</v>
      </c>
      <c r="L941" s="6" t="str">
        <f>"187.500,00"</f>
        <v>187.500,00</v>
      </c>
      <c r="M941" s="6" t="str">
        <f>"937.500,00"</f>
        <v>937.500,00</v>
      </c>
      <c r="N941" s="8" t="s">
        <v>892</v>
      </c>
      <c r="O941" s="7"/>
      <c r="P941" s="2" t="s">
        <v>5614</v>
      </c>
      <c r="Q941" s="7"/>
      <c r="R941" s="1"/>
      <c r="S941" s="1" t="str">
        <f>"NOS-32-ZGH/20"</f>
        <v>NOS-32-ZGH/20</v>
      </c>
      <c r="T941" s="1" t="s">
        <v>32</v>
      </c>
    </row>
    <row r="942" spans="1:20" ht="127.5" x14ac:dyDescent="0.25">
      <c r="A942" s="6">
        <v>939</v>
      </c>
      <c r="B942" s="1" t="str">
        <f>"2020-2793"</f>
        <v>2020-2793</v>
      </c>
      <c r="C942" s="1" t="s">
        <v>1142</v>
      </c>
      <c r="D942" s="1" t="s">
        <v>1144</v>
      </c>
      <c r="E942" s="1" t="str">
        <f>""</f>
        <v/>
      </c>
      <c r="F942" s="1" t="s">
        <v>28</v>
      </c>
      <c r="G942" s="1"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942" s="7"/>
      <c r="I942" s="8" t="s">
        <v>25</v>
      </c>
      <c r="J942" s="8" t="s">
        <v>57</v>
      </c>
      <c r="K942" s="6" t="str">
        <f>"199.800,00"</f>
        <v>199.800,00</v>
      </c>
      <c r="L942" s="6" t="str">
        <f>"49.950,00"</f>
        <v>49.950,00</v>
      </c>
      <c r="M942" s="6" t="str">
        <f>"249.750,00"</f>
        <v>249.750,00</v>
      </c>
      <c r="N942" s="8" t="s">
        <v>1073</v>
      </c>
      <c r="O942" s="7"/>
      <c r="P942" s="2" t="s">
        <v>6253</v>
      </c>
      <c r="Q942" s="1"/>
      <c r="R942" s="1"/>
      <c r="S942" s="1" t="str">
        <f>"2-21/NOS-32-ZGH/20"</f>
        <v>2-21/NOS-32-ZGH/20</v>
      </c>
      <c r="T942" s="1" t="s">
        <v>32</v>
      </c>
    </row>
    <row r="943" spans="1:20" ht="127.5" x14ac:dyDescent="0.25">
      <c r="A943" s="6">
        <v>940</v>
      </c>
      <c r="B943" s="1" t="str">
        <f>"2020-2793"</f>
        <v>2020-2793</v>
      </c>
      <c r="C943" s="1" t="s">
        <v>1142</v>
      </c>
      <c r="D943" s="1" t="s">
        <v>1144</v>
      </c>
      <c r="E943" s="1" t="str">
        <f>""</f>
        <v/>
      </c>
      <c r="F943" s="1" t="s">
        <v>28</v>
      </c>
      <c r="G943" s="1" t="str">
        <f>CONCATENATE("Zajednica ponuditelja",CHAR(10),"MARGON MEDIA D.O.O.,"," KOLODVORSKA 128,"," 10410 VELIKA GORICA,"," OIB: 53736631841OMEGA SOFTWARE D.O.O. KAMENARKA 37,"," 10010 ZAGREB-SLOBOŠTINA,"," OIB: 40102169932")</f>
        <v>Zajednica ponuditelja
MARGON MEDIA D.O.O., KOLODVORSKA 128, 10410 VELIKA GORICA, OIB: 53736631841OMEGA SOFTWARE D.O.O. KAMENARKA 37, 10010 ZAGREB-SLOBOŠTINA, OIB: 40102169932</v>
      </c>
      <c r="H943" s="7"/>
      <c r="I943" s="8" t="s">
        <v>922</v>
      </c>
      <c r="J943" s="8" t="s">
        <v>417</v>
      </c>
      <c r="K943" s="6" t="str">
        <f>"248.400,00"</f>
        <v>248.400,00</v>
      </c>
      <c r="L943" s="6" t="str">
        <f>"62.100,00"</f>
        <v>62.100,00</v>
      </c>
      <c r="M943" s="6" t="str">
        <f>"310.500,00"</f>
        <v>310.500,00</v>
      </c>
      <c r="N943" s="8" t="s">
        <v>124</v>
      </c>
      <c r="O943" s="7"/>
      <c r="P943" s="2" t="s">
        <v>5614</v>
      </c>
      <c r="Q943" s="7"/>
      <c r="R943" s="1"/>
      <c r="S943" s="1" t="str">
        <f>"2-22/NOS-32-ZGH/20"</f>
        <v>2-22/NOS-32-ZGH/20</v>
      </c>
      <c r="T943" s="1" t="s">
        <v>32</v>
      </c>
    </row>
    <row r="944" spans="1:20" ht="140.25" x14ac:dyDescent="0.25">
      <c r="A944" s="6">
        <v>941</v>
      </c>
      <c r="B944" s="1" t="str">
        <f>"2020-2793"</f>
        <v>2020-2793</v>
      </c>
      <c r="C944" s="1" t="s">
        <v>1142</v>
      </c>
      <c r="D944" s="1" t="s">
        <v>1144</v>
      </c>
      <c r="E944" s="1" t="str">
        <f>""</f>
        <v/>
      </c>
      <c r="F944" s="1" t="s">
        <v>28</v>
      </c>
      <c r="G944" s="1" t="str">
        <f>CONCATENATE("Zajednica ponuditelja:",CHAR(10),"MARGON MEDIA D.O.O.,"," KOLODVORSKA 128,"," 10410 VELIKA GORICA,"," OIB: 53736631841",CHAR(10),"OMEGA SOFTWARE D.O.O.,"," KAMENARKA 37,"," 10010 ZAGREB-SLOBOŠTINA,"," OIB: 40102169932")</f>
        <v>Zajednica ponuditelja:
MARGON MEDIA D.O.O., KOLODVORSKA 128, 10410 VELIKA GORICA, OIB: 53736631841
OMEGA SOFTWARE D.O.O., KAMENARKA 37, 10010 ZAGREB-SLOBOŠTINA, OIB: 40102169932</v>
      </c>
      <c r="H944" s="7"/>
      <c r="I944" s="8" t="s">
        <v>663</v>
      </c>
      <c r="J944" s="8" t="s">
        <v>375</v>
      </c>
      <c r="K944" s="6" t="str">
        <f>"131.175,00"</f>
        <v>131.175,00</v>
      </c>
      <c r="L944" s="6" t="str">
        <f>"6.300,00"</f>
        <v>6.300,00</v>
      </c>
      <c r="M944" s="6" t="str">
        <f>"137.475,00"</f>
        <v>137.475,00</v>
      </c>
      <c r="N944" s="8" t="s">
        <v>1073</v>
      </c>
      <c r="O944" s="7"/>
      <c r="P944" s="2" t="s">
        <v>6254</v>
      </c>
      <c r="Q944" s="7"/>
      <c r="R944" s="1"/>
      <c r="S944" s="1" t="str">
        <f>"1-22/NOS-32-ZGH/20"</f>
        <v>1-22/NOS-32-ZGH/20</v>
      </c>
      <c r="T944" s="1" t="s">
        <v>32</v>
      </c>
    </row>
    <row r="945" spans="1:20" ht="76.5" x14ac:dyDescent="0.25">
      <c r="A945" s="6">
        <v>942</v>
      </c>
      <c r="B945" s="1" t="str">
        <f>"2020-2779"</f>
        <v>2020-2779</v>
      </c>
      <c r="C945" s="1" t="s">
        <v>1145</v>
      </c>
      <c r="D945" s="1" t="s">
        <v>1007</v>
      </c>
      <c r="E945" s="1" t="str">
        <f>"2020/S 0F2-0031757"</f>
        <v>2020/S 0F2-0031757</v>
      </c>
      <c r="F945" s="1" t="s">
        <v>22</v>
      </c>
      <c r="G945" s="1" t="str">
        <f>CONCATENATE("GEOGIS D.O.O.,"," 2. MAKSIMIRSKO NASELJE 3,"," 10 000 ZAGREB,"," OIB: 6304681775")</f>
        <v>GEOGIS D.O.O., 2. MAKSIMIRSKO NASELJE 3, 10 000 ZAGREB, OIB: 6304681775</v>
      </c>
      <c r="H945" s="7"/>
      <c r="I945" s="8" t="s">
        <v>1146</v>
      </c>
      <c r="J945" s="8" t="s">
        <v>399</v>
      </c>
      <c r="K945" s="6" t="str">
        <f>"2.000.000,00"</f>
        <v>2.000.000,00</v>
      </c>
      <c r="L945" s="6" t="str">
        <f>"500.000,00"</f>
        <v>500.000,00</v>
      </c>
      <c r="M945" s="6" t="str">
        <f>"2.500.000,00"</f>
        <v>2.500.000,00</v>
      </c>
      <c r="N945" s="8" t="s">
        <v>1147</v>
      </c>
      <c r="O945" s="7"/>
      <c r="P945" s="2" t="s">
        <v>5614</v>
      </c>
      <c r="Q945" s="7"/>
      <c r="R945" s="1"/>
      <c r="S945" s="1" t="str">
        <f>"NOS-40/20"</f>
        <v>NOS-40/20</v>
      </c>
      <c r="T945" s="1" t="s">
        <v>32</v>
      </c>
    </row>
    <row r="946" spans="1:20" ht="76.5" x14ac:dyDescent="0.25">
      <c r="A946" s="6">
        <v>943</v>
      </c>
      <c r="B946" s="1" t="str">
        <f>"2020-2779"</f>
        <v>2020-2779</v>
      </c>
      <c r="C946" s="1" t="s">
        <v>1145</v>
      </c>
      <c r="D946" s="1" t="s">
        <v>1007</v>
      </c>
      <c r="E946" s="1" t="str">
        <f>""</f>
        <v/>
      </c>
      <c r="F946" s="1" t="s">
        <v>28</v>
      </c>
      <c r="G946" s="1" t="str">
        <f>CONCATENATE("GEOGIS D.O.O.,"," 2. MAKSIMIRSKO NASELJE 3,"," 10 000 ZAGREB,"," OIB: 6304681775")</f>
        <v>GEOGIS D.O.O., 2. MAKSIMIRSKO NASELJE 3, 10 000 ZAGREB, OIB: 6304681775</v>
      </c>
      <c r="H946" s="7"/>
      <c r="I946" s="8" t="s">
        <v>496</v>
      </c>
      <c r="J946" s="8" t="s">
        <v>57</v>
      </c>
      <c r="K946" s="6" t="str">
        <f>"468.780,00"</f>
        <v>468.780,00</v>
      </c>
      <c r="L946" s="6" t="str">
        <f>"117.195,00"</f>
        <v>117.195,00</v>
      </c>
      <c r="M946" s="6" t="str">
        <f>"585.975,00"</f>
        <v>585.975,00</v>
      </c>
      <c r="N946" s="8" t="s">
        <v>431</v>
      </c>
      <c r="O946" s="7"/>
      <c r="P946" s="2" t="s">
        <v>6255</v>
      </c>
      <c r="Q946" s="7"/>
      <c r="R946" s="1"/>
      <c r="S946" s="1" t="str">
        <f>"2-21/NOS-40/20"</f>
        <v>2-21/NOS-40/20</v>
      </c>
      <c r="T946" s="1" t="s">
        <v>32</v>
      </c>
    </row>
    <row r="947" spans="1:20" ht="76.5" x14ac:dyDescent="0.25">
      <c r="A947" s="6">
        <v>944</v>
      </c>
      <c r="B947" s="1" t="str">
        <f>"2020-2779"</f>
        <v>2020-2779</v>
      </c>
      <c r="C947" s="1" t="s">
        <v>1145</v>
      </c>
      <c r="D947" s="1" t="s">
        <v>1007</v>
      </c>
      <c r="E947" s="1" t="str">
        <f>""</f>
        <v/>
      </c>
      <c r="F947" s="1" t="s">
        <v>28</v>
      </c>
      <c r="G947" s="1" t="str">
        <f>CONCATENATE("GEOGIS D.O.O.,"," 2. MAKSIMIRSKO NASELJE 3,"," 10 000 ZAGREB,"," OIB: 6304681775")</f>
        <v>GEOGIS D.O.O., 2. MAKSIMIRSKO NASELJE 3, 10 000 ZAGREB, OIB: 6304681775</v>
      </c>
      <c r="H947" s="7"/>
      <c r="I947" s="8" t="s">
        <v>562</v>
      </c>
      <c r="J947" s="8" t="s">
        <v>123</v>
      </c>
      <c r="K947" s="6" t="str">
        <f>"478.380,00"</f>
        <v>478.380,00</v>
      </c>
      <c r="L947" s="6" t="str">
        <f>"119.595,00"</f>
        <v>119.595,00</v>
      </c>
      <c r="M947" s="6" t="str">
        <f>"597.975,00"</f>
        <v>597.975,00</v>
      </c>
      <c r="N947" s="8" t="s">
        <v>124</v>
      </c>
      <c r="O947" s="7"/>
      <c r="P947" s="2" t="s">
        <v>6256</v>
      </c>
      <c r="Q947" s="7"/>
      <c r="R947" s="1"/>
      <c r="S947" s="1" t="str">
        <f>"1-22/NOS-40/20"</f>
        <v>1-22/NOS-40/20</v>
      </c>
      <c r="T947" s="1" t="s">
        <v>32</v>
      </c>
    </row>
    <row r="948" spans="1:20" ht="76.5" x14ac:dyDescent="0.25">
      <c r="A948" s="6">
        <v>945</v>
      </c>
      <c r="B948" s="1" t="str">
        <f>"2020-2779"</f>
        <v>2020-2779</v>
      </c>
      <c r="C948" s="1" t="s">
        <v>1145</v>
      </c>
      <c r="D948" s="1" t="s">
        <v>1007</v>
      </c>
      <c r="E948" s="1" t="str">
        <f>""</f>
        <v/>
      </c>
      <c r="F948" s="1" t="s">
        <v>28</v>
      </c>
      <c r="G948" s="1" t="str">
        <f>CONCATENATE("GEOGIS D.O.O.,"," 2. MAKSIMIRSKO NASELJE 3,"," 10 000 ZAGREB,"," OIB: 6304681775")</f>
        <v>GEOGIS D.O.O., 2. MAKSIMIRSKO NASELJE 3, 10 000 ZAGREB, OIB: 6304681775</v>
      </c>
      <c r="H948" s="7"/>
      <c r="I948" s="8" t="s">
        <v>399</v>
      </c>
      <c r="J948" s="8" t="s">
        <v>1148</v>
      </c>
      <c r="K948" s="6" t="str">
        <f>"61.676,00"</f>
        <v>61.676,00</v>
      </c>
      <c r="L948" s="6" t="str">
        <f>"0,00"</f>
        <v>0,00</v>
      </c>
      <c r="M948" s="6" t="str">
        <f>"61.676,00"</f>
        <v>61.676,00</v>
      </c>
      <c r="N948" s="8" t="s">
        <v>124</v>
      </c>
      <c r="O948" s="7"/>
      <c r="P948" s="2" t="s">
        <v>5614</v>
      </c>
      <c r="Q948" s="7"/>
      <c r="R948" s="1"/>
      <c r="S948" s="1" t="str">
        <f>"2-22/NOS-40/20"</f>
        <v>2-22/NOS-40/20</v>
      </c>
      <c r="T948" s="1" t="s">
        <v>32</v>
      </c>
    </row>
    <row r="949" spans="1:20" ht="76.5" x14ac:dyDescent="0.25">
      <c r="A949" s="6">
        <v>946</v>
      </c>
      <c r="B949" s="1" t="str">
        <f t="shared" ref="B949:B966" si="84">"2020-2646"</f>
        <v>2020-2646</v>
      </c>
      <c r="C949" s="1" t="s">
        <v>1149</v>
      </c>
      <c r="D949" s="1" t="s">
        <v>1150</v>
      </c>
      <c r="E949" s="1" t="str">
        <f>"2020/S 0F2-0027593"</f>
        <v>2020/S 0F2-0027593</v>
      </c>
      <c r="F949" s="1" t="s">
        <v>22</v>
      </c>
      <c r="G949" s="1" t="str">
        <f t="shared" ref="G949:G966" si="85">CONCATENATE("SERVIS IMP CRPKE,"," vl. Dražen Kovačić,"," STROSSMAYEROV TRG 12,"," 10450 JASTREBARSKO,"," OIB: 13145108322")</f>
        <v>SERVIS IMP CRPKE, vl. Dražen Kovačić, STROSSMAYEROV TRG 12, 10450 JASTREBARSKO, OIB: 13145108322</v>
      </c>
      <c r="H949" s="7"/>
      <c r="I949" s="8" t="s">
        <v>1103</v>
      </c>
      <c r="J949" s="8" t="s">
        <v>1151</v>
      </c>
      <c r="K949" s="6" t="str">
        <f>"300.000,00"</f>
        <v>300.000,00</v>
      </c>
      <c r="L949" s="6" t="str">
        <f>"75.000,00"</f>
        <v>75.000,00</v>
      </c>
      <c r="M949" s="6" t="str">
        <f>"375.000,00"</f>
        <v>375.000,00</v>
      </c>
      <c r="N949" s="8" t="s">
        <v>1151</v>
      </c>
      <c r="O949" s="7"/>
      <c r="P949" s="2" t="s">
        <v>6257</v>
      </c>
      <c r="Q949" s="7"/>
      <c r="R949" s="1"/>
      <c r="S949" s="1" t="str">
        <f>"NOS-29-2/20"</f>
        <v>NOS-29-2/20</v>
      </c>
      <c r="T949" s="1" t="s">
        <v>27</v>
      </c>
    </row>
    <row r="950" spans="1:20" ht="76.5" x14ac:dyDescent="0.25">
      <c r="A950" s="6">
        <v>947</v>
      </c>
      <c r="B950" s="1" t="str">
        <f t="shared" si="84"/>
        <v>2020-2646</v>
      </c>
      <c r="C950" s="1" t="s">
        <v>1152</v>
      </c>
      <c r="D950" s="1" t="s">
        <v>1150</v>
      </c>
      <c r="E950" s="1" t="str">
        <f>""</f>
        <v/>
      </c>
      <c r="F950" s="1" t="s">
        <v>28</v>
      </c>
      <c r="G950" s="1" t="str">
        <f t="shared" si="85"/>
        <v>SERVIS IMP CRPKE, vl. Dražen Kovačić, STROSSMAYEROV TRG 12, 10450 JASTREBARSKO, OIB: 13145108322</v>
      </c>
      <c r="H950" s="7"/>
      <c r="I950" s="8" t="s">
        <v>310</v>
      </c>
      <c r="J950" s="8" t="s">
        <v>1153</v>
      </c>
      <c r="K950" s="6" t="str">
        <f>"66.080,00"</f>
        <v>66.080,00</v>
      </c>
      <c r="L950" s="6" t="str">
        <f>"16.520,00"</f>
        <v>16.520,00</v>
      </c>
      <c r="M950" s="6" t="str">
        <f>"82.600,00"</f>
        <v>82.600,00</v>
      </c>
      <c r="N950" s="8" t="s">
        <v>124</v>
      </c>
      <c r="O950" s="7"/>
      <c r="P950" s="2" t="s">
        <v>6258</v>
      </c>
      <c r="Q950" s="7"/>
      <c r="R950" s="1"/>
      <c r="S950" s="1" t="str">
        <f>"19-22/NOS-29-2/20"</f>
        <v>19-22/NOS-29-2/20</v>
      </c>
      <c r="T950" s="1" t="s">
        <v>32</v>
      </c>
    </row>
    <row r="951" spans="1:20" ht="102" x14ac:dyDescent="0.25">
      <c r="A951" s="6">
        <v>948</v>
      </c>
      <c r="B951" s="1" t="str">
        <f t="shared" si="84"/>
        <v>2020-2646</v>
      </c>
      <c r="C951" s="1" t="s">
        <v>1154</v>
      </c>
      <c r="D951" s="1" t="s">
        <v>1150</v>
      </c>
      <c r="E951" s="1" t="str">
        <f>""</f>
        <v/>
      </c>
      <c r="F951" s="1" t="s">
        <v>92</v>
      </c>
      <c r="G951" s="1" t="str">
        <f t="shared" si="85"/>
        <v>SERVIS IMP CRPKE, vl. Dražen Kovačić, STROSSMAYEROV TRG 12, 10450 JASTREBARSKO, OIB: 13145108322</v>
      </c>
      <c r="H951" s="7"/>
      <c r="I951" s="8" t="s">
        <v>1123</v>
      </c>
      <c r="J951" s="8" t="s">
        <v>1153</v>
      </c>
      <c r="K951" s="6" t="str">
        <f>"2.860,00"</f>
        <v>2.860,00</v>
      </c>
      <c r="L951" s="6" t="str">
        <f>"715,00"</f>
        <v>715,00</v>
      </c>
      <c r="M951" s="6" t="str">
        <f>"3.575,00"</f>
        <v>3.575,00</v>
      </c>
      <c r="N951" s="8" t="s">
        <v>124</v>
      </c>
      <c r="O951" s="7"/>
      <c r="P951" s="2" t="s">
        <v>5614</v>
      </c>
      <c r="Q951" s="7"/>
      <c r="R951" s="1"/>
      <c r="S951" s="1" t="str">
        <f>"19-22/NOS-29-2/20#1"</f>
        <v>19-22/NOS-29-2/20#1</v>
      </c>
      <c r="T951" s="1" t="s">
        <v>32</v>
      </c>
    </row>
    <row r="952" spans="1:20" ht="76.5" x14ac:dyDescent="0.25">
      <c r="A952" s="6">
        <v>949</v>
      </c>
      <c r="B952" s="1" t="str">
        <f t="shared" si="84"/>
        <v>2020-2646</v>
      </c>
      <c r="C952" s="1" t="s">
        <v>1149</v>
      </c>
      <c r="D952" s="1" t="s">
        <v>1150</v>
      </c>
      <c r="E952" s="1" t="str">
        <f>""</f>
        <v/>
      </c>
      <c r="F952" s="1" t="s">
        <v>28</v>
      </c>
      <c r="G952" s="1" t="str">
        <f t="shared" si="85"/>
        <v>SERVIS IMP CRPKE, vl. Dražen Kovačić, STROSSMAYEROV TRG 12, 10450 JASTREBARSKO, OIB: 13145108322</v>
      </c>
      <c r="H952" s="7"/>
      <c r="I952" s="8" t="s">
        <v>681</v>
      </c>
      <c r="J952" s="8" t="s">
        <v>519</v>
      </c>
      <c r="K952" s="6" t="str">
        <f>"2.875,00"</f>
        <v>2.875,00</v>
      </c>
      <c r="L952" s="6" t="str">
        <f>"718,75"</f>
        <v>718,75</v>
      </c>
      <c r="M952" s="6" t="str">
        <f>"3.593,75"</f>
        <v>3.593,75</v>
      </c>
      <c r="N952" s="8" t="s">
        <v>226</v>
      </c>
      <c r="O952" s="7"/>
      <c r="P952" s="2" t="s">
        <v>6259</v>
      </c>
      <c r="Q952" s="7"/>
      <c r="R952" s="1"/>
      <c r="S952" s="1" t="str">
        <f>"2-22/NOS-29-2/20"</f>
        <v>2-22/NOS-29-2/20</v>
      </c>
      <c r="T952" s="1" t="s">
        <v>32</v>
      </c>
    </row>
    <row r="953" spans="1:20" ht="76.5" x14ac:dyDescent="0.25">
      <c r="A953" s="6">
        <v>950</v>
      </c>
      <c r="B953" s="1" t="str">
        <f t="shared" si="84"/>
        <v>2020-2646</v>
      </c>
      <c r="C953" s="1" t="s">
        <v>1149</v>
      </c>
      <c r="D953" s="1" t="s">
        <v>1150</v>
      </c>
      <c r="E953" s="1" t="str">
        <f>""</f>
        <v/>
      </c>
      <c r="F953" s="1" t="s">
        <v>28</v>
      </c>
      <c r="G953" s="1" t="str">
        <f t="shared" si="85"/>
        <v>SERVIS IMP CRPKE, vl. Dražen Kovačić, STROSSMAYEROV TRG 12, 10450 JASTREBARSKO, OIB: 13145108322</v>
      </c>
      <c r="H953" s="7"/>
      <c r="I953" s="8" t="s">
        <v>93</v>
      </c>
      <c r="J953" s="8" t="s">
        <v>555</v>
      </c>
      <c r="K953" s="6" t="str">
        <f>"4.640,00"</f>
        <v>4.640,00</v>
      </c>
      <c r="L953" s="6" t="str">
        <f>"1.160,00"</f>
        <v>1.160,00</v>
      </c>
      <c r="M953" s="6" t="str">
        <f>"5.800,00"</f>
        <v>5.800,00</v>
      </c>
      <c r="N953" s="8" t="s">
        <v>754</v>
      </c>
      <c r="O953" s="7"/>
      <c r="P953" s="2" t="s">
        <v>6260</v>
      </c>
      <c r="Q953" s="7"/>
      <c r="R953" s="1"/>
      <c r="S953" s="1" t="str">
        <f>"1-22/NOS-29-2/20"</f>
        <v>1-22/NOS-29-2/20</v>
      </c>
      <c r="T953" s="1" t="s">
        <v>32</v>
      </c>
    </row>
    <row r="954" spans="1:20" ht="76.5" x14ac:dyDescent="0.25">
      <c r="A954" s="6">
        <v>951</v>
      </c>
      <c r="B954" s="1" t="str">
        <f t="shared" si="84"/>
        <v>2020-2646</v>
      </c>
      <c r="C954" s="1" t="s">
        <v>1149</v>
      </c>
      <c r="D954" s="1" t="s">
        <v>1150</v>
      </c>
      <c r="E954" s="1" t="str">
        <f>""</f>
        <v/>
      </c>
      <c r="F954" s="1" t="s">
        <v>28</v>
      </c>
      <c r="G954" s="1" t="str">
        <f t="shared" si="85"/>
        <v>SERVIS IMP CRPKE, vl. Dražen Kovačić, STROSSMAYEROV TRG 12, 10450 JASTREBARSKO, OIB: 13145108322</v>
      </c>
      <c r="H954" s="7"/>
      <c r="I954" s="8" t="s">
        <v>754</v>
      </c>
      <c r="J954" s="8" t="s">
        <v>555</v>
      </c>
      <c r="K954" s="6" t="str">
        <f>"6.660,00"</f>
        <v>6.660,00</v>
      </c>
      <c r="L954" s="6" t="str">
        <f>"1.665,00"</f>
        <v>1.665,00</v>
      </c>
      <c r="M954" s="6" t="str">
        <f>"8.325,00"</f>
        <v>8.325,00</v>
      </c>
      <c r="N954" s="8" t="s">
        <v>160</v>
      </c>
      <c r="O954" s="7"/>
      <c r="P954" s="2" t="s">
        <v>6261</v>
      </c>
      <c r="Q954" s="7"/>
      <c r="R954" s="1"/>
      <c r="S954" s="1" t="str">
        <f>"3-22/NOS-29-2/20"</f>
        <v>3-22/NOS-29-2/20</v>
      </c>
      <c r="T954" s="1" t="s">
        <v>32</v>
      </c>
    </row>
    <row r="955" spans="1:20" ht="76.5" x14ac:dyDescent="0.25">
      <c r="A955" s="6">
        <v>952</v>
      </c>
      <c r="B955" s="1" t="str">
        <f t="shared" si="84"/>
        <v>2020-2646</v>
      </c>
      <c r="C955" s="1" t="s">
        <v>1149</v>
      </c>
      <c r="D955" s="1" t="s">
        <v>1150</v>
      </c>
      <c r="E955" s="1" t="str">
        <f>""</f>
        <v/>
      </c>
      <c r="F955" s="1" t="s">
        <v>28</v>
      </c>
      <c r="G955" s="1" t="str">
        <f t="shared" si="85"/>
        <v>SERVIS IMP CRPKE, vl. Dražen Kovačić, STROSSMAYEROV TRG 12, 10450 JASTREBARSKO, OIB: 13145108322</v>
      </c>
      <c r="H955" s="7"/>
      <c r="I955" s="8" t="s">
        <v>421</v>
      </c>
      <c r="J955" s="8" t="s">
        <v>555</v>
      </c>
      <c r="K955" s="6" t="str">
        <f>"7.640,00"</f>
        <v>7.640,00</v>
      </c>
      <c r="L955" s="6" t="str">
        <f>"1.910,00"</f>
        <v>1.910,00</v>
      </c>
      <c r="M955" s="6" t="str">
        <f>"9.550,00"</f>
        <v>9.550,00</v>
      </c>
      <c r="N955" s="8" t="s">
        <v>160</v>
      </c>
      <c r="O955" s="7"/>
      <c r="P955" s="2" t="s">
        <v>6262</v>
      </c>
      <c r="Q955" s="7"/>
      <c r="R955" s="1"/>
      <c r="S955" s="1" t="str">
        <f>"4-22/NOS-29-2/20"</f>
        <v>4-22/NOS-29-2/20</v>
      </c>
      <c r="T955" s="1" t="s">
        <v>32</v>
      </c>
    </row>
    <row r="956" spans="1:20" ht="76.5" x14ac:dyDescent="0.25">
      <c r="A956" s="6">
        <v>953</v>
      </c>
      <c r="B956" s="1" t="str">
        <f t="shared" si="84"/>
        <v>2020-2646</v>
      </c>
      <c r="C956" s="1" t="s">
        <v>1149</v>
      </c>
      <c r="D956" s="1" t="s">
        <v>1150</v>
      </c>
      <c r="E956" s="1" t="str">
        <f>""</f>
        <v/>
      </c>
      <c r="F956" s="1" t="s">
        <v>28</v>
      </c>
      <c r="G956" s="1" t="str">
        <f t="shared" si="85"/>
        <v>SERVIS IMP CRPKE, vl. Dražen Kovačić, STROSSMAYEROV TRG 12, 10450 JASTREBARSKO, OIB: 13145108322</v>
      </c>
      <c r="H956" s="7"/>
      <c r="I956" s="8" t="s">
        <v>422</v>
      </c>
      <c r="J956" s="8" t="s">
        <v>231</v>
      </c>
      <c r="K956" s="6" t="str">
        <f>"6.260,00"</f>
        <v>6.260,00</v>
      </c>
      <c r="L956" s="6" t="str">
        <f>"1.565,00"</f>
        <v>1.565,00</v>
      </c>
      <c r="M956" s="6" t="str">
        <f>"7.825,00"</f>
        <v>7.825,00</v>
      </c>
      <c r="N956" s="8" t="s">
        <v>160</v>
      </c>
      <c r="O956" s="7"/>
      <c r="P956" s="2" t="s">
        <v>6263</v>
      </c>
      <c r="Q956" s="7"/>
      <c r="R956" s="1"/>
      <c r="S956" s="1" t="str">
        <f>"6-22/NOS-29-2/20"</f>
        <v>6-22/NOS-29-2/20</v>
      </c>
      <c r="T956" s="1" t="s">
        <v>32</v>
      </c>
    </row>
    <row r="957" spans="1:20" ht="76.5" x14ac:dyDescent="0.25">
      <c r="A957" s="6">
        <v>954</v>
      </c>
      <c r="B957" s="1" t="str">
        <f t="shared" si="84"/>
        <v>2020-2646</v>
      </c>
      <c r="C957" s="1" t="s">
        <v>1149</v>
      </c>
      <c r="D957" s="1" t="s">
        <v>1150</v>
      </c>
      <c r="E957" s="1" t="str">
        <f>""</f>
        <v/>
      </c>
      <c r="F957" s="1" t="s">
        <v>28</v>
      </c>
      <c r="G957" s="1" t="str">
        <f t="shared" si="85"/>
        <v>SERVIS IMP CRPKE, vl. Dražen Kovačić, STROSSMAYEROV TRG 12, 10450 JASTREBARSKO, OIB: 13145108322</v>
      </c>
      <c r="H957" s="7"/>
      <c r="I957" s="8" t="s">
        <v>262</v>
      </c>
      <c r="J957" s="8" t="s">
        <v>555</v>
      </c>
      <c r="K957" s="6" t="str">
        <f>"3.180,00"</f>
        <v>3.180,00</v>
      </c>
      <c r="L957" s="6" t="str">
        <f>"795,00"</f>
        <v>795,00</v>
      </c>
      <c r="M957" s="6" t="str">
        <f>"3.975,00"</f>
        <v>3.975,00</v>
      </c>
      <c r="N957" s="8" t="s">
        <v>607</v>
      </c>
      <c r="O957" s="7"/>
      <c r="P957" s="2" t="s">
        <v>6264</v>
      </c>
      <c r="Q957" s="7"/>
      <c r="R957" s="1"/>
      <c r="S957" s="1" t="str">
        <f>"7-22/NOS-29-2/20"</f>
        <v>7-22/NOS-29-2/20</v>
      </c>
      <c r="T957" s="1" t="s">
        <v>32</v>
      </c>
    </row>
    <row r="958" spans="1:20" ht="76.5" x14ac:dyDescent="0.25">
      <c r="A958" s="6">
        <v>955</v>
      </c>
      <c r="B958" s="1" t="str">
        <f t="shared" si="84"/>
        <v>2020-2646</v>
      </c>
      <c r="C958" s="1" t="s">
        <v>1149</v>
      </c>
      <c r="D958" s="1" t="s">
        <v>1150</v>
      </c>
      <c r="E958" s="1" t="str">
        <f>""</f>
        <v/>
      </c>
      <c r="F958" s="1" t="s">
        <v>28</v>
      </c>
      <c r="G958" s="1" t="str">
        <f t="shared" si="85"/>
        <v>SERVIS IMP CRPKE, vl. Dražen Kovačić, STROSSMAYEROV TRG 12, 10450 JASTREBARSKO, OIB: 13145108322</v>
      </c>
      <c r="H958" s="7"/>
      <c r="I958" s="8" t="s">
        <v>350</v>
      </c>
      <c r="J958" s="8" t="s">
        <v>519</v>
      </c>
      <c r="K958" s="6" t="str">
        <f>"2.160,00"</f>
        <v>2.160,00</v>
      </c>
      <c r="L958" s="6" t="str">
        <f>"540,00"</f>
        <v>540,00</v>
      </c>
      <c r="M958" s="6" t="str">
        <f>"2.700,00"</f>
        <v>2.700,00</v>
      </c>
      <c r="N958" s="8" t="s">
        <v>1073</v>
      </c>
      <c r="O958" s="7"/>
      <c r="P958" s="2" t="s">
        <v>6252</v>
      </c>
      <c r="Q958" s="7"/>
      <c r="R958" s="1"/>
      <c r="S958" s="1" t="str">
        <f>"8-22/NOS-29-2/20"</f>
        <v>8-22/NOS-29-2/20</v>
      </c>
      <c r="T958" s="1" t="s">
        <v>32</v>
      </c>
    </row>
    <row r="959" spans="1:20" ht="76.5" x14ac:dyDescent="0.25">
      <c r="A959" s="6">
        <v>956</v>
      </c>
      <c r="B959" s="1" t="str">
        <f t="shared" si="84"/>
        <v>2020-2646</v>
      </c>
      <c r="C959" s="1" t="s">
        <v>1149</v>
      </c>
      <c r="D959" s="1" t="s">
        <v>1150</v>
      </c>
      <c r="E959" s="1" t="str">
        <f>""</f>
        <v/>
      </c>
      <c r="F959" s="1" t="s">
        <v>28</v>
      </c>
      <c r="G959" s="1" t="str">
        <f t="shared" si="85"/>
        <v>SERVIS IMP CRPKE, vl. Dražen Kovačić, STROSSMAYEROV TRG 12, 10450 JASTREBARSKO, OIB: 13145108322</v>
      </c>
      <c r="H959" s="7"/>
      <c r="I959" s="8" t="s">
        <v>505</v>
      </c>
      <c r="J959" s="8" t="s">
        <v>555</v>
      </c>
      <c r="K959" s="6" t="str">
        <f>"9.590,00"</f>
        <v>9.590,00</v>
      </c>
      <c r="L959" s="6" t="str">
        <f>"2.397,50"</f>
        <v>2.397,50</v>
      </c>
      <c r="M959" s="6" t="str">
        <f>"11.987,50"</f>
        <v>11.987,50</v>
      </c>
      <c r="N959" s="8" t="s">
        <v>895</v>
      </c>
      <c r="O959" s="7"/>
      <c r="P959" s="2" t="s">
        <v>6265</v>
      </c>
      <c r="Q959" s="7"/>
      <c r="R959" s="1"/>
      <c r="S959" s="1" t="str">
        <f>"9-22/NOS-29-2/20"</f>
        <v>9-22/NOS-29-2/20</v>
      </c>
      <c r="T959" s="1" t="s">
        <v>32</v>
      </c>
    </row>
    <row r="960" spans="1:20" ht="76.5" x14ac:dyDescent="0.25">
      <c r="A960" s="6">
        <v>957</v>
      </c>
      <c r="B960" s="1" t="str">
        <f t="shared" si="84"/>
        <v>2020-2646</v>
      </c>
      <c r="C960" s="1" t="s">
        <v>1149</v>
      </c>
      <c r="D960" s="1" t="s">
        <v>1150</v>
      </c>
      <c r="E960" s="1" t="str">
        <f>""</f>
        <v/>
      </c>
      <c r="F960" s="1" t="s">
        <v>28</v>
      </c>
      <c r="G960" s="1" t="str">
        <f t="shared" si="85"/>
        <v>SERVIS IMP CRPKE, vl. Dražen Kovačić, STROSSMAYEROV TRG 12, 10450 JASTREBARSKO, OIB: 13145108322</v>
      </c>
      <c r="H960" s="7"/>
      <c r="I960" s="8" t="s">
        <v>1073</v>
      </c>
      <c r="J960" s="8" t="s">
        <v>555</v>
      </c>
      <c r="K960" s="6" t="str">
        <f>"5.220,00"</f>
        <v>5.220,00</v>
      </c>
      <c r="L960" s="6" t="str">
        <f>"1.305,00"</f>
        <v>1.305,00</v>
      </c>
      <c r="M960" s="6" t="str">
        <f>"6.525,00"</f>
        <v>6.525,00</v>
      </c>
      <c r="N960" s="8" t="s">
        <v>432</v>
      </c>
      <c r="O960" s="7"/>
      <c r="P960" s="2" t="s">
        <v>6266</v>
      </c>
      <c r="Q960" s="7"/>
      <c r="R960" s="1"/>
      <c r="S960" s="1" t="str">
        <f>"10-22/NOS-29-2/20"</f>
        <v>10-22/NOS-29-2/20</v>
      </c>
      <c r="T960" s="1" t="s">
        <v>32</v>
      </c>
    </row>
    <row r="961" spans="1:20" ht="76.5" x14ac:dyDescent="0.25">
      <c r="A961" s="6">
        <v>958</v>
      </c>
      <c r="B961" s="1" t="str">
        <f t="shared" si="84"/>
        <v>2020-2646</v>
      </c>
      <c r="C961" s="1" t="s">
        <v>1149</v>
      </c>
      <c r="D961" s="1" t="s">
        <v>1150</v>
      </c>
      <c r="E961" s="1" t="str">
        <f>""</f>
        <v/>
      </c>
      <c r="F961" s="1" t="s">
        <v>28</v>
      </c>
      <c r="G961" s="1" t="str">
        <f t="shared" si="85"/>
        <v>SERVIS IMP CRPKE, vl. Dražen Kovačić, STROSSMAYEROV TRG 12, 10450 JASTREBARSKO, OIB: 13145108322</v>
      </c>
      <c r="H961" s="7"/>
      <c r="I961" s="8" t="s">
        <v>1155</v>
      </c>
      <c r="J961" s="8" t="s">
        <v>555</v>
      </c>
      <c r="K961" s="6" t="str">
        <f>"3.585,00"</f>
        <v>3.585,00</v>
      </c>
      <c r="L961" s="6" t="str">
        <f>"0,00"</f>
        <v>0,00</v>
      </c>
      <c r="M961" s="6" t="str">
        <f>"3.585,00"</f>
        <v>3.585,00</v>
      </c>
      <c r="N961" s="8" t="s">
        <v>124</v>
      </c>
      <c r="O961" s="7"/>
      <c r="P961" s="2" t="s">
        <v>5614</v>
      </c>
      <c r="Q961" s="7"/>
      <c r="R961" s="1"/>
      <c r="S961" s="1" t="str">
        <f>"12-22/NOS-29-2/20"</f>
        <v>12-22/NOS-29-2/20</v>
      </c>
      <c r="T961" s="1" t="s">
        <v>32</v>
      </c>
    </row>
    <row r="962" spans="1:20" ht="76.5" x14ac:dyDescent="0.25">
      <c r="A962" s="6">
        <v>959</v>
      </c>
      <c r="B962" s="1" t="str">
        <f t="shared" si="84"/>
        <v>2020-2646</v>
      </c>
      <c r="C962" s="1" t="s">
        <v>1149</v>
      </c>
      <c r="D962" s="1" t="s">
        <v>1150</v>
      </c>
      <c r="E962" s="1" t="str">
        <f>""</f>
        <v/>
      </c>
      <c r="F962" s="1" t="s">
        <v>28</v>
      </c>
      <c r="G962" s="1" t="str">
        <f t="shared" si="85"/>
        <v>SERVIS IMP CRPKE, vl. Dražen Kovačić, STROSSMAYEROV TRG 12, 10450 JASTREBARSKO, OIB: 13145108322</v>
      </c>
      <c r="H962" s="7"/>
      <c r="I962" s="8" t="s">
        <v>923</v>
      </c>
      <c r="J962" s="8" t="s">
        <v>555</v>
      </c>
      <c r="K962" s="6" t="str">
        <f>"6.220,00"</f>
        <v>6.220,00</v>
      </c>
      <c r="L962" s="6" t="str">
        <f>"1.555,00"</f>
        <v>1.555,00</v>
      </c>
      <c r="M962" s="6" t="str">
        <f>"7.775,00"</f>
        <v>7.775,00</v>
      </c>
      <c r="N962" s="8" t="s">
        <v>567</v>
      </c>
      <c r="O962" s="7"/>
      <c r="P962" s="2" t="s">
        <v>6267</v>
      </c>
      <c r="Q962" s="7"/>
      <c r="R962" s="1"/>
      <c r="S962" s="1" t="str">
        <f>"11-22/NOS-29-2/20"</f>
        <v>11-22/NOS-29-2/20</v>
      </c>
      <c r="T962" s="1" t="s">
        <v>32</v>
      </c>
    </row>
    <row r="963" spans="1:20" ht="76.5" x14ac:dyDescent="0.25">
      <c r="A963" s="6">
        <v>960</v>
      </c>
      <c r="B963" s="1" t="str">
        <f t="shared" si="84"/>
        <v>2020-2646</v>
      </c>
      <c r="C963" s="1" t="s">
        <v>1149</v>
      </c>
      <c r="D963" s="1" t="s">
        <v>1150</v>
      </c>
      <c r="E963" s="1" t="str">
        <f>""</f>
        <v/>
      </c>
      <c r="F963" s="1" t="s">
        <v>28</v>
      </c>
      <c r="G963" s="1" t="str">
        <f t="shared" si="85"/>
        <v>SERVIS IMP CRPKE, vl. Dražen Kovačić, STROSSMAYEROV TRG 12, 10450 JASTREBARSKO, OIB: 13145108322</v>
      </c>
      <c r="H963" s="7"/>
      <c r="I963" s="8" t="s">
        <v>208</v>
      </c>
      <c r="J963" s="8" t="s">
        <v>1156</v>
      </c>
      <c r="K963" s="6" t="str">
        <f>"2.880,00"</f>
        <v>2.880,00</v>
      </c>
      <c r="L963" s="6" t="str">
        <f>"720,00"</f>
        <v>720,00</v>
      </c>
      <c r="M963" s="6" t="str">
        <f>"3.600,00"</f>
        <v>3.600,00</v>
      </c>
      <c r="N963" s="8" t="s">
        <v>1157</v>
      </c>
      <c r="O963" s="7"/>
      <c r="P963" s="2" t="s">
        <v>6268</v>
      </c>
      <c r="Q963" s="7"/>
      <c r="R963" s="1"/>
      <c r="S963" s="1" t="str">
        <f>"14-22/NOS-29-2/20"</f>
        <v>14-22/NOS-29-2/20</v>
      </c>
      <c r="T963" s="1" t="s">
        <v>32</v>
      </c>
    </row>
    <row r="964" spans="1:20" ht="76.5" x14ac:dyDescent="0.25">
      <c r="A964" s="6">
        <v>961</v>
      </c>
      <c r="B964" s="1" t="str">
        <f t="shared" si="84"/>
        <v>2020-2646</v>
      </c>
      <c r="C964" s="1" t="s">
        <v>1149</v>
      </c>
      <c r="D964" s="1" t="s">
        <v>1150</v>
      </c>
      <c r="E964" s="1" t="str">
        <f>""</f>
        <v/>
      </c>
      <c r="F964" s="1" t="s">
        <v>28</v>
      </c>
      <c r="G964" s="1" t="str">
        <f t="shared" si="85"/>
        <v>SERVIS IMP CRPKE, vl. Dražen Kovačić, STROSSMAYEROV TRG 12, 10450 JASTREBARSKO, OIB: 13145108322</v>
      </c>
      <c r="H964" s="7"/>
      <c r="I964" s="8" t="s">
        <v>520</v>
      </c>
      <c r="J964" s="8" t="s">
        <v>555</v>
      </c>
      <c r="K964" s="6" t="str">
        <f>"14.800,00"</f>
        <v>14.800,00</v>
      </c>
      <c r="L964" s="6" t="str">
        <f>"0,00"</f>
        <v>0,00</v>
      </c>
      <c r="M964" s="6" t="str">
        <f>"14.800,00"</f>
        <v>14.800,00</v>
      </c>
      <c r="N964" s="8" t="s">
        <v>124</v>
      </c>
      <c r="O964" s="7"/>
      <c r="P964" s="2" t="s">
        <v>5614</v>
      </c>
      <c r="Q964" s="7"/>
      <c r="R964" s="1"/>
      <c r="S964" s="1" t="str">
        <f>"16-22/NOS-29-2/20"</f>
        <v>16-22/NOS-29-2/20</v>
      </c>
      <c r="T964" s="1" t="s">
        <v>32</v>
      </c>
    </row>
    <row r="965" spans="1:20" ht="76.5" x14ac:dyDescent="0.25">
      <c r="A965" s="6">
        <v>962</v>
      </c>
      <c r="B965" s="1" t="str">
        <f t="shared" si="84"/>
        <v>2020-2646</v>
      </c>
      <c r="C965" s="1" t="s">
        <v>1149</v>
      </c>
      <c r="D965" s="1" t="s">
        <v>1150</v>
      </c>
      <c r="E965" s="1" t="str">
        <f>""</f>
        <v/>
      </c>
      <c r="F965" s="1" t="s">
        <v>28</v>
      </c>
      <c r="G965" s="1" t="str">
        <f t="shared" si="85"/>
        <v>SERVIS IMP CRPKE, vl. Dražen Kovačić, STROSSMAYEROV TRG 12, 10450 JASTREBARSKO, OIB: 13145108322</v>
      </c>
      <c r="H965" s="7"/>
      <c r="I965" s="8" t="s">
        <v>431</v>
      </c>
      <c r="J965" s="8" t="s">
        <v>555</v>
      </c>
      <c r="K965" s="6" t="str">
        <f>"4.560,00"</f>
        <v>4.560,00</v>
      </c>
      <c r="L965" s="6" t="str">
        <f>"1.140,00"</f>
        <v>1.140,00</v>
      </c>
      <c r="M965" s="6" t="str">
        <f>"5.700,00"</f>
        <v>5.700,00</v>
      </c>
      <c r="N965" s="8" t="s">
        <v>432</v>
      </c>
      <c r="O965" s="7"/>
      <c r="P965" s="2" t="s">
        <v>6269</v>
      </c>
      <c r="Q965" s="7"/>
      <c r="R965" s="1"/>
      <c r="S965" s="1" t="str">
        <f>"15-22/NOS-29-2/20"</f>
        <v>15-22/NOS-29-2/20</v>
      </c>
      <c r="T965" s="1" t="s">
        <v>32</v>
      </c>
    </row>
    <row r="966" spans="1:20" ht="76.5" x14ac:dyDescent="0.25">
      <c r="A966" s="6">
        <v>963</v>
      </c>
      <c r="B966" s="1" t="str">
        <f t="shared" si="84"/>
        <v>2020-2646</v>
      </c>
      <c r="C966" s="1" t="s">
        <v>1149</v>
      </c>
      <c r="D966" s="1" t="s">
        <v>1150</v>
      </c>
      <c r="E966" s="1" t="str">
        <f>""</f>
        <v/>
      </c>
      <c r="F966" s="1" t="s">
        <v>28</v>
      </c>
      <c r="G966" s="1" t="str">
        <f t="shared" si="85"/>
        <v>SERVIS IMP CRPKE, vl. Dražen Kovačić, STROSSMAYEROV TRG 12, 10450 JASTREBARSKO, OIB: 13145108322</v>
      </c>
      <c r="H966" s="7"/>
      <c r="I966" s="8" t="s">
        <v>285</v>
      </c>
      <c r="J966" s="8" t="s">
        <v>555</v>
      </c>
      <c r="K966" s="6" t="str">
        <f>"2.360,00"</f>
        <v>2.360,00</v>
      </c>
      <c r="L966" s="6" t="str">
        <f>"590,00"</f>
        <v>590,00</v>
      </c>
      <c r="M966" s="6" t="str">
        <f>"2.950,00"</f>
        <v>2.950,00</v>
      </c>
      <c r="N966" s="8" t="s">
        <v>432</v>
      </c>
      <c r="O966" s="7"/>
      <c r="P966" s="2" t="s">
        <v>6270</v>
      </c>
      <c r="Q966" s="7"/>
      <c r="R966" s="1"/>
      <c r="S966" s="1" t="str">
        <f>"18-22/NOS-29-2/20"</f>
        <v>18-22/NOS-29-2/20</v>
      </c>
      <c r="T966" s="1" t="s">
        <v>32</v>
      </c>
    </row>
    <row r="967" spans="1:20" ht="369.75" x14ac:dyDescent="0.25">
      <c r="A967" s="6">
        <v>964</v>
      </c>
      <c r="B967" s="1" t="str">
        <f>"2020-1500"</f>
        <v>2020-1500</v>
      </c>
      <c r="C967" s="1" t="s">
        <v>1158</v>
      </c>
      <c r="D967" s="1" t="s">
        <v>941</v>
      </c>
      <c r="E967" s="1" t="str">
        <f>"2020/S 0F2-0029962"</f>
        <v>2020/S 0F2-0029962</v>
      </c>
      <c r="F967" s="1" t="s">
        <v>22</v>
      </c>
      <c r="G967" s="1" t="str">
        <f>CONCATENATE("Zajednica ponuditelja",CHAR(10),"KINDER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967" s="1" t="str">
        <f>CONCATENATE("MULTIGRAD D.O.O.,"," OIB: 33615517007")</f>
        <v>MULTIGRAD D.O.O., OIB: 33615517007</v>
      </c>
      <c r="I967" s="8" t="s">
        <v>1126</v>
      </c>
      <c r="J967" s="8" t="s">
        <v>1159</v>
      </c>
      <c r="K967" s="6" t="str">
        <f>"15.000.000,00"</f>
        <v>15.000.000,00</v>
      </c>
      <c r="L967" s="6" t="str">
        <f>"3.750.000,00"</f>
        <v>3.750.000,00</v>
      </c>
      <c r="M967" s="6" t="str">
        <f>"18.750.000,00"</f>
        <v>18.750.000,00</v>
      </c>
      <c r="N967" s="8" t="s">
        <v>1140</v>
      </c>
      <c r="O967" s="7"/>
      <c r="P967" s="2" t="s">
        <v>5614</v>
      </c>
      <c r="Q967" s="7"/>
      <c r="R967" s="1"/>
      <c r="S967" s="1" t="str">
        <f>"NOS-44/20"</f>
        <v>NOS-44/20</v>
      </c>
      <c r="T967" s="1" t="s">
        <v>55</v>
      </c>
    </row>
    <row r="968" spans="1:20" ht="369.75" x14ac:dyDescent="0.25">
      <c r="A968" s="6">
        <v>965</v>
      </c>
      <c r="B968" s="1" t="str">
        <f>"2020-1500"</f>
        <v>2020-1500</v>
      </c>
      <c r="C968" s="1" t="s">
        <v>1158</v>
      </c>
      <c r="D968" s="1" t="s">
        <v>486</v>
      </c>
      <c r="E968" s="1" t="str">
        <f>""</f>
        <v/>
      </c>
      <c r="F968" s="1" t="s">
        <v>28</v>
      </c>
      <c r="G968" s="1" t="str">
        <f>CONCATENATE("Zajednica ponuditelja",CHAR(10),"KINDER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968" s="7"/>
      <c r="I968" s="8" t="s">
        <v>159</v>
      </c>
      <c r="J968" s="8" t="s">
        <v>89</v>
      </c>
      <c r="K968" s="6" t="str">
        <f>"1.516.885,30"</f>
        <v>1.516.885,30</v>
      </c>
      <c r="L968" s="6" t="str">
        <f>"379.221,33"</f>
        <v>379.221,33</v>
      </c>
      <c r="M968" s="6" t="str">
        <f>"1.896.106,63"</f>
        <v>1.896.106,63</v>
      </c>
      <c r="N968" s="8" t="s">
        <v>124</v>
      </c>
      <c r="O968" s="7"/>
      <c r="P968" s="2" t="s">
        <v>5614</v>
      </c>
      <c r="Q968" s="7"/>
      <c r="R968" s="1"/>
      <c r="S968" s="1" t="str">
        <f>"4-21/NOS-44/20"</f>
        <v>4-21/NOS-44/20</v>
      </c>
      <c r="T968" s="1" t="s">
        <v>55</v>
      </c>
    </row>
    <row r="969" spans="1:20" ht="369.75" x14ac:dyDescent="0.25">
      <c r="A969" s="6">
        <v>966</v>
      </c>
      <c r="B969" s="1" t="str">
        <f>"2020-1500"</f>
        <v>2020-1500</v>
      </c>
      <c r="C969" s="1" t="s">
        <v>1160</v>
      </c>
      <c r="D969" s="1" t="s">
        <v>486</v>
      </c>
      <c r="E969" s="1" t="str">
        <f>""</f>
        <v/>
      </c>
      <c r="F969" s="1" t="s">
        <v>92</v>
      </c>
      <c r="G969" s="1" t="str">
        <f>CONCATENATE("Zajednica ponuditelja",CHAR(10),"KINDER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969" s="7"/>
      <c r="I969" s="8" t="s">
        <v>80</v>
      </c>
      <c r="J969" s="8" t="s">
        <v>89</v>
      </c>
      <c r="K969" s="6" t="str">
        <f>"210.108,95"</f>
        <v>210.108,95</v>
      </c>
      <c r="L969" s="6" t="str">
        <f>"52.527,24"</f>
        <v>52.527,24</v>
      </c>
      <c r="M969" s="6" t="str">
        <f>"262.636,19"</f>
        <v>262.636,19</v>
      </c>
      <c r="N969" s="8" t="s">
        <v>124</v>
      </c>
      <c r="O969" s="7"/>
      <c r="P969" s="2" t="s">
        <v>5614</v>
      </c>
      <c r="Q969" s="7"/>
      <c r="R969" s="1"/>
      <c r="S969" s="1" t="str">
        <f>"4-21/NOS-44/20#1"</f>
        <v>4-21/NOS-44/20#1</v>
      </c>
      <c r="T969" s="1" t="s">
        <v>55</v>
      </c>
    </row>
    <row r="970" spans="1:20" ht="369.75" x14ac:dyDescent="0.25">
      <c r="A970" s="6">
        <v>967</v>
      </c>
      <c r="B970" s="1" t="str">
        <f>"2020-1500"</f>
        <v>2020-1500</v>
      </c>
      <c r="C970" s="1" t="s">
        <v>1160</v>
      </c>
      <c r="D970" s="1" t="s">
        <v>486</v>
      </c>
      <c r="E970" s="1" t="str">
        <f>""</f>
        <v/>
      </c>
      <c r="F970" s="1" t="s">
        <v>92</v>
      </c>
      <c r="G970" s="1" t="str">
        <f>CONCATENATE("Zajednica ponuditelja",CHAR(10),"KINDER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D.O.O., SELSKA 57, 10360 SESVETE, OIB: 71001411174GEORAD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970" s="7"/>
      <c r="I970" s="8" t="s">
        <v>89</v>
      </c>
      <c r="J970" s="8" t="s">
        <v>89</v>
      </c>
      <c r="K970" s="6" t="str">
        <f>"454.728,05"</f>
        <v>454.728,05</v>
      </c>
      <c r="L970" s="6" t="str">
        <f>"113.682,01"</f>
        <v>113.682,01</v>
      </c>
      <c r="M970" s="6" t="str">
        <f>"568.410,06"</f>
        <v>568.410,06</v>
      </c>
      <c r="N970" s="8" t="s">
        <v>124</v>
      </c>
      <c r="O970" s="7"/>
      <c r="P970" s="2" t="s">
        <v>5614</v>
      </c>
      <c r="Q970" s="7"/>
      <c r="R970" s="1"/>
      <c r="S970" s="1" t="str">
        <f>"4-21/NOS-44/20#2"</f>
        <v>4-21/NOS-44/20#2</v>
      </c>
      <c r="T970" s="1" t="s">
        <v>55</v>
      </c>
    </row>
    <row r="971" spans="1:20" ht="51" x14ac:dyDescent="0.25">
      <c r="A971" s="6">
        <v>968</v>
      </c>
      <c r="B971" s="1" t="str">
        <f>"2020-2577"</f>
        <v>2020-2577</v>
      </c>
      <c r="C971" s="1" t="s">
        <v>1161</v>
      </c>
      <c r="D971" s="1" t="s">
        <v>74</v>
      </c>
      <c r="E971" s="1" t="str">
        <f>"2020/S 0F2-0036100"</f>
        <v>2020/S 0F2-0036100</v>
      </c>
      <c r="F971" s="1" t="s">
        <v>22</v>
      </c>
      <c r="G971" s="1" t="str">
        <f>CONCATENATE("DOL D.O.O.,"," FRANJE ČANDEKA 23/B,"," 51000 RIJEKA,"," OIB: 61043480879")</f>
        <v>DOL D.O.O., FRANJE ČANDEKA 23/B, 51000 RIJEKA, OIB: 61043480879</v>
      </c>
      <c r="H971" s="7"/>
      <c r="I971" s="8" t="s">
        <v>1162</v>
      </c>
      <c r="J971" s="8" t="s">
        <v>1132</v>
      </c>
      <c r="K971" s="6" t="str">
        <f>"800.000,00"</f>
        <v>800.000,00</v>
      </c>
      <c r="L971" s="6" t="str">
        <f>"200.000,00"</f>
        <v>200.000,00</v>
      </c>
      <c r="M971" s="6" t="str">
        <f>"1.000.000,00"</f>
        <v>1.000.000,00</v>
      </c>
      <c r="N971" s="8" t="s">
        <v>433</v>
      </c>
      <c r="O971" s="7"/>
      <c r="P971" s="2" t="s">
        <v>6271</v>
      </c>
      <c r="Q971" s="7"/>
      <c r="R971" s="1"/>
      <c r="S971" s="1" t="str">
        <f>"NOS-45/20"</f>
        <v>NOS-45/20</v>
      </c>
      <c r="T971" s="1" t="s">
        <v>32</v>
      </c>
    </row>
    <row r="972" spans="1:20" ht="51" x14ac:dyDescent="0.25">
      <c r="A972" s="6">
        <v>969</v>
      </c>
      <c r="B972" s="1" t="str">
        <f>"2020-2577"</f>
        <v>2020-2577</v>
      </c>
      <c r="C972" s="1" t="s">
        <v>1161</v>
      </c>
      <c r="D972" s="1" t="s">
        <v>78</v>
      </c>
      <c r="E972" s="1" t="str">
        <f>""</f>
        <v/>
      </c>
      <c r="F972" s="1" t="s">
        <v>28</v>
      </c>
      <c r="G972" s="1" t="str">
        <f>CONCATENATE("DOL D.O.O.,"," FRANJE ČANDEKA 23/B,"," 51000 RIJEKA,"," OIB: 61043480879")</f>
        <v>DOL D.O.O., FRANJE ČANDEKA 23/B, 51000 RIJEKA, OIB: 61043480879</v>
      </c>
      <c r="H972" s="7"/>
      <c r="I972" s="8" t="s">
        <v>88</v>
      </c>
      <c r="J972" s="8" t="s">
        <v>30</v>
      </c>
      <c r="K972" s="6" t="str">
        <f>"330.000,00"</f>
        <v>330.000,00</v>
      </c>
      <c r="L972" s="6" t="str">
        <f>"82.500,00"</f>
        <v>82.500,00</v>
      </c>
      <c r="M972" s="6" t="str">
        <f>"412.500,00"</f>
        <v>412.500,00</v>
      </c>
      <c r="N972" s="8" t="s">
        <v>426</v>
      </c>
      <c r="O972" s="7"/>
      <c r="P972" s="2" t="s">
        <v>6272</v>
      </c>
      <c r="Q972" s="7"/>
      <c r="R972" s="1"/>
      <c r="S972" s="1" t="str">
        <f>"3-21/NOS-45/20"</f>
        <v>3-21/NOS-45/20</v>
      </c>
      <c r="T972" s="1" t="s">
        <v>32</v>
      </c>
    </row>
    <row r="973" spans="1:20" ht="51" x14ac:dyDescent="0.25">
      <c r="A973" s="6">
        <v>970</v>
      </c>
      <c r="B973" s="1" t="str">
        <f>"2020-2577"</f>
        <v>2020-2577</v>
      </c>
      <c r="C973" s="1" t="s">
        <v>1161</v>
      </c>
      <c r="D973" s="1" t="s">
        <v>78</v>
      </c>
      <c r="E973" s="1" t="str">
        <f>""</f>
        <v/>
      </c>
      <c r="F973" s="1" t="s">
        <v>28</v>
      </c>
      <c r="G973" s="1" t="str">
        <f>CONCATENATE("DOL D.O.O.,"," FRANJE ČANDEKA 23/B,"," 51000 RIJEKA,"," OIB: 61043480879")</f>
        <v>DOL D.O.O., FRANJE ČANDEKA 23/B, 51000 RIJEKA, OIB: 61043480879</v>
      </c>
      <c r="H973" s="7"/>
      <c r="I973" s="8" t="s">
        <v>426</v>
      </c>
      <c r="J973" s="8" t="s">
        <v>123</v>
      </c>
      <c r="K973" s="6" t="str">
        <f>"210.000,00"</f>
        <v>210.000,00</v>
      </c>
      <c r="L973" s="6" t="str">
        <f>"52.500,00"</f>
        <v>52.500,00</v>
      </c>
      <c r="M973" s="6" t="str">
        <f>"262.500,00"</f>
        <v>262.500,00</v>
      </c>
      <c r="N973" s="8" t="s">
        <v>124</v>
      </c>
      <c r="O973" s="7"/>
      <c r="P973" s="2" t="s">
        <v>5614</v>
      </c>
      <c r="Q973" s="7"/>
      <c r="R973" s="1"/>
      <c r="S973" s="1" t="str">
        <f>"1-22/NOS-45/20"</f>
        <v>1-22/NOS-45/20</v>
      </c>
      <c r="T973" s="1" t="s">
        <v>32</v>
      </c>
    </row>
    <row r="974" spans="1:20" ht="178.5" x14ac:dyDescent="0.25">
      <c r="A974" s="6">
        <v>971</v>
      </c>
      <c r="B974" s="1" t="str">
        <f t="shared" ref="B974:B985" si="86">"2020-2755"</f>
        <v>2020-2755</v>
      </c>
      <c r="C974" s="1" t="s">
        <v>1163</v>
      </c>
      <c r="D974" s="1" t="s">
        <v>1164</v>
      </c>
      <c r="E974" s="1" t="str">
        <f>"2020/S 0F2-0024069"</f>
        <v>2020/S 0F2-0024069</v>
      </c>
      <c r="F974" s="1" t="s">
        <v>22</v>
      </c>
      <c r="G974" s="1"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974" s="7"/>
      <c r="I974" s="8" t="s">
        <v>1165</v>
      </c>
      <c r="J974" s="8" t="s">
        <v>112</v>
      </c>
      <c r="K974" s="6" t="str">
        <f>"2.000.000,00"</f>
        <v>2.000.000,00</v>
      </c>
      <c r="L974" s="6" t="str">
        <f>"500.000,00"</f>
        <v>500.000,00</v>
      </c>
      <c r="M974" s="6" t="str">
        <f>"2.500.000,00"</f>
        <v>2.500.000,00</v>
      </c>
      <c r="N974" s="8" t="s">
        <v>121</v>
      </c>
      <c r="O974" s="7"/>
      <c r="P974" s="2" t="s">
        <v>6273</v>
      </c>
      <c r="Q974" s="7"/>
      <c r="R974" s="1"/>
      <c r="S974" s="1" t="str">
        <f>"NOS-47-1/20"</f>
        <v>NOS-47-1/20</v>
      </c>
      <c r="T974" s="1" t="s">
        <v>27</v>
      </c>
    </row>
    <row r="975" spans="1:20" ht="114.75" x14ac:dyDescent="0.25">
      <c r="A975" s="6">
        <v>972</v>
      </c>
      <c r="B975" s="1" t="str">
        <f t="shared" si="86"/>
        <v>2020-2755</v>
      </c>
      <c r="C975" s="1" t="s">
        <v>1166</v>
      </c>
      <c r="D975" s="1" t="s">
        <v>1164</v>
      </c>
      <c r="E975" s="1" t="str">
        <f>""</f>
        <v/>
      </c>
      <c r="F975" s="1" t="s">
        <v>28</v>
      </c>
      <c r="G975" s="1" t="str">
        <f>CONCATENATE("P P K D.D.,"," SELCE 33,"," 47000 KARLOVAC,"," OIB: 18257277698")</f>
        <v>P P K D.D., SELCE 33, 47000 KARLOVAC, OIB: 18257277698</v>
      </c>
      <c r="H975" s="7"/>
      <c r="I975" s="8" t="s">
        <v>1167</v>
      </c>
      <c r="J975" s="8" t="s">
        <v>41</v>
      </c>
      <c r="K975" s="6" t="str">
        <f>"120.650,00"</f>
        <v>120.650,00</v>
      </c>
      <c r="L975" s="6" t="str">
        <f>"30.162,50"</f>
        <v>30.162,50</v>
      </c>
      <c r="M975" s="6" t="str">
        <f>"150.812,50"</f>
        <v>150.812,50</v>
      </c>
      <c r="N975" s="8" t="s">
        <v>127</v>
      </c>
      <c r="O975" s="7"/>
      <c r="P975" s="2" t="s">
        <v>6274</v>
      </c>
      <c r="Q975" s="1" t="s">
        <v>1168</v>
      </c>
      <c r="R975" s="1"/>
      <c r="S975" s="1" t="str">
        <f>"1-21/NOS-47-1/20"</f>
        <v>1-21/NOS-47-1/20</v>
      </c>
      <c r="T975" s="1" t="s">
        <v>32</v>
      </c>
    </row>
    <row r="976" spans="1:20" ht="51" x14ac:dyDescent="0.25">
      <c r="A976" s="6">
        <v>973</v>
      </c>
      <c r="B976" s="1" t="str">
        <f t="shared" si="86"/>
        <v>2020-2755</v>
      </c>
      <c r="C976" s="1" t="s">
        <v>1163</v>
      </c>
      <c r="D976" s="1" t="s">
        <v>1164</v>
      </c>
      <c r="E976" s="1" t="str">
        <f>""</f>
        <v/>
      </c>
      <c r="F976" s="1" t="s">
        <v>28</v>
      </c>
      <c r="G976" s="1" t="str">
        <f>CONCATENATE("P P K D.D.,"," SELCE 33,"," 47000 KARLOVAC,"," OIB: 18257277698")</f>
        <v>P P K D.D., SELCE 33, 47000 KARLOVAC, OIB: 18257277698</v>
      </c>
      <c r="H976" s="7"/>
      <c r="I976" s="8" t="s">
        <v>137</v>
      </c>
      <c r="J976" s="8" t="s">
        <v>555</v>
      </c>
      <c r="K976" s="6" t="str">
        <f>"18.930,00"</f>
        <v>18.930,00</v>
      </c>
      <c r="L976" s="6" t="str">
        <f>"0,00"</f>
        <v>0,00</v>
      </c>
      <c r="M976" s="6" t="str">
        <f>"18.930,00"</f>
        <v>18.930,00</v>
      </c>
      <c r="N976" s="8" t="s">
        <v>124</v>
      </c>
      <c r="O976" s="7"/>
      <c r="P976" s="2" t="s">
        <v>5614</v>
      </c>
      <c r="Q976" s="7"/>
      <c r="R976" s="1"/>
      <c r="S976" s="1" t="str">
        <f>"2-21/NOS-47-1/20"</f>
        <v>2-21/NOS-47-1/20</v>
      </c>
      <c r="T976" s="1" t="s">
        <v>55</v>
      </c>
    </row>
    <row r="977" spans="1:20" ht="178.5" x14ac:dyDescent="0.25">
      <c r="A977" s="6">
        <v>974</v>
      </c>
      <c r="B977" s="1" t="str">
        <f t="shared" si="86"/>
        <v>2020-2755</v>
      </c>
      <c r="C977" s="1" t="s">
        <v>1169</v>
      </c>
      <c r="D977" s="1" t="s">
        <v>1164</v>
      </c>
      <c r="E977" s="1" t="str">
        <f>"2020/S 0F2-0024069"</f>
        <v>2020/S 0F2-0024069</v>
      </c>
      <c r="F977" s="1" t="s">
        <v>22</v>
      </c>
      <c r="G977" s="1" t="str">
        <f>CONCATENATE("PIK VRBOVEC PLUS D.O.O.,"," ZAGREBAČKA 148,"," 10340 VRBOVEC,"," OIB: 41976933718",CHAR(10),"",CHAR(10),"P P K D.D.,"," SELCE 33,"," 47000 KARLOVAC,"," OIB: 18257277698",CHAR(10),"",CHAR(10),"PROMES CVANCIGER D.O.O.,"," BERISLAVA PAVIČIĆA 8,"," 44000 SISAK,"," OIB: 52848763122")</f>
        <v>PIK VRBOVEC PLUS D.O.O., ZAGREBAČKA 148, 10340 VRBOVEC, OIB: 41976933718
P P K D.D., SELCE 33, 47000 KARLOVAC, OIB: 18257277698
PROMES CVANCIGER D.O.O., BERISLAVA PAVIČIĆA 8, 44000 SISAK, OIB: 52848763122</v>
      </c>
      <c r="H977" s="7"/>
      <c r="I977" s="8" t="s">
        <v>1165</v>
      </c>
      <c r="J977" s="8" t="s">
        <v>112</v>
      </c>
      <c r="K977" s="6" t="str">
        <f>"1.400.000,00"</f>
        <v>1.400.000,00</v>
      </c>
      <c r="L977" s="6" t="str">
        <f>"350.000,00"</f>
        <v>350.000,00</v>
      </c>
      <c r="M977" s="6" t="str">
        <f>"1.750.000,00"</f>
        <v>1.750.000,00</v>
      </c>
      <c r="N977" s="8" t="s">
        <v>121</v>
      </c>
      <c r="O977" s="7"/>
      <c r="P977" s="2" t="s">
        <v>5614</v>
      </c>
      <c r="Q977" s="7"/>
      <c r="R977" s="1"/>
      <c r="S977" s="1" t="str">
        <f>"NOS-47-2/20"</f>
        <v>NOS-47-2/20</v>
      </c>
      <c r="T977" s="1" t="s">
        <v>27</v>
      </c>
    </row>
    <row r="978" spans="1:20" ht="140.25" x14ac:dyDescent="0.25">
      <c r="A978" s="6">
        <v>975</v>
      </c>
      <c r="B978" s="1" t="str">
        <f t="shared" si="86"/>
        <v>2020-2755</v>
      </c>
      <c r="C978" s="1" t="s">
        <v>1170</v>
      </c>
      <c r="D978" s="1" t="s">
        <v>1164</v>
      </c>
      <c r="E978" s="1" t="str">
        <f>""</f>
        <v/>
      </c>
      <c r="F978" s="1" t="s">
        <v>28</v>
      </c>
      <c r="G978" s="1" t="str">
        <f>CONCATENATE("P P K D.D.,"," SELCE 33,"," 47000 KARLOVAC,"," OIB: 18257277698")</f>
        <v>P P K D.D., SELCE 33, 47000 KARLOVAC, OIB: 18257277698</v>
      </c>
      <c r="H978" s="7"/>
      <c r="I978" s="8" t="s">
        <v>1171</v>
      </c>
      <c r="J978" s="8" t="s">
        <v>535</v>
      </c>
      <c r="K978" s="6" t="str">
        <f>"105.271,00"</f>
        <v>105.271,00</v>
      </c>
      <c r="L978" s="6" t="str">
        <f>"26.317,75"</f>
        <v>26.317,75</v>
      </c>
      <c r="M978" s="6" t="str">
        <f>"131.588,75"</f>
        <v>131.588,75</v>
      </c>
      <c r="N978" s="8" t="s">
        <v>507</v>
      </c>
      <c r="O978" s="7"/>
      <c r="P978" s="2" t="s">
        <v>6275</v>
      </c>
      <c r="Q978" s="1" t="s">
        <v>1172</v>
      </c>
      <c r="R978" s="1"/>
      <c r="S978" s="1" t="str">
        <f>"2-21/NOS-47-2/20"</f>
        <v>2-21/NOS-47-2/20</v>
      </c>
      <c r="T978" s="1" t="s">
        <v>32</v>
      </c>
    </row>
    <row r="979" spans="1:20" ht="63.75" x14ac:dyDescent="0.25">
      <c r="A979" s="6">
        <v>976</v>
      </c>
      <c r="B979" s="1" t="str">
        <f t="shared" si="86"/>
        <v>2020-2755</v>
      </c>
      <c r="C979" s="1" t="s">
        <v>1169</v>
      </c>
      <c r="D979" s="1" t="s">
        <v>1164</v>
      </c>
      <c r="E979" s="1" t="str">
        <f>""</f>
        <v/>
      </c>
      <c r="F979" s="1" t="s">
        <v>28</v>
      </c>
      <c r="G979" s="1" t="str">
        <f>CONCATENATE("PIK VRBOVEC PLUS D.O.O.,"," ZAGREBAČKA 148,"," 10340 VRBOVEC,"," OIB: 41976933718")</f>
        <v>PIK VRBOVEC PLUS D.O.O., ZAGREBAČKA 148, 10340 VRBOVEC, OIB: 41976933718</v>
      </c>
      <c r="H979" s="7"/>
      <c r="I979" s="8" t="s">
        <v>137</v>
      </c>
      <c r="J979" s="8" t="s">
        <v>393</v>
      </c>
      <c r="K979" s="6" t="str">
        <f>"14.550,00"</f>
        <v>14.550,00</v>
      </c>
      <c r="L979" s="6" t="str">
        <f>"0,00"</f>
        <v>0,00</v>
      </c>
      <c r="M979" s="6" t="str">
        <f>"14.550,00"</f>
        <v>14.550,00</v>
      </c>
      <c r="N979" s="8" t="s">
        <v>124</v>
      </c>
      <c r="O979" s="7"/>
      <c r="P979" s="2" t="s">
        <v>5614</v>
      </c>
      <c r="Q979" s="7"/>
      <c r="R979" s="1"/>
      <c r="S979" s="1" t="str">
        <f>"3-21/NOS-47-2/20"</f>
        <v>3-21/NOS-47-2/20</v>
      </c>
      <c r="T979" s="1" t="s">
        <v>55</v>
      </c>
    </row>
    <row r="980" spans="1:20" ht="242.25" x14ac:dyDescent="0.25">
      <c r="A980" s="6">
        <v>977</v>
      </c>
      <c r="B980" s="1" t="str">
        <f t="shared" si="86"/>
        <v>2020-2755</v>
      </c>
      <c r="C980" s="1" t="s">
        <v>1173</v>
      </c>
      <c r="D980" s="1" t="s">
        <v>1164</v>
      </c>
      <c r="E980" s="1" t="str">
        <f>"2020/S 0F2-0024069"</f>
        <v>2020/S 0F2-0024069</v>
      </c>
      <c r="F980" s="1" t="s">
        <v>22</v>
      </c>
      <c r="G980" s="1"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980" s="7"/>
      <c r="I980" s="8" t="s">
        <v>1165</v>
      </c>
      <c r="J980" s="8" t="s">
        <v>112</v>
      </c>
      <c r="K980" s="6" t="str">
        <f>"650.000,00"</f>
        <v>650.000,00</v>
      </c>
      <c r="L980" s="6" t="str">
        <f>"162.500,00"</f>
        <v>162.500,00</v>
      </c>
      <c r="M980" s="6" t="str">
        <f>"812.500,00"</f>
        <v>812.500,00</v>
      </c>
      <c r="N980" s="8" t="s">
        <v>121</v>
      </c>
      <c r="O980" s="7"/>
      <c r="P980" s="2" t="s">
        <v>6276</v>
      </c>
      <c r="Q980" s="7"/>
      <c r="R980" s="1"/>
      <c r="S980" s="1" t="str">
        <f>"NOS-47-3/20"</f>
        <v>NOS-47-3/20</v>
      </c>
      <c r="T980" s="1" t="s">
        <v>27</v>
      </c>
    </row>
    <row r="981" spans="1:20" ht="242.25" x14ac:dyDescent="0.25">
      <c r="A981" s="6">
        <v>978</v>
      </c>
      <c r="B981" s="1" t="str">
        <f t="shared" si="86"/>
        <v>2020-2755</v>
      </c>
      <c r="C981" s="1" t="s">
        <v>1174</v>
      </c>
      <c r="D981" s="1" t="s">
        <v>1164</v>
      </c>
      <c r="E981" s="1" t="str">
        <f>"2020/S 0F2-0024069"</f>
        <v>2020/S 0F2-0024069</v>
      </c>
      <c r="F981" s="1" t="s">
        <v>22</v>
      </c>
      <c r="G981" s="1" t="str">
        <f>CONCATENATE("Zajednica ponuditelja",CHAR(10),"PREHRAMBENA INDUSTRIJA VINDIJA D.D.,"," MEĐIMURSKA 6,"," 42000 VARAŽDIN,"," OIB: 44138062462KOKA D.D. BIŠKUPEČKA ULICA 58,"," 42000 VARAŽDIN,"," OIB: 21031321242VINDON D.O.O. LUČKA ULICA 4,"," 35000 SLAVONSKI BROD",CHAR(10),"",CHAR(10),"PERT D.O.O.,"," TINA UJEVIĆA 11/a (podružnica Rijeka),"," 51000 RIJEKA,"," OIB: 42255248046")</f>
        <v>Zajednica ponuditelja
PREHRAMBENA INDUSTRIJA VINDIJA D.D., MEĐIMURSKA 6, 42000 VARAŽDIN, OIB: 44138062462KOKA D.D. BIŠKUPEČKA ULICA 58, 42000 VARAŽDIN, OIB: 21031321242VINDON D.O.O. LUČKA ULICA 4, 35000 SLAVONSKI BROD
PERT D.O.O., TINA UJEVIĆA 11/a (podružnica Rijeka), 51000 RIJEKA, OIB: 42255248046</v>
      </c>
      <c r="H981" s="7"/>
      <c r="I981" s="8" t="s">
        <v>1165</v>
      </c>
      <c r="J981" s="8" t="s">
        <v>1175</v>
      </c>
      <c r="K981" s="6" t="str">
        <f>"1.000.000,00"</f>
        <v>1.000.000,00</v>
      </c>
      <c r="L981" s="6" t="str">
        <f>"250.000,00"</f>
        <v>250.000,00</v>
      </c>
      <c r="M981" s="6" t="str">
        <f>"1.250.000,00"</f>
        <v>1.250.000,00</v>
      </c>
      <c r="N981" s="8" t="s">
        <v>124</v>
      </c>
      <c r="O981" s="7"/>
      <c r="P981" s="2" t="s">
        <v>6277</v>
      </c>
      <c r="Q981" s="7"/>
      <c r="R981" s="1"/>
      <c r="S981" s="1" t="str">
        <f>"NOS-47-4/20"</f>
        <v>NOS-47-4/20</v>
      </c>
      <c r="T981" s="1" t="s">
        <v>27</v>
      </c>
    </row>
    <row r="982" spans="1:20" ht="63.75" x14ac:dyDescent="0.25">
      <c r="A982" s="6">
        <v>979</v>
      </c>
      <c r="B982" s="1" t="str">
        <f t="shared" si="86"/>
        <v>2020-2755</v>
      </c>
      <c r="C982" s="1" t="s">
        <v>1176</v>
      </c>
      <c r="D982" s="1" t="s">
        <v>1164</v>
      </c>
      <c r="E982" s="1" t="str">
        <f>""</f>
        <v/>
      </c>
      <c r="F982" s="1" t="s">
        <v>28</v>
      </c>
      <c r="G982" s="1" t="str">
        <f>CONCATENATE("PERT D.O.O.,"," TINA UJEVIĆA 11/a (podružnica Rijeka),"," 51000 RIJEKA,"," OIB: 42255248046")</f>
        <v>PERT D.O.O., TINA UJEVIĆA 11/a (podružnica Rijeka), 51000 RIJEKA, OIB: 42255248046</v>
      </c>
      <c r="H982" s="7"/>
      <c r="I982" s="8" t="s">
        <v>1079</v>
      </c>
      <c r="J982" s="8" t="s">
        <v>53</v>
      </c>
      <c r="K982" s="6" t="str">
        <f>"41.325,00"</f>
        <v>41.325,00</v>
      </c>
      <c r="L982" s="6" t="str">
        <f>"10.331,25"</f>
        <v>10.331,25</v>
      </c>
      <c r="M982" s="6" t="str">
        <f>"51.656,25"</f>
        <v>51.656,25</v>
      </c>
      <c r="N982" s="8" t="s">
        <v>401</v>
      </c>
      <c r="O982" s="7"/>
      <c r="P982" s="2" t="s">
        <v>6278</v>
      </c>
      <c r="Q982" s="1"/>
      <c r="R982" s="1"/>
      <c r="S982" s="1" t="str">
        <f>"1-21/NOS-47-4/20"</f>
        <v>1-21/NOS-47-4/20</v>
      </c>
      <c r="T982" s="1" t="s">
        <v>55</v>
      </c>
    </row>
    <row r="983" spans="1:20" ht="63.75" x14ac:dyDescent="0.25">
      <c r="A983" s="6">
        <v>980</v>
      </c>
      <c r="B983" s="1" t="str">
        <f t="shared" si="86"/>
        <v>2020-2755</v>
      </c>
      <c r="C983" s="1" t="s">
        <v>1178</v>
      </c>
      <c r="D983" s="1" t="s">
        <v>1164</v>
      </c>
      <c r="E983" s="1" t="str">
        <f>"2020/S 0F2-0024069"</f>
        <v>2020/S 0F2-0024069</v>
      </c>
      <c r="F983" s="1" t="s">
        <v>22</v>
      </c>
      <c r="G983" s="1" t="str">
        <f>CONCATENATE("PERT D.O.O.,"," TINA UJEVIĆA 11/a (podružnica Rijeka),"," 51000 RIJEKA,"," OIB: 42255248046")</f>
        <v>PERT D.O.O., TINA UJEVIĆA 11/a (podružnica Rijeka), 51000 RIJEKA, OIB: 42255248046</v>
      </c>
      <c r="H983" s="7"/>
      <c r="I983" s="8" t="s">
        <v>1162</v>
      </c>
      <c r="J983" s="8" t="s">
        <v>1132</v>
      </c>
      <c r="K983" s="6" t="str">
        <f>"100.000,00"</f>
        <v>100.000,00</v>
      </c>
      <c r="L983" s="6" t="str">
        <f>"25.000,00"</f>
        <v>25.000,00</v>
      </c>
      <c r="M983" s="6" t="str">
        <f>"125.000,00"</f>
        <v>125.000,00</v>
      </c>
      <c r="N983" s="8" t="s">
        <v>433</v>
      </c>
      <c r="O983" s="7"/>
      <c r="P983" s="2" t="s">
        <v>6279</v>
      </c>
      <c r="Q983" s="7"/>
      <c r="R983" s="1"/>
      <c r="S983" s="1" t="str">
        <f>"NOS-47-5/20"</f>
        <v>NOS-47-5/20</v>
      </c>
      <c r="T983" s="1" t="s">
        <v>27</v>
      </c>
    </row>
    <row r="984" spans="1:20" ht="89.25" x14ac:dyDescent="0.25">
      <c r="A984" s="6">
        <v>981</v>
      </c>
      <c r="B984" s="1" t="str">
        <f t="shared" si="86"/>
        <v>2020-2755</v>
      </c>
      <c r="C984" s="1" t="s">
        <v>1179</v>
      </c>
      <c r="D984" s="1" t="s">
        <v>1164</v>
      </c>
      <c r="E984" s="1" t="str">
        <f>""</f>
        <v/>
      </c>
      <c r="F984" s="1" t="s">
        <v>28</v>
      </c>
      <c r="G984" s="1" t="str">
        <f>CONCATENATE("PERT D.O.O.,"," TINA UJEVIĆA 11/a (podružnica Rijeka),"," 51000 RIJEKA,"," OIB: 42255248046")</f>
        <v>PERT D.O.O., TINA UJEVIĆA 11/a (podružnica Rijeka), 51000 RIJEKA, OIB: 42255248046</v>
      </c>
      <c r="H984" s="7"/>
      <c r="I984" s="8" t="s">
        <v>532</v>
      </c>
      <c r="J984" s="8" t="s">
        <v>30</v>
      </c>
      <c r="K984" s="6" t="str">
        <f>"35.500,00"</f>
        <v>35.500,00</v>
      </c>
      <c r="L984" s="6" t="str">
        <f>"8.875,00"</f>
        <v>8.875,00</v>
      </c>
      <c r="M984" s="6" t="str">
        <f>"44.375,00"</f>
        <v>44.375,00</v>
      </c>
      <c r="N984" s="8" t="s">
        <v>1171</v>
      </c>
      <c r="O984" s="7"/>
      <c r="P984" s="2" t="s">
        <v>6280</v>
      </c>
      <c r="Q984" s="1" t="s">
        <v>1180</v>
      </c>
      <c r="R984" s="1"/>
      <c r="S984" s="1" t="str">
        <f>"1-21/NOS-47-5/20"</f>
        <v>1-21/NOS-47-5/20</v>
      </c>
      <c r="T984" s="1" t="s">
        <v>32</v>
      </c>
    </row>
    <row r="985" spans="1:20" ht="76.5" x14ac:dyDescent="0.25">
      <c r="A985" s="6">
        <v>982</v>
      </c>
      <c r="B985" s="1" t="str">
        <f t="shared" si="86"/>
        <v>2020-2755</v>
      </c>
      <c r="C985" s="1" t="s">
        <v>1181</v>
      </c>
      <c r="D985" s="1" t="s">
        <v>1164</v>
      </c>
      <c r="E985" s="1" t="str">
        <f>""</f>
        <v/>
      </c>
      <c r="F985" s="1" t="s">
        <v>28</v>
      </c>
      <c r="G985" s="1" t="str">
        <f>CONCATENATE("PERT D.O.O.,"," TINA UJEVIĆA 11/a (podružnica Rijeka),"," 51000 RIJEKA,"," OIB: 42255248046")</f>
        <v>PERT D.O.O., TINA UJEVIĆA 11/a (podružnica Rijeka), 51000 RIJEKA, OIB: 42255248046</v>
      </c>
      <c r="H985" s="7"/>
      <c r="I985" s="8" t="s">
        <v>1182</v>
      </c>
      <c r="J985" s="8" t="s">
        <v>169</v>
      </c>
      <c r="K985" s="6" t="str">
        <f>"47.200,00"</f>
        <v>47.200,00</v>
      </c>
      <c r="L985" s="6" t="str">
        <f>"11.800,00"</f>
        <v>11.800,00</v>
      </c>
      <c r="M985" s="6" t="str">
        <f>"59.000,00"</f>
        <v>59.000,00</v>
      </c>
      <c r="N985" s="8" t="s">
        <v>567</v>
      </c>
      <c r="O985" s="7"/>
      <c r="P985" s="2" t="s">
        <v>6281</v>
      </c>
      <c r="Q985" s="1" t="s">
        <v>1180</v>
      </c>
      <c r="R985" s="1"/>
      <c r="S985" s="1" t="str">
        <f>"2-21/NOS-47-5/20"</f>
        <v>2-21/NOS-47-5/20</v>
      </c>
      <c r="T985" s="1" t="s">
        <v>32</v>
      </c>
    </row>
    <row r="986" spans="1:20" ht="114.75" x14ac:dyDescent="0.25">
      <c r="A986" s="6">
        <v>983</v>
      </c>
      <c r="B986" s="1" t="str">
        <f t="shared" ref="B986:B1002" si="87">"2020-2655"</f>
        <v>2020-2655</v>
      </c>
      <c r="C986" s="1" t="s">
        <v>1183</v>
      </c>
      <c r="D986" s="1" t="s">
        <v>1184</v>
      </c>
      <c r="E986" s="1" t="str">
        <f>"2020/S 0F2-0029688"</f>
        <v>2020/S 0F2-0029688</v>
      </c>
      <c r="F986" s="1" t="s">
        <v>22</v>
      </c>
      <c r="G986" s="1"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986" s="7"/>
      <c r="I986" s="8" t="s">
        <v>1185</v>
      </c>
      <c r="J986" s="8" t="s">
        <v>1186</v>
      </c>
      <c r="K986" s="6" t="str">
        <f>"1.300.000,00"</f>
        <v>1.300.000,00</v>
      </c>
      <c r="L986" s="6" t="str">
        <f>"325.000,00"</f>
        <v>325.000,00</v>
      </c>
      <c r="M986" s="6" t="str">
        <f>"1.625.000,00"</f>
        <v>1.625.000,00</v>
      </c>
      <c r="N986" s="8" t="s">
        <v>124</v>
      </c>
      <c r="O986" s="7"/>
      <c r="P986" s="2" t="s">
        <v>5614</v>
      </c>
      <c r="Q986" s="7"/>
      <c r="R986" s="1"/>
      <c r="S986" s="1" t="str">
        <f>"NOS-51-1/20"</f>
        <v>NOS-51-1/20</v>
      </c>
      <c r="T986" s="1" t="s">
        <v>32</v>
      </c>
    </row>
    <row r="987" spans="1:20" ht="114.75" x14ac:dyDescent="0.25">
      <c r="A987" s="6">
        <v>984</v>
      </c>
      <c r="B987" s="1" t="str">
        <f t="shared" si="87"/>
        <v>2020-2655</v>
      </c>
      <c r="C987" s="1" t="s">
        <v>1183</v>
      </c>
      <c r="D987" s="1" t="s">
        <v>1184</v>
      </c>
      <c r="E987" s="1" t="str">
        <f>""</f>
        <v/>
      </c>
      <c r="F987" s="1" t="s">
        <v>28</v>
      </c>
      <c r="G987" s="1" t="str">
        <f t="shared" ref="G987:G1002" si="88">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987" s="7"/>
      <c r="I987" s="8" t="s">
        <v>744</v>
      </c>
      <c r="J987" s="8" t="s">
        <v>555</v>
      </c>
      <c r="K987" s="6" t="str">
        <f>"13.750,00"</f>
        <v>13.750,00</v>
      </c>
      <c r="L987" s="6" t="str">
        <f>"3.437,50"</f>
        <v>3.437,50</v>
      </c>
      <c r="M987" s="6" t="str">
        <f>"17.187,50"</f>
        <v>17.187,50</v>
      </c>
      <c r="N987" s="8" t="s">
        <v>94</v>
      </c>
      <c r="O987" s="7"/>
      <c r="P987" s="2" t="s">
        <v>6282</v>
      </c>
      <c r="Q987" s="7"/>
      <c r="R987" s="1"/>
      <c r="S987" s="1" t="str">
        <f>"1-22/NOS-51-1/20"</f>
        <v>1-22/NOS-51-1/20</v>
      </c>
      <c r="T987" s="1" t="s">
        <v>32</v>
      </c>
    </row>
    <row r="988" spans="1:20" ht="114.75" x14ac:dyDescent="0.25">
      <c r="A988" s="6">
        <v>985</v>
      </c>
      <c r="B988" s="1" t="str">
        <f t="shared" si="87"/>
        <v>2020-2655</v>
      </c>
      <c r="C988" s="1" t="s">
        <v>1183</v>
      </c>
      <c r="D988" s="1" t="s">
        <v>1184</v>
      </c>
      <c r="E988" s="1" t="str">
        <f>""</f>
        <v/>
      </c>
      <c r="F988" s="1" t="s">
        <v>28</v>
      </c>
      <c r="G988" s="1" t="str">
        <f t="shared" si="88"/>
        <v>Zajednica ponuditelja:
VAGE D.O.O., KOLEDOVČINA 2A, 10000 ZAGREB, OIB: 30335873024
MIKROTEHNA D.O.O., DRAŠKOVIĆEVA 58, 10000 ZAGREB, OIB: 7507499527</v>
      </c>
      <c r="H988" s="7"/>
      <c r="I988" s="8" t="s">
        <v>258</v>
      </c>
      <c r="J988" s="8" t="s">
        <v>1187</v>
      </c>
      <c r="K988" s="6" t="str">
        <f>"168.800,00"</f>
        <v>168.800,00</v>
      </c>
      <c r="L988" s="6" t="str">
        <f>"37.600,00"</f>
        <v>37.600,00</v>
      </c>
      <c r="M988" s="6" t="str">
        <f>"206.400,00"</f>
        <v>206.400,00</v>
      </c>
      <c r="N988" s="8" t="s">
        <v>170</v>
      </c>
      <c r="O988" s="7"/>
      <c r="P988" s="2" t="s">
        <v>6283</v>
      </c>
      <c r="Q988" s="7"/>
      <c r="R988" s="1"/>
      <c r="S988" s="1" t="str">
        <f>"2-22/NOS-51-1/20"</f>
        <v>2-22/NOS-51-1/20</v>
      </c>
      <c r="T988" s="1" t="s">
        <v>32</v>
      </c>
    </row>
    <row r="989" spans="1:20" ht="114.75" x14ac:dyDescent="0.25">
      <c r="A989" s="6">
        <v>986</v>
      </c>
      <c r="B989" s="1" t="str">
        <f t="shared" si="87"/>
        <v>2020-2655</v>
      </c>
      <c r="C989" s="1" t="s">
        <v>1183</v>
      </c>
      <c r="D989" s="1" t="s">
        <v>1184</v>
      </c>
      <c r="E989" s="1" t="str">
        <f>""</f>
        <v/>
      </c>
      <c r="F989" s="1" t="s">
        <v>28</v>
      </c>
      <c r="G989" s="1" t="str">
        <f t="shared" si="88"/>
        <v>Zajednica ponuditelja:
VAGE D.O.O., KOLEDOVČINA 2A, 10000 ZAGREB, OIB: 30335873024
MIKROTEHNA D.O.O., DRAŠKOVIĆEVA 58, 10000 ZAGREB, OIB: 7507499527</v>
      </c>
      <c r="H989" s="7"/>
      <c r="I989" s="8" t="s">
        <v>127</v>
      </c>
      <c r="J989" s="8" t="s">
        <v>231</v>
      </c>
      <c r="K989" s="6" t="str">
        <f>"8.060,00"</f>
        <v>8.060,00</v>
      </c>
      <c r="L989" s="6" t="str">
        <f>"0,00"</f>
        <v>0,00</v>
      </c>
      <c r="M989" s="6" t="str">
        <f>"8.060,00"</f>
        <v>8.060,00</v>
      </c>
      <c r="N989" s="8" t="s">
        <v>124</v>
      </c>
      <c r="O989" s="7"/>
      <c r="P989" s="2" t="s">
        <v>5614</v>
      </c>
      <c r="Q989" s="7"/>
      <c r="R989" s="1"/>
      <c r="S989" s="1" t="str">
        <f>"3-22/NOS-51-1/20"</f>
        <v>3-22/NOS-51-1/20</v>
      </c>
      <c r="T989" s="1" t="s">
        <v>32</v>
      </c>
    </row>
    <row r="990" spans="1:20" ht="114.75" x14ac:dyDescent="0.25">
      <c r="A990" s="6">
        <v>987</v>
      </c>
      <c r="B990" s="1" t="str">
        <f t="shared" si="87"/>
        <v>2020-2655</v>
      </c>
      <c r="C990" s="1" t="s">
        <v>1183</v>
      </c>
      <c r="D990" s="1" t="s">
        <v>1184</v>
      </c>
      <c r="E990" s="1" t="str">
        <f>""</f>
        <v/>
      </c>
      <c r="F990" s="1" t="s">
        <v>28</v>
      </c>
      <c r="G990" s="1" t="str">
        <f t="shared" si="88"/>
        <v>Zajednica ponuditelja:
VAGE D.O.O., KOLEDOVČINA 2A, 10000 ZAGREB, OIB: 30335873024
MIKROTEHNA D.O.O., DRAŠKOVIĆEVA 58, 10000 ZAGREB, OIB: 7507499527</v>
      </c>
      <c r="H990" s="7"/>
      <c r="I990" s="8" t="s">
        <v>405</v>
      </c>
      <c r="J990" s="8" t="s">
        <v>292</v>
      </c>
      <c r="K990" s="6" t="str">
        <f>"6.400,00"</f>
        <v>6.400,00</v>
      </c>
      <c r="L990" s="6" t="str">
        <f>"0,00"</f>
        <v>0,00</v>
      </c>
      <c r="M990" s="6" t="str">
        <f>"6.400,00"</f>
        <v>6.400,00</v>
      </c>
      <c r="N990" s="8" t="s">
        <v>124</v>
      </c>
      <c r="O990" s="7"/>
      <c r="P990" s="2" t="s">
        <v>5614</v>
      </c>
      <c r="Q990" s="7"/>
      <c r="R990" s="1"/>
      <c r="S990" s="1" t="str">
        <f>"5-22/NOS-51-1/20"</f>
        <v>5-22/NOS-51-1/20</v>
      </c>
      <c r="T990" s="1" t="s">
        <v>32</v>
      </c>
    </row>
    <row r="991" spans="1:20" ht="114.75" x14ac:dyDescent="0.25">
      <c r="A991" s="6">
        <v>988</v>
      </c>
      <c r="B991" s="1" t="str">
        <f t="shared" si="87"/>
        <v>2020-2655</v>
      </c>
      <c r="C991" s="1" t="s">
        <v>1183</v>
      </c>
      <c r="D991" s="1" t="s">
        <v>1184</v>
      </c>
      <c r="E991" s="1" t="str">
        <f>""</f>
        <v/>
      </c>
      <c r="F991" s="1" t="s">
        <v>28</v>
      </c>
      <c r="G991" s="1" t="str">
        <f t="shared" si="88"/>
        <v>Zajednica ponuditelja:
VAGE D.O.O., KOLEDOVČINA 2A, 10000 ZAGREB, OIB: 30335873024
MIKROTEHNA D.O.O., DRAŠKOVIĆEVA 58, 10000 ZAGREB, OIB: 7507499527</v>
      </c>
      <c r="H991" s="7"/>
      <c r="I991" s="8" t="s">
        <v>405</v>
      </c>
      <c r="J991" s="8" t="s">
        <v>1188</v>
      </c>
      <c r="K991" s="6" t="str">
        <f>"27.110,00"</f>
        <v>27.110,00</v>
      </c>
      <c r="L991" s="6" t="str">
        <f>"995,00"</f>
        <v>995,00</v>
      </c>
      <c r="M991" s="6" t="str">
        <f>"28.105,00"</f>
        <v>28.105,00</v>
      </c>
      <c r="N991" s="8" t="s">
        <v>146</v>
      </c>
      <c r="O991" s="7"/>
      <c r="P991" s="2" t="s">
        <v>6097</v>
      </c>
      <c r="Q991" s="7"/>
      <c r="R991" s="1"/>
      <c r="S991" s="1" t="str">
        <f>"4-22/NOS-51-1/20"</f>
        <v>4-22/NOS-51-1/20</v>
      </c>
      <c r="T991" s="1" t="s">
        <v>32</v>
      </c>
    </row>
    <row r="992" spans="1:20" ht="114.75" x14ac:dyDescent="0.25">
      <c r="A992" s="6">
        <v>989</v>
      </c>
      <c r="B992" s="1" t="str">
        <f t="shared" si="87"/>
        <v>2020-2655</v>
      </c>
      <c r="C992" s="1" t="s">
        <v>1183</v>
      </c>
      <c r="D992" s="1" t="s">
        <v>1184</v>
      </c>
      <c r="E992" s="1" t="str">
        <f>""</f>
        <v/>
      </c>
      <c r="F992" s="1" t="s">
        <v>28</v>
      </c>
      <c r="G992" s="1" t="str">
        <f t="shared" si="88"/>
        <v>Zajednica ponuditelja:
VAGE D.O.O., KOLEDOVČINA 2A, 10000 ZAGREB, OIB: 30335873024
MIKROTEHNA D.O.O., DRAŠKOVIĆEVA 58, 10000 ZAGREB, OIB: 7507499527</v>
      </c>
      <c r="H992" s="7"/>
      <c r="I992" s="8" t="s">
        <v>224</v>
      </c>
      <c r="J992" s="8" t="s">
        <v>231</v>
      </c>
      <c r="K992" s="6" t="str">
        <f>"18.360,00"</f>
        <v>18.360,00</v>
      </c>
      <c r="L992" s="6" t="str">
        <f>"0,00"</f>
        <v>0,00</v>
      </c>
      <c r="M992" s="6" t="str">
        <f>"18.360,00"</f>
        <v>18.360,00</v>
      </c>
      <c r="N992" s="8" t="s">
        <v>124</v>
      </c>
      <c r="O992" s="7"/>
      <c r="P992" s="2" t="s">
        <v>5614</v>
      </c>
      <c r="Q992" s="7"/>
      <c r="R992" s="1"/>
      <c r="S992" s="1" t="str">
        <f>"6-22/NOS-51-1/20"</f>
        <v>6-22/NOS-51-1/20</v>
      </c>
      <c r="T992" s="1" t="s">
        <v>32</v>
      </c>
    </row>
    <row r="993" spans="1:20" ht="114.75" x14ac:dyDescent="0.25">
      <c r="A993" s="6">
        <v>990</v>
      </c>
      <c r="B993" s="1" t="str">
        <f t="shared" si="87"/>
        <v>2020-2655</v>
      </c>
      <c r="C993" s="1" t="s">
        <v>1183</v>
      </c>
      <c r="D993" s="1" t="s">
        <v>1184</v>
      </c>
      <c r="E993" s="1" t="str">
        <f>""</f>
        <v/>
      </c>
      <c r="F993" s="1" t="s">
        <v>28</v>
      </c>
      <c r="G993" s="1" t="str">
        <f t="shared" si="88"/>
        <v>Zajednica ponuditelja:
VAGE D.O.O., KOLEDOVČINA 2A, 10000 ZAGREB, OIB: 30335873024
MIKROTEHNA D.O.O., DRAŠKOVIĆEVA 58, 10000 ZAGREB, OIB: 7507499527</v>
      </c>
      <c r="H993" s="7"/>
      <c r="I993" s="8" t="s">
        <v>203</v>
      </c>
      <c r="J993" s="8" t="s">
        <v>555</v>
      </c>
      <c r="K993" s="6" t="str">
        <f>"18.550,00"</f>
        <v>18.550,00</v>
      </c>
      <c r="L993" s="6" t="str">
        <f>"0,00"</f>
        <v>0,00</v>
      </c>
      <c r="M993" s="6" t="str">
        <f>"18.550,00"</f>
        <v>18.550,00</v>
      </c>
      <c r="N993" s="8" t="s">
        <v>124</v>
      </c>
      <c r="O993" s="7"/>
      <c r="P993" s="2" t="s">
        <v>5614</v>
      </c>
      <c r="Q993" s="7"/>
      <c r="R993" s="1"/>
      <c r="S993" s="1" t="str">
        <f>"7-22/NOS-51-1/20"</f>
        <v>7-22/NOS-51-1/20</v>
      </c>
      <c r="T993" s="1" t="s">
        <v>32</v>
      </c>
    </row>
    <row r="994" spans="1:20" ht="114.75" x14ac:dyDescent="0.25">
      <c r="A994" s="6">
        <v>991</v>
      </c>
      <c r="B994" s="1" t="str">
        <f t="shared" si="87"/>
        <v>2020-2655</v>
      </c>
      <c r="C994" s="1" t="s">
        <v>1183</v>
      </c>
      <c r="D994" s="1" t="s">
        <v>1184</v>
      </c>
      <c r="E994" s="1" t="str">
        <f>""</f>
        <v/>
      </c>
      <c r="F994" s="1" t="s">
        <v>28</v>
      </c>
      <c r="G994" s="1" t="str">
        <f t="shared" si="88"/>
        <v>Zajednica ponuditelja:
VAGE D.O.O., KOLEDOVČINA 2A, 10000 ZAGREB, OIB: 30335873024
MIKROTEHNA D.O.O., DRAŠKOVIĆEVA 58, 10000 ZAGREB, OIB: 7507499527</v>
      </c>
      <c r="H994" s="7"/>
      <c r="I994" s="8" t="s">
        <v>208</v>
      </c>
      <c r="J994" s="8" t="s">
        <v>1188</v>
      </c>
      <c r="K994" s="6" t="str">
        <f>"28.950,00"</f>
        <v>28.950,00</v>
      </c>
      <c r="L994" s="6" t="str">
        <f>"0,00"</f>
        <v>0,00</v>
      </c>
      <c r="M994" s="6" t="str">
        <f>"28.950,00"</f>
        <v>28.950,00</v>
      </c>
      <c r="N994" s="8" t="s">
        <v>124</v>
      </c>
      <c r="O994" s="7"/>
      <c r="P994" s="2" t="s">
        <v>5614</v>
      </c>
      <c r="Q994" s="7"/>
      <c r="R994" s="1"/>
      <c r="S994" s="1" t="str">
        <f>"8-22/NOS-51-1/20"</f>
        <v>8-22/NOS-51-1/20</v>
      </c>
      <c r="T994" s="1" t="s">
        <v>32</v>
      </c>
    </row>
    <row r="995" spans="1:20" ht="114.75" x14ac:dyDescent="0.25">
      <c r="A995" s="6">
        <v>992</v>
      </c>
      <c r="B995" s="1" t="str">
        <f t="shared" si="87"/>
        <v>2020-2655</v>
      </c>
      <c r="C995" s="1" t="s">
        <v>1183</v>
      </c>
      <c r="D995" s="1" t="s">
        <v>1184</v>
      </c>
      <c r="E995" s="1" t="str">
        <f>""</f>
        <v/>
      </c>
      <c r="F995" s="1" t="s">
        <v>28</v>
      </c>
      <c r="G995" s="1" t="str">
        <f t="shared" si="88"/>
        <v>Zajednica ponuditelja:
VAGE D.O.O., KOLEDOVČINA 2A, 10000 ZAGREB, OIB: 30335873024
MIKROTEHNA D.O.O., DRAŠKOVIĆEVA 58, 10000 ZAGREB, OIB: 7507499527</v>
      </c>
      <c r="H995" s="7"/>
      <c r="I995" s="8" t="s">
        <v>970</v>
      </c>
      <c r="J995" s="8" t="s">
        <v>231</v>
      </c>
      <c r="K995" s="6" t="str">
        <f>"30.800,00"</f>
        <v>30.800,00</v>
      </c>
      <c r="L995" s="6" t="str">
        <f>"7.700,00"</f>
        <v>7.700,00</v>
      </c>
      <c r="M995" s="6" t="str">
        <f>"38.500,00"</f>
        <v>38.500,00</v>
      </c>
      <c r="N995" s="8" t="s">
        <v>384</v>
      </c>
      <c r="O995" s="7"/>
      <c r="P995" s="2" t="s">
        <v>6284</v>
      </c>
      <c r="Q995" s="7"/>
      <c r="R995" s="1"/>
      <c r="S995" s="1" t="str">
        <f>"10-22/NOS-51-1/20"</f>
        <v>10-22/NOS-51-1/20</v>
      </c>
      <c r="T995" s="1" t="s">
        <v>32</v>
      </c>
    </row>
    <row r="996" spans="1:20" ht="114.75" x14ac:dyDescent="0.25">
      <c r="A996" s="6">
        <v>993</v>
      </c>
      <c r="B996" s="1" t="str">
        <f t="shared" si="87"/>
        <v>2020-2655</v>
      </c>
      <c r="C996" s="1" t="s">
        <v>1183</v>
      </c>
      <c r="D996" s="1" t="s">
        <v>1184</v>
      </c>
      <c r="E996" s="1" t="str">
        <f>""</f>
        <v/>
      </c>
      <c r="F996" s="1" t="s">
        <v>28</v>
      </c>
      <c r="G996" s="1" t="str">
        <f t="shared" si="88"/>
        <v>Zajednica ponuditelja:
VAGE D.O.O., KOLEDOVČINA 2A, 10000 ZAGREB, OIB: 30335873024
MIKROTEHNA D.O.O., DRAŠKOVIĆEVA 58, 10000 ZAGREB, OIB: 7507499527</v>
      </c>
      <c r="H996" s="7"/>
      <c r="I996" s="8" t="s">
        <v>310</v>
      </c>
      <c r="J996" s="8" t="s">
        <v>393</v>
      </c>
      <c r="K996" s="6" t="str">
        <f>"12.600,00"</f>
        <v>12.600,00</v>
      </c>
      <c r="L996" s="6" t="str">
        <f t="shared" ref="L996:L1002" si="89">"0,00"</f>
        <v>0,00</v>
      </c>
      <c r="M996" s="6" t="str">
        <f>"12.600,00"</f>
        <v>12.600,00</v>
      </c>
      <c r="N996" s="8" t="s">
        <v>124</v>
      </c>
      <c r="O996" s="7"/>
      <c r="P996" s="2" t="s">
        <v>5614</v>
      </c>
      <c r="Q996" s="7"/>
      <c r="R996" s="1"/>
      <c r="S996" s="1" t="str">
        <f>"12-22/NOS-51-1/20"</f>
        <v>12-22/NOS-51-1/20</v>
      </c>
      <c r="T996" s="1" t="s">
        <v>32</v>
      </c>
    </row>
    <row r="997" spans="1:20" ht="114.75" x14ac:dyDescent="0.25">
      <c r="A997" s="6">
        <v>994</v>
      </c>
      <c r="B997" s="1" t="str">
        <f t="shared" si="87"/>
        <v>2020-2655</v>
      </c>
      <c r="C997" s="1" t="s">
        <v>1183</v>
      </c>
      <c r="D997" s="1" t="s">
        <v>1184</v>
      </c>
      <c r="E997" s="1" t="str">
        <f>""</f>
        <v/>
      </c>
      <c r="F997" s="1" t="s">
        <v>28</v>
      </c>
      <c r="G997" s="1" t="str">
        <f t="shared" si="88"/>
        <v>Zajednica ponuditelja:
VAGE D.O.O., KOLEDOVČINA 2A, 10000 ZAGREB, OIB: 30335873024
MIKROTEHNA D.O.O., DRAŠKOVIĆEVA 58, 10000 ZAGREB, OIB: 7507499527</v>
      </c>
      <c r="H997" s="7"/>
      <c r="I997" s="8" t="s">
        <v>415</v>
      </c>
      <c r="J997" s="8" t="s">
        <v>1188</v>
      </c>
      <c r="K997" s="6" t="str">
        <f>"43.040,00"</f>
        <v>43.040,00</v>
      </c>
      <c r="L997" s="6" t="str">
        <f t="shared" si="89"/>
        <v>0,00</v>
      </c>
      <c r="M997" s="6" t="str">
        <f>"43.040,00"</f>
        <v>43.040,00</v>
      </c>
      <c r="N997" s="8" t="s">
        <v>124</v>
      </c>
      <c r="O997" s="7"/>
      <c r="P997" s="2" t="s">
        <v>5614</v>
      </c>
      <c r="Q997" s="7"/>
      <c r="R997" s="1"/>
      <c r="S997" s="1" t="str">
        <f>"9-22/NOS-51-1/20"</f>
        <v>9-22/NOS-51-1/20</v>
      </c>
      <c r="T997" s="1" t="s">
        <v>32</v>
      </c>
    </row>
    <row r="998" spans="1:20" ht="114.75" x14ac:dyDescent="0.25">
      <c r="A998" s="6">
        <v>995</v>
      </c>
      <c r="B998" s="1" t="str">
        <f t="shared" si="87"/>
        <v>2020-2655</v>
      </c>
      <c r="C998" s="1" t="s">
        <v>1183</v>
      </c>
      <c r="D998" s="1" t="s">
        <v>1184</v>
      </c>
      <c r="E998" s="1" t="str">
        <f>""</f>
        <v/>
      </c>
      <c r="F998" s="1" t="s">
        <v>28</v>
      </c>
      <c r="G998" s="1" t="str">
        <f t="shared" si="88"/>
        <v>Zajednica ponuditelja:
VAGE D.O.O., KOLEDOVČINA 2A, 10000 ZAGREB, OIB: 30335873024
MIKROTEHNA D.O.O., DRAŠKOVIĆEVA 58, 10000 ZAGREB, OIB: 7507499527</v>
      </c>
      <c r="H998" s="7"/>
      <c r="I998" s="8" t="s">
        <v>964</v>
      </c>
      <c r="J998" s="8" t="s">
        <v>375</v>
      </c>
      <c r="K998" s="6" t="str">
        <f>"49.425,00"</f>
        <v>49.425,00</v>
      </c>
      <c r="L998" s="6" t="str">
        <f t="shared" si="89"/>
        <v>0,00</v>
      </c>
      <c r="M998" s="6" t="str">
        <f>"49.425,00"</f>
        <v>49.425,00</v>
      </c>
      <c r="N998" s="8" t="s">
        <v>124</v>
      </c>
      <c r="O998" s="7"/>
      <c r="P998" s="2" t="s">
        <v>5614</v>
      </c>
      <c r="Q998" s="7"/>
      <c r="R998" s="1"/>
      <c r="S998" s="1" t="str">
        <f>"11-22/NOS-51-1/20"</f>
        <v>11-22/NOS-51-1/20</v>
      </c>
      <c r="T998" s="1" t="s">
        <v>32</v>
      </c>
    </row>
    <row r="999" spans="1:20" ht="114.75" x14ac:dyDescent="0.25">
      <c r="A999" s="6">
        <v>996</v>
      </c>
      <c r="B999" s="1" t="str">
        <f t="shared" si="87"/>
        <v>2020-2655</v>
      </c>
      <c r="C999" s="1" t="s">
        <v>1183</v>
      </c>
      <c r="D999" s="1" t="s">
        <v>1184</v>
      </c>
      <c r="E999" s="1" t="str">
        <f>""</f>
        <v/>
      </c>
      <c r="F999" s="1" t="s">
        <v>28</v>
      </c>
      <c r="G999" s="1" t="str">
        <f t="shared" si="88"/>
        <v>Zajednica ponuditelja:
VAGE D.O.O., KOLEDOVČINA 2A, 10000 ZAGREB, OIB: 30335873024
MIKROTEHNA D.O.O., DRAŠKOVIĆEVA 58, 10000 ZAGREB, OIB: 7507499527</v>
      </c>
      <c r="H999" s="7"/>
      <c r="I999" s="8" t="s">
        <v>964</v>
      </c>
      <c r="J999" s="8" t="s">
        <v>1188</v>
      </c>
      <c r="K999" s="6" t="str">
        <f>"30.550,00"</f>
        <v>30.550,00</v>
      </c>
      <c r="L999" s="6" t="str">
        <f t="shared" si="89"/>
        <v>0,00</v>
      </c>
      <c r="M999" s="6" t="str">
        <f>"30.550,00"</f>
        <v>30.550,00</v>
      </c>
      <c r="N999" s="8" t="s">
        <v>124</v>
      </c>
      <c r="O999" s="7"/>
      <c r="P999" s="2" t="s">
        <v>5614</v>
      </c>
      <c r="Q999" s="7"/>
      <c r="R999" s="1"/>
      <c r="S999" s="1" t="str">
        <f>"13-22/NOS-51-1/20"</f>
        <v>13-22/NOS-51-1/20</v>
      </c>
      <c r="T999" s="1" t="s">
        <v>32</v>
      </c>
    </row>
    <row r="1000" spans="1:20" ht="114.75" x14ac:dyDescent="0.25">
      <c r="A1000" s="6">
        <v>997</v>
      </c>
      <c r="B1000" s="1" t="str">
        <f t="shared" si="87"/>
        <v>2020-2655</v>
      </c>
      <c r="C1000" s="1" t="s">
        <v>1183</v>
      </c>
      <c r="D1000" s="1" t="s">
        <v>1184</v>
      </c>
      <c r="E1000" s="1" t="str">
        <f>""</f>
        <v/>
      </c>
      <c r="F1000" s="1" t="s">
        <v>28</v>
      </c>
      <c r="G1000" s="1" t="str">
        <f t="shared" si="88"/>
        <v>Zajednica ponuditelja:
VAGE D.O.O., KOLEDOVČINA 2A, 10000 ZAGREB, OIB: 30335873024
MIKROTEHNA D.O.O., DRAŠKOVIĆEVA 58, 10000 ZAGREB, OIB: 7507499527</v>
      </c>
      <c r="H1000" s="7"/>
      <c r="I1000" s="8" t="s">
        <v>1147</v>
      </c>
      <c r="J1000" s="8" t="s">
        <v>1188</v>
      </c>
      <c r="K1000" s="6" t="str">
        <f>"4.400,00"</f>
        <v>4.400,00</v>
      </c>
      <c r="L1000" s="6" t="str">
        <f t="shared" si="89"/>
        <v>0,00</v>
      </c>
      <c r="M1000" s="6" t="str">
        <f>"4.400,00"</f>
        <v>4.400,00</v>
      </c>
      <c r="N1000" s="8" t="s">
        <v>124</v>
      </c>
      <c r="O1000" s="7"/>
      <c r="P1000" s="2" t="s">
        <v>5614</v>
      </c>
      <c r="Q1000" s="7"/>
      <c r="R1000" s="1"/>
      <c r="S1000" s="1" t="str">
        <f>"14-22/NOS-51-1/20"</f>
        <v>14-22/NOS-51-1/20</v>
      </c>
      <c r="T1000" s="1" t="s">
        <v>32</v>
      </c>
    </row>
    <row r="1001" spans="1:20" ht="114.75" x14ac:dyDescent="0.25">
      <c r="A1001" s="6">
        <v>998</v>
      </c>
      <c r="B1001" s="1" t="str">
        <f t="shared" si="87"/>
        <v>2020-2655</v>
      </c>
      <c r="C1001" s="1" t="s">
        <v>1183</v>
      </c>
      <c r="D1001" s="1" t="s">
        <v>1184</v>
      </c>
      <c r="E1001" s="1" t="str">
        <f>""</f>
        <v/>
      </c>
      <c r="F1001" s="1" t="s">
        <v>28</v>
      </c>
      <c r="G1001" s="1" t="str">
        <f t="shared" si="88"/>
        <v>Zajednica ponuditelja:
VAGE D.O.O., KOLEDOVČINA 2A, 10000 ZAGREB, OIB: 30335873024
MIKROTEHNA D.O.O., DRAŠKOVIĆEVA 58, 10000 ZAGREB, OIB: 7507499527</v>
      </c>
      <c r="H1001" s="7"/>
      <c r="I1001" s="8" t="s">
        <v>553</v>
      </c>
      <c r="J1001" s="8" t="s">
        <v>1188</v>
      </c>
      <c r="K1001" s="6" t="str">
        <f>"11.250,00"</f>
        <v>11.250,00</v>
      </c>
      <c r="L1001" s="6" t="str">
        <f t="shared" si="89"/>
        <v>0,00</v>
      </c>
      <c r="M1001" s="6" t="str">
        <f>"11.250,00"</f>
        <v>11.250,00</v>
      </c>
      <c r="N1001" s="8" t="s">
        <v>124</v>
      </c>
      <c r="O1001" s="7"/>
      <c r="P1001" s="2" t="s">
        <v>5614</v>
      </c>
      <c r="Q1001" s="7"/>
      <c r="R1001" s="1"/>
      <c r="S1001" s="1" t="str">
        <f>"15-22/NOS-51-1/20"</f>
        <v>15-22/NOS-51-1/20</v>
      </c>
      <c r="T1001" s="1" t="s">
        <v>32</v>
      </c>
    </row>
    <row r="1002" spans="1:20" ht="114.75" x14ac:dyDescent="0.25">
      <c r="A1002" s="6">
        <v>999</v>
      </c>
      <c r="B1002" s="1" t="str">
        <f t="shared" si="87"/>
        <v>2020-2655</v>
      </c>
      <c r="C1002" s="1" t="s">
        <v>1183</v>
      </c>
      <c r="D1002" s="1" t="s">
        <v>1184</v>
      </c>
      <c r="E1002" s="1" t="str">
        <f>""</f>
        <v/>
      </c>
      <c r="F1002" s="1" t="s">
        <v>28</v>
      </c>
      <c r="G1002" s="1" t="str">
        <f t="shared" si="88"/>
        <v>Zajednica ponuditelja:
VAGE D.O.O., KOLEDOVČINA 2A, 10000 ZAGREB, OIB: 30335873024
MIKROTEHNA D.O.O., DRAŠKOVIĆEVA 58, 10000 ZAGREB, OIB: 7507499527</v>
      </c>
      <c r="H1002" s="7"/>
      <c r="I1002" s="8" t="s">
        <v>146</v>
      </c>
      <c r="J1002" s="8" t="s">
        <v>1188</v>
      </c>
      <c r="K1002" s="6" t="str">
        <f>"13.200,00"</f>
        <v>13.200,00</v>
      </c>
      <c r="L1002" s="6" t="str">
        <f t="shared" si="89"/>
        <v>0,00</v>
      </c>
      <c r="M1002" s="6" t="str">
        <f>"13.200,00"</f>
        <v>13.200,00</v>
      </c>
      <c r="N1002" s="8" t="s">
        <v>124</v>
      </c>
      <c r="O1002" s="7"/>
      <c r="P1002" s="2" t="s">
        <v>5614</v>
      </c>
      <c r="Q1002" s="7"/>
      <c r="R1002" s="1"/>
      <c r="S1002" s="1" t="str">
        <f>"16-22/NOS-51-1/20"</f>
        <v>16-22/NOS-51-1/20</v>
      </c>
      <c r="T1002" s="1" t="s">
        <v>32</v>
      </c>
    </row>
    <row r="1003" spans="1:20" ht="63.75" x14ac:dyDescent="0.25">
      <c r="A1003" s="6">
        <v>1000</v>
      </c>
      <c r="B1003" s="1" t="str">
        <f t="shared" ref="B1003:B1031" si="90">"2020-2877"</f>
        <v>2020-2877</v>
      </c>
      <c r="C1003" s="1" t="s">
        <v>1189</v>
      </c>
      <c r="D1003" s="1" t="s">
        <v>21</v>
      </c>
      <c r="E1003" s="1" t="str">
        <f>"2020/S 0F2-0033474"</f>
        <v>2020/S 0F2-0033474</v>
      </c>
      <c r="F1003" s="1" t="s">
        <v>22</v>
      </c>
      <c r="G1003" s="1" t="str">
        <f t="shared" ref="G1003:G1031" si="91">CONCATENATE("HIDRAULIKA KURELJA D.O.O.,"," MATENAČKA CESTA 41,"," 49290 DONJA STUBICA,"," OIB: 3092900595")</f>
        <v>HIDRAULIKA KURELJA D.O.O., MATENAČKA CESTA 41, 49290 DONJA STUBICA, OIB: 3092900595</v>
      </c>
      <c r="H1003" s="7"/>
      <c r="I1003" s="8" t="s">
        <v>1162</v>
      </c>
      <c r="J1003" s="8" t="s">
        <v>1190</v>
      </c>
      <c r="K1003" s="6" t="str">
        <f>"3.000.000,00"</f>
        <v>3.000.000,00</v>
      </c>
      <c r="L1003" s="6" t="str">
        <f>"750.000,00"</f>
        <v>750.000,00</v>
      </c>
      <c r="M1003" s="6" t="str">
        <f>"3.750.000,00"</f>
        <v>3.750.000,00</v>
      </c>
      <c r="N1003" s="8" t="s">
        <v>892</v>
      </c>
      <c r="O1003" s="7"/>
      <c r="P1003" s="2" t="s">
        <v>5614</v>
      </c>
      <c r="Q1003" s="7"/>
      <c r="R1003" s="1"/>
      <c r="S1003" s="1" t="str">
        <f>"NOS-49/20"</f>
        <v>NOS-49/20</v>
      </c>
      <c r="T1003" s="1" t="s">
        <v>32</v>
      </c>
    </row>
    <row r="1004" spans="1:20" ht="63.75" x14ac:dyDescent="0.25">
      <c r="A1004" s="6">
        <v>1001</v>
      </c>
      <c r="B1004" s="1" t="str">
        <f t="shared" si="90"/>
        <v>2020-2877</v>
      </c>
      <c r="C1004" s="1" t="s">
        <v>1189</v>
      </c>
      <c r="D1004" s="1" t="s">
        <v>21</v>
      </c>
      <c r="E1004" s="1" t="str">
        <f>""</f>
        <v/>
      </c>
      <c r="F1004" s="1" t="s">
        <v>28</v>
      </c>
      <c r="G1004" s="1" t="str">
        <f t="shared" si="91"/>
        <v>HIDRAULIKA KURELJA D.O.O., MATENAČKA CESTA 41, 49290 DONJA STUBICA, OIB: 3092900595</v>
      </c>
      <c r="H1004" s="7"/>
      <c r="I1004" s="8" t="s">
        <v>771</v>
      </c>
      <c r="J1004" s="8" t="s">
        <v>41</v>
      </c>
      <c r="K1004" s="6" t="str">
        <f>"150.002,73"</f>
        <v>150.002,73</v>
      </c>
      <c r="L1004" s="6" t="str">
        <f>"37.500,68"</f>
        <v>37.500,68</v>
      </c>
      <c r="M1004" s="6" t="str">
        <f>"187.503,41"</f>
        <v>187.503,41</v>
      </c>
      <c r="N1004" s="8" t="s">
        <v>420</v>
      </c>
      <c r="O1004" s="7"/>
      <c r="P1004" s="2" t="s">
        <v>6285</v>
      </c>
      <c r="Q1004" s="7"/>
      <c r="R1004" s="1"/>
      <c r="S1004" s="1" t="str">
        <f>"52-21/NOS-49/20"</f>
        <v>52-21/NOS-49/20</v>
      </c>
      <c r="T1004" s="1" t="s">
        <v>32</v>
      </c>
    </row>
    <row r="1005" spans="1:20" ht="63.75" x14ac:dyDescent="0.25">
      <c r="A1005" s="6">
        <v>1002</v>
      </c>
      <c r="B1005" s="1" t="str">
        <f t="shared" si="90"/>
        <v>2020-2877</v>
      </c>
      <c r="C1005" s="1" t="s">
        <v>1189</v>
      </c>
      <c r="D1005" s="1" t="s">
        <v>21</v>
      </c>
      <c r="E1005" s="1" t="str">
        <f>""</f>
        <v/>
      </c>
      <c r="F1005" s="1" t="s">
        <v>28</v>
      </c>
      <c r="G1005" s="1" t="str">
        <f t="shared" si="91"/>
        <v>HIDRAULIKA KURELJA D.O.O., MATENAČKA CESTA 41, 49290 DONJA STUBICA, OIB: 3092900595</v>
      </c>
      <c r="H1005" s="7"/>
      <c r="I1005" s="8" t="s">
        <v>213</v>
      </c>
      <c r="J1005" s="8" t="s">
        <v>57</v>
      </c>
      <c r="K1005" s="6" t="str">
        <f>"171.273,43"</f>
        <v>171.273,43</v>
      </c>
      <c r="L1005" s="6" t="str">
        <f>"42.818,36"</f>
        <v>42.818,36</v>
      </c>
      <c r="M1005" s="6" t="str">
        <f>"214.091,79"</f>
        <v>214.091,79</v>
      </c>
      <c r="N1005" s="8" t="s">
        <v>916</v>
      </c>
      <c r="O1005" s="7"/>
      <c r="P1005" s="2" t="s">
        <v>6286</v>
      </c>
      <c r="Q1005" s="1" t="s">
        <v>727</v>
      </c>
      <c r="R1005" s="1"/>
      <c r="S1005" s="1" t="str">
        <f>"57-21/NOS-49/20"</f>
        <v>57-21/NOS-49/20</v>
      </c>
      <c r="T1005" s="1" t="s">
        <v>32</v>
      </c>
    </row>
    <row r="1006" spans="1:20" ht="63.75" x14ac:dyDescent="0.25">
      <c r="A1006" s="6">
        <v>1003</v>
      </c>
      <c r="B1006" s="1" t="str">
        <f t="shared" si="90"/>
        <v>2020-2877</v>
      </c>
      <c r="C1006" s="1" t="s">
        <v>1189</v>
      </c>
      <c r="D1006" s="1" t="s">
        <v>21</v>
      </c>
      <c r="E1006" s="1" t="str">
        <f>""</f>
        <v/>
      </c>
      <c r="F1006" s="1" t="s">
        <v>28</v>
      </c>
      <c r="G1006" s="1" t="str">
        <f t="shared" si="91"/>
        <v>HIDRAULIKA KURELJA D.O.O., MATENAČKA CESTA 41, 49290 DONJA STUBICA, OIB: 3092900595</v>
      </c>
      <c r="H1006" s="7"/>
      <c r="I1006" s="8" t="s">
        <v>920</v>
      </c>
      <c r="J1006" s="8" t="s">
        <v>123</v>
      </c>
      <c r="K1006" s="6" t="str">
        <f>"209.498,72"</f>
        <v>209.498,72</v>
      </c>
      <c r="L1006" s="6" t="str">
        <f>"52.374,68"</f>
        <v>52.374,68</v>
      </c>
      <c r="M1006" s="6" t="str">
        <f>"261.873,40"</f>
        <v>261.873,40</v>
      </c>
      <c r="N1006" s="8" t="s">
        <v>124</v>
      </c>
      <c r="O1006" s="7"/>
      <c r="P1006" s="2" t="s">
        <v>6287</v>
      </c>
      <c r="Q1006" s="7"/>
      <c r="R1006" s="1"/>
      <c r="S1006" s="1" t="str">
        <f>"14-22/NOS-49/20"</f>
        <v>14-22/NOS-49/20</v>
      </c>
      <c r="T1006" s="1" t="s">
        <v>32</v>
      </c>
    </row>
    <row r="1007" spans="1:20" ht="63.75" x14ac:dyDescent="0.25">
      <c r="A1007" s="6">
        <v>1004</v>
      </c>
      <c r="B1007" s="1" t="str">
        <f t="shared" si="90"/>
        <v>2020-2877</v>
      </c>
      <c r="C1007" s="1" t="s">
        <v>1189</v>
      </c>
      <c r="D1007" s="1" t="s">
        <v>21</v>
      </c>
      <c r="E1007" s="1" t="str">
        <f>""</f>
        <v/>
      </c>
      <c r="F1007" s="1" t="s">
        <v>28</v>
      </c>
      <c r="G1007" s="1" t="str">
        <f t="shared" si="91"/>
        <v>HIDRAULIKA KURELJA D.O.O., MATENAČKA CESTA 41, 49290 DONJA STUBICA, OIB: 3092900595</v>
      </c>
      <c r="H1007" s="7"/>
      <c r="I1007" s="8" t="s">
        <v>562</v>
      </c>
      <c r="J1007" s="8" t="s">
        <v>207</v>
      </c>
      <c r="K1007" s="6" t="str">
        <f>"499.997,86"</f>
        <v>499.997,86</v>
      </c>
      <c r="L1007" s="6" t="str">
        <f>"124.999,47"</f>
        <v>124.999,47</v>
      </c>
      <c r="M1007" s="6" t="str">
        <f>"624.997,33"</f>
        <v>624.997,33</v>
      </c>
      <c r="N1007" s="8" t="s">
        <v>553</v>
      </c>
      <c r="O1007" s="7"/>
      <c r="P1007" s="2" t="s">
        <v>6288</v>
      </c>
      <c r="Q1007" s="7"/>
      <c r="R1007" s="1"/>
      <c r="S1007" s="1" t="str">
        <f>"19-22/NOS-49/20"</f>
        <v>19-22/NOS-49/20</v>
      </c>
      <c r="T1007" s="1" t="s">
        <v>32</v>
      </c>
    </row>
    <row r="1008" spans="1:20" ht="63.75" x14ac:dyDescent="0.25">
      <c r="A1008" s="6">
        <v>1005</v>
      </c>
      <c r="B1008" s="1" t="str">
        <f t="shared" si="90"/>
        <v>2020-2877</v>
      </c>
      <c r="C1008" s="1" t="s">
        <v>1189</v>
      </c>
      <c r="D1008" s="1" t="s">
        <v>21</v>
      </c>
      <c r="E1008" s="1" t="str">
        <f>""</f>
        <v/>
      </c>
      <c r="F1008" s="1" t="s">
        <v>28</v>
      </c>
      <c r="G1008" s="1" t="str">
        <f t="shared" si="91"/>
        <v>HIDRAULIKA KURELJA D.O.O., MATENAČKA CESTA 41, 49290 DONJA STUBICA, OIB: 3092900595</v>
      </c>
      <c r="H1008" s="7"/>
      <c r="I1008" s="8" t="s">
        <v>80</v>
      </c>
      <c r="J1008" s="8" t="s">
        <v>519</v>
      </c>
      <c r="K1008" s="6" t="str">
        <f>"90.740,40"</f>
        <v>90.740,40</v>
      </c>
      <c r="L1008" s="6" t="str">
        <f>"22.685,10"</f>
        <v>22.685,10</v>
      </c>
      <c r="M1008" s="6" t="str">
        <f>"113.425,50"</f>
        <v>113.425,50</v>
      </c>
      <c r="N1008" s="8" t="s">
        <v>757</v>
      </c>
      <c r="O1008" s="7"/>
      <c r="P1008" s="2" t="s">
        <v>6289</v>
      </c>
      <c r="Q1008" s="7"/>
      <c r="R1008" s="1"/>
      <c r="S1008" s="1" t="str">
        <f>"60-21/NOS-49/20"</f>
        <v>60-21/NOS-49/20</v>
      </c>
      <c r="T1008" s="1" t="s">
        <v>32</v>
      </c>
    </row>
    <row r="1009" spans="1:20" ht="63.75" x14ac:dyDescent="0.25">
      <c r="A1009" s="6">
        <v>1006</v>
      </c>
      <c r="B1009" s="1" t="str">
        <f t="shared" si="90"/>
        <v>2020-2877</v>
      </c>
      <c r="C1009" s="1" t="s">
        <v>1189</v>
      </c>
      <c r="D1009" s="1" t="s">
        <v>21</v>
      </c>
      <c r="E1009" s="1" t="str">
        <f>""</f>
        <v/>
      </c>
      <c r="F1009" s="1" t="s">
        <v>28</v>
      </c>
      <c r="G1009" s="1" t="str">
        <f t="shared" si="91"/>
        <v>HIDRAULIKA KURELJA D.O.O., MATENAČKA CESTA 41, 49290 DONJA STUBICA, OIB: 3092900595</v>
      </c>
      <c r="H1009" s="7"/>
      <c r="I1009" s="8" t="s">
        <v>103</v>
      </c>
      <c r="J1009" s="8" t="s">
        <v>519</v>
      </c>
      <c r="K1009" s="6" t="str">
        <f>"31.784,08"</f>
        <v>31.784,08</v>
      </c>
      <c r="L1009" s="6" t="str">
        <f>"7.946,03"</f>
        <v>7.946,03</v>
      </c>
      <c r="M1009" s="6" t="str">
        <f>"39.730,11"</f>
        <v>39.730,11</v>
      </c>
      <c r="N1009" s="8" t="s">
        <v>955</v>
      </c>
      <c r="O1009" s="7"/>
      <c r="P1009" s="2" t="s">
        <v>6290</v>
      </c>
      <c r="Q1009" s="7"/>
      <c r="R1009" s="1"/>
      <c r="S1009" s="1" t="str">
        <f>"2-22/NOS-49/20"</f>
        <v>2-22/NOS-49/20</v>
      </c>
      <c r="T1009" s="1" t="s">
        <v>32</v>
      </c>
    </row>
    <row r="1010" spans="1:20" ht="63.75" x14ac:dyDescent="0.25">
      <c r="A1010" s="6">
        <v>1007</v>
      </c>
      <c r="B1010" s="1" t="str">
        <f t="shared" si="90"/>
        <v>2020-2877</v>
      </c>
      <c r="C1010" s="1" t="s">
        <v>1189</v>
      </c>
      <c r="D1010" s="1" t="s">
        <v>21</v>
      </c>
      <c r="E1010" s="1" t="str">
        <f>""</f>
        <v/>
      </c>
      <c r="F1010" s="1" t="s">
        <v>28</v>
      </c>
      <c r="G1010" s="1" t="str">
        <f t="shared" si="91"/>
        <v>HIDRAULIKA KURELJA D.O.O., MATENAČKA CESTA 41, 49290 DONJA STUBICA, OIB: 3092900595</v>
      </c>
      <c r="H1010" s="7"/>
      <c r="I1010" s="8" t="s">
        <v>744</v>
      </c>
      <c r="J1010" s="8" t="s">
        <v>519</v>
      </c>
      <c r="K1010" s="6" t="str">
        <f>"39.962,52"</f>
        <v>39.962,52</v>
      </c>
      <c r="L1010" s="6" t="str">
        <f>"7.691,39"</f>
        <v>7.691,39</v>
      </c>
      <c r="M1010" s="6" t="str">
        <f>"47.653,91"</f>
        <v>47.653,91</v>
      </c>
      <c r="N1010" s="8" t="s">
        <v>831</v>
      </c>
      <c r="O1010" s="7"/>
      <c r="P1010" s="2" t="s">
        <v>6291</v>
      </c>
      <c r="Q1010" s="7"/>
      <c r="R1010" s="1"/>
      <c r="S1010" s="1" t="str">
        <f>"1-22/NOS-49/20"</f>
        <v>1-22/NOS-49/20</v>
      </c>
      <c r="T1010" s="1" t="s">
        <v>32</v>
      </c>
    </row>
    <row r="1011" spans="1:20" ht="63.75" x14ac:dyDescent="0.25">
      <c r="A1011" s="6">
        <v>1008</v>
      </c>
      <c r="B1011" s="1" t="str">
        <f t="shared" si="90"/>
        <v>2020-2877</v>
      </c>
      <c r="C1011" s="1" t="s">
        <v>1189</v>
      </c>
      <c r="D1011" s="1" t="s">
        <v>21</v>
      </c>
      <c r="E1011" s="1" t="str">
        <f>""</f>
        <v/>
      </c>
      <c r="F1011" s="1" t="s">
        <v>28</v>
      </c>
      <c r="G1011" s="1" t="str">
        <f t="shared" si="91"/>
        <v>HIDRAULIKA KURELJA D.O.O., MATENAČKA CESTA 41, 49290 DONJA STUBICA, OIB: 3092900595</v>
      </c>
      <c r="H1011" s="7"/>
      <c r="I1011" s="8" t="s">
        <v>239</v>
      </c>
      <c r="J1011" s="8" t="s">
        <v>519</v>
      </c>
      <c r="K1011" s="6" t="str">
        <f>"5.886,23"</f>
        <v>5.886,23</v>
      </c>
      <c r="L1011" s="6" t="str">
        <f>"1.471,56"</f>
        <v>1.471,56</v>
      </c>
      <c r="M1011" s="6" t="str">
        <f>"7.357,79"</f>
        <v>7.357,79</v>
      </c>
      <c r="N1011" s="8" t="s">
        <v>396</v>
      </c>
      <c r="O1011" s="7"/>
      <c r="P1011" s="2" t="s">
        <v>6292</v>
      </c>
      <c r="Q1011" s="7"/>
      <c r="R1011" s="1"/>
      <c r="S1011" s="1" t="str">
        <f>"10-22/NOS-49/20"</f>
        <v>10-22/NOS-49/20</v>
      </c>
      <c r="T1011" s="1" t="s">
        <v>32</v>
      </c>
    </row>
    <row r="1012" spans="1:20" ht="63.75" x14ac:dyDescent="0.25">
      <c r="A1012" s="6">
        <v>1009</v>
      </c>
      <c r="B1012" s="1" t="str">
        <f t="shared" si="90"/>
        <v>2020-2877</v>
      </c>
      <c r="C1012" s="1" t="s">
        <v>1189</v>
      </c>
      <c r="D1012" s="1" t="s">
        <v>21</v>
      </c>
      <c r="E1012" s="1" t="str">
        <f>""</f>
        <v/>
      </c>
      <c r="F1012" s="1" t="s">
        <v>28</v>
      </c>
      <c r="G1012" s="1" t="str">
        <f t="shared" si="91"/>
        <v>HIDRAULIKA KURELJA D.O.O., MATENAČKA CESTA 41, 49290 DONJA STUBICA, OIB: 3092900595</v>
      </c>
      <c r="H1012" s="7"/>
      <c r="I1012" s="8" t="s">
        <v>748</v>
      </c>
      <c r="J1012" s="8" t="s">
        <v>519</v>
      </c>
      <c r="K1012" s="6" t="str">
        <f>"13.468,65"</f>
        <v>13.468,65</v>
      </c>
      <c r="L1012" s="6" t="str">
        <f>"3.367,16"</f>
        <v>3.367,16</v>
      </c>
      <c r="M1012" s="6" t="str">
        <f>"16.835,81"</f>
        <v>16.835,81</v>
      </c>
      <c r="N1012" s="8" t="s">
        <v>939</v>
      </c>
      <c r="O1012" s="7"/>
      <c r="P1012" s="2" t="s">
        <v>6293</v>
      </c>
      <c r="Q1012" s="7"/>
      <c r="R1012" s="1"/>
      <c r="S1012" s="1" t="str">
        <f>"11-22/NOS-49/20"</f>
        <v>11-22/NOS-49/20</v>
      </c>
      <c r="T1012" s="1" t="s">
        <v>32</v>
      </c>
    </row>
    <row r="1013" spans="1:20" ht="63.75" x14ac:dyDescent="0.25">
      <c r="A1013" s="6">
        <v>1010</v>
      </c>
      <c r="B1013" s="1" t="str">
        <f t="shared" si="90"/>
        <v>2020-2877</v>
      </c>
      <c r="C1013" s="1" t="s">
        <v>1189</v>
      </c>
      <c r="D1013" s="1" t="s">
        <v>21</v>
      </c>
      <c r="E1013" s="1" t="str">
        <f>""</f>
        <v/>
      </c>
      <c r="F1013" s="1" t="s">
        <v>28</v>
      </c>
      <c r="G1013" s="1" t="str">
        <f t="shared" si="91"/>
        <v>HIDRAULIKA KURELJA D.O.O., MATENAČKA CESTA 41, 49290 DONJA STUBICA, OIB: 3092900595</v>
      </c>
      <c r="H1013" s="7"/>
      <c r="I1013" s="8" t="s">
        <v>500</v>
      </c>
      <c r="J1013" s="8" t="s">
        <v>519</v>
      </c>
      <c r="K1013" s="6" t="str">
        <f>"77.233,19"</f>
        <v>77.233,19</v>
      </c>
      <c r="L1013" s="6" t="str">
        <f>"19.308,31"</f>
        <v>19.308,31</v>
      </c>
      <c r="M1013" s="6" t="str">
        <f>"96.541,50"</f>
        <v>96.541,50</v>
      </c>
      <c r="N1013" s="8" t="s">
        <v>855</v>
      </c>
      <c r="O1013" s="7"/>
      <c r="P1013" s="2" t="s">
        <v>6294</v>
      </c>
      <c r="Q1013" s="7"/>
      <c r="R1013" s="1"/>
      <c r="S1013" s="1" t="str">
        <f>"12-22/NOS-49/20"</f>
        <v>12-22/NOS-49/20</v>
      </c>
      <c r="T1013" s="1" t="s">
        <v>32</v>
      </c>
    </row>
    <row r="1014" spans="1:20" ht="63.75" x14ac:dyDescent="0.25">
      <c r="A1014" s="6">
        <v>1011</v>
      </c>
      <c r="B1014" s="1" t="str">
        <f t="shared" si="90"/>
        <v>2020-2877</v>
      </c>
      <c r="C1014" s="1" t="s">
        <v>1189</v>
      </c>
      <c r="D1014" s="1" t="s">
        <v>21</v>
      </c>
      <c r="E1014" s="1" t="str">
        <f>""</f>
        <v/>
      </c>
      <c r="F1014" s="1" t="s">
        <v>28</v>
      </c>
      <c r="G1014" s="1" t="str">
        <f t="shared" si="91"/>
        <v>HIDRAULIKA KURELJA D.O.O., MATENAČKA CESTA 41, 49290 DONJA STUBICA, OIB: 3092900595</v>
      </c>
      <c r="H1014" s="7"/>
      <c r="I1014" s="8" t="s">
        <v>400</v>
      </c>
      <c r="J1014" s="8" t="s">
        <v>519</v>
      </c>
      <c r="K1014" s="6" t="str">
        <f>"21.720,27"</f>
        <v>21.720,27</v>
      </c>
      <c r="L1014" s="6" t="str">
        <f>"5.430,07"</f>
        <v>5.430,07</v>
      </c>
      <c r="M1014" s="6" t="str">
        <f>"27.150,34"</f>
        <v>27.150,34</v>
      </c>
      <c r="N1014" s="8" t="s">
        <v>923</v>
      </c>
      <c r="O1014" s="7"/>
      <c r="P1014" s="2" t="s">
        <v>6295</v>
      </c>
      <c r="Q1014" s="7"/>
      <c r="R1014" s="1"/>
      <c r="S1014" s="1" t="str">
        <f>"15-22/NOS-49/20"</f>
        <v>15-22/NOS-49/20</v>
      </c>
      <c r="T1014" s="1" t="s">
        <v>32</v>
      </c>
    </row>
    <row r="1015" spans="1:20" ht="63.75" x14ac:dyDescent="0.25">
      <c r="A1015" s="6">
        <v>1012</v>
      </c>
      <c r="B1015" s="1" t="str">
        <f t="shared" si="90"/>
        <v>2020-2877</v>
      </c>
      <c r="C1015" s="1" t="s">
        <v>1189</v>
      </c>
      <c r="D1015" s="1" t="s">
        <v>21</v>
      </c>
      <c r="E1015" s="1" t="str">
        <f>""</f>
        <v/>
      </c>
      <c r="F1015" s="1" t="s">
        <v>28</v>
      </c>
      <c r="G1015" s="1" t="str">
        <f t="shared" si="91"/>
        <v>HIDRAULIKA KURELJA D.O.O., MATENAČKA CESTA 41, 49290 DONJA STUBICA, OIB: 3092900595</v>
      </c>
      <c r="H1015" s="7"/>
      <c r="I1015" s="8" t="s">
        <v>350</v>
      </c>
      <c r="J1015" s="8" t="s">
        <v>519</v>
      </c>
      <c r="K1015" s="6" t="str">
        <f>"21.963,72"</f>
        <v>21.963,72</v>
      </c>
      <c r="L1015" s="6" t="str">
        <f>"5.490,93"</f>
        <v>5.490,93</v>
      </c>
      <c r="M1015" s="6" t="str">
        <f>"27.454,65"</f>
        <v>27.454,65</v>
      </c>
      <c r="N1015" s="8" t="s">
        <v>916</v>
      </c>
      <c r="O1015" s="7"/>
      <c r="P1015" s="2" t="s">
        <v>6296</v>
      </c>
      <c r="Q1015" s="7"/>
      <c r="R1015" s="1"/>
      <c r="S1015" s="1" t="str">
        <f>"16-22/NOS-49/20"</f>
        <v>16-22/NOS-49/20</v>
      </c>
      <c r="T1015" s="1" t="s">
        <v>32</v>
      </c>
    </row>
    <row r="1016" spans="1:20" ht="63.75" x14ac:dyDescent="0.25">
      <c r="A1016" s="6">
        <v>1013</v>
      </c>
      <c r="B1016" s="1" t="str">
        <f t="shared" si="90"/>
        <v>2020-2877</v>
      </c>
      <c r="C1016" s="1" t="s">
        <v>1189</v>
      </c>
      <c r="D1016" s="1" t="s">
        <v>21</v>
      </c>
      <c r="E1016" s="1" t="str">
        <f>""</f>
        <v/>
      </c>
      <c r="F1016" s="1" t="s">
        <v>28</v>
      </c>
      <c r="G1016" s="1" t="str">
        <f t="shared" si="91"/>
        <v>HIDRAULIKA KURELJA D.O.O., MATENAČKA CESTA 41, 49290 DONJA STUBICA, OIB: 3092900595</v>
      </c>
      <c r="H1016" s="7"/>
      <c r="I1016" s="8" t="s">
        <v>505</v>
      </c>
      <c r="J1016" s="8" t="s">
        <v>519</v>
      </c>
      <c r="K1016" s="6" t="str">
        <f>"9.652,48"</f>
        <v>9.652,48</v>
      </c>
      <c r="L1016" s="6" t="str">
        <f>"2.413,12"</f>
        <v>2.413,12</v>
      </c>
      <c r="M1016" s="6" t="str">
        <f>"12.065,60"</f>
        <v>12.065,60</v>
      </c>
      <c r="N1016" s="8" t="s">
        <v>535</v>
      </c>
      <c r="O1016" s="7"/>
      <c r="P1016" s="2" t="s">
        <v>6297</v>
      </c>
      <c r="Q1016" s="7"/>
      <c r="R1016" s="1"/>
      <c r="S1016" s="1" t="str">
        <f>"17-22/NOS-49/20"</f>
        <v>17-22/NOS-49/20</v>
      </c>
      <c r="T1016" s="1" t="s">
        <v>32</v>
      </c>
    </row>
    <row r="1017" spans="1:20" ht="63.75" x14ac:dyDescent="0.25">
      <c r="A1017" s="6">
        <v>1014</v>
      </c>
      <c r="B1017" s="1" t="str">
        <f t="shared" si="90"/>
        <v>2020-2877</v>
      </c>
      <c r="C1017" s="1" t="s">
        <v>1189</v>
      </c>
      <c r="D1017" s="1" t="s">
        <v>21</v>
      </c>
      <c r="E1017" s="1" t="str">
        <f>""</f>
        <v/>
      </c>
      <c r="F1017" s="1" t="s">
        <v>28</v>
      </c>
      <c r="G1017" s="1" t="str">
        <f t="shared" si="91"/>
        <v>HIDRAULIKA KURELJA D.O.O., MATENAČKA CESTA 41, 49290 DONJA STUBICA, OIB: 3092900595</v>
      </c>
      <c r="H1017" s="7"/>
      <c r="I1017" s="8" t="s">
        <v>505</v>
      </c>
      <c r="J1017" s="8" t="s">
        <v>519</v>
      </c>
      <c r="K1017" s="6" t="str">
        <f>"4.516,68"</f>
        <v>4.516,68</v>
      </c>
      <c r="L1017" s="6" t="str">
        <f>"1.129,17"</f>
        <v>1.129,17</v>
      </c>
      <c r="M1017" s="6" t="str">
        <f>"5.645,85"</f>
        <v>5.645,85</v>
      </c>
      <c r="N1017" s="8" t="s">
        <v>905</v>
      </c>
      <c r="O1017" s="7"/>
      <c r="P1017" s="2" t="s">
        <v>6298</v>
      </c>
      <c r="Q1017" s="7"/>
      <c r="R1017" s="1"/>
      <c r="S1017" s="1" t="str">
        <f>"18-22/NOS-49/20"</f>
        <v>18-22/NOS-49/20</v>
      </c>
      <c r="T1017" s="1" t="s">
        <v>32</v>
      </c>
    </row>
    <row r="1018" spans="1:20" ht="63.75" x14ac:dyDescent="0.25">
      <c r="A1018" s="6">
        <v>1015</v>
      </c>
      <c r="B1018" s="1" t="str">
        <f t="shared" si="90"/>
        <v>2020-2877</v>
      </c>
      <c r="C1018" s="1" t="s">
        <v>1189</v>
      </c>
      <c r="D1018" s="1" t="s">
        <v>21</v>
      </c>
      <c r="E1018" s="1" t="str">
        <f>""</f>
        <v/>
      </c>
      <c r="F1018" s="1" t="s">
        <v>28</v>
      </c>
      <c r="G1018" s="1" t="str">
        <f t="shared" si="91"/>
        <v>HIDRAULIKA KURELJA D.O.O., MATENAČKA CESTA 41, 49290 DONJA STUBICA, OIB: 3092900595</v>
      </c>
      <c r="H1018" s="7"/>
      <c r="I1018" s="8" t="s">
        <v>505</v>
      </c>
      <c r="J1018" s="8" t="s">
        <v>519</v>
      </c>
      <c r="K1018" s="6" t="str">
        <f>"18.689,10"</f>
        <v>18.689,10</v>
      </c>
      <c r="L1018" s="6" t="str">
        <f>"4.672,27"</f>
        <v>4.672,27</v>
      </c>
      <c r="M1018" s="6" t="str">
        <f>"23.361,37"</f>
        <v>23.361,37</v>
      </c>
      <c r="N1018" s="8" t="s">
        <v>994</v>
      </c>
      <c r="O1018" s="7"/>
      <c r="P1018" s="2" t="s">
        <v>6299</v>
      </c>
      <c r="Q1018" s="7"/>
      <c r="R1018" s="1"/>
      <c r="S1018" s="1" t="str">
        <f>"13-22/NOS-49/20"</f>
        <v>13-22/NOS-49/20</v>
      </c>
      <c r="T1018" s="1" t="s">
        <v>32</v>
      </c>
    </row>
    <row r="1019" spans="1:20" ht="63.75" x14ac:dyDescent="0.25">
      <c r="A1019" s="6">
        <v>1016</v>
      </c>
      <c r="B1019" s="1" t="str">
        <f t="shared" si="90"/>
        <v>2020-2877</v>
      </c>
      <c r="C1019" s="1" t="s">
        <v>1189</v>
      </c>
      <c r="D1019" s="1" t="s">
        <v>21</v>
      </c>
      <c r="E1019" s="1" t="str">
        <f>""</f>
        <v/>
      </c>
      <c r="F1019" s="1" t="s">
        <v>28</v>
      </c>
      <c r="G1019" s="1" t="str">
        <f t="shared" si="91"/>
        <v>HIDRAULIKA KURELJA D.O.O., MATENAČKA CESTA 41, 49290 DONJA STUBICA, OIB: 3092900595</v>
      </c>
      <c r="H1019" s="7"/>
      <c r="I1019" s="8" t="s">
        <v>994</v>
      </c>
      <c r="J1019" s="8" t="s">
        <v>519</v>
      </c>
      <c r="K1019" s="6" t="str">
        <f>"21.142,82"</f>
        <v>21.142,82</v>
      </c>
      <c r="L1019" s="6" t="str">
        <f>"5.285,72"</f>
        <v>5.285,72</v>
      </c>
      <c r="M1019" s="6" t="str">
        <f>"26.428,54"</f>
        <v>26.428,54</v>
      </c>
      <c r="N1019" s="8" t="s">
        <v>208</v>
      </c>
      <c r="O1019" s="7"/>
      <c r="P1019" s="2" t="s">
        <v>6300</v>
      </c>
      <c r="Q1019" s="7"/>
      <c r="R1019" s="1"/>
      <c r="S1019" s="1" t="str">
        <f>"20-22/NOS-49/20"</f>
        <v>20-22/NOS-49/20</v>
      </c>
      <c r="T1019" s="1" t="s">
        <v>32</v>
      </c>
    </row>
    <row r="1020" spans="1:20" ht="63.75" x14ac:dyDescent="0.25">
      <c r="A1020" s="6">
        <v>1017</v>
      </c>
      <c r="B1020" s="1" t="str">
        <f t="shared" si="90"/>
        <v>2020-2877</v>
      </c>
      <c r="C1020" s="1" t="s">
        <v>1189</v>
      </c>
      <c r="D1020" s="1" t="s">
        <v>21</v>
      </c>
      <c r="E1020" s="1" t="str">
        <f>""</f>
        <v/>
      </c>
      <c r="F1020" s="1" t="s">
        <v>28</v>
      </c>
      <c r="G1020" s="1" t="str">
        <f t="shared" si="91"/>
        <v>HIDRAULIKA KURELJA D.O.O., MATENAČKA CESTA 41, 49290 DONJA STUBICA, OIB: 3092900595</v>
      </c>
      <c r="H1020" s="7"/>
      <c r="I1020" s="8" t="s">
        <v>172</v>
      </c>
      <c r="J1020" s="8" t="s">
        <v>519</v>
      </c>
      <c r="K1020" s="6" t="str">
        <f>"24.023,26"</f>
        <v>24.023,26</v>
      </c>
      <c r="L1020" s="6" t="str">
        <f>"6.005,82"</f>
        <v>6.005,82</v>
      </c>
      <c r="M1020" s="6" t="str">
        <f>"30.029,08"</f>
        <v>30.029,08</v>
      </c>
      <c r="N1020" s="8" t="s">
        <v>916</v>
      </c>
      <c r="O1020" s="7"/>
      <c r="P1020" s="2" t="s">
        <v>6301</v>
      </c>
      <c r="Q1020" s="7"/>
      <c r="R1020" s="1"/>
      <c r="S1020" s="1" t="str">
        <f>"27-22/NOS-49/20"</f>
        <v>27-22/NOS-49/20</v>
      </c>
      <c r="T1020" s="1" t="s">
        <v>32</v>
      </c>
    </row>
    <row r="1021" spans="1:20" ht="63.75" x14ac:dyDescent="0.25">
      <c r="A1021" s="6">
        <v>1018</v>
      </c>
      <c r="B1021" s="1" t="str">
        <f t="shared" si="90"/>
        <v>2020-2877</v>
      </c>
      <c r="C1021" s="1" t="s">
        <v>1189</v>
      </c>
      <c r="D1021" s="1" t="s">
        <v>21</v>
      </c>
      <c r="E1021" s="1" t="str">
        <f>""</f>
        <v/>
      </c>
      <c r="F1021" s="1" t="s">
        <v>28</v>
      </c>
      <c r="G1021" s="1" t="str">
        <f t="shared" si="91"/>
        <v>HIDRAULIKA KURELJA D.O.O., MATENAČKA CESTA 41, 49290 DONJA STUBICA, OIB: 3092900595</v>
      </c>
      <c r="H1021" s="7"/>
      <c r="I1021" s="8" t="s">
        <v>172</v>
      </c>
      <c r="J1021" s="8" t="s">
        <v>519</v>
      </c>
      <c r="K1021" s="6" t="str">
        <f>"15.103,78"</f>
        <v>15.103,78</v>
      </c>
      <c r="L1021" s="6" t="str">
        <f>"3.775,95"</f>
        <v>3.775,95</v>
      </c>
      <c r="M1021" s="6" t="str">
        <f>"18.879,73"</f>
        <v>18.879,73</v>
      </c>
      <c r="N1021" s="8" t="s">
        <v>895</v>
      </c>
      <c r="O1021" s="7"/>
      <c r="P1021" s="2" t="s">
        <v>6302</v>
      </c>
      <c r="Q1021" s="7"/>
      <c r="R1021" s="1"/>
      <c r="S1021" s="1" t="str">
        <f>"24-22/NOS-49/20"</f>
        <v>24-22/NOS-49/20</v>
      </c>
      <c r="T1021" s="1" t="s">
        <v>32</v>
      </c>
    </row>
    <row r="1022" spans="1:20" ht="63.75" x14ac:dyDescent="0.25">
      <c r="A1022" s="6">
        <v>1019</v>
      </c>
      <c r="B1022" s="1" t="str">
        <f t="shared" si="90"/>
        <v>2020-2877</v>
      </c>
      <c r="C1022" s="1" t="s">
        <v>1189</v>
      </c>
      <c r="D1022" s="1" t="s">
        <v>21</v>
      </c>
      <c r="E1022" s="1" t="str">
        <f>""</f>
        <v/>
      </c>
      <c r="F1022" s="1" t="s">
        <v>28</v>
      </c>
      <c r="G1022" s="1" t="str">
        <f t="shared" si="91"/>
        <v>HIDRAULIKA KURELJA D.O.O., MATENAČKA CESTA 41, 49290 DONJA STUBICA, OIB: 3092900595</v>
      </c>
      <c r="H1022" s="7"/>
      <c r="I1022" s="8" t="s">
        <v>172</v>
      </c>
      <c r="J1022" s="8" t="s">
        <v>519</v>
      </c>
      <c r="K1022" s="6" t="str">
        <f>"11.151,23"</f>
        <v>11.151,23</v>
      </c>
      <c r="L1022" s="6" t="str">
        <f>"2.787,81"</f>
        <v>2.787,81</v>
      </c>
      <c r="M1022" s="6" t="str">
        <f>"13.939,04"</f>
        <v>13.939,04</v>
      </c>
      <c r="N1022" s="8" t="s">
        <v>208</v>
      </c>
      <c r="O1022" s="7"/>
      <c r="P1022" s="2" t="s">
        <v>6303</v>
      </c>
      <c r="Q1022" s="7"/>
      <c r="R1022" s="1"/>
      <c r="S1022" s="1" t="str">
        <f>"28-22/NOS-49/20"</f>
        <v>28-22/NOS-49/20</v>
      </c>
      <c r="T1022" s="1" t="s">
        <v>32</v>
      </c>
    </row>
    <row r="1023" spans="1:20" ht="63.75" x14ac:dyDescent="0.25">
      <c r="A1023" s="6">
        <v>1020</v>
      </c>
      <c r="B1023" s="1" t="str">
        <f t="shared" si="90"/>
        <v>2020-2877</v>
      </c>
      <c r="C1023" s="1" t="s">
        <v>1189</v>
      </c>
      <c r="D1023" s="1" t="s">
        <v>21</v>
      </c>
      <c r="E1023" s="1" t="str">
        <f>""</f>
        <v/>
      </c>
      <c r="F1023" s="1" t="s">
        <v>28</v>
      </c>
      <c r="G1023" s="1" t="str">
        <f t="shared" si="91"/>
        <v>HIDRAULIKA KURELJA D.O.O., MATENAČKA CESTA 41, 49290 DONJA STUBICA, OIB: 3092900595</v>
      </c>
      <c r="H1023" s="7"/>
      <c r="I1023" s="8" t="s">
        <v>172</v>
      </c>
      <c r="J1023" s="8" t="s">
        <v>519</v>
      </c>
      <c r="K1023" s="6" t="str">
        <f>"8.691,42"</f>
        <v>8.691,42</v>
      </c>
      <c r="L1023" s="6" t="str">
        <f>"2.172,86"</f>
        <v>2.172,86</v>
      </c>
      <c r="M1023" s="6" t="str">
        <f>"10.864,28"</f>
        <v>10.864,28</v>
      </c>
      <c r="N1023" s="8" t="s">
        <v>916</v>
      </c>
      <c r="O1023" s="7"/>
      <c r="P1023" s="2" t="s">
        <v>6304</v>
      </c>
      <c r="Q1023" s="7"/>
      <c r="R1023" s="1"/>
      <c r="S1023" s="1" t="str">
        <f>"23-22/NOS-49/20"</f>
        <v>23-22/NOS-49/20</v>
      </c>
      <c r="T1023" s="1" t="s">
        <v>32</v>
      </c>
    </row>
    <row r="1024" spans="1:20" ht="63.75" x14ac:dyDescent="0.25">
      <c r="A1024" s="6">
        <v>1021</v>
      </c>
      <c r="B1024" s="1" t="str">
        <f t="shared" si="90"/>
        <v>2020-2877</v>
      </c>
      <c r="C1024" s="1" t="s">
        <v>1189</v>
      </c>
      <c r="D1024" s="1" t="s">
        <v>21</v>
      </c>
      <c r="E1024" s="1" t="str">
        <f>""</f>
        <v/>
      </c>
      <c r="F1024" s="1" t="s">
        <v>28</v>
      </c>
      <c r="G1024" s="1" t="str">
        <f t="shared" si="91"/>
        <v>HIDRAULIKA KURELJA D.O.O., MATENAČKA CESTA 41, 49290 DONJA STUBICA, OIB: 3092900595</v>
      </c>
      <c r="H1024" s="7"/>
      <c r="I1024" s="8" t="s">
        <v>172</v>
      </c>
      <c r="J1024" s="8" t="s">
        <v>519</v>
      </c>
      <c r="K1024" s="6" t="str">
        <f>"8.684,09"</f>
        <v>8.684,09</v>
      </c>
      <c r="L1024" s="6" t="str">
        <f>"2.171,02"</f>
        <v>2.171,02</v>
      </c>
      <c r="M1024" s="6" t="str">
        <f>"10.855,11"</f>
        <v>10.855,11</v>
      </c>
      <c r="N1024" s="8" t="s">
        <v>916</v>
      </c>
      <c r="O1024" s="7"/>
      <c r="P1024" s="2" t="s">
        <v>6305</v>
      </c>
      <c r="Q1024" s="7"/>
      <c r="R1024" s="1"/>
      <c r="S1024" s="1" t="str">
        <f>"21-22/NOS-49/20"</f>
        <v>21-22/NOS-49/20</v>
      </c>
      <c r="T1024" s="1" t="s">
        <v>32</v>
      </c>
    </row>
    <row r="1025" spans="1:20" ht="63.75" x14ac:dyDescent="0.25">
      <c r="A1025" s="6">
        <v>1022</v>
      </c>
      <c r="B1025" s="1" t="str">
        <f t="shared" si="90"/>
        <v>2020-2877</v>
      </c>
      <c r="C1025" s="1" t="s">
        <v>1189</v>
      </c>
      <c r="D1025" s="1" t="s">
        <v>21</v>
      </c>
      <c r="E1025" s="1" t="str">
        <f>""</f>
        <v/>
      </c>
      <c r="F1025" s="1" t="s">
        <v>28</v>
      </c>
      <c r="G1025" s="1" t="str">
        <f t="shared" si="91"/>
        <v>HIDRAULIKA KURELJA D.O.O., MATENAČKA CESTA 41, 49290 DONJA STUBICA, OIB: 3092900595</v>
      </c>
      <c r="H1025" s="7"/>
      <c r="I1025" s="8" t="s">
        <v>172</v>
      </c>
      <c r="J1025" s="8" t="s">
        <v>519</v>
      </c>
      <c r="K1025" s="6" t="str">
        <f>"8.089,04"</f>
        <v>8.089,04</v>
      </c>
      <c r="L1025" s="6" t="str">
        <f>"2.022,26"</f>
        <v>2.022,26</v>
      </c>
      <c r="M1025" s="6" t="str">
        <f>"10.111,30"</f>
        <v>10.111,30</v>
      </c>
      <c r="N1025" s="8" t="s">
        <v>916</v>
      </c>
      <c r="O1025" s="7"/>
      <c r="P1025" s="2" t="s">
        <v>6306</v>
      </c>
      <c r="Q1025" s="7"/>
      <c r="R1025" s="1"/>
      <c r="S1025" s="1" t="str">
        <f>"25-22/NOS-49/20"</f>
        <v>25-22/NOS-49/20</v>
      </c>
      <c r="T1025" s="1" t="s">
        <v>32</v>
      </c>
    </row>
    <row r="1026" spans="1:20" ht="63.75" x14ac:dyDescent="0.25">
      <c r="A1026" s="6">
        <v>1023</v>
      </c>
      <c r="B1026" s="1" t="str">
        <f t="shared" si="90"/>
        <v>2020-2877</v>
      </c>
      <c r="C1026" s="1" t="s">
        <v>1189</v>
      </c>
      <c r="D1026" s="1" t="s">
        <v>21</v>
      </c>
      <c r="E1026" s="1" t="str">
        <f>""</f>
        <v/>
      </c>
      <c r="F1026" s="1" t="s">
        <v>28</v>
      </c>
      <c r="G1026" s="1" t="str">
        <f t="shared" si="91"/>
        <v>HIDRAULIKA KURELJA D.O.O., MATENAČKA CESTA 41, 49290 DONJA STUBICA, OIB: 3092900595</v>
      </c>
      <c r="H1026" s="7"/>
      <c r="I1026" s="8" t="s">
        <v>897</v>
      </c>
      <c r="J1026" s="8" t="s">
        <v>519</v>
      </c>
      <c r="K1026" s="6" t="str">
        <f>"7.449,62"</f>
        <v>7.449,62</v>
      </c>
      <c r="L1026" s="6" t="str">
        <f>"1.862,41"</f>
        <v>1.862,41</v>
      </c>
      <c r="M1026" s="6" t="str">
        <f>"9.312,03"</f>
        <v>9.312,03</v>
      </c>
      <c r="N1026" s="8" t="s">
        <v>208</v>
      </c>
      <c r="O1026" s="7"/>
      <c r="P1026" s="2" t="s">
        <v>6307</v>
      </c>
      <c r="Q1026" s="7"/>
      <c r="R1026" s="1"/>
      <c r="S1026" s="1" t="str">
        <f>"26-22/NOS-49/20"</f>
        <v>26-22/NOS-49/20</v>
      </c>
      <c r="T1026" s="1" t="s">
        <v>32</v>
      </c>
    </row>
    <row r="1027" spans="1:20" ht="63.75" x14ac:dyDescent="0.25">
      <c r="A1027" s="6">
        <v>1024</v>
      </c>
      <c r="B1027" s="1" t="str">
        <f t="shared" si="90"/>
        <v>2020-2877</v>
      </c>
      <c r="C1027" s="1" t="s">
        <v>1189</v>
      </c>
      <c r="D1027" s="1" t="s">
        <v>21</v>
      </c>
      <c r="E1027" s="1" t="str">
        <f>""</f>
        <v/>
      </c>
      <c r="F1027" s="1" t="s">
        <v>28</v>
      </c>
      <c r="G1027" s="1" t="str">
        <f t="shared" si="91"/>
        <v>HIDRAULIKA KURELJA D.O.O., MATENAČKA CESTA 41, 49290 DONJA STUBICA, OIB: 3092900595</v>
      </c>
      <c r="H1027" s="7"/>
      <c r="I1027" s="8" t="s">
        <v>897</v>
      </c>
      <c r="J1027" s="8" t="s">
        <v>519</v>
      </c>
      <c r="K1027" s="6" t="str">
        <f>"6.444,25"</f>
        <v>6.444,25</v>
      </c>
      <c r="L1027" s="6" t="str">
        <f>"1.611,06"</f>
        <v>1.611,06</v>
      </c>
      <c r="M1027" s="6" t="str">
        <f>"8.055,31"</f>
        <v>8.055,31</v>
      </c>
      <c r="N1027" s="8" t="s">
        <v>895</v>
      </c>
      <c r="O1027" s="7"/>
      <c r="P1027" s="2" t="s">
        <v>6308</v>
      </c>
      <c r="Q1027" s="7"/>
      <c r="R1027" s="1"/>
      <c r="S1027" s="1" t="str">
        <f>"22-22/NOS-49/20"</f>
        <v>22-22/NOS-49/20</v>
      </c>
      <c r="T1027" s="1" t="s">
        <v>32</v>
      </c>
    </row>
    <row r="1028" spans="1:20" ht="63.75" x14ac:dyDescent="0.25">
      <c r="A1028" s="6">
        <v>1025</v>
      </c>
      <c r="B1028" s="1" t="str">
        <f t="shared" si="90"/>
        <v>2020-2877</v>
      </c>
      <c r="C1028" s="1" t="s">
        <v>1189</v>
      </c>
      <c r="D1028" s="1" t="s">
        <v>21</v>
      </c>
      <c r="E1028" s="1" t="str">
        <f>""</f>
        <v/>
      </c>
      <c r="F1028" s="1" t="s">
        <v>28</v>
      </c>
      <c r="G1028" s="1" t="str">
        <f t="shared" si="91"/>
        <v>HIDRAULIKA KURELJA D.O.O., MATENAČKA CESTA 41, 49290 DONJA STUBICA, OIB: 3092900595</v>
      </c>
      <c r="H1028" s="7"/>
      <c r="I1028" s="8" t="s">
        <v>897</v>
      </c>
      <c r="J1028" s="8" t="s">
        <v>519</v>
      </c>
      <c r="K1028" s="6" t="str">
        <f>"4.450,95"</f>
        <v>4.450,95</v>
      </c>
      <c r="L1028" s="6" t="str">
        <f>"1.112,74"</f>
        <v>1.112,74</v>
      </c>
      <c r="M1028" s="6" t="str">
        <f>"5.563,69"</f>
        <v>5.563,69</v>
      </c>
      <c r="N1028" s="8" t="s">
        <v>916</v>
      </c>
      <c r="O1028" s="7"/>
      <c r="P1028" s="2" t="s">
        <v>6309</v>
      </c>
      <c r="Q1028" s="7"/>
      <c r="R1028" s="1"/>
      <c r="S1028" s="1" t="str">
        <f>"29-22/NOS-49/20"</f>
        <v>29-22/NOS-49/20</v>
      </c>
      <c r="T1028" s="1" t="s">
        <v>32</v>
      </c>
    </row>
    <row r="1029" spans="1:20" ht="63.75" x14ac:dyDescent="0.25">
      <c r="A1029" s="6">
        <v>1026</v>
      </c>
      <c r="B1029" s="1" t="str">
        <f t="shared" si="90"/>
        <v>2020-2877</v>
      </c>
      <c r="C1029" s="1" t="s">
        <v>1189</v>
      </c>
      <c r="D1029" s="1" t="s">
        <v>21</v>
      </c>
      <c r="E1029" s="1" t="str">
        <f>""</f>
        <v/>
      </c>
      <c r="F1029" s="1" t="s">
        <v>28</v>
      </c>
      <c r="G1029" s="1" t="str">
        <f t="shared" si="91"/>
        <v>HIDRAULIKA KURELJA D.O.O., MATENAČKA CESTA 41, 49290 DONJA STUBICA, OIB: 3092900595</v>
      </c>
      <c r="H1029" s="7"/>
      <c r="I1029" s="8" t="s">
        <v>506</v>
      </c>
      <c r="J1029" s="8" t="s">
        <v>519</v>
      </c>
      <c r="K1029" s="6" t="str">
        <f>"7.406,48"</f>
        <v>7.406,48</v>
      </c>
      <c r="L1029" s="6" t="str">
        <f>"1.851,62"</f>
        <v>1.851,62</v>
      </c>
      <c r="M1029" s="6" t="str">
        <f>"9.258,10"</f>
        <v>9.258,10</v>
      </c>
      <c r="N1029" s="8" t="s">
        <v>208</v>
      </c>
      <c r="O1029" s="7"/>
      <c r="P1029" s="2" t="s">
        <v>6310</v>
      </c>
      <c r="Q1029" s="7"/>
      <c r="R1029" s="1"/>
      <c r="S1029" s="1" t="str">
        <f>"30-22/NOS-49/20"</f>
        <v>30-22/NOS-49/20</v>
      </c>
      <c r="T1029" s="1" t="s">
        <v>32</v>
      </c>
    </row>
    <row r="1030" spans="1:20" ht="63.75" x14ac:dyDescent="0.25">
      <c r="A1030" s="6">
        <v>1027</v>
      </c>
      <c r="B1030" s="1" t="str">
        <f t="shared" si="90"/>
        <v>2020-2877</v>
      </c>
      <c r="C1030" s="1" t="s">
        <v>1189</v>
      </c>
      <c r="D1030" s="1" t="s">
        <v>21</v>
      </c>
      <c r="E1030" s="1" t="str">
        <f>""</f>
        <v/>
      </c>
      <c r="F1030" s="1" t="s">
        <v>28</v>
      </c>
      <c r="G1030" s="1" t="str">
        <f t="shared" si="91"/>
        <v>HIDRAULIKA KURELJA D.O.O., MATENAČKA CESTA 41, 49290 DONJA STUBICA, OIB: 3092900595</v>
      </c>
      <c r="H1030" s="7"/>
      <c r="I1030" s="8" t="s">
        <v>1191</v>
      </c>
      <c r="J1030" s="8" t="s">
        <v>519</v>
      </c>
      <c r="K1030" s="6" t="str">
        <f>"869,80"</f>
        <v>869,80</v>
      </c>
      <c r="L1030" s="6" t="str">
        <f>"217,45"</f>
        <v>217,45</v>
      </c>
      <c r="M1030" s="6" t="str">
        <f>"1.087,25"</f>
        <v>1.087,25</v>
      </c>
      <c r="N1030" s="8" t="s">
        <v>1123</v>
      </c>
      <c r="O1030" s="7"/>
      <c r="P1030" s="2" t="s">
        <v>6311</v>
      </c>
      <c r="Q1030" s="7"/>
      <c r="R1030" s="1"/>
      <c r="S1030" s="1" t="str">
        <f>"34-22/NOS-49/20"</f>
        <v>34-22/NOS-49/20</v>
      </c>
      <c r="T1030" s="1" t="s">
        <v>32</v>
      </c>
    </row>
    <row r="1031" spans="1:20" ht="63.75" x14ac:dyDescent="0.25">
      <c r="A1031" s="6">
        <v>1028</v>
      </c>
      <c r="B1031" s="1" t="str">
        <f t="shared" si="90"/>
        <v>2020-2877</v>
      </c>
      <c r="C1031" s="1" t="s">
        <v>1189</v>
      </c>
      <c r="D1031" s="1" t="s">
        <v>21</v>
      </c>
      <c r="E1031" s="1" t="str">
        <f>""</f>
        <v/>
      </c>
      <c r="F1031" s="1" t="s">
        <v>28</v>
      </c>
      <c r="G1031" s="1" t="str">
        <f t="shared" si="91"/>
        <v>HIDRAULIKA KURELJA D.O.O., MATENAČKA CESTA 41, 49290 DONJA STUBICA, OIB: 3092900595</v>
      </c>
      <c r="H1031" s="7"/>
      <c r="I1031" s="8" t="s">
        <v>553</v>
      </c>
      <c r="J1031" s="8" t="s">
        <v>519</v>
      </c>
      <c r="K1031" s="6" t="str">
        <f>"3.289,50"</f>
        <v>3.289,50</v>
      </c>
      <c r="L1031" s="6" t="str">
        <f>"0,00"</f>
        <v>0,00</v>
      </c>
      <c r="M1031" s="6" t="str">
        <f>"3.289,50"</f>
        <v>3.289,50</v>
      </c>
      <c r="N1031" s="8" t="s">
        <v>124</v>
      </c>
      <c r="O1031" s="7"/>
      <c r="P1031" s="2" t="s">
        <v>5614</v>
      </c>
      <c r="Q1031" s="7"/>
      <c r="R1031" s="1"/>
      <c r="S1031" s="1" t="str">
        <f>"36-22/NOS-49/20"</f>
        <v>36-22/NOS-49/20</v>
      </c>
      <c r="T1031" s="1" t="s">
        <v>32</v>
      </c>
    </row>
    <row r="1032" spans="1:20" ht="51" x14ac:dyDescent="0.25">
      <c r="A1032" s="6">
        <v>1029</v>
      </c>
      <c r="B1032" s="1" t="str">
        <f t="shared" ref="B1032:B1050" si="92">"2020-2774"</f>
        <v>2020-2774</v>
      </c>
      <c r="C1032" s="1" t="s">
        <v>1192</v>
      </c>
      <c r="D1032" s="1" t="s">
        <v>74</v>
      </c>
      <c r="E1032" s="1" t="str">
        <f>"2020/S 0F2-0039935"</f>
        <v>2020/S 0F2-0039935</v>
      </c>
      <c r="F1032" s="1" t="s">
        <v>22</v>
      </c>
      <c r="G1032" s="1" t="str">
        <f t="shared" ref="G1032:G1050" si="93">CONCATENATE("SEKOM D.O.O.,"," PALINOVEČKA 27,"," 10000 ZAGREB,"," OIB: 28813486193")</f>
        <v>SEKOM D.O.O., PALINOVEČKA 27, 10000 ZAGREB, OIB: 28813486193</v>
      </c>
      <c r="H1032" s="7"/>
      <c r="I1032" s="8" t="s">
        <v>1185</v>
      </c>
      <c r="J1032" s="8" t="s">
        <v>1193</v>
      </c>
      <c r="K1032" s="6" t="str">
        <f>"1.400.000,00"</f>
        <v>1.400.000,00</v>
      </c>
      <c r="L1032" s="6" t="str">
        <f>"350.000,00"</f>
        <v>350.000,00</v>
      </c>
      <c r="M1032" s="6" t="str">
        <f>"1.750.000,00"</f>
        <v>1.750.000,00</v>
      </c>
      <c r="N1032" s="8" t="s">
        <v>124</v>
      </c>
      <c r="O1032" s="7"/>
      <c r="P1032" s="2" t="s">
        <v>5614</v>
      </c>
      <c r="Q1032" s="7"/>
      <c r="R1032" s="1"/>
      <c r="S1032" s="1" t="str">
        <f>"NOS-50/20"</f>
        <v>NOS-50/20</v>
      </c>
      <c r="T1032" s="1" t="s">
        <v>32</v>
      </c>
    </row>
    <row r="1033" spans="1:20" ht="51" x14ac:dyDescent="0.25">
      <c r="A1033" s="6">
        <v>1030</v>
      </c>
      <c r="B1033" s="1" t="str">
        <f t="shared" si="92"/>
        <v>2020-2774</v>
      </c>
      <c r="C1033" s="1" t="s">
        <v>1192</v>
      </c>
      <c r="D1033" s="1" t="s">
        <v>78</v>
      </c>
      <c r="E1033" s="1" t="str">
        <f>""</f>
        <v/>
      </c>
      <c r="F1033" s="1" t="s">
        <v>28</v>
      </c>
      <c r="G1033" s="1" t="str">
        <f t="shared" si="93"/>
        <v>SEKOM D.O.O., PALINOVEČKA 27, 10000 ZAGREB, OIB: 28813486193</v>
      </c>
      <c r="H1033" s="7"/>
      <c r="I1033" s="8" t="s">
        <v>117</v>
      </c>
      <c r="J1033" s="8" t="s">
        <v>423</v>
      </c>
      <c r="K1033" s="6" t="str">
        <f>"4.900,00"</f>
        <v>4.900,00</v>
      </c>
      <c r="L1033" s="6" t="str">
        <f>"1.225,00"</f>
        <v>1.225,00</v>
      </c>
      <c r="M1033" s="6" t="str">
        <f>"6.125,00"</f>
        <v>6.125,00</v>
      </c>
      <c r="N1033" s="8" t="s">
        <v>604</v>
      </c>
      <c r="O1033" s="7"/>
      <c r="P1033" s="2" t="s">
        <v>6312</v>
      </c>
      <c r="Q1033" s="7"/>
      <c r="R1033" s="1"/>
      <c r="S1033" s="1" t="str">
        <f>"26-21/NOS-50/20"</f>
        <v>26-21/NOS-50/20</v>
      </c>
      <c r="T1033" s="1" t="s">
        <v>32</v>
      </c>
    </row>
    <row r="1034" spans="1:20" ht="51" x14ac:dyDescent="0.25">
      <c r="A1034" s="6">
        <v>1031</v>
      </c>
      <c r="B1034" s="1" t="str">
        <f t="shared" si="92"/>
        <v>2020-2774</v>
      </c>
      <c r="C1034" s="1" t="s">
        <v>1192</v>
      </c>
      <c r="D1034" s="1" t="s">
        <v>78</v>
      </c>
      <c r="E1034" s="1" t="str">
        <f>""</f>
        <v/>
      </c>
      <c r="F1034" s="1" t="s">
        <v>28</v>
      </c>
      <c r="G1034" s="1" t="str">
        <f t="shared" si="93"/>
        <v>SEKOM D.O.O., PALINOVEČKA 27, 10000 ZAGREB, OIB: 28813486193</v>
      </c>
      <c r="H1034" s="7"/>
      <c r="I1034" s="8" t="s">
        <v>219</v>
      </c>
      <c r="J1034" s="8" t="s">
        <v>231</v>
      </c>
      <c r="K1034" s="6" t="str">
        <f>"4.500,00"</f>
        <v>4.500,00</v>
      </c>
      <c r="L1034" s="6" t="str">
        <f>"1.125,00"</f>
        <v>1.125,00</v>
      </c>
      <c r="M1034" s="6" t="str">
        <f>"5.625,00"</f>
        <v>5.625,00</v>
      </c>
      <c r="N1034" s="8" t="s">
        <v>804</v>
      </c>
      <c r="O1034" s="7"/>
      <c r="P1034" s="2" t="s">
        <v>6313</v>
      </c>
      <c r="Q1034" s="7"/>
      <c r="R1034" s="1"/>
      <c r="S1034" s="1" t="str">
        <f>"2-22/NOS-50/20"</f>
        <v>2-22/NOS-50/20</v>
      </c>
      <c r="T1034" s="1" t="s">
        <v>32</v>
      </c>
    </row>
    <row r="1035" spans="1:20" ht="51" x14ac:dyDescent="0.25">
      <c r="A1035" s="6">
        <v>1032</v>
      </c>
      <c r="B1035" s="1" t="str">
        <f t="shared" si="92"/>
        <v>2020-2774</v>
      </c>
      <c r="C1035" s="1" t="s">
        <v>1192</v>
      </c>
      <c r="D1035" s="1" t="s">
        <v>78</v>
      </c>
      <c r="E1035" s="1" t="str">
        <f>""</f>
        <v/>
      </c>
      <c r="F1035" s="1" t="s">
        <v>28</v>
      </c>
      <c r="G1035" s="1" t="str">
        <f t="shared" si="93"/>
        <v>SEKOM D.O.O., PALINOVEČKA 27, 10000 ZAGREB, OIB: 28813486193</v>
      </c>
      <c r="H1035" s="7"/>
      <c r="I1035" s="8" t="s">
        <v>503</v>
      </c>
      <c r="J1035" s="8" t="s">
        <v>423</v>
      </c>
      <c r="K1035" s="6" t="str">
        <f>"12.400,00"</f>
        <v>12.400,00</v>
      </c>
      <c r="L1035" s="6" t="str">
        <f>"3.100,00"</f>
        <v>3.100,00</v>
      </c>
      <c r="M1035" s="6" t="str">
        <f>"15.500,00"</f>
        <v>15.500,00</v>
      </c>
      <c r="N1035" s="8" t="s">
        <v>804</v>
      </c>
      <c r="O1035" s="7"/>
      <c r="P1035" s="2" t="s">
        <v>6314</v>
      </c>
      <c r="Q1035" s="7"/>
      <c r="R1035" s="1"/>
      <c r="S1035" s="1" t="str">
        <f>"4-22/NOS-50/20"</f>
        <v>4-22/NOS-50/20</v>
      </c>
      <c r="T1035" s="1" t="s">
        <v>32</v>
      </c>
    </row>
    <row r="1036" spans="1:20" ht="51" x14ac:dyDescent="0.25">
      <c r="A1036" s="6">
        <v>1033</v>
      </c>
      <c r="B1036" s="1" t="str">
        <f t="shared" si="92"/>
        <v>2020-2774</v>
      </c>
      <c r="C1036" s="1" t="s">
        <v>1192</v>
      </c>
      <c r="D1036" s="1" t="s">
        <v>78</v>
      </c>
      <c r="E1036" s="1" t="str">
        <f>""</f>
        <v/>
      </c>
      <c r="F1036" s="1" t="s">
        <v>28</v>
      </c>
      <c r="G1036" s="1" t="str">
        <f t="shared" si="93"/>
        <v>SEKOM D.O.O., PALINOVEČKA 27, 10000 ZAGREB, OIB: 28813486193</v>
      </c>
      <c r="H1036" s="7"/>
      <c r="I1036" s="8" t="s">
        <v>768</v>
      </c>
      <c r="J1036" s="8" t="s">
        <v>231</v>
      </c>
      <c r="K1036" s="6" t="str">
        <f>"24.600,00"</f>
        <v>24.600,00</v>
      </c>
      <c r="L1036" s="6" t="str">
        <f>"6.150,00"</f>
        <v>6.150,00</v>
      </c>
      <c r="M1036" s="6" t="str">
        <f>"30.750,00"</f>
        <v>30.750,00</v>
      </c>
      <c r="N1036" s="8" t="s">
        <v>804</v>
      </c>
      <c r="O1036" s="7"/>
      <c r="P1036" s="2" t="s">
        <v>6315</v>
      </c>
      <c r="Q1036" s="7"/>
      <c r="R1036" s="1"/>
      <c r="S1036" s="1" t="str">
        <f>"3-22/NOS-50/20"</f>
        <v>3-22/NOS-50/20</v>
      </c>
      <c r="T1036" s="1" t="s">
        <v>32</v>
      </c>
    </row>
    <row r="1037" spans="1:20" ht="51" x14ac:dyDescent="0.25">
      <c r="A1037" s="6">
        <v>1034</v>
      </c>
      <c r="B1037" s="1" t="str">
        <f t="shared" si="92"/>
        <v>2020-2774</v>
      </c>
      <c r="C1037" s="1" t="s">
        <v>1192</v>
      </c>
      <c r="D1037" s="1" t="s">
        <v>78</v>
      </c>
      <c r="E1037" s="1" t="str">
        <f>""</f>
        <v/>
      </c>
      <c r="F1037" s="1" t="s">
        <v>28</v>
      </c>
      <c r="G1037" s="1" t="str">
        <f t="shared" si="93"/>
        <v>SEKOM D.O.O., PALINOVEČKA 27, 10000 ZAGREB, OIB: 28813486193</v>
      </c>
      <c r="H1037" s="7"/>
      <c r="I1037" s="8" t="s">
        <v>768</v>
      </c>
      <c r="J1037" s="8" t="s">
        <v>1187</v>
      </c>
      <c r="K1037" s="6" t="str">
        <f>"49.200,00"</f>
        <v>49.200,00</v>
      </c>
      <c r="L1037" s="6" t="str">
        <f>"12.300,00"</f>
        <v>12.300,00</v>
      </c>
      <c r="M1037" s="6" t="str">
        <f>"61.500,00"</f>
        <v>61.500,00</v>
      </c>
      <c r="N1037" s="8" t="s">
        <v>804</v>
      </c>
      <c r="O1037" s="7"/>
      <c r="P1037" s="2" t="s">
        <v>6316</v>
      </c>
      <c r="Q1037" s="7"/>
      <c r="R1037" s="1"/>
      <c r="S1037" s="1" t="str">
        <f>"1-22/NOS-50/20"</f>
        <v>1-22/NOS-50/20</v>
      </c>
      <c r="T1037" s="1" t="s">
        <v>32</v>
      </c>
    </row>
    <row r="1038" spans="1:20" ht="51" x14ac:dyDescent="0.25">
      <c r="A1038" s="6">
        <v>1035</v>
      </c>
      <c r="B1038" s="1" t="str">
        <f t="shared" si="92"/>
        <v>2020-2774</v>
      </c>
      <c r="C1038" s="1" t="s">
        <v>1192</v>
      </c>
      <c r="D1038" s="1" t="s">
        <v>78</v>
      </c>
      <c r="E1038" s="1" t="str">
        <f>""</f>
        <v/>
      </c>
      <c r="F1038" s="1" t="s">
        <v>28</v>
      </c>
      <c r="G1038" s="1" t="str">
        <f t="shared" si="93"/>
        <v>SEKOM D.O.O., PALINOVEČKA 27, 10000 ZAGREB, OIB: 28813486193</v>
      </c>
      <c r="H1038" s="7"/>
      <c r="I1038" s="8" t="s">
        <v>259</v>
      </c>
      <c r="J1038" s="8" t="s">
        <v>423</v>
      </c>
      <c r="K1038" s="6" t="str">
        <f>"3.550,00"</f>
        <v>3.550,00</v>
      </c>
      <c r="L1038" s="6" t="str">
        <f>"887,50"</f>
        <v>887,50</v>
      </c>
      <c r="M1038" s="6" t="str">
        <f>"4.437,50"</f>
        <v>4.437,50</v>
      </c>
      <c r="N1038" s="8" t="s">
        <v>500</v>
      </c>
      <c r="O1038" s="7"/>
      <c r="P1038" s="2" t="s">
        <v>6317</v>
      </c>
      <c r="Q1038" s="7"/>
      <c r="R1038" s="1"/>
      <c r="S1038" s="1" t="str">
        <f>"6-22/NOS-50/20"</f>
        <v>6-22/NOS-50/20</v>
      </c>
      <c r="T1038" s="1" t="s">
        <v>32</v>
      </c>
    </row>
    <row r="1039" spans="1:20" ht="51" x14ac:dyDescent="0.25">
      <c r="A1039" s="6">
        <v>1036</v>
      </c>
      <c r="B1039" s="1" t="str">
        <f t="shared" si="92"/>
        <v>2020-2774</v>
      </c>
      <c r="C1039" s="1" t="s">
        <v>1192</v>
      </c>
      <c r="D1039" s="1" t="s">
        <v>78</v>
      </c>
      <c r="E1039" s="1" t="str">
        <f>""</f>
        <v/>
      </c>
      <c r="F1039" s="1" t="s">
        <v>28</v>
      </c>
      <c r="G1039" s="1" t="str">
        <f t="shared" si="93"/>
        <v>SEKOM D.O.O., PALINOVEČKA 27, 10000 ZAGREB, OIB: 28813486193</v>
      </c>
      <c r="H1039" s="7"/>
      <c r="I1039" s="8" t="s">
        <v>259</v>
      </c>
      <c r="J1039" s="8" t="s">
        <v>423</v>
      </c>
      <c r="K1039" s="6" t="str">
        <f>"24.600,00"</f>
        <v>24.600,00</v>
      </c>
      <c r="L1039" s="6" t="str">
        <f>"6.150,00"</f>
        <v>6.150,00</v>
      </c>
      <c r="M1039" s="6" t="str">
        <f>"30.750,00"</f>
        <v>30.750,00</v>
      </c>
      <c r="N1039" s="8" t="s">
        <v>500</v>
      </c>
      <c r="O1039" s="7"/>
      <c r="P1039" s="2" t="s">
        <v>6315</v>
      </c>
      <c r="Q1039" s="7"/>
      <c r="R1039" s="1"/>
      <c r="S1039" s="1" t="str">
        <f>"5-22/NOS-50/20"</f>
        <v>5-22/NOS-50/20</v>
      </c>
      <c r="T1039" s="1" t="s">
        <v>32</v>
      </c>
    </row>
    <row r="1040" spans="1:20" ht="51" x14ac:dyDescent="0.25">
      <c r="A1040" s="6">
        <v>1037</v>
      </c>
      <c r="B1040" s="1" t="str">
        <f t="shared" si="92"/>
        <v>2020-2774</v>
      </c>
      <c r="C1040" s="1" t="s">
        <v>1192</v>
      </c>
      <c r="D1040" s="1" t="s">
        <v>78</v>
      </c>
      <c r="E1040" s="1" t="str">
        <f>""</f>
        <v/>
      </c>
      <c r="F1040" s="1" t="s">
        <v>28</v>
      </c>
      <c r="G1040" s="1" t="str">
        <f t="shared" si="93"/>
        <v>SEKOM D.O.O., PALINOVEČKA 27, 10000 ZAGREB, OIB: 28813486193</v>
      </c>
      <c r="H1040" s="7"/>
      <c r="I1040" s="8" t="s">
        <v>250</v>
      </c>
      <c r="J1040" s="8" t="s">
        <v>231</v>
      </c>
      <c r="K1040" s="6" t="str">
        <f>"24.600,00"</f>
        <v>24.600,00</v>
      </c>
      <c r="L1040" s="6" t="str">
        <f>"6.150,00"</f>
        <v>6.150,00</v>
      </c>
      <c r="M1040" s="6" t="str">
        <f>"30.750,00"</f>
        <v>30.750,00</v>
      </c>
      <c r="N1040" s="8" t="s">
        <v>607</v>
      </c>
      <c r="O1040" s="7"/>
      <c r="P1040" s="2" t="s">
        <v>6315</v>
      </c>
      <c r="Q1040" s="7"/>
      <c r="R1040" s="1"/>
      <c r="S1040" s="1" t="str">
        <f>"7-22/NOS-50/20"</f>
        <v>7-22/NOS-50/20</v>
      </c>
      <c r="T1040" s="1" t="s">
        <v>32</v>
      </c>
    </row>
    <row r="1041" spans="1:20" ht="51" x14ac:dyDescent="0.25">
      <c r="A1041" s="6">
        <v>1038</v>
      </c>
      <c r="B1041" s="1" t="str">
        <f t="shared" si="92"/>
        <v>2020-2774</v>
      </c>
      <c r="C1041" s="1" t="s">
        <v>1192</v>
      </c>
      <c r="D1041" s="1" t="s">
        <v>78</v>
      </c>
      <c r="E1041" s="1" t="str">
        <f>""</f>
        <v/>
      </c>
      <c r="F1041" s="1" t="s">
        <v>28</v>
      </c>
      <c r="G1041" s="1" t="str">
        <f t="shared" si="93"/>
        <v>SEKOM D.O.O., PALINOVEČKA 27, 10000 ZAGREB, OIB: 28813486193</v>
      </c>
      <c r="H1041" s="7"/>
      <c r="I1041" s="8" t="s">
        <v>404</v>
      </c>
      <c r="J1041" s="8" t="s">
        <v>1188</v>
      </c>
      <c r="K1041" s="6" t="str">
        <f>"24.600,00"</f>
        <v>24.600,00</v>
      </c>
      <c r="L1041" s="6" t="str">
        <f>"6.150,00"</f>
        <v>6.150,00</v>
      </c>
      <c r="M1041" s="6" t="str">
        <f>"30.750,00"</f>
        <v>30.750,00</v>
      </c>
      <c r="N1041" s="8" t="s">
        <v>146</v>
      </c>
      <c r="O1041" s="7"/>
      <c r="P1041" s="2" t="s">
        <v>6315</v>
      </c>
      <c r="Q1041" s="7"/>
      <c r="R1041" s="1"/>
      <c r="S1041" s="1" t="str">
        <f>"9-22/NOS-50/20"</f>
        <v>9-22/NOS-50/20</v>
      </c>
      <c r="T1041" s="1" t="s">
        <v>32</v>
      </c>
    </row>
    <row r="1042" spans="1:20" ht="51" x14ac:dyDescent="0.25">
      <c r="A1042" s="6">
        <v>1039</v>
      </c>
      <c r="B1042" s="1" t="str">
        <f t="shared" si="92"/>
        <v>2020-2774</v>
      </c>
      <c r="C1042" s="1" t="s">
        <v>1192</v>
      </c>
      <c r="D1042" s="1" t="s">
        <v>78</v>
      </c>
      <c r="E1042" s="1" t="str">
        <f>""</f>
        <v/>
      </c>
      <c r="F1042" s="1" t="s">
        <v>28</v>
      </c>
      <c r="G1042" s="1" t="str">
        <f t="shared" si="93"/>
        <v>SEKOM D.O.O., PALINOVEČKA 27, 10000 ZAGREB, OIB: 28813486193</v>
      </c>
      <c r="H1042" s="7"/>
      <c r="I1042" s="8" t="s">
        <v>505</v>
      </c>
      <c r="J1042" s="8" t="s">
        <v>292</v>
      </c>
      <c r="K1042" s="6" t="str">
        <f>"3.150,00"</f>
        <v>3.150,00</v>
      </c>
      <c r="L1042" s="6" t="str">
        <f>"787,50"</f>
        <v>787,50</v>
      </c>
      <c r="M1042" s="6" t="str">
        <f>"3.937,50"</f>
        <v>3.937,50</v>
      </c>
      <c r="N1042" s="8" t="s">
        <v>1073</v>
      </c>
      <c r="O1042" s="7"/>
      <c r="P1042" s="2" t="s">
        <v>6318</v>
      </c>
      <c r="Q1042" s="7"/>
      <c r="R1042" s="1"/>
      <c r="S1042" s="1" t="str">
        <f>"8-22/NOS-50/20"</f>
        <v>8-22/NOS-50/20</v>
      </c>
      <c r="T1042" s="1" t="s">
        <v>32</v>
      </c>
    </row>
    <row r="1043" spans="1:20" ht="51" x14ac:dyDescent="0.25">
      <c r="A1043" s="6">
        <v>1040</v>
      </c>
      <c r="B1043" s="1" t="str">
        <f t="shared" si="92"/>
        <v>2020-2774</v>
      </c>
      <c r="C1043" s="1" t="s">
        <v>1192</v>
      </c>
      <c r="D1043" s="1" t="s">
        <v>78</v>
      </c>
      <c r="E1043" s="1" t="str">
        <f>""</f>
        <v/>
      </c>
      <c r="F1043" s="1" t="s">
        <v>28</v>
      </c>
      <c r="G1043" s="1" t="str">
        <f t="shared" si="93"/>
        <v>SEKOM D.O.O., PALINOVEČKA 27, 10000 ZAGREB, OIB: 28813486193</v>
      </c>
      <c r="H1043" s="7"/>
      <c r="I1043" s="8" t="s">
        <v>1155</v>
      </c>
      <c r="J1043" s="8" t="s">
        <v>231</v>
      </c>
      <c r="K1043" s="6" t="str">
        <f>"24.600,00"</f>
        <v>24.600,00</v>
      </c>
      <c r="L1043" s="6" t="str">
        <f>"6.150,00"</f>
        <v>6.150,00</v>
      </c>
      <c r="M1043" s="6" t="str">
        <f>"30.750,00"</f>
        <v>30.750,00</v>
      </c>
      <c r="N1043" s="8" t="s">
        <v>146</v>
      </c>
      <c r="O1043" s="7"/>
      <c r="P1043" s="2" t="s">
        <v>6315</v>
      </c>
      <c r="Q1043" s="7"/>
      <c r="R1043" s="1"/>
      <c r="S1043" s="1" t="str">
        <f>"10-22/NOS-50/20"</f>
        <v>10-22/NOS-50/20</v>
      </c>
      <c r="T1043" s="1" t="s">
        <v>32</v>
      </c>
    </row>
    <row r="1044" spans="1:20" ht="51" x14ac:dyDescent="0.25">
      <c r="A1044" s="6">
        <v>1041</v>
      </c>
      <c r="B1044" s="1" t="str">
        <f t="shared" si="92"/>
        <v>2020-2774</v>
      </c>
      <c r="C1044" s="1" t="s">
        <v>1192</v>
      </c>
      <c r="D1044" s="1" t="s">
        <v>78</v>
      </c>
      <c r="E1044" s="1" t="str">
        <f>""</f>
        <v/>
      </c>
      <c r="F1044" s="1" t="s">
        <v>28</v>
      </c>
      <c r="G1044" s="1" t="str">
        <f t="shared" si="93"/>
        <v>SEKOM D.O.O., PALINOVEČKA 27, 10000 ZAGREB, OIB: 28813486193</v>
      </c>
      <c r="H1044" s="7"/>
      <c r="I1044" s="8" t="s">
        <v>563</v>
      </c>
      <c r="J1044" s="8" t="s">
        <v>231</v>
      </c>
      <c r="K1044" s="6" t="str">
        <f>"49.200,00"</f>
        <v>49.200,00</v>
      </c>
      <c r="L1044" s="6" t="str">
        <f>"12.300,00"</f>
        <v>12.300,00</v>
      </c>
      <c r="M1044" s="6" t="str">
        <f>"61.500,00"</f>
        <v>61.500,00</v>
      </c>
      <c r="N1044" s="8" t="s">
        <v>146</v>
      </c>
      <c r="O1044" s="7"/>
      <c r="P1044" s="2" t="s">
        <v>6316</v>
      </c>
      <c r="Q1044" s="7"/>
      <c r="R1044" s="1"/>
      <c r="S1044" s="1" t="str">
        <f>"11-22/NOS-50/20"</f>
        <v>11-22/NOS-50/20</v>
      </c>
      <c r="T1044" s="1" t="s">
        <v>32</v>
      </c>
    </row>
    <row r="1045" spans="1:20" ht="51" x14ac:dyDescent="0.25">
      <c r="A1045" s="6">
        <v>1042</v>
      </c>
      <c r="B1045" s="1" t="str">
        <f t="shared" si="92"/>
        <v>2020-2774</v>
      </c>
      <c r="C1045" s="1" t="s">
        <v>1192</v>
      </c>
      <c r="D1045" s="1" t="s">
        <v>78</v>
      </c>
      <c r="E1045" s="1" t="str">
        <f>""</f>
        <v/>
      </c>
      <c r="F1045" s="1" t="s">
        <v>28</v>
      </c>
      <c r="G1045" s="1" t="str">
        <f t="shared" si="93"/>
        <v>SEKOM D.O.O., PALINOVEČKA 27, 10000 ZAGREB, OIB: 28813486193</v>
      </c>
      <c r="H1045" s="7"/>
      <c r="I1045" s="8" t="s">
        <v>310</v>
      </c>
      <c r="J1045" s="8" t="s">
        <v>1194</v>
      </c>
      <c r="K1045" s="6" t="str">
        <f>"374.100,00"</f>
        <v>374.100,00</v>
      </c>
      <c r="L1045" s="6" t="str">
        <f>"0,00"</f>
        <v>0,00</v>
      </c>
      <c r="M1045" s="6" t="str">
        <f>"374.100,00"</f>
        <v>374.100,00</v>
      </c>
      <c r="N1045" s="8" t="s">
        <v>124</v>
      </c>
      <c r="O1045" s="7"/>
      <c r="P1045" s="2" t="s">
        <v>5614</v>
      </c>
      <c r="Q1045" s="7"/>
      <c r="R1045" s="1"/>
      <c r="S1045" s="1" t="str">
        <f>"12-22/NOS-50/20"</f>
        <v>12-22/NOS-50/20</v>
      </c>
      <c r="T1045" s="1" t="s">
        <v>32</v>
      </c>
    </row>
    <row r="1046" spans="1:20" ht="51" x14ac:dyDescent="0.25">
      <c r="A1046" s="6">
        <v>1043</v>
      </c>
      <c r="B1046" s="1" t="str">
        <f t="shared" si="92"/>
        <v>2020-2774</v>
      </c>
      <c r="C1046" s="1" t="s">
        <v>1192</v>
      </c>
      <c r="D1046" s="1" t="s">
        <v>78</v>
      </c>
      <c r="E1046" s="1" t="str">
        <f>""</f>
        <v/>
      </c>
      <c r="F1046" s="1" t="s">
        <v>28</v>
      </c>
      <c r="G1046" s="1" t="str">
        <f t="shared" si="93"/>
        <v>SEKOM D.O.O., PALINOVEČKA 27, 10000 ZAGREB, OIB: 28813486193</v>
      </c>
      <c r="H1046" s="7"/>
      <c r="I1046" s="8" t="s">
        <v>947</v>
      </c>
      <c r="J1046" s="8" t="s">
        <v>231</v>
      </c>
      <c r="K1046" s="6" t="str">
        <f>"62.750,00"</f>
        <v>62.750,00</v>
      </c>
      <c r="L1046" s="6" t="str">
        <f>"15.687,50"</f>
        <v>15.687,50</v>
      </c>
      <c r="M1046" s="6" t="str">
        <f>"78.437,50"</f>
        <v>78.437,50</v>
      </c>
      <c r="N1046" s="8" t="s">
        <v>566</v>
      </c>
      <c r="O1046" s="7"/>
      <c r="P1046" s="2" t="s">
        <v>6319</v>
      </c>
      <c r="Q1046" s="7"/>
      <c r="R1046" s="1"/>
      <c r="S1046" s="1" t="str">
        <f>"13-22/NOS-50/20"</f>
        <v>13-22/NOS-50/20</v>
      </c>
      <c r="T1046" s="1" t="s">
        <v>32</v>
      </c>
    </row>
    <row r="1047" spans="1:20" ht="51" x14ac:dyDescent="0.25">
      <c r="A1047" s="6">
        <v>1044</v>
      </c>
      <c r="B1047" s="1" t="str">
        <f t="shared" si="92"/>
        <v>2020-2774</v>
      </c>
      <c r="C1047" s="1" t="s">
        <v>1192</v>
      </c>
      <c r="D1047" s="1" t="s">
        <v>78</v>
      </c>
      <c r="E1047" s="1" t="str">
        <f>""</f>
        <v/>
      </c>
      <c r="F1047" s="1" t="s">
        <v>28</v>
      </c>
      <c r="G1047" s="1" t="str">
        <f t="shared" si="93"/>
        <v>SEKOM D.O.O., PALINOVEČKA 27, 10000 ZAGREB, OIB: 28813486193</v>
      </c>
      <c r="H1047" s="7"/>
      <c r="I1047" s="8" t="s">
        <v>964</v>
      </c>
      <c r="J1047" s="8" t="s">
        <v>1148</v>
      </c>
      <c r="K1047" s="6" t="str">
        <f>"24.600,00"</f>
        <v>24.600,00</v>
      </c>
      <c r="L1047" s="6" t="str">
        <f>"6.150,00"</f>
        <v>6.150,00</v>
      </c>
      <c r="M1047" s="6" t="str">
        <f>"30.750,00"</f>
        <v>30.750,00</v>
      </c>
      <c r="N1047" s="8" t="s">
        <v>566</v>
      </c>
      <c r="O1047" s="7"/>
      <c r="P1047" s="2" t="s">
        <v>6315</v>
      </c>
      <c r="Q1047" s="7"/>
      <c r="R1047" s="1"/>
      <c r="S1047" s="1" t="str">
        <f>"14-22/NOS-50/20"</f>
        <v>14-22/NOS-50/20</v>
      </c>
      <c r="T1047" s="1" t="s">
        <v>32</v>
      </c>
    </row>
    <row r="1048" spans="1:20" ht="51" x14ac:dyDescent="0.25">
      <c r="A1048" s="6">
        <v>1045</v>
      </c>
      <c r="B1048" s="1" t="str">
        <f t="shared" si="92"/>
        <v>2020-2774</v>
      </c>
      <c r="C1048" s="1" t="s">
        <v>1192</v>
      </c>
      <c r="D1048" s="1" t="s">
        <v>78</v>
      </c>
      <c r="E1048" s="1" t="str">
        <f>""</f>
        <v/>
      </c>
      <c r="F1048" s="1" t="s">
        <v>28</v>
      </c>
      <c r="G1048" s="1" t="str">
        <f t="shared" si="93"/>
        <v>SEKOM D.O.O., PALINOVEČKA 27, 10000 ZAGREB, OIB: 28813486193</v>
      </c>
      <c r="H1048" s="7"/>
      <c r="I1048" s="8" t="s">
        <v>227</v>
      </c>
      <c r="J1048" s="8" t="s">
        <v>231</v>
      </c>
      <c r="K1048" s="6" t="str">
        <f>"24.600,00"</f>
        <v>24.600,00</v>
      </c>
      <c r="L1048" s="6" t="str">
        <f>"6.150,00"</f>
        <v>6.150,00</v>
      </c>
      <c r="M1048" s="6" t="str">
        <f>"30.750,00"</f>
        <v>30.750,00</v>
      </c>
      <c r="N1048" s="8" t="s">
        <v>146</v>
      </c>
      <c r="O1048" s="7"/>
      <c r="P1048" s="2" t="s">
        <v>6315</v>
      </c>
      <c r="Q1048" s="7"/>
      <c r="R1048" s="1"/>
      <c r="S1048" s="1" t="str">
        <f>"15-22/NOS-50/20"</f>
        <v>15-22/NOS-50/20</v>
      </c>
      <c r="T1048" s="1" t="s">
        <v>32</v>
      </c>
    </row>
    <row r="1049" spans="1:20" ht="51" x14ac:dyDescent="0.25">
      <c r="A1049" s="6">
        <v>1046</v>
      </c>
      <c r="B1049" s="1" t="str">
        <f t="shared" si="92"/>
        <v>2020-2774</v>
      </c>
      <c r="C1049" s="1" t="s">
        <v>1192</v>
      </c>
      <c r="D1049" s="1" t="s">
        <v>78</v>
      </c>
      <c r="E1049" s="1" t="str">
        <f>""</f>
        <v/>
      </c>
      <c r="F1049" s="1" t="s">
        <v>28</v>
      </c>
      <c r="G1049" s="1" t="str">
        <f t="shared" si="93"/>
        <v>SEKOM D.O.O., PALINOVEČKA 27, 10000 ZAGREB, OIB: 28813486193</v>
      </c>
      <c r="H1049" s="7"/>
      <c r="I1049" s="8" t="s">
        <v>121</v>
      </c>
      <c r="J1049" s="8" t="s">
        <v>1195</v>
      </c>
      <c r="K1049" s="6" t="str">
        <f>"106.650,00"</f>
        <v>106.650,00</v>
      </c>
      <c r="L1049" s="6" t="str">
        <f>"0,00"</f>
        <v>0,00</v>
      </c>
      <c r="M1049" s="6" t="str">
        <f>"106.650,00"</f>
        <v>106.650,00</v>
      </c>
      <c r="N1049" s="8" t="s">
        <v>124</v>
      </c>
      <c r="O1049" s="7"/>
      <c r="P1049" s="2" t="s">
        <v>5614</v>
      </c>
      <c r="Q1049" s="7"/>
      <c r="R1049" s="1"/>
      <c r="S1049" s="1" t="str">
        <f>"19-22/NOS-50/20"</f>
        <v>19-22/NOS-50/20</v>
      </c>
      <c r="T1049" s="1" t="s">
        <v>32</v>
      </c>
    </row>
    <row r="1050" spans="1:20" ht="51" x14ac:dyDescent="0.25">
      <c r="A1050" s="6">
        <v>1047</v>
      </c>
      <c r="B1050" s="1" t="str">
        <f t="shared" si="92"/>
        <v>2020-2774</v>
      </c>
      <c r="C1050" s="1" t="s">
        <v>1192</v>
      </c>
      <c r="D1050" s="1" t="s">
        <v>78</v>
      </c>
      <c r="E1050" s="1" t="str">
        <f>""</f>
        <v/>
      </c>
      <c r="F1050" s="1" t="s">
        <v>28</v>
      </c>
      <c r="G1050" s="1" t="str">
        <f t="shared" si="93"/>
        <v>SEKOM D.O.O., PALINOVEČKA 27, 10000 ZAGREB, OIB: 28813486193</v>
      </c>
      <c r="H1050" s="7"/>
      <c r="I1050" s="8" t="s">
        <v>121</v>
      </c>
      <c r="J1050" s="8" t="s">
        <v>1196</v>
      </c>
      <c r="K1050" s="6" t="str">
        <f>"98.400,00"</f>
        <v>98.400,00</v>
      </c>
      <c r="L1050" s="6" t="str">
        <f>"0,00"</f>
        <v>0,00</v>
      </c>
      <c r="M1050" s="6" t="str">
        <f>"98.400,00"</f>
        <v>98.400,00</v>
      </c>
      <c r="N1050" s="8" t="s">
        <v>124</v>
      </c>
      <c r="O1050" s="7"/>
      <c r="P1050" s="2" t="s">
        <v>5614</v>
      </c>
      <c r="Q1050" s="7"/>
      <c r="R1050" s="1"/>
      <c r="S1050" s="1" t="str">
        <f>"18-22/NOS-50/20"</f>
        <v>18-22/NOS-50/20</v>
      </c>
      <c r="T1050" s="1" t="s">
        <v>32</v>
      </c>
    </row>
    <row r="1051" spans="1:20" ht="63.75" x14ac:dyDescent="0.25">
      <c r="A1051" s="6">
        <v>1048</v>
      </c>
      <c r="B1051" s="1" t="str">
        <f>"2020-2648"</f>
        <v>2020-2648</v>
      </c>
      <c r="C1051" s="1" t="s">
        <v>1197</v>
      </c>
      <c r="D1051" s="1" t="s">
        <v>1198</v>
      </c>
      <c r="E1051" s="1" t="str">
        <f>"2020/S 0F2-0033427"</f>
        <v>2020/S 0F2-0033427</v>
      </c>
      <c r="F1051" s="1" t="s">
        <v>22</v>
      </c>
      <c r="G1051" s="1" t="str">
        <f>CONCATENATE("PISMORAD D.O.O.,"," INDUSTRIJSKA 5,"," 10431 SVETA NEDELJA-NOVAKI,"," OIB: 33260306505")</f>
        <v>PISMORAD D.O.O., INDUSTRIJSKA 5, 10431 SVETA NEDELJA-NOVAKI, OIB: 33260306505</v>
      </c>
      <c r="H1051" s="7"/>
      <c r="I1051" s="8" t="s">
        <v>1199</v>
      </c>
      <c r="J1051" s="8" t="s">
        <v>553</v>
      </c>
      <c r="K1051" s="6" t="str">
        <f>"2.500.000,00"</f>
        <v>2.500.000,00</v>
      </c>
      <c r="L1051" s="6" t="str">
        <f>"625.000,00"</f>
        <v>625.000,00</v>
      </c>
      <c r="M1051" s="6" t="str">
        <f>"3.125.000,00"</f>
        <v>3.125.000,00</v>
      </c>
      <c r="N1051" s="8" t="s">
        <v>1200</v>
      </c>
      <c r="O1051" s="7"/>
      <c r="P1051" s="2" t="s">
        <v>5614</v>
      </c>
      <c r="Q1051" s="7"/>
      <c r="R1051" s="1"/>
      <c r="S1051" s="1" t="str">
        <f>"NOS-42/20"</f>
        <v>NOS-42/20</v>
      </c>
      <c r="T1051" s="1" t="s">
        <v>32</v>
      </c>
    </row>
    <row r="1052" spans="1:20" ht="63.75" x14ac:dyDescent="0.25">
      <c r="A1052" s="6">
        <v>1049</v>
      </c>
      <c r="B1052" s="1" t="str">
        <f>"2020-2648"</f>
        <v>2020-2648</v>
      </c>
      <c r="C1052" s="1" t="s">
        <v>1197</v>
      </c>
      <c r="D1052" s="1" t="s">
        <v>1201</v>
      </c>
      <c r="E1052" s="1" t="str">
        <f>""</f>
        <v/>
      </c>
      <c r="F1052" s="1" t="s">
        <v>28</v>
      </c>
      <c r="G1052" s="1" t="str">
        <f>CONCATENATE("PISMORAD D.O.O.,"," INDUSTRIJSKA 5,"," 10431 SVETA NEDELJA-NOVAKI,"," OIB: 33260306505")</f>
        <v>PISMORAD D.O.O., INDUSTRIJSKA 5, 10431 SVETA NEDELJA-NOVAKI, OIB: 33260306505</v>
      </c>
      <c r="H1052" s="7"/>
      <c r="I1052" s="8" t="s">
        <v>744</v>
      </c>
      <c r="J1052" s="8" t="s">
        <v>423</v>
      </c>
      <c r="K1052" s="6" t="str">
        <f>"54.850,00"</f>
        <v>54.850,00</v>
      </c>
      <c r="L1052" s="6" t="str">
        <f>"0,00"</f>
        <v>0,00</v>
      </c>
      <c r="M1052" s="6" t="str">
        <f>"54.850,00"</f>
        <v>54.850,00</v>
      </c>
      <c r="N1052" s="8" t="s">
        <v>124</v>
      </c>
      <c r="O1052" s="7"/>
      <c r="P1052" s="2" t="s">
        <v>5614</v>
      </c>
      <c r="Q1052" s="7"/>
      <c r="R1052" s="1"/>
      <c r="S1052" s="1" t="str">
        <f>"1-22/NOS-42/20"</f>
        <v>1-22/NOS-42/20</v>
      </c>
      <c r="T1052" s="1" t="s">
        <v>32</v>
      </c>
    </row>
    <row r="1053" spans="1:20" ht="204" x14ac:dyDescent="0.25">
      <c r="A1053" s="6">
        <v>1050</v>
      </c>
      <c r="B1053" s="1" t="str">
        <f t="shared" ref="B1053:B1063" si="94">"2020-2790"</f>
        <v>2020-2790</v>
      </c>
      <c r="C1053" s="1" t="s">
        <v>1202</v>
      </c>
      <c r="D1053" s="1" t="s">
        <v>1203</v>
      </c>
      <c r="E1053" s="1" t="str">
        <f>"2020/S 0F2-0020502"</f>
        <v>2020/S 0F2-0020502</v>
      </c>
      <c r="F1053" s="1" t="s">
        <v>22</v>
      </c>
      <c r="G1053" s="1" t="str">
        <f>CONCATENATE("SMIT-COMMERCE D.O.O.,"," GORNJOSTUPNIČKA 9B,"," 10255 GORNJI STUPNIK,"," OIB: 95243482140",CHAR(10),"",CHAR(10),"INDUSTROOPREMA D.O.O.,"," RIMSKI PUT 11K,"," 10360 SESVETE,"," OIB: 01291306683",CHAR(10),"",CHAR(10),"COMET D.O.O.,"," VARAŽDINSKA 40/C,"," 42220 NOVI MAROF,"," OIB: 48249084626")</f>
        <v>SMIT-COMMERCE D.O.O., GORNJOSTUPNIČKA 9B, 10255 GORNJI STUPNIK, OIB: 95243482140
INDUSTROOPREMA D.O.O., RIMSKI PUT 11K, 10360 SESVETE, OIB: 01291306683
COMET D.O.O., VARAŽDINSKA 40/C, 42220 NOVI MAROF, OIB: 48249084626</v>
      </c>
      <c r="H1053" s="7"/>
      <c r="I1053" s="8" t="s">
        <v>1204</v>
      </c>
      <c r="J1053" s="8" t="s">
        <v>1205</v>
      </c>
      <c r="K1053" s="6" t="str">
        <f>"1.000.000,00"</f>
        <v>1.000.000,00</v>
      </c>
      <c r="L1053" s="6" t="str">
        <f>"250.000,00"</f>
        <v>250.000,00</v>
      </c>
      <c r="M1053" s="6" t="str">
        <f>"1.250.000,00"</f>
        <v>1.250.000,00</v>
      </c>
      <c r="N1053" s="8" t="s">
        <v>124</v>
      </c>
      <c r="O1053" s="7"/>
      <c r="P1053" s="2" t="s">
        <v>5614</v>
      </c>
      <c r="Q1053" s="7"/>
      <c r="R1053" s="1"/>
      <c r="S1053" s="1" t="str">
        <f>"NOS-46/20"</f>
        <v>NOS-46/20</v>
      </c>
      <c r="T1053" s="1" t="s">
        <v>27</v>
      </c>
    </row>
    <row r="1054" spans="1:20" ht="51" x14ac:dyDescent="0.25">
      <c r="A1054" s="6">
        <v>1051</v>
      </c>
      <c r="B1054" s="1" t="str">
        <f t="shared" si="94"/>
        <v>2020-2790</v>
      </c>
      <c r="C1054" s="1" t="s">
        <v>1202</v>
      </c>
      <c r="D1054" s="1" t="s">
        <v>1206</v>
      </c>
      <c r="E1054" s="1" t="str">
        <f>""</f>
        <v/>
      </c>
      <c r="F1054" s="1" t="s">
        <v>28</v>
      </c>
      <c r="G1054" s="1" t="str">
        <f>CONCATENATE("INDUSTROOPREMA D.O.O.,"," RIMSKI PUT 11K,"," 10360 SESVETE,"," OIB: 01291306683")</f>
        <v>INDUSTROOPREMA D.O.O., RIMSKI PUT 11K, 10360 SESVETE, OIB: 01291306683</v>
      </c>
      <c r="H1054" s="7"/>
      <c r="I1054" s="8" t="s">
        <v>80</v>
      </c>
      <c r="J1054" s="8" t="s">
        <v>292</v>
      </c>
      <c r="K1054" s="6" t="str">
        <f>"1.900,00"</f>
        <v>1.900,00</v>
      </c>
      <c r="L1054" s="6" t="str">
        <f>"475,00"</f>
        <v>475,00</v>
      </c>
      <c r="M1054" s="6" t="str">
        <f>"2.375,00"</f>
        <v>2.375,00</v>
      </c>
      <c r="N1054" s="8" t="s">
        <v>1139</v>
      </c>
      <c r="O1054" s="7"/>
      <c r="P1054" s="2" t="s">
        <v>6320</v>
      </c>
      <c r="Q1054" s="7"/>
      <c r="R1054" s="1"/>
      <c r="S1054" s="1" t="str">
        <f>"18-21/NOS-46/20"</f>
        <v>18-21/NOS-46/20</v>
      </c>
      <c r="T1054" s="1" t="s">
        <v>55</v>
      </c>
    </row>
    <row r="1055" spans="1:20" ht="51" x14ac:dyDescent="0.25">
      <c r="A1055" s="6">
        <v>1052</v>
      </c>
      <c r="B1055" s="1" t="str">
        <f t="shared" si="94"/>
        <v>2020-2790</v>
      </c>
      <c r="C1055" s="1" t="s">
        <v>1202</v>
      </c>
      <c r="D1055" s="1" t="s">
        <v>1206</v>
      </c>
      <c r="E1055" s="1" t="str">
        <f>""</f>
        <v/>
      </c>
      <c r="F1055" s="1" t="s">
        <v>28</v>
      </c>
      <c r="G1055" s="1" t="str">
        <f>CONCATENATE("COMET D.O.O.,"," VARAŽDINSKA 40/C,"," 42220 NOVI MAROF,"," OIB: 48249084626")</f>
        <v>COMET D.O.O., VARAŽDINSKA 40/C, 42220 NOVI MAROF, OIB: 48249084626</v>
      </c>
      <c r="H1055" s="7"/>
      <c r="I1055" s="8" t="s">
        <v>478</v>
      </c>
      <c r="J1055" s="8" t="s">
        <v>292</v>
      </c>
      <c r="K1055" s="6" t="str">
        <f>"384,00"</f>
        <v>384,00</v>
      </c>
      <c r="L1055" s="6" t="str">
        <f>"96,00"</f>
        <v>96,00</v>
      </c>
      <c r="M1055" s="6" t="str">
        <f>"480,00"</f>
        <v>480,00</v>
      </c>
      <c r="N1055" s="8" t="s">
        <v>505</v>
      </c>
      <c r="O1055" s="7"/>
      <c r="P1055" s="2" t="s">
        <v>6321</v>
      </c>
      <c r="Q1055" s="7"/>
      <c r="R1055" s="1"/>
      <c r="S1055" s="1" t="str">
        <f>"4-22/NOS-46/20"</f>
        <v>4-22/NOS-46/20</v>
      </c>
      <c r="T1055" s="1" t="s">
        <v>55</v>
      </c>
    </row>
    <row r="1056" spans="1:20" ht="76.5" x14ac:dyDescent="0.25">
      <c r="A1056" s="6">
        <v>1053</v>
      </c>
      <c r="B1056" s="1" t="str">
        <f t="shared" si="94"/>
        <v>2020-2790</v>
      </c>
      <c r="C1056" s="1" t="s">
        <v>1202</v>
      </c>
      <c r="D1056" s="1" t="s">
        <v>1206</v>
      </c>
      <c r="E1056" s="1" t="str">
        <f>""</f>
        <v/>
      </c>
      <c r="F1056" s="1" t="s">
        <v>28</v>
      </c>
      <c r="G1056" s="1" t="str">
        <f>CONCATENATE("SMIT-COMMERCE D.O.O.,"," GORNJOSTUPNIČKA 9B,"," 10255 GORNJI STUPNIK,"," OIB: 9524348214")</f>
        <v>SMIT-COMMERCE D.O.O., GORNJOSTUPNIČKA 9B, 10255 GORNJI STUPNIK, OIB: 9524348214</v>
      </c>
      <c r="H1056" s="7"/>
      <c r="I1056" s="8" t="s">
        <v>939</v>
      </c>
      <c r="J1056" s="8" t="s">
        <v>292</v>
      </c>
      <c r="K1056" s="6" t="str">
        <f>"29,90"</f>
        <v>29,90</v>
      </c>
      <c r="L1056" s="6" t="str">
        <f>"7,48"</f>
        <v>7,48</v>
      </c>
      <c r="M1056" s="6" t="str">
        <f>"37,38"</f>
        <v>37,38</v>
      </c>
      <c r="N1056" s="8" t="s">
        <v>931</v>
      </c>
      <c r="O1056" s="7"/>
      <c r="P1056" s="2" t="s">
        <v>6322</v>
      </c>
      <c r="Q1056" s="7"/>
      <c r="R1056" s="1"/>
      <c r="S1056" s="1" t="str">
        <f>"5-22/NOS-46/20"</f>
        <v>5-22/NOS-46/20</v>
      </c>
      <c r="T1056" s="1" t="s">
        <v>55</v>
      </c>
    </row>
    <row r="1057" spans="1:20" ht="51" x14ac:dyDescent="0.25">
      <c r="A1057" s="6">
        <v>1054</v>
      </c>
      <c r="B1057" s="1" t="str">
        <f t="shared" si="94"/>
        <v>2020-2790</v>
      </c>
      <c r="C1057" s="1" t="s">
        <v>1202</v>
      </c>
      <c r="D1057" s="1" t="s">
        <v>1206</v>
      </c>
      <c r="E1057" s="1" t="str">
        <f>""</f>
        <v/>
      </c>
      <c r="F1057" s="1" t="s">
        <v>28</v>
      </c>
      <c r="G1057" s="1" t="str">
        <f>CONCATENATE("INDUSTROOPREMA D.O.O.,"," RIMSKI PUT 11K,"," 10360 SESVETE,"," OIB: 01291306683")</f>
        <v>INDUSTROOPREMA D.O.O., RIMSKI PUT 11K, 10360 SESVETE, OIB: 01291306683</v>
      </c>
      <c r="H1057" s="7"/>
      <c r="I1057" s="8" t="s">
        <v>501</v>
      </c>
      <c r="J1057" s="8" t="s">
        <v>292</v>
      </c>
      <c r="K1057" s="6" t="str">
        <f>"942,00"</f>
        <v>942,00</v>
      </c>
      <c r="L1057" s="6" t="str">
        <f>"0,00"</f>
        <v>0,00</v>
      </c>
      <c r="M1057" s="6" t="str">
        <f>"942,00"</f>
        <v>942,00</v>
      </c>
      <c r="N1057" s="8" t="s">
        <v>124</v>
      </c>
      <c r="O1057" s="7"/>
      <c r="P1057" s="2" t="s">
        <v>5614</v>
      </c>
      <c r="Q1057" s="7"/>
      <c r="R1057" s="1"/>
      <c r="S1057" s="1" t="str">
        <f>"6-22/NOS-46/20"</f>
        <v>6-22/NOS-46/20</v>
      </c>
      <c r="T1057" s="7"/>
    </row>
    <row r="1058" spans="1:20" ht="51" x14ac:dyDescent="0.25">
      <c r="A1058" s="6">
        <v>1055</v>
      </c>
      <c r="B1058" s="1" t="str">
        <f t="shared" si="94"/>
        <v>2020-2790</v>
      </c>
      <c r="C1058" s="1" t="s">
        <v>1202</v>
      </c>
      <c r="D1058" s="1" t="s">
        <v>1206</v>
      </c>
      <c r="E1058" s="1" t="str">
        <f>""</f>
        <v/>
      </c>
      <c r="F1058" s="1" t="s">
        <v>28</v>
      </c>
      <c r="G1058" s="1" t="str">
        <f>CONCATENATE("INDUSTROOPREMA D.O.O.,"," RIMSKI PUT 11K,"," 10360 SESVETE,"," OIB: 01291306683")</f>
        <v>INDUSTROOPREMA D.O.O., RIMSKI PUT 11K, 10360 SESVETE, OIB: 01291306683</v>
      </c>
      <c r="H1058" s="7"/>
      <c r="I1058" s="8" t="s">
        <v>388</v>
      </c>
      <c r="J1058" s="8" t="s">
        <v>292</v>
      </c>
      <c r="K1058" s="6" t="str">
        <f>"950,00"</f>
        <v>950,00</v>
      </c>
      <c r="L1058" s="6" t="str">
        <f>"0,00"</f>
        <v>0,00</v>
      </c>
      <c r="M1058" s="6" t="str">
        <f>"950,00"</f>
        <v>950,00</v>
      </c>
      <c r="N1058" s="8" t="s">
        <v>124</v>
      </c>
      <c r="O1058" s="7"/>
      <c r="P1058" s="2" t="s">
        <v>5614</v>
      </c>
      <c r="Q1058" s="7"/>
      <c r="R1058" s="1"/>
      <c r="S1058" s="1" t="str">
        <f>"8-22/NOS-46/20"</f>
        <v>8-22/NOS-46/20</v>
      </c>
      <c r="T1058" s="1" t="s">
        <v>55</v>
      </c>
    </row>
    <row r="1059" spans="1:20" ht="51" x14ac:dyDescent="0.25">
      <c r="A1059" s="6">
        <v>1056</v>
      </c>
      <c r="B1059" s="1" t="str">
        <f t="shared" si="94"/>
        <v>2020-2790</v>
      </c>
      <c r="C1059" s="1" t="s">
        <v>1202</v>
      </c>
      <c r="D1059" s="1" t="s">
        <v>1206</v>
      </c>
      <c r="E1059" s="1" t="str">
        <f>""</f>
        <v/>
      </c>
      <c r="F1059" s="1" t="s">
        <v>28</v>
      </c>
      <c r="G1059" s="1" t="str">
        <f>CONCATENATE("INDUSTROOPREMA D.O.O.,"," RIMSKI PUT 11K,"," 10360 SESVETE,"," OIB: 01291306683")</f>
        <v>INDUSTROOPREMA D.O.O., RIMSKI PUT 11K, 10360 SESVETE, OIB: 01291306683</v>
      </c>
      <c r="H1059" s="7"/>
      <c r="I1059" s="8" t="s">
        <v>80</v>
      </c>
      <c r="J1059" s="8" t="s">
        <v>502</v>
      </c>
      <c r="K1059" s="6" t="str">
        <f>"3.250,00"</f>
        <v>3.250,00</v>
      </c>
      <c r="L1059" s="6" t="str">
        <f>"812,50"</f>
        <v>812,50</v>
      </c>
      <c r="M1059" s="6" t="str">
        <f>"4.062,50"</f>
        <v>4.062,50</v>
      </c>
      <c r="N1059" s="8" t="s">
        <v>706</v>
      </c>
      <c r="O1059" s="7"/>
      <c r="P1059" s="2" t="s">
        <v>6323</v>
      </c>
      <c r="Q1059" s="7"/>
      <c r="R1059" s="1"/>
      <c r="S1059" s="1" t="str">
        <f>"17-21/NOS-46/20"</f>
        <v>17-21/NOS-46/20</v>
      </c>
      <c r="T1059" s="1" t="s">
        <v>32</v>
      </c>
    </row>
    <row r="1060" spans="1:20" ht="51" x14ac:dyDescent="0.25">
      <c r="A1060" s="6">
        <v>1057</v>
      </c>
      <c r="B1060" s="1" t="str">
        <f t="shared" si="94"/>
        <v>2020-2790</v>
      </c>
      <c r="C1060" s="1" t="s">
        <v>1202</v>
      </c>
      <c r="D1060" s="1" t="s">
        <v>1206</v>
      </c>
      <c r="E1060" s="1" t="str">
        <f>""</f>
        <v/>
      </c>
      <c r="F1060" s="1" t="s">
        <v>28</v>
      </c>
      <c r="G1060" s="1" t="str">
        <f>CONCATENATE("INDUSTROOPREMA D.O.O.,"," RIMSKI PUT 11K,"," 10360 SESVETE,"," OIB: 01291306683")</f>
        <v>INDUSTROOPREMA D.O.O., RIMSKI PUT 11K, 10360 SESVETE, OIB: 01291306683</v>
      </c>
      <c r="H1060" s="7"/>
      <c r="I1060" s="8" t="s">
        <v>416</v>
      </c>
      <c r="J1060" s="8" t="s">
        <v>502</v>
      </c>
      <c r="K1060" s="6" t="str">
        <f>"3.999,00"</f>
        <v>3.999,00</v>
      </c>
      <c r="L1060" s="6" t="str">
        <f>"999,75"</f>
        <v>999,75</v>
      </c>
      <c r="M1060" s="6" t="str">
        <f>"4.998,75"</f>
        <v>4.998,75</v>
      </c>
      <c r="N1060" s="8" t="s">
        <v>226</v>
      </c>
      <c r="O1060" s="7"/>
      <c r="P1060" s="2" t="s">
        <v>6324</v>
      </c>
      <c r="Q1060" s="7"/>
      <c r="R1060" s="1"/>
      <c r="S1060" s="1" t="str">
        <f>"19-21/NOS-46/20"</f>
        <v>19-21/NOS-46/20</v>
      </c>
      <c r="T1060" s="1" t="s">
        <v>32</v>
      </c>
    </row>
    <row r="1061" spans="1:20" ht="76.5" x14ac:dyDescent="0.25">
      <c r="A1061" s="6">
        <v>1058</v>
      </c>
      <c r="B1061" s="1" t="str">
        <f t="shared" si="94"/>
        <v>2020-2790</v>
      </c>
      <c r="C1061" s="1" t="s">
        <v>1202</v>
      </c>
      <c r="D1061" s="1" t="s">
        <v>1206</v>
      </c>
      <c r="E1061" s="1" t="str">
        <f>""</f>
        <v/>
      </c>
      <c r="F1061" s="1" t="s">
        <v>28</v>
      </c>
      <c r="G1061" s="1" t="str">
        <f>CONCATENATE("SMIT-COMMERCE D.O.O.,"," GORNJOSTUPNIČKA 9B,"," 10255 GORNJI STUPNIK,"," OIB: 9524348214")</f>
        <v>SMIT-COMMERCE D.O.O., GORNJOSTUPNIČKA 9B, 10255 GORNJI STUPNIK, OIB: 9524348214</v>
      </c>
      <c r="H1061" s="7"/>
      <c r="I1061" s="8" t="s">
        <v>921</v>
      </c>
      <c r="J1061" s="8" t="s">
        <v>250</v>
      </c>
      <c r="K1061" s="6" t="str">
        <f>"1.443,85"</f>
        <v>1.443,85</v>
      </c>
      <c r="L1061" s="6" t="str">
        <f>"360,96"</f>
        <v>360,96</v>
      </c>
      <c r="M1061" s="6" t="str">
        <f>"1.804,81"</f>
        <v>1.804,81</v>
      </c>
      <c r="N1061" s="8" t="s">
        <v>426</v>
      </c>
      <c r="O1061" s="7"/>
      <c r="P1061" s="2" t="s">
        <v>6325</v>
      </c>
      <c r="Q1061" s="7"/>
      <c r="R1061" s="1"/>
      <c r="S1061" s="1" t="str">
        <f>"2-22/NOS-46/20"</f>
        <v>2-22/NOS-46/20</v>
      </c>
      <c r="T1061" s="1" t="s">
        <v>32</v>
      </c>
    </row>
    <row r="1062" spans="1:20" ht="76.5" x14ac:dyDescent="0.25">
      <c r="A1062" s="6">
        <v>1059</v>
      </c>
      <c r="B1062" s="1" t="str">
        <f t="shared" si="94"/>
        <v>2020-2790</v>
      </c>
      <c r="C1062" s="1" t="s">
        <v>1202</v>
      </c>
      <c r="D1062" s="1" t="s">
        <v>1206</v>
      </c>
      <c r="E1062" s="1" t="str">
        <f>""</f>
        <v/>
      </c>
      <c r="F1062" s="1" t="s">
        <v>28</v>
      </c>
      <c r="G1062" s="1" t="str">
        <f>CONCATENATE("SMIT-COMMERCE D.O.O.,"," GORNJOSTUPNIČKA 9B,"," 10255 GORNJI STUPNIK,"," OIB: 9524348214")</f>
        <v>SMIT-COMMERCE D.O.O., GORNJOSTUPNIČKA 9B, 10255 GORNJI STUPNIK, OIB: 9524348214</v>
      </c>
      <c r="H1062" s="7"/>
      <c r="I1062" s="8" t="s">
        <v>291</v>
      </c>
      <c r="J1062" s="8" t="s">
        <v>404</v>
      </c>
      <c r="K1062" s="6" t="str">
        <f>"7.592,26"</f>
        <v>7.592,26</v>
      </c>
      <c r="L1062" s="6" t="str">
        <f>"1.898,07"</f>
        <v>1.898,07</v>
      </c>
      <c r="M1062" s="6" t="str">
        <f>"9.490,33"</f>
        <v>9.490,33</v>
      </c>
      <c r="N1062" s="8" t="s">
        <v>406</v>
      </c>
      <c r="O1062" s="7"/>
      <c r="P1062" s="2" t="s">
        <v>6326</v>
      </c>
      <c r="Q1062" s="7"/>
      <c r="R1062" s="1"/>
      <c r="S1062" s="1" t="str">
        <f>"1-22/NOS-46/20"</f>
        <v>1-22/NOS-46/20</v>
      </c>
      <c r="T1062" s="1" t="s">
        <v>32</v>
      </c>
    </row>
    <row r="1063" spans="1:20" ht="76.5" x14ac:dyDescent="0.25">
      <c r="A1063" s="6">
        <v>1060</v>
      </c>
      <c r="B1063" s="1" t="str">
        <f t="shared" si="94"/>
        <v>2020-2790</v>
      </c>
      <c r="C1063" s="1" t="s">
        <v>1202</v>
      </c>
      <c r="D1063" s="1" t="s">
        <v>1206</v>
      </c>
      <c r="E1063" s="1" t="str">
        <f>""</f>
        <v/>
      </c>
      <c r="F1063" s="1" t="s">
        <v>28</v>
      </c>
      <c r="G1063" s="1" t="str">
        <f>CONCATENATE("SMIT-COMMERCE D.O.O.,"," GORNJOSTUPNIČKA 9B,"," 10255 GORNJI STUPNIK,"," OIB: 9524348214")</f>
        <v>SMIT-COMMERCE D.O.O., GORNJOSTUPNIČKA 9B, 10255 GORNJI STUPNIK, OIB: 9524348214</v>
      </c>
      <c r="H1063" s="7"/>
      <c r="I1063" s="8" t="s">
        <v>415</v>
      </c>
      <c r="J1063" s="8" t="s">
        <v>409</v>
      </c>
      <c r="K1063" s="6" t="str">
        <f>"1.159,20"</f>
        <v>1.159,20</v>
      </c>
      <c r="L1063" s="6" t="str">
        <f>"289,80"</f>
        <v>289,80</v>
      </c>
      <c r="M1063" s="6" t="str">
        <f>"1.449,00"</f>
        <v>1.449,00</v>
      </c>
      <c r="N1063" s="8" t="s">
        <v>124</v>
      </c>
      <c r="O1063" s="7"/>
      <c r="P1063" s="2" t="s">
        <v>5614</v>
      </c>
      <c r="Q1063" s="7"/>
      <c r="R1063" s="1"/>
      <c r="S1063" s="1" t="str">
        <f>"3-22/NOS-46/20"</f>
        <v>3-22/NOS-46/20</v>
      </c>
      <c r="T1063" s="1" t="s">
        <v>32</v>
      </c>
    </row>
    <row r="1064" spans="1:20" ht="51" x14ac:dyDescent="0.25">
      <c r="A1064" s="6">
        <v>1061</v>
      </c>
      <c r="B1064" s="1" t="str">
        <f>"2020-2771"</f>
        <v>2020-2771</v>
      </c>
      <c r="C1064" s="1" t="s">
        <v>1207</v>
      </c>
      <c r="D1064" s="1" t="s">
        <v>74</v>
      </c>
      <c r="E1064" s="1" t="str">
        <f>"2020/S 0F2-0036003"</f>
        <v>2020/S 0F2-0036003</v>
      </c>
      <c r="F1064" s="1" t="s">
        <v>22</v>
      </c>
      <c r="G1064" s="1" t="str">
        <f>CONCATENATE("KOR D.O.O.,"," KRANJČEVIĆEVA 69,"," 10000 ZAGREB,"," OIB: 5726156876")</f>
        <v>KOR D.O.O., KRANJČEVIĆEVA 69, 10000 ZAGREB, OIB: 5726156876</v>
      </c>
      <c r="H1064" s="7"/>
      <c r="I1064" s="8" t="s">
        <v>1185</v>
      </c>
      <c r="J1064" s="8" t="s">
        <v>137</v>
      </c>
      <c r="K1064" s="6" t="str">
        <f>"650.000,00"</f>
        <v>650.000,00</v>
      </c>
      <c r="L1064" s="6" t="str">
        <f>"162.500,00"</f>
        <v>162.500,00</v>
      </c>
      <c r="M1064" s="6" t="str">
        <f>"812.500,00"</f>
        <v>812.500,00</v>
      </c>
      <c r="N1064" s="8" t="s">
        <v>80</v>
      </c>
      <c r="O1064" s="7"/>
      <c r="P1064" s="2" t="s">
        <v>5614</v>
      </c>
      <c r="Q1064" s="7"/>
      <c r="R1064" s="1"/>
      <c r="S1064" s="1" t="str">
        <f>"NOS-48/20"</f>
        <v>NOS-48/20</v>
      </c>
      <c r="T1064" s="1" t="s">
        <v>32</v>
      </c>
    </row>
    <row r="1065" spans="1:20" ht="51" x14ac:dyDescent="0.25">
      <c r="A1065" s="6">
        <v>1062</v>
      </c>
      <c r="B1065" s="1" t="str">
        <f>"2020-2771"</f>
        <v>2020-2771</v>
      </c>
      <c r="C1065" s="1" t="s">
        <v>1207</v>
      </c>
      <c r="D1065" s="1" t="s">
        <v>78</v>
      </c>
      <c r="E1065" s="1" t="str">
        <f>""</f>
        <v/>
      </c>
      <c r="F1065" s="1" t="s">
        <v>28</v>
      </c>
      <c r="G1065" s="1" t="str">
        <f>CONCATENATE("KOR D.O.O.,"," KRANJČEVIĆEVA 69,"," 10000 ZAGREB,"," OIB: 5726156876")</f>
        <v>KOR D.O.O., KRANJČEVIĆEVA 69, 10000 ZAGREB, OIB: 5726156876</v>
      </c>
      <c r="H1065" s="7"/>
      <c r="I1065" s="8" t="s">
        <v>177</v>
      </c>
      <c r="J1065" s="8" t="s">
        <v>53</v>
      </c>
      <c r="K1065" s="6" t="str">
        <f>"191.846,00"</f>
        <v>191.846,00</v>
      </c>
      <c r="L1065" s="6" t="str">
        <f>"47.961,50"</f>
        <v>47.961,50</v>
      </c>
      <c r="M1065" s="6" t="str">
        <f>"239.807,50"</f>
        <v>239.807,50</v>
      </c>
      <c r="N1065" s="8" t="s">
        <v>487</v>
      </c>
      <c r="O1065" s="7"/>
      <c r="P1065" s="2" t="s">
        <v>6327</v>
      </c>
      <c r="Q1065" s="7"/>
      <c r="R1065" s="1"/>
      <c r="S1065" s="1" t="str">
        <f>"2-21/NOS-48/20"</f>
        <v>2-21/NOS-48/20</v>
      </c>
      <c r="T1065" s="1" t="s">
        <v>32</v>
      </c>
    </row>
    <row r="1066" spans="1:20" ht="51" x14ac:dyDescent="0.25">
      <c r="A1066" s="6">
        <v>1063</v>
      </c>
      <c r="B1066" s="1" t="str">
        <f>"2020-1355"</f>
        <v>2020-1355</v>
      </c>
      <c r="C1066" s="1" t="s">
        <v>1208</v>
      </c>
      <c r="D1066" s="1" t="s">
        <v>1209</v>
      </c>
      <c r="E1066" s="1" t="str">
        <f>"2020/S 0F2-0039335"</f>
        <v>2020/S 0F2-0039335</v>
      </c>
      <c r="F1066" s="1" t="s">
        <v>22</v>
      </c>
      <c r="G1066" s="1" t="str">
        <f>CONCATENATE("ENDRESS + HAUSER D.O.O.,"," JARUŠČICA 23,"," 10000 ZAGREB,"," OIB: 7265450036")</f>
        <v>ENDRESS + HAUSER D.O.O., JARUŠČICA 23, 10000 ZAGREB, OIB: 7265450036</v>
      </c>
      <c r="H1066" s="7"/>
      <c r="I1066" s="8" t="s">
        <v>1210</v>
      </c>
      <c r="J1066" s="8" t="s">
        <v>1193</v>
      </c>
      <c r="K1066" s="6" t="str">
        <f>"500.000,00"</f>
        <v>500.000,00</v>
      </c>
      <c r="L1066" s="6" t="str">
        <f>"125.000,00"</f>
        <v>125.000,00</v>
      </c>
      <c r="M1066" s="6" t="str">
        <f>"625.000,00"</f>
        <v>625.000,00</v>
      </c>
      <c r="N1066" s="8" t="s">
        <v>124</v>
      </c>
      <c r="O1066" s="7"/>
      <c r="P1066" s="2" t="s">
        <v>5614</v>
      </c>
      <c r="Q1066" s="7"/>
      <c r="R1066" s="1"/>
      <c r="S1066" s="1" t="str">
        <f>"NOS-52/20"</f>
        <v>NOS-52/20</v>
      </c>
      <c r="T1066" s="1" t="s">
        <v>55</v>
      </c>
    </row>
    <row r="1067" spans="1:20" ht="51" x14ac:dyDescent="0.25">
      <c r="A1067" s="6">
        <v>1064</v>
      </c>
      <c r="B1067" s="1" t="str">
        <f>"2020-1355"</f>
        <v>2020-1355</v>
      </c>
      <c r="C1067" s="1" t="s">
        <v>1208</v>
      </c>
      <c r="D1067" s="1" t="s">
        <v>1209</v>
      </c>
      <c r="E1067" s="1" t="str">
        <f>""</f>
        <v/>
      </c>
      <c r="F1067" s="1" t="s">
        <v>28</v>
      </c>
      <c r="G1067" s="1" t="str">
        <f>CONCATENATE("ENDRESS + HAUSER D.O.O.,"," JARUŠČICA 23,"," 10000 ZAGREB,"," OIB: 7265450036")</f>
        <v>ENDRESS + HAUSER D.O.O., JARUŠČICA 23, 10000 ZAGREB, OIB: 7265450036</v>
      </c>
      <c r="H1067" s="7"/>
      <c r="I1067" s="8" t="s">
        <v>310</v>
      </c>
      <c r="J1067" s="8" t="s">
        <v>519</v>
      </c>
      <c r="K1067" s="6" t="str">
        <f>"31.112,73"</f>
        <v>31.112,73</v>
      </c>
      <c r="L1067" s="6" t="str">
        <f>"0,00"</f>
        <v>0,00</v>
      </c>
      <c r="M1067" s="6" t="str">
        <f>"31.112,73"</f>
        <v>31.112,73</v>
      </c>
      <c r="N1067" s="8" t="s">
        <v>124</v>
      </c>
      <c r="O1067" s="7"/>
      <c r="P1067" s="2" t="s">
        <v>5614</v>
      </c>
      <c r="Q1067" s="7"/>
      <c r="R1067" s="1"/>
      <c r="S1067" s="1" t="str">
        <f>"1-22/NOS-52/20"</f>
        <v>1-22/NOS-52/20</v>
      </c>
      <c r="T1067" s="1" t="s">
        <v>55</v>
      </c>
    </row>
    <row r="1068" spans="1:20" ht="191.25" x14ac:dyDescent="0.25">
      <c r="A1068" s="6">
        <v>1065</v>
      </c>
      <c r="B1068" s="1" t="str">
        <f>"2020-632"</f>
        <v>2020-632</v>
      </c>
      <c r="C1068" s="1" t="s">
        <v>1211</v>
      </c>
      <c r="D1068" s="1" t="s">
        <v>165</v>
      </c>
      <c r="E1068" s="1" t="str">
        <f>"2020/S 0F2-0024254"</f>
        <v>2020/S 0F2-0024254</v>
      </c>
      <c r="F1068" s="1" t="s">
        <v>22</v>
      </c>
      <c r="G1068" s="1" t="str">
        <f>CONCATENATE("EKO-FLOR PLUS D.O.O.,"," MOKRICE 180C,"," 49243 OROSLAVJE,"," OIB: 50730247993")</f>
        <v>EKO-FLOR PLUS D.O.O., MOKRICE 180C, 49243 OROSLAVJE, OIB: 50730247993</v>
      </c>
      <c r="H1068" s="7"/>
      <c r="I1068" s="8" t="s">
        <v>313</v>
      </c>
      <c r="J1068" s="8" t="s">
        <v>1205</v>
      </c>
      <c r="K1068" s="6" t="str">
        <f>"1.050.000,00"</f>
        <v>1.050.000,00</v>
      </c>
      <c r="L1068" s="6" t="str">
        <f>"262.500,00"</f>
        <v>262.500,00</v>
      </c>
      <c r="M1068" s="6" t="str">
        <f>"1.312.500,00"</f>
        <v>1.312.500,00</v>
      </c>
      <c r="N1068" s="8" t="s">
        <v>124</v>
      </c>
      <c r="O1068" s="7"/>
      <c r="P1068" s="2" t="s">
        <v>5614</v>
      </c>
      <c r="Q1068" s="7"/>
      <c r="R1068" s="1"/>
      <c r="S1068" s="1" t="str">
        <f>"NOS-53-2/20"</f>
        <v>NOS-53-2/20</v>
      </c>
      <c r="T1068" s="1" t="s">
        <v>32</v>
      </c>
    </row>
    <row r="1069" spans="1:20" ht="191.25" x14ac:dyDescent="0.25">
      <c r="A1069" s="6">
        <v>1066</v>
      </c>
      <c r="B1069" s="1" t="str">
        <f>"2020-632"</f>
        <v>2020-632</v>
      </c>
      <c r="C1069" s="1" t="s">
        <v>1211</v>
      </c>
      <c r="D1069" s="1" t="s">
        <v>167</v>
      </c>
      <c r="E1069" s="1" t="str">
        <f>""</f>
        <v/>
      </c>
      <c r="F1069" s="1" t="s">
        <v>28</v>
      </c>
      <c r="G1069" s="1" t="str">
        <f>CONCATENATE("EKO-FLOR PLUS D.O.O.,"," MOKRICE 180C,"," 49243 OROSLAVJE,"," OIB: 50730247993")</f>
        <v>EKO-FLOR PLUS D.O.O., MOKRICE 180C, 49243 OROSLAVJE, OIB: 50730247993</v>
      </c>
      <c r="H1069" s="7"/>
      <c r="I1069" s="8" t="s">
        <v>30</v>
      </c>
      <c r="J1069" s="8" t="s">
        <v>555</v>
      </c>
      <c r="K1069" s="6" t="str">
        <f>"7.768,66"</f>
        <v>7.768,66</v>
      </c>
      <c r="L1069" s="6" t="str">
        <f>"1.919,67"</f>
        <v>1.919,67</v>
      </c>
      <c r="M1069" s="6" t="str">
        <f>"9.688,33"</f>
        <v>9.688,33</v>
      </c>
      <c r="N1069" s="8" t="s">
        <v>862</v>
      </c>
      <c r="O1069" s="7"/>
      <c r="P1069" s="2" t="s">
        <v>6328</v>
      </c>
      <c r="Q1069" s="7"/>
      <c r="R1069" s="1"/>
      <c r="S1069" s="1" t="str">
        <f>"1-22/NOS-53-2/20"</f>
        <v>1-22/NOS-53-2/20</v>
      </c>
      <c r="T1069" s="1" t="s">
        <v>32</v>
      </c>
    </row>
    <row r="1070" spans="1:20" ht="114.75" x14ac:dyDescent="0.25">
      <c r="A1070" s="6">
        <v>1067</v>
      </c>
      <c r="B1070" s="1" t="str">
        <f t="shared" ref="B1070:B1085" si="95">"2020-1635"</f>
        <v>2020-1635</v>
      </c>
      <c r="C1070" s="1" t="s">
        <v>1212</v>
      </c>
      <c r="D1070" s="1" t="s">
        <v>914</v>
      </c>
      <c r="E1070" s="1" t="str">
        <f>"2020/S 0F2-0031969"</f>
        <v>2020/S 0F2-0031969</v>
      </c>
      <c r="F1070" s="1" t="s">
        <v>22</v>
      </c>
      <c r="G1070" s="1" t="str">
        <f t="shared" ref="G1070:G1076" si="96">CONCATENATE("KOMOP D.O.O.,"," KOVINSKA 21,"," 10090 ZAGREB-SUSEDGRAD,"," OIB: 34604587904")</f>
        <v>KOMOP D.O.O., KOVINSKA 21, 10090 ZAGREB-SUSEDGRAD, OIB: 34604587904</v>
      </c>
      <c r="H1070" s="7"/>
      <c r="I1070" s="8" t="s">
        <v>1213</v>
      </c>
      <c r="J1070" s="8" t="s">
        <v>112</v>
      </c>
      <c r="K1070" s="6" t="str">
        <f>"2.000.000,00"</f>
        <v>2.000.000,00</v>
      </c>
      <c r="L1070" s="6" t="str">
        <f>"500.000,00"</f>
        <v>500.000,00</v>
      </c>
      <c r="M1070" s="6" t="str">
        <f>"2.500.000,00"</f>
        <v>2.500.000,00</v>
      </c>
      <c r="N1070" s="8" t="s">
        <v>121</v>
      </c>
      <c r="O1070" s="7"/>
      <c r="P1070" s="2" t="s">
        <v>5614</v>
      </c>
      <c r="Q1070" s="7"/>
      <c r="R1070" s="1"/>
      <c r="S1070" s="1" t="str">
        <f>"NOS-61-1/20"</f>
        <v>NOS-61-1/20</v>
      </c>
      <c r="T1070" s="1" t="s">
        <v>32</v>
      </c>
    </row>
    <row r="1071" spans="1:20" ht="127.5" x14ac:dyDescent="0.25">
      <c r="A1071" s="6">
        <v>1068</v>
      </c>
      <c r="B1071" s="1" t="str">
        <f t="shared" si="95"/>
        <v>2020-1635</v>
      </c>
      <c r="C1071" s="1" t="s">
        <v>1214</v>
      </c>
      <c r="D1071" s="1" t="s">
        <v>1116</v>
      </c>
      <c r="E1071" s="1" t="str">
        <f>""</f>
        <v/>
      </c>
      <c r="F1071" s="1" t="s">
        <v>28</v>
      </c>
      <c r="G1071" s="1" t="str">
        <f t="shared" si="96"/>
        <v>KOMOP D.O.O., KOVINSKA 21, 10090 ZAGREB-SUSEDGRAD, OIB: 34604587904</v>
      </c>
      <c r="H1071" s="7"/>
      <c r="I1071" s="8" t="s">
        <v>183</v>
      </c>
      <c r="J1071" s="8" t="s">
        <v>57</v>
      </c>
      <c r="K1071" s="6" t="str">
        <f>"361.877,33"</f>
        <v>361.877,33</v>
      </c>
      <c r="L1071" s="6" t="str">
        <f>"90.469,33"</f>
        <v>90.469,33</v>
      </c>
      <c r="M1071" s="6" t="str">
        <f>"452.346,66"</f>
        <v>452.346,66</v>
      </c>
      <c r="N1071" s="8" t="s">
        <v>345</v>
      </c>
      <c r="O1071" s="7"/>
      <c r="P1071" s="2" t="s">
        <v>6329</v>
      </c>
      <c r="Q1071" s="7"/>
      <c r="R1071" s="1"/>
      <c r="S1071" s="1" t="str">
        <f>"5-21/NOS-61-1/20"</f>
        <v>5-21/NOS-61-1/20</v>
      </c>
      <c r="T1071" s="1" t="s">
        <v>32</v>
      </c>
    </row>
    <row r="1072" spans="1:20" ht="76.5" x14ac:dyDescent="0.25">
      <c r="A1072" s="6">
        <v>1069</v>
      </c>
      <c r="B1072" s="1" t="str">
        <f t="shared" si="95"/>
        <v>2020-1635</v>
      </c>
      <c r="C1072" s="1" t="s">
        <v>1215</v>
      </c>
      <c r="D1072" s="1" t="s">
        <v>1116</v>
      </c>
      <c r="E1072" s="1" t="str">
        <f>""</f>
        <v/>
      </c>
      <c r="F1072" s="1" t="s">
        <v>28</v>
      </c>
      <c r="G1072" s="1" t="str">
        <f t="shared" si="96"/>
        <v>KOMOP D.O.O., KOVINSKA 21, 10090 ZAGREB-SUSEDGRAD, OIB: 34604587904</v>
      </c>
      <c r="H1072" s="7"/>
      <c r="I1072" s="8" t="s">
        <v>42</v>
      </c>
      <c r="J1072" s="8" t="s">
        <v>875</v>
      </c>
      <c r="K1072" s="6" t="str">
        <f>"499.975,02"</f>
        <v>499.975,02</v>
      </c>
      <c r="L1072" s="6" t="str">
        <f>"124.993,76"</f>
        <v>124.993,76</v>
      </c>
      <c r="M1072" s="6" t="str">
        <f>"624.968,78"</f>
        <v>624.968,78</v>
      </c>
      <c r="N1072" s="8" t="s">
        <v>170</v>
      </c>
      <c r="O1072" s="7"/>
      <c r="P1072" s="2" t="s">
        <v>6330</v>
      </c>
      <c r="Q1072" s="7"/>
      <c r="R1072" s="1"/>
      <c r="S1072" s="1" t="str">
        <f>"3-22/NOS-61-1/20"</f>
        <v>3-22/NOS-61-1/20</v>
      </c>
      <c r="T1072" s="1" t="s">
        <v>32</v>
      </c>
    </row>
    <row r="1073" spans="1:20" ht="114.75" x14ac:dyDescent="0.25">
      <c r="A1073" s="6">
        <v>1070</v>
      </c>
      <c r="B1073" s="1" t="str">
        <f t="shared" si="95"/>
        <v>2020-1635</v>
      </c>
      <c r="C1073" s="1" t="s">
        <v>1212</v>
      </c>
      <c r="D1073" s="1" t="s">
        <v>1116</v>
      </c>
      <c r="E1073" s="1" t="str">
        <f>""</f>
        <v/>
      </c>
      <c r="F1073" s="1" t="s">
        <v>28</v>
      </c>
      <c r="G1073" s="1" t="str">
        <f t="shared" si="96"/>
        <v>KOMOP D.O.O., KOVINSKA 21, 10090 ZAGREB-SUSEDGRAD, OIB: 34604587904</v>
      </c>
      <c r="H1073" s="7"/>
      <c r="I1073" s="8" t="s">
        <v>421</v>
      </c>
      <c r="J1073" s="8" t="s">
        <v>292</v>
      </c>
      <c r="K1073" s="6" t="str">
        <f>"4.431,55"</f>
        <v>4.431,55</v>
      </c>
      <c r="L1073" s="6" t="str">
        <f>"1.107,89"</f>
        <v>1.107,89</v>
      </c>
      <c r="M1073" s="6" t="str">
        <f>"5.539,44"</f>
        <v>5.539,44</v>
      </c>
      <c r="N1073" s="8" t="s">
        <v>345</v>
      </c>
      <c r="O1073" s="7"/>
      <c r="P1073" s="2" t="s">
        <v>6331</v>
      </c>
      <c r="Q1073" s="7"/>
      <c r="R1073" s="1"/>
      <c r="S1073" s="1" t="str">
        <f>"1-22/NOS-61-1/20"</f>
        <v>1-22/NOS-61-1/20</v>
      </c>
      <c r="T1073" s="1" t="s">
        <v>32</v>
      </c>
    </row>
    <row r="1074" spans="1:20" ht="114.75" x14ac:dyDescent="0.25">
      <c r="A1074" s="6">
        <v>1071</v>
      </c>
      <c r="B1074" s="1" t="str">
        <f t="shared" si="95"/>
        <v>2020-1635</v>
      </c>
      <c r="C1074" s="1" t="s">
        <v>1212</v>
      </c>
      <c r="D1074" s="1" t="s">
        <v>1116</v>
      </c>
      <c r="E1074" s="1" t="str">
        <f>""</f>
        <v/>
      </c>
      <c r="F1074" s="1" t="s">
        <v>28</v>
      </c>
      <c r="G1074" s="1" t="str">
        <f t="shared" si="96"/>
        <v>KOMOP D.O.O., KOVINSKA 21, 10090 ZAGREB-SUSEDGRAD, OIB: 34604587904</v>
      </c>
      <c r="H1074" s="7"/>
      <c r="I1074" s="8" t="s">
        <v>127</v>
      </c>
      <c r="J1074" s="8" t="s">
        <v>292</v>
      </c>
      <c r="K1074" s="6" t="str">
        <f>"27.384,96"</f>
        <v>27.384,96</v>
      </c>
      <c r="L1074" s="6" t="str">
        <f>"6.846,25"</f>
        <v>6.846,25</v>
      </c>
      <c r="M1074" s="6" t="str">
        <f>"34.231,21"</f>
        <v>34.231,21</v>
      </c>
      <c r="N1074" s="8" t="s">
        <v>994</v>
      </c>
      <c r="O1074" s="7"/>
      <c r="P1074" s="2" t="s">
        <v>6332</v>
      </c>
      <c r="Q1074" s="7"/>
      <c r="R1074" s="1"/>
      <c r="S1074" s="1" t="str">
        <f>"2-22/NOS-61-1/20"</f>
        <v>2-22/NOS-61-1/20</v>
      </c>
      <c r="T1074" s="1" t="s">
        <v>32</v>
      </c>
    </row>
    <row r="1075" spans="1:20" ht="114.75" x14ac:dyDescent="0.25">
      <c r="A1075" s="6">
        <v>1072</v>
      </c>
      <c r="B1075" s="1" t="str">
        <f t="shared" si="95"/>
        <v>2020-1635</v>
      </c>
      <c r="C1075" s="1" t="s">
        <v>1212</v>
      </c>
      <c r="D1075" s="1" t="s">
        <v>1116</v>
      </c>
      <c r="E1075" s="1" t="str">
        <f>""</f>
        <v/>
      </c>
      <c r="F1075" s="1" t="s">
        <v>28</v>
      </c>
      <c r="G1075" s="1" t="str">
        <f t="shared" si="96"/>
        <v>KOMOP D.O.O., KOVINSKA 21, 10090 ZAGREB-SUSEDGRAD, OIB: 34604587904</v>
      </c>
      <c r="H1075" s="7"/>
      <c r="I1075" s="8" t="s">
        <v>400</v>
      </c>
      <c r="J1075" s="8" t="s">
        <v>292</v>
      </c>
      <c r="K1075" s="6" t="str">
        <f>"10.322,82"</f>
        <v>10.322,82</v>
      </c>
      <c r="L1075" s="6" t="str">
        <f>"2.580,71"</f>
        <v>2.580,71</v>
      </c>
      <c r="M1075" s="6" t="str">
        <f>"12.903,53"</f>
        <v>12.903,53</v>
      </c>
      <c r="N1075" s="8" t="s">
        <v>919</v>
      </c>
      <c r="O1075" s="7"/>
      <c r="P1075" s="2" t="s">
        <v>6333</v>
      </c>
      <c r="Q1075" s="7"/>
      <c r="R1075" s="1"/>
      <c r="S1075" s="1" t="str">
        <f>"4-22/NOS-61-1/20"</f>
        <v>4-22/NOS-61-1/20</v>
      </c>
      <c r="T1075" s="1" t="s">
        <v>32</v>
      </c>
    </row>
    <row r="1076" spans="1:20" ht="114.75" x14ac:dyDescent="0.25">
      <c r="A1076" s="6">
        <v>1073</v>
      </c>
      <c r="B1076" s="1" t="str">
        <f t="shared" si="95"/>
        <v>2020-1635</v>
      </c>
      <c r="C1076" s="1" t="s">
        <v>1212</v>
      </c>
      <c r="D1076" s="1" t="s">
        <v>1116</v>
      </c>
      <c r="E1076" s="1" t="str">
        <f>""</f>
        <v/>
      </c>
      <c r="F1076" s="1" t="s">
        <v>28</v>
      </c>
      <c r="G1076" s="1" t="str">
        <f t="shared" si="96"/>
        <v>KOMOP D.O.O., KOVINSKA 21, 10090 ZAGREB-SUSEDGRAD, OIB: 34604587904</v>
      </c>
      <c r="H1076" s="7"/>
      <c r="I1076" s="8" t="s">
        <v>94</v>
      </c>
      <c r="J1076" s="8" t="s">
        <v>292</v>
      </c>
      <c r="K1076" s="6" t="str">
        <f>"1.406,40"</f>
        <v>1.406,40</v>
      </c>
      <c r="L1076" s="6" t="str">
        <f>"351,60"</f>
        <v>351,60</v>
      </c>
      <c r="M1076" s="6" t="str">
        <f>"1.758,00"</f>
        <v>1.758,00</v>
      </c>
      <c r="N1076" s="8" t="s">
        <v>919</v>
      </c>
      <c r="O1076" s="7"/>
      <c r="P1076" s="2" t="s">
        <v>6334</v>
      </c>
      <c r="Q1076" s="7"/>
      <c r="R1076" s="1"/>
      <c r="S1076" s="1" t="str">
        <f>"5-22/NOS-61-1/20"</f>
        <v>5-22/NOS-61-1/20</v>
      </c>
      <c r="T1076" s="1" t="s">
        <v>32</v>
      </c>
    </row>
    <row r="1077" spans="1:20" ht="114.75" x14ac:dyDescent="0.25">
      <c r="A1077" s="6">
        <v>1074</v>
      </c>
      <c r="B1077" s="1" t="str">
        <f t="shared" si="95"/>
        <v>2020-1635</v>
      </c>
      <c r="C1077" s="1" t="s">
        <v>1216</v>
      </c>
      <c r="D1077" s="1" t="s">
        <v>914</v>
      </c>
      <c r="E1077" s="1" t="str">
        <f>"2020/S 0F2-0031969"</f>
        <v>2020/S 0F2-0031969</v>
      </c>
      <c r="F1077" s="1" t="s">
        <v>22</v>
      </c>
      <c r="G1077" s="1" t="str">
        <f t="shared" ref="G1077:G1082" si="97">CONCATENATE("GRADATIN D.O.O.,"," LIVADARSKI PUT 19,"," 10360 SESVETE,"," OIB: 79147056526")</f>
        <v>GRADATIN D.O.O., LIVADARSKI PUT 19, 10360 SESVETE, OIB: 79147056526</v>
      </c>
      <c r="H1077" s="7"/>
      <c r="I1077" s="8" t="s">
        <v>1213</v>
      </c>
      <c r="J1077" s="8" t="s">
        <v>1147</v>
      </c>
      <c r="K1077" s="6" t="str">
        <f>"3.000.000,00"</f>
        <v>3.000.000,00</v>
      </c>
      <c r="L1077" s="6" t="str">
        <f>"750.000,00"</f>
        <v>750.000,00</v>
      </c>
      <c r="M1077" s="6" t="str">
        <f>"3.750.000,00"</f>
        <v>3.750.000,00</v>
      </c>
      <c r="N1077" s="8" t="s">
        <v>553</v>
      </c>
      <c r="O1077" s="7"/>
      <c r="P1077" s="2" t="s">
        <v>5614</v>
      </c>
      <c r="Q1077" s="7"/>
      <c r="R1077" s="1"/>
      <c r="S1077" s="1" t="str">
        <f>"NOS-61-2/20"</f>
        <v>NOS-61-2/20</v>
      </c>
      <c r="T1077" s="1" t="s">
        <v>32</v>
      </c>
    </row>
    <row r="1078" spans="1:20" ht="127.5" x14ac:dyDescent="0.25">
      <c r="A1078" s="6">
        <v>1075</v>
      </c>
      <c r="B1078" s="1" t="str">
        <f t="shared" si="95"/>
        <v>2020-1635</v>
      </c>
      <c r="C1078" s="1" t="s">
        <v>1217</v>
      </c>
      <c r="D1078" s="1" t="s">
        <v>1116</v>
      </c>
      <c r="E1078" s="1" t="str">
        <f>""</f>
        <v/>
      </c>
      <c r="F1078" s="1" t="s">
        <v>28</v>
      </c>
      <c r="G1078" s="1" t="str">
        <f t="shared" si="97"/>
        <v>GRADATIN D.O.O., LIVADARSKI PUT 19, 10360 SESVETE, OIB: 79147056526</v>
      </c>
      <c r="H1078" s="7"/>
      <c r="I1078" s="8" t="s">
        <v>183</v>
      </c>
      <c r="J1078" s="8" t="s">
        <v>57</v>
      </c>
      <c r="K1078" s="6" t="str">
        <f>"129.993,60"</f>
        <v>129.993,60</v>
      </c>
      <c r="L1078" s="6" t="str">
        <f>"32.498,40"</f>
        <v>32.498,40</v>
      </c>
      <c r="M1078" s="6" t="str">
        <f>"162.492,00"</f>
        <v>162.492,00</v>
      </c>
      <c r="N1078" s="8" t="s">
        <v>72</v>
      </c>
      <c r="O1078" s="7"/>
      <c r="P1078" s="2" t="s">
        <v>6335</v>
      </c>
      <c r="Q1078" s="7"/>
      <c r="R1078" s="1"/>
      <c r="S1078" s="1" t="str">
        <f>"8-21/NOS-61-2/20"</f>
        <v>8-21/NOS-61-2/20</v>
      </c>
      <c r="T1078" s="1" t="s">
        <v>32</v>
      </c>
    </row>
    <row r="1079" spans="1:20" ht="76.5" x14ac:dyDescent="0.25">
      <c r="A1079" s="6">
        <v>1076</v>
      </c>
      <c r="B1079" s="1" t="str">
        <f t="shared" si="95"/>
        <v>2020-1635</v>
      </c>
      <c r="C1079" s="1" t="s">
        <v>1218</v>
      </c>
      <c r="D1079" s="1" t="s">
        <v>1116</v>
      </c>
      <c r="E1079" s="1" t="str">
        <f>""</f>
        <v/>
      </c>
      <c r="F1079" s="1" t="s">
        <v>28</v>
      </c>
      <c r="G1079" s="1" t="str">
        <f t="shared" si="97"/>
        <v>GRADATIN D.O.O., LIVADARSKI PUT 19, 10360 SESVETE, OIB: 79147056526</v>
      </c>
      <c r="H1079" s="7"/>
      <c r="I1079" s="8" t="s">
        <v>607</v>
      </c>
      <c r="J1079" s="8" t="s">
        <v>875</v>
      </c>
      <c r="K1079" s="6" t="str">
        <f>"699.906,00"</f>
        <v>699.906,00</v>
      </c>
      <c r="L1079" s="6" t="str">
        <f>"174.976,50"</f>
        <v>174.976,50</v>
      </c>
      <c r="M1079" s="6" t="str">
        <f>"874.882,50"</f>
        <v>874.882,50</v>
      </c>
      <c r="N1079" s="8" t="s">
        <v>207</v>
      </c>
      <c r="O1079" s="7"/>
      <c r="P1079" s="2" t="s">
        <v>6336</v>
      </c>
      <c r="Q1079" s="7"/>
      <c r="R1079" s="1"/>
      <c r="S1079" s="1" t="str">
        <f>"3-22/NOS-61-2/20"</f>
        <v>3-22/NOS-61-2/20</v>
      </c>
      <c r="T1079" s="1" t="s">
        <v>32</v>
      </c>
    </row>
    <row r="1080" spans="1:20" ht="127.5" x14ac:dyDescent="0.25">
      <c r="A1080" s="6">
        <v>1077</v>
      </c>
      <c r="B1080" s="1" t="str">
        <f t="shared" si="95"/>
        <v>2020-1635</v>
      </c>
      <c r="C1080" s="1" t="s">
        <v>1219</v>
      </c>
      <c r="D1080" s="1" t="s">
        <v>1116</v>
      </c>
      <c r="E1080" s="1" t="str">
        <f>""</f>
        <v/>
      </c>
      <c r="F1080" s="1" t="s">
        <v>28</v>
      </c>
      <c r="G1080" s="1" t="str">
        <f t="shared" si="97"/>
        <v>GRADATIN D.O.O., LIVADARSKI PUT 19, 10360 SESVETE, OIB: 79147056526</v>
      </c>
      <c r="H1080" s="7"/>
      <c r="I1080" s="8" t="s">
        <v>732</v>
      </c>
      <c r="J1080" s="8" t="s">
        <v>1220</v>
      </c>
      <c r="K1080" s="6" t="str">
        <f>"1.069.732,80"</f>
        <v>1.069.732,80</v>
      </c>
      <c r="L1080" s="6" t="str">
        <f>"267.433,20"</f>
        <v>267.433,20</v>
      </c>
      <c r="M1080" s="6" t="str">
        <f>"1.337.166,00"</f>
        <v>1.337.166,00</v>
      </c>
      <c r="N1080" s="8" t="s">
        <v>124</v>
      </c>
      <c r="O1080" s="7"/>
      <c r="P1080" s="2" t="s">
        <v>6337</v>
      </c>
      <c r="Q1080" s="7"/>
      <c r="R1080" s="1"/>
      <c r="S1080" s="1" t="str">
        <f>"5-22/NOS-61-2/20"</f>
        <v>5-22/NOS-61-2/20</v>
      </c>
      <c r="T1080" s="1" t="s">
        <v>32</v>
      </c>
    </row>
    <row r="1081" spans="1:20" ht="114.75" x14ac:dyDescent="0.25">
      <c r="A1081" s="6">
        <v>1078</v>
      </c>
      <c r="B1081" s="1" t="str">
        <f t="shared" si="95"/>
        <v>2020-1635</v>
      </c>
      <c r="C1081" s="1" t="s">
        <v>1216</v>
      </c>
      <c r="D1081" s="1" t="s">
        <v>1116</v>
      </c>
      <c r="E1081" s="1" t="str">
        <f>""</f>
        <v/>
      </c>
      <c r="F1081" s="1" t="s">
        <v>28</v>
      </c>
      <c r="G1081" s="1" t="str">
        <f t="shared" si="97"/>
        <v>GRADATIN D.O.O., LIVADARSKI PUT 19, 10360 SESVETE, OIB: 79147056526</v>
      </c>
      <c r="H1081" s="7"/>
      <c r="I1081" s="8" t="s">
        <v>262</v>
      </c>
      <c r="J1081" s="8" t="s">
        <v>292</v>
      </c>
      <c r="K1081" s="6" t="str">
        <f>"52.834,00"</f>
        <v>52.834,00</v>
      </c>
      <c r="L1081" s="6" t="str">
        <f>"13.208,50"</f>
        <v>13.208,50</v>
      </c>
      <c r="M1081" s="6" t="str">
        <f>"66.042,50"</f>
        <v>66.042,50</v>
      </c>
      <c r="N1081" s="8" t="s">
        <v>72</v>
      </c>
      <c r="O1081" s="7"/>
      <c r="P1081" s="2" t="s">
        <v>6338</v>
      </c>
      <c r="Q1081" s="7"/>
      <c r="R1081" s="1"/>
      <c r="S1081" s="1" t="str">
        <f>"1-22/NOS-61-2/20"</f>
        <v>1-22/NOS-61-2/20</v>
      </c>
      <c r="T1081" s="1" t="s">
        <v>32</v>
      </c>
    </row>
    <row r="1082" spans="1:20" ht="114.75" x14ac:dyDescent="0.25">
      <c r="A1082" s="6">
        <v>1079</v>
      </c>
      <c r="B1082" s="1" t="str">
        <f t="shared" si="95"/>
        <v>2020-1635</v>
      </c>
      <c r="C1082" s="1" t="s">
        <v>1216</v>
      </c>
      <c r="D1082" s="1" t="s">
        <v>1116</v>
      </c>
      <c r="E1082" s="1" t="str">
        <f>""</f>
        <v/>
      </c>
      <c r="F1082" s="1" t="s">
        <v>28</v>
      </c>
      <c r="G1082" s="1" t="str">
        <f t="shared" si="97"/>
        <v>GRADATIN D.O.O., LIVADARSKI PUT 19, 10360 SESVETE, OIB: 79147056526</v>
      </c>
      <c r="H1082" s="7"/>
      <c r="I1082" s="8" t="s">
        <v>262</v>
      </c>
      <c r="J1082" s="8" t="s">
        <v>292</v>
      </c>
      <c r="K1082" s="6" t="str">
        <f>"92.742,00"</f>
        <v>92.742,00</v>
      </c>
      <c r="L1082" s="6" t="str">
        <f>"23.185,50"</f>
        <v>23.185,50</v>
      </c>
      <c r="M1082" s="6" t="str">
        <f>"115.927,50"</f>
        <v>115.927,50</v>
      </c>
      <c r="N1082" s="8" t="s">
        <v>57</v>
      </c>
      <c r="O1082" s="7"/>
      <c r="P1082" s="2" t="s">
        <v>6339</v>
      </c>
      <c r="Q1082" s="7"/>
      <c r="R1082" s="1"/>
      <c r="S1082" s="1" t="str">
        <f>"2-22/NOS-61-2/20"</f>
        <v>2-22/NOS-61-2/20</v>
      </c>
      <c r="T1082" s="1" t="s">
        <v>32</v>
      </c>
    </row>
    <row r="1083" spans="1:20" ht="114.75" x14ac:dyDescent="0.25">
      <c r="A1083" s="6">
        <v>1080</v>
      </c>
      <c r="B1083" s="1" t="str">
        <f t="shared" si="95"/>
        <v>2020-1635</v>
      </c>
      <c r="C1083" s="1" t="s">
        <v>1221</v>
      </c>
      <c r="D1083" s="1" t="s">
        <v>914</v>
      </c>
      <c r="E1083" s="1" t="str">
        <f>"2020/S 0F2-0031969"</f>
        <v>2020/S 0F2-0031969</v>
      </c>
      <c r="F1083" s="1" t="s">
        <v>22</v>
      </c>
      <c r="G1083" s="1" t="str">
        <f>CONCATENATE("HIDRAULIKA KURELJA D.O.O.,"," MATENAČKA CESTA 41,"," 49290 DONJA STUBICA,"," OIB: 3092900595")</f>
        <v>HIDRAULIKA KURELJA D.O.O., MATENAČKA CESTA 41, 49290 DONJA STUBICA, OIB: 3092900595</v>
      </c>
      <c r="H1083" s="7"/>
      <c r="I1083" s="8" t="s">
        <v>1213</v>
      </c>
      <c r="J1083" s="8" t="s">
        <v>1147</v>
      </c>
      <c r="K1083" s="6" t="str">
        <f>"220.000,00"</f>
        <v>220.000,00</v>
      </c>
      <c r="L1083" s="6" t="str">
        <f>"55.000,00"</f>
        <v>55.000,00</v>
      </c>
      <c r="M1083" s="6" t="str">
        <f>"275.000,00"</f>
        <v>275.000,00</v>
      </c>
      <c r="N1083" s="8" t="s">
        <v>553</v>
      </c>
      <c r="O1083" s="7"/>
      <c r="P1083" s="2" t="s">
        <v>5614</v>
      </c>
      <c r="Q1083" s="7"/>
      <c r="R1083" s="1"/>
      <c r="S1083" s="1" t="str">
        <f>"NOS-61-3/20"</f>
        <v>NOS-61-3/20</v>
      </c>
      <c r="T1083" s="1" t="s">
        <v>32</v>
      </c>
    </row>
    <row r="1084" spans="1:20" ht="127.5" x14ac:dyDescent="0.25">
      <c r="A1084" s="6">
        <v>1081</v>
      </c>
      <c r="B1084" s="1" t="str">
        <f t="shared" si="95"/>
        <v>2020-1635</v>
      </c>
      <c r="C1084" s="1" t="s">
        <v>1222</v>
      </c>
      <c r="D1084" s="1" t="s">
        <v>1116</v>
      </c>
      <c r="E1084" s="1" t="str">
        <f>""</f>
        <v/>
      </c>
      <c r="F1084" s="1" t="s">
        <v>28</v>
      </c>
      <c r="G1084" s="1" t="str">
        <f>CONCATENATE("HIDRAULIKA KURELJA D.O.O.,"," MATENAČKA CESTA 41,"," 49290 DONJA STUBICA,"," OIB: 3092900595")</f>
        <v>HIDRAULIKA KURELJA D.O.O., MATENAČKA CESTA 41, 49290 DONJA STUBICA, OIB: 3092900595</v>
      </c>
      <c r="H1084" s="7"/>
      <c r="I1084" s="8" t="s">
        <v>732</v>
      </c>
      <c r="J1084" s="8" t="s">
        <v>1220</v>
      </c>
      <c r="K1084" s="6" t="str">
        <f>"40.347,72"</f>
        <v>40.347,72</v>
      </c>
      <c r="L1084" s="6" t="str">
        <f>"10.086,93"</f>
        <v>10.086,93</v>
      </c>
      <c r="M1084" s="6" t="str">
        <f>"50.434,65"</f>
        <v>50.434,65</v>
      </c>
      <c r="N1084" s="8" t="s">
        <v>124</v>
      </c>
      <c r="O1084" s="7"/>
      <c r="P1084" s="2" t="s">
        <v>5614</v>
      </c>
      <c r="Q1084" s="7"/>
      <c r="R1084" s="1"/>
      <c r="S1084" s="1" t="str">
        <f>"2-22/NOS-61-3/20"</f>
        <v>2-22/NOS-61-3/20</v>
      </c>
      <c r="T1084" s="1" t="s">
        <v>32</v>
      </c>
    </row>
    <row r="1085" spans="1:20" ht="114.75" x14ac:dyDescent="0.25">
      <c r="A1085" s="6">
        <v>1082</v>
      </c>
      <c r="B1085" s="1" t="str">
        <f t="shared" si="95"/>
        <v>2020-1635</v>
      </c>
      <c r="C1085" s="1" t="s">
        <v>1221</v>
      </c>
      <c r="D1085" s="1" t="s">
        <v>1116</v>
      </c>
      <c r="E1085" s="1" t="str">
        <f>""</f>
        <v/>
      </c>
      <c r="F1085" s="1" t="s">
        <v>28</v>
      </c>
      <c r="G1085" s="1" t="str">
        <f>CONCATENATE("HIDRAULIKA KURELJA D.O.O.,"," MATENAČKA CESTA 41,"," 49290 DONJA STUBICA,"," OIB: 3092900595")</f>
        <v>HIDRAULIKA KURELJA D.O.O., MATENAČKA CESTA 41, 49290 DONJA STUBICA, OIB: 3092900595</v>
      </c>
      <c r="H1085" s="7"/>
      <c r="I1085" s="8" t="s">
        <v>398</v>
      </c>
      <c r="J1085" s="8" t="s">
        <v>292</v>
      </c>
      <c r="K1085" s="6" t="str">
        <f>"442,13"</f>
        <v>442,13</v>
      </c>
      <c r="L1085" s="6" t="str">
        <f>"0,00"</f>
        <v>0,00</v>
      </c>
      <c r="M1085" s="6" t="str">
        <f>"442,13"</f>
        <v>442,13</v>
      </c>
      <c r="N1085" s="8" t="s">
        <v>124</v>
      </c>
      <c r="O1085" s="7"/>
      <c r="P1085" s="2" t="s">
        <v>5614</v>
      </c>
      <c r="Q1085" s="7"/>
      <c r="R1085" s="1"/>
      <c r="S1085" s="1" t="str">
        <f>"1-22/NOS-61-3/20"</f>
        <v>1-22/NOS-61-3/20</v>
      </c>
      <c r="T1085" s="1" t="s">
        <v>32</v>
      </c>
    </row>
    <row r="1086" spans="1:20" ht="51" x14ac:dyDescent="0.25">
      <c r="A1086" s="6">
        <v>1083</v>
      </c>
      <c r="B1086" s="1" t="str">
        <f>"2020-2769"</f>
        <v>2020-2769</v>
      </c>
      <c r="C1086" s="1" t="s">
        <v>1223</v>
      </c>
      <c r="D1086" s="1" t="s">
        <v>74</v>
      </c>
      <c r="E1086" s="1" t="str">
        <f>" 2020/S 0F2-0037905"</f>
        <v xml:space="preserve"> 2020/S 0F2-0037905</v>
      </c>
      <c r="F1086" s="1" t="s">
        <v>22</v>
      </c>
      <c r="G1086" s="1" t="str">
        <f>CONCATENATE("LAUS CC D.O.O.,"," VUKOVARSKA 23,"," 20000 DUBROVNIK,"," OIB: 59806315787")</f>
        <v>LAUS CC D.O.O., VUKOVARSKA 23, 20000 DUBROVNIK, OIB: 59806315787</v>
      </c>
      <c r="H1086" s="7"/>
      <c r="I1086" s="8" t="s">
        <v>1224</v>
      </c>
      <c r="J1086" s="8" t="s">
        <v>801</v>
      </c>
      <c r="K1086" s="6" t="str">
        <f>"2.250.000,00"</f>
        <v>2.250.000,00</v>
      </c>
      <c r="L1086" s="6" t="str">
        <f>"562.500,00"</f>
        <v>562.500,00</v>
      </c>
      <c r="M1086" s="6" t="str">
        <f>"2.812.500,00"</f>
        <v>2.812.500,00</v>
      </c>
      <c r="N1086" s="8" t="s">
        <v>561</v>
      </c>
      <c r="O1086" s="7"/>
      <c r="P1086" s="2" t="s">
        <v>5614</v>
      </c>
      <c r="Q1086" s="7"/>
      <c r="R1086" s="1"/>
      <c r="S1086" s="1" t="str">
        <f>"NOS-59/20"</f>
        <v>NOS-59/20</v>
      </c>
      <c r="T1086" s="1" t="s">
        <v>32</v>
      </c>
    </row>
    <row r="1087" spans="1:20" ht="140.25" x14ac:dyDescent="0.25">
      <c r="A1087" s="6">
        <v>1084</v>
      </c>
      <c r="B1087" s="1" t="str">
        <f>"2020-2794"</f>
        <v>2020-2794</v>
      </c>
      <c r="C1087" s="1" t="s">
        <v>1225</v>
      </c>
      <c r="D1087" s="1" t="s">
        <v>1226</v>
      </c>
      <c r="E1087" s="1" t="str">
        <f>""</f>
        <v/>
      </c>
      <c r="F1087" s="1" t="s">
        <v>22</v>
      </c>
      <c r="G1087" s="1" t="str">
        <f>CONCATENATE("SMIT-COMMERCE D.O.O.,"," GORNJOSTUPNIČKA 9B,"," 10255 GORNJI STUPNIK,"," OIB: 95243482140",CHAR(10),"",CHAR(10),"SCHEDA D.O.O.,"," LJUDEVITA POSAVSKOG 29,"," 10360 SESVETE,"," OIB: 76219817247")</f>
        <v>SMIT-COMMERCE D.O.O., GORNJOSTUPNIČKA 9B, 10255 GORNJI STUPNIK, OIB: 95243482140
SCHEDA D.O.O., LJUDEVITA POSAVSKOG 29, 10360 SESVETE, OIB: 76219817247</v>
      </c>
      <c r="H1087" s="7"/>
      <c r="I1087" s="8" t="s">
        <v>1227</v>
      </c>
      <c r="J1087" s="8" t="s">
        <v>1228</v>
      </c>
      <c r="K1087" s="6" t="str">
        <f>"820.000,00"</f>
        <v>820.000,00</v>
      </c>
      <c r="L1087" s="6" t="str">
        <f>"205.000,00"</f>
        <v>205.000,00</v>
      </c>
      <c r="M1087" s="6" t="str">
        <f>"1.025.000,00"</f>
        <v>1.025.000,00</v>
      </c>
      <c r="N1087" s="8" t="s">
        <v>124</v>
      </c>
      <c r="O1087" s="7"/>
      <c r="P1087" s="2" t="s">
        <v>5614</v>
      </c>
      <c r="Q1087" s="7"/>
      <c r="R1087" s="1"/>
      <c r="S1087" s="1" t="str">
        <f>"NOS-70/20"</f>
        <v>NOS-70/20</v>
      </c>
      <c r="T1087" s="1" t="s">
        <v>27</v>
      </c>
    </row>
    <row r="1088" spans="1:20" ht="51" x14ac:dyDescent="0.25">
      <c r="A1088" s="6">
        <v>1085</v>
      </c>
      <c r="B1088" s="1" t="str">
        <f>"2020-2794"</f>
        <v>2020-2794</v>
      </c>
      <c r="C1088" s="1" t="s">
        <v>1225</v>
      </c>
      <c r="D1088" s="1" t="s">
        <v>1229</v>
      </c>
      <c r="E1088" s="1" t="str">
        <f>""</f>
        <v/>
      </c>
      <c r="F1088" s="1" t="s">
        <v>28</v>
      </c>
      <c r="G1088" s="1" t="str">
        <f>CONCATENATE("SCHEDA D.O.O.,"," LJUDEVITA POSAVSKOG 29,"," 10360 SESVETE,"," OIB: 76219817247")</f>
        <v>SCHEDA D.O.O., LJUDEVITA POSAVSKOG 29, 10360 SESVETE, OIB: 76219817247</v>
      </c>
      <c r="H1088" s="7"/>
      <c r="I1088" s="8" t="s">
        <v>1230</v>
      </c>
      <c r="J1088" s="8" t="s">
        <v>53</v>
      </c>
      <c r="K1088" s="6" t="str">
        <f>"138.000,00"</f>
        <v>138.000,00</v>
      </c>
      <c r="L1088" s="6" t="str">
        <f>"34.500,00"</f>
        <v>34.500,00</v>
      </c>
      <c r="M1088" s="6" t="str">
        <f>"172.500,00"</f>
        <v>172.500,00</v>
      </c>
      <c r="N1088" s="8" t="s">
        <v>1060</v>
      </c>
      <c r="O1088" s="7"/>
      <c r="P1088" s="2" t="s">
        <v>6340</v>
      </c>
      <c r="Q1088" s="7"/>
      <c r="R1088" s="1"/>
      <c r="S1088" s="1" t="str">
        <f>"1-21/NOS-70/20"</f>
        <v>1-21/NOS-70/20</v>
      </c>
      <c r="T1088" s="1" t="s">
        <v>32</v>
      </c>
    </row>
    <row r="1089" spans="1:20" ht="63.75" x14ac:dyDescent="0.25">
      <c r="A1089" s="6">
        <v>1086</v>
      </c>
      <c r="B1089" s="1" t="str">
        <f t="shared" ref="B1089:B1096" si="98">"2020-898"</f>
        <v>2020-898</v>
      </c>
      <c r="C1089" s="1" t="s">
        <v>1231</v>
      </c>
      <c r="D1089" s="1" t="s">
        <v>1232</v>
      </c>
      <c r="E1089" s="1" t="str">
        <f>"2020/S 0F2-0040924"</f>
        <v>2020/S 0F2-0040924</v>
      </c>
      <c r="F1089" s="1" t="s">
        <v>22</v>
      </c>
      <c r="G1089" s="1" t="str">
        <f t="shared" ref="G1089:G1096" si="99">CONCATENATE("AGROTUROPOLJE D.O.O.,"," VELIKOGORIČKA 43,"," 10415 NOVO ČIČE,"," OIB: 66493270332")</f>
        <v>AGROTUROPOLJE D.O.O., VELIKOGORIČKA 43, 10415 NOVO ČIČE, OIB: 66493270332</v>
      </c>
      <c r="H1089" s="7"/>
      <c r="I1089" s="8" t="s">
        <v>1224</v>
      </c>
      <c r="J1089" s="8" t="s">
        <v>1233</v>
      </c>
      <c r="K1089" s="6" t="str">
        <f>"1.000.000,00"</f>
        <v>1.000.000,00</v>
      </c>
      <c r="L1089" s="6" t="str">
        <f>"250.000,00"</f>
        <v>250.000,00</v>
      </c>
      <c r="M1089" s="6" t="str">
        <f>"1.250.000,00"</f>
        <v>1.250.000,00</v>
      </c>
      <c r="N1089" s="8" t="s">
        <v>124</v>
      </c>
      <c r="O1089" s="7"/>
      <c r="P1089" s="2" t="s">
        <v>5614</v>
      </c>
      <c r="Q1089" s="7"/>
      <c r="R1089" s="1"/>
      <c r="S1089" s="1" t="str">
        <f>"NOS-60/20"</f>
        <v>NOS-60/20</v>
      </c>
      <c r="T1089" s="1" t="s">
        <v>32</v>
      </c>
    </row>
    <row r="1090" spans="1:20" ht="63.75" x14ac:dyDescent="0.25">
      <c r="A1090" s="6">
        <v>1087</v>
      </c>
      <c r="B1090" s="1" t="str">
        <f t="shared" si="98"/>
        <v>2020-898</v>
      </c>
      <c r="C1090" s="1" t="s">
        <v>1231</v>
      </c>
      <c r="D1090" s="1" t="s">
        <v>1234</v>
      </c>
      <c r="E1090" s="1" t="str">
        <f>""</f>
        <v/>
      </c>
      <c r="F1090" s="1" t="s">
        <v>28</v>
      </c>
      <c r="G1090" s="1" t="str">
        <f t="shared" si="99"/>
        <v>AGROTUROPOLJE D.O.O., VELIKOGORIČKA 43, 10415 NOVO ČIČE, OIB: 66493270332</v>
      </c>
      <c r="H1090" s="7"/>
      <c r="I1090" s="8" t="s">
        <v>613</v>
      </c>
      <c r="J1090" s="8" t="s">
        <v>555</v>
      </c>
      <c r="K1090" s="6" t="str">
        <f>"109.953,00"</f>
        <v>109.953,00</v>
      </c>
      <c r="L1090" s="6" t="str">
        <f>"16.806,20"</f>
        <v>16.806,20</v>
      </c>
      <c r="M1090" s="6" t="str">
        <f>"126.759,20"</f>
        <v>126.759,20</v>
      </c>
      <c r="N1090" s="8" t="s">
        <v>522</v>
      </c>
      <c r="O1090" s="7"/>
      <c r="P1090" s="2" t="s">
        <v>6341</v>
      </c>
      <c r="Q1090" s="7"/>
      <c r="R1090" s="1"/>
      <c r="S1090" s="1" t="str">
        <f>"1-22/NOS-60/20"</f>
        <v>1-22/NOS-60/20</v>
      </c>
      <c r="T1090" s="1" t="s">
        <v>32</v>
      </c>
    </row>
    <row r="1091" spans="1:20" ht="63.75" x14ac:dyDescent="0.25">
      <c r="A1091" s="6">
        <v>1088</v>
      </c>
      <c r="B1091" s="1" t="str">
        <f t="shared" si="98"/>
        <v>2020-898</v>
      </c>
      <c r="C1091" s="1" t="s">
        <v>1231</v>
      </c>
      <c r="D1091" s="1" t="s">
        <v>1234</v>
      </c>
      <c r="E1091" s="1" t="str">
        <f>""</f>
        <v/>
      </c>
      <c r="F1091" s="1" t="s">
        <v>28</v>
      </c>
      <c r="G1091" s="1" t="str">
        <f t="shared" si="99"/>
        <v>AGROTUROPOLJE D.O.O., VELIKOGORIČKA 43, 10415 NOVO ČIČE, OIB: 66493270332</v>
      </c>
      <c r="H1091" s="7"/>
      <c r="I1091" s="8" t="s">
        <v>421</v>
      </c>
      <c r="J1091" s="8" t="s">
        <v>555</v>
      </c>
      <c r="K1091" s="6" t="str">
        <f>"37.008,60"</f>
        <v>37.008,60</v>
      </c>
      <c r="L1091" s="6" t="str">
        <f>"1.680,28"</f>
        <v>1.680,28</v>
      </c>
      <c r="M1091" s="6" t="str">
        <f>"38.688,88"</f>
        <v>38.688,88</v>
      </c>
      <c r="N1091" s="8" t="s">
        <v>401</v>
      </c>
      <c r="O1091" s="7"/>
      <c r="P1091" s="2" t="s">
        <v>6342</v>
      </c>
      <c r="Q1091" s="7"/>
      <c r="R1091" s="1"/>
      <c r="S1091" s="1" t="str">
        <f>"2-22/NOS-60/20"</f>
        <v>2-22/NOS-60/20</v>
      </c>
      <c r="T1091" s="1" t="s">
        <v>32</v>
      </c>
    </row>
    <row r="1092" spans="1:20" ht="63.75" x14ac:dyDescent="0.25">
      <c r="A1092" s="6">
        <v>1089</v>
      </c>
      <c r="B1092" s="1" t="str">
        <f t="shared" si="98"/>
        <v>2020-898</v>
      </c>
      <c r="C1092" s="1" t="s">
        <v>1231</v>
      </c>
      <c r="D1092" s="1" t="s">
        <v>1234</v>
      </c>
      <c r="E1092" s="1" t="str">
        <f>""</f>
        <v/>
      </c>
      <c r="F1092" s="1" t="s">
        <v>28</v>
      </c>
      <c r="G1092" s="1" t="str">
        <f t="shared" si="99"/>
        <v>AGROTUROPOLJE D.O.O., VELIKOGORIČKA 43, 10415 NOVO ČIČE, OIB: 66493270332</v>
      </c>
      <c r="H1092" s="7"/>
      <c r="I1092" s="8" t="s">
        <v>260</v>
      </c>
      <c r="J1092" s="8" t="s">
        <v>555</v>
      </c>
      <c r="K1092" s="6" t="str">
        <f>"103.400,00"</f>
        <v>103.400,00</v>
      </c>
      <c r="L1092" s="6" t="str">
        <f>"3.583,85"</f>
        <v>3.583,85</v>
      </c>
      <c r="M1092" s="6" t="str">
        <f>"106.983,85"</f>
        <v>106.983,85</v>
      </c>
      <c r="N1092" s="8" t="s">
        <v>562</v>
      </c>
      <c r="O1092" s="7"/>
      <c r="P1092" s="2" t="s">
        <v>6343</v>
      </c>
      <c r="Q1092" s="7"/>
      <c r="R1092" s="1"/>
      <c r="S1092" s="1" t="str">
        <f>"3-22/NOS-60/20"</f>
        <v>3-22/NOS-60/20</v>
      </c>
      <c r="T1092" s="1" t="s">
        <v>32</v>
      </c>
    </row>
    <row r="1093" spans="1:20" ht="63.75" x14ac:dyDescent="0.25">
      <c r="A1093" s="6">
        <v>1090</v>
      </c>
      <c r="B1093" s="1" t="str">
        <f t="shared" si="98"/>
        <v>2020-898</v>
      </c>
      <c r="C1093" s="1" t="s">
        <v>1231</v>
      </c>
      <c r="D1093" s="1" t="s">
        <v>1234</v>
      </c>
      <c r="E1093" s="1" t="str">
        <f>""</f>
        <v/>
      </c>
      <c r="F1093" s="1" t="s">
        <v>28</v>
      </c>
      <c r="G1093" s="1" t="str">
        <f t="shared" si="99"/>
        <v>AGROTUROPOLJE D.O.O., VELIKOGORIČKA 43, 10415 NOVO ČIČE, OIB: 66493270332</v>
      </c>
      <c r="H1093" s="7"/>
      <c r="I1093" s="8" t="s">
        <v>57</v>
      </c>
      <c r="J1093" s="8" t="s">
        <v>555</v>
      </c>
      <c r="K1093" s="6" t="str">
        <f>"16.841,00"</f>
        <v>16.841,00</v>
      </c>
      <c r="L1093" s="6" t="str">
        <f>"0,00"</f>
        <v>0,00</v>
      </c>
      <c r="M1093" s="6" t="str">
        <f>"16.841,00"</f>
        <v>16.841,00</v>
      </c>
      <c r="N1093" s="8" t="s">
        <v>124</v>
      </c>
      <c r="O1093" s="7"/>
      <c r="P1093" s="2" t="s">
        <v>5614</v>
      </c>
      <c r="Q1093" s="7"/>
      <c r="R1093" s="1"/>
      <c r="S1093" s="1" t="str">
        <f>"5-22/NOS-60/20"</f>
        <v>5-22/NOS-60/20</v>
      </c>
      <c r="T1093" s="1" t="s">
        <v>32</v>
      </c>
    </row>
    <row r="1094" spans="1:20" ht="63.75" x14ac:dyDescent="0.25">
      <c r="A1094" s="6">
        <v>1091</v>
      </c>
      <c r="B1094" s="1" t="str">
        <f t="shared" si="98"/>
        <v>2020-898</v>
      </c>
      <c r="C1094" s="1" t="s">
        <v>1231</v>
      </c>
      <c r="D1094" s="1" t="s">
        <v>1234</v>
      </c>
      <c r="E1094" s="1" t="str">
        <f>""</f>
        <v/>
      </c>
      <c r="F1094" s="1" t="s">
        <v>28</v>
      </c>
      <c r="G1094" s="1" t="str">
        <f t="shared" si="99"/>
        <v>AGROTUROPOLJE D.O.O., VELIKOGORIČKA 43, 10415 NOVO ČIČE, OIB: 66493270332</v>
      </c>
      <c r="H1094" s="7"/>
      <c r="I1094" s="8" t="s">
        <v>372</v>
      </c>
      <c r="J1094" s="8" t="s">
        <v>555</v>
      </c>
      <c r="K1094" s="6" t="str">
        <f>"11.250,00"</f>
        <v>11.250,00</v>
      </c>
      <c r="L1094" s="6" t="str">
        <f>"0,00"</f>
        <v>0,00</v>
      </c>
      <c r="M1094" s="6" t="str">
        <f>"11.250,00"</f>
        <v>11.250,00</v>
      </c>
      <c r="N1094" s="8" t="s">
        <v>124</v>
      </c>
      <c r="O1094" s="7"/>
      <c r="P1094" s="2" t="s">
        <v>5614</v>
      </c>
      <c r="Q1094" s="7"/>
      <c r="R1094" s="1"/>
      <c r="S1094" s="1" t="str">
        <f>"4-22/NOS-60/20"</f>
        <v>4-22/NOS-60/20</v>
      </c>
      <c r="T1094" s="1" t="s">
        <v>32</v>
      </c>
    </row>
    <row r="1095" spans="1:20" ht="63.75" x14ac:dyDescent="0.25">
      <c r="A1095" s="6">
        <v>1092</v>
      </c>
      <c r="B1095" s="1" t="str">
        <f t="shared" si="98"/>
        <v>2020-898</v>
      </c>
      <c r="C1095" s="1" t="s">
        <v>1231</v>
      </c>
      <c r="D1095" s="1" t="s">
        <v>1234</v>
      </c>
      <c r="E1095" s="1" t="str">
        <f>""</f>
        <v/>
      </c>
      <c r="F1095" s="1" t="s">
        <v>28</v>
      </c>
      <c r="G1095" s="1" t="str">
        <f t="shared" si="99"/>
        <v>AGROTUROPOLJE D.O.O., VELIKOGORIČKA 43, 10415 NOVO ČIČE, OIB: 66493270332</v>
      </c>
      <c r="H1095" s="7"/>
      <c r="I1095" s="8" t="s">
        <v>203</v>
      </c>
      <c r="J1095" s="8" t="s">
        <v>555</v>
      </c>
      <c r="K1095" s="6" t="str">
        <f>"38.735,00"</f>
        <v>38.735,00</v>
      </c>
      <c r="L1095" s="6" t="str">
        <f>"1.936,75"</f>
        <v>1.936,75</v>
      </c>
      <c r="M1095" s="6" t="str">
        <f>"40.671,75"</f>
        <v>40.671,75</v>
      </c>
      <c r="N1095" s="8" t="s">
        <v>955</v>
      </c>
      <c r="O1095" s="7"/>
      <c r="P1095" s="2" t="s">
        <v>6344</v>
      </c>
      <c r="Q1095" s="7"/>
      <c r="R1095" s="1"/>
      <c r="S1095" s="1" t="str">
        <f>"6-22/NOS-60/20"</f>
        <v>6-22/NOS-60/20</v>
      </c>
      <c r="T1095" s="1" t="s">
        <v>32</v>
      </c>
    </row>
    <row r="1096" spans="1:20" ht="63.75" x14ac:dyDescent="0.25">
      <c r="A1096" s="6">
        <v>1093</v>
      </c>
      <c r="B1096" s="1" t="str">
        <f t="shared" si="98"/>
        <v>2020-898</v>
      </c>
      <c r="C1096" s="1" t="s">
        <v>1231</v>
      </c>
      <c r="D1096" s="1" t="s">
        <v>1234</v>
      </c>
      <c r="E1096" s="1" t="str">
        <f>""</f>
        <v/>
      </c>
      <c r="F1096" s="1" t="s">
        <v>28</v>
      </c>
      <c r="G1096" s="1" t="str">
        <f t="shared" si="99"/>
        <v>AGROTUROPOLJE D.O.O., VELIKOGORIČKA 43, 10415 NOVO ČIČE, OIB: 66493270332</v>
      </c>
      <c r="H1096" s="7"/>
      <c r="I1096" s="8" t="s">
        <v>102</v>
      </c>
      <c r="J1096" s="8" t="s">
        <v>555</v>
      </c>
      <c r="K1096" s="6" t="str">
        <f>"64.969,00"</f>
        <v>64.969,00</v>
      </c>
      <c r="L1096" s="6" t="str">
        <f>"1.684,30"</f>
        <v>1.684,30</v>
      </c>
      <c r="M1096" s="6" t="str">
        <f>"66.653,30"</f>
        <v>66.653,30</v>
      </c>
      <c r="N1096" s="8" t="s">
        <v>1159</v>
      </c>
      <c r="O1096" s="7"/>
      <c r="P1096" s="2" t="s">
        <v>6345</v>
      </c>
      <c r="Q1096" s="7"/>
      <c r="R1096" s="1"/>
      <c r="S1096" s="1" t="str">
        <f>"7-22/NOS-60/20"</f>
        <v>7-22/NOS-60/20</v>
      </c>
      <c r="T1096" s="1" t="s">
        <v>32</v>
      </c>
    </row>
    <row r="1097" spans="1:20" ht="51" x14ac:dyDescent="0.25">
      <c r="A1097" s="6">
        <v>1094</v>
      </c>
      <c r="B1097" s="1" t="str">
        <f t="shared" ref="B1097:B1103" si="100">"2020-1079"</f>
        <v>2020-1079</v>
      </c>
      <c r="C1097" s="1" t="s">
        <v>1235</v>
      </c>
      <c r="D1097" s="1" t="s">
        <v>1236</v>
      </c>
      <c r="E1097" s="1" t="str">
        <f>"2020/S 0F2-0030452"</f>
        <v>2020/S 0F2-0030452</v>
      </c>
      <c r="F1097" s="1" t="s">
        <v>22</v>
      </c>
      <c r="G1097" s="1" t="str">
        <f t="shared" ref="G1097:G1103" si="101">CONCATENATE("SWARCO CROATIA D.O.O.,"," SPREČKA 8,"," 10000 ZAGREB,"," OIB: 79421023865")</f>
        <v>SWARCO CROATIA D.O.O., SPREČKA 8, 10000 ZAGREB, OIB: 79421023865</v>
      </c>
      <c r="H1097" s="7"/>
      <c r="I1097" s="8" t="s">
        <v>1237</v>
      </c>
      <c r="J1097" s="8" t="s">
        <v>1238</v>
      </c>
      <c r="K1097" s="6" t="str">
        <f>"1.800.000,00"</f>
        <v>1.800.000,00</v>
      </c>
      <c r="L1097" s="6" t="str">
        <f>"450.000,00"</f>
        <v>450.000,00</v>
      </c>
      <c r="M1097" s="6" t="str">
        <f>"2.250.000,00"</f>
        <v>2.250.000,00</v>
      </c>
      <c r="N1097" s="8" t="s">
        <v>124</v>
      </c>
      <c r="O1097" s="7"/>
      <c r="P1097" s="2" t="s">
        <v>5614</v>
      </c>
      <c r="Q1097" s="7"/>
      <c r="R1097" s="1"/>
      <c r="S1097" s="1" t="str">
        <f>"NOS-54-2/20"</f>
        <v>NOS-54-2/20</v>
      </c>
      <c r="T1097" s="1" t="s">
        <v>32</v>
      </c>
    </row>
    <row r="1098" spans="1:20" ht="51" x14ac:dyDescent="0.25">
      <c r="A1098" s="6">
        <v>1095</v>
      </c>
      <c r="B1098" s="1" t="str">
        <f t="shared" si="100"/>
        <v>2020-1079</v>
      </c>
      <c r="C1098" s="1" t="s">
        <v>1235</v>
      </c>
      <c r="D1098" s="1" t="s">
        <v>1239</v>
      </c>
      <c r="E1098" s="1" t="str">
        <f>""</f>
        <v/>
      </c>
      <c r="F1098" s="1" t="s">
        <v>28</v>
      </c>
      <c r="G1098" s="1" t="str">
        <f t="shared" si="101"/>
        <v>SWARCO CROATIA D.O.O., SPREČKA 8, 10000 ZAGREB, OIB: 79421023865</v>
      </c>
      <c r="H1098" s="7"/>
      <c r="I1098" s="8" t="s">
        <v>137</v>
      </c>
      <c r="J1098" s="8" t="s">
        <v>256</v>
      </c>
      <c r="K1098" s="6" t="str">
        <f>"288.736,00"</f>
        <v>288.736,00</v>
      </c>
      <c r="L1098" s="6" t="str">
        <f>"72.184,00"</f>
        <v>72.184,00</v>
      </c>
      <c r="M1098" s="6" t="str">
        <f>"360.920,00"</f>
        <v>360.920,00</v>
      </c>
      <c r="N1098" s="8" t="s">
        <v>1240</v>
      </c>
      <c r="O1098" s="7"/>
      <c r="P1098" s="2" t="s">
        <v>6346</v>
      </c>
      <c r="Q1098" s="7"/>
      <c r="R1098" s="1"/>
      <c r="S1098" s="1" t="str">
        <f>"6-21/NOS-54-2/20"</f>
        <v>6-21/NOS-54-2/20</v>
      </c>
      <c r="T1098" s="1" t="s">
        <v>32</v>
      </c>
    </row>
    <row r="1099" spans="1:20" ht="51" x14ac:dyDescent="0.25">
      <c r="A1099" s="6">
        <v>1096</v>
      </c>
      <c r="B1099" s="1" t="str">
        <f t="shared" si="100"/>
        <v>2020-1079</v>
      </c>
      <c r="C1099" s="1" t="s">
        <v>1235</v>
      </c>
      <c r="D1099" s="1" t="s">
        <v>1239</v>
      </c>
      <c r="E1099" s="1" t="str">
        <f>""</f>
        <v/>
      </c>
      <c r="F1099" s="1" t="s">
        <v>28</v>
      </c>
      <c r="G1099" s="1" t="str">
        <f t="shared" si="101"/>
        <v>SWARCO CROATIA D.O.O., SPREČKA 8, 10000 ZAGREB, OIB: 79421023865</v>
      </c>
      <c r="H1099" s="7"/>
      <c r="I1099" s="8" t="s">
        <v>918</v>
      </c>
      <c r="J1099" s="8" t="s">
        <v>256</v>
      </c>
      <c r="K1099" s="6" t="str">
        <f>"31.380,00"</f>
        <v>31.380,00</v>
      </c>
      <c r="L1099" s="6" t="str">
        <f>"7.845,00"</f>
        <v>7.845,00</v>
      </c>
      <c r="M1099" s="6" t="str">
        <f>"39.225,00"</f>
        <v>39.225,00</v>
      </c>
      <c r="N1099" s="8" t="s">
        <v>371</v>
      </c>
      <c r="O1099" s="7"/>
      <c r="P1099" s="2" t="s">
        <v>6347</v>
      </c>
      <c r="Q1099" s="7"/>
      <c r="R1099" s="1"/>
      <c r="S1099" s="1" t="str">
        <f>"1-22/NOS-54-2/20"</f>
        <v>1-22/NOS-54-2/20</v>
      </c>
      <c r="T1099" s="1" t="s">
        <v>32</v>
      </c>
    </row>
    <row r="1100" spans="1:20" ht="51" x14ac:dyDescent="0.25">
      <c r="A1100" s="6">
        <v>1097</v>
      </c>
      <c r="B1100" s="1" t="str">
        <f t="shared" si="100"/>
        <v>2020-1079</v>
      </c>
      <c r="C1100" s="1" t="s">
        <v>1235</v>
      </c>
      <c r="D1100" s="1" t="s">
        <v>1239</v>
      </c>
      <c r="E1100" s="1" t="str">
        <f>""</f>
        <v/>
      </c>
      <c r="F1100" s="1" t="s">
        <v>28</v>
      </c>
      <c r="G1100" s="1" t="str">
        <f t="shared" si="101"/>
        <v>SWARCO CROATIA D.O.O., SPREČKA 8, 10000 ZAGREB, OIB: 79421023865</v>
      </c>
      <c r="H1100" s="7"/>
      <c r="I1100" s="8" t="s">
        <v>405</v>
      </c>
      <c r="J1100" s="8" t="s">
        <v>256</v>
      </c>
      <c r="K1100" s="6" t="str">
        <f>"132.820,00"</f>
        <v>132.820,00</v>
      </c>
      <c r="L1100" s="6" t="str">
        <f>"33.205,00"</f>
        <v>33.205,00</v>
      </c>
      <c r="M1100" s="6" t="str">
        <f>"166.025,00"</f>
        <v>166.025,00</v>
      </c>
      <c r="N1100" s="8" t="s">
        <v>563</v>
      </c>
      <c r="O1100" s="7"/>
      <c r="P1100" s="2" t="s">
        <v>5715</v>
      </c>
      <c r="Q1100" s="7"/>
      <c r="R1100" s="1"/>
      <c r="S1100" s="1" t="str">
        <f>"2-22/NOS-54-2/20"</f>
        <v>2-22/NOS-54-2/20</v>
      </c>
      <c r="T1100" s="1" t="s">
        <v>32</v>
      </c>
    </row>
    <row r="1101" spans="1:20" ht="51" x14ac:dyDescent="0.25">
      <c r="A1101" s="6">
        <v>1098</v>
      </c>
      <c r="B1101" s="1" t="str">
        <f t="shared" si="100"/>
        <v>2020-1079</v>
      </c>
      <c r="C1101" s="1" t="s">
        <v>1235</v>
      </c>
      <c r="D1101" s="1" t="s">
        <v>1239</v>
      </c>
      <c r="E1101" s="1" t="str">
        <f>""</f>
        <v/>
      </c>
      <c r="F1101" s="1" t="s">
        <v>28</v>
      </c>
      <c r="G1101" s="1" t="str">
        <f t="shared" si="101"/>
        <v>SWARCO CROATIA D.O.O., SPREČKA 8, 10000 ZAGREB, OIB: 79421023865</v>
      </c>
      <c r="H1101" s="7"/>
      <c r="I1101" s="8" t="s">
        <v>238</v>
      </c>
      <c r="J1101" s="8" t="s">
        <v>256</v>
      </c>
      <c r="K1101" s="6" t="str">
        <f>"48.189,00"</f>
        <v>48.189,00</v>
      </c>
      <c r="L1101" s="6" t="str">
        <f>"12.047,25"</f>
        <v>12.047,25</v>
      </c>
      <c r="M1101" s="6" t="str">
        <f>"60.236,25"</f>
        <v>60.236,25</v>
      </c>
      <c r="N1101" s="8" t="s">
        <v>905</v>
      </c>
      <c r="O1101" s="7"/>
      <c r="P1101" s="2" t="s">
        <v>6348</v>
      </c>
      <c r="Q1101" s="7"/>
      <c r="R1101" s="1"/>
      <c r="S1101" s="1" t="str">
        <f>"3-22/NOS-54-2/20"</f>
        <v>3-22/NOS-54-2/20</v>
      </c>
      <c r="T1101" s="1" t="s">
        <v>32</v>
      </c>
    </row>
    <row r="1102" spans="1:20" ht="51" x14ac:dyDescent="0.25">
      <c r="A1102" s="6">
        <v>1099</v>
      </c>
      <c r="B1102" s="1" t="str">
        <f t="shared" si="100"/>
        <v>2020-1079</v>
      </c>
      <c r="C1102" s="1" t="s">
        <v>1235</v>
      </c>
      <c r="D1102" s="1" t="s">
        <v>1239</v>
      </c>
      <c r="E1102" s="1" t="str">
        <f>""</f>
        <v/>
      </c>
      <c r="F1102" s="1" t="s">
        <v>28</v>
      </c>
      <c r="G1102" s="1" t="str">
        <f t="shared" si="101"/>
        <v>SWARCO CROATIA D.O.O., SPREČKA 8, 10000 ZAGREB, OIB: 79421023865</v>
      </c>
      <c r="H1102" s="7"/>
      <c r="I1102" s="8" t="s">
        <v>922</v>
      </c>
      <c r="J1102" s="8" t="s">
        <v>256</v>
      </c>
      <c r="K1102" s="6" t="str">
        <f>"37.125,00"</f>
        <v>37.125,00</v>
      </c>
      <c r="L1102" s="6" t="str">
        <f>"9.281,25"</f>
        <v>9.281,25</v>
      </c>
      <c r="M1102" s="6" t="str">
        <f>"46.406,25"</f>
        <v>46.406,25</v>
      </c>
      <c r="N1102" s="8" t="s">
        <v>432</v>
      </c>
      <c r="O1102" s="7"/>
      <c r="P1102" s="2" t="s">
        <v>6349</v>
      </c>
      <c r="Q1102" s="7"/>
      <c r="R1102" s="1"/>
      <c r="S1102" s="1" t="str">
        <f>"4-22/NOS-54-2/20"</f>
        <v>4-22/NOS-54-2/20</v>
      </c>
      <c r="T1102" s="1" t="s">
        <v>32</v>
      </c>
    </row>
    <row r="1103" spans="1:20" ht="51" x14ac:dyDescent="0.25">
      <c r="A1103" s="6">
        <v>1100</v>
      </c>
      <c r="B1103" s="1" t="str">
        <f t="shared" si="100"/>
        <v>2020-1079</v>
      </c>
      <c r="C1103" s="1" t="s">
        <v>1235</v>
      </c>
      <c r="D1103" s="1" t="s">
        <v>1239</v>
      </c>
      <c r="E1103" s="1" t="str">
        <f>""</f>
        <v/>
      </c>
      <c r="F1103" s="1" t="s">
        <v>28</v>
      </c>
      <c r="G1103" s="1" t="str">
        <f t="shared" si="101"/>
        <v>SWARCO CROATIA D.O.O., SPREČKA 8, 10000 ZAGREB, OIB: 79421023865</v>
      </c>
      <c r="H1103" s="7"/>
      <c r="I1103" s="8" t="s">
        <v>388</v>
      </c>
      <c r="J1103" s="8" t="s">
        <v>256</v>
      </c>
      <c r="K1103" s="6" t="str">
        <f>"412.191,00"</f>
        <v>412.191,00</v>
      </c>
      <c r="L1103" s="6" t="str">
        <f>"103.047,75"</f>
        <v>103.047,75</v>
      </c>
      <c r="M1103" s="6" t="str">
        <f>"515.238,75"</f>
        <v>515.238,75</v>
      </c>
      <c r="N1103" s="8" t="s">
        <v>146</v>
      </c>
      <c r="O1103" s="7"/>
      <c r="P1103" s="2" t="s">
        <v>6350</v>
      </c>
      <c r="Q1103" s="7"/>
      <c r="R1103" s="1"/>
      <c r="S1103" s="1" t="str">
        <f>"5-22/NOS-54-2/20"</f>
        <v>5-22/NOS-54-2/20</v>
      </c>
      <c r="T1103" s="1" t="s">
        <v>32</v>
      </c>
    </row>
    <row r="1104" spans="1:20" ht="63.75" x14ac:dyDescent="0.25">
      <c r="A1104" s="6">
        <v>1101</v>
      </c>
      <c r="B1104" s="1" t="str">
        <f>"2020-2800"</f>
        <v>2020-2800</v>
      </c>
      <c r="C1104" s="1" t="s">
        <v>1241</v>
      </c>
      <c r="D1104" s="1" t="s">
        <v>1242</v>
      </c>
      <c r="E1104" s="1" t="str">
        <f>"2020/S 0F2-0039402"</f>
        <v>2020/S 0F2-0039402</v>
      </c>
      <c r="F1104" s="1" t="s">
        <v>22</v>
      </c>
      <c r="G1104" s="1" t="str">
        <f>CONCATENATE("AQUA INŽINJERING D.O.O,"," ZAGREBAČKA ULICA 15,"," 10360 SESVETE,"," OIB: 73980898845")</f>
        <v>AQUA INŽINJERING D.O.O, ZAGREBAČKA ULICA 15, 10360 SESVETE, OIB: 73980898845</v>
      </c>
      <c r="H1104" s="7"/>
      <c r="I1104" s="8" t="s">
        <v>1227</v>
      </c>
      <c r="J1104" s="8" t="s">
        <v>1243</v>
      </c>
      <c r="K1104" s="6" t="str">
        <f>"1.500.000,00"</f>
        <v>1.500.000,00</v>
      </c>
      <c r="L1104" s="6" t="str">
        <f>"375.000,00"</f>
        <v>375.000,00</v>
      </c>
      <c r="M1104" s="6" t="str">
        <f>"1.875.000,00"</f>
        <v>1.875.000,00</v>
      </c>
      <c r="N1104" s="8" t="s">
        <v>124</v>
      </c>
      <c r="O1104" s="7"/>
      <c r="P1104" s="2" t="s">
        <v>5614</v>
      </c>
      <c r="Q1104" s="7"/>
      <c r="R1104" s="1"/>
      <c r="S1104" s="1" t="str">
        <f>"NOS-71/20"</f>
        <v>NOS-71/20</v>
      </c>
      <c r="T1104" s="1" t="s">
        <v>55</v>
      </c>
    </row>
    <row r="1105" spans="1:20" ht="63.75" x14ac:dyDescent="0.25">
      <c r="A1105" s="6">
        <v>1102</v>
      </c>
      <c r="B1105" s="1" t="str">
        <f>"2020-2800"</f>
        <v>2020-2800</v>
      </c>
      <c r="C1105" s="1" t="s">
        <v>1241</v>
      </c>
      <c r="D1105" s="1" t="s">
        <v>1244</v>
      </c>
      <c r="E1105" s="1" t="str">
        <f>""</f>
        <v/>
      </c>
      <c r="F1105" s="1" t="s">
        <v>28</v>
      </c>
      <c r="G1105" s="1" t="str">
        <f>CONCATENATE("AQUA INŽINJERING D.O.O,"," ZAGREBAČKA ULICA 15,"," 10360 SESVETE,"," OIB: 73980898845")</f>
        <v>AQUA INŽINJERING D.O.O, ZAGREBAČKA ULICA 15, 10360 SESVETE, OIB: 73980898845</v>
      </c>
      <c r="H1105" s="7"/>
      <c r="I1105" s="8" t="s">
        <v>509</v>
      </c>
      <c r="J1105" s="8" t="s">
        <v>1194</v>
      </c>
      <c r="K1105" s="6" t="str">
        <f>"398.476,00"</f>
        <v>398.476,00</v>
      </c>
      <c r="L1105" s="6" t="str">
        <f>"0,00"</f>
        <v>0,00</v>
      </c>
      <c r="M1105" s="6" t="str">
        <f>"398.476,00"</f>
        <v>398.476,00</v>
      </c>
      <c r="N1105" s="8" t="s">
        <v>124</v>
      </c>
      <c r="O1105" s="7"/>
      <c r="P1105" s="2" t="s">
        <v>5614</v>
      </c>
      <c r="Q1105" s="7"/>
      <c r="R1105" s="1"/>
      <c r="S1105" s="1" t="str">
        <f>"1-22/NOS-71/20"</f>
        <v>1-22/NOS-71/20</v>
      </c>
      <c r="T1105" s="1" t="s">
        <v>55</v>
      </c>
    </row>
    <row r="1106" spans="1:20" ht="178.5" x14ac:dyDescent="0.25">
      <c r="A1106" s="6">
        <v>1103</v>
      </c>
      <c r="B1106" s="1" t="str">
        <f t="shared" ref="B1106:B1113" si="102">"2020-2929"</f>
        <v>2020-2929</v>
      </c>
      <c r="C1106" s="1" t="s">
        <v>1245</v>
      </c>
      <c r="D1106" s="1" t="s">
        <v>1246</v>
      </c>
      <c r="E1106" s="1" t="str">
        <f>"2020/S 0F2-0037336"</f>
        <v>2020/S 0F2-0037336</v>
      </c>
      <c r="F1106" s="1" t="s">
        <v>22</v>
      </c>
      <c r="G1106" s="1" t="str">
        <f>CONCATENATE("PIRIĆ-PROMET D.O.O.,"," KOLAROVA 2,"," 10000 ZAGREB,"," OIB: 17094516543",CHAR(10),"",CHAR(10),"TEHMAR D.O.O.,"," STAJNIČKA 5,"," 10251 HRVATSKI LESKOVAC,"," OIB: 78055843019",CHAR(10),"",CHAR(10),"HESLA D.O.O.,"," RUDEŠKA CESTA 142,"," 10000 ZAGREB,"," OIB: 12625089439")</f>
        <v>PIRIĆ-PROMET D.O.O., KOLAROVA 2, 10000 ZAGREB, OIB: 17094516543
TEHMAR D.O.O., STAJNIČKA 5, 10251 HRVATSKI LESKOVAC, OIB: 78055843019
HESLA D.O.O., RUDEŠKA CESTA 142, 10000 ZAGREB, OIB: 12625089439</v>
      </c>
      <c r="H1106" s="1" t="str">
        <f>CONCATENATE("KABEL-MONT D.O.O.,"," OIB: 29990397314")</f>
        <v>KABEL-MONT D.O.O., OIB: 29990397314</v>
      </c>
      <c r="I1106" s="8" t="s">
        <v>1247</v>
      </c>
      <c r="J1106" s="8" t="s">
        <v>1238</v>
      </c>
      <c r="K1106" s="6" t="str">
        <f>"320.000,00"</f>
        <v>320.000,00</v>
      </c>
      <c r="L1106" s="6" t="str">
        <f>"80.000,00"</f>
        <v>80.000,00</v>
      </c>
      <c r="M1106" s="6" t="str">
        <f>"400.000,00"</f>
        <v>400.000,00</v>
      </c>
      <c r="N1106" s="8" t="s">
        <v>124</v>
      </c>
      <c r="O1106" s="7"/>
      <c r="P1106" s="2" t="s">
        <v>5614</v>
      </c>
      <c r="Q1106" s="7"/>
      <c r="R1106" s="1"/>
      <c r="S1106" s="1" t="str">
        <f>"NOS-63/20"</f>
        <v>NOS-63/20</v>
      </c>
      <c r="T1106" s="1" t="s">
        <v>86</v>
      </c>
    </row>
    <row r="1107" spans="1:20" ht="51" x14ac:dyDescent="0.25">
      <c r="A1107" s="6">
        <v>1104</v>
      </c>
      <c r="B1107" s="1" t="str">
        <f t="shared" si="102"/>
        <v>2020-2929</v>
      </c>
      <c r="C1107" s="1" t="s">
        <v>1245</v>
      </c>
      <c r="D1107" s="1" t="s">
        <v>1246</v>
      </c>
      <c r="E1107" s="1" t="str">
        <f>""</f>
        <v/>
      </c>
      <c r="F1107" s="1" t="s">
        <v>28</v>
      </c>
      <c r="G1107" s="1" t="str">
        <f t="shared" ref="G1107:G1113" si="103">CONCATENATE("TEHMAR D.O.O.,"," STAJNIČKA 5,"," 10251 HRVATSKI LESKOVAC,"," OIB: 78055843019")</f>
        <v>TEHMAR D.O.O., STAJNIČKA 5, 10251 HRVATSKI LESKOVAC, OIB: 78055843019</v>
      </c>
      <c r="H1107" s="7"/>
      <c r="I1107" s="8" t="s">
        <v>239</v>
      </c>
      <c r="J1107" s="8" t="s">
        <v>490</v>
      </c>
      <c r="K1107" s="6" t="str">
        <f>"58.825,00"</f>
        <v>58.825,00</v>
      </c>
      <c r="L1107" s="6" t="str">
        <f>"14.706,25"</f>
        <v>14.706,25</v>
      </c>
      <c r="M1107" s="6" t="str">
        <f>"73.531,25"</f>
        <v>73.531,25</v>
      </c>
      <c r="N1107" s="8" t="s">
        <v>124</v>
      </c>
      <c r="O1107" s="7"/>
      <c r="P1107" s="2" t="s">
        <v>6351</v>
      </c>
      <c r="Q1107" s="7"/>
      <c r="R1107" s="1"/>
      <c r="S1107" s="1" t="str">
        <f>"1-22/NOS-63/20"</f>
        <v>1-22/NOS-63/20</v>
      </c>
      <c r="T1107" s="1" t="s">
        <v>86</v>
      </c>
    </row>
    <row r="1108" spans="1:20" ht="51" x14ac:dyDescent="0.25">
      <c r="A1108" s="6">
        <v>1105</v>
      </c>
      <c r="B1108" s="1" t="str">
        <f t="shared" si="102"/>
        <v>2020-2929</v>
      </c>
      <c r="C1108" s="1" t="s">
        <v>1245</v>
      </c>
      <c r="D1108" s="1" t="s">
        <v>1246</v>
      </c>
      <c r="E1108" s="1" t="str">
        <f>""</f>
        <v/>
      </c>
      <c r="F1108" s="1" t="s">
        <v>28</v>
      </c>
      <c r="G1108" s="1" t="str">
        <f t="shared" si="103"/>
        <v>TEHMAR D.O.O., STAJNIČKA 5, 10251 HRVATSKI LESKOVAC, OIB: 78055843019</v>
      </c>
      <c r="H1108" s="1" t="str">
        <f t="shared" ref="H1108:H1113" si="104">CONCATENATE("KABEL-MONT D.O.O.,"," OIB: 29990397314")</f>
        <v>KABEL-MONT D.O.O., OIB: 29990397314</v>
      </c>
      <c r="I1108" s="8" t="s">
        <v>117</v>
      </c>
      <c r="J1108" s="8" t="s">
        <v>1194</v>
      </c>
      <c r="K1108" s="6" t="str">
        <f>"14.550,00"</f>
        <v>14.550,00</v>
      </c>
      <c r="L1108" s="6" t="str">
        <f>"3.637,50"</f>
        <v>3.637,50</v>
      </c>
      <c r="M1108" s="6" t="str">
        <f>"18.187,50"</f>
        <v>18.187,50</v>
      </c>
      <c r="N1108" s="8" t="s">
        <v>257</v>
      </c>
      <c r="O1108" s="7"/>
      <c r="P1108" s="2" t="s">
        <v>6352</v>
      </c>
      <c r="Q1108" s="7"/>
      <c r="R1108" s="1"/>
      <c r="S1108" s="1" t="str">
        <f>"8-21/NOS-63/20"</f>
        <v>8-21/NOS-63/20</v>
      </c>
      <c r="T1108" s="1" t="s">
        <v>86</v>
      </c>
    </row>
    <row r="1109" spans="1:20" ht="51" x14ac:dyDescent="0.25">
      <c r="A1109" s="6">
        <v>1106</v>
      </c>
      <c r="B1109" s="1" t="str">
        <f t="shared" si="102"/>
        <v>2020-2929</v>
      </c>
      <c r="C1109" s="1" t="s">
        <v>1245</v>
      </c>
      <c r="D1109" s="1" t="s">
        <v>1246</v>
      </c>
      <c r="E1109" s="1" t="str">
        <f>""</f>
        <v/>
      </c>
      <c r="F1109" s="1" t="s">
        <v>28</v>
      </c>
      <c r="G1109" s="1" t="str">
        <f t="shared" si="103"/>
        <v>TEHMAR D.O.O., STAJNIČKA 5, 10251 HRVATSKI LESKOVAC, OIB: 78055843019</v>
      </c>
      <c r="H1109" s="1" t="str">
        <f t="shared" si="104"/>
        <v>KABEL-MONT D.O.O., OIB: 29990397314</v>
      </c>
      <c r="I1109" s="8" t="s">
        <v>239</v>
      </c>
      <c r="J1109" s="8" t="s">
        <v>1194</v>
      </c>
      <c r="K1109" s="6" t="str">
        <f>"14.800,00"</f>
        <v>14.800,00</v>
      </c>
      <c r="L1109" s="6" t="str">
        <f>"3.700,00"</f>
        <v>3.700,00</v>
      </c>
      <c r="M1109" s="6" t="str">
        <f>"18.500,00"</f>
        <v>18.500,00</v>
      </c>
      <c r="N1109" s="8" t="s">
        <v>257</v>
      </c>
      <c r="O1109" s="7"/>
      <c r="P1109" s="2" t="s">
        <v>6353</v>
      </c>
      <c r="Q1109" s="7"/>
      <c r="R1109" s="1"/>
      <c r="S1109" s="1" t="str">
        <f>"2-22/NOS-63/20"</f>
        <v>2-22/NOS-63/20</v>
      </c>
      <c r="T1109" s="1" t="s">
        <v>86</v>
      </c>
    </row>
    <row r="1110" spans="1:20" ht="51" x14ac:dyDescent="0.25">
      <c r="A1110" s="6">
        <v>1107</v>
      </c>
      <c r="B1110" s="1" t="str">
        <f t="shared" si="102"/>
        <v>2020-2929</v>
      </c>
      <c r="C1110" s="1" t="s">
        <v>1245</v>
      </c>
      <c r="D1110" s="1" t="s">
        <v>1246</v>
      </c>
      <c r="E1110" s="1" t="str">
        <f>""</f>
        <v/>
      </c>
      <c r="F1110" s="1" t="s">
        <v>28</v>
      </c>
      <c r="G1110" s="1" t="str">
        <f t="shared" si="103"/>
        <v>TEHMAR D.O.O., STAJNIČKA 5, 10251 HRVATSKI LESKOVAC, OIB: 78055843019</v>
      </c>
      <c r="H1110" s="1" t="str">
        <f t="shared" si="104"/>
        <v>KABEL-MONT D.O.O., OIB: 29990397314</v>
      </c>
      <c r="I1110" s="8" t="s">
        <v>350</v>
      </c>
      <c r="J1110" s="8" t="s">
        <v>1148</v>
      </c>
      <c r="K1110" s="6" t="str">
        <f>"2.400,00"</f>
        <v>2.400,00</v>
      </c>
      <c r="L1110" s="6" t="str">
        <f>"600,00"</f>
        <v>600,00</v>
      </c>
      <c r="M1110" s="6" t="str">
        <f>"3.000,00"</f>
        <v>3.000,00</v>
      </c>
      <c r="N1110" s="8" t="s">
        <v>562</v>
      </c>
      <c r="O1110" s="7"/>
      <c r="P1110" s="2" t="s">
        <v>5781</v>
      </c>
      <c r="Q1110" s="7"/>
      <c r="R1110" s="1"/>
      <c r="S1110" s="1" t="str">
        <f>"4-22/NOS-63/20"</f>
        <v>4-22/NOS-63/20</v>
      </c>
      <c r="T1110" s="1" t="s">
        <v>86</v>
      </c>
    </row>
    <row r="1111" spans="1:20" ht="51" x14ac:dyDescent="0.25">
      <c r="A1111" s="6">
        <v>1108</v>
      </c>
      <c r="B1111" s="1" t="str">
        <f t="shared" si="102"/>
        <v>2020-2929</v>
      </c>
      <c r="C1111" s="1" t="s">
        <v>1245</v>
      </c>
      <c r="D1111" s="1" t="s">
        <v>1246</v>
      </c>
      <c r="E1111" s="1" t="str">
        <f>""</f>
        <v/>
      </c>
      <c r="F1111" s="1" t="s">
        <v>28</v>
      </c>
      <c r="G1111" s="1" t="str">
        <f t="shared" si="103"/>
        <v>TEHMAR D.O.O., STAJNIČKA 5, 10251 HRVATSKI LESKOVAC, OIB: 78055843019</v>
      </c>
      <c r="H1111" s="1" t="str">
        <f t="shared" si="104"/>
        <v>KABEL-MONT D.O.O., OIB: 29990397314</v>
      </c>
      <c r="I1111" s="8" t="s">
        <v>565</v>
      </c>
      <c r="J1111" s="8" t="s">
        <v>1148</v>
      </c>
      <c r="K1111" s="6" t="str">
        <f>"2.700,00"</f>
        <v>2.700,00</v>
      </c>
      <c r="L1111" s="6" t="str">
        <f>"675,00"</f>
        <v>675,00</v>
      </c>
      <c r="M1111" s="6" t="str">
        <f>"3.375,00"</f>
        <v>3.375,00</v>
      </c>
      <c r="N1111" s="8" t="s">
        <v>566</v>
      </c>
      <c r="O1111" s="7"/>
      <c r="P1111" s="2" t="s">
        <v>6354</v>
      </c>
      <c r="Q1111" s="7"/>
      <c r="R1111" s="1"/>
      <c r="S1111" s="1" t="str">
        <f>"5-22/NOS-63/20"</f>
        <v>5-22/NOS-63/20</v>
      </c>
      <c r="T1111" s="1" t="s">
        <v>86</v>
      </c>
    </row>
    <row r="1112" spans="1:20" ht="51" x14ac:dyDescent="0.25">
      <c r="A1112" s="6">
        <v>1109</v>
      </c>
      <c r="B1112" s="1" t="str">
        <f t="shared" si="102"/>
        <v>2020-2929</v>
      </c>
      <c r="C1112" s="1" t="s">
        <v>1245</v>
      </c>
      <c r="D1112" s="1" t="s">
        <v>1246</v>
      </c>
      <c r="E1112" s="1" t="str">
        <f>""</f>
        <v/>
      </c>
      <c r="F1112" s="1" t="s">
        <v>28</v>
      </c>
      <c r="G1112" s="1" t="str">
        <f t="shared" si="103"/>
        <v>TEHMAR D.O.O., STAJNIČKA 5, 10251 HRVATSKI LESKOVAC, OIB: 78055843019</v>
      </c>
      <c r="H1112" s="1" t="str">
        <f t="shared" si="104"/>
        <v>KABEL-MONT D.O.O., OIB: 29990397314</v>
      </c>
      <c r="I1112" s="8" t="s">
        <v>1191</v>
      </c>
      <c r="J1112" s="8" t="s">
        <v>555</v>
      </c>
      <c r="K1112" s="6" t="str">
        <f>"19.000,00"</f>
        <v>19.000,00</v>
      </c>
      <c r="L1112" s="6" t="str">
        <f>"0,00"</f>
        <v>0,00</v>
      </c>
      <c r="M1112" s="6" t="str">
        <f>"19.000,00"</f>
        <v>19.000,00</v>
      </c>
      <c r="N1112" s="8" t="s">
        <v>124</v>
      </c>
      <c r="O1112" s="7"/>
      <c r="P1112" s="2" t="s">
        <v>5614</v>
      </c>
      <c r="Q1112" s="7"/>
      <c r="R1112" s="1"/>
      <c r="S1112" s="1" t="str">
        <f>"6-22/NOS-63/20"</f>
        <v>6-22/NOS-63/20</v>
      </c>
      <c r="T1112" s="1" t="s">
        <v>86</v>
      </c>
    </row>
    <row r="1113" spans="1:20" ht="51" x14ac:dyDescent="0.25">
      <c r="A1113" s="6">
        <v>1110</v>
      </c>
      <c r="B1113" s="1" t="str">
        <f t="shared" si="102"/>
        <v>2020-2929</v>
      </c>
      <c r="C1113" s="1" t="s">
        <v>1245</v>
      </c>
      <c r="D1113" s="1" t="s">
        <v>1246</v>
      </c>
      <c r="E1113" s="1" t="str">
        <f>""</f>
        <v/>
      </c>
      <c r="F1113" s="1" t="s">
        <v>28</v>
      </c>
      <c r="G1113" s="1" t="str">
        <f t="shared" si="103"/>
        <v>TEHMAR D.O.O., STAJNIČKA 5, 10251 HRVATSKI LESKOVAC, OIB: 78055843019</v>
      </c>
      <c r="H1113" s="1" t="str">
        <f t="shared" si="104"/>
        <v>KABEL-MONT D.O.O., OIB: 29990397314</v>
      </c>
      <c r="I1113" s="8" t="s">
        <v>553</v>
      </c>
      <c r="J1113" s="8" t="s">
        <v>241</v>
      </c>
      <c r="K1113" s="6" t="str">
        <f>"13.070,00"</f>
        <v>13.070,00</v>
      </c>
      <c r="L1113" s="6" t="str">
        <f>"0,00"</f>
        <v>0,00</v>
      </c>
      <c r="M1113" s="6" t="str">
        <f>"13.070,00"</f>
        <v>13.070,00</v>
      </c>
      <c r="N1113" s="8" t="s">
        <v>124</v>
      </c>
      <c r="O1113" s="7"/>
      <c r="P1113" s="2" t="s">
        <v>5614</v>
      </c>
      <c r="Q1113" s="7"/>
      <c r="R1113" s="1"/>
      <c r="S1113" s="1" t="str">
        <f>"7-22/NOS-63/20"</f>
        <v>7-22/NOS-63/20</v>
      </c>
      <c r="T1113" s="1" t="s">
        <v>86</v>
      </c>
    </row>
    <row r="1114" spans="1:20" ht="51" x14ac:dyDescent="0.25">
      <c r="A1114" s="6">
        <v>1111</v>
      </c>
      <c r="B1114" s="1" t="str">
        <f>"2020-1079"</f>
        <v>2020-1079</v>
      </c>
      <c r="C1114" s="1" t="s">
        <v>1248</v>
      </c>
      <c r="D1114" s="1" t="s">
        <v>1236</v>
      </c>
      <c r="E1114" s="1" t="str">
        <f>"2020/S 0F2-0030452"</f>
        <v>2020/S 0F2-0030452</v>
      </c>
      <c r="F1114" s="1" t="s">
        <v>22</v>
      </c>
      <c r="G1114" s="1" t="str">
        <f>CONCATENATE("FANOS D.O.O.,"," KRANJČEVIĆEVA 48,"," 10000 ZAGREB,"," OIB: 68945711747")</f>
        <v>FANOS D.O.O., KRANJČEVIĆEVA 48, 10000 ZAGREB, OIB: 68945711747</v>
      </c>
      <c r="H1114" s="7"/>
      <c r="I1114" s="8" t="s">
        <v>1237</v>
      </c>
      <c r="J1114" s="8" t="s">
        <v>1233</v>
      </c>
      <c r="K1114" s="6" t="str">
        <f>"800.000,00"</f>
        <v>800.000,00</v>
      </c>
      <c r="L1114" s="6" t="str">
        <f>"200.000,00"</f>
        <v>200.000,00</v>
      </c>
      <c r="M1114" s="6" t="str">
        <f>"1.000.000,00"</f>
        <v>1.000.000,00</v>
      </c>
      <c r="N1114" s="8" t="s">
        <v>124</v>
      </c>
      <c r="O1114" s="7"/>
      <c r="P1114" s="2" t="s">
        <v>5614</v>
      </c>
      <c r="Q1114" s="7"/>
      <c r="R1114" s="1"/>
      <c r="S1114" s="1" t="str">
        <f>"NOS-54-3/20"</f>
        <v>NOS-54-3/20</v>
      </c>
      <c r="T1114" s="1" t="s">
        <v>32</v>
      </c>
    </row>
    <row r="1115" spans="1:20" ht="51" x14ac:dyDescent="0.25">
      <c r="A1115" s="6">
        <v>1112</v>
      </c>
      <c r="B1115" s="1" t="str">
        <f>"2020-1079"</f>
        <v>2020-1079</v>
      </c>
      <c r="C1115" s="1" t="s">
        <v>1248</v>
      </c>
      <c r="D1115" s="1" t="s">
        <v>1239</v>
      </c>
      <c r="E1115" s="1" t="str">
        <f>""</f>
        <v/>
      </c>
      <c r="F1115" s="1" t="s">
        <v>28</v>
      </c>
      <c r="G1115" s="1" t="str">
        <f>CONCATENATE("FANOS D.O.O.,"," KRANJČEVIĆEVA 48,"," 10000 ZAGREB,"," OIB: 68945711747")</f>
        <v>FANOS D.O.O., KRANJČEVIĆEVA 48, 10000 ZAGREB, OIB: 68945711747</v>
      </c>
      <c r="H1115" s="7"/>
      <c r="I1115" s="8" t="s">
        <v>239</v>
      </c>
      <c r="J1115" s="8" t="s">
        <v>423</v>
      </c>
      <c r="K1115" s="6" t="str">
        <f>"5.200,00"</f>
        <v>5.200,00</v>
      </c>
      <c r="L1115" s="6" t="str">
        <f>"1.300,00"</f>
        <v>1.300,00</v>
      </c>
      <c r="M1115" s="6" t="str">
        <f>"6.500,00"</f>
        <v>6.500,00</v>
      </c>
      <c r="N1115" s="8" t="s">
        <v>255</v>
      </c>
      <c r="O1115" s="7"/>
      <c r="P1115" s="2" t="s">
        <v>6355</v>
      </c>
      <c r="Q1115" s="7"/>
      <c r="R1115" s="1"/>
      <c r="S1115" s="1" t="str">
        <f>"1-22/NOS-54-3/20"</f>
        <v>1-22/NOS-54-3/20</v>
      </c>
      <c r="T1115" s="1" t="s">
        <v>32</v>
      </c>
    </row>
    <row r="1116" spans="1:20" ht="51" x14ac:dyDescent="0.25">
      <c r="A1116" s="6">
        <v>1113</v>
      </c>
      <c r="B1116" s="1" t="str">
        <f>"2020-1079"</f>
        <v>2020-1079</v>
      </c>
      <c r="C1116" s="1" t="s">
        <v>1248</v>
      </c>
      <c r="D1116" s="1" t="s">
        <v>1239</v>
      </c>
      <c r="E1116" s="1" t="str">
        <f>""</f>
        <v/>
      </c>
      <c r="F1116" s="1" t="s">
        <v>28</v>
      </c>
      <c r="G1116" s="1" t="str">
        <f>CONCATENATE("FANOS D.O.O.,"," KRANJČEVIĆEVA 48,"," 10000 ZAGREB,"," OIB: 68945711747")</f>
        <v>FANOS D.O.O., KRANJČEVIĆEVA 48, 10000 ZAGREB, OIB: 68945711747</v>
      </c>
      <c r="H1116" s="7"/>
      <c r="I1116" s="8" t="s">
        <v>258</v>
      </c>
      <c r="J1116" s="8" t="s">
        <v>256</v>
      </c>
      <c r="K1116" s="6" t="str">
        <f>"5.600,00"</f>
        <v>5.600,00</v>
      </c>
      <c r="L1116" s="6" t="str">
        <f>"1.400,00"</f>
        <v>1.400,00</v>
      </c>
      <c r="M1116" s="6" t="str">
        <f>"7.000,00"</f>
        <v>7.000,00</v>
      </c>
      <c r="N1116" s="8" t="s">
        <v>255</v>
      </c>
      <c r="O1116" s="7"/>
      <c r="P1116" s="2" t="s">
        <v>6356</v>
      </c>
      <c r="Q1116" s="7"/>
      <c r="R1116" s="1"/>
      <c r="S1116" s="1" t="str">
        <f>"2-22/NOS-54-3/20"</f>
        <v>2-22/NOS-54-3/20</v>
      </c>
      <c r="T1116" s="1" t="s">
        <v>32</v>
      </c>
    </row>
    <row r="1117" spans="1:20" ht="51" x14ac:dyDescent="0.25">
      <c r="A1117" s="6">
        <v>1114</v>
      </c>
      <c r="B1117" s="1" t="str">
        <f>"2020-522"</f>
        <v>2020-522</v>
      </c>
      <c r="C1117" s="1" t="s">
        <v>1249</v>
      </c>
      <c r="D1117" s="1" t="s">
        <v>74</v>
      </c>
      <c r="E1117" s="1" t="str">
        <f>"2020/S 0F2-0040162"</f>
        <v>2020/S 0F2-0040162</v>
      </c>
      <c r="F1117" s="1" t="s">
        <v>22</v>
      </c>
      <c r="G1117" s="1" t="str">
        <f>CONCATENATE("INFOSISTEM D.D.,"," SAVSKA OPATOVINA 36,"," 10000 ZAGREB,"," OIB: 93572324237")</f>
        <v>INFOSISTEM D.D., SAVSKA OPATOVINA 36, 10000 ZAGREB, OIB: 93572324237</v>
      </c>
      <c r="H1117" s="7"/>
      <c r="I1117" s="8" t="s">
        <v>1250</v>
      </c>
      <c r="J1117" s="8" t="s">
        <v>1175</v>
      </c>
      <c r="K1117" s="6" t="str">
        <f>"800.000,00"</f>
        <v>800.000,00</v>
      </c>
      <c r="L1117" s="6" t="str">
        <f>"200.000,00"</f>
        <v>200.000,00</v>
      </c>
      <c r="M1117" s="6" t="str">
        <f>"1.000.000,00"</f>
        <v>1.000.000,00</v>
      </c>
      <c r="N1117" s="8" t="s">
        <v>124</v>
      </c>
      <c r="O1117" s="7"/>
      <c r="P1117" s="2" t="s">
        <v>5614</v>
      </c>
      <c r="Q1117" s="7"/>
      <c r="R1117" s="1"/>
      <c r="S1117" s="1" t="str">
        <f>"NOS-73/20"</f>
        <v>NOS-73/20</v>
      </c>
      <c r="T1117" s="1" t="s">
        <v>55</v>
      </c>
    </row>
    <row r="1118" spans="1:20" ht="51" x14ac:dyDescent="0.25">
      <c r="A1118" s="6">
        <v>1115</v>
      </c>
      <c r="B1118" s="1" t="str">
        <f>"2020-522"</f>
        <v>2020-522</v>
      </c>
      <c r="C1118" s="1" t="s">
        <v>1249</v>
      </c>
      <c r="D1118" s="1" t="s">
        <v>78</v>
      </c>
      <c r="E1118" s="1" t="str">
        <f>""</f>
        <v/>
      </c>
      <c r="F1118" s="1" t="s">
        <v>28</v>
      </c>
      <c r="G1118" s="1" t="str">
        <f>CONCATENATE("INFOSISTEM D.D.,"," SAVSKA OPATOVINA 36,"," 10000 ZAGREB,"," OIB: 93572324237")</f>
        <v>INFOSISTEM D.D., SAVSKA OPATOVINA 36, 10000 ZAGREB, OIB: 93572324237</v>
      </c>
      <c r="H1118" s="7"/>
      <c r="I1118" s="8" t="s">
        <v>930</v>
      </c>
      <c r="J1118" s="8" t="s">
        <v>1148</v>
      </c>
      <c r="K1118" s="6" t="str">
        <f>"25.000,00"</f>
        <v>25.000,00</v>
      </c>
      <c r="L1118" s="6" t="str">
        <f>"0,00"</f>
        <v>0,00</v>
      </c>
      <c r="M1118" s="6" t="str">
        <f>"25.000,00"</f>
        <v>25.000,00</v>
      </c>
      <c r="N1118" s="8" t="s">
        <v>124</v>
      </c>
      <c r="O1118" s="7"/>
      <c r="P1118" s="2" t="s">
        <v>5614</v>
      </c>
      <c r="Q1118" s="7"/>
      <c r="R1118" s="1"/>
      <c r="S1118" s="1" t="str">
        <f>"6-21/NOS-73/20"</f>
        <v>6-21/NOS-73/20</v>
      </c>
      <c r="T1118" s="1" t="s">
        <v>55</v>
      </c>
    </row>
    <row r="1119" spans="1:20" ht="51" x14ac:dyDescent="0.25">
      <c r="A1119" s="6">
        <v>1116</v>
      </c>
      <c r="B1119" s="1" t="str">
        <f>"2020-522"</f>
        <v>2020-522</v>
      </c>
      <c r="C1119" s="1" t="s">
        <v>1249</v>
      </c>
      <c r="D1119" s="1" t="s">
        <v>78</v>
      </c>
      <c r="E1119" s="1" t="str">
        <f>""</f>
        <v/>
      </c>
      <c r="F1119" s="1" t="s">
        <v>28</v>
      </c>
      <c r="G1119" s="1" t="str">
        <f>CONCATENATE("INFOSISTEM D.D.,"," SAVSKA OPATOVINA 36,"," 10000 ZAGREB,"," OIB: 93572324237")</f>
        <v>INFOSISTEM D.D., SAVSKA OPATOVINA 36, 10000 ZAGREB, OIB: 93572324237</v>
      </c>
      <c r="H1119" s="7"/>
      <c r="I1119" s="8" t="s">
        <v>293</v>
      </c>
      <c r="J1119" s="8" t="s">
        <v>1251</v>
      </c>
      <c r="K1119" s="6" t="str">
        <f>"70.500,00"</f>
        <v>70.500,00</v>
      </c>
      <c r="L1119" s="6" t="str">
        <f>"0,00"</f>
        <v>0,00</v>
      </c>
      <c r="M1119" s="6" t="str">
        <f>"70.500,00"</f>
        <v>70.500,00</v>
      </c>
      <c r="N1119" s="8" t="s">
        <v>124</v>
      </c>
      <c r="O1119" s="7"/>
      <c r="P1119" s="2" t="s">
        <v>5614</v>
      </c>
      <c r="Q1119" s="7"/>
      <c r="R1119" s="1"/>
      <c r="S1119" s="1" t="str">
        <f>"1-22/NOS-73/20"</f>
        <v>1-22/NOS-73/20</v>
      </c>
      <c r="T1119" s="1" t="s">
        <v>55</v>
      </c>
    </row>
    <row r="1120" spans="1:20" ht="51" x14ac:dyDescent="0.25">
      <c r="A1120" s="6">
        <v>1117</v>
      </c>
      <c r="B1120" s="1" t="str">
        <f>"2020-522"</f>
        <v>2020-522</v>
      </c>
      <c r="C1120" s="1" t="s">
        <v>1249</v>
      </c>
      <c r="D1120" s="1" t="s">
        <v>78</v>
      </c>
      <c r="E1120" s="1" t="str">
        <f>""</f>
        <v/>
      </c>
      <c r="F1120" s="1" t="s">
        <v>28</v>
      </c>
      <c r="G1120" s="1" t="str">
        <f>CONCATENATE("INFOSISTEM D.D.,"," SAVSKA OPATOVINA 36,"," 10000 ZAGREB,"," OIB: 93572324237")</f>
        <v>INFOSISTEM D.D., SAVSKA OPATOVINA 36, 10000 ZAGREB, OIB: 93572324237</v>
      </c>
      <c r="H1120" s="7"/>
      <c r="I1120" s="8" t="s">
        <v>893</v>
      </c>
      <c r="J1120" s="8" t="s">
        <v>1252</v>
      </c>
      <c r="K1120" s="6" t="str">
        <f>"70.500,00"</f>
        <v>70.500,00</v>
      </c>
      <c r="L1120" s="6" t="str">
        <f>"0,00"</f>
        <v>0,00</v>
      </c>
      <c r="M1120" s="6" t="str">
        <f>"70.500,00"</f>
        <v>70.500,00</v>
      </c>
      <c r="N1120" s="8" t="s">
        <v>124</v>
      </c>
      <c r="O1120" s="7"/>
      <c r="P1120" s="2" t="s">
        <v>5614</v>
      </c>
      <c r="Q1120" s="7"/>
      <c r="R1120" s="1"/>
      <c r="S1120" s="1" t="str">
        <f>"2-22/NOS-73/20"</f>
        <v>2-22/NOS-73/20</v>
      </c>
      <c r="T1120" s="1" t="s">
        <v>55</v>
      </c>
    </row>
    <row r="1121" spans="1:20" ht="51" x14ac:dyDescent="0.25">
      <c r="A1121" s="6">
        <v>1118</v>
      </c>
      <c r="B1121" s="1" t="str">
        <f>"2020-522"</f>
        <v>2020-522</v>
      </c>
      <c r="C1121" s="1" t="s">
        <v>1249</v>
      </c>
      <c r="D1121" s="1" t="s">
        <v>78</v>
      </c>
      <c r="E1121" s="1" t="str">
        <f>""</f>
        <v/>
      </c>
      <c r="F1121" s="1" t="s">
        <v>28</v>
      </c>
      <c r="G1121" s="1" t="str">
        <f>CONCATENATE("INFOSISTEM D.D.,"," SAVSKA OPATOVINA 36,"," 10000 ZAGREB,"," OIB: 93572324237")</f>
        <v>INFOSISTEM D.D., SAVSKA OPATOVINA 36, 10000 ZAGREB, OIB: 93572324237</v>
      </c>
      <c r="H1121" s="7"/>
      <c r="I1121" s="8" t="s">
        <v>1159</v>
      </c>
      <c r="J1121" s="8" t="s">
        <v>1251</v>
      </c>
      <c r="K1121" s="6" t="str">
        <f>"36.450,00"</f>
        <v>36.450,00</v>
      </c>
      <c r="L1121" s="6" t="str">
        <f>"0,00"</f>
        <v>0,00</v>
      </c>
      <c r="M1121" s="6" t="str">
        <f>"36.450,00"</f>
        <v>36.450,00</v>
      </c>
      <c r="N1121" s="8" t="s">
        <v>124</v>
      </c>
      <c r="O1121" s="7"/>
      <c r="P1121" s="2" t="s">
        <v>5614</v>
      </c>
      <c r="Q1121" s="7"/>
      <c r="R1121" s="1"/>
      <c r="S1121" s="1" t="str">
        <f>"4-22/NOS-73/20"</f>
        <v>4-22/NOS-73/20</v>
      </c>
      <c r="T1121" s="1" t="s">
        <v>55</v>
      </c>
    </row>
    <row r="1122" spans="1:20" ht="165.75" x14ac:dyDescent="0.25">
      <c r="A1122" s="6">
        <v>1119</v>
      </c>
      <c r="B1122" s="1" t="str">
        <f>"2020-2132"</f>
        <v>2020-2132</v>
      </c>
      <c r="C1122" s="1" t="s">
        <v>1253</v>
      </c>
      <c r="D1122" s="1" t="s">
        <v>1226</v>
      </c>
      <c r="E1122" s="1" t="str">
        <f>"2020/S 0F2-0028536"</f>
        <v>2020/S 0F2-0028536</v>
      </c>
      <c r="F1122" s="1" t="s">
        <v>22</v>
      </c>
      <c r="G1122" s="1" t="str">
        <f>CONCATENATE("SOLANA PAG D.D.,"," SVILNO bb,"," 23250 PAG,"," OIB: 34949147151",CHAR(10),"",CHAR(10),"PAG 91 D.O.O.,"," VELA ULICA 14,"," 23250 PAG,"," OIB: 74155629820",CHAR(10),"",CHAR(10),"MA.CO.T. D.O.O.,"," INDUSTRIJSKA ZONA R-29,"," KUKULJANOVO bb,"," 51227 KUKULJANOVO,"," OIB: 88870948836")</f>
        <v>SOLANA PAG D.D., SVILNO bb, 23250 PAG, OIB: 34949147151
PAG 91 D.O.O., VELA ULICA 14, 23250 PAG, OIB: 74155629820
MA.CO.T. D.O.O., INDUSTRIJSKA ZONA R-29, KUKULJANOVO bb, 51227 KUKULJANOVO, OIB: 88870948836</v>
      </c>
      <c r="H1122" s="7"/>
      <c r="I1122" s="8" t="s">
        <v>1254</v>
      </c>
      <c r="J1122" s="8" t="s">
        <v>1255</v>
      </c>
      <c r="K1122" s="6" t="str">
        <f>"1.050.000,00"</f>
        <v>1.050.000,00</v>
      </c>
      <c r="L1122" s="6" t="str">
        <f>"262.500,00"</f>
        <v>262.500,00</v>
      </c>
      <c r="M1122" s="6" t="str">
        <f>"1.312.500,00"</f>
        <v>1.312.500,00</v>
      </c>
      <c r="N1122" s="8" t="s">
        <v>225</v>
      </c>
      <c r="O1122" s="7"/>
      <c r="P1122" s="2" t="s">
        <v>5614</v>
      </c>
      <c r="Q1122" s="7"/>
      <c r="R1122" s="1"/>
      <c r="S1122" s="1" t="str">
        <f>"NOS-64-1/20"</f>
        <v>NOS-64-1/20</v>
      </c>
      <c r="T1122" s="1" t="s">
        <v>27</v>
      </c>
    </row>
    <row r="1123" spans="1:20" ht="63.75" x14ac:dyDescent="0.25">
      <c r="A1123" s="6">
        <v>1120</v>
      </c>
      <c r="B1123" s="1" t="str">
        <f>"2020-2132"</f>
        <v>2020-2132</v>
      </c>
      <c r="C1123" s="1" t="s">
        <v>1256</v>
      </c>
      <c r="D1123" s="1" t="s">
        <v>1229</v>
      </c>
      <c r="E1123" s="1" t="str">
        <f>""</f>
        <v/>
      </c>
      <c r="F1123" s="1" t="s">
        <v>28</v>
      </c>
      <c r="G1123" s="1" t="str">
        <f>CONCATENATE("MA.CO.T. D.O.O.,"," INDUSTRIJSKA ZONA R-29,"," KUKULJANOVO bb,"," 51227 KUKULJANOVO,"," OIB: 88870948836")</f>
        <v>MA.CO.T. D.O.O., INDUSTRIJSKA ZONA R-29, KUKULJANOVO bb, 51227 KUKULJANOVO, OIB: 88870948836</v>
      </c>
      <c r="H1123" s="7"/>
      <c r="I1123" s="8" t="s">
        <v>935</v>
      </c>
      <c r="J1123" s="8" t="s">
        <v>53</v>
      </c>
      <c r="K1123" s="6" t="str">
        <f>"321.480,00"</f>
        <v>321.480,00</v>
      </c>
      <c r="L1123" s="6" t="str">
        <f>"80.370,00"</f>
        <v>80.370,00</v>
      </c>
      <c r="M1123" s="6" t="str">
        <f>"401.850,00"</f>
        <v>401.850,00</v>
      </c>
      <c r="N1123" s="8" t="s">
        <v>1257</v>
      </c>
      <c r="O1123" s="7"/>
      <c r="P1123" s="2" t="s">
        <v>6357</v>
      </c>
      <c r="Q1123" s="7"/>
      <c r="R1123" s="1"/>
      <c r="S1123" s="1" t="str">
        <f>"2-21/NOS-64-1/20"</f>
        <v>2-21/NOS-64-1/20</v>
      </c>
      <c r="T1123" s="1" t="s">
        <v>32</v>
      </c>
    </row>
    <row r="1124" spans="1:20" ht="63.75" x14ac:dyDescent="0.25">
      <c r="A1124" s="6">
        <v>1121</v>
      </c>
      <c r="B1124" s="1" t="str">
        <f>"2020-2945"</f>
        <v>2020-2945</v>
      </c>
      <c r="C1124" s="1" t="s">
        <v>1258</v>
      </c>
      <c r="D1124" s="1" t="s">
        <v>174</v>
      </c>
      <c r="E1124" s="1" t="str">
        <f>"2020/S 0F2-0041677"</f>
        <v>2020/S 0F2-0041677</v>
      </c>
      <c r="F1124" s="1" t="s">
        <v>22</v>
      </c>
      <c r="G1124" s="1" t="str">
        <f>CONCATENATE("PISMORAD D.O.O.,"," INDUSTRIJSKA 5,"," 10431 SVETA NEDELJA-NOVAKI,"," OIB: 33260306505")</f>
        <v>PISMORAD D.O.O., INDUSTRIJSKA 5, 10431 SVETA NEDELJA-NOVAKI, OIB: 33260306505</v>
      </c>
      <c r="H1124" s="7"/>
      <c r="I1124" s="8" t="s">
        <v>1237</v>
      </c>
      <c r="J1124" s="8" t="s">
        <v>1259</v>
      </c>
      <c r="K1124" s="6" t="str">
        <f>"800.000,00"</f>
        <v>800.000,00</v>
      </c>
      <c r="L1124" s="6" t="str">
        <f>"200.000,00"</f>
        <v>200.000,00</v>
      </c>
      <c r="M1124" s="6" t="str">
        <f>"1.000.000,00"</f>
        <v>1.000.000,00</v>
      </c>
      <c r="N1124" s="8" t="s">
        <v>124</v>
      </c>
      <c r="O1124" s="7"/>
      <c r="P1124" s="2" t="s">
        <v>5614</v>
      </c>
      <c r="Q1124" s="7"/>
      <c r="R1124" s="1"/>
      <c r="S1124" s="1" t="str">
        <f>"NOS-55/20"</f>
        <v>NOS-55/20</v>
      </c>
      <c r="T1124" s="1" t="s">
        <v>32</v>
      </c>
    </row>
    <row r="1125" spans="1:20" ht="63.75" x14ac:dyDescent="0.25">
      <c r="A1125" s="6">
        <v>1122</v>
      </c>
      <c r="B1125" s="1" t="str">
        <f>"2020-2945"</f>
        <v>2020-2945</v>
      </c>
      <c r="C1125" s="1" t="s">
        <v>1258</v>
      </c>
      <c r="D1125" s="1" t="s">
        <v>174</v>
      </c>
      <c r="E1125" s="1" t="str">
        <f>""</f>
        <v/>
      </c>
      <c r="F1125" s="1" t="s">
        <v>28</v>
      </c>
      <c r="G1125" s="1" t="str">
        <f>CONCATENATE("PISMORAD D.O.O.,"," INDUSTRIJSKA 5,"," 10431 SVETA NEDELJA-NOVAKI,"," OIB: 33260306505")</f>
        <v>PISMORAD D.O.O., INDUSTRIJSKA 5, 10431 SVETA NEDELJA-NOVAKI, OIB: 33260306505</v>
      </c>
      <c r="H1125" s="7"/>
      <c r="I1125" s="8" t="s">
        <v>563</v>
      </c>
      <c r="J1125" s="8" t="s">
        <v>555</v>
      </c>
      <c r="K1125" s="6" t="str">
        <f>"26.520,00"</f>
        <v>26.520,00</v>
      </c>
      <c r="L1125" s="6" t="str">
        <f>"3.060,00"</f>
        <v>3.060,00</v>
      </c>
      <c r="M1125" s="6" t="str">
        <f>"29.580,00"</f>
        <v>29.580,00</v>
      </c>
      <c r="N1125" s="8" t="s">
        <v>408</v>
      </c>
      <c r="O1125" s="7"/>
      <c r="P1125" s="2" t="s">
        <v>6358</v>
      </c>
      <c r="Q1125" s="7"/>
      <c r="R1125" s="1"/>
      <c r="S1125" s="1" t="str">
        <f>"1-22/NOS-55/20"</f>
        <v>1-22/NOS-55/20</v>
      </c>
      <c r="T1125" s="1" t="s">
        <v>32</v>
      </c>
    </row>
    <row r="1126" spans="1:20" ht="51" x14ac:dyDescent="0.25">
      <c r="A1126" s="6">
        <v>1123</v>
      </c>
      <c r="B1126" s="1" t="str">
        <f>"2019-2391"</f>
        <v>2019-2391</v>
      </c>
      <c r="C1126" s="1" t="s">
        <v>1260</v>
      </c>
      <c r="D1126" s="1" t="s">
        <v>1261</v>
      </c>
      <c r="E1126" s="1" t="str">
        <f>"2019/S 0F2-0032268"</f>
        <v>2019/S 0F2-0032268</v>
      </c>
      <c r="F1126" s="1" t="s">
        <v>22</v>
      </c>
      <c r="G1126" s="1" t="str">
        <f>CONCATENATE("DOBRO RJEŠENJE D.O.O.,"," ZAVRTNICA 3,"," 10000 ZAGREB,"," OIB: 33104804103")</f>
        <v>DOBRO RJEŠENJE D.O.O., ZAVRTNICA 3, 10000 ZAGREB, OIB: 33104804103</v>
      </c>
      <c r="H1126" s="7"/>
      <c r="I1126" s="8" t="s">
        <v>1247</v>
      </c>
      <c r="J1126" s="8" t="s">
        <v>1228</v>
      </c>
      <c r="K1126" s="6" t="str">
        <f>"1.500.000,00"</f>
        <v>1.500.000,00</v>
      </c>
      <c r="L1126" s="6" t="str">
        <f>"375.000,00"</f>
        <v>375.000,00</v>
      </c>
      <c r="M1126" s="6" t="str">
        <f>"1.875.000,00"</f>
        <v>1.875.000,00</v>
      </c>
      <c r="N1126" s="8" t="s">
        <v>124</v>
      </c>
      <c r="O1126" s="7"/>
      <c r="P1126" s="2" t="s">
        <v>5614</v>
      </c>
      <c r="Q1126" s="7"/>
      <c r="R1126" s="1"/>
      <c r="S1126" s="1" t="str">
        <f>"NOS-58-C/19"</f>
        <v>NOS-58-C/19</v>
      </c>
      <c r="T1126" s="1" t="s">
        <v>32</v>
      </c>
    </row>
    <row r="1127" spans="1:20" ht="51" x14ac:dyDescent="0.25">
      <c r="A1127" s="6">
        <v>1124</v>
      </c>
      <c r="B1127" s="1" t="str">
        <f>"2019-2391"</f>
        <v>2019-2391</v>
      </c>
      <c r="C1127" s="1" t="s">
        <v>1260</v>
      </c>
      <c r="D1127" s="1" t="s">
        <v>1262</v>
      </c>
      <c r="E1127" s="1" t="str">
        <f>""</f>
        <v/>
      </c>
      <c r="F1127" s="1" t="s">
        <v>28</v>
      </c>
      <c r="G1127" s="1" t="str">
        <f>CONCATENATE("DOBRO RJEŠENJE D.O.O.,"," ZAVRTNICA 3,"," 10000 ZAGREB,"," OIB: 33104804103")</f>
        <v>DOBRO RJEŠENJE D.O.O., ZAVRTNICA 3, 10000 ZAGREB, OIB: 33104804103</v>
      </c>
      <c r="H1127" s="7"/>
      <c r="I1127" s="8" t="s">
        <v>296</v>
      </c>
      <c r="J1127" s="8" t="s">
        <v>423</v>
      </c>
      <c r="K1127" s="6" t="str">
        <f>"639.250,40"</f>
        <v>639.250,40</v>
      </c>
      <c r="L1127" s="6" t="str">
        <f>"85.224,53"</f>
        <v>85.224,53</v>
      </c>
      <c r="M1127" s="6" t="str">
        <f>"724.474,93"</f>
        <v>724.474,93</v>
      </c>
      <c r="N1127" s="8" t="s">
        <v>263</v>
      </c>
      <c r="O1127" s="7"/>
      <c r="P1127" s="2" t="s">
        <v>6359</v>
      </c>
      <c r="Q1127" s="1" t="s">
        <v>488</v>
      </c>
      <c r="R1127" s="1"/>
      <c r="S1127" s="1" t="str">
        <f>"1-22/NOS-58-C/19"</f>
        <v>1-22/NOS-58-C/19</v>
      </c>
      <c r="T1127" s="1" t="s">
        <v>32</v>
      </c>
    </row>
    <row r="1128" spans="1:20" ht="51" x14ac:dyDescent="0.25">
      <c r="A1128" s="6">
        <v>1125</v>
      </c>
      <c r="B1128" s="1" t="str">
        <f>"2019-2391"</f>
        <v>2019-2391</v>
      </c>
      <c r="C1128" s="1" t="s">
        <v>1260</v>
      </c>
      <c r="D1128" s="1" t="s">
        <v>1262</v>
      </c>
      <c r="E1128" s="1" t="str">
        <f>""</f>
        <v/>
      </c>
      <c r="F1128" s="1" t="s">
        <v>28</v>
      </c>
      <c r="G1128" s="1" t="str">
        <f>CONCATENATE("DOBRO RJEŠENJE D.O.O.,"," ZAVRTNICA 3,"," 10000 ZAGREB,"," OIB: 33104804103")</f>
        <v>DOBRO RJEŠENJE D.O.O., ZAVRTNICA 3, 10000 ZAGREB, OIB: 33104804103</v>
      </c>
      <c r="H1128" s="7"/>
      <c r="I1128" s="8" t="s">
        <v>848</v>
      </c>
      <c r="J1128" s="8" t="s">
        <v>423</v>
      </c>
      <c r="K1128" s="6" t="str">
        <f>"175.887,00"</f>
        <v>175.887,00</v>
      </c>
      <c r="L1128" s="6" t="str">
        <f>"8.727,95"</f>
        <v>8.727,95</v>
      </c>
      <c r="M1128" s="6" t="str">
        <f>"184.614,95"</f>
        <v>184.614,95</v>
      </c>
      <c r="N1128" s="8" t="s">
        <v>922</v>
      </c>
      <c r="O1128" s="7"/>
      <c r="P1128" s="2" t="s">
        <v>6360</v>
      </c>
      <c r="Q1128" s="7"/>
      <c r="R1128" s="1"/>
      <c r="S1128" s="1" t="str">
        <f>"2-22/NOS-58-C/19"</f>
        <v>2-22/NOS-58-C/19</v>
      </c>
      <c r="T1128" s="1" t="s">
        <v>32</v>
      </c>
    </row>
    <row r="1129" spans="1:20" ht="114.75" x14ac:dyDescent="0.25">
      <c r="A1129" s="6">
        <v>1126</v>
      </c>
      <c r="B1129" s="1" t="str">
        <f>"2019-2391"</f>
        <v>2019-2391</v>
      </c>
      <c r="C1129" s="1" t="s">
        <v>1263</v>
      </c>
      <c r="D1129" s="1" t="s">
        <v>1262</v>
      </c>
      <c r="E1129" s="1" t="str">
        <f>""</f>
        <v/>
      </c>
      <c r="F1129" s="1" t="s">
        <v>92</v>
      </c>
      <c r="G1129" s="1" t="str">
        <f>CONCATENATE("DOBRO RJEŠENJE D.O.O.,"," ZAVRTNICA 3,"," 10000 ZAGREB,"," OIB: 33104804103")</f>
        <v>DOBRO RJEŠENJE D.O.O., ZAVRTNICA 3, 10000 ZAGREB, OIB: 33104804103</v>
      </c>
      <c r="H1129" s="7"/>
      <c r="I1129" s="8" t="s">
        <v>478</v>
      </c>
      <c r="J1129" s="8" t="s">
        <v>555</v>
      </c>
      <c r="K1129" s="6" t="str">
        <f>"38.515,00"</f>
        <v>38.515,00</v>
      </c>
      <c r="L1129" s="6" t="str">
        <f>"1.925,75"</f>
        <v>1.925,75</v>
      </c>
      <c r="M1129" s="6" t="str">
        <f>"40.440,75"</f>
        <v>40.440,75</v>
      </c>
      <c r="N1129" s="8" t="s">
        <v>1264</v>
      </c>
      <c r="O1129" s="7"/>
      <c r="P1129" s="2" t="s">
        <v>6361</v>
      </c>
      <c r="Q1129" s="7"/>
      <c r="R1129" s="1" t="s">
        <v>1265</v>
      </c>
      <c r="S1129" s="1" t="str">
        <f>"1-22/NOS-58-C/19-1"</f>
        <v>1-22/NOS-58-C/19-1</v>
      </c>
      <c r="T1129" s="1" t="s">
        <v>32</v>
      </c>
    </row>
    <row r="1130" spans="1:20" ht="153" x14ac:dyDescent="0.25">
      <c r="A1130" s="6">
        <v>1127</v>
      </c>
      <c r="B1130" s="1" t="str">
        <f t="shared" ref="B1130:B1138" si="105">"2020-2878"</f>
        <v>2020-2878</v>
      </c>
      <c r="C1130" s="1" t="s">
        <v>1266</v>
      </c>
      <c r="D1130" s="1" t="s">
        <v>1267</v>
      </c>
      <c r="E1130" s="1" t="str">
        <f>"2020/S 0F2-0029840"</f>
        <v>2020/S 0F2-0029840</v>
      </c>
      <c r="F1130" s="1" t="s">
        <v>22</v>
      </c>
      <c r="G1130" s="1"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1130" s="7"/>
      <c r="I1130" s="8" t="s">
        <v>1268</v>
      </c>
      <c r="J1130" s="8" t="s">
        <v>1269</v>
      </c>
      <c r="K1130" s="6" t="str">
        <f>"5.227.400,00"</f>
        <v>5.227.400,00</v>
      </c>
      <c r="L1130" s="6" t="str">
        <f>"1.306.850,00"</f>
        <v>1.306.850,00</v>
      </c>
      <c r="M1130" s="6" t="str">
        <f>"6.534.250,00"</f>
        <v>6.534.250,00</v>
      </c>
      <c r="N1130" s="8" t="s">
        <v>124</v>
      </c>
      <c r="O1130" s="7"/>
      <c r="P1130" s="2" t="s">
        <v>5614</v>
      </c>
      <c r="Q1130" s="7"/>
      <c r="R1130" s="1"/>
      <c r="S1130" s="1" t="str">
        <f>"NOS-72-2/20"</f>
        <v>NOS-72-2/20</v>
      </c>
      <c r="T1130" s="1" t="s">
        <v>38</v>
      </c>
    </row>
    <row r="1131" spans="1:20" ht="114.75" x14ac:dyDescent="0.25">
      <c r="A1131" s="6">
        <v>1128</v>
      </c>
      <c r="B1131" s="1" t="str">
        <f t="shared" si="105"/>
        <v>2020-2878</v>
      </c>
      <c r="C1131" s="1" t="s">
        <v>1270</v>
      </c>
      <c r="D1131" s="1" t="s">
        <v>1267</v>
      </c>
      <c r="E1131" s="1" t="str">
        <f>""</f>
        <v/>
      </c>
      <c r="F1131" s="1" t="s">
        <v>28</v>
      </c>
      <c r="G1131" s="1" t="str">
        <f>CONCATENATE("Zajednica ponuditelja",CHAR(10),"TED D.O.O.,"," VRHOVČEV VIJENAC 84,"," 10000 ZAGREB,"," OIB: 22740118957PENA AUTOKOZMETIKA D.O.O GOSPODARSKA 8,"," 10451 PISAROVINA,"," OIB: 2707380898")</f>
        <v>Zajednica ponuditelja
TED D.O.O., VRHOVČEV VIJENAC 84, 10000 ZAGREB, OIB: 22740118957PENA AUTOKOZMETIKA D.O.O GOSPODARSKA 8, 10451 PISAROVINA, OIB: 2707380898</v>
      </c>
      <c r="H1131" s="7"/>
      <c r="I1131" s="8" t="s">
        <v>1271</v>
      </c>
      <c r="J1131" s="8" t="s">
        <v>53</v>
      </c>
      <c r="K1131" s="6" t="str">
        <f>"70.800,00"</f>
        <v>70.800,00</v>
      </c>
      <c r="L1131" s="6" t="str">
        <f>"17.700,00"</f>
        <v>17.700,00</v>
      </c>
      <c r="M1131" s="6" t="str">
        <f>"88.500,00"</f>
        <v>88.500,00</v>
      </c>
      <c r="N1131" s="8" t="s">
        <v>1139</v>
      </c>
      <c r="O1131" s="7"/>
      <c r="P1131" s="2" t="s">
        <v>6362</v>
      </c>
      <c r="Q1131" s="7"/>
      <c r="R1131" s="1"/>
      <c r="S1131" s="1" t="str">
        <f>"7-21/NOS-72-2/20"</f>
        <v>7-21/NOS-72-2/20</v>
      </c>
      <c r="T1131" s="1" t="s">
        <v>32</v>
      </c>
    </row>
    <row r="1132" spans="1:20" ht="114.75" x14ac:dyDescent="0.25">
      <c r="A1132" s="6">
        <v>1129</v>
      </c>
      <c r="B1132" s="1" t="str">
        <f t="shared" si="105"/>
        <v>2020-2878</v>
      </c>
      <c r="C1132" s="1" t="s">
        <v>1266</v>
      </c>
      <c r="D1132" s="1" t="s">
        <v>1267</v>
      </c>
      <c r="E1132" s="1" t="str">
        <f>""</f>
        <v/>
      </c>
      <c r="F1132" s="1" t="s">
        <v>28</v>
      </c>
      <c r="G1132" s="1" t="str">
        <f>CONCATENATE("Zajednica ponuditelja:",CHAR(10),"TED D.O.O.,"," VRHOVČEV VIJENAC 84,"," 10000 ZAGREB,"," OIB: 22740118957",CHAR(10),"PENA AUTOKOZMETIKA D.O.O,"," GOSPODARSKA 8,"," 10451 PISAROVINA,"," OIB: 2707380898")</f>
        <v>Zajednica ponuditelja:
TED D.O.O., VRHOVČEV VIJENAC 84, 10000 ZAGREB, OIB: 22740118957
PENA AUTOKOZMETIKA D.O.O, GOSPODARSKA 8, 10451 PISAROVINA, OIB: 2707380898</v>
      </c>
      <c r="H1132" s="7"/>
      <c r="I1132" s="8" t="s">
        <v>242</v>
      </c>
      <c r="J1132" s="8" t="s">
        <v>555</v>
      </c>
      <c r="K1132" s="6" t="str">
        <f>"3.417,50"</f>
        <v>3.417,50</v>
      </c>
      <c r="L1132" s="6" t="str">
        <f>"170,88"</f>
        <v>170,88</v>
      </c>
      <c r="M1132" s="6" t="str">
        <f>"3.588,38"</f>
        <v>3.588,38</v>
      </c>
      <c r="N1132" s="8" t="s">
        <v>296</v>
      </c>
      <c r="O1132" s="7"/>
      <c r="P1132" s="2" t="s">
        <v>6363</v>
      </c>
      <c r="Q1132" s="7"/>
      <c r="R1132" s="1"/>
      <c r="S1132" s="1" t="str">
        <f>"1-22/NOS-72-2/20"</f>
        <v>1-22/NOS-72-2/20</v>
      </c>
      <c r="T1132" s="1" t="s">
        <v>55</v>
      </c>
    </row>
    <row r="1133" spans="1:20" ht="153" x14ac:dyDescent="0.25">
      <c r="A1133" s="6">
        <v>1130</v>
      </c>
      <c r="B1133" s="1" t="str">
        <f t="shared" si="105"/>
        <v>2020-2878</v>
      </c>
      <c r="C1133" s="1" t="s">
        <v>1272</v>
      </c>
      <c r="D1133" s="1" t="s">
        <v>1267</v>
      </c>
      <c r="E1133" s="1" t="str">
        <f>"2020/S 0F2-0029840"</f>
        <v>2020/S 0F2-0029840</v>
      </c>
      <c r="F1133" s="1" t="s">
        <v>22</v>
      </c>
      <c r="G1133" s="1" t="str">
        <f>CONCATENATE("KVANTUM-TIM D.O.O.,"," BOŽIDARA ADŽIJE 22/1,"," 10000 ZAGREB,"," OIB: 5661675362")</f>
        <v>KVANTUM-TIM D.O.O., BOŽIDARA ADŽIJE 22/1, 10000 ZAGREB, OIB: 5661675362</v>
      </c>
      <c r="H1133" s="7"/>
      <c r="I1133" s="8" t="s">
        <v>1268</v>
      </c>
      <c r="J1133" s="8" t="s">
        <v>1269</v>
      </c>
      <c r="K1133" s="6" t="str">
        <f>"206.000,00"</f>
        <v>206.000,00</v>
      </c>
      <c r="L1133" s="6" t="str">
        <f>"51.500,00"</f>
        <v>51.500,00</v>
      </c>
      <c r="M1133" s="6" t="str">
        <f>"257.500,00"</f>
        <v>257.500,00</v>
      </c>
      <c r="N1133" s="8" t="s">
        <v>124</v>
      </c>
      <c r="O1133" s="7"/>
      <c r="P1133" s="2" t="s">
        <v>5614</v>
      </c>
      <c r="Q1133" s="7"/>
      <c r="R1133" s="1"/>
      <c r="S1133" s="1" t="str">
        <f>"NOS-72-4/20"</f>
        <v>NOS-72-4/20</v>
      </c>
      <c r="T1133" s="1" t="s">
        <v>38</v>
      </c>
    </row>
    <row r="1134" spans="1:20" ht="51" x14ac:dyDescent="0.25">
      <c r="A1134" s="6">
        <v>1131</v>
      </c>
      <c r="B1134" s="1" t="str">
        <f t="shared" si="105"/>
        <v>2020-2878</v>
      </c>
      <c r="C1134" s="1" t="s">
        <v>1272</v>
      </c>
      <c r="D1134" s="1" t="s">
        <v>1267</v>
      </c>
      <c r="E1134" s="1" t="str">
        <f>""</f>
        <v/>
      </c>
      <c r="F1134" s="1" t="s">
        <v>28</v>
      </c>
      <c r="G1134" s="1" t="str">
        <f>CONCATENATE("KVANTUM-TIM D.O.O.,"," BOŽIDARA ADŽIJE 22/1,"," 10000 ZAGREB,"," OIB: 5661675362")</f>
        <v>KVANTUM-TIM D.O.O., BOŽIDARA ADŽIJE 22/1, 10000 ZAGREB, OIB: 5661675362</v>
      </c>
      <c r="H1134" s="7"/>
      <c r="I1134" s="8" t="s">
        <v>744</v>
      </c>
      <c r="J1134" s="8" t="s">
        <v>555</v>
      </c>
      <c r="K1134" s="6" t="str">
        <f>"2.895,00"</f>
        <v>2.895,00</v>
      </c>
      <c r="L1134" s="6" t="str">
        <f>"723,75"</f>
        <v>723,75</v>
      </c>
      <c r="M1134" s="6" t="str">
        <f>"3.618,75"</f>
        <v>3.618,75</v>
      </c>
      <c r="N1134" s="8" t="s">
        <v>748</v>
      </c>
      <c r="O1134" s="7"/>
      <c r="P1134" s="2" t="s">
        <v>6364</v>
      </c>
      <c r="Q1134" s="7"/>
      <c r="R1134" s="1"/>
      <c r="S1134" s="1" t="str">
        <f>"1-22/NOS-72-4/20"</f>
        <v>1-22/NOS-72-4/20</v>
      </c>
      <c r="T1134" s="1" t="s">
        <v>32</v>
      </c>
    </row>
    <row r="1135" spans="1:20" ht="51" x14ac:dyDescent="0.25">
      <c r="A1135" s="6">
        <v>1132</v>
      </c>
      <c r="B1135" s="1" t="str">
        <f t="shared" si="105"/>
        <v>2020-2878</v>
      </c>
      <c r="C1135" s="1" t="s">
        <v>1272</v>
      </c>
      <c r="D1135" s="1" t="s">
        <v>1267</v>
      </c>
      <c r="E1135" s="1" t="str">
        <f>""</f>
        <v/>
      </c>
      <c r="F1135" s="1" t="s">
        <v>28</v>
      </c>
      <c r="G1135" s="1" t="str">
        <f>CONCATENATE("KVANTUM-TIM D.O.O.,"," BOŽIDARA ADŽIJE 22/1,"," 10000 ZAGREB,"," OIB: 5661675362")</f>
        <v>KVANTUM-TIM D.O.O., BOŽIDARA ADŽIJE 22/1, 10000 ZAGREB, OIB: 5661675362</v>
      </c>
      <c r="H1135" s="7"/>
      <c r="I1135" s="8" t="s">
        <v>422</v>
      </c>
      <c r="J1135" s="8" t="s">
        <v>555</v>
      </c>
      <c r="K1135" s="6" t="str">
        <f>"579,00"</f>
        <v>579,00</v>
      </c>
      <c r="L1135" s="6" t="str">
        <f>"144,75"</f>
        <v>144,75</v>
      </c>
      <c r="M1135" s="6" t="str">
        <f>"723,75"</f>
        <v>723,75</v>
      </c>
      <c r="N1135" s="8" t="s">
        <v>273</v>
      </c>
      <c r="O1135" s="7"/>
      <c r="P1135" s="2" t="s">
        <v>6365</v>
      </c>
      <c r="Q1135" s="7"/>
      <c r="R1135" s="1"/>
      <c r="S1135" s="1" t="str">
        <f>"2-22/NOS-72-4/20"</f>
        <v>2-22/NOS-72-4/20</v>
      </c>
      <c r="T1135" s="1" t="s">
        <v>55</v>
      </c>
    </row>
    <row r="1136" spans="1:20" ht="153" x14ac:dyDescent="0.25">
      <c r="A1136" s="6">
        <v>1133</v>
      </c>
      <c r="B1136" s="1" t="str">
        <f t="shared" si="105"/>
        <v>2020-2878</v>
      </c>
      <c r="C1136" s="1" t="s">
        <v>1273</v>
      </c>
      <c r="D1136" s="1" t="s">
        <v>1267</v>
      </c>
      <c r="E1136" s="1" t="str">
        <f>"2020/S 0F2-0029840"</f>
        <v>2020/S 0F2-0029840</v>
      </c>
      <c r="F1136" s="1" t="s">
        <v>22</v>
      </c>
      <c r="G1136" s="1" t="str">
        <f>CONCATENATE("SIGA PRO D.O.O.,"," MEĐIMURSKA 12,"," 42000 VARAŽDIN,"," OIB: 00204195795")</f>
        <v>SIGA PRO D.O.O., MEĐIMURSKA 12, 42000 VARAŽDIN, OIB: 00204195795</v>
      </c>
      <c r="H1136" s="7"/>
      <c r="I1136" s="8" t="s">
        <v>1268</v>
      </c>
      <c r="J1136" s="8" t="s">
        <v>1269</v>
      </c>
      <c r="K1136" s="6" t="str">
        <f>"9.917.250,00"</f>
        <v>9.917.250,00</v>
      </c>
      <c r="L1136" s="6" t="str">
        <f>"2.479.312,50"</f>
        <v>2.479.312,50</v>
      </c>
      <c r="M1136" s="6" t="str">
        <f>"12.396.562,50"</f>
        <v>12.396.562,50</v>
      </c>
      <c r="N1136" s="8" t="s">
        <v>124</v>
      </c>
      <c r="O1136" s="7"/>
      <c r="P1136" s="2" t="s">
        <v>5614</v>
      </c>
      <c r="Q1136" s="7"/>
      <c r="R1136" s="1"/>
      <c r="S1136" s="1" t="str">
        <f>"NOS-72-5/20"</f>
        <v>NOS-72-5/20</v>
      </c>
      <c r="T1136" s="1" t="s">
        <v>38</v>
      </c>
    </row>
    <row r="1137" spans="1:20" ht="51" x14ac:dyDescent="0.25">
      <c r="A1137" s="6">
        <v>1134</v>
      </c>
      <c r="B1137" s="1" t="str">
        <f t="shared" si="105"/>
        <v>2020-2878</v>
      </c>
      <c r="C1137" s="1" t="s">
        <v>1274</v>
      </c>
      <c r="D1137" s="1" t="s">
        <v>1267</v>
      </c>
      <c r="E1137" s="1" t="str">
        <f>""</f>
        <v/>
      </c>
      <c r="F1137" s="1" t="s">
        <v>28</v>
      </c>
      <c r="G1137" s="1" t="str">
        <f>CONCATENATE("SIGA PRO D.O.O.,"," MEĐIMURSKA 12,"," 42000 VARAŽDIN,"," OIB: 00204195795")</f>
        <v>SIGA PRO D.O.O., MEĐIMURSKA 12, 42000 VARAŽDIN, OIB: 00204195795</v>
      </c>
      <c r="H1137" s="7"/>
      <c r="I1137" s="8" t="s">
        <v>1275</v>
      </c>
      <c r="J1137" s="8" t="s">
        <v>53</v>
      </c>
      <c r="K1137" s="6" t="str">
        <f>"40.100,00"</f>
        <v>40.100,00</v>
      </c>
      <c r="L1137" s="6" t="str">
        <f>"10.025,00"</f>
        <v>10.025,00</v>
      </c>
      <c r="M1137" s="6" t="str">
        <f>"50.125,00"</f>
        <v>50.125,00</v>
      </c>
      <c r="N1137" s="8" t="s">
        <v>284</v>
      </c>
      <c r="O1137" s="7"/>
      <c r="P1137" s="2" t="s">
        <v>6366</v>
      </c>
      <c r="Q1137" s="1"/>
      <c r="R1137" s="1"/>
      <c r="S1137" s="1" t="str">
        <f>"14-21/NOS-72-5/20"</f>
        <v>14-21/NOS-72-5/20</v>
      </c>
      <c r="T1137" s="1" t="s">
        <v>32</v>
      </c>
    </row>
    <row r="1138" spans="1:20" ht="51" x14ac:dyDescent="0.25">
      <c r="A1138" s="6">
        <v>1135</v>
      </c>
      <c r="B1138" s="1" t="str">
        <f t="shared" si="105"/>
        <v>2020-2878</v>
      </c>
      <c r="C1138" s="1" t="s">
        <v>1273</v>
      </c>
      <c r="D1138" s="1" t="s">
        <v>1267</v>
      </c>
      <c r="E1138" s="1" t="str">
        <f>""</f>
        <v/>
      </c>
      <c r="F1138" s="1" t="s">
        <v>28</v>
      </c>
      <c r="G1138" s="1" t="str">
        <f>CONCATENATE("SIGA PRO D.O.O.,"," MEĐIMURSKA 12,"," 42000 VARAŽDIN,"," OIB: 00204195795")</f>
        <v>SIGA PRO D.O.O., MEĐIMURSKA 12, 42000 VARAŽDIN, OIB: 00204195795</v>
      </c>
      <c r="H1138" s="7"/>
      <c r="I1138" s="8" t="s">
        <v>613</v>
      </c>
      <c r="J1138" s="8" t="s">
        <v>256</v>
      </c>
      <c r="K1138" s="6" t="str">
        <f>"4.000,00"</f>
        <v>4.000,00</v>
      </c>
      <c r="L1138" s="6" t="str">
        <f>"1.000,00"</f>
        <v>1.000,00</v>
      </c>
      <c r="M1138" s="6" t="str">
        <f>"5.000,00"</f>
        <v>5.000,00</v>
      </c>
      <c r="N1138" s="8" t="s">
        <v>219</v>
      </c>
      <c r="O1138" s="7"/>
      <c r="P1138" s="2" t="s">
        <v>6367</v>
      </c>
      <c r="Q1138" s="7"/>
      <c r="R1138" s="1"/>
      <c r="S1138" s="1" t="str">
        <f>"1-22/NOS-72-5/20"</f>
        <v>1-22/NOS-72-5/20</v>
      </c>
      <c r="T1138" s="1" t="s">
        <v>32</v>
      </c>
    </row>
    <row r="1139" spans="1:20" ht="63.75" x14ac:dyDescent="0.25">
      <c r="A1139" s="6">
        <v>1136</v>
      </c>
      <c r="B1139" s="1" t="str">
        <f>"2020-2765"</f>
        <v>2020-2765</v>
      </c>
      <c r="C1139" s="1" t="s">
        <v>1276</v>
      </c>
      <c r="D1139" s="1" t="s">
        <v>1277</v>
      </c>
      <c r="E1139" s="1" t="str">
        <f>"2020/S 0F2-0039363"</f>
        <v>2020/S 0F2-0039363</v>
      </c>
      <c r="F1139" s="1" t="s">
        <v>22</v>
      </c>
      <c r="G1139" s="1" t="str">
        <f>CONCATENATE("OMEGA SOFTWARE D.O.O.,"," KAMENARKA 37,"," 10010 ZAGREB-SLOBOŠTINA,"," OIB: 40102169932")</f>
        <v>OMEGA SOFTWARE D.O.O., KAMENARKA 37, 10010 ZAGREB-SLOBOŠTINA, OIB: 40102169932</v>
      </c>
      <c r="H1139" s="7"/>
      <c r="I1139" s="8" t="s">
        <v>1278</v>
      </c>
      <c r="J1139" s="8" t="s">
        <v>696</v>
      </c>
      <c r="K1139" s="6" t="str">
        <f>"3.450.000,00"</f>
        <v>3.450.000,00</v>
      </c>
      <c r="L1139" s="6" t="str">
        <f>"862.500,00"</f>
        <v>862.500,00</v>
      </c>
      <c r="M1139" s="6" t="str">
        <f>"4.312.500,00"</f>
        <v>4.312.500,00</v>
      </c>
      <c r="N1139" s="8" t="s">
        <v>697</v>
      </c>
      <c r="O1139" s="7"/>
      <c r="P1139" s="2" t="s">
        <v>5614</v>
      </c>
      <c r="Q1139" s="7"/>
      <c r="R1139" s="1"/>
      <c r="S1139" s="1" t="str">
        <f>"NOS-66/20"</f>
        <v>NOS-66/20</v>
      </c>
      <c r="T1139" s="1" t="s">
        <v>199</v>
      </c>
    </row>
    <row r="1140" spans="1:20" ht="63.75" x14ac:dyDescent="0.25">
      <c r="A1140" s="6">
        <v>1137</v>
      </c>
      <c r="B1140" s="1" t="str">
        <f>"2020-2765"</f>
        <v>2020-2765</v>
      </c>
      <c r="C1140" s="1" t="s">
        <v>1276</v>
      </c>
      <c r="D1140" s="1" t="s">
        <v>1277</v>
      </c>
      <c r="E1140" s="1" t="str">
        <f>""</f>
        <v/>
      </c>
      <c r="F1140" s="1" t="s">
        <v>28</v>
      </c>
      <c r="G1140" s="1" t="str">
        <f>CONCATENATE("OMEGA SOFTWARE D.O.O.,"," KAMENARKA 37,"," 10010 ZAGREB-SLOBOŠTINA,"," OIB: 40102169932")</f>
        <v>OMEGA SOFTWARE D.O.O., KAMENARKA 37, 10010 ZAGREB-SLOBOŠTINA, OIB: 40102169932</v>
      </c>
      <c r="H1140" s="7"/>
      <c r="I1140" s="8" t="s">
        <v>587</v>
      </c>
      <c r="J1140" s="8" t="s">
        <v>89</v>
      </c>
      <c r="K1140" s="6" t="str">
        <f>"64.800,00"</f>
        <v>64.800,00</v>
      </c>
      <c r="L1140" s="6" t="str">
        <f>"16.200,00"</f>
        <v>16.200,00</v>
      </c>
      <c r="M1140" s="6" t="str">
        <f>"81.000,00"</f>
        <v>81.000,00</v>
      </c>
      <c r="N1140" s="8" t="s">
        <v>681</v>
      </c>
      <c r="O1140" s="7"/>
      <c r="P1140" s="2" t="s">
        <v>6368</v>
      </c>
      <c r="Q1140" s="7"/>
      <c r="R1140" s="1"/>
      <c r="S1140" s="1" t="str">
        <f>"1-21/NOS-66/20"</f>
        <v>1-21/NOS-66/20</v>
      </c>
      <c r="T1140" s="1" t="s">
        <v>43</v>
      </c>
    </row>
    <row r="1141" spans="1:20" ht="63.75" x14ac:dyDescent="0.25">
      <c r="A1141" s="6">
        <v>1138</v>
      </c>
      <c r="B1141" s="1" t="str">
        <f>"2020-2765"</f>
        <v>2020-2765</v>
      </c>
      <c r="C1141" s="1" t="s">
        <v>1276</v>
      </c>
      <c r="D1141" s="1" t="s">
        <v>1277</v>
      </c>
      <c r="E1141" s="1" t="str">
        <f>""</f>
        <v/>
      </c>
      <c r="F1141" s="1" t="s">
        <v>28</v>
      </c>
      <c r="G1141" s="1" t="str">
        <f>CONCATENATE("OMEGA SOFTWARE D.O.O.,"," KAMENARKA 37,"," 10010 ZAGREB-SLOBOŠTINA,"," OIB: 40102169932")</f>
        <v>OMEGA SOFTWARE D.O.O., KAMENARKA 37, 10010 ZAGREB-SLOBOŠTINA, OIB: 40102169932</v>
      </c>
      <c r="H1141" s="7"/>
      <c r="I1141" s="8" t="s">
        <v>120</v>
      </c>
      <c r="J1141" s="8" t="s">
        <v>850</v>
      </c>
      <c r="K1141" s="6" t="str">
        <f>"64.800,00"</f>
        <v>64.800,00</v>
      </c>
      <c r="L1141" s="6" t="str">
        <f>"16.200,00"</f>
        <v>16.200,00</v>
      </c>
      <c r="M1141" s="6" t="str">
        <f>"81.000,00"</f>
        <v>81.000,00</v>
      </c>
      <c r="N1141" s="8" t="s">
        <v>124</v>
      </c>
      <c r="O1141" s="7"/>
      <c r="P1141" s="2" t="s">
        <v>5867</v>
      </c>
      <c r="Q1141" s="7"/>
      <c r="R1141" s="1"/>
      <c r="S1141" s="1" t="str">
        <f>"7-21/NOS-66/20"</f>
        <v>7-21/NOS-66/20</v>
      </c>
      <c r="T1141" s="1" t="s">
        <v>43</v>
      </c>
    </row>
    <row r="1142" spans="1:20" ht="63.75" x14ac:dyDescent="0.25">
      <c r="A1142" s="6">
        <v>1139</v>
      </c>
      <c r="B1142" s="1" t="str">
        <f>"2020-2765"</f>
        <v>2020-2765</v>
      </c>
      <c r="C1142" s="1" t="s">
        <v>1276</v>
      </c>
      <c r="D1142" s="1" t="s">
        <v>1277</v>
      </c>
      <c r="E1142" s="1" t="str">
        <f>""</f>
        <v/>
      </c>
      <c r="F1142" s="1" t="s">
        <v>28</v>
      </c>
      <c r="G1142" s="1" t="str">
        <f>CONCATENATE("OMEGA SOFTWARE D.O.O.,"," KAMENARKA 37,"," 10010 ZAGREB-SLOBOŠTINA,"," OIB: 40102169932")</f>
        <v>OMEGA SOFTWARE D.O.O., KAMENARKA 37, 10010 ZAGREB-SLOBOŠTINA, OIB: 40102169932</v>
      </c>
      <c r="H1142" s="7"/>
      <c r="I1142" s="8" t="s">
        <v>698</v>
      </c>
      <c r="J1142" s="8" t="s">
        <v>1195</v>
      </c>
      <c r="K1142" s="6" t="str">
        <f>"523.150,00"</f>
        <v>523.150,00</v>
      </c>
      <c r="L1142" s="6" t="str">
        <f>"124.375,00"</f>
        <v>124.375,00</v>
      </c>
      <c r="M1142" s="6" t="str">
        <f>"647.525,00"</f>
        <v>647.525,00</v>
      </c>
      <c r="N1142" s="8" t="s">
        <v>426</v>
      </c>
      <c r="O1142" s="7"/>
      <c r="P1142" s="2" t="s">
        <v>6369</v>
      </c>
      <c r="Q1142" s="7"/>
      <c r="R1142" s="1"/>
      <c r="S1142" s="1" t="str">
        <f>"8-22/NOS-66/20"</f>
        <v>8-22/NOS-66/20</v>
      </c>
      <c r="T1142" s="1" t="s">
        <v>32</v>
      </c>
    </row>
    <row r="1143" spans="1:20" ht="51" x14ac:dyDescent="0.25">
      <c r="A1143" s="6">
        <v>1140</v>
      </c>
      <c r="B1143" s="1" t="str">
        <f>"2020-2778"</f>
        <v>2020-2778</v>
      </c>
      <c r="C1143" s="1" t="s">
        <v>1279</v>
      </c>
      <c r="D1143" s="1" t="s">
        <v>1280</v>
      </c>
      <c r="E1143" s="1" t="str">
        <f>"2020/S 0F2-0038823"</f>
        <v>2020/S 0F2-0038823</v>
      </c>
      <c r="F1143" s="1" t="s">
        <v>22</v>
      </c>
      <c r="G1143" s="1" t="str">
        <f>CONCATENATE("HOLUS D.O.O.,"," SLAVONSKA AVENIJA 7,"," 10000 ZAGREB,"," OIB: 19957278502")</f>
        <v>HOLUS D.O.O., SLAVONSKA AVENIJA 7, 10000 ZAGREB, OIB: 19957278502</v>
      </c>
      <c r="H1143" s="7"/>
      <c r="I1143" s="8" t="s">
        <v>1268</v>
      </c>
      <c r="J1143" s="8" t="s">
        <v>1228</v>
      </c>
      <c r="K1143" s="6" t="str">
        <f>"500.000,00"</f>
        <v>500.000,00</v>
      </c>
      <c r="L1143" s="6" t="str">
        <f>"125.000,00"</f>
        <v>125.000,00</v>
      </c>
      <c r="M1143" s="6" t="str">
        <f>"625.000,00"</f>
        <v>625.000,00</v>
      </c>
      <c r="N1143" s="8" t="s">
        <v>124</v>
      </c>
      <c r="O1143" s="7"/>
      <c r="P1143" s="2" t="s">
        <v>5614</v>
      </c>
      <c r="Q1143" s="7"/>
      <c r="R1143" s="1"/>
      <c r="S1143" s="1" t="str">
        <f>"NOS-67-1/20"</f>
        <v>NOS-67-1/20</v>
      </c>
      <c r="T1143" s="1" t="s">
        <v>32</v>
      </c>
    </row>
    <row r="1144" spans="1:20" ht="51" x14ac:dyDescent="0.25">
      <c r="A1144" s="6">
        <v>1141</v>
      </c>
      <c r="B1144" s="1" t="str">
        <f>"2020-2778"</f>
        <v>2020-2778</v>
      </c>
      <c r="C1144" s="1" t="s">
        <v>1279</v>
      </c>
      <c r="D1144" s="1" t="s">
        <v>1281</v>
      </c>
      <c r="E1144" s="1" t="str">
        <f>""</f>
        <v/>
      </c>
      <c r="F1144" s="1" t="s">
        <v>28</v>
      </c>
      <c r="G1144" s="1" t="str">
        <f>CONCATENATE("HOLUS D.O.O.,"," SLAVONSKA AVENIJA 7,"," 10000 ZAGREB,"," OIB: 19957278502")</f>
        <v>HOLUS D.O.O., SLAVONSKA AVENIJA 7, 10000 ZAGREB, OIB: 19957278502</v>
      </c>
      <c r="H1144" s="7"/>
      <c r="I1144" s="8" t="s">
        <v>414</v>
      </c>
      <c r="J1144" s="8" t="s">
        <v>423</v>
      </c>
      <c r="K1144" s="6" t="str">
        <f>"168.075,50"</f>
        <v>168.075,50</v>
      </c>
      <c r="L1144" s="6" t="str">
        <f>"0,00"</f>
        <v>0,00</v>
      </c>
      <c r="M1144" s="6" t="str">
        <f>"168.075,50"</f>
        <v>168.075,50</v>
      </c>
      <c r="N1144" s="8" t="s">
        <v>124</v>
      </c>
      <c r="O1144" s="7"/>
      <c r="P1144" s="2" t="s">
        <v>5614</v>
      </c>
      <c r="Q1144" s="7"/>
      <c r="R1144" s="1"/>
      <c r="S1144" s="1" t="str">
        <f>"2-22/NOS-67-1/20"</f>
        <v>2-22/NOS-67-1/20</v>
      </c>
      <c r="T1144" s="1" t="s">
        <v>32</v>
      </c>
    </row>
    <row r="1145" spans="1:20" ht="51" x14ac:dyDescent="0.25">
      <c r="A1145" s="6">
        <v>1142</v>
      </c>
      <c r="B1145" s="1" t="str">
        <f>"2020-2778"</f>
        <v>2020-2778</v>
      </c>
      <c r="C1145" s="1" t="s">
        <v>1282</v>
      </c>
      <c r="D1145" s="1" t="s">
        <v>1280</v>
      </c>
      <c r="E1145" s="1" t="str">
        <f>"2020/S 0F2-0038823"</f>
        <v>2020/S 0F2-0038823</v>
      </c>
      <c r="F1145" s="1" t="s">
        <v>22</v>
      </c>
      <c r="G1145" s="1" t="str">
        <f>CONCATENATE("GRANDIFLORA D.O.O.,"," DOLENICA 8,"," 10250 LUČKO,"," OIB: 89219306427")</f>
        <v>GRANDIFLORA D.O.O., DOLENICA 8, 10250 LUČKO, OIB: 89219306427</v>
      </c>
      <c r="H1145" s="7"/>
      <c r="I1145" s="8" t="s">
        <v>1268</v>
      </c>
      <c r="J1145" s="8" t="s">
        <v>1283</v>
      </c>
      <c r="K1145" s="6" t="str">
        <f>"200.000,00"</f>
        <v>200.000,00</v>
      </c>
      <c r="L1145" s="6" t="str">
        <f>"50.000,00"</f>
        <v>50.000,00</v>
      </c>
      <c r="M1145" s="6" t="str">
        <f>"250.000,00"</f>
        <v>250.000,00</v>
      </c>
      <c r="N1145" s="8" t="s">
        <v>124</v>
      </c>
      <c r="O1145" s="7"/>
      <c r="P1145" s="2" t="s">
        <v>5614</v>
      </c>
      <c r="Q1145" s="7"/>
      <c r="R1145" s="1"/>
      <c r="S1145" s="1" t="str">
        <f>"NOS-67-2/20"</f>
        <v>NOS-67-2/20</v>
      </c>
      <c r="T1145" s="1" t="s">
        <v>32</v>
      </c>
    </row>
    <row r="1146" spans="1:20" ht="51" x14ac:dyDescent="0.25">
      <c r="A1146" s="6">
        <v>1143</v>
      </c>
      <c r="B1146" s="1" t="str">
        <f>"2020-2778"</f>
        <v>2020-2778</v>
      </c>
      <c r="C1146" s="1" t="s">
        <v>1282</v>
      </c>
      <c r="D1146" s="1" t="s">
        <v>1281</v>
      </c>
      <c r="E1146" s="1" t="str">
        <f>""</f>
        <v/>
      </c>
      <c r="F1146" s="1" t="s">
        <v>28</v>
      </c>
      <c r="G1146" s="1" t="str">
        <f>CONCATENATE("GRANDIFLORA D.O.O.,"," DOLENICA 8,"," 10250 LUČKO,"," OIB: 89219306427")</f>
        <v>GRANDIFLORA D.O.O., DOLENICA 8, 10250 LUČKO, OIB: 89219306427</v>
      </c>
      <c r="H1146" s="7"/>
      <c r="I1146" s="8" t="s">
        <v>744</v>
      </c>
      <c r="J1146" s="8" t="s">
        <v>555</v>
      </c>
      <c r="K1146" s="6" t="str">
        <f>"5.549,25"</f>
        <v>5.549,25</v>
      </c>
      <c r="L1146" s="6" t="str">
        <f>"0,00"</f>
        <v>0,00</v>
      </c>
      <c r="M1146" s="6" t="str">
        <f>"5.549,25"</f>
        <v>5.549,25</v>
      </c>
      <c r="N1146" s="8" t="s">
        <v>124</v>
      </c>
      <c r="O1146" s="7"/>
      <c r="P1146" s="2" t="s">
        <v>5614</v>
      </c>
      <c r="Q1146" s="7"/>
      <c r="R1146" s="1"/>
      <c r="S1146" s="1" t="str">
        <f>"1-22/NOS-67-2/20"</f>
        <v>1-22/NOS-67-2/20</v>
      </c>
      <c r="T1146" s="1" t="s">
        <v>32</v>
      </c>
    </row>
    <row r="1147" spans="1:20" ht="51" x14ac:dyDescent="0.25">
      <c r="A1147" s="6">
        <v>1144</v>
      </c>
      <c r="B1147" s="1" t="str">
        <f>"2020-133"</f>
        <v>2020-133</v>
      </c>
      <c r="C1147" s="1" t="s">
        <v>1284</v>
      </c>
      <c r="D1147" s="1" t="s">
        <v>1285</v>
      </c>
      <c r="E1147" s="1" t="str">
        <f>"2020/S 0F2-0041288"</f>
        <v>2020/S 0F2-0041288</v>
      </c>
      <c r="F1147" s="1" t="s">
        <v>22</v>
      </c>
      <c r="G1147" s="1" t="str">
        <f>CONCATENATE("VIS PROMOTEX D.O.O.,"," ADOLFA WISSERTA 3/A,"," 42000 VARAŽDIN,"," OIB: 9721332065")</f>
        <v>VIS PROMOTEX D.O.O., ADOLFA WISSERTA 3/A, 42000 VARAŽDIN, OIB: 9721332065</v>
      </c>
      <c r="H1147" s="7"/>
      <c r="I1147" s="8" t="s">
        <v>1286</v>
      </c>
      <c r="J1147" s="8" t="s">
        <v>1287</v>
      </c>
      <c r="K1147" s="6" t="str">
        <f>"600.000,00"</f>
        <v>600.000,00</v>
      </c>
      <c r="L1147" s="6" t="str">
        <f>"150.000,00"</f>
        <v>150.000,00</v>
      </c>
      <c r="M1147" s="6" t="str">
        <f>"750.000,00"</f>
        <v>750.000,00</v>
      </c>
      <c r="N1147" s="8" t="s">
        <v>124</v>
      </c>
      <c r="O1147" s="7"/>
      <c r="P1147" s="2" t="s">
        <v>5614</v>
      </c>
      <c r="Q1147" s="7"/>
      <c r="R1147" s="1"/>
      <c r="S1147" s="1" t="str">
        <f>"NOS-62/20"</f>
        <v>NOS-62/20</v>
      </c>
      <c r="T1147" s="1" t="s">
        <v>32</v>
      </c>
    </row>
    <row r="1148" spans="1:20" ht="51" x14ac:dyDescent="0.25">
      <c r="A1148" s="6">
        <v>1145</v>
      </c>
      <c r="B1148" s="1" t="str">
        <f>"2020-133"</f>
        <v>2020-133</v>
      </c>
      <c r="C1148" s="1" t="s">
        <v>1284</v>
      </c>
      <c r="D1148" s="1" t="s">
        <v>1288</v>
      </c>
      <c r="E1148" s="1" t="str">
        <f>""</f>
        <v/>
      </c>
      <c r="F1148" s="1" t="s">
        <v>28</v>
      </c>
      <c r="G1148" s="1" t="str">
        <f>CONCATENATE("VIS PROMOTEX D.O.O.,"," ADOLFA WISSERTA 3/A,"," 42000 VARAŽDIN,"," OIB: 9721332065")</f>
        <v>VIS PROMOTEX D.O.O., ADOLFA WISSERTA 3/A, 42000 VARAŽDIN, OIB: 9721332065</v>
      </c>
      <c r="H1148" s="7"/>
      <c r="I1148" s="8" t="s">
        <v>398</v>
      </c>
      <c r="J1148" s="8" t="s">
        <v>851</v>
      </c>
      <c r="K1148" s="6" t="str">
        <f>"264.600,00"</f>
        <v>264.600,00</v>
      </c>
      <c r="L1148" s="6" t="str">
        <f>"66.150,00"</f>
        <v>66.150,00</v>
      </c>
      <c r="M1148" s="6" t="str">
        <f>"330.750,00"</f>
        <v>330.750,00</v>
      </c>
      <c r="N1148" s="8" t="s">
        <v>424</v>
      </c>
      <c r="O1148" s="7"/>
      <c r="P1148" s="2" t="s">
        <v>6370</v>
      </c>
      <c r="Q1148" s="7"/>
      <c r="R1148" s="1"/>
      <c r="S1148" s="1" t="str">
        <f>"1-22/NOS-62/20"</f>
        <v>1-22/NOS-62/20</v>
      </c>
      <c r="T1148" s="1" t="s">
        <v>32</v>
      </c>
    </row>
    <row r="1149" spans="1:20" ht="51" x14ac:dyDescent="0.25">
      <c r="A1149" s="6">
        <v>1146</v>
      </c>
      <c r="B1149" s="1" t="str">
        <f>"2020-2875"</f>
        <v>2020-2875</v>
      </c>
      <c r="C1149" s="1" t="s">
        <v>1289</v>
      </c>
      <c r="D1149" s="1" t="s">
        <v>1290</v>
      </c>
      <c r="E1149" s="1" t="str">
        <f>"2020/S 0F2-0037702"</f>
        <v>2020/S 0F2-0037702</v>
      </c>
      <c r="F1149" s="1" t="s">
        <v>22</v>
      </c>
      <c r="G1149" s="1" t="str">
        <f>CONCATENATE("TORBARINA D.O.O.,"," NOVA CESTA 3,"," 10412 DONJA LOMNICA,"," OIB: 02603292627")</f>
        <v>TORBARINA D.O.O., NOVA CESTA 3, 10412 DONJA LOMNICA, OIB: 02603292627</v>
      </c>
      <c r="H1149" s="7"/>
      <c r="I1149" s="8" t="s">
        <v>1291</v>
      </c>
      <c r="J1149" s="8" t="s">
        <v>1292</v>
      </c>
      <c r="K1149" s="6" t="str">
        <f>"500.000,00"</f>
        <v>500.000,00</v>
      </c>
      <c r="L1149" s="6" t="str">
        <f>"125.000,00"</f>
        <v>125.000,00</v>
      </c>
      <c r="M1149" s="6" t="str">
        <f>"625.000,00"</f>
        <v>625.000,00</v>
      </c>
      <c r="N1149" s="8" t="s">
        <v>124</v>
      </c>
      <c r="O1149" s="7"/>
      <c r="P1149" s="2" t="s">
        <v>5614</v>
      </c>
      <c r="Q1149" s="7"/>
      <c r="R1149" s="1"/>
      <c r="S1149" s="1" t="str">
        <f>"NOS-65/20"</f>
        <v>NOS-65/20</v>
      </c>
      <c r="T1149" s="1" t="s">
        <v>32</v>
      </c>
    </row>
    <row r="1150" spans="1:20" ht="51" x14ac:dyDescent="0.25">
      <c r="A1150" s="6">
        <v>1147</v>
      </c>
      <c r="B1150" s="1" t="str">
        <f>"2020-2875"</f>
        <v>2020-2875</v>
      </c>
      <c r="C1150" s="1" t="s">
        <v>1289</v>
      </c>
      <c r="D1150" s="1" t="s">
        <v>1290</v>
      </c>
      <c r="E1150" s="1" t="str">
        <f>""</f>
        <v/>
      </c>
      <c r="F1150" s="1" t="s">
        <v>28</v>
      </c>
      <c r="G1150" s="1" t="str">
        <f>CONCATENATE("TORBARINA D.O.O.,"," NOVA CESTA 3,"," 10412 DONJA LOMNICA,"," OIB: 02603292627")</f>
        <v>TORBARINA D.O.O., NOVA CESTA 3, 10412 DONJA LOMNICA, OIB: 02603292627</v>
      </c>
      <c r="H1150" s="7"/>
      <c r="I1150" s="8" t="s">
        <v>206</v>
      </c>
      <c r="J1150" s="8" t="s">
        <v>41</v>
      </c>
      <c r="K1150" s="6" t="str">
        <f>"116.750,34"</f>
        <v>116.750,34</v>
      </c>
      <c r="L1150" s="6" t="str">
        <f>"29.187,59"</f>
        <v>29.187,59</v>
      </c>
      <c r="M1150" s="6" t="str">
        <f>"145.937,93"</f>
        <v>145.937,93</v>
      </c>
      <c r="N1150" s="8" t="s">
        <v>31</v>
      </c>
      <c r="O1150" s="7"/>
      <c r="P1150" s="2" t="s">
        <v>6371</v>
      </c>
      <c r="Q1150" s="7"/>
      <c r="R1150" s="1"/>
      <c r="S1150" s="1" t="str">
        <f>"14-21/NOS-65/20"</f>
        <v>14-21/NOS-65/20</v>
      </c>
      <c r="T1150" s="1" t="s">
        <v>32</v>
      </c>
    </row>
    <row r="1151" spans="1:20" ht="51" x14ac:dyDescent="0.25">
      <c r="A1151" s="6">
        <v>1148</v>
      </c>
      <c r="B1151" s="1" t="str">
        <f>"2020-1993"</f>
        <v>2020-1993</v>
      </c>
      <c r="C1151" s="1" t="s">
        <v>1293</v>
      </c>
      <c r="D1151" s="1" t="s">
        <v>609</v>
      </c>
      <c r="E1151" s="1" t="str">
        <f>"2020/S 0F2-0038321"</f>
        <v>2020/S 0F2-0038321</v>
      </c>
      <c r="F1151" s="1" t="s">
        <v>22</v>
      </c>
      <c r="G1151" s="1" t="str">
        <f>CONCATENATE("BITUM D.O.O.,"," SLAVONSKA AVENIJA 19,"," 10000 ZAGREB,"," OIB: 745160333")</f>
        <v>BITUM D.O.O., SLAVONSKA AVENIJA 19, 10000 ZAGREB, OIB: 745160333</v>
      </c>
      <c r="H1151" s="7"/>
      <c r="I1151" s="8" t="s">
        <v>1134</v>
      </c>
      <c r="J1151" s="8" t="s">
        <v>813</v>
      </c>
      <c r="K1151" s="6" t="str">
        <f>"1.700.000,00"</f>
        <v>1.700.000,00</v>
      </c>
      <c r="L1151" s="6" t="str">
        <f>"425.000,00"</f>
        <v>425.000,00</v>
      </c>
      <c r="M1151" s="6" t="str">
        <f>"2.125.000,00"</f>
        <v>2.125.000,00</v>
      </c>
      <c r="N1151" s="8" t="s">
        <v>124</v>
      </c>
      <c r="O1151" s="7"/>
      <c r="P1151" s="2" t="s">
        <v>5614</v>
      </c>
      <c r="Q1151" s="7"/>
      <c r="R1151" s="1"/>
      <c r="S1151" s="1" t="str">
        <f>"NOS-77/20"</f>
        <v>NOS-77/20</v>
      </c>
      <c r="T1151" s="1" t="s">
        <v>32</v>
      </c>
    </row>
    <row r="1152" spans="1:20" ht="51" x14ac:dyDescent="0.25">
      <c r="A1152" s="6">
        <v>1149</v>
      </c>
      <c r="B1152" s="1" t="str">
        <f>"2020-1993"</f>
        <v>2020-1993</v>
      </c>
      <c r="C1152" s="1" t="s">
        <v>1293</v>
      </c>
      <c r="D1152" s="1" t="s">
        <v>611</v>
      </c>
      <c r="E1152" s="1" t="str">
        <f>""</f>
        <v/>
      </c>
      <c r="F1152" s="1" t="s">
        <v>28</v>
      </c>
      <c r="G1152" s="1" t="str">
        <f>CONCATENATE("BITUM D.O.O.,"," SLAVONSKA AVENIJA 19,"," 10000 ZAGREB,"," OIB: 745160333")</f>
        <v>BITUM D.O.O., SLAVONSKA AVENIJA 19, 10000 ZAGREB, OIB: 745160333</v>
      </c>
      <c r="H1152" s="7"/>
      <c r="I1152" s="8" t="s">
        <v>1060</v>
      </c>
      <c r="J1152" s="8" t="s">
        <v>53</v>
      </c>
      <c r="K1152" s="6" t="str">
        <f>"73.595,00"</f>
        <v>73.595,00</v>
      </c>
      <c r="L1152" s="6" t="str">
        <f>"18.398,75"</f>
        <v>18.398,75</v>
      </c>
      <c r="M1152" s="6" t="str">
        <f>"91.993,75"</f>
        <v>91.993,75</v>
      </c>
      <c r="N1152" s="8" t="s">
        <v>399</v>
      </c>
      <c r="O1152" s="7"/>
      <c r="P1152" s="2" t="s">
        <v>6372</v>
      </c>
      <c r="Q1152" s="1"/>
      <c r="R1152" s="1"/>
      <c r="S1152" s="1" t="str">
        <f>"5-21/NOS-77/20"</f>
        <v>5-21/NOS-77/20</v>
      </c>
      <c r="T1152" s="1" t="s">
        <v>32</v>
      </c>
    </row>
    <row r="1153" spans="1:20" ht="51" x14ac:dyDescent="0.25">
      <c r="A1153" s="6">
        <v>1150</v>
      </c>
      <c r="B1153" s="1" t="str">
        <f>"2020-1993"</f>
        <v>2020-1993</v>
      </c>
      <c r="C1153" s="1" t="s">
        <v>1293</v>
      </c>
      <c r="D1153" s="1" t="s">
        <v>611</v>
      </c>
      <c r="E1153" s="1" t="str">
        <f>""</f>
        <v/>
      </c>
      <c r="F1153" s="1" t="s">
        <v>28</v>
      </c>
      <c r="G1153" s="1" t="str">
        <f>CONCATENATE("BITUM D.O.O.,"," SLAVONSKA AVENIJA 19,"," 10000 ZAGREB,"," OIB: 745160333")</f>
        <v>BITUM D.O.O., SLAVONSKA AVENIJA 19, 10000 ZAGREB, OIB: 745160333</v>
      </c>
      <c r="H1153" s="7"/>
      <c r="I1153" s="8" t="s">
        <v>42</v>
      </c>
      <c r="J1153" s="8" t="s">
        <v>875</v>
      </c>
      <c r="K1153" s="6" t="str">
        <f>"349.608,00"</f>
        <v>349.608,00</v>
      </c>
      <c r="L1153" s="6" t="str">
        <f>"87.402,00"</f>
        <v>87.402,00</v>
      </c>
      <c r="M1153" s="6" t="str">
        <f>"437.010,00"</f>
        <v>437.010,00</v>
      </c>
      <c r="N1153" s="8" t="s">
        <v>58</v>
      </c>
      <c r="O1153" s="7"/>
      <c r="P1153" s="2" t="s">
        <v>6373</v>
      </c>
      <c r="Q1153" s="1"/>
      <c r="R1153" s="1"/>
      <c r="S1153" s="1" t="str">
        <f>"1-22/NOS-77/20"</f>
        <v>1-22/NOS-77/20</v>
      </c>
      <c r="T1153" s="1" t="s">
        <v>32</v>
      </c>
    </row>
    <row r="1154" spans="1:20" ht="51" x14ac:dyDescent="0.25">
      <c r="A1154" s="6">
        <v>1151</v>
      </c>
      <c r="B1154" s="1" t="str">
        <f>"2020-1993"</f>
        <v>2020-1993</v>
      </c>
      <c r="C1154" s="1" t="s">
        <v>1293</v>
      </c>
      <c r="D1154" s="1" t="s">
        <v>611</v>
      </c>
      <c r="E1154" s="1" t="str">
        <f>""</f>
        <v/>
      </c>
      <c r="F1154" s="1" t="s">
        <v>28</v>
      </c>
      <c r="G1154" s="1" t="str">
        <f>CONCATENATE("BITUM D.O.O.,"," SLAVONSKA AVENIJA 19,"," 10000 ZAGREB,"," OIB: 745160333")</f>
        <v>BITUM D.O.O., SLAVONSKA AVENIJA 19, 10000 ZAGREB, OIB: 745160333</v>
      </c>
      <c r="H1154" s="7"/>
      <c r="I1154" s="8" t="s">
        <v>121</v>
      </c>
      <c r="J1154" s="8" t="s">
        <v>555</v>
      </c>
      <c r="K1154" s="6" t="str">
        <f>"34.400,00"</f>
        <v>34.400,00</v>
      </c>
      <c r="L1154" s="6" t="str">
        <f>"0,00"</f>
        <v>0,00</v>
      </c>
      <c r="M1154" s="6" t="str">
        <f>"34.400,00"</f>
        <v>34.400,00</v>
      </c>
      <c r="N1154" s="8" t="s">
        <v>124</v>
      </c>
      <c r="O1154" s="7"/>
      <c r="P1154" s="2" t="s">
        <v>5614</v>
      </c>
      <c r="Q1154" s="7"/>
      <c r="R1154" s="1"/>
      <c r="S1154" s="1" t="str">
        <f>"2-22/NOS-77/20"</f>
        <v>2-22/NOS-77/20</v>
      </c>
      <c r="T1154" s="1" t="s">
        <v>32</v>
      </c>
    </row>
    <row r="1155" spans="1:20" ht="51" x14ac:dyDescent="0.25">
      <c r="A1155" s="6">
        <v>1152</v>
      </c>
      <c r="B1155" s="1" t="str">
        <f>"2020-77"</f>
        <v>2020-77</v>
      </c>
      <c r="C1155" s="1" t="s">
        <v>1294</v>
      </c>
      <c r="D1155" s="1" t="s">
        <v>1295</v>
      </c>
      <c r="E1155" s="1" t="str">
        <f>"2020/S 0F2-0041753"</f>
        <v>2020/S 0F2-0041753</v>
      </c>
      <c r="F1155" s="1" t="s">
        <v>22</v>
      </c>
      <c r="G1155" s="1" t="str">
        <f>CONCATENATE("TAHOGRAF D.O.O.,"," DR. FRANJE TUĐMANA 24,"," 10431 SVETA NEDELJA,"," OIB: 73777060562")</f>
        <v>TAHOGRAF D.O.O., DR. FRANJE TUĐMANA 24, 10431 SVETA NEDELJA, OIB: 73777060562</v>
      </c>
      <c r="H1155" s="7"/>
      <c r="I1155" s="8" t="s">
        <v>1296</v>
      </c>
      <c r="J1155" s="8" t="s">
        <v>1269</v>
      </c>
      <c r="K1155" s="6" t="str">
        <f>"600.000,00"</f>
        <v>600.000,00</v>
      </c>
      <c r="L1155" s="6" t="str">
        <f>"150.000,00"</f>
        <v>150.000,00</v>
      </c>
      <c r="M1155" s="6" t="str">
        <f>"750.000,00"</f>
        <v>750.000,00</v>
      </c>
      <c r="N1155" s="8" t="s">
        <v>124</v>
      </c>
      <c r="O1155" s="7"/>
      <c r="P1155" s="2" t="s">
        <v>5614</v>
      </c>
      <c r="Q1155" s="7"/>
      <c r="R1155" s="1"/>
      <c r="S1155" s="1" t="str">
        <f>"NOS-69/20"</f>
        <v>NOS-69/20</v>
      </c>
      <c r="T1155" s="1" t="s">
        <v>55</v>
      </c>
    </row>
    <row r="1156" spans="1:20" ht="51" x14ac:dyDescent="0.25">
      <c r="A1156" s="6">
        <v>1153</v>
      </c>
      <c r="B1156" s="1" t="str">
        <f>"2020-77"</f>
        <v>2020-77</v>
      </c>
      <c r="C1156" s="1" t="s">
        <v>1294</v>
      </c>
      <c r="D1156" s="1" t="s">
        <v>1297</v>
      </c>
      <c r="E1156" s="1" t="str">
        <f>""</f>
        <v/>
      </c>
      <c r="F1156" s="1" t="s">
        <v>28</v>
      </c>
      <c r="G1156" s="1" t="str">
        <f>CONCATENATE("TAHOGRAF D.O.O.,"," DR. FRANJE TUĐMANA 24,"," 10431 SVETA NEDELJA,"," OIB: 73777060562")</f>
        <v>TAHOGRAF D.O.O., DR. FRANJE TUĐMANA 24, 10431 SVETA NEDELJA, OIB: 73777060562</v>
      </c>
      <c r="H1156" s="7"/>
      <c r="I1156" s="8" t="s">
        <v>1298</v>
      </c>
      <c r="J1156" s="8" t="s">
        <v>30</v>
      </c>
      <c r="K1156" s="6" t="str">
        <f>"297.329,00"</f>
        <v>297.329,00</v>
      </c>
      <c r="L1156" s="6" t="str">
        <f>"74.332,25"</f>
        <v>74.332,25</v>
      </c>
      <c r="M1156" s="6" t="str">
        <f>"371.661,25"</f>
        <v>371.661,25</v>
      </c>
      <c r="N1156" s="8" t="s">
        <v>124</v>
      </c>
      <c r="O1156" s="7"/>
      <c r="P1156" s="2" t="s">
        <v>5614</v>
      </c>
      <c r="Q1156" s="7"/>
      <c r="R1156" s="1"/>
      <c r="S1156" s="1" t="str">
        <f>"1-21/NOS-69/20"</f>
        <v>1-21/NOS-69/20</v>
      </c>
      <c r="T1156" s="1" t="s">
        <v>55</v>
      </c>
    </row>
    <row r="1157" spans="1:20" ht="51" x14ac:dyDescent="0.25">
      <c r="A1157" s="6">
        <v>1154</v>
      </c>
      <c r="B1157" s="1" t="str">
        <f>"2020-77"</f>
        <v>2020-77</v>
      </c>
      <c r="C1157" s="1" t="s">
        <v>1294</v>
      </c>
      <c r="D1157" s="1" t="s">
        <v>1297</v>
      </c>
      <c r="E1157" s="1" t="str">
        <f>""</f>
        <v/>
      </c>
      <c r="F1157" s="1" t="s">
        <v>28</v>
      </c>
      <c r="G1157" s="1" t="str">
        <f>CONCATENATE("TAHOGRAF D.O.O.,"," DR. FRANJE TUĐMANA 24,"," 10431 SVETA NEDELJA,"," OIB: 73777060562")</f>
        <v>TAHOGRAF D.O.O., DR. FRANJE TUĐMANA 24, 10431 SVETA NEDELJA, OIB: 73777060562</v>
      </c>
      <c r="H1157" s="7"/>
      <c r="I1157" s="8" t="s">
        <v>408</v>
      </c>
      <c r="J1157" s="8" t="s">
        <v>850</v>
      </c>
      <c r="K1157" s="6" t="str">
        <f>"105.900,00"</f>
        <v>105.900,00</v>
      </c>
      <c r="L1157" s="6" t="str">
        <f>"26.475,00"</f>
        <v>26.475,00</v>
      </c>
      <c r="M1157" s="6" t="str">
        <f>"132.375,00"</f>
        <v>132.375,00</v>
      </c>
      <c r="N1157" s="8" t="s">
        <v>124</v>
      </c>
      <c r="O1157" s="7"/>
      <c r="P1157" s="2" t="s">
        <v>5614</v>
      </c>
      <c r="Q1157" s="7"/>
      <c r="R1157" s="1"/>
      <c r="S1157" s="1" t="str">
        <f>"1-22/NOS-69/20"</f>
        <v>1-22/NOS-69/20</v>
      </c>
      <c r="T1157" s="1" t="s">
        <v>55</v>
      </c>
    </row>
    <row r="1158" spans="1:20" ht="76.5" x14ac:dyDescent="0.25">
      <c r="A1158" s="6">
        <v>1155</v>
      </c>
      <c r="B1158" s="1" t="str">
        <f t="shared" ref="B1158:B1189" si="106">"2020-2791"</f>
        <v>2020-2791</v>
      </c>
      <c r="C1158" s="1" t="s">
        <v>1299</v>
      </c>
      <c r="D1158" s="1" t="s">
        <v>87</v>
      </c>
      <c r="E1158" s="1" t="str">
        <f>"2020/S 0F2-0033305"</f>
        <v>2020/S 0F2-0033305</v>
      </c>
      <c r="F1158" s="1" t="s">
        <v>22</v>
      </c>
      <c r="G1158" s="1" t="str">
        <f t="shared" ref="G1158:G1189" si="107">CONCATENATE("PAMAJO D.O.O.,"," VRANIČKA 7/A,"," 10000 ZAGREB,"," OIB: 46401136513")</f>
        <v>PAMAJO D.O.O., VRANIČKA 7/A, 10000 ZAGREB, OIB: 46401136513</v>
      </c>
      <c r="H1158" s="7"/>
      <c r="I1158" s="8" t="s">
        <v>1300</v>
      </c>
      <c r="J1158" s="8" t="s">
        <v>1301</v>
      </c>
      <c r="K1158" s="6" t="str">
        <f>"1.920.000,00"</f>
        <v>1.920.000,00</v>
      </c>
      <c r="L1158" s="6" t="str">
        <f>"480.000,00"</f>
        <v>480.000,00</v>
      </c>
      <c r="M1158" s="6" t="str">
        <f>"2.400.000,00"</f>
        <v>2.400.000,00</v>
      </c>
      <c r="N1158" s="8" t="s">
        <v>124</v>
      </c>
      <c r="O1158" s="7"/>
      <c r="P1158" s="2" t="s">
        <v>6374</v>
      </c>
      <c r="Q1158" s="7"/>
      <c r="R1158" s="1"/>
      <c r="S1158" s="1" t="str">
        <f>"NOS-74-1/20"</f>
        <v>NOS-74-1/20</v>
      </c>
      <c r="T1158" s="1" t="s">
        <v>1302</v>
      </c>
    </row>
    <row r="1159" spans="1:20" ht="76.5" x14ac:dyDescent="0.25">
      <c r="A1159" s="6">
        <v>1156</v>
      </c>
      <c r="B1159" s="1" t="str">
        <f t="shared" si="106"/>
        <v>2020-2791</v>
      </c>
      <c r="C1159" s="1" t="s">
        <v>1299</v>
      </c>
      <c r="D1159" s="1" t="s">
        <v>87</v>
      </c>
      <c r="E1159" s="1" t="str">
        <f>""</f>
        <v/>
      </c>
      <c r="F1159" s="1" t="s">
        <v>28</v>
      </c>
      <c r="G1159" s="1" t="str">
        <f t="shared" si="107"/>
        <v>PAMAJO D.O.O., VRANIČKA 7/A, 10000 ZAGREB, OIB: 46401136513</v>
      </c>
      <c r="H1159" s="7"/>
      <c r="I1159" s="8" t="s">
        <v>137</v>
      </c>
      <c r="J1159" s="8" t="s">
        <v>393</v>
      </c>
      <c r="K1159" s="6" t="str">
        <f>"11.124,91"</f>
        <v>11.124,91</v>
      </c>
      <c r="L1159" s="6" t="str">
        <f>"2.781,23"</f>
        <v>2.781,23</v>
      </c>
      <c r="M1159" s="6" t="str">
        <f>"13.906,14"</f>
        <v>13.906,14</v>
      </c>
      <c r="N1159" s="8" t="s">
        <v>89</v>
      </c>
      <c r="O1159" s="7"/>
      <c r="P1159" s="2" t="s">
        <v>6375</v>
      </c>
      <c r="Q1159" s="7"/>
      <c r="R1159" s="1"/>
      <c r="S1159" s="1" t="str">
        <f>"81-21/NOS-74-1/20"</f>
        <v>81-21/NOS-74-1/20</v>
      </c>
      <c r="T1159" s="1" t="s">
        <v>32</v>
      </c>
    </row>
    <row r="1160" spans="1:20" ht="76.5" x14ac:dyDescent="0.25">
      <c r="A1160" s="6">
        <v>1157</v>
      </c>
      <c r="B1160" s="1" t="str">
        <f t="shared" si="106"/>
        <v>2020-2791</v>
      </c>
      <c r="C1160" s="1" t="s">
        <v>1299</v>
      </c>
      <c r="D1160" s="1" t="s">
        <v>87</v>
      </c>
      <c r="E1160" s="1" t="str">
        <f>""</f>
        <v/>
      </c>
      <c r="F1160" s="1" t="s">
        <v>28</v>
      </c>
      <c r="G1160" s="1" t="str">
        <f t="shared" si="107"/>
        <v>PAMAJO D.O.O., VRANIČKA 7/A, 10000 ZAGREB, OIB: 46401136513</v>
      </c>
      <c r="H1160" s="7"/>
      <c r="I1160" s="8" t="s">
        <v>744</v>
      </c>
      <c r="J1160" s="8" t="s">
        <v>555</v>
      </c>
      <c r="K1160" s="6" t="str">
        <f>"600,00"</f>
        <v>600,00</v>
      </c>
      <c r="L1160" s="6" t="str">
        <f>"150,00"</f>
        <v>150,00</v>
      </c>
      <c r="M1160" s="6" t="str">
        <f>"750,00"</f>
        <v>750,00</v>
      </c>
      <c r="N1160" s="8" t="s">
        <v>804</v>
      </c>
      <c r="O1160" s="7"/>
      <c r="P1160" s="2" t="s">
        <v>6376</v>
      </c>
      <c r="Q1160" s="7"/>
      <c r="R1160" s="1"/>
      <c r="S1160" s="1" t="str">
        <f>"2-22/NOS-74-1/20"</f>
        <v>2-22/NOS-74-1/20</v>
      </c>
      <c r="T1160" s="1" t="s">
        <v>32</v>
      </c>
    </row>
    <row r="1161" spans="1:20" ht="76.5" x14ac:dyDescent="0.25">
      <c r="A1161" s="6">
        <v>1158</v>
      </c>
      <c r="B1161" s="1" t="str">
        <f t="shared" si="106"/>
        <v>2020-2791</v>
      </c>
      <c r="C1161" s="1" t="s">
        <v>1299</v>
      </c>
      <c r="D1161" s="1" t="s">
        <v>87</v>
      </c>
      <c r="E1161" s="1" t="str">
        <f>""</f>
        <v/>
      </c>
      <c r="F1161" s="1" t="s">
        <v>28</v>
      </c>
      <c r="G1161" s="1" t="str">
        <f t="shared" si="107"/>
        <v>PAMAJO D.O.O., VRANIČKA 7/A, 10000 ZAGREB, OIB: 46401136513</v>
      </c>
      <c r="H1161" s="7"/>
      <c r="I1161" s="8" t="s">
        <v>239</v>
      </c>
      <c r="J1161" s="8" t="s">
        <v>231</v>
      </c>
      <c r="K1161" s="6" t="str">
        <f>"3.516,00"</f>
        <v>3.516,00</v>
      </c>
      <c r="L1161" s="6" t="str">
        <f>"879,00"</f>
        <v>879,00</v>
      </c>
      <c r="M1161" s="6" t="str">
        <f>"4.395,00"</f>
        <v>4.395,00</v>
      </c>
      <c r="N1161" s="8" t="s">
        <v>426</v>
      </c>
      <c r="O1161" s="7"/>
      <c r="P1161" s="2" t="s">
        <v>6377</v>
      </c>
      <c r="Q1161" s="7"/>
      <c r="R1161" s="1"/>
      <c r="S1161" s="1" t="str">
        <f>"9-22/NOS-74-1/20"</f>
        <v>9-22/NOS-74-1/20</v>
      </c>
      <c r="T1161" s="1" t="s">
        <v>32</v>
      </c>
    </row>
    <row r="1162" spans="1:20" ht="76.5" x14ac:dyDescent="0.25">
      <c r="A1162" s="6">
        <v>1159</v>
      </c>
      <c r="B1162" s="1" t="str">
        <f t="shared" si="106"/>
        <v>2020-2791</v>
      </c>
      <c r="C1162" s="1" t="s">
        <v>1299</v>
      </c>
      <c r="D1162" s="1" t="s">
        <v>87</v>
      </c>
      <c r="E1162" s="1" t="str">
        <f>""</f>
        <v/>
      </c>
      <c r="F1162" s="1" t="s">
        <v>28</v>
      </c>
      <c r="G1162" s="1" t="str">
        <f t="shared" si="107"/>
        <v>PAMAJO D.O.O., VRANIČKA 7/A, 10000 ZAGREB, OIB: 46401136513</v>
      </c>
      <c r="H1162" s="7"/>
      <c r="I1162" s="8" t="s">
        <v>239</v>
      </c>
      <c r="J1162" s="8" t="s">
        <v>231</v>
      </c>
      <c r="K1162" s="6" t="str">
        <f>"1.500,00"</f>
        <v>1.500,00</v>
      </c>
      <c r="L1162" s="6" t="str">
        <f>"375,00"</f>
        <v>375,00</v>
      </c>
      <c r="M1162" s="6" t="str">
        <f>"1.875,00"</f>
        <v>1.875,00</v>
      </c>
      <c r="N1162" s="8" t="s">
        <v>426</v>
      </c>
      <c r="O1162" s="7"/>
      <c r="P1162" s="2" t="s">
        <v>6378</v>
      </c>
      <c r="Q1162" s="7"/>
      <c r="R1162" s="1"/>
      <c r="S1162" s="1" t="str">
        <f>"10-22/NOS-74-1/20"</f>
        <v>10-22/NOS-74-1/20</v>
      </c>
      <c r="T1162" s="1" t="s">
        <v>32</v>
      </c>
    </row>
    <row r="1163" spans="1:20" ht="76.5" x14ac:dyDescent="0.25">
      <c r="A1163" s="6">
        <v>1160</v>
      </c>
      <c r="B1163" s="1" t="str">
        <f t="shared" si="106"/>
        <v>2020-2791</v>
      </c>
      <c r="C1163" s="1" t="s">
        <v>1299</v>
      </c>
      <c r="D1163" s="1" t="s">
        <v>87</v>
      </c>
      <c r="E1163" s="1" t="str">
        <f>""</f>
        <v/>
      </c>
      <c r="F1163" s="1" t="s">
        <v>28</v>
      </c>
      <c r="G1163" s="1" t="str">
        <f t="shared" si="107"/>
        <v>PAMAJO D.O.O., VRANIČKA 7/A, 10000 ZAGREB, OIB: 46401136513</v>
      </c>
      <c r="H1163" s="7"/>
      <c r="I1163" s="8" t="s">
        <v>239</v>
      </c>
      <c r="J1163" s="8" t="s">
        <v>231</v>
      </c>
      <c r="K1163" s="6" t="str">
        <f>"1.938,20"</f>
        <v>1.938,20</v>
      </c>
      <c r="L1163" s="6" t="str">
        <f>"484,55"</f>
        <v>484,55</v>
      </c>
      <c r="M1163" s="6" t="str">
        <f>"2.422,75"</f>
        <v>2.422,75</v>
      </c>
      <c r="N1163" s="8" t="s">
        <v>426</v>
      </c>
      <c r="O1163" s="7"/>
      <c r="P1163" s="2" t="s">
        <v>6379</v>
      </c>
      <c r="Q1163" s="7"/>
      <c r="R1163" s="1"/>
      <c r="S1163" s="1" t="str">
        <f>"11-22/NOS-74-1/20"</f>
        <v>11-22/NOS-74-1/20</v>
      </c>
      <c r="T1163" s="1" t="s">
        <v>32</v>
      </c>
    </row>
    <row r="1164" spans="1:20" ht="76.5" x14ac:dyDescent="0.25">
      <c r="A1164" s="6">
        <v>1161</v>
      </c>
      <c r="B1164" s="1" t="str">
        <f t="shared" si="106"/>
        <v>2020-2791</v>
      </c>
      <c r="C1164" s="1" t="s">
        <v>1299</v>
      </c>
      <c r="D1164" s="1" t="s">
        <v>87</v>
      </c>
      <c r="E1164" s="1" t="str">
        <f>""</f>
        <v/>
      </c>
      <c r="F1164" s="1" t="s">
        <v>28</v>
      </c>
      <c r="G1164" s="1" t="str">
        <f t="shared" si="107"/>
        <v>PAMAJO D.O.O., VRANIČKA 7/A, 10000 ZAGREB, OIB: 46401136513</v>
      </c>
      <c r="H1164" s="7"/>
      <c r="I1164" s="8" t="s">
        <v>219</v>
      </c>
      <c r="J1164" s="8" t="s">
        <v>555</v>
      </c>
      <c r="K1164" s="6" t="str">
        <f>"7.300,00"</f>
        <v>7.300,00</v>
      </c>
      <c r="L1164" s="6" t="str">
        <f>"1.825,00"</f>
        <v>1.825,00</v>
      </c>
      <c r="M1164" s="6" t="str">
        <f>"9.125,00"</f>
        <v>9.125,00</v>
      </c>
      <c r="N1164" s="8" t="s">
        <v>804</v>
      </c>
      <c r="O1164" s="7"/>
      <c r="P1164" s="2" t="s">
        <v>6380</v>
      </c>
      <c r="Q1164" s="7"/>
      <c r="R1164" s="1"/>
      <c r="S1164" s="1" t="str">
        <f>"4-22/NOS-74-1/20"</f>
        <v>4-22/NOS-74-1/20</v>
      </c>
      <c r="T1164" s="1" t="s">
        <v>32</v>
      </c>
    </row>
    <row r="1165" spans="1:20" ht="76.5" x14ac:dyDescent="0.25">
      <c r="A1165" s="6">
        <v>1162</v>
      </c>
      <c r="B1165" s="1" t="str">
        <f t="shared" si="106"/>
        <v>2020-2791</v>
      </c>
      <c r="C1165" s="1" t="s">
        <v>1299</v>
      </c>
      <c r="D1165" s="1" t="s">
        <v>87</v>
      </c>
      <c r="E1165" s="1" t="str">
        <f>""</f>
        <v/>
      </c>
      <c r="F1165" s="1" t="s">
        <v>28</v>
      </c>
      <c r="G1165" s="1" t="str">
        <f t="shared" si="107"/>
        <v>PAMAJO D.O.O., VRANIČKA 7/A, 10000 ZAGREB, OIB: 46401136513</v>
      </c>
      <c r="H1165" s="7"/>
      <c r="I1165" s="8" t="s">
        <v>219</v>
      </c>
      <c r="J1165" s="8" t="s">
        <v>555</v>
      </c>
      <c r="K1165" s="6" t="str">
        <f>"9.916,00"</f>
        <v>9.916,00</v>
      </c>
      <c r="L1165" s="6" t="str">
        <f>"2.479,00"</f>
        <v>2.479,00</v>
      </c>
      <c r="M1165" s="6" t="str">
        <f>"12.395,00"</f>
        <v>12.395,00</v>
      </c>
      <c r="N1165" s="8" t="s">
        <v>804</v>
      </c>
      <c r="O1165" s="7"/>
      <c r="P1165" s="2" t="s">
        <v>6381</v>
      </c>
      <c r="Q1165" s="7"/>
      <c r="R1165" s="1"/>
      <c r="S1165" s="1" t="str">
        <f>"5-22/NOS-74-1/20"</f>
        <v>5-22/NOS-74-1/20</v>
      </c>
      <c r="T1165" s="1" t="s">
        <v>32</v>
      </c>
    </row>
    <row r="1166" spans="1:20" ht="76.5" x14ac:dyDescent="0.25">
      <c r="A1166" s="6">
        <v>1163</v>
      </c>
      <c r="B1166" s="1" t="str">
        <f t="shared" si="106"/>
        <v>2020-2791</v>
      </c>
      <c r="C1166" s="1" t="s">
        <v>1299</v>
      </c>
      <c r="D1166" s="1" t="s">
        <v>87</v>
      </c>
      <c r="E1166" s="1" t="str">
        <f>""</f>
        <v/>
      </c>
      <c r="F1166" s="1" t="s">
        <v>28</v>
      </c>
      <c r="G1166" s="1" t="str">
        <f t="shared" si="107"/>
        <v>PAMAJO D.O.O., VRANIČKA 7/A, 10000 ZAGREB, OIB: 46401136513</v>
      </c>
      <c r="H1166" s="7"/>
      <c r="I1166" s="8" t="s">
        <v>219</v>
      </c>
      <c r="J1166" s="8" t="s">
        <v>231</v>
      </c>
      <c r="K1166" s="6" t="str">
        <f>"800,00"</f>
        <v>800,00</v>
      </c>
      <c r="L1166" s="6" t="str">
        <f>"0,00"</f>
        <v>0,00</v>
      </c>
      <c r="M1166" s="6" t="str">
        <f>"800,00"</f>
        <v>800,00</v>
      </c>
      <c r="N1166" s="8" t="s">
        <v>124</v>
      </c>
      <c r="O1166" s="7"/>
      <c r="P1166" s="2" t="s">
        <v>5614</v>
      </c>
      <c r="Q1166" s="7"/>
      <c r="R1166" s="1"/>
      <c r="S1166" s="1" t="str">
        <f>"13-22/NOS-74-1/20"</f>
        <v>13-22/NOS-74-1/20</v>
      </c>
      <c r="T1166" s="1" t="s">
        <v>32</v>
      </c>
    </row>
    <row r="1167" spans="1:20" ht="76.5" x14ac:dyDescent="0.25">
      <c r="A1167" s="6">
        <v>1164</v>
      </c>
      <c r="B1167" s="1" t="str">
        <f t="shared" si="106"/>
        <v>2020-2791</v>
      </c>
      <c r="C1167" s="1" t="s">
        <v>1299</v>
      </c>
      <c r="D1167" s="1" t="s">
        <v>87</v>
      </c>
      <c r="E1167" s="1" t="str">
        <f>""</f>
        <v/>
      </c>
      <c r="F1167" s="1" t="s">
        <v>28</v>
      </c>
      <c r="G1167" s="1" t="str">
        <f t="shared" si="107"/>
        <v>PAMAJO D.O.O., VRANIČKA 7/A, 10000 ZAGREB, OIB: 46401136513</v>
      </c>
      <c r="H1167" s="7"/>
      <c r="I1167" s="8" t="s">
        <v>219</v>
      </c>
      <c r="J1167" s="8" t="s">
        <v>231</v>
      </c>
      <c r="K1167" s="6" t="str">
        <f>"5.333,50"</f>
        <v>5.333,50</v>
      </c>
      <c r="L1167" s="6" t="str">
        <f>"1.333,38"</f>
        <v>1.333,38</v>
      </c>
      <c r="M1167" s="6" t="str">
        <f>"6.666,88"</f>
        <v>6.666,88</v>
      </c>
      <c r="N1167" s="8" t="s">
        <v>409</v>
      </c>
      <c r="O1167" s="7"/>
      <c r="P1167" s="2" t="s">
        <v>6382</v>
      </c>
      <c r="Q1167" s="7"/>
      <c r="R1167" s="1"/>
      <c r="S1167" s="1" t="str">
        <f>"12-22/NOS-74-1/20"</f>
        <v>12-22/NOS-74-1/20</v>
      </c>
      <c r="T1167" s="1" t="s">
        <v>32</v>
      </c>
    </row>
    <row r="1168" spans="1:20" ht="76.5" x14ac:dyDescent="0.25">
      <c r="A1168" s="6">
        <v>1165</v>
      </c>
      <c r="B1168" s="1" t="str">
        <f t="shared" si="106"/>
        <v>2020-2791</v>
      </c>
      <c r="C1168" s="1" t="s">
        <v>1299</v>
      </c>
      <c r="D1168" s="1" t="s">
        <v>87</v>
      </c>
      <c r="E1168" s="1" t="str">
        <f>""</f>
        <v/>
      </c>
      <c r="F1168" s="1" t="s">
        <v>28</v>
      </c>
      <c r="G1168" s="1" t="str">
        <f t="shared" si="107"/>
        <v>PAMAJO D.O.O., VRANIČKA 7/A, 10000 ZAGREB, OIB: 46401136513</v>
      </c>
      <c r="H1168" s="7"/>
      <c r="I1168" s="8" t="s">
        <v>219</v>
      </c>
      <c r="J1168" s="8" t="s">
        <v>292</v>
      </c>
      <c r="K1168" s="6" t="str">
        <f>"4.546,50"</f>
        <v>4.546,50</v>
      </c>
      <c r="L1168" s="6" t="str">
        <f>"1.249,13"</f>
        <v>1.249,13</v>
      </c>
      <c r="M1168" s="6" t="str">
        <f>"5.795,63"</f>
        <v>5.795,63</v>
      </c>
      <c r="N1168" s="8" t="s">
        <v>350</v>
      </c>
      <c r="O1168" s="7"/>
      <c r="P1168" s="2" t="s">
        <v>6383</v>
      </c>
      <c r="Q1168" s="1" t="s">
        <v>488</v>
      </c>
      <c r="R1168" s="1"/>
      <c r="S1168" s="1" t="str">
        <f>"8-22/NOS-74-1/20"</f>
        <v>8-22/NOS-74-1/20</v>
      </c>
      <c r="T1168" s="1" t="s">
        <v>32</v>
      </c>
    </row>
    <row r="1169" spans="1:20" ht="76.5" x14ac:dyDescent="0.25">
      <c r="A1169" s="6">
        <v>1166</v>
      </c>
      <c r="B1169" s="1" t="str">
        <f t="shared" si="106"/>
        <v>2020-2791</v>
      </c>
      <c r="C1169" s="1" t="s">
        <v>1299</v>
      </c>
      <c r="D1169" s="1" t="s">
        <v>87</v>
      </c>
      <c r="E1169" s="1" t="str">
        <f>""</f>
        <v/>
      </c>
      <c r="F1169" s="1" t="s">
        <v>28</v>
      </c>
      <c r="G1169" s="1" t="str">
        <f t="shared" si="107"/>
        <v>PAMAJO D.O.O., VRANIČKA 7/A, 10000 ZAGREB, OIB: 46401136513</v>
      </c>
      <c r="H1169" s="7"/>
      <c r="I1169" s="8" t="s">
        <v>503</v>
      </c>
      <c r="J1169" s="8" t="s">
        <v>555</v>
      </c>
      <c r="K1169" s="6" t="str">
        <f>"1.200,00"</f>
        <v>1.200,00</v>
      </c>
      <c r="L1169" s="6" t="str">
        <f>"300,00"</f>
        <v>300,00</v>
      </c>
      <c r="M1169" s="6" t="str">
        <f>"1.500,00"</f>
        <v>1.500,00</v>
      </c>
      <c r="N1169" s="8" t="s">
        <v>748</v>
      </c>
      <c r="O1169" s="7"/>
      <c r="P1169" s="2" t="s">
        <v>6384</v>
      </c>
      <c r="Q1169" s="7"/>
      <c r="R1169" s="1"/>
      <c r="S1169" s="1" t="str">
        <f>"3-22/NOS-74-1/20"</f>
        <v>3-22/NOS-74-1/20</v>
      </c>
      <c r="T1169" s="1" t="s">
        <v>32</v>
      </c>
    </row>
    <row r="1170" spans="1:20" ht="76.5" x14ac:dyDescent="0.25">
      <c r="A1170" s="6">
        <v>1167</v>
      </c>
      <c r="B1170" s="1" t="str">
        <f t="shared" si="106"/>
        <v>2020-2791</v>
      </c>
      <c r="C1170" s="1" t="s">
        <v>1299</v>
      </c>
      <c r="D1170" s="1" t="s">
        <v>87</v>
      </c>
      <c r="E1170" s="1" t="str">
        <f>""</f>
        <v/>
      </c>
      <c r="F1170" s="1" t="s">
        <v>28</v>
      </c>
      <c r="G1170" s="1" t="str">
        <f t="shared" si="107"/>
        <v>PAMAJO D.O.O., VRANIČKA 7/A, 10000 ZAGREB, OIB: 46401136513</v>
      </c>
      <c r="H1170" s="7"/>
      <c r="I1170" s="8" t="s">
        <v>503</v>
      </c>
      <c r="J1170" s="8" t="s">
        <v>555</v>
      </c>
      <c r="K1170" s="6" t="str">
        <f>"2.231,00"</f>
        <v>2.231,00</v>
      </c>
      <c r="L1170" s="6" t="str">
        <f>"557,75"</f>
        <v>557,75</v>
      </c>
      <c r="M1170" s="6" t="str">
        <f>"2.788,75"</f>
        <v>2.788,75</v>
      </c>
      <c r="N1170" s="8" t="s">
        <v>748</v>
      </c>
      <c r="O1170" s="7"/>
      <c r="P1170" s="2" t="s">
        <v>6385</v>
      </c>
      <c r="Q1170" s="7"/>
      <c r="R1170" s="1"/>
      <c r="S1170" s="1" t="str">
        <f>"14-22/NOS-74-1/20"</f>
        <v>14-22/NOS-74-1/20</v>
      </c>
      <c r="T1170" s="1" t="s">
        <v>32</v>
      </c>
    </row>
    <row r="1171" spans="1:20" ht="76.5" x14ac:dyDescent="0.25">
      <c r="A1171" s="6">
        <v>1168</v>
      </c>
      <c r="B1171" s="1" t="str">
        <f t="shared" si="106"/>
        <v>2020-2791</v>
      </c>
      <c r="C1171" s="1" t="s">
        <v>1299</v>
      </c>
      <c r="D1171" s="1" t="s">
        <v>87</v>
      </c>
      <c r="E1171" s="1" t="str">
        <f>""</f>
        <v/>
      </c>
      <c r="F1171" s="1" t="s">
        <v>28</v>
      </c>
      <c r="G1171" s="1" t="str">
        <f t="shared" si="107"/>
        <v>PAMAJO D.O.O., VRANIČKA 7/A, 10000 ZAGREB, OIB: 46401136513</v>
      </c>
      <c r="H1171" s="7"/>
      <c r="I1171" s="8" t="s">
        <v>503</v>
      </c>
      <c r="J1171" s="8" t="s">
        <v>555</v>
      </c>
      <c r="K1171" s="6" t="str">
        <f>"4.350,00"</f>
        <v>4.350,00</v>
      </c>
      <c r="L1171" s="6" t="str">
        <f>"1.087,50"</f>
        <v>1.087,50</v>
      </c>
      <c r="M1171" s="6" t="str">
        <f>"5.437,50"</f>
        <v>5.437,50</v>
      </c>
      <c r="N1171" s="8" t="s">
        <v>748</v>
      </c>
      <c r="O1171" s="7"/>
      <c r="P1171" s="2" t="s">
        <v>6386</v>
      </c>
      <c r="Q1171" s="7"/>
      <c r="R1171" s="1"/>
      <c r="S1171" s="1" t="str">
        <f>"15-22/NOS-74-1/20"</f>
        <v>15-22/NOS-74-1/20</v>
      </c>
      <c r="T1171" s="1" t="s">
        <v>32</v>
      </c>
    </row>
    <row r="1172" spans="1:20" ht="76.5" x14ac:dyDescent="0.25">
      <c r="A1172" s="6">
        <v>1169</v>
      </c>
      <c r="B1172" s="1" t="str">
        <f t="shared" si="106"/>
        <v>2020-2791</v>
      </c>
      <c r="C1172" s="1" t="s">
        <v>1299</v>
      </c>
      <c r="D1172" s="1" t="s">
        <v>87</v>
      </c>
      <c r="E1172" s="1" t="str">
        <f>""</f>
        <v/>
      </c>
      <c r="F1172" s="1" t="s">
        <v>28</v>
      </c>
      <c r="G1172" s="1" t="str">
        <f t="shared" si="107"/>
        <v>PAMAJO D.O.O., VRANIČKA 7/A, 10000 ZAGREB, OIB: 46401136513</v>
      </c>
      <c r="H1172" s="7"/>
      <c r="I1172" s="8" t="s">
        <v>41</v>
      </c>
      <c r="J1172" s="8" t="s">
        <v>555</v>
      </c>
      <c r="K1172" s="6" t="str">
        <f>"1.200,00"</f>
        <v>1.200,00</v>
      </c>
      <c r="L1172" s="6" t="str">
        <f>"300,00"</f>
        <v>300,00</v>
      </c>
      <c r="M1172" s="6" t="str">
        <f>"1.500,00"</f>
        <v>1.500,00</v>
      </c>
      <c r="N1172" s="8" t="s">
        <v>804</v>
      </c>
      <c r="O1172" s="7"/>
      <c r="P1172" s="2" t="s">
        <v>6384</v>
      </c>
      <c r="Q1172" s="7"/>
      <c r="R1172" s="1"/>
      <c r="S1172" s="1" t="str">
        <f>"17-22/NOS-74-1/20"</f>
        <v>17-22/NOS-74-1/20</v>
      </c>
      <c r="T1172" s="1" t="s">
        <v>32</v>
      </c>
    </row>
    <row r="1173" spans="1:20" ht="76.5" x14ac:dyDescent="0.25">
      <c r="A1173" s="6">
        <v>1170</v>
      </c>
      <c r="B1173" s="1" t="str">
        <f t="shared" si="106"/>
        <v>2020-2791</v>
      </c>
      <c r="C1173" s="1" t="s">
        <v>1299</v>
      </c>
      <c r="D1173" s="1" t="s">
        <v>87</v>
      </c>
      <c r="E1173" s="1" t="str">
        <f>""</f>
        <v/>
      </c>
      <c r="F1173" s="1" t="s">
        <v>28</v>
      </c>
      <c r="G1173" s="1" t="str">
        <f t="shared" si="107"/>
        <v>PAMAJO D.O.O., VRANIČKA 7/A, 10000 ZAGREB, OIB: 46401136513</v>
      </c>
      <c r="H1173" s="7"/>
      <c r="I1173" s="8" t="s">
        <v>258</v>
      </c>
      <c r="J1173" s="8" t="s">
        <v>555</v>
      </c>
      <c r="K1173" s="6" t="str">
        <f>"2.957,50"</f>
        <v>2.957,50</v>
      </c>
      <c r="L1173" s="6" t="str">
        <f>"739,38"</f>
        <v>739,38</v>
      </c>
      <c r="M1173" s="6" t="str">
        <f>"3.696,88"</f>
        <v>3.696,88</v>
      </c>
      <c r="N1173" s="8" t="s">
        <v>804</v>
      </c>
      <c r="O1173" s="7"/>
      <c r="P1173" s="2" t="s">
        <v>6387</v>
      </c>
      <c r="Q1173" s="7"/>
      <c r="R1173" s="1"/>
      <c r="S1173" s="1" t="str">
        <f>"19-22/NOS-74-1/20"</f>
        <v>19-22/NOS-74-1/20</v>
      </c>
      <c r="T1173" s="1" t="s">
        <v>32</v>
      </c>
    </row>
    <row r="1174" spans="1:20" ht="76.5" x14ac:dyDescent="0.25">
      <c r="A1174" s="6">
        <v>1171</v>
      </c>
      <c r="B1174" s="1" t="str">
        <f t="shared" si="106"/>
        <v>2020-2791</v>
      </c>
      <c r="C1174" s="1" t="s">
        <v>1299</v>
      </c>
      <c r="D1174" s="1" t="s">
        <v>87</v>
      </c>
      <c r="E1174" s="1" t="str">
        <f>""</f>
        <v/>
      </c>
      <c r="F1174" s="1" t="s">
        <v>28</v>
      </c>
      <c r="G1174" s="1" t="str">
        <f t="shared" si="107"/>
        <v>PAMAJO D.O.O., VRANIČKA 7/A, 10000 ZAGREB, OIB: 46401136513</v>
      </c>
      <c r="H1174" s="7"/>
      <c r="I1174" s="8" t="s">
        <v>258</v>
      </c>
      <c r="J1174" s="8" t="s">
        <v>393</v>
      </c>
      <c r="K1174" s="6" t="str">
        <f>"12.253,16"</f>
        <v>12.253,16</v>
      </c>
      <c r="L1174" s="6" t="str">
        <f>"3.063,29"</f>
        <v>3.063,29</v>
      </c>
      <c r="M1174" s="6" t="str">
        <f>"15.316,45"</f>
        <v>15.316,45</v>
      </c>
      <c r="N1174" s="8" t="s">
        <v>500</v>
      </c>
      <c r="O1174" s="7"/>
      <c r="P1174" s="2" t="s">
        <v>6388</v>
      </c>
      <c r="Q1174" s="7"/>
      <c r="R1174" s="1"/>
      <c r="S1174" s="1" t="str">
        <f>"21-22/NOS-74-1/20"</f>
        <v>21-22/NOS-74-1/20</v>
      </c>
      <c r="T1174" s="1" t="s">
        <v>32</v>
      </c>
    </row>
    <row r="1175" spans="1:20" ht="76.5" x14ac:dyDescent="0.25">
      <c r="A1175" s="6">
        <v>1172</v>
      </c>
      <c r="B1175" s="1" t="str">
        <f t="shared" si="106"/>
        <v>2020-2791</v>
      </c>
      <c r="C1175" s="1" t="s">
        <v>1299</v>
      </c>
      <c r="D1175" s="1" t="s">
        <v>87</v>
      </c>
      <c r="E1175" s="1" t="str">
        <f>""</f>
        <v/>
      </c>
      <c r="F1175" s="1" t="s">
        <v>28</v>
      </c>
      <c r="G1175" s="1" t="str">
        <f t="shared" si="107"/>
        <v>PAMAJO D.O.O., VRANIČKA 7/A, 10000 ZAGREB, OIB: 46401136513</v>
      </c>
      <c r="H1175" s="7"/>
      <c r="I1175" s="8" t="s">
        <v>258</v>
      </c>
      <c r="J1175" s="8" t="s">
        <v>393</v>
      </c>
      <c r="K1175" s="6" t="str">
        <f>"15.080,70"</f>
        <v>15.080,70</v>
      </c>
      <c r="L1175" s="6" t="str">
        <f>"3.770,18"</f>
        <v>3.770,18</v>
      </c>
      <c r="M1175" s="6" t="str">
        <f>"18.850,88"</f>
        <v>18.850,88</v>
      </c>
      <c r="N1175" s="8" t="s">
        <v>500</v>
      </c>
      <c r="O1175" s="7"/>
      <c r="P1175" s="2" t="s">
        <v>6389</v>
      </c>
      <c r="Q1175" s="7"/>
      <c r="R1175" s="1"/>
      <c r="S1175" s="1" t="str">
        <f>"22-22/NOS-74-1/20"</f>
        <v>22-22/NOS-74-1/20</v>
      </c>
      <c r="T1175" s="1" t="s">
        <v>32</v>
      </c>
    </row>
    <row r="1176" spans="1:20" ht="76.5" x14ac:dyDescent="0.25">
      <c r="A1176" s="6">
        <v>1173</v>
      </c>
      <c r="B1176" s="1" t="str">
        <f t="shared" si="106"/>
        <v>2020-2791</v>
      </c>
      <c r="C1176" s="1" t="s">
        <v>1299</v>
      </c>
      <c r="D1176" s="1" t="s">
        <v>87</v>
      </c>
      <c r="E1176" s="1" t="str">
        <f>""</f>
        <v/>
      </c>
      <c r="F1176" s="1" t="s">
        <v>28</v>
      </c>
      <c r="G1176" s="1" t="str">
        <f t="shared" si="107"/>
        <v>PAMAJO D.O.O., VRANIČKA 7/A, 10000 ZAGREB, OIB: 46401136513</v>
      </c>
      <c r="H1176" s="7"/>
      <c r="I1176" s="8" t="s">
        <v>258</v>
      </c>
      <c r="J1176" s="8" t="s">
        <v>393</v>
      </c>
      <c r="K1176" s="6" t="str">
        <f>"17.061,60"</f>
        <v>17.061,60</v>
      </c>
      <c r="L1176" s="6" t="str">
        <f>"4.265,40"</f>
        <v>4.265,40</v>
      </c>
      <c r="M1176" s="6" t="str">
        <f>"21.327,00"</f>
        <v>21.327,00</v>
      </c>
      <c r="N1176" s="8" t="s">
        <v>500</v>
      </c>
      <c r="O1176" s="7"/>
      <c r="P1176" s="2" t="s">
        <v>6390</v>
      </c>
      <c r="Q1176" s="7"/>
      <c r="R1176" s="1"/>
      <c r="S1176" s="1" t="str">
        <f>"23-22/NOS-74-1/20"</f>
        <v>23-22/NOS-74-1/20</v>
      </c>
      <c r="T1176" s="1" t="s">
        <v>32</v>
      </c>
    </row>
    <row r="1177" spans="1:20" ht="76.5" x14ac:dyDescent="0.25">
      <c r="A1177" s="6">
        <v>1174</v>
      </c>
      <c r="B1177" s="1" t="str">
        <f t="shared" si="106"/>
        <v>2020-2791</v>
      </c>
      <c r="C1177" s="1" t="s">
        <v>1299</v>
      </c>
      <c r="D1177" s="1" t="s">
        <v>87</v>
      </c>
      <c r="E1177" s="1" t="str">
        <f>""</f>
        <v/>
      </c>
      <c r="F1177" s="1" t="s">
        <v>28</v>
      </c>
      <c r="G1177" s="1" t="str">
        <f t="shared" si="107"/>
        <v>PAMAJO D.O.O., VRANIČKA 7/A, 10000 ZAGREB, OIB: 46401136513</v>
      </c>
      <c r="H1177" s="7"/>
      <c r="I1177" s="8" t="s">
        <v>258</v>
      </c>
      <c r="J1177" s="8" t="s">
        <v>555</v>
      </c>
      <c r="K1177" s="6" t="str">
        <f>"3.681,30"</f>
        <v>3.681,30</v>
      </c>
      <c r="L1177" s="6" t="str">
        <f>"920,33"</f>
        <v>920,33</v>
      </c>
      <c r="M1177" s="6" t="str">
        <f>"4.601,63"</f>
        <v>4.601,63</v>
      </c>
      <c r="N1177" s="8" t="s">
        <v>804</v>
      </c>
      <c r="O1177" s="7"/>
      <c r="P1177" s="2" t="s">
        <v>6391</v>
      </c>
      <c r="Q1177" s="7"/>
      <c r="R1177" s="1"/>
      <c r="S1177" s="1" t="str">
        <f>"18-22/NOS-74-1/20"</f>
        <v>18-22/NOS-74-1/20</v>
      </c>
      <c r="T1177" s="1" t="s">
        <v>32</v>
      </c>
    </row>
    <row r="1178" spans="1:20" ht="76.5" x14ac:dyDescent="0.25">
      <c r="A1178" s="6">
        <v>1175</v>
      </c>
      <c r="B1178" s="1" t="str">
        <f t="shared" si="106"/>
        <v>2020-2791</v>
      </c>
      <c r="C1178" s="1" t="s">
        <v>1299</v>
      </c>
      <c r="D1178" s="1" t="s">
        <v>87</v>
      </c>
      <c r="E1178" s="1" t="str">
        <f>""</f>
        <v/>
      </c>
      <c r="F1178" s="1" t="s">
        <v>28</v>
      </c>
      <c r="G1178" s="1" t="str">
        <f t="shared" si="107"/>
        <v>PAMAJO D.O.O., VRANIČKA 7/A, 10000 ZAGREB, OIB: 46401136513</v>
      </c>
      <c r="H1178" s="7"/>
      <c r="I1178" s="8" t="s">
        <v>918</v>
      </c>
      <c r="J1178" s="8" t="s">
        <v>292</v>
      </c>
      <c r="K1178" s="6" t="str">
        <f>"10.500,00"</f>
        <v>10.500,00</v>
      </c>
      <c r="L1178" s="6" t="str">
        <f>"2.625,00"</f>
        <v>2.625,00</v>
      </c>
      <c r="M1178" s="6" t="str">
        <f>"13.125,00"</f>
        <v>13.125,00</v>
      </c>
      <c r="N1178" s="8" t="s">
        <v>242</v>
      </c>
      <c r="O1178" s="7"/>
      <c r="P1178" s="2" t="s">
        <v>6392</v>
      </c>
      <c r="Q1178" s="7"/>
      <c r="R1178" s="1"/>
      <c r="S1178" s="1" t="str">
        <f>"25-22/NOS-74-1/20"</f>
        <v>25-22/NOS-74-1/20</v>
      </c>
      <c r="T1178" s="1" t="s">
        <v>32</v>
      </c>
    </row>
    <row r="1179" spans="1:20" ht="76.5" x14ac:dyDescent="0.25">
      <c r="A1179" s="6">
        <v>1176</v>
      </c>
      <c r="B1179" s="1" t="str">
        <f t="shared" si="106"/>
        <v>2020-2791</v>
      </c>
      <c r="C1179" s="1" t="s">
        <v>1299</v>
      </c>
      <c r="D1179" s="1" t="s">
        <v>87</v>
      </c>
      <c r="E1179" s="1" t="str">
        <f>""</f>
        <v/>
      </c>
      <c r="F1179" s="1" t="s">
        <v>28</v>
      </c>
      <c r="G1179" s="1" t="str">
        <f t="shared" si="107"/>
        <v>PAMAJO D.O.O., VRANIČKA 7/A, 10000 ZAGREB, OIB: 46401136513</v>
      </c>
      <c r="H1179" s="7"/>
      <c r="I1179" s="8" t="s">
        <v>42</v>
      </c>
      <c r="J1179" s="8" t="s">
        <v>292</v>
      </c>
      <c r="K1179" s="6" t="str">
        <f>"14.789,78"</f>
        <v>14.789,78</v>
      </c>
      <c r="L1179" s="6" t="str">
        <f>"3.697,45"</f>
        <v>3.697,45</v>
      </c>
      <c r="M1179" s="6" t="str">
        <f>"18.487,23"</f>
        <v>18.487,23</v>
      </c>
      <c r="N1179" s="8" t="s">
        <v>259</v>
      </c>
      <c r="O1179" s="7"/>
      <c r="P1179" s="2" t="s">
        <v>6393</v>
      </c>
      <c r="Q1179" s="7"/>
      <c r="R1179" s="1"/>
      <c r="S1179" s="1" t="str">
        <f>"1-22/NOS-74-1/20"</f>
        <v>1-22/NOS-74-1/20</v>
      </c>
      <c r="T1179" s="1" t="s">
        <v>32</v>
      </c>
    </row>
    <row r="1180" spans="1:20" ht="76.5" x14ac:dyDescent="0.25">
      <c r="A1180" s="6">
        <v>1177</v>
      </c>
      <c r="B1180" s="1" t="str">
        <f t="shared" si="106"/>
        <v>2020-2791</v>
      </c>
      <c r="C1180" s="1" t="s">
        <v>1299</v>
      </c>
      <c r="D1180" s="1" t="s">
        <v>87</v>
      </c>
      <c r="E1180" s="1" t="str">
        <f>""</f>
        <v/>
      </c>
      <c r="F1180" s="1" t="s">
        <v>28</v>
      </c>
      <c r="G1180" s="1" t="str">
        <f t="shared" si="107"/>
        <v>PAMAJO D.O.O., VRANIČKA 7/A, 10000 ZAGREB, OIB: 46401136513</v>
      </c>
      <c r="H1180" s="7"/>
      <c r="I1180" s="8" t="s">
        <v>259</v>
      </c>
      <c r="J1180" s="8" t="s">
        <v>555</v>
      </c>
      <c r="K1180" s="6" t="str">
        <f>"740,00"</f>
        <v>740,00</v>
      </c>
      <c r="L1180" s="6" t="str">
        <f>"185,00"</f>
        <v>185,00</v>
      </c>
      <c r="M1180" s="6" t="str">
        <f>"925,00"</f>
        <v>925,00</v>
      </c>
      <c r="N1180" s="8" t="s">
        <v>400</v>
      </c>
      <c r="O1180" s="7"/>
      <c r="P1180" s="2" t="s">
        <v>6394</v>
      </c>
      <c r="Q1180" s="7"/>
      <c r="R1180" s="1"/>
      <c r="S1180" s="1" t="str">
        <f>"6-22/NOS-74-1/20"</f>
        <v>6-22/NOS-74-1/20</v>
      </c>
      <c r="T1180" s="1" t="s">
        <v>32</v>
      </c>
    </row>
    <row r="1181" spans="1:20" ht="76.5" x14ac:dyDescent="0.25">
      <c r="A1181" s="6">
        <v>1178</v>
      </c>
      <c r="B1181" s="1" t="str">
        <f t="shared" si="106"/>
        <v>2020-2791</v>
      </c>
      <c r="C1181" s="1" t="s">
        <v>1299</v>
      </c>
      <c r="D1181" s="1" t="s">
        <v>87</v>
      </c>
      <c r="E1181" s="1" t="str">
        <f>""</f>
        <v/>
      </c>
      <c r="F1181" s="1" t="s">
        <v>28</v>
      </c>
      <c r="G1181" s="1" t="str">
        <f t="shared" si="107"/>
        <v>PAMAJO D.O.O., VRANIČKA 7/A, 10000 ZAGREB, OIB: 46401136513</v>
      </c>
      <c r="H1181" s="7"/>
      <c r="I1181" s="8" t="s">
        <v>422</v>
      </c>
      <c r="J1181" s="8" t="s">
        <v>555</v>
      </c>
      <c r="K1181" s="6" t="str">
        <f>"24.323,00"</f>
        <v>24.323,00</v>
      </c>
      <c r="L1181" s="6" t="str">
        <f>"6.080,75"</f>
        <v>6.080,75</v>
      </c>
      <c r="M1181" s="6" t="str">
        <f>"30.403,75"</f>
        <v>30.403,75</v>
      </c>
      <c r="N1181" s="8" t="s">
        <v>273</v>
      </c>
      <c r="O1181" s="7"/>
      <c r="P1181" s="2" t="s">
        <v>6395</v>
      </c>
      <c r="Q1181" s="7"/>
      <c r="R1181" s="1"/>
      <c r="S1181" s="1" t="str">
        <f>"20-22/NOS-74-1/20"</f>
        <v>20-22/NOS-74-1/20</v>
      </c>
      <c r="T1181" s="1" t="s">
        <v>32</v>
      </c>
    </row>
    <row r="1182" spans="1:20" ht="76.5" x14ac:dyDescent="0.25">
      <c r="A1182" s="6">
        <v>1179</v>
      </c>
      <c r="B1182" s="1" t="str">
        <f t="shared" si="106"/>
        <v>2020-2791</v>
      </c>
      <c r="C1182" s="1" t="s">
        <v>1299</v>
      </c>
      <c r="D1182" s="1" t="s">
        <v>87</v>
      </c>
      <c r="E1182" s="1" t="str">
        <f>""</f>
        <v/>
      </c>
      <c r="F1182" s="1" t="s">
        <v>28</v>
      </c>
      <c r="G1182" s="1" t="str">
        <f t="shared" si="107"/>
        <v>PAMAJO D.O.O., VRANIČKA 7/A, 10000 ZAGREB, OIB: 46401136513</v>
      </c>
      <c r="H1182" s="7"/>
      <c r="I1182" s="8" t="s">
        <v>422</v>
      </c>
      <c r="J1182" s="8" t="s">
        <v>555</v>
      </c>
      <c r="K1182" s="6" t="str">
        <f>"2.551,28"</f>
        <v>2.551,28</v>
      </c>
      <c r="L1182" s="6" t="str">
        <f>"637,82"</f>
        <v>637,82</v>
      </c>
      <c r="M1182" s="6" t="str">
        <f>"3.189,10"</f>
        <v>3.189,10</v>
      </c>
      <c r="N1182" s="8" t="s">
        <v>499</v>
      </c>
      <c r="O1182" s="7"/>
      <c r="P1182" s="2" t="s">
        <v>6396</v>
      </c>
      <c r="Q1182" s="7"/>
      <c r="R1182" s="1"/>
      <c r="S1182" s="1" t="str">
        <f>"27-22/NOS-74-1/20"</f>
        <v>27-22/NOS-74-1/20</v>
      </c>
      <c r="T1182" s="1" t="s">
        <v>32</v>
      </c>
    </row>
    <row r="1183" spans="1:20" ht="76.5" x14ac:dyDescent="0.25">
      <c r="A1183" s="6">
        <v>1180</v>
      </c>
      <c r="B1183" s="1" t="str">
        <f t="shared" si="106"/>
        <v>2020-2791</v>
      </c>
      <c r="C1183" s="1" t="s">
        <v>1299</v>
      </c>
      <c r="D1183" s="1" t="s">
        <v>87</v>
      </c>
      <c r="E1183" s="1" t="str">
        <f>""</f>
        <v/>
      </c>
      <c r="F1183" s="1" t="s">
        <v>28</v>
      </c>
      <c r="G1183" s="1" t="str">
        <f t="shared" si="107"/>
        <v>PAMAJO D.O.O., VRANIČKA 7/A, 10000 ZAGREB, OIB: 46401136513</v>
      </c>
      <c r="H1183" s="7"/>
      <c r="I1183" s="8" t="s">
        <v>422</v>
      </c>
      <c r="J1183" s="8" t="s">
        <v>231</v>
      </c>
      <c r="K1183" s="6" t="str">
        <f>"1.368,00"</f>
        <v>1.368,00</v>
      </c>
      <c r="L1183" s="6" t="str">
        <f>"342,00"</f>
        <v>342,00</v>
      </c>
      <c r="M1183" s="6" t="str">
        <f>"1.710,00"</f>
        <v>1.710,00</v>
      </c>
      <c r="N1183" s="8" t="s">
        <v>160</v>
      </c>
      <c r="O1183" s="7"/>
      <c r="P1183" s="2" t="s">
        <v>6010</v>
      </c>
      <c r="Q1183" s="7"/>
      <c r="R1183" s="1"/>
      <c r="S1183" s="1" t="str">
        <f>"24-22/NOS-74-1/20"</f>
        <v>24-22/NOS-74-1/20</v>
      </c>
      <c r="T1183" s="1" t="s">
        <v>32</v>
      </c>
    </row>
    <row r="1184" spans="1:20" ht="76.5" x14ac:dyDescent="0.25">
      <c r="A1184" s="6">
        <v>1181</v>
      </c>
      <c r="B1184" s="1" t="str">
        <f t="shared" si="106"/>
        <v>2020-2791</v>
      </c>
      <c r="C1184" s="1" t="s">
        <v>1299</v>
      </c>
      <c r="D1184" s="1" t="s">
        <v>87</v>
      </c>
      <c r="E1184" s="1" t="str">
        <f>""</f>
        <v/>
      </c>
      <c r="F1184" s="1" t="s">
        <v>28</v>
      </c>
      <c r="G1184" s="1" t="str">
        <f t="shared" si="107"/>
        <v>PAMAJO D.O.O., VRANIČKA 7/A, 10000 ZAGREB, OIB: 46401136513</v>
      </c>
      <c r="H1184" s="7"/>
      <c r="I1184" s="8" t="s">
        <v>345</v>
      </c>
      <c r="J1184" s="8" t="s">
        <v>231</v>
      </c>
      <c r="K1184" s="6" t="str">
        <f>"8.260,00"</f>
        <v>8.260,00</v>
      </c>
      <c r="L1184" s="6" t="str">
        <f>"2.065,00"</f>
        <v>2.065,00</v>
      </c>
      <c r="M1184" s="6" t="str">
        <f>"10.325,00"</f>
        <v>10.325,00</v>
      </c>
      <c r="N1184" s="8" t="s">
        <v>94</v>
      </c>
      <c r="O1184" s="7"/>
      <c r="P1184" s="2" t="s">
        <v>6397</v>
      </c>
      <c r="Q1184" s="7"/>
      <c r="R1184" s="1"/>
      <c r="S1184" s="1" t="str">
        <f>"26-22/NOS-74-1/20"</f>
        <v>26-22/NOS-74-1/20</v>
      </c>
      <c r="T1184" s="1" t="s">
        <v>32</v>
      </c>
    </row>
    <row r="1185" spans="1:20" ht="76.5" x14ac:dyDescent="0.25">
      <c r="A1185" s="6">
        <v>1182</v>
      </c>
      <c r="B1185" s="1" t="str">
        <f t="shared" si="106"/>
        <v>2020-2791</v>
      </c>
      <c r="C1185" s="1" t="s">
        <v>1299</v>
      </c>
      <c r="D1185" s="1" t="s">
        <v>87</v>
      </c>
      <c r="E1185" s="1" t="str">
        <f>""</f>
        <v/>
      </c>
      <c r="F1185" s="1" t="s">
        <v>28</v>
      </c>
      <c r="G1185" s="1" t="str">
        <f t="shared" si="107"/>
        <v>PAMAJO D.O.O., VRANIČKA 7/A, 10000 ZAGREB, OIB: 46401136513</v>
      </c>
      <c r="H1185" s="7"/>
      <c r="I1185" s="8" t="s">
        <v>345</v>
      </c>
      <c r="J1185" s="8" t="s">
        <v>555</v>
      </c>
      <c r="K1185" s="6" t="str">
        <f>"1.200,00"</f>
        <v>1.200,00</v>
      </c>
      <c r="L1185" s="6" t="str">
        <f>"300,00"</f>
        <v>300,00</v>
      </c>
      <c r="M1185" s="6" t="str">
        <f>"1.500,00"</f>
        <v>1.500,00</v>
      </c>
      <c r="N1185" s="8" t="s">
        <v>856</v>
      </c>
      <c r="O1185" s="7"/>
      <c r="P1185" s="2" t="s">
        <v>6384</v>
      </c>
      <c r="Q1185" s="7"/>
      <c r="R1185" s="1"/>
      <c r="S1185" s="1" t="str">
        <f>"29-22/NOS-74-1/20"</f>
        <v>29-22/NOS-74-1/20</v>
      </c>
      <c r="T1185" s="1" t="s">
        <v>32</v>
      </c>
    </row>
    <row r="1186" spans="1:20" ht="76.5" x14ac:dyDescent="0.25">
      <c r="A1186" s="6">
        <v>1183</v>
      </c>
      <c r="B1186" s="1" t="str">
        <f t="shared" si="106"/>
        <v>2020-2791</v>
      </c>
      <c r="C1186" s="1" t="s">
        <v>1299</v>
      </c>
      <c r="D1186" s="1" t="s">
        <v>87</v>
      </c>
      <c r="E1186" s="1" t="str">
        <f>""</f>
        <v/>
      </c>
      <c r="F1186" s="1" t="s">
        <v>28</v>
      </c>
      <c r="G1186" s="1" t="str">
        <f t="shared" si="107"/>
        <v>PAMAJO D.O.O., VRANIČKA 7/A, 10000 ZAGREB, OIB: 46401136513</v>
      </c>
      <c r="H1186" s="7"/>
      <c r="I1186" s="8" t="s">
        <v>400</v>
      </c>
      <c r="J1186" s="8" t="s">
        <v>555</v>
      </c>
      <c r="K1186" s="6" t="str">
        <f>"16.674,54"</f>
        <v>16.674,54</v>
      </c>
      <c r="L1186" s="6" t="str">
        <f>"4.168,64"</f>
        <v>4.168,64</v>
      </c>
      <c r="M1186" s="6" t="str">
        <f>"20.843,18"</f>
        <v>20.843,18</v>
      </c>
      <c r="N1186" s="8" t="s">
        <v>124</v>
      </c>
      <c r="O1186" s="7"/>
      <c r="P1186" s="2" t="s">
        <v>6398</v>
      </c>
      <c r="Q1186" s="7"/>
      <c r="R1186" s="1"/>
      <c r="S1186" s="1" t="str">
        <f>"30-22/NOS-74-1/20"</f>
        <v>30-22/NOS-74-1/20</v>
      </c>
      <c r="T1186" s="1" t="s">
        <v>32</v>
      </c>
    </row>
    <row r="1187" spans="1:20" ht="76.5" x14ac:dyDescent="0.25">
      <c r="A1187" s="6">
        <v>1184</v>
      </c>
      <c r="B1187" s="1" t="str">
        <f t="shared" si="106"/>
        <v>2020-2791</v>
      </c>
      <c r="C1187" s="1" t="s">
        <v>1299</v>
      </c>
      <c r="D1187" s="1" t="s">
        <v>87</v>
      </c>
      <c r="E1187" s="1" t="str">
        <f>""</f>
        <v/>
      </c>
      <c r="F1187" s="1" t="s">
        <v>28</v>
      </c>
      <c r="G1187" s="1" t="str">
        <f t="shared" si="107"/>
        <v>PAMAJO D.O.O., VRANIČKA 7/A, 10000 ZAGREB, OIB: 46401136513</v>
      </c>
      <c r="H1187" s="7"/>
      <c r="I1187" s="8" t="s">
        <v>94</v>
      </c>
      <c r="J1187" s="8" t="s">
        <v>555</v>
      </c>
      <c r="K1187" s="6" t="str">
        <f>"2.500,00"</f>
        <v>2.500,00</v>
      </c>
      <c r="L1187" s="6" t="str">
        <f>"625,00"</f>
        <v>625,00</v>
      </c>
      <c r="M1187" s="6" t="str">
        <f>"3.125,00"</f>
        <v>3.125,00</v>
      </c>
      <c r="N1187" s="8" t="s">
        <v>403</v>
      </c>
      <c r="O1187" s="7"/>
      <c r="P1187" s="2" t="s">
        <v>6399</v>
      </c>
      <c r="Q1187" s="7"/>
      <c r="R1187" s="1"/>
      <c r="S1187" s="1" t="str">
        <f>"31-22/NOS-74-1/20"</f>
        <v>31-22/NOS-74-1/20</v>
      </c>
      <c r="T1187" s="1" t="s">
        <v>32</v>
      </c>
    </row>
    <row r="1188" spans="1:20" ht="76.5" x14ac:dyDescent="0.25">
      <c r="A1188" s="6">
        <v>1185</v>
      </c>
      <c r="B1188" s="1" t="str">
        <f t="shared" si="106"/>
        <v>2020-2791</v>
      </c>
      <c r="C1188" s="1" t="s">
        <v>1299</v>
      </c>
      <c r="D1188" s="1" t="s">
        <v>87</v>
      </c>
      <c r="E1188" s="1" t="str">
        <f>""</f>
        <v/>
      </c>
      <c r="F1188" s="1" t="s">
        <v>28</v>
      </c>
      <c r="G1188" s="1" t="str">
        <f t="shared" si="107"/>
        <v>PAMAJO D.O.O., VRANIČKA 7/A, 10000 ZAGREB, OIB: 46401136513</v>
      </c>
      <c r="H1188" s="7"/>
      <c r="I1188" s="8" t="s">
        <v>921</v>
      </c>
      <c r="J1188" s="8" t="s">
        <v>231</v>
      </c>
      <c r="K1188" s="6" t="str">
        <f>"1.200,00"</f>
        <v>1.200,00</v>
      </c>
      <c r="L1188" s="6" t="str">
        <f>"300,00"</f>
        <v>300,00</v>
      </c>
      <c r="M1188" s="6" t="str">
        <f>"1.500,00"</f>
        <v>1.500,00</v>
      </c>
      <c r="N1188" s="8" t="s">
        <v>247</v>
      </c>
      <c r="O1188" s="7"/>
      <c r="P1188" s="2" t="s">
        <v>6384</v>
      </c>
      <c r="Q1188" s="7"/>
      <c r="R1188" s="1"/>
      <c r="S1188" s="1" t="str">
        <f>"32-22/NOS-74-1/20"</f>
        <v>32-22/NOS-74-1/20</v>
      </c>
      <c r="T1188" s="1" t="s">
        <v>32</v>
      </c>
    </row>
    <row r="1189" spans="1:20" ht="76.5" x14ac:dyDescent="0.25">
      <c r="A1189" s="6">
        <v>1186</v>
      </c>
      <c r="B1189" s="1" t="str">
        <f t="shared" si="106"/>
        <v>2020-2791</v>
      </c>
      <c r="C1189" s="1" t="s">
        <v>1299</v>
      </c>
      <c r="D1189" s="1" t="s">
        <v>87</v>
      </c>
      <c r="E1189" s="1" t="str">
        <f>""</f>
        <v/>
      </c>
      <c r="F1189" s="1" t="s">
        <v>28</v>
      </c>
      <c r="G1189" s="1" t="str">
        <f t="shared" si="107"/>
        <v>PAMAJO D.O.O., VRANIČKA 7/A, 10000 ZAGREB, OIB: 46401136513</v>
      </c>
      <c r="H1189" s="7"/>
      <c r="I1189" s="8" t="s">
        <v>262</v>
      </c>
      <c r="J1189" s="8" t="s">
        <v>555</v>
      </c>
      <c r="K1189" s="6" t="str">
        <f>"1.200,00"</f>
        <v>1.200,00</v>
      </c>
      <c r="L1189" s="6" t="str">
        <f>"300,00"</f>
        <v>300,00</v>
      </c>
      <c r="M1189" s="6" t="str">
        <f>"1.500,00"</f>
        <v>1.500,00</v>
      </c>
      <c r="N1189" s="8" t="s">
        <v>354</v>
      </c>
      <c r="O1189" s="7"/>
      <c r="P1189" s="2" t="s">
        <v>6384</v>
      </c>
      <c r="Q1189" s="7"/>
      <c r="R1189" s="1"/>
      <c r="S1189" s="1" t="str">
        <f>"38-22/NOS-74-1/20"</f>
        <v>38-22/NOS-74-1/20</v>
      </c>
      <c r="T1189" s="1" t="s">
        <v>32</v>
      </c>
    </row>
    <row r="1190" spans="1:20" ht="76.5" x14ac:dyDescent="0.25">
      <c r="A1190" s="6">
        <v>1187</v>
      </c>
      <c r="B1190" s="1" t="str">
        <f t="shared" ref="B1190:B1221" si="108">"2020-2791"</f>
        <v>2020-2791</v>
      </c>
      <c r="C1190" s="1" t="s">
        <v>1299</v>
      </c>
      <c r="D1190" s="1" t="s">
        <v>87</v>
      </c>
      <c r="E1190" s="1" t="str">
        <f>""</f>
        <v/>
      </c>
      <c r="F1190" s="1" t="s">
        <v>28</v>
      </c>
      <c r="G1190" s="1" t="str">
        <f t="shared" ref="G1190:G1221" si="109">CONCATENATE("PAMAJO D.O.O.,"," VRANIČKA 7/A,"," 10000 ZAGREB,"," OIB: 46401136513")</f>
        <v>PAMAJO D.O.O., VRANIČKA 7/A, 10000 ZAGREB, OIB: 46401136513</v>
      </c>
      <c r="H1190" s="7"/>
      <c r="I1190" s="8" t="s">
        <v>262</v>
      </c>
      <c r="J1190" s="8" t="s">
        <v>555</v>
      </c>
      <c r="K1190" s="6" t="str">
        <f>"1.200,00"</f>
        <v>1.200,00</v>
      </c>
      <c r="L1190" s="6" t="str">
        <f>"0,00"</f>
        <v>0,00</v>
      </c>
      <c r="M1190" s="6" t="str">
        <f>"1.200,00"</f>
        <v>1.200,00</v>
      </c>
      <c r="N1190" s="8" t="s">
        <v>124</v>
      </c>
      <c r="O1190" s="7"/>
      <c r="P1190" s="2" t="s">
        <v>5614</v>
      </c>
      <c r="Q1190" s="7"/>
      <c r="R1190" s="1"/>
      <c r="S1190" s="1" t="str">
        <f>"33-22/NOS-74-1/20"</f>
        <v>33-22/NOS-74-1/20</v>
      </c>
      <c r="T1190" s="1" t="s">
        <v>32</v>
      </c>
    </row>
    <row r="1191" spans="1:20" ht="76.5" x14ac:dyDescent="0.25">
      <c r="A1191" s="6">
        <v>1188</v>
      </c>
      <c r="B1191" s="1" t="str">
        <f t="shared" si="108"/>
        <v>2020-2791</v>
      </c>
      <c r="C1191" s="1" t="s">
        <v>1299</v>
      </c>
      <c r="D1191" s="1" t="s">
        <v>87</v>
      </c>
      <c r="E1191" s="1" t="str">
        <f>""</f>
        <v/>
      </c>
      <c r="F1191" s="1" t="s">
        <v>28</v>
      </c>
      <c r="G1191" s="1" t="str">
        <f t="shared" si="109"/>
        <v>PAMAJO D.O.O., VRANIČKA 7/A, 10000 ZAGREB, OIB: 46401136513</v>
      </c>
      <c r="H1191" s="7"/>
      <c r="I1191" s="8" t="s">
        <v>262</v>
      </c>
      <c r="J1191" s="8" t="s">
        <v>555</v>
      </c>
      <c r="K1191" s="6" t="str">
        <f>"3.921,53"</f>
        <v>3.921,53</v>
      </c>
      <c r="L1191" s="6" t="str">
        <f>"0,00"</f>
        <v>0,00</v>
      </c>
      <c r="M1191" s="6" t="str">
        <f>"3.921,53"</f>
        <v>3.921,53</v>
      </c>
      <c r="N1191" s="8" t="s">
        <v>124</v>
      </c>
      <c r="O1191" s="7"/>
      <c r="P1191" s="2" t="s">
        <v>5614</v>
      </c>
      <c r="Q1191" s="7"/>
      <c r="R1191" s="1"/>
      <c r="S1191" s="1" t="str">
        <f>"37-22/NOS-74-1/20"</f>
        <v>37-22/NOS-74-1/20</v>
      </c>
      <c r="T1191" s="1" t="s">
        <v>32</v>
      </c>
    </row>
    <row r="1192" spans="1:20" ht="76.5" x14ac:dyDescent="0.25">
      <c r="A1192" s="6">
        <v>1189</v>
      </c>
      <c r="B1192" s="1" t="str">
        <f t="shared" si="108"/>
        <v>2020-2791</v>
      </c>
      <c r="C1192" s="1" t="s">
        <v>1299</v>
      </c>
      <c r="D1192" s="1" t="s">
        <v>87</v>
      </c>
      <c r="E1192" s="1" t="str">
        <f>""</f>
        <v/>
      </c>
      <c r="F1192" s="1" t="s">
        <v>28</v>
      </c>
      <c r="G1192" s="1" t="str">
        <f t="shared" si="109"/>
        <v>PAMAJO D.O.O., VRANIČKA 7/A, 10000 ZAGREB, OIB: 46401136513</v>
      </c>
      <c r="H1192" s="7"/>
      <c r="I1192" s="8" t="s">
        <v>293</v>
      </c>
      <c r="J1192" s="8" t="s">
        <v>555</v>
      </c>
      <c r="K1192" s="6" t="str">
        <f>"1.200,00"</f>
        <v>1.200,00</v>
      </c>
      <c r="L1192" s="6" t="str">
        <f>"300,00"</f>
        <v>300,00</v>
      </c>
      <c r="M1192" s="6" t="str">
        <f>"1.500,00"</f>
        <v>1.500,00</v>
      </c>
      <c r="N1192" s="8" t="s">
        <v>405</v>
      </c>
      <c r="O1192" s="7"/>
      <c r="P1192" s="2" t="s">
        <v>6384</v>
      </c>
      <c r="Q1192" s="7"/>
      <c r="R1192" s="1"/>
      <c r="S1192" s="1" t="str">
        <f>"41-22/NOS-74-1/20"</f>
        <v>41-22/NOS-74-1/20</v>
      </c>
      <c r="T1192" s="1" t="s">
        <v>32</v>
      </c>
    </row>
    <row r="1193" spans="1:20" ht="76.5" x14ac:dyDescent="0.25">
      <c r="A1193" s="6">
        <v>1190</v>
      </c>
      <c r="B1193" s="1" t="str">
        <f t="shared" si="108"/>
        <v>2020-2791</v>
      </c>
      <c r="C1193" s="1" t="s">
        <v>1299</v>
      </c>
      <c r="D1193" s="1" t="s">
        <v>87</v>
      </c>
      <c r="E1193" s="1" t="str">
        <f>""</f>
        <v/>
      </c>
      <c r="F1193" s="1" t="s">
        <v>28</v>
      </c>
      <c r="G1193" s="1" t="str">
        <f t="shared" si="109"/>
        <v>PAMAJO D.O.O., VRANIČKA 7/A, 10000 ZAGREB, OIB: 46401136513</v>
      </c>
      <c r="H1193" s="7"/>
      <c r="I1193" s="8" t="s">
        <v>403</v>
      </c>
      <c r="J1193" s="8" t="s">
        <v>555</v>
      </c>
      <c r="K1193" s="6" t="str">
        <f>"7.085,00"</f>
        <v>7.085,00</v>
      </c>
      <c r="L1193" s="6" t="str">
        <f>"1.771,25"</f>
        <v>1.771,25</v>
      </c>
      <c r="M1193" s="6" t="str">
        <f>"8.856,25"</f>
        <v>8.856,25</v>
      </c>
      <c r="N1193" s="8" t="s">
        <v>607</v>
      </c>
      <c r="O1193" s="7"/>
      <c r="P1193" s="2" t="s">
        <v>6400</v>
      </c>
      <c r="Q1193" s="7"/>
      <c r="R1193" s="1"/>
      <c r="S1193" s="1" t="str">
        <f>"34-22/NOS-74-1/20"</f>
        <v>34-22/NOS-74-1/20</v>
      </c>
      <c r="T1193" s="1" t="s">
        <v>32</v>
      </c>
    </row>
    <row r="1194" spans="1:20" ht="76.5" x14ac:dyDescent="0.25">
      <c r="A1194" s="6">
        <v>1191</v>
      </c>
      <c r="B1194" s="1" t="str">
        <f t="shared" si="108"/>
        <v>2020-2791</v>
      </c>
      <c r="C1194" s="1" t="s">
        <v>1299</v>
      </c>
      <c r="D1194" s="1" t="s">
        <v>87</v>
      </c>
      <c r="E1194" s="1" t="str">
        <f>""</f>
        <v/>
      </c>
      <c r="F1194" s="1" t="s">
        <v>28</v>
      </c>
      <c r="G1194" s="1" t="str">
        <f t="shared" si="109"/>
        <v>PAMAJO D.O.O., VRANIČKA 7/A, 10000 ZAGREB, OIB: 46401136513</v>
      </c>
      <c r="H1194" s="7"/>
      <c r="I1194" s="8" t="s">
        <v>30</v>
      </c>
      <c r="J1194" s="8" t="s">
        <v>555</v>
      </c>
      <c r="K1194" s="6" t="str">
        <f>"3.466,50"</f>
        <v>3.466,50</v>
      </c>
      <c r="L1194" s="6" t="str">
        <f>"866,63"</f>
        <v>866,63</v>
      </c>
      <c r="M1194" s="6" t="str">
        <f>"4.333,13"</f>
        <v>4.333,13</v>
      </c>
      <c r="N1194" s="8" t="s">
        <v>252</v>
      </c>
      <c r="O1194" s="7"/>
      <c r="P1194" s="2" t="s">
        <v>6401</v>
      </c>
      <c r="Q1194" s="7"/>
      <c r="R1194" s="1"/>
      <c r="S1194" s="1" t="str">
        <f>"47-22/NOS-74-1/20"</f>
        <v>47-22/NOS-74-1/20</v>
      </c>
      <c r="T1194" s="1" t="s">
        <v>32</v>
      </c>
    </row>
    <row r="1195" spans="1:20" ht="76.5" x14ac:dyDescent="0.25">
      <c r="A1195" s="6">
        <v>1192</v>
      </c>
      <c r="B1195" s="1" t="str">
        <f t="shared" si="108"/>
        <v>2020-2791</v>
      </c>
      <c r="C1195" s="1" t="s">
        <v>1299</v>
      </c>
      <c r="D1195" s="1" t="s">
        <v>87</v>
      </c>
      <c r="E1195" s="1" t="str">
        <f>""</f>
        <v/>
      </c>
      <c r="F1195" s="1" t="s">
        <v>28</v>
      </c>
      <c r="G1195" s="1" t="str">
        <f t="shared" si="109"/>
        <v>PAMAJO D.O.O., VRANIČKA 7/A, 10000 ZAGREB, OIB: 46401136513</v>
      </c>
      <c r="H1195" s="7"/>
      <c r="I1195" s="8" t="s">
        <v>30</v>
      </c>
      <c r="J1195" s="8" t="s">
        <v>555</v>
      </c>
      <c r="K1195" s="6" t="str">
        <f>"1.695,00"</f>
        <v>1.695,00</v>
      </c>
      <c r="L1195" s="6" t="str">
        <f>"0,00"</f>
        <v>0,00</v>
      </c>
      <c r="M1195" s="6" t="str">
        <f>"1.695,00"</f>
        <v>1.695,00</v>
      </c>
      <c r="N1195" s="8" t="s">
        <v>124</v>
      </c>
      <c r="O1195" s="7"/>
      <c r="P1195" s="2" t="s">
        <v>5614</v>
      </c>
      <c r="Q1195" s="7"/>
      <c r="R1195" s="1"/>
      <c r="S1195" s="1" t="str">
        <f>"46-22/NOS-74-1/20"</f>
        <v>46-22/NOS-74-1/20</v>
      </c>
      <c r="T1195" s="1" t="s">
        <v>32</v>
      </c>
    </row>
    <row r="1196" spans="1:20" ht="76.5" x14ac:dyDescent="0.25">
      <c r="A1196" s="6">
        <v>1193</v>
      </c>
      <c r="B1196" s="1" t="str">
        <f t="shared" si="108"/>
        <v>2020-2791</v>
      </c>
      <c r="C1196" s="1" t="s">
        <v>1299</v>
      </c>
      <c r="D1196" s="1" t="s">
        <v>87</v>
      </c>
      <c r="E1196" s="1" t="str">
        <f>""</f>
        <v/>
      </c>
      <c r="F1196" s="1" t="s">
        <v>28</v>
      </c>
      <c r="G1196" s="1" t="str">
        <f t="shared" si="109"/>
        <v>PAMAJO D.O.O., VRANIČKA 7/A, 10000 ZAGREB, OIB: 46401136513</v>
      </c>
      <c r="H1196" s="7"/>
      <c r="I1196" s="8" t="s">
        <v>30</v>
      </c>
      <c r="J1196" s="8" t="s">
        <v>555</v>
      </c>
      <c r="K1196" s="6" t="str">
        <f>"8.930,00"</f>
        <v>8.930,00</v>
      </c>
      <c r="L1196" s="6" t="str">
        <f>"2.232,50"</f>
        <v>2.232,50</v>
      </c>
      <c r="M1196" s="6" t="str">
        <f>"11.162,50"</f>
        <v>11.162,50</v>
      </c>
      <c r="N1196" s="8" t="s">
        <v>224</v>
      </c>
      <c r="O1196" s="7"/>
      <c r="P1196" s="2" t="s">
        <v>6402</v>
      </c>
      <c r="Q1196" s="7"/>
      <c r="R1196" s="1"/>
      <c r="S1196" s="1" t="str">
        <f>"45-22/NOS-74-1/20"</f>
        <v>45-22/NOS-74-1/20</v>
      </c>
      <c r="T1196" s="1" t="s">
        <v>32</v>
      </c>
    </row>
    <row r="1197" spans="1:20" ht="76.5" x14ac:dyDescent="0.25">
      <c r="A1197" s="6">
        <v>1194</v>
      </c>
      <c r="B1197" s="1" t="str">
        <f t="shared" si="108"/>
        <v>2020-2791</v>
      </c>
      <c r="C1197" s="1" t="s">
        <v>1299</v>
      </c>
      <c r="D1197" s="1" t="s">
        <v>87</v>
      </c>
      <c r="E1197" s="1" t="str">
        <f>""</f>
        <v/>
      </c>
      <c r="F1197" s="1" t="s">
        <v>28</v>
      </c>
      <c r="G1197" s="1" t="str">
        <f t="shared" si="109"/>
        <v>PAMAJO D.O.O., VRANIČKA 7/A, 10000 ZAGREB, OIB: 46401136513</v>
      </c>
      <c r="H1197" s="7"/>
      <c r="I1197" s="8" t="s">
        <v>30</v>
      </c>
      <c r="J1197" s="8" t="s">
        <v>292</v>
      </c>
      <c r="K1197" s="6" t="str">
        <f>"2.198,02"</f>
        <v>2.198,02</v>
      </c>
      <c r="L1197" s="6" t="str">
        <f>"549,51"</f>
        <v>549,51</v>
      </c>
      <c r="M1197" s="6" t="str">
        <f>"2.747,53"</f>
        <v>2.747,53</v>
      </c>
      <c r="N1197" s="8" t="s">
        <v>372</v>
      </c>
      <c r="O1197" s="7"/>
      <c r="P1197" s="2" t="s">
        <v>6403</v>
      </c>
      <c r="Q1197" s="7"/>
      <c r="R1197" s="1"/>
      <c r="S1197" s="1" t="str">
        <f>"28-22/NOS-74-1/20"</f>
        <v>28-22/NOS-74-1/20</v>
      </c>
      <c r="T1197" s="1" t="s">
        <v>32</v>
      </c>
    </row>
    <row r="1198" spans="1:20" ht="76.5" x14ac:dyDescent="0.25">
      <c r="A1198" s="6">
        <v>1195</v>
      </c>
      <c r="B1198" s="1" t="str">
        <f t="shared" si="108"/>
        <v>2020-2791</v>
      </c>
      <c r="C1198" s="1" t="s">
        <v>1299</v>
      </c>
      <c r="D1198" s="1" t="s">
        <v>87</v>
      </c>
      <c r="E1198" s="1" t="str">
        <f>""</f>
        <v/>
      </c>
      <c r="F1198" s="1" t="s">
        <v>28</v>
      </c>
      <c r="G1198" s="1" t="str">
        <f t="shared" si="109"/>
        <v>PAMAJO D.O.O., VRANIČKA 7/A, 10000 ZAGREB, OIB: 46401136513</v>
      </c>
      <c r="H1198" s="7"/>
      <c r="I1198" s="8" t="s">
        <v>835</v>
      </c>
      <c r="J1198" s="8" t="s">
        <v>292</v>
      </c>
      <c r="K1198" s="6" t="str">
        <f>"2.545,00"</f>
        <v>2.545,00</v>
      </c>
      <c r="L1198" s="6" t="str">
        <f>"636,25"</f>
        <v>636,25</v>
      </c>
      <c r="M1198" s="6" t="str">
        <f>"3.181,25"</f>
        <v>3.181,25</v>
      </c>
      <c r="N1198" s="8" t="s">
        <v>521</v>
      </c>
      <c r="O1198" s="7"/>
      <c r="P1198" s="2" t="s">
        <v>6404</v>
      </c>
      <c r="Q1198" s="7"/>
      <c r="R1198" s="1"/>
      <c r="S1198" s="1" t="str">
        <f>"49-22/NOS-74-1/20"</f>
        <v>49-22/NOS-74-1/20</v>
      </c>
      <c r="T1198" s="1" t="s">
        <v>32</v>
      </c>
    </row>
    <row r="1199" spans="1:20" ht="76.5" x14ac:dyDescent="0.25">
      <c r="A1199" s="6">
        <v>1196</v>
      </c>
      <c r="B1199" s="1" t="str">
        <f t="shared" si="108"/>
        <v>2020-2791</v>
      </c>
      <c r="C1199" s="1" t="s">
        <v>1299</v>
      </c>
      <c r="D1199" s="1" t="s">
        <v>87</v>
      </c>
      <c r="E1199" s="1" t="str">
        <f>""</f>
        <v/>
      </c>
      <c r="F1199" s="1" t="s">
        <v>28</v>
      </c>
      <c r="G1199" s="1" t="str">
        <f t="shared" si="109"/>
        <v>PAMAJO D.O.O., VRANIČKA 7/A, 10000 ZAGREB, OIB: 46401136513</v>
      </c>
      <c r="H1199" s="7"/>
      <c r="I1199" s="8" t="s">
        <v>505</v>
      </c>
      <c r="J1199" s="8" t="s">
        <v>423</v>
      </c>
      <c r="K1199" s="6" t="str">
        <f>"2.000,00"</f>
        <v>2.000,00</v>
      </c>
      <c r="L1199" s="6" t="str">
        <f>"500,00"</f>
        <v>500,00</v>
      </c>
      <c r="M1199" s="6" t="str">
        <f>"2.500,00"</f>
        <v>2.500,00</v>
      </c>
      <c r="N1199" s="8" t="s">
        <v>372</v>
      </c>
      <c r="O1199" s="7"/>
      <c r="P1199" s="2" t="s">
        <v>6405</v>
      </c>
      <c r="Q1199" s="7"/>
      <c r="R1199" s="1"/>
      <c r="S1199" s="1" t="str">
        <f>"53-22/NOS-74-1/20"</f>
        <v>53-22/NOS-74-1/20</v>
      </c>
      <c r="T1199" s="1" t="s">
        <v>32</v>
      </c>
    </row>
    <row r="1200" spans="1:20" ht="76.5" x14ac:dyDescent="0.25">
      <c r="A1200" s="6">
        <v>1197</v>
      </c>
      <c r="B1200" s="1" t="str">
        <f t="shared" si="108"/>
        <v>2020-2791</v>
      </c>
      <c r="C1200" s="1" t="s">
        <v>1299</v>
      </c>
      <c r="D1200" s="1" t="s">
        <v>87</v>
      </c>
      <c r="E1200" s="1" t="str">
        <f>""</f>
        <v/>
      </c>
      <c r="F1200" s="1" t="s">
        <v>28</v>
      </c>
      <c r="G1200" s="1" t="str">
        <f t="shared" si="109"/>
        <v>PAMAJO D.O.O., VRANIČKA 7/A, 10000 ZAGREB, OIB: 46401136513</v>
      </c>
      <c r="H1200" s="7"/>
      <c r="I1200" s="8" t="s">
        <v>505</v>
      </c>
      <c r="J1200" s="8" t="s">
        <v>256</v>
      </c>
      <c r="K1200" s="6" t="str">
        <f>"9.058,50"</f>
        <v>9.058,50</v>
      </c>
      <c r="L1200" s="6" t="str">
        <f>"2.264,63"</f>
        <v>2.264,63</v>
      </c>
      <c r="M1200" s="6" t="str">
        <f>"11.323,13"</f>
        <v>11.323,13</v>
      </c>
      <c r="N1200" s="8" t="s">
        <v>562</v>
      </c>
      <c r="O1200" s="7"/>
      <c r="P1200" s="2" t="s">
        <v>6406</v>
      </c>
      <c r="Q1200" s="7"/>
      <c r="R1200" s="1"/>
      <c r="S1200" s="1" t="str">
        <f>"36-22/NOS-74-1/20"</f>
        <v>36-22/NOS-74-1/20</v>
      </c>
      <c r="T1200" s="1" t="s">
        <v>32</v>
      </c>
    </row>
    <row r="1201" spans="1:20" ht="76.5" x14ac:dyDescent="0.25">
      <c r="A1201" s="6">
        <v>1198</v>
      </c>
      <c r="B1201" s="1" t="str">
        <f t="shared" si="108"/>
        <v>2020-2791</v>
      </c>
      <c r="C1201" s="1" t="s">
        <v>1299</v>
      </c>
      <c r="D1201" s="1" t="s">
        <v>87</v>
      </c>
      <c r="E1201" s="1" t="str">
        <f>""</f>
        <v/>
      </c>
      <c r="F1201" s="1" t="s">
        <v>28</v>
      </c>
      <c r="G1201" s="1" t="str">
        <f t="shared" si="109"/>
        <v>PAMAJO D.O.O., VRANIČKA 7/A, 10000 ZAGREB, OIB: 46401136513</v>
      </c>
      <c r="H1201" s="7"/>
      <c r="I1201" s="8" t="s">
        <v>505</v>
      </c>
      <c r="J1201" s="8" t="s">
        <v>256</v>
      </c>
      <c r="K1201" s="6" t="str">
        <f>"7.596,30"</f>
        <v>7.596,30</v>
      </c>
      <c r="L1201" s="6" t="str">
        <f>"1.899,08"</f>
        <v>1.899,08</v>
      </c>
      <c r="M1201" s="6" t="str">
        <f>"9.495,38"</f>
        <v>9.495,38</v>
      </c>
      <c r="N1201" s="8" t="s">
        <v>562</v>
      </c>
      <c r="O1201" s="7"/>
      <c r="P1201" s="2" t="s">
        <v>6407</v>
      </c>
      <c r="Q1201" s="7"/>
      <c r="R1201" s="1"/>
      <c r="S1201" s="1" t="str">
        <f>"39-22/NOS-74-1/20"</f>
        <v>39-22/NOS-74-1/20</v>
      </c>
      <c r="T1201" s="1" t="s">
        <v>32</v>
      </c>
    </row>
    <row r="1202" spans="1:20" ht="76.5" x14ac:dyDescent="0.25">
      <c r="A1202" s="6">
        <v>1199</v>
      </c>
      <c r="B1202" s="1" t="str">
        <f t="shared" si="108"/>
        <v>2020-2791</v>
      </c>
      <c r="C1202" s="1" t="s">
        <v>1299</v>
      </c>
      <c r="D1202" s="1" t="s">
        <v>87</v>
      </c>
      <c r="E1202" s="1" t="str">
        <f>""</f>
        <v/>
      </c>
      <c r="F1202" s="1" t="s">
        <v>28</v>
      </c>
      <c r="G1202" s="1" t="str">
        <f t="shared" si="109"/>
        <v>PAMAJO D.O.O., VRANIČKA 7/A, 10000 ZAGREB, OIB: 46401136513</v>
      </c>
      <c r="H1202" s="7"/>
      <c r="I1202" s="8" t="s">
        <v>505</v>
      </c>
      <c r="J1202" s="8" t="s">
        <v>393</v>
      </c>
      <c r="K1202" s="6" t="str">
        <f>"1.790,00"</f>
        <v>1.790,00</v>
      </c>
      <c r="L1202" s="6" t="str">
        <f>"0,00"</f>
        <v>0,00</v>
      </c>
      <c r="M1202" s="6" t="str">
        <f>"1.790,00"</f>
        <v>1.790,00</v>
      </c>
      <c r="N1202" s="8" t="s">
        <v>124</v>
      </c>
      <c r="O1202" s="7"/>
      <c r="P1202" s="2" t="s">
        <v>5614</v>
      </c>
      <c r="Q1202" s="7"/>
      <c r="R1202" s="1"/>
      <c r="S1202" s="1" t="str">
        <f>"56-22/NOS-74-1/20"</f>
        <v>56-22/NOS-74-1/20</v>
      </c>
      <c r="T1202" s="1" t="s">
        <v>32</v>
      </c>
    </row>
    <row r="1203" spans="1:20" ht="76.5" x14ac:dyDescent="0.25">
      <c r="A1203" s="6">
        <v>1200</v>
      </c>
      <c r="B1203" s="1" t="str">
        <f t="shared" si="108"/>
        <v>2020-2791</v>
      </c>
      <c r="C1203" s="1" t="s">
        <v>1299</v>
      </c>
      <c r="D1203" s="1" t="s">
        <v>87</v>
      </c>
      <c r="E1203" s="1" t="str">
        <f>""</f>
        <v/>
      </c>
      <c r="F1203" s="1" t="s">
        <v>28</v>
      </c>
      <c r="G1203" s="1" t="str">
        <f t="shared" si="109"/>
        <v>PAMAJO D.O.O., VRANIČKA 7/A, 10000 ZAGREB, OIB: 46401136513</v>
      </c>
      <c r="H1203" s="7"/>
      <c r="I1203" s="8" t="s">
        <v>505</v>
      </c>
      <c r="J1203" s="8" t="s">
        <v>393</v>
      </c>
      <c r="K1203" s="6" t="str">
        <f>"1.200,00"</f>
        <v>1.200,00</v>
      </c>
      <c r="L1203" s="6" t="str">
        <f>"0,00"</f>
        <v>0,00</v>
      </c>
      <c r="M1203" s="6" t="str">
        <f>"1.200,00"</f>
        <v>1.200,00</v>
      </c>
      <c r="N1203" s="8" t="s">
        <v>124</v>
      </c>
      <c r="O1203" s="7"/>
      <c r="P1203" s="2" t="s">
        <v>5614</v>
      </c>
      <c r="Q1203" s="7"/>
      <c r="R1203" s="1"/>
      <c r="S1203" s="1" t="str">
        <f>"55-22/NOS-74-1/20"</f>
        <v>55-22/NOS-74-1/20</v>
      </c>
      <c r="T1203" s="1" t="s">
        <v>32</v>
      </c>
    </row>
    <row r="1204" spans="1:20" ht="76.5" x14ac:dyDescent="0.25">
      <c r="A1204" s="6">
        <v>1201</v>
      </c>
      <c r="B1204" s="1" t="str">
        <f t="shared" si="108"/>
        <v>2020-2791</v>
      </c>
      <c r="C1204" s="1" t="s">
        <v>1299</v>
      </c>
      <c r="D1204" s="1" t="s">
        <v>87</v>
      </c>
      <c r="E1204" s="1" t="str">
        <f>""</f>
        <v/>
      </c>
      <c r="F1204" s="1" t="s">
        <v>28</v>
      </c>
      <c r="G1204" s="1" t="str">
        <f t="shared" si="109"/>
        <v>PAMAJO D.O.O., VRANIČKA 7/A, 10000 ZAGREB, OIB: 46401136513</v>
      </c>
      <c r="H1204" s="7"/>
      <c r="I1204" s="8" t="s">
        <v>505</v>
      </c>
      <c r="J1204" s="8" t="s">
        <v>241</v>
      </c>
      <c r="K1204" s="6" t="str">
        <f>"1.660,00"</f>
        <v>1.660,00</v>
      </c>
      <c r="L1204" s="6" t="str">
        <f>"415,00"</f>
        <v>415,00</v>
      </c>
      <c r="M1204" s="6" t="str">
        <f>"2.075,00"</f>
        <v>2.075,00</v>
      </c>
      <c r="N1204" s="8" t="s">
        <v>160</v>
      </c>
      <c r="O1204" s="7"/>
      <c r="P1204" s="2" t="s">
        <v>6408</v>
      </c>
      <c r="Q1204" s="7"/>
      <c r="R1204" s="1"/>
      <c r="S1204" s="1" t="str">
        <f>"52-22/NOS-74-1/20"</f>
        <v>52-22/NOS-74-1/20</v>
      </c>
      <c r="T1204" s="1" t="s">
        <v>32</v>
      </c>
    </row>
    <row r="1205" spans="1:20" ht="76.5" x14ac:dyDescent="0.25">
      <c r="A1205" s="6">
        <v>1202</v>
      </c>
      <c r="B1205" s="1" t="str">
        <f t="shared" si="108"/>
        <v>2020-2791</v>
      </c>
      <c r="C1205" s="1" t="s">
        <v>1299</v>
      </c>
      <c r="D1205" s="1" t="s">
        <v>87</v>
      </c>
      <c r="E1205" s="1" t="str">
        <f>""</f>
        <v/>
      </c>
      <c r="F1205" s="1" t="s">
        <v>28</v>
      </c>
      <c r="G1205" s="1" t="str">
        <f t="shared" si="109"/>
        <v>PAMAJO D.O.O., VRANIČKA 7/A, 10000 ZAGREB, OIB: 46401136513</v>
      </c>
      <c r="H1205" s="7"/>
      <c r="I1205" s="8" t="s">
        <v>994</v>
      </c>
      <c r="J1205" s="8" t="s">
        <v>555</v>
      </c>
      <c r="K1205" s="6" t="str">
        <f>"800,00"</f>
        <v>800,00</v>
      </c>
      <c r="L1205" s="6" t="str">
        <f>"200,00"</f>
        <v>200,00</v>
      </c>
      <c r="M1205" s="6" t="str">
        <f>"1.000,00"</f>
        <v>1.000,00</v>
      </c>
      <c r="N1205" s="8" t="s">
        <v>160</v>
      </c>
      <c r="O1205" s="7"/>
      <c r="P1205" s="2" t="s">
        <v>6409</v>
      </c>
      <c r="Q1205" s="7"/>
      <c r="R1205" s="1"/>
      <c r="S1205" s="1" t="str">
        <f>"60-22/NOS-74-1/20"</f>
        <v>60-22/NOS-74-1/20</v>
      </c>
      <c r="T1205" s="1" t="s">
        <v>32</v>
      </c>
    </row>
    <row r="1206" spans="1:20" ht="76.5" x14ac:dyDescent="0.25">
      <c r="A1206" s="6">
        <v>1203</v>
      </c>
      <c r="B1206" s="1" t="str">
        <f t="shared" si="108"/>
        <v>2020-2791</v>
      </c>
      <c r="C1206" s="1" t="s">
        <v>1299</v>
      </c>
      <c r="D1206" s="1" t="s">
        <v>87</v>
      </c>
      <c r="E1206" s="1" t="str">
        <f>""</f>
        <v/>
      </c>
      <c r="F1206" s="1" t="s">
        <v>28</v>
      </c>
      <c r="G1206" s="1" t="str">
        <f t="shared" si="109"/>
        <v>PAMAJO D.O.O., VRANIČKA 7/A, 10000 ZAGREB, OIB: 46401136513</v>
      </c>
      <c r="H1206" s="7"/>
      <c r="I1206" s="8" t="s">
        <v>994</v>
      </c>
      <c r="J1206" s="8" t="s">
        <v>231</v>
      </c>
      <c r="K1206" s="6" t="str">
        <f>"4.904,00"</f>
        <v>4.904,00</v>
      </c>
      <c r="L1206" s="6" t="str">
        <f>"1.226,00"</f>
        <v>1.226,00</v>
      </c>
      <c r="M1206" s="6" t="str">
        <f>"6.130,00"</f>
        <v>6.130,00</v>
      </c>
      <c r="N1206" s="8" t="s">
        <v>535</v>
      </c>
      <c r="O1206" s="7"/>
      <c r="P1206" s="2" t="s">
        <v>6410</v>
      </c>
      <c r="Q1206" s="7"/>
      <c r="R1206" s="1"/>
      <c r="S1206" s="1" t="str">
        <f>"66-22/NOS-74-1/20"</f>
        <v>66-22/NOS-74-1/20</v>
      </c>
      <c r="T1206" s="1" t="s">
        <v>32</v>
      </c>
    </row>
    <row r="1207" spans="1:20" ht="76.5" x14ac:dyDescent="0.25">
      <c r="A1207" s="6">
        <v>1204</v>
      </c>
      <c r="B1207" s="1" t="str">
        <f t="shared" si="108"/>
        <v>2020-2791</v>
      </c>
      <c r="C1207" s="1" t="s">
        <v>1299</v>
      </c>
      <c r="D1207" s="1" t="s">
        <v>87</v>
      </c>
      <c r="E1207" s="1" t="str">
        <f>""</f>
        <v/>
      </c>
      <c r="F1207" s="1" t="s">
        <v>28</v>
      </c>
      <c r="G1207" s="1" t="str">
        <f t="shared" si="109"/>
        <v>PAMAJO D.O.O., VRANIČKA 7/A, 10000 ZAGREB, OIB: 46401136513</v>
      </c>
      <c r="H1207" s="7"/>
      <c r="I1207" s="8" t="s">
        <v>994</v>
      </c>
      <c r="J1207" s="8" t="s">
        <v>231</v>
      </c>
      <c r="K1207" s="6" t="str">
        <f>"1.200,00"</f>
        <v>1.200,00</v>
      </c>
      <c r="L1207" s="6" t="str">
        <f>"300,00"</f>
        <v>300,00</v>
      </c>
      <c r="M1207" s="6" t="str">
        <f>"1.500,00"</f>
        <v>1.500,00</v>
      </c>
      <c r="N1207" s="8" t="s">
        <v>535</v>
      </c>
      <c r="O1207" s="7"/>
      <c r="P1207" s="2" t="s">
        <v>6384</v>
      </c>
      <c r="Q1207" s="7"/>
      <c r="R1207" s="1"/>
      <c r="S1207" s="1" t="str">
        <f>"64-22/NOS-74-1/20"</f>
        <v>64-22/NOS-74-1/20</v>
      </c>
      <c r="T1207" s="1" t="s">
        <v>32</v>
      </c>
    </row>
    <row r="1208" spans="1:20" ht="76.5" x14ac:dyDescent="0.25">
      <c r="A1208" s="6">
        <v>1205</v>
      </c>
      <c r="B1208" s="1" t="str">
        <f t="shared" si="108"/>
        <v>2020-2791</v>
      </c>
      <c r="C1208" s="1" t="s">
        <v>1299</v>
      </c>
      <c r="D1208" s="1" t="s">
        <v>87</v>
      </c>
      <c r="E1208" s="1" t="str">
        <f>""</f>
        <v/>
      </c>
      <c r="F1208" s="1" t="s">
        <v>28</v>
      </c>
      <c r="G1208" s="1" t="str">
        <f t="shared" si="109"/>
        <v>PAMAJO D.O.O., VRANIČKA 7/A, 10000 ZAGREB, OIB: 46401136513</v>
      </c>
      <c r="H1208" s="7"/>
      <c r="I1208" s="8" t="s">
        <v>994</v>
      </c>
      <c r="J1208" s="8" t="s">
        <v>393</v>
      </c>
      <c r="K1208" s="6" t="str">
        <f>"15.787,25"</f>
        <v>15.787,25</v>
      </c>
      <c r="L1208" s="6" t="str">
        <f>"0,00"</f>
        <v>0,00</v>
      </c>
      <c r="M1208" s="6" t="str">
        <f>"15.787,25"</f>
        <v>15.787,25</v>
      </c>
      <c r="N1208" s="8" t="s">
        <v>124</v>
      </c>
      <c r="O1208" s="7"/>
      <c r="P1208" s="2" t="s">
        <v>5614</v>
      </c>
      <c r="Q1208" s="7"/>
      <c r="R1208" s="1"/>
      <c r="S1208" s="1" t="str">
        <f>"61-22/NOS-74-1/20"</f>
        <v>61-22/NOS-74-1/20</v>
      </c>
      <c r="T1208" s="1" t="s">
        <v>32</v>
      </c>
    </row>
    <row r="1209" spans="1:20" ht="76.5" x14ac:dyDescent="0.25">
      <c r="A1209" s="6">
        <v>1206</v>
      </c>
      <c r="B1209" s="1" t="str">
        <f t="shared" si="108"/>
        <v>2020-2791</v>
      </c>
      <c r="C1209" s="1" t="s">
        <v>1299</v>
      </c>
      <c r="D1209" s="1" t="s">
        <v>87</v>
      </c>
      <c r="E1209" s="1" t="str">
        <f>""</f>
        <v/>
      </c>
      <c r="F1209" s="1" t="s">
        <v>28</v>
      </c>
      <c r="G1209" s="1" t="str">
        <f t="shared" si="109"/>
        <v>PAMAJO D.O.O., VRANIČKA 7/A, 10000 ZAGREB, OIB: 46401136513</v>
      </c>
      <c r="H1209" s="7"/>
      <c r="I1209" s="8" t="s">
        <v>994</v>
      </c>
      <c r="J1209" s="8" t="s">
        <v>555</v>
      </c>
      <c r="K1209" s="6" t="str">
        <f>"7.125,30"</f>
        <v>7.125,30</v>
      </c>
      <c r="L1209" s="6" t="str">
        <f>"0,00"</f>
        <v>0,00</v>
      </c>
      <c r="M1209" s="6" t="str">
        <f>"7.125,30"</f>
        <v>7.125,30</v>
      </c>
      <c r="N1209" s="8" t="s">
        <v>124</v>
      </c>
      <c r="O1209" s="7"/>
      <c r="P1209" s="2" t="s">
        <v>5614</v>
      </c>
      <c r="Q1209" s="7"/>
      <c r="R1209" s="1"/>
      <c r="S1209" s="1" t="str">
        <f>"58-22/NOS-74-1/20"</f>
        <v>58-22/NOS-74-1/20</v>
      </c>
      <c r="T1209" s="1" t="s">
        <v>32</v>
      </c>
    </row>
    <row r="1210" spans="1:20" ht="76.5" x14ac:dyDescent="0.25">
      <c r="A1210" s="6">
        <v>1207</v>
      </c>
      <c r="B1210" s="1" t="str">
        <f t="shared" si="108"/>
        <v>2020-2791</v>
      </c>
      <c r="C1210" s="1" t="s">
        <v>1299</v>
      </c>
      <c r="D1210" s="1" t="s">
        <v>87</v>
      </c>
      <c r="E1210" s="1" t="str">
        <f>""</f>
        <v/>
      </c>
      <c r="F1210" s="1" t="s">
        <v>28</v>
      </c>
      <c r="G1210" s="1" t="str">
        <f t="shared" si="109"/>
        <v>PAMAJO D.O.O., VRANIČKA 7/A, 10000 ZAGREB, OIB: 46401136513</v>
      </c>
      <c r="H1210" s="7"/>
      <c r="I1210" s="8" t="s">
        <v>994</v>
      </c>
      <c r="J1210" s="8" t="s">
        <v>555</v>
      </c>
      <c r="K1210" s="6" t="str">
        <f>"2.900,00"</f>
        <v>2.900,00</v>
      </c>
      <c r="L1210" s="6" t="str">
        <f>"0,00"</f>
        <v>0,00</v>
      </c>
      <c r="M1210" s="6" t="str">
        <f>"2.900,00"</f>
        <v>2.900,00</v>
      </c>
      <c r="N1210" s="8" t="s">
        <v>124</v>
      </c>
      <c r="O1210" s="7"/>
      <c r="P1210" s="2" t="s">
        <v>5614</v>
      </c>
      <c r="Q1210" s="7"/>
      <c r="R1210" s="1"/>
      <c r="S1210" s="1" t="str">
        <f>"62-22/NOS-74-1/20"</f>
        <v>62-22/NOS-74-1/20</v>
      </c>
      <c r="T1210" s="1" t="s">
        <v>32</v>
      </c>
    </row>
    <row r="1211" spans="1:20" ht="76.5" x14ac:dyDescent="0.25">
      <c r="A1211" s="6">
        <v>1208</v>
      </c>
      <c r="B1211" s="1" t="str">
        <f t="shared" si="108"/>
        <v>2020-2791</v>
      </c>
      <c r="C1211" s="1" t="s">
        <v>1299</v>
      </c>
      <c r="D1211" s="1" t="s">
        <v>87</v>
      </c>
      <c r="E1211" s="1" t="str">
        <f>""</f>
        <v/>
      </c>
      <c r="F1211" s="1" t="s">
        <v>28</v>
      </c>
      <c r="G1211" s="1" t="str">
        <f t="shared" si="109"/>
        <v>PAMAJO D.O.O., VRANIČKA 7/A, 10000 ZAGREB, OIB: 46401136513</v>
      </c>
      <c r="H1211" s="7"/>
      <c r="I1211" s="8" t="s">
        <v>994</v>
      </c>
      <c r="J1211" s="8" t="s">
        <v>393</v>
      </c>
      <c r="K1211" s="6" t="str">
        <f>"9.496,70"</f>
        <v>9.496,70</v>
      </c>
      <c r="L1211" s="6" t="str">
        <f>"0,00"</f>
        <v>0,00</v>
      </c>
      <c r="M1211" s="6" t="str">
        <f>"9.496,70"</f>
        <v>9.496,70</v>
      </c>
      <c r="N1211" s="8" t="s">
        <v>124</v>
      </c>
      <c r="O1211" s="7"/>
      <c r="P1211" s="2" t="s">
        <v>5614</v>
      </c>
      <c r="Q1211" s="7"/>
      <c r="R1211" s="1"/>
      <c r="S1211" s="1" t="str">
        <f>"40-22/NOS-74-1/20"</f>
        <v>40-22/NOS-74-1/20</v>
      </c>
      <c r="T1211" s="1" t="s">
        <v>32</v>
      </c>
    </row>
    <row r="1212" spans="1:20" ht="76.5" x14ac:dyDescent="0.25">
      <c r="A1212" s="6">
        <v>1209</v>
      </c>
      <c r="B1212" s="1" t="str">
        <f t="shared" si="108"/>
        <v>2020-2791</v>
      </c>
      <c r="C1212" s="1" t="s">
        <v>1299</v>
      </c>
      <c r="D1212" s="1" t="s">
        <v>87</v>
      </c>
      <c r="E1212" s="1" t="str">
        <f>""</f>
        <v/>
      </c>
      <c r="F1212" s="1" t="s">
        <v>28</v>
      </c>
      <c r="G1212" s="1" t="str">
        <f t="shared" si="109"/>
        <v>PAMAJO D.O.O., VRANIČKA 7/A, 10000 ZAGREB, OIB: 46401136513</v>
      </c>
      <c r="H1212" s="7"/>
      <c r="I1212" s="8" t="s">
        <v>994</v>
      </c>
      <c r="J1212" s="8" t="s">
        <v>555</v>
      </c>
      <c r="K1212" s="6" t="str">
        <f>"2.950,00"</f>
        <v>2.950,00</v>
      </c>
      <c r="L1212" s="6" t="str">
        <f>"737,50"</f>
        <v>737,50</v>
      </c>
      <c r="M1212" s="6" t="str">
        <f>"3.687,50"</f>
        <v>3.687,50</v>
      </c>
      <c r="N1212" s="8" t="s">
        <v>160</v>
      </c>
      <c r="O1212" s="7"/>
      <c r="P1212" s="2" t="s">
        <v>6411</v>
      </c>
      <c r="Q1212" s="7"/>
      <c r="R1212" s="1"/>
      <c r="S1212" s="1" t="str">
        <f>"59-22/NOS-74-1/20"</f>
        <v>59-22/NOS-74-1/20</v>
      </c>
      <c r="T1212" s="1" t="s">
        <v>32</v>
      </c>
    </row>
    <row r="1213" spans="1:20" ht="76.5" x14ac:dyDescent="0.25">
      <c r="A1213" s="6">
        <v>1210</v>
      </c>
      <c r="B1213" s="1" t="str">
        <f t="shared" si="108"/>
        <v>2020-2791</v>
      </c>
      <c r="C1213" s="1" t="s">
        <v>1299</v>
      </c>
      <c r="D1213" s="1" t="s">
        <v>87</v>
      </c>
      <c r="E1213" s="1" t="str">
        <f>""</f>
        <v/>
      </c>
      <c r="F1213" s="1" t="s">
        <v>28</v>
      </c>
      <c r="G1213" s="1" t="str">
        <f t="shared" si="109"/>
        <v>PAMAJO D.O.O., VRANIČKA 7/A, 10000 ZAGREB, OIB: 46401136513</v>
      </c>
      <c r="H1213" s="7"/>
      <c r="I1213" s="8" t="s">
        <v>372</v>
      </c>
      <c r="J1213" s="7"/>
      <c r="K1213" s="6" t="str">
        <f>"800,00"</f>
        <v>800,00</v>
      </c>
      <c r="L1213" s="6" t="str">
        <f>"0,00"</f>
        <v>0,00</v>
      </c>
      <c r="M1213" s="6" t="str">
        <f>"800,00"</f>
        <v>800,00</v>
      </c>
      <c r="N1213" s="8" t="s">
        <v>124</v>
      </c>
      <c r="O1213" s="7"/>
      <c r="P1213" s="2" t="s">
        <v>5614</v>
      </c>
      <c r="Q1213" s="7"/>
      <c r="R1213" s="1"/>
      <c r="S1213" s="1" t="str">
        <f>"57-22/NOS-74-1/20"</f>
        <v>57-22/NOS-74-1/20</v>
      </c>
      <c r="T1213" s="1" t="s">
        <v>32</v>
      </c>
    </row>
    <row r="1214" spans="1:20" ht="76.5" x14ac:dyDescent="0.25">
      <c r="A1214" s="6">
        <v>1211</v>
      </c>
      <c r="B1214" s="1" t="str">
        <f t="shared" si="108"/>
        <v>2020-2791</v>
      </c>
      <c r="C1214" s="1" t="s">
        <v>1299</v>
      </c>
      <c r="D1214" s="1" t="s">
        <v>87</v>
      </c>
      <c r="E1214" s="1" t="str">
        <f>""</f>
        <v/>
      </c>
      <c r="F1214" s="1" t="s">
        <v>28</v>
      </c>
      <c r="G1214" s="1" t="str">
        <f t="shared" si="109"/>
        <v>PAMAJO D.O.O., VRANIČKA 7/A, 10000 ZAGREB, OIB: 46401136513</v>
      </c>
      <c r="H1214" s="7"/>
      <c r="I1214" s="8" t="s">
        <v>172</v>
      </c>
      <c r="J1214" s="8" t="s">
        <v>423</v>
      </c>
      <c r="K1214" s="6" t="str">
        <f>"17.072,00"</f>
        <v>17.072,00</v>
      </c>
      <c r="L1214" s="6" t="str">
        <f>"4.268,00"</f>
        <v>4.268,00</v>
      </c>
      <c r="M1214" s="6" t="str">
        <f>"21.340,00"</f>
        <v>21.340,00</v>
      </c>
      <c r="N1214" s="8" t="s">
        <v>535</v>
      </c>
      <c r="O1214" s="7"/>
      <c r="P1214" s="2" t="s">
        <v>6412</v>
      </c>
      <c r="Q1214" s="7"/>
      <c r="R1214" s="1"/>
      <c r="S1214" s="1" t="str">
        <f>"65-22/NOS-74-1/20"</f>
        <v>65-22/NOS-74-1/20</v>
      </c>
      <c r="T1214" s="1" t="s">
        <v>32</v>
      </c>
    </row>
    <row r="1215" spans="1:20" ht="76.5" x14ac:dyDescent="0.25">
      <c r="A1215" s="6">
        <v>1212</v>
      </c>
      <c r="B1215" s="1" t="str">
        <f t="shared" si="108"/>
        <v>2020-2791</v>
      </c>
      <c r="C1215" s="1" t="s">
        <v>1299</v>
      </c>
      <c r="D1215" s="1" t="s">
        <v>87</v>
      </c>
      <c r="E1215" s="1" t="str">
        <f>""</f>
        <v/>
      </c>
      <c r="F1215" s="1" t="s">
        <v>28</v>
      </c>
      <c r="G1215" s="1" t="str">
        <f t="shared" si="109"/>
        <v>PAMAJO D.O.O., VRANIČKA 7/A, 10000 ZAGREB, OIB: 46401136513</v>
      </c>
      <c r="H1215" s="7"/>
      <c r="I1215" s="8" t="s">
        <v>172</v>
      </c>
      <c r="J1215" s="8" t="s">
        <v>231</v>
      </c>
      <c r="K1215" s="6" t="str">
        <f>"2.417,40"</f>
        <v>2.417,40</v>
      </c>
      <c r="L1215" s="6" t="str">
        <f>"0,00"</f>
        <v>0,00</v>
      </c>
      <c r="M1215" s="6" t="str">
        <f>"2.417,40"</f>
        <v>2.417,40</v>
      </c>
      <c r="N1215" s="8" t="s">
        <v>124</v>
      </c>
      <c r="O1215" s="7"/>
      <c r="P1215" s="2" t="s">
        <v>5614</v>
      </c>
      <c r="Q1215" s="7"/>
      <c r="R1215" s="1"/>
      <c r="S1215" s="1" t="str">
        <f>"16-22/NOS-74-1/20"</f>
        <v>16-22/NOS-74-1/20</v>
      </c>
      <c r="T1215" s="1" t="s">
        <v>32</v>
      </c>
    </row>
    <row r="1216" spans="1:20" ht="76.5" x14ac:dyDescent="0.25">
      <c r="A1216" s="6">
        <v>1213</v>
      </c>
      <c r="B1216" s="1" t="str">
        <f t="shared" si="108"/>
        <v>2020-2791</v>
      </c>
      <c r="C1216" s="1" t="s">
        <v>1299</v>
      </c>
      <c r="D1216" s="1" t="s">
        <v>87</v>
      </c>
      <c r="E1216" s="1" t="str">
        <f>""</f>
        <v/>
      </c>
      <c r="F1216" s="1" t="s">
        <v>28</v>
      </c>
      <c r="G1216" s="1" t="str">
        <f t="shared" si="109"/>
        <v>PAMAJO D.O.O., VRANIČKA 7/A, 10000 ZAGREB, OIB: 46401136513</v>
      </c>
      <c r="H1216" s="7"/>
      <c r="I1216" s="8" t="s">
        <v>172</v>
      </c>
      <c r="J1216" s="8" t="s">
        <v>231</v>
      </c>
      <c r="K1216" s="6" t="str">
        <f>"2.417,00"</f>
        <v>2.417,00</v>
      </c>
      <c r="L1216" s="6" t="str">
        <f>"604,25"</f>
        <v>604,25</v>
      </c>
      <c r="M1216" s="6" t="str">
        <f>"3.021,25"</f>
        <v>3.021,25</v>
      </c>
      <c r="N1216" s="8" t="s">
        <v>565</v>
      </c>
      <c r="O1216" s="7"/>
      <c r="P1216" s="2" t="s">
        <v>6413</v>
      </c>
      <c r="Q1216" s="7"/>
      <c r="R1216" s="1"/>
      <c r="S1216" s="1" t="str">
        <f>"67-22/NOS-74-1/20"</f>
        <v>67-22/NOS-74-1/20</v>
      </c>
      <c r="T1216" s="1" t="s">
        <v>32</v>
      </c>
    </row>
    <row r="1217" spans="1:20" ht="76.5" x14ac:dyDescent="0.25">
      <c r="A1217" s="6">
        <v>1214</v>
      </c>
      <c r="B1217" s="1" t="str">
        <f t="shared" si="108"/>
        <v>2020-2791</v>
      </c>
      <c r="C1217" s="1" t="s">
        <v>1299</v>
      </c>
      <c r="D1217" s="1" t="s">
        <v>87</v>
      </c>
      <c r="E1217" s="1" t="str">
        <f>""</f>
        <v/>
      </c>
      <c r="F1217" s="1" t="s">
        <v>28</v>
      </c>
      <c r="G1217" s="1" t="str">
        <f t="shared" si="109"/>
        <v>PAMAJO D.O.O., VRANIČKA 7/A, 10000 ZAGREB, OIB: 46401136513</v>
      </c>
      <c r="H1217" s="7"/>
      <c r="I1217" s="8" t="s">
        <v>172</v>
      </c>
      <c r="J1217" s="8" t="s">
        <v>555</v>
      </c>
      <c r="K1217" s="6" t="str">
        <f>"1.600,00"</f>
        <v>1.600,00</v>
      </c>
      <c r="L1217" s="6" t="str">
        <f>"400,00"</f>
        <v>400,00</v>
      </c>
      <c r="M1217" s="6" t="str">
        <f>"2.000,00"</f>
        <v>2.000,00</v>
      </c>
      <c r="N1217" s="8" t="s">
        <v>723</v>
      </c>
      <c r="O1217" s="7"/>
      <c r="P1217" s="2" t="s">
        <v>6414</v>
      </c>
      <c r="Q1217" s="7"/>
      <c r="R1217" s="1"/>
      <c r="S1217" s="1" t="str">
        <f>"69-22/NOS-74-1/20"</f>
        <v>69-22/NOS-74-1/20</v>
      </c>
      <c r="T1217" s="1" t="s">
        <v>32</v>
      </c>
    </row>
    <row r="1218" spans="1:20" ht="76.5" x14ac:dyDescent="0.25">
      <c r="A1218" s="6">
        <v>1215</v>
      </c>
      <c r="B1218" s="1" t="str">
        <f t="shared" si="108"/>
        <v>2020-2791</v>
      </c>
      <c r="C1218" s="1" t="s">
        <v>1299</v>
      </c>
      <c r="D1218" s="1" t="s">
        <v>87</v>
      </c>
      <c r="E1218" s="1" t="str">
        <f>""</f>
        <v/>
      </c>
      <c r="F1218" s="1" t="s">
        <v>28</v>
      </c>
      <c r="G1218" s="1" t="str">
        <f t="shared" si="109"/>
        <v>PAMAJO D.O.O., VRANIČKA 7/A, 10000 ZAGREB, OIB: 46401136513</v>
      </c>
      <c r="H1218" s="7"/>
      <c r="I1218" s="8" t="s">
        <v>172</v>
      </c>
      <c r="J1218" s="8" t="s">
        <v>231</v>
      </c>
      <c r="K1218" s="6" t="str">
        <f>"10.389,70"</f>
        <v>10.389,70</v>
      </c>
      <c r="L1218" s="6" t="str">
        <f>"2.597,43"</f>
        <v>2.597,43</v>
      </c>
      <c r="M1218" s="6" t="str">
        <f>"12.987,13"</f>
        <v>12.987,13</v>
      </c>
      <c r="N1218" s="8" t="s">
        <v>562</v>
      </c>
      <c r="O1218" s="7"/>
      <c r="P1218" s="2" t="s">
        <v>6415</v>
      </c>
      <c r="Q1218" s="7"/>
      <c r="R1218" s="1"/>
      <c r="S1218" s="1" t="str">
        <f>"35-22/NOS-74-1/20"</f>
        <v>35-22/NOS-74-1/20</v>
      </c>
      <c r="T1218" s="1" t="s">
        <v>32</v>
      </c>
    </row>
    <row r="1219" spans="1:20" ht="76.5" x14ac:dyDescent="0.25">
      <c r="A1219" s="6">
        <v>1216</v>
      </c>
      <c r="B1219" s="1" t="str">
        <f t="shared" si="108"/>
        <v>2020-2791</v>
      </c>
      <c r="C1219" s="1" t="s">
        <v>1299</v>
      </c>
      <c r="D1219" s="1" t="s">
        <v>87</v>
      </c>
      <c r="E1219" s="1" t="str">
        <f>""</f>
        <v/>
      </c>
      <c r="F1219" s="1" t="s">
        <v>28</v>
      </c>
      <c r="G1219" s="1" t="str">
        <f t="shared" si="109"/>
        <v>PAMAJO D.O.O., VRANIČKA 7/A, 10000 ZAGREB, OIB: 46401136513</v>
      </c>
      <c r="H1219" s="7"/>
      <c r="I1219" s="8" t="s">
        <v>172</v>
      </c>
      <c r="J1219" s="8" t="s">
        <v>555</v>
      </c>
      <c r="K1219" s="6" t="str">
        <f>"800,00"</f>
        <v>800,00</v>
      </c>
      <c r="L1219" s="6" t="str">
        <f>"200,00"</f>
        <v>200,00</v>
      </c>
      <c r="M1219" s="6" t="str">
        <f>"1.000,00"</f>
        <v>1.000,00</v>
      </c>
      <c r="N1219" s="8" t="s">
        <v>723</v>
      </c>
      <c r="O1219" s="7"/>
      <c r="P1219" s="2" t="s">
        <v>6409</v>
      </c>
      <c r="Q1219" s="7"/>
      <c r="R1219" s="1"/>
      <c r="S1219" s="1" t="str">
        <f>"68-22/NOS-74-1/20"</f>
        <v>68-22/NOS-74-1/20</v>
      </c>
      <c r="T1219" s="1" t="s">
        <v>32</v>
      </c>
    </row>
    <row r="1220" spans="1:20" ht="76.5" x14ac:dyDescent="0.25">
      <c r="A1220" s="6">
        <v>1217</v>
      </c>
      <c r="B1220" s="1" t="str">
        <f t="shared" si="108"/>
        <v>2020-2791</v>
      </c>
      <c r="C1220" s="1" t="s">
        <v>1299</v>
      </c>
      <c r="D1220" s="1" t="s">
        <v>87</v>
      </c>
      <c r="E1220" s="1" t="str">
        <f>""</f>
        <v/>
      </c>
      <c r="F1220" s="1" t="s">
        <v>28</v>
      </c>
      <c r="G1220" s="1" t="str">
        <f t="shared" si="109"/>
        <v>PAMAJO D.O.O., VRANIČKA 7/A, 10000 ZAGREB, OIB: 46401136513</v>
      </c>
      <c r="H1220" s="7"/>
      <c r="I1220" s="8" t="s">
        <v>172</v>
      </c>
      <c r="J1220" s="8" t="s">
        <v>555</v>
      </c>
      <c r="K1220" s="6" t="str">
        <f>"3.920,00"</f>
        <v>3.920,00</v>
      </c>
      <c r="L1220" s="6" t="str">
        <f>"980,00"</f>
        <v>980,00</v>
      </c>
      <c r="M1220" s="6" t="str">
        <f>"4.900,00"</f>
        <v>4.900,00</v>
      </c>
      <c r="N1220" s="8" t="s">
        <v>1073</v>
      </c>
      <c r="O1220" s="7"/>
      <c r="P1220" s="2" t="s">
        <v>6416</v>
      </c>
      <c r="Q1220" s="7"/>
      <c r="R1220" s="1"/>
      <c r="S1220" s="1" t="str">
        <f>"42-22/NOS-74-1/20"</f>
        <v>42-22/NOS-74-1/20</v>
      </c>
      <c r="T1220" s="1" t="s">
        <v>32</v>
      </c>
    </row>
    <row r="1221" spans="1:20" ht="76.5" x14ac:dyDescent="0.25">
      <c r="A1221" s="6">
        <v>1218</v>
      </c>
      <c r="B1221" s="1" t="str">
        <f t="shared" si="108"/>
        <v>2020-2791</v>
      </c>
      <c r="C1221" s="1" t="s">
        <v>1299</v>
      </c>
      <c r="D1221" s="1" t="s">
        <v>87</v>
      </c>
      <c r="E1221" s="1" t="str">
        <f>""</f>
        <v/>
      </c>
      <c r="F1221" s="1" t="s">
        <v>28</v>
      </c>
      <c r="G1221" s="1" t="str">
        <f t="shared" si="109"/>
        <v>PAMAJO D.O.O., VRANIČKA 7/A, 10000 ZAGREB, OIB: 46401136513</v>
      </c>
      <c r="H1221" s="7"/>
      <c r="I1221" s="8" t="s">
        <v>506</v>
      </c>
      <c r="J1221" s="8" t="s">
        <v>231</v>
      </c>
      <c r="K1221" s="6" t="str">
        <f>"2.270,00"</f>
        <v>2.270,00</v>
      </c>
      <c r="L1221" s="6" t="str">
        <f>"567,50"</f>
        <v>567,50</v>
      </c>
      <c r="M1221" s="6" t="str">
        <f>"2.837,50"</f>
        <v>2.837,50</v>
      </c>
      <c r="N1221" s="8" t="s">
        <v>723</v>
      </c>
      <c r="O1221" s="7"/>
      <c r="P1221" s="2" t="s">
        <v>6417</v>
      </c>
      <c r="Q1221" s="7"/>
      <c r="R1221" s="1"/>
      <c r="S1221" s="1" t="str">
        <f>"70-22/NOS-74-1/20"</f>
        <v>70-22/NOS-74-1/20</v>
      </c>
      <c r="T1221" s="1" t="s">
        <v>32</v>
      </c>
    </row>
    <row r="1222" spans="1:20" ht="76.5" x14ac:dyDescent="0.25">
      <c r="A1222" s="6">
        <v>1219</v>
      </c>
      <c r="B1222" s="1" t="str">
        <f t="shared" ref="B1222:B1258" si="110">"2020-2791"</f>
        <v>2020-2791</v>
      </c>
      <c r="C1222" s="1" t="s">
        <v>1299</v>
      </c>
      <c r="D1222" s="1" t="s">
        <v>87</v>
      </c>
      <c r="E1222" s="1" t="str">
        <f>""</f>
        <v/>
      </c>
      <c r="F1222" s="1" t="s">
        <v>28</v>
      </c>
      <c r="G1222" s="1" t="str">
        <f t="shared" ref="G1222:G1258" si="111">CONCATENATE("PAMAJO D.O.O.,"," VRANIČKA 7/A,"," 10000 ZAGREB,"," OIB: 46401136513")</f>
        <v>PAMAJO D.O.O., VRANIČKA 7/A, 10000 ZAGREB, OIB: 46401136513</v>
      </c>
      <c r="H1222" s="7"/>
      <c r="I1222" s="8" t="s">
        <v>506</v>
      </c>
      <c r="J1222" s="8" t="s">
        <v>555</v>
      </c>
      <c r="K1222" s="6" t="str">
        <f>"2.824,40"</f>
        <v>2.824,40</v>
      </c>
      <c r="L1222" s="6" t="str">
        <f>"0,00"</f>
        <v>0,00</v>
      </c>
      <c r="M1222" s="6" t="str">
        <f>"2.824,40"</f>
        <v>2.824,40</v>
      </c>
      <c r="N1222" s="8" t="s">
        <v>124</v>
      </c>
      <c r="O1222" s="7"/>
      <c r="P1222" s="2" t="s">
        <v>5614</v>
      </c>
      <c r="Q1222" s="7"/>
      <c r="R1222" s="1"/>
      <c r="S1222" s="1" t="str">
        <f>"72-22/NOS-74-1/20"</f>
        <v>72-22/NOS-74-1/20</v>
      </c>
      <c r="T1222" s="1" t="s">
        <v>32</v>
      </c>
    </row>
    <row r="1223" spans="1:20" ht="76.5" x14ac:dyDescent="0.25">
      <c r="A1223" s="6">
        <v>1220</v>
      </c>
      <c r="B1223" s="1" t="str">
        <f t="shared" si="110"/>
        <v>2020-2791</v>
      </c>
      <c r="C1223" s="1" t="s">
        <v>1299</v>
      </c>
      <c r="D1223" s="1" t="s">
        <v>87</v>
      </c>
      <c r="E1223" s="1" t="str">
        <f>""</f>
        <v/>
      </c>
      <c r="F1223" s="1" t="s">
        <v>28</v>
      </c>
      <c r="G1223" s="1" t="str">
        <f t="shared" si="111"/>
        <v>PAMAJO D.O.O., VRANIČKA 7/A, 10000 ZAGREB, OIB: 46401136513</v>
      </c>
      <c r="H1223" s="7"/>
      <c r="I1223" s="8" t="s">
        <v>506</v>
      </c>
      <c r="J1223" s="8" t="s">
        <v>555</v>
      </c>
      <c r="K1223" s="6" t="str">
        <f>"834,00"</f>
        <v>834,00</v>
      </c>
      <c r="L1223" s="6" t="str">
        <f>"0,00"</f>
        <v>0,00</v>
      </c>
      <c r="M1223" s="6" t="str">
        <f>"834,00"</f>
        <v>834,00</v>
      </c>
      <c r="N1223" s="8" t="s">
        <v>124</v>
      </c>
      <c r="O1223" s="7"/>
      <c r="P1223" s="2" t="s">
        <v>5614</v>
      </c>
      <c r="Q1223" s="7"/>
      <c r="R1223" s="1"/>
      <c r="S1223" s="1" t="str">
        <f>"71-22/NOS-74-1/20"</f>
        <v>71-22/NOS-74-1/20</v>
      </c>
      <c r="T1223" s="1" t="s">
        <v>32</v>
      </c>
    </row>
    <row r="1224" spans="1:20" ht="76.5" x14ac:dyDescent="0.25">
      <c r="A1224" s="6">
        <v>1221</v>
      </c>
      <c r="B1224" s="1" t="str">
        <f t="shared" si="110"/>
        <v>2020-2791</v>
      </c>
      <c r="C1224" s="1" t="s">
        <v>1299</v>
      </c>
      <c r="D1224" s="1" t="s">
        <v>87</v>
      </c>
      <c r="E1224" s="1" t="str">
        <f>""</f>
        <v/>
      </c>
      <c r="F1224" s="1" t="s">
        <v>28</v>
      </c>
      <c r="G1224" s="1" t="str">
        <f t="shared" si="111"/>
        <v>PAMAJO D.O.O., VRANIČKA 7/A, 10000 ZAGREB, OIB: 46401136513</v>
      </c>
      <c r="H1224" s="7"/>
      <c r="I1224" s="8" t="s">
        <v>562</v>
      </c>
      <c r="J1224" s="8" t="s">
        <v>393</v>
      </c>
      <c r="K1224" s="6" t="str">
        <f>"2.400,00"</f>
        <v>2.400,00</v>
      </c>
      <c r="L1224" s="6" t="str">
        <f>"600,00"</f>
        <v>600,00</v>
      </c>
      <c r="M1224" s="6" t="str">
        <f>"3.000,00"</f>
        <v>3.000,00</v>
      </c>
      <c r="N1224" s="8" t="s">
        <v>723</v>
      </c>
      <c r="O1224" s="7"/>
      <c r="P1224" s="2" t="s">
        <v>5781</v>
      </c>
      <c r="Q1224" s="7"/>
      <c r="R1224" s="1"/>
      <c r="S1224" s="1" t="str">
        <f>"78-22/NOS-74-1/20"</f>
        <v>78-22/NOS-74-1/20</v>
      </c>
      <c r="T1224" s="1" t="s">
        <v>32</v>
      </c>
    </row>
    <row r="1225" spans="1:20" ht="76.5" x14ac:dyDescent="0.25">
      <c r="A1225" s="6">
        <v>1222</v>
      </c>
      <c r="B1225" s="1" t="str">
        <f t="shared" si="110"/>
        <v>2020-2791</v>
      </c>
      <c r="C1225" s="1" t="s">
        <v>1299</v>
      </c>
      <c r="D1225" s="1" t="s">
        <v>87</v>
      </c>
      <c r="E1225" s="1" t="str">
        <f>""</f>
        <v/>
      </c>
      <c r="F1225" s="1" t="s">
        <v>28</v>
      </c>
      <c r="G1225" s="1" t="str">
        <f t="shared" si="111"/>
        <v>PAMAJO D.O.O., VRANIČKA 7/A, 10000 ZAGREB, OIB: 46401136513</v>
      </c>
      <c r="H1225" s="7"/>
      <c r="I1225" s="8" t="s">
        <v>562</v>
      </c>
      <c r="J1225" s="8" t="s">
        <v>393</v>
      </c>
      <c r="K1225" s="6" t="str">
        <f>"1.200,00"</f>
        <v>1.200,00</v>
      </c>
      <c r="L1225" s="6" t="str">
        <f>"0,00"</f>
        <v>0,00</v>
      </c>
      <c r="M1225" s="6" t="str">
        <f>"1.200,00"</f>
        <v>1.200,00</v>
      </c>
      <c r="N1225" s="8" t="s">
        <v>124</v>
      </c>
      <c r="O1225" s="7"/>
      <c r="P1225" s="2" t="s">
        <v>5614</v>
      </c>
      <c r="Q1225" s="7"/>
      <c r="R1225" s="1"/>
      <c r="S1225" s="1" t="str">
        <f>"75-22/NOS-74-1/20"</f>
        <v>75-22/NOS-74-1/20</v>
      </c>
      <c r="T1225" s="1" t="s">
        <v>32</v>
      </c>
    </row>
    <row r="1226" spans="1:20" ht="76.5" x14ac:dyDescent="0.25">
      <c r="A1226" s="6">
        <v>1223</v>
      </c>
      <c r="B1226" s="1" t="str">
        <f t="shared" si="110"/>
        <v>2020-2791</v>
      </c>
      <c r="C1226" s="1" t="s">
        <v>1299</v>
      </c>
      <c r="D1226" s="1" t="s">
        <v>87</v>
      </c>
      <c r="E1226" s="1" t="str">
        <f>""</f>
        <v/>
      </c>
      <c r="F1226" s="1" t="s">
        <v>28</v>
      </c>
      <c r="G1226" s="1" t="str">
        <f t="shared" si="111"/>
        <v>PAMAJO D.O.O., VRANIČKA 7/A, 10000 ZAGREB, OIB: 46401136513</v>
      </c>
      <c r="H1226" s="7"/>
      <c r="I1226" s="8" t="s">
        <v>240</v>
      </c>
      <c r="J1226" s="8" t="s">
        <v>393</v>
      </c>
      <c r="K1226" s="6" t="str">
        <f>"26.518,40"</f>
        <v>26.518,40</v>
      </c>
      <c r="L1226" s="6" t="str">
        <f>"0,00"</f>
        <v>0,00</v>
      </c>
      <c r="M1226" s="6" t="str">
        <f>"26.518,40"</f>
        <v>26.518,40</v>
      </c>
      <c r="N1226" s="8" t="s">
        <v>124</v>
      </c>
      <c r="O1226" s="7"/>
      <c r="P1226" s="2" t="s">
        <v>5614</v>
      </c>
      <c r="Q1226" s="7"/>
      <c r="R1226" s="1"/>
      <c r="S1226" s="1" t="str">
        <f>"77-22/NOS-74-1/20"</f>
        <v>77-22/NOS-74-1/20</v>
      </c>
      <c r="T1226" s="1" t="s">
        <v>32</v>
      </c>
    </row>
    <row r="1227" spans="1:20" ht="76.5" x14ac:dyDescent="0.25">
      <c r="A1227" s="6">
        <v>1224</v>
      </c>
      <c r="B1227" s="1" t="str">
        <f t="shared" si="110"/>
        <v>2020-2791</v>
      </c>
      <c r="C1227" s="1" t="s">
        <v>1299</v>
      </c>
      <c r="D1227" s="1" t="s">
        <v>87</v>
      </c>
      <c r="E1227" s="1" t="str">
        <f>""</f>
        <v/>
      </c>
      <c r="F1227" s="1" t="s">
        <v>28</v>
      </c>
      <c r="G1227" s="1" t="str">
        <f t="shared" si="111"/>
        <v>PAMAJO D.O.O., VRANIČKA 7/A, 10000 ZAGREB, OIB: 46401136513</v>
      </c>
      <c r="H1227" s="7"/>
      <c r="I1227" s="8" t="s">
        <v>1155</v>
      </c>
      <c r="J1227" s="8" t="s">
        <v>393</v>
      </c>
      <c r="K1227" s="6" t="str">
        <f>"1.023,00"</f>
        <v>1.023,00</v>
      </c>
      <c r="L1227" s="6" t="str">
        <f>"0,00"</f>
        <v>0,00</v>
      </c>
      <c r="M1227" s="6" t="str">
        <f>"1.023,00"</f>
        <v>1.023,00</v>
      </c>
      <c r="N1227" s="8" t="s">
        <v>124</v>
      </c>
      <c r="O1227" s="7"/>
      <c r="P1227" s="2" t="s">
        <v>5614</v>
      </c>
      <c r="Q1227" s="7"/>
      <c r="R1227" s="1"/>
      <c r="S1227" s="1" t="str">
        <f>"73-22/NOS-74-1/20"</f>
        <v>73-22/NOS-74-1/20</v>
      </c>
      <c r="T1227" s="1" t="s">
        <v>32</v>
      </c>
    </row>
    <row r="1228" spans="1:20" ht="76.5" x14ac:dyDescent="0.25">
      <c r="A1228" s="6">
        <v>1225</v>
      </c>
      <c r="B1228" s="1" t="str">
        <f t="shared" si="110"/>
        <v>2020-2791</v>
      </c>
      <c r="C1228" s="1" t="s">
        <v>1299</v>
      </c>
      <c r="D1228" s="1" t="s">
        <v>87</v>
      </c>
      <c r="E1228" s="1" t="str">
        <f>""</f>
        <v/>
      </c>
      <c r="F1228" s="1" t="s">
        <v>28</v>
      </c>
      <c r="G1228" s="1" t="str">
        <f t="shared" si="111"/>
        <v>PAMAJO D.O.O., VRANIČKA 7/A, 10000 ZAGREB, OIB: 46401136513</v>
      </c>
      <c r="H1228" s="7"/>
      <c r="I1228" s="8" t="s">
        <v>507</v>
      </c>
      <c r="J1228" s="8" t="s">
        <v>393</v>
      </c>
      <c r="K1228" s="6" t="str">
        <f>"23.338,10"</f>
        <v>23.338,10</v>
      </c>
      <c r="L1228" s="6" t="str">
        <f>"0,00"</f>
        <v>0,00</v>
      </c>
      <c r="M1228" s="6" t="str">
        <f>"23.338,10"</f>
        <v>23.338,10</v>
      </c>
      <c r="N1228" s="8" t="s">
        <v>124</v>
      </c>
      <c r="O1228" s="7"/>
      <c r="P1228" s="2" t="s">
        <v>5614</v>
      </c>
      <c r="Q1228" s="7"/>
      <c r="R1228" s="1"/>
      <c r="S1228" s="1" t="str">
        <f>"76-22/NOS-74-1/20"</f>
        <v>76-22/NOS-74-1/20</v>
      </c>
      <c r="T1228" s="1" t="s">
        <v>32</v>
      </c>
    </row>
    <row r="1229" spans="1:20" ht="76.5" x14ac:dyDescent="0.25">
      <c r="A1229" s="6">
        <v>1226</v>
      </c>
      <c r="B1229" s="1" t="str">
        <f t="shared" si="110"/>
        <v>2020-2791</v>
      </c>
      <c r="C1229" s="1" t="s">
        <v>1299</v>
      </c>
      <c r="D1229" s="1" t="s">
        <v>87</v>
      </c>
      <c r="E1229" s="1" t="str">
        <f>""</f>
        <v/>
      </c>
      <c r="F1229" s="1" t="s">
        <v>28</v>
      </c>
      <c r="G1229" s="1" t="str">
        <f t="shared" si="111"/>
        <v>PAMAJO D.O.O., VRANIČKA 7/A, 10000 ZAGREB, OIB: 46401136513</v>
      </c>
      <c r="H1229" s="7"/>
      <c r="I1229" s="8" t="s">
        <v>252</v>
      </c>
      <c r="J1229" s="8" t="s">
        <v>393</v>
      </c>
      <c r="K1229" s="6" t="str">
        <f>"9.496,70"</f>
        <v>9.496,70</v>
      </c>
      <c r="L1229" s="6" t="str">
        <f>"0,00"</f>
        <v>0,00</v>
      </c>
      <c r="M1229" s="6" t="str">
        <f>"9.496,70"</f>
        <v>9.496,70</v>
      </c>
      <c r="N1229" s="8" t="s">
        <v>124</v>
      </c>
      <c r="O1229" s="7"/>
      <c r="P1229" s="2" t="s">
        <v>5614</v>
      </c>
      <c r="Q1229" s="7"/>
      <c r="R1229" s="1"/>
      <c r="S1229" s="1" t="str">
        <f>"74-22/NOS-74-1/20"</f>
        <v>74-22/NOS-74-1/20</v>
      </c>
      <c r="T1229" s="1" t="s">
        <v>32</v>
      </c>
    </row>
    <row r="1230" spans="1:20" ht="76.5" x14ac:dyDescent="0.25">
      <c r="A1230" s="6">
        <v>1227</v>
      </c>
      <c r="B1230" s="1" t="str">
        <f t="shared" si="110"/>
        <v>2020-2791</v>
      </c>
      <c r="C1230" s="1" t="s">
        <v>1299</v>
      </c>
      <c r="D1230" s="1" t="s">
        <v>87</v>
      </c>
      <c r="E1230" s="1" t="str">
        <f>""</f>
        <v/>
      </c>
      <c r="F1230" s="1" t="s">
        <v>28</v>
      </c>
      <c r="G1230" s="1" t="str">
        <f t="shared" si="111"/>
        <v>PAMAJO D.O.O., VRANIČKA 7/A, 10000 ZAGREB, OIB: 46401136513</v>
      </c>
      <c r="H1230" s="7"/>
      <c r="I1230" s="8" t="s">
        <v>438</v>
      </c>
      <c r="J1230" s="8" t="s">
        <v>393</v>
      </c>
      <c r="K1230" s="6" t="str">
        <f>"3.187,00"</f>
        <v>3.187,00</v>
      </c>
      <c r="L1230" s="6" t="str">
        <f>"796,75"</f>
        <v>796,75</v>
      </c>
      <c r="M1230" s="6" t="str">
        <f>"3.983,75"</f>
        <v>3.983,75</v>
      </c>
      <c r="N1230" s="8" t="s">
        <v>214</v>
      </c>
      <c r="O1230" s="7"/>
      <c r="P1230" s="2" t="s">
        <v>6418</v>
      </c>
      <c r="Q1230" s="7"/>
      <c r="R1230" s="1"/>
      <c r="S1230" s="1" t="str">
        <f>"79-22/NOS-74-1/20"</f>
        <v>79-22/NOS-74-1/20</v>
      </c>
      <c r="T1230" s="1" t="s">
        <v>32</v>
      </c>
    </row>
    <row r="1231" spans="1:20" ht="76.5" x14ac:dyDescent="0.25">
      <c r="A1231" s="6">
        <v>1228</v>
      </c>
      <c r="B1231" s="1" t="str">
        <f t="shared" si="110"/>
        <v>2020-2791</v>
      </c>
      <c r="C1231" s="1" t="s">
        <v>1299</v>
      </c>
      <c r="D1231" s="1" t="s">
        <v>87</v>
      </c>
      <c r="E1231" s="1" t="str">
        <f>""</f>
        <v/>
      </c>
      <c r="F1231" s="1" t="s">
        <v>28</v>
      </c>
      <c r="G1231" s="1" t="str">
        <f t="shared" si="111"/>
        <v>PAMAJO D.O.O., VRANIČKA 7/A, 10000 ZAGREB, OIB: 46401136513</v>
      </c>
      <c r="H1231" s="7"/>
      <c r="I1231" s="8" t="s">
        <v>438</v>
      </c>
      <c r="J1231" s="8" t="s">
        <v>393</v>
      </c>
      <c r="K1231" s="6" t="str">
        <f>"20.534,00"</f>
        <v>20.534,00</v>
      </c>
      <c r="L1231" s="6" t="str">
        <f>"0,00"</f>
        <v>0,00</v>
      </c>
      <c r="M1231" s="6" t="str">
        <f>"20.534,00"</f>
        <v>20.534,00</v>
      </c>
      <c r="N1231" s="8" t="s">
        <v>124</v>
      </c>
      <c r="O1231" s="7"/>
      <c r="P1231" s="2" t="s">
        <v>5614</v>
      </c>
      <c r="Q1231" s="7"/>
      <c r="R1231" s="1"/>
      <c r="S1231" s="1" t="str">
        <f>"54-22/NOS-74-1/20"</f>
        <v>54-22/NOS-74-1/20</v>
      </c>
      <c r="T1231" s="1" t="s">
        <v>32</v>
      </c>
    </row>
    <row r="1232" spans="1:20" ht="76.5" x14ac:dyDescent="0.25">
      <c r="A1232" s="6">
        <v>1229</v>
      </c>
      <c r="B1232" s="1" t="str">
        <f t="shared" si="110"/>
        <v>2020-2791</v>
      </c>
      <c r="C1232" s="1" t="s">
        <v>1299</v>
      </c>
      <c r="D1232" s="1" t="s">
        <v>87</v>
      </c>
      <c r="E1232" s="1" t="str">
        <f>""</f>
        <v/>
      </c>
      <c r="F1232" s="1" t="s">
        <v>28</v>
      </c>
      <c r="G1232" s="1" t="str">
        <f t="shared" si="111"/>
        <v>PAMAJO D.O.O., VRANIČKA 7/A, 10000 ZAGREB, OIB: 46401136513</v>
      </c>
      <c r="H1232" s="7"/>
      <c r="I1232" s="8" t="s">
        <v>893</v>
      </c>
      <c r="J1232" s="8" t="s">
        <v>555</v>
      </c>
      <c r="K1232" s="6" t="str">
        <f>"6.130,00"</f>
        <v>6.130,00</v>
      </c>
      <c r="L1232" s="6" t="str">
        <f>"0,00"</f>
        <v>0,00</v>
      </c>
      <c r="M1232" s="6" t="str">
        <f>"6.130,00"</f>
        <v>6.130,00</v>
      </c>
      <c r="N1232" s="8" t="s">
        <v>124</v>
      </c>
      <c r="O1232" s="7"/>
      <c r="P1232" s="2" t="s">
        <v>5614</v>
      </c>
      <c r="Q1232" s="7"/>
      <c r="R1232" s="1"/>
      <c r="S1232" s="1" t="str">
        <f>"43-22/NOS-74-1/20"</f>
        <v>43-22/NOS-74-1/20</v>
      </c>
      <c r="T1232" s="1" t="s">
        <v>32</v>
      </c>
    </row>
    <row r="1233" spans="1:20" ht="76.5" x14ac:dyDescent="0.25">
      <c r="A1233" s="6">
        <v>1230</v>
      </c>
      <c r="B1233" s="1" t="str">
        <f t="shared" si="110"/>
        <v>2020-2791</v>
      </c>
      <c r="C1233" s="1" t="s">
        <v>1299</v>
      </c>
      <c r="D1233" s="1" t="s">
        <v>87</v>
      </c>
      <c r="E1233" s="1" t="str">
        <f>""</f>
        <v/>
      </c>
      <c r="F1233" s="1" t="s">
        <v>28</v>
      </c>
      <c r="G1233" s="1" t="str">
        <f t="shared" si="111"/>
        <v>PAMAJO D.O.O., VRANIČKA 7/A, 10000 ZAGREB, OIB: 46401136513</v>
      </c>
      <c r="H1233" s="7"/>
      <c r="I1233" s="8" t="s">
        <v>923</v>
      </c>
      <c r="J1233" s="8" t="s">
        <v>555</v>
      </c>
      <c r="K1233" s="6" t="str">
        <f>"8.619,71"</f>
        <v>8.619,71</v>
      </c>
      <c r="L1233" s="6" t="str">
        <f>"0,00"</f>
        <v>0,00</v>
      </c>
      <c r="M1233" s="6" t="str">
        <f>"8.619,71"</f>
        <v>8.619,71</v>
      </c>
      <c r="N1233" s="8" t="s">
        <v>124</v>
      </c>
      <c r="O1233" s="7"/>
      <c r="P1233" s="2" t="s">
        <v>5614</v>
      </c>
      <c r="Q1233" s="7"/>
      <c r="R1233" s="1"/>
      <c r="S1233" s="1" t="str">
        <f>"44-22/NOS-74-1/20"</f>
        <v>44-22/NOS-74-1/20</v>
      </c>
      <c r="T1233" s="1" t="s">
        <v>32</v>
      </c>
    </row>
    <row r="1234" spans="1:20" ht="76.5" x14ac:dyDescent="0.25">
      <c r="A1234" s="6">
        <v>1231</v>
      </c>
      <c r="B1234" s="1" t="str">
        <f t="shared" si="110"/>
        <v>2020-2791</v>
      </c>
      <c r="C1234" s="1" t="s">
        <v>1299</v>
      </c>
      <c r="D1234" s="1" t="s">
        <v>87</v>
      </c>
      <c r="E1234" s="1" t="str">
        <f>""</f>
        <v/>
      </c>
      <c r="F1234" s="1" t="s">
        <v>28</v>
      </c>
      <c r="G1234" s="1" t="str">
        <f t="shared" si="111"/>
        <v>PAMAJO D.O.O., VRANIČKA 7/A, 10000 ZAGREB, OIB: 46401136513</v>
      </c>
      <c r="H1234" s="7"/>
      <c r="I1234" s="8" t="s">
        <v>281</v>
      </c>
      <c r="J1234" s="8" t="s">
        <v>393</v>
      </c>
      <c r="K1234" s="6" t="str">
        <f>"1.600,00"</f>
        <v>1.600,00</v>
      </c>
      <c r="L1234" s="6" t="str">
        <f>"400,00"</f>
        <v>400,00</v>
      </c>
      <c r="M1234" s="6" t="str">
        <f>"2.000,00"</f>
        <v>2.000,00</v>
      </c>
      <c r="N1234" s="8" t="s">
        <v>431</v>
      </c>
      <c r="O1234" s="7"/>
      <c r="P1234" s="2" t="s">
        <v>6414</v>
      </c>
      <c r="Q1234" s="7"/>
      <c r="R1234" s="1"/>
      <c r="S1234" s="1" t="str">
        <f>"80-22/NOS-74-1/20"</f>
        <v>80-22/NOS-74-1/20</v>
      </c>
      <c r="T1234" s="1" t="s">
        <v>32</v>
      </c>
    </row>
    <row r="1235" spans="1:20" ht="76.5" x14ac:dyDescent="0.25">
      <c r="A1235" s="6">
        <v>1232</v>
      </c>
      <c r="B1235" s="1" t="str">
        <f t="shared" si="110"/>
        <v>2020-2791</v>
      </c>
      <c r="C1235" s="1" t="s">
        <v>1299</v>
      </c>
      <c r="D1235" s="1" t="s">
        <v>87</v>
      </c>
      <c r="E1235" s="1" t="str">
        <f>""</f>
        <v/>
      </c>
      <c r="F1235" s="1" t="s">
        <v>28</v>
      </c>
      <c r="G1235" s="1" t="str">
        <f t="shared" si="111"/>
        <v>PAMAJO D.O.O., VRANIČKA 7/A, 10000 ZAGREB, OIB: 46401136513</v>
      </c>
      <c r="H1235" s="7"/>
      <c r="I1235" s="8" t="s">
        <v>563</v>
      </c>
      <c r="J1235" s="8" t="s">
        <v>393</v>
      </c>
      <c r="K1235" s="6" t="str">
        <f>"1.600,00"</f>
        <v>1.600,00</v>
      </c>
      <c r="L1235" s="6" t="str">
        <f>"400,00"</f>
        <v>400,00</v>
      </c>
      <c r="M1235" s="6" t="str">
        <f>"2.000,00"</f>
        <v>2.000,00</v>
      </c>
      <c r="N1235" s="8" t="s">
        <v>31</v>
      </c>
      <c r="O1235" s="7"/>
      <c r="P1235" s="2" t="s">
        <v>6414</v>
      </c>
      <c r="Q1235" s="7"/>
      <c r="R1235" s="1"/>
      <c r="S1235" s="1" t="str">
        <f>"81-22/NOS-74-1/20"</f>
        <v>81-22/NOS-74-1/20</v>
      </c>
      <c r="T1235" s="1" t="s">
        <v>32</v>
      </c>
    </row>
    <row r="1236" spans="1:20" ht="76.5" x14ac:dyDescent="0.25">
      <c r="A1236" s="6">
        <v>1233</v>
      </c>
      <c r="B1236" s="1" t="str">
        <f t="shared" si="110"/>
        <v>2020-2791</v>
      </c>
      <c r="C1236" s="1" t="s">
        <v>1299</v>
      </c>
      <c r="D1236" s="1" t="s">
        <v>87</v>
      </c>
      <c r="E1236" s="1" t="str">
        <f>""</f>
        <v/>
      </c>
      <c r="F1236" s="1" t="s">
        <v>28</v>
      </c>
      <c r="G1236" s="1" t="str">
        <f t="shared" si="111"/>
        <v>PAMAJO D.O.O., VRANIČKA 7/A, 10000 ZAGREB, OIB: 46401136513</v>
      </c>
      <c r="H1236" s="7"/>
      <c r="I1236" s="8" t="s">
        <v>431</v>
      </c>
      <c r="J1236" s="8" t="s">
        <v>555</v>
      </c>
      <c r="K1236" s="6" t="str">
        <f>"15.625,00"</f>
        <v>15.625,00</v>
      </c>
      <c r="L1236" s="6" t="str">
        <f>"0,00"</f>
        <v>0,00</v>
      </c>
      <c r="M1236" s="6" t="str">
        <f>"15.625,00"</f>
        <v>15.625,00</v>
      </c>
      <c r="N1236" s="8" t="s">
        <v>124</v>
      </c>
      <c r="O1236" s="7"/>
      <c r="P1236" s="2" t="s">
        <v>5614</v>
      </c>
      <c r="Q1236" s="7"/>
      <c r="R1236" s="1"/>
      <c r="S1236" s="1" t="str">
        <f>"83-22/NOS-74-1/20"</f>
        <v>83-22/NOS-74-1/20</v>
      </c>
      <c r="T1236" s="1" t="s">
        <v>32</v>
      </c>
    </row>
    <row r="1237" spans="1:20" ht="76.5" x14ac:dyDescent="0.25">
      <c r="A1237" s="6">
        <v>1234</v>
      </c>
      <c r="B1237" s="1" t="str">
        <f t="shared" si="110"/>
        <v>2020-2791</v>
      </c>
      <c r="C1237" s="1" t="s">
        <v>1299</v>
      </c>
      <c r="D1237" s="1" t="s">
        <v>87</v>
      </c>
      <c r="E1237" s="1" t="str">
        <f>""</f>
        <v/>
      </c>
      <c r="F1237" s="1" t="s">
        <v>28</v>
      </c>
      <c r="G1237" s="1" t="str">
        <f t="shared" si="111"/>
        <v>PAMAJO D.O.O., VRANIČKA 7/A, 10000 ZAGREB, OIB: 46401136513</v>
      </c>
      <c r="H1237" s="7"/>
      <c r="I1237" s="8" t="s">
        <v>431</v>
      </c>
      <c r="J1237" s="8" t="s">
        <v>555</v>
      </c>
      <c r="K1237" s="6" t="str">
        <f>"700,00"</f>
        <v>700,00</v>
      </c>
      <c r="L1237" s="6" t="str">
        <f>"0,00"</f>
        <v>0,00</v>
      </c>
      <c r="M1237" s="6" t="str">
        <f>"700,00"</f>
        <v>700,00</v>
      </c>
      <c r="N1237" s="8" t="s">
        <v>124</v>
      </c>
      <c r="O1237" s="7"/>
      <c r="P1237" s="2" t="s">
        <v>5614</v>
      </c>
      <c r="Q1237" s="7"/>
      <c r="R1237" s="1"/>
      <c r="S1237" s="1" t="str">
        <f>"82-22/NOS-74-1/20"</f>
        <v>82-22/NOS-74-1/20</v>
      </c>
      <c r="T1237" s="1" t="s">
        <v>32</v>
      </c>
    </row>
    <row r="1238" spans="1:20" ht="76.5" x14ac:dyDescent="0.25">
      <c r="A1238" s="6">
        <v>1235</v>
      </c>
      <c r="B1238" s="1" t="str">
        <f t="shared" si="110"/>
        <v>2020-2791</v>
      </c>
      <c r="C1238" s="1" t="s">
        <v>1299</v>
      </c>
      <c r="D1238" s="1" t="s">
        <v>87</v>
      </c>
      <c r="E1238" s="1" t="str">
        <f>""</f>
        <v/>
      </c>
      <c r="F1238" s="1" t="s">
        <v>28</v>
      </c>
      <c r="G1238" s="1" t="str">
        <f t="shared" si="111"/>
        <v>PAMAJO D.O.O., VRANIČKA 7/A, 10000 ZAGREB, OIB: 46401136513</v>
      </c>
      <c r="H1238" s="7"/>
      <c r="I1238" s="8" t="s">
        <v>970</v>
      </c>
      <c r="J1238" s="8" t="s">
        <v>555</v>
      </c>
      <c r="K1238" s="6" t="str">
        <f>"5.030,40"</f>
        <v>5.030,40</v>
      </c>
      <c r="L1238" s="6" t="str">
        <f>"1.257,60"</f>
        <v>1.257,60</v>
      </c>
      <c r="M1238" s="6" t="str">
        <f>"6.288,00"</f>
        <v>6.288,00</v>
      </c>
      <c r="N1238" s="8" t="s">
        <v>1032</v>
      </c>
      <c r="O1238" s="7"/>
      <c r="P1238" s="2" t="s">
        <v>6419</v>
      </c>
      <c r="Q1238" s="7"/>
      <c r="R1238" s="1"/>
      <c r="S1238" s="1" t="str">
        <f>"84-22/NOS-74-1/20"</f>
        <v>84-22/NOS-74-1/20</v>
      </c>
      <c r="T1238" s="1" t="s">
        <v>32</v>
      </c>
    </row>
    <row r="1239" spans="1:20" ht="76.5" x14ac:dyDescent="0.25">
      <c r="A1239" s="6">
        <v>1236</v>
      </c>
      <c r="B1239" s="1" t="str">
        <f t="shared" si="110"/>
        <v>2020-2791</v>
      </c>
      <c r="C1239" s="1" t="s">
        <v>1299</v>
      </c>
      <c r="D1239" s="1" t="s">
        <v>87</v>
      </c>
      <c r="E1239" s="1" t="str">
        <f>""</f>
        <v/>
      </c>
      <c r="F1239" s="1" t="s">
        <v>28</v>
      </c>
      <c r="G1239" s="1" t="str">
        <f t="shared" si="111"/>
        <v>PAMAJO D.O.O., VRANIČKA 7/A, 10000 ZAGREB, OIB: 46401136513</v>
      </c>
      <c r="H1239" s="7"/>
      <c r="I1239" s="8" t="s">
        <v>374</v>
      </c>
      <c r="J1239" s="8" t="s">
        <v>393</v>
      </c>
      <c r="K1239" s="6" t="str">
        <f>"8.947,28"</f>
        <v>8.947,28</v>
      </c>
      <c r="L1239" s="6" t="str">
        <f>"2.236,83"</f>
        <v>2.236,83</v>
      </c>
      <c r="M1239" s="6" t="str">
        <f>"11.184,11"</f>
        <v>11.184,11</v>
      </c>
      <c r="N1239" s="8" t="s">
        <v>964</v>
      </c>
      <c r="O1239" s="7"/>
      <c r="P1239" s="2" t="s">
        <v>6420</v>
      </c>
      <c r="Q1239" s="7"/>
      <c r="R1239" s="1"/>
      <c r="S1239" s="1" t="str">
        <f>"51-22/NOS-74-1/20"</f>
        <v>51-22/NOS-74-1/20</v>
      </c>
      <c r="T1239" s="1" t="s">
        <v>32</v>
      </c>
    </row>
    <row r="1240" spans="1:20" ht="76.5" x14ac:dyDescent="0.25">
      <c r="A1240" s="6">
        <v>1237</v>
      </c>
      <c r="B1240" s="1" t="str">
        <f t="shared" si="110"/>
        <v>2020-2791</v>
      </c>
      <c r="C1240" s="1" t="s">
        <v>1299</v>
      </c>
      <c r="D1240" s="1" t="s">
        <v>87</v>
      </c>
      <c r="E1240" s="1" t="str">
        <f>""</f>
        <v/>
      </c>
      <c r="F1240" s="1" t="s">
        <v>28</v>
      </c>
      <c r="G1240" s="1" t="str">
        <f t="shared" si="111"/>
        <v>PAMAJO D.O.O., VRANIČKA 7/A, 10000 ZAGREB, OIB: 46401136513</v>
      </c>
      <c r="H1240" s="7"/>
      <c r="I1240" s="8" t="s">
        <v>432</v>
      </c>
      <c r="J1240" s="8" t="s">
        <v>555</v>
      </c>
      <c r="K1240" s="6" t="str">
        <f>"4.405,00"</f>
        <v>4.405,00</v>
      </c>
      <c r="L1240" s="6" t="str">
        <f>"0,00"</f>
        <v>0,00</v>
      </c>
      <c r="M1240" s="6" t="str">
        <f>"4.405,00"</f>
        <v>4.405,00</v>
      </c>
      <c r="N1240" s="8" t="s">
        <v>124</v>
      </c>
      <c r="O1240" s="7"/>
      <c r="P1240" s="2" t="s">
        <v>5614</v>
      </c>
      <c r="Q1240" s="7"/>
      <c r="R1240" s="1"/>
      <c r="S1240" s="1" t="str">
        <f>"86-22/NOS-74-1/20"</f>
        <v>86-22/NOS-74-1/20</v>
      </c>
      <c r="T1240" s="1" t="s">
        <v>32</v>
      </c>
    </row>
    <row r="1241" spans="1:20" ht="76.5" x14ac:dyDescent="0.25">
      <c r="A1241" s="6">
        <v>1238</v>
      </c>
      <c r="B1241" s="1" t="str">
        <f t="shared" si="110"/>
        <v>2020-2791</v>
      </c>
      <c r="C1241" s="1" t="s">
        <v>1299</v>
      </c>
      <c r="D1241" s="1" t="s">
        <v>87</v>
      </c>
      <c r="E1241" s="1" t="str">
        <f>""</f>
        <v/>
      </c>
      <c r="F1241" s="1" t="s">
        <v>28</v>
      </c>
      <c r="G1241" s="1" t="str">
        <f t="shared" si="111"/>
        <v>PAMAJO D.O.O., VRANIČKA 7/A, 10000 ZAGREB, OIB: 46401136513</v>
      </c>
      <c r="H1241" s="7"/>
      <c r="I1241" s="8" t="s">
        <v>414</v>
      </c>
      <c r="J1241" s="8" t="s">
        <v>231</v>
      </c>
      <c r="K1241" s="6" t="str">
        <f>"18.840,00"</f>
        <v>18.840,00</v>
      </c>
      <c r="L1241" s="6" t="str">
        <f>"0,00"</f>
        <v>0,00</v>
      </c>
      <c r="M1241" s="6" t="str">
        <f>"18.840,00"</f>
        <v>18.840,00</v>
      </c>
      <c r="N1241" s="8" t="s">
        <v>124</v>
      </c>
      <c r="O1241" s="7"/>
      <c r="P1241" s="2" t="s">
        <v>5614</v>
      </c>
      <c r="Q1241" s="7"/>
      <c r="R1241" s="1"/>
      <c r="S1241" s="1" t="str">
        <f>"87-22/NOS-74-1/20"</f>
        <v>87-22/NOS-74-1/20</v>
      </c>
      <c r="T1241" s="1" t="s">
        <v>32</v>
      </c>
    </row>
    <row r="1242" spans="1:20" ht="76.5" x14ac:dyDescent="0.25">
      <c r="A1242" s="6">
        <v>1239</v>
      </c>
      <c r="B1242" s="1" t="str">
        <f t="shared" si="110"/>
        <v>2020-2791</v>
      </c>
      <c r="C1242" s="1" t="s">
        <v>1299</v>
      </c>
      <c r="D1242" s="1" t="s">
        <v>87</v>
      </c>
      <c r="E1242" s="1" t="str">
        <f>""</f>
        <v/>
      </c>
      <c r="F1242" s="1" t="s">
        <v>28</v>
      </c>
      <c r="G1242" s="1" t="str">
        <f t="shared" si="111"/>
        <v>PAMAJO D.O.O., VRANIČKA 7/A, 10000 ZAGREB, OIB: 46401136513</v>
      </c>
      <c r="H1242" s="7"/>
      <c r="I1242" s="8" t="s">
        <v>947</v>
      </c>
      <c r="J1242" s="8" t="s">
        <v>555</v>
      </c>
      <c r="K1242" s="6" t="str">
        <f>"1.120,00"</f>
        <v>1.120,00</v>
      </c>
      <c r="L1242" s="6" t="str">
        <f>"0,00"</f>
        <v>0,00</v>
      </c>
      <c r="M1242" s="6" t="str">
        <f>"1.120,00"</f>
        <v>1.120,00</v>
      </c>
      <c r="N1242" s="8" t="s">
        <v>124</v>
      </c>
      <c r="O1242" s="7"/>
      <c r="P1242" s="2" t="s">
        <v>5614</v>
      </c>
      <c r="Q1242" s="7"/>
      <c r="R1242" s="1"/>
      <c r="S1242" s="1" t="str">
        <f>"85-22/NOS-74-1/20"</f>
        <v>85-22/NOS-74-1/20</v>
      </c>
      <c r="T1242" s="1" t="s">
        <v>32</v>
      </c>
    </row>
    <row r="1243" spans="1:20" ht="76.5" x14ac:dyDescent="0.25">
      <c r="A1243" s="6">
        <v>1240</v>
      </c>
      <c r="B1243" s="1" t="str">
        <f t="shared" si="110"/>
        <v>2020-2791</v>
      </c>
      <c r="C1243" s="1" t="s">
        <v>1299</v>
      </c>
      <c r="D1243" s="1" t="s">
        <v>87</v>
      </c>
      <c r="E1243" s="1" t="str">
        <f>""</f>
        <v/>
      </c>
      <c r="F1243" s="1" t="s">
        <v>28</v>
      </c>
      <c r="G1243" s="1" t="str">
        <f t="shared" si="111"/>
        <v>PAMAJO D.O.O., VRANIČKA 7/A, 10000 ZAGREB, OIB: 46401136513</v>
      </c>
      <c r="H1243" s="7"/>
      <c r="I1243" s="8" t="s">
        <v>947</v>
      </c>
      <c r="J1243" s="8" t="s">
        <v>423</v>
      </c>
      <c r="K1243" s="6" t="str">
        <f>"1.500,00"</f>
        <v>1.500,00</v>
      </c>
      <c r="L1243" s="6" t="str">
        <f>"375,00"</f>
        <v>375,00</v>
      </c>
      <c r="M1243" s="6" t="str">
        <f>"1.875,00"</f>
        <v>1.875,00</v>
      </c>
      <c r="N1243" s="8" t="s">
        <v>170</v>
      </c>
      <c r="O1243" s="7"/>
      <c r="P1243" s="2" t="s">
        <v>6378</v>
      </c>
      <c r="Q1243" s="7"/>
      <c r="R1243" s="1"/>
      <c r="S1243" s="1" t="str">
        <f>"88-22/NOS-74-1/20"</f>
        <v>88-22/NOS-74-1/20</v>
      </c>
      <c r="T1243" s="1" t="s">
        <v>32</v>
      </c>
    </row>
    <row r="1244" spans="1:20" ht="76.5" x14ac:dyDescent="0.25">
      <c r="A1244" s="6">
        <v>1241</v>
      </c>
      <c r="B1244" s="1" t="str">
        <f t="shared" si="110"/>
        <v>2020-2791</v>
      </c>
      <c r="C1244" s="1" t="s">
        <v>1299</v>
      </c>
      <c r="D1244" s="1" t="s">
        <v>87</v>
      </c>
      <c r="E1244" s="1" t="str">
        <f>""</f>
        <v/>
      </c>
      <c r="F1244" s="1" t="s">
        <v>28</v>
      </c>
      <c r="G1244" s="1" t="str">
        <f t="shared" si="111"/>
        <v>PAMAJO D.O.O., VRANIČKA 7/A, 10000 ZAGREB, OIB: 46401136513</v>
      </c>
      <c r="H1244" s="7"/>
      <c r="I1244" s="8" t="s">
        <v>409</v>
      </c>
      <c r="J1244" s="8" t="s">
        <v>256</v>
      </c>
      <c r="K1244" s="6" t="str">
        <f>"12.662,56"</f>
        <v>12.662,56</v>
      </c>
      <c r="L1244" s="6" t="str">
        <f>"3.165,64"</f>
        <v>3.165,64</v>
      </c>
      <c r="M1244" s="6" t="str">
        <f>"15.828,20"</f>
        <v>15.828,20</v>
      </c>
      <c r="N1244" s="8" t="s">
        <v>1123</v>
      </c>
      <c r="O1244" s="7"/>
      <c r="P1244" s="2" t="s">
        <v>6421</v>
      </c>
      <c r="Q1244" s="7"/>
      <c r="R1244" s="1"/>
      <c r="S1244" s="1" t="str">
        <f>"89-22/NOS-74-1/20"</f>
        <v>89-22/NOS-74-1/20</v>
      </c>
      <c r="T1244" s="1" t="s">
        <v>32</v>
      </c>
    </row>
    <row r="1245" spans="1:20" ht="76.5" x14ac:dyDescent="0.25">
      <c r="A1245" s="6">
        <v>1242</v>
      </c>
      <c r="B1245" s="1" t="str">
        <f t="shared" si="110"/>
        <v>2020-2791</v>
      </c>
      <c r="C1245" s="1" t="s">
        <v>1299</v>
      </c>
      <c r="D1245" s="1" t="s">
        <v>87</v>
      </c>
      <c r="E1245" s="1" t="str">
        <f>""</f>
        <v/>
      </c>
      <c r="F1245" s="1" t="s">
        <v>28</v>
      </c>
      <c r="G1245" s="1" t="str">
        <f t="shared" si="111"/>
        <v>PAMAJO D.O.O., VRANIČKA 7/A, 10000 ZAGREB, OIB: 46401136513</v>
      </c>
      <c r="H1245" s="7"/>
      <c r="I1245" s="8" t="s">
        <v>227</v>
      </c>
      <c r="J1245" s="8" t="s">
        <v>393</v>
      </c>
      <c r="K1245" s="6" t="str">
        <f>"1.200,00"</f>
        <v>1.200,00</v>
      </c>
      <c r="L1245" s="6" t="str">
        <f>"0,00"</f>
        <v>0,00</v>
      </c>
      <c r="M1245" s="6" t="str">
        <f>"1.200,00"</f>
        <v>1.200,00</v>
      </c>
      <c r="N1245" s="8" t="s">
        <v>124</v>
      </c>
      <c r="O1245" s="7"/>
      <c r="P1245" s="2" t="s">
        <v>5614</v>
      </c>
      <c r="Q1245" s="7"/>
      <c r="R1245" s="1"/>
      <c r="S1245" s="1" t="str">
        <f>"92-22/NOS-74-1/20"</f>
        <v>92-22/NOS-74-1/20</v>
      </c>
      <c r="T1245" s="1" t="s">
        <v>32</v>
      </c>
    </row>
    <row r="1246" spans="1:20" ht="76.5" x14ac:dyDescent="0.25">
      <c r="A1246" s="6">
        <v>1243</v>
      </c>
      <c r="B1246" s="1" t="str">
        <f t="shared" si="110"/>
        <v>2020-2791</v>
      </c>
      <c r="C1246" s="1" t="s">
        <v>1299</v>
      </c>
      <c r="D1246" s="1" t="s">
        <v>87</v>
      </c>
      <c r="E1246" s="1" t="str">
        <f>""</f>
        <v/>
      </c>
      <c r="F1246" s="1" t="s">
        <v>28</v>
      </c>
      <c r="G1246" s="1" t="str">
        <f t="shared" si="111"/>
        <v>PAMAJO D.O.O., VRANIČKA 7/A, 10000 ZAGREB, OIB: 46401136513</v>
      </c>
      <c r="H1246" s="7"/>
      <c r="I1246" s="8" t="s">
        <v>227</v>
      </c>
      <c r="J1246" s="8" t="s">
        <v>393</v>
      </c>
      <c r="K1246" s="6" t="str">
        <f>"2.400,00"</f>
        <v>2.400,00</v>
      </c>
      <c r="L1246" s="6" t="str">
        <f>"600,00"</f>
        <v>600,00</v>
      </c>
      <c r="M1246" s="6" t="str">
        <f>"3.000,00"</f>
        <v>3.000,00</v>
      </c>
      <c r="N1246" s="8" t="s">
        <v>399</v>
      </c>
      <c r="O1246" s="7"/>
      <c r="P1246" s="2" t="s">
        <v>5781</v>
      </c>
      <c r="Q1246" s="7"/>
      <c r="R1246" s="1"/>
      <c r="S1246" s="1" t="str">
        <f>"91-22/NOS-74-1/20"</f>
        <v>91-22/NOS-74-1/20</v>
      </c>
      <c r="T1246" s="1" t="s">
        <v>32</v>
      </c>
    </row>
    <row r="1247" spans="1:20" ht="76.5" x14ac:dyDescent="0.25">
      <c r="A1247" s="6">
        <v>1244</v>
      </c>
      <c r="B1247" s="1" t="str">
        <f t="shared" si="110"/>
        <v>2020-2791</v>
      </c>
      <c r="C1247" s="1" t="s">
        <v>1299</v>
      </c>
      <c r="D1247" s="1" t="s">
        <v>87</v>
      </c>
      <c r="E1247" s="1" t="str">
        <f>""</f>
        <v/>
      </c>
      <c r="F1247" s="1" t="s">
        <v>28</v>
      </c>
      <c r="G1247" s="1" t="str">
        <f t="shared" si="111"/>
        <v>PAMAJO D.O.O., VRANIČKA 7/A, 10000 ZAGREB, OIB: 46401136513</v>
      </c>
      <c r="H1247" s="7"/>
      <c r="I1247" s="8" t="s">
        <v>388</v>
      </c>
      <c r="J1247" s="8" t="s">
        <v>231</v>
      </c>
      <c r="K1247" s="6" t="str">
        <f>"1.200,00"</f>
        <v>1.200,00</v>
      </c>
      <c r="L1247" s="6" t="str">
        <f>"300,00"</f>
        <v>300,00</v>
      </c>
      <c r="M1247" s="6" t="str">
        <f>"1.500,00"</f>
        <v>1.500,00</v>
      </c>
      <c r="N1247" s="8" t="s">
        <v>1123</v>
      </c>
      <c r="O1247" s="7"/>
      <c r="P1247" s="2" t="s">
        <v>6384</v>
      </c>
      <c r="Q1247" s="7"/>
      <c r="R1247" s="1"/>
      <c r="S1247" s="1" t="str">
        <f>"90-22/NOS-74-1/20"</f>
        <v>90-22/NOS-74-1/20</v>
      </c>
      <c r="T1247" s="1" t="s">
        <v>32</v>
      </c>
    </row>
    <row r="1248" spans="1:20" ht="76.5" x14ac:dyDescent="0.25">
      <c r="A1248" s="6">
        <v>1245</v>
      </c>
      <c r="B1248" s="1" t="str">
        <f t="shared" si="110"/>
        <v>2020-2791</v>
      </c>
      <c r="C1248" s="1" t="s">
        <v>1299</v>
      </c>
      <c r="D1248" s="1" t="s">
        <v>87</v>
      </c>
      <c r="E1248" s="1" t="str">
        <f>""</f>
        <v/>
      </c>
      <c r="F1248" s="1" t="s">
        <v>28</v>
      </c>
      <c r="G1248" s="1" t="str">
        <f t="shared" si="111"/>
        <v>PAMAJO D.O.O., VRANIČKA 7/A, 10000 ZAGREB, OIB: 46401136513</v>
      </c>
      <c r="H1248" s="7"/>
      <c r="I1248" s="8" t="s">
        <v>399</v>
      </c>
      <c r="J1248" s="8" t="s">
        <v>555</v>
      </c>
      <c r="K1248" s="6" t="str">
        <f>"2.137,40"</f>
        <v>2.137,40</v>
      </c>
      <c r="L1248" s="6" t="str">
        <f t="shared" ref="L1248:L1258" si="112">"0,00"</f>
        <v>0,00</v>
      </c>
      <c r="M1248" s="6" t="str">
        <f>"2.137,40"</f>
        <v>2.137,40</v>
      </c>
      <c r="N1248" s="8" t="s">
        <v>124</v>
      </c>
      <c r="O1248" s="7"/>
      <c r="P1248" s="2" t="s">
        <v>5614</v>
      </c>
      <c r="Q1248" s="7"/>
      <c r="R1248" s="1"/>
      <c r="S1248" s="1" t="str">
        <f>"93-22/NOS-74-1/20"</f>
        <v>93-22/NOS-74-1/20</v>
      </c>
      <c r="T1248" s="1" t="s">
        <v>32</v>
      </c>
    </row>
    <row r="1249" spans="1:20" ht="76.5" x14ac:dyDescent="0.25">
      <c r="A1249" s="6">
        <v>1246</v>
      </c>
      <c r="B1249" s="1" t="str">
        <f t="shared" si="110"/>
        <v>2020-2791</v>
      </c>
      <c r="C1249" s="1" t="s">
        <v>1299</v>
      </c>
      <c r="D1249" s="1" t="s">
        <v>87</v>
      </c>
      <c r="E1249" s="1" t="str">
        <f>""</f>
        <v/>
      </c>
      <c r="F1249" s="1" t="s">
        <v>28</v>
      </c>
      <c r="G1249" s="1" t="str">
        <f t="shared" si="111"/>
        <v>PAMAJO D.O.O., VRANIČKA 7/A, 10000 ZAGREB, OIB: 46401136513</v>
      </c>
      <c r="H1249" s="7"/>
      <c r="I1249" s="8" t="s">
        <v>399</v>
      </c>
      <c r="J1249" s="8" t="s">
        <v>555</v>
      </c>
      <c r="K1249" s="6" t="str">
        <f>"3.780,00"</f>
        <v>3.780,00</v>
      </c>
      <c r="L1249" s="6" t="str">
        <f t="shared" si="112"/>
        <v>0,00</v>
      </c>
      <c r="M1249" s="6" t="str">
        <f>"3.780,00"</f>
        <v>3.780,00</v>
      </c>
      <c r="N1249" s="8" t="s">
        <v>124</v>
      </c>
      <c r="O1249" s="7"/>
      <c r="P1249" s="2" t="s">
        <v>5614</v>
      </c>
      <c r="Q1249" s="7"/>
      <c r="R1249" s="1"/>
      <c r="S1249" s="1" t="str">
        <f>"94-22/NOS-74-1/20"</f>
        <v>94-22/NOS-74-1/20</v>
      </c>
      <c r="T1249" s="1" t="s">
        <v>32</v>
      </c>
    </row>
    <row r="1250" spans="1:20" ht="76.5" x14ac:dyDescent="0.25">
      <c r="A1250" s="6">
        <v>1247</v>
      </c>
      <c r="B1250" s="1" t="str">
        <f t="shared" si="110"/>
        <v>2020-2791</v>
      </c>
      <c r="C1250" s="1" t="s">
        <v>1299</v>
      </c>
      <c r="D1250" s="1" t="s">
        <v>87</v>
      </c>
      <c r="E1250" s="1" t="str">
        <f>""</f>
        <v/>
      </c>
      <c r="F1250" s="1" t="s">
        <v>28</v>
      </c>
      <c r="G1250" s="1" t="str">
        <f t="shared" si="111"/>
        <v>PAMAJO D.O.O., VRANIČKA 7/A, 10000 ZAGREB, OIB: 46401136513</v>
      </c>
      <c r="H1250" s="7"/>
      <c r="I1250" s="8" t="s">
        <v>399</v>
      </c>
      <c r="J1250" s="8" t="s">
        <v>555</v>
      </c>
      <c r="K1250" s="6" t="str">
        <f>"590,00"</f>
        <v>590,00</v>
      </c>
      <c r="L1250" s="6" t="str">
        <f t="shared" si="112"/>
        <v>0,00</v>
      </c>
      <c r="M1250" s="6" t="str">
        <f>"590,00"</f>
        <v>590,00</v>
      </c>
      <c r="N1250" s="8" t="s">
        <v>124</v>
      </c>
      <c r="O1250" s="7"/>
      <c r="P1250" s="2" t="s">
        <v>5614</v>
      </c>
      <c r="Q1250" s="7"/>
      <c r="R1250" s="1"/>
      <c r="S1250" s="1" t="str">
        <f>"95-22/NOS-74-1/20"</f>
        <v>95-22/NOS-74-1/20</v>
      </c>
      <c r="T1250" s="1" t="s">
        <v>32</v>
      </c>
    </row>
    <row r="1251" spans="1:20" ht="76.5" x14ac:dyDescent="0.25">
      <c r="A1251" s="6">
        <v>1248</v>
      </c>
      <c r="B1251" s="1" t="str">
        <f t="shared" si="110"/>
        <v>2020-2791</v>
      </c>
      <c r="C1251" s="1" t="s">
        <v>1299</v>
      </c>
      <c r="D1251" s="1" t="s">
        <v>87</v>
      </c>
      <c r="E1251" s="1" t="str">
        <f>""</f>
        <v/>
      </c>
      <c r="F1251" s="1" t="s">
        <v>28</v>
      </c>
      <c r="G1251" s="1" t="str">
        <f t="shared" si="111"/>
        <v>PAMAJO D.O.O., VRANIČKA 7/A, 10000 ZAGREB, OIB: 46401136513</v>
      </c>
      <c r="H1251" s="7"/>
      <c r="I1251" s="8" t="s">
        <v>399</v>
      </c>
      <c r="J1251" s="8" t="s">
        <v>555</v>
      </c>
      <c r="K1251" s="6" t="str">
        <f>"3.480,00"</f>
        <v>3.480,00</v>
      </c>
      <c r="L1251" s="6" t="str">
        <f t="shared" si="112"/>
        <v>0,00</v>
      </c>
      <c r="M1251" s="6" t="str">
        <f>"3.480,00"</f>
        <v>3.480,00</v>
      </c>
      <c r="N1251" s="8" t="s">
        <v>124</v>
      </c>
      <c r="O1251" s="7"/>
      <c r="P1251" s="2" t="s">
        <v>5614</v>
      </c>
      <c r="Q1251" s="7"/>
      <c r="R1251" s="1"/>
      <c r="S1251" s="1" t="str">
        <f>"97-22/NOS-74-1/20"</f>
        <v>97-22/NOS-74-1/20</v>
      </c>
      <c r="T1251" s="1" t="s">
        <v>32</v>
      </c>
    </row>
    <row r="1252" spans="1:20" ht="76.5" x14ac:dyDescent="0.25">
      <c r="A1252" s="6">
        <v>1249</v>
      </c>
      <c r="B1252" s="1" t="str">
        <f t="shared" si="110"/>
        <v>2020-2791</v>
      </c>
      <c r="C1252" s="1" t="s">
        <v>1299</v>
      </c>
      <c r="D1252" s="1" t="s">
        <v>87</v>
      </c>
      <c r="E1252" s="1" t="str">
        <f>""</f>
        <v/>
      </c>
      <c r="F1252" s="1" t="s">
        <v>28</v>
      </c>
      <c r="G1252" s="1" t="str">
        <f t="shared" si="111"/>
        <v>PAMAJO D.O.O., VRANIČKA 7/A, 10000 ZAGREB, OIB: 46401136513</v>
      </c>
      <c r="H1252" s="7"/>
      <c r="I1252" s="8" t="s">
        <v>399</v>
      </c>
      <c r="J1252" s="8" t="s">
        <v>555</v>
      </c>
      <c r="K1252" s="6" t="str">
        <f>"1.870,00"</f>
        <v>1.870,00</v>
      </c>
      <c r="L1252" s="6" t="str">
        <f t="shared" si="112"/>
        <v>0,00</v>
      </c>
      <c r="M1252" s="6" t="str">
        <f>"1.870,00"</f>
        <v>1.870,00</v>
      </c>
      <c r="N1252" s="8" t="s">
        <v>124</v>
      </c>
      <c r="O1252" s="7"/>
      <c r="P1252" s="2" t="s">
        <v>5614</v>
      </c>
      <c r="Q1252" s="7"/>
      <c r="R1252" s="1"/>
      <c r="S1252" s="1" t="str">
        <f>"98-22/NOS-74-1/20"</f>
        <v>98-22/NOS-74-1/20</v>
      </c>
      <c r="T1252" s="1" t="s">
        <v>32</v>
      </c>
    </row>
    <row r="1253" spans="1:20" ht="76.5" x14ac:dyDescent="0.25">
      <c r="A1253" s="6">
        <v>1250</v>
      </c>
      <c r="B1253" s="1" t="str">
        <f t="shared" si="110"/>
        <v>2020-2791</v>
      </c>
      <c r="C1253" s="1" t="s">
        <v>1299</v>
      </c>
      <c r="D1253" s="1" t="s">
        <v>87</v>
      </c>
      <c r="E1253" s="1" t="str">
        <f>""</f>
        <v/>
      </c>
      <c r="F1253" s="1" t="s">
        <v>28</v>
      </c>
      <c r="G1253" s="1" t="str">
        <f t="shared" si="111"/>
        <v>PAMAJO D.O.O., VRANIČKA 7/A, 10000 ZAGREB, OIB: 46401136513</v>
      </c>
      <c r="H1253" s="7"/>
      <c r="I1253" s="8" t="s">
        <v>1123</v>
      </c>
      <c r="J1253" s="8" t="s">
        <v>423</v>
      </c>
      <c r="K1253" s="6" t="str">
        <f>"4.750,00"</f>
        <v>4.750,00</v>
      </c>
      <c r="L1253" s="6" t="str">
        <f t="shared" si="112"/>
        <v>0,00</v>
      </c>
      <c r="M1253" s="6" t="str">
        <f>"4.750,00"</f>
        <v>4.750,00</v>
      </c>
      <c r="N1253" s="8" t="s">
        <v>124</v>
      </c>
      <c r="O1253" s="7"/>
      <c r="P1253" s="2" t="s">
        <v>5614</v>
      </c>
      <c r="Q1253" s="7"/>
      <c r="R1253" s="1"/>
      <c r="S1253" s="1" t="str">
        <f>"96-22/NOS-74-1/20"</f>
        <v>96-22/NOS-74-1/20</v>
      </c>
      <c r="T1253" s="1" t="s">
        <v>32</v>
      </c>
    </row>
    <row r="1254" spans="1:20" ht="76.5" x14ac:dyDescent="0.25">
      <c r="A1254" s="6">
        <v>1251</v>
      </c>
      <c r="B1254" s="1" t="str">
        <f t="shared" si="110"/>
        <v>2020-2791</v>
      </c>
      <c r="C1254" s="1" t="s">
        <v>1299</v>
      </c>
      <c r="D1254" s="1" t="s">
        <v>87</v>
      </c>
      <c r="E1254" s="1" t="str">
        <f>""</f>
        <v/>
      </c>
      <c r="F1254" s="1" t="s">
        <v>28</v>
      </c>
      <c r="G1254" s="1" t="str">
        <f t="shared" si="111"/>
        <v>PAMAJO D.O.O., VRANIČKA 7/A, 10000 ZAGREB, OIB: 46401136513</v>
      </c>
      <c r="H1254" s="7"/>
      <c r="I1254" s="8" t="s">
        <v>146</v>
      </c>
      <c r="J1254" s="8" t="s">
        <v>555</v>
      </c>
      <c r="K1254" s="6" t="str">
        <f>"1.200,00"</f>
        <v>1.200,00</v>
      </c>
      <c r="L1254" s="6" t="str">
        <f t="shared" si="112"/>
        <v>0,00</v>
      </c>
      <c r="M1254" s="6" t="str">
        <f>"1.200,00"</f>
        <v>1.200,00</v>
      </c>
      <c r="N1254" s="8" t="s">
        <v>124</v>
      </c>
      <c r="O1254" s="7"/>
      <c r="P1254" s="2" t="s">
        <v>5614</v>
      </c>
      <c r="Q1254" s="7"/>
      <c r="R1254" s="1"/>
      <c r="S1254" s="1" t="str">
        <f>"99-22/NOS-74-1/20"</f>
        <v>99-22/NOS-74-1/20</v>
      </c>
      <c r="T1254" s="1" t="s">
        <v>32</v>
      </c>
    </row>
    <row r="1255" spans="1:20" ht="76.5" x14ac:dyDescent="0.25">
      <c r="A1255" s="6">
        <v>1252</v>
      </c>
      <c r="B1255" s="1" t="str">
        <f t="shared" si="110"/>
        <v>2020-2791</v>
      </c>
      <c r="C1255" s="1" t="s">
        <v>1299</v>
      </c>
      <c r="D1255" s="1" t="s">
        <v>87</v>
      </c>
      <c r="E1255" s="1" t="str">
        <f>""</f>
        <v/>
      </c>
      <c r="F1255" s="1" t="s">
        <v>28</v>
      </c>
      <c r="G1255" s="1" t="str">
        <f t="shared" si="111"/>
        <v>PAMAJO D.O.O., VRANIČKA 7/A, 10000 ZAGREB, OIB: 46401136513</v>
      </c>
      <c r="H1255" s="7"/>
      <c r="I1255" s="8" t="s">
        <v>433</v>
      </c>
      <c r="J1255" s="8" t="s">
        <v>393</v>
      </c>
      <c r="K1255" s="6" t="str">
        <f>"3.160,00"</f>
        <v>3.160,00</v>
      </c>
      <c r="L1255" s="6" t="str">
        <f t="shared" si="112"/>
        <v>0,00</v>
      </c>
      <c r="M1255" s="6" t="str">
        <f>"3.160,00"</f>
        <v>3.160,00</v>
      </c>
      <c r="N1255" s="8" t="s">
        <v>124</v>
      </c>
      <c r="O1255" s="7"/>
      <c r="P1255" s="2" t="s">
        <v>5614</v>
      </c>
      <c r="Q1255" s="7"/>
      <c r="R1255" s="1"/>
      <c r="S1255" s="1" t="str">
        <f>"103-22/NOS-74-1/20"</f>
        <v>103-22/NOS-74-1/20</v>
      </c>
      <c r="T1255" s="1" t="s">
        <v>32</v>
      </c>
    </row>
    <row r="1256" spans="1:20" ht="76.5" x14ac:dyDescent="0.25">
      <c r="A1256" s="6">
        <v>1253</v>
      </c>
      <c r="B1256" s="1" t="str">
        <f t="shared" si="110"/>
        <v>2020-2791</v>
      </c>
      <c r="C1256" s="1" t="s">
        <v>1299</v>
      </c>
      <c r="D1256" s="1" t="s">
        <v>87</v>
      </c>
      <c r="E1256" s="1" t="str">
        <f>""</f>
        <v/>
      </c>
      <c r="F1256" s="1" t="s">
        <v>28</v>
      </c>
      <c r="G1256" s="1" t="str">
        <f t="shared" si="111"/>
        <v>PAMAJO D.O.O., VRANIČKA 7/A, 10000 ZAGREB, OIB: 46401136513</v>
      </c>
      <c r="H1256" s="7"/>
      <c r="I1256" s="8" t="s">
        <v>433</v>
      </c>
      <c r="J1256" s="8" t="s">
        <v>393</v>
      </c>
      <c r="K1256" s="6" t="str">
        <f>"2.600,00"</f>
        <v>2.600,00</v>
      </c>
      <c r="L1256" s="6" t="str">
        <f t="shared" si="112"/>
        <v>0,00</v>
      </c>
      <c r="M1256" s="6" t="str">
        <f>"2.600,00"</f>
        <v>2.600,00</v>
      </c>
      <c r="N1256" s="8" t="s">
        <v>124</v>
      </c>
      <c r="O1256" s="7"/>
      <c r="P1256" s="2" t="s">
        <v>5614</v>
      </c>
      <c r="Q1256" s="7"/>
      <c r="R1256" s="1"/>
      <c r="S1256" s="1" t="str">
        <f>"105-22/NOS-74-1/20"</f>
        <v>105-22/NOS-74-1/20</v>
      </c>
      <c r="T1256" s="1" t="s">
        <v>32</v>
      </c>
    </row>
    <row r="1257" spans="1:20" ht="76.5" x14ac:dyDescent="0.25">
      <c r="A1257" s="6">
        <v>1254</v>
      </c>
      <c r="B1257" s="1" t="str">
        <f t="shared" si="110"/>
        <v>2020-2791</v>
      </c>
      <c r="C1257" s="1" t="s">
        <v>1299</v>
      </c>
      <c r="D1257" s="1" t="s">
        <v>87</v>
      </c>
      <c r="E1257" s="1" t="str">
        <f>""</f>
        <v/>
      </c>
      <c r="F1257" s="1" t="s">
        <v>28</v>
      </c>
      <c r="G1257" s="1" t="str">
        <f t="shared" si="111"/>
        <v>PAMAJO D.O.O., VRANIČKA 7/A, 10000 ZAGREB, OIB: 46401136513</v>
      </c>
      <c r="H1257" s="7"/>
      <c r="I1257" s="8" t="s">
        <v>433</v>
      </c>
      <c r="J1257" s="8" t="s">
        <v>393</v>
      </c>
      <c r="K1257" s="6" t="str">
        <f>"1.600,00"</f>
        <v>1.600,00</v>
      </c>
      <c r="L1257" s="6" t="str">
        <f t="shared" si="112"/>
        <v>0,00</v>
      </c>
      <c r="M1257" s="6" t="str">
        <f>"1.600,00"</f>
        <v>1.600,00</v>
      </c>
      <c r="N1257" s="8" t="s">
        <v>124</v>
      </c>
      <c r="O1257" s="7"/>
      <c r="P1257" s="2" t="s">
        <v>5614</v>
      </c>
      <c r="Q1257" s="7"/>
      <c r="R1257" s="1"/>
      <c r="S1257" s="1" t="str">
        <f>"104-22/NOS-74-1/20"</f>
        <v>104-22/NOS-74-1/20</v>
      </c>
      <c r="T1257" s="1" t="s">
        <v>32</v>
      </c>
    </row>
    <row r="1258" spans="1:20" ht="76.5" x14ac:dyDescent="0.25">
      <c r="A1258" s="6">
        <v>1255</v>
      </c>
      <c r="B1258" s="1" t="str">
        <f t="shared" si="110"/>
        <v>2020-2791</v>
      </c>
      <c r="C1258" s="1" t="s">
        <v>1299</v>
      </c>
      <c r="D1258" s="1" t="s">
        <v>87</v>
      </c>
      <c r="E1258" s="1" t="str">
        <f>""</f>
        <v/>
      </c>
      <c r="F1258" s="1" t="s">
        <v>28</v>
      </c>
      <c r="G1258" s="1" t="str">
        <f t="shared" si="111"/>
        <v>PAMAJO D.O.O., VRANIČKA 7/A, 10000 ZAGREB, OIB: 46401136513</v>
      </c>
      <c r="H1258" s="7"/>
      <c r="I1258" s="8" t="s">
        <v>433</v>
      </c>
      <c r="J1258" s="8" t="s">
        <v>393</v>
      </c>
      <c r="K1258" s="6" t="str">
        <f>"1.200,00"</f>
        <v>1.200,00</v>
      </c>
      <c r="L1258" s="6" t="str">
        <f t="shared" si="112"/>
        <v>0,00</v>
      </c>
      <c r="M1258" s="6" t="str">
        <f>"1.200,00"</f>
        <v>1.200,00</v>
      </c>
      <c r="N1258" s="8" t="s">
        <v>124</v>
      </c>
      <c r="O1258" s="7"/>
      <c r="P1258" s="2" t="s">
        <v>5614</v>
      </c>
      <c r="Q1258" s="7"/>
      <c r="R1258" s="1"/>
      <c r="S1258" s="1" t="str">
        <f>"102-22/NOS-74-1/20"</f>
        <v>102-22/NOS-74-1/20</v>
      </c>
      <c r="T1258" s="1" t="s">
        <v>32</v>
      </c>
    </row>
    <row r="1259" spans="1:20" ht="191.25" x14ac:dyDescent="0.25">
      <c r="A1259" s="6">
        <v>1256</v>
      </c>
      <c r="B1259" s="1" t="str">
        <f t="shared" ref="B1259:B1269" si="113">"2020-2795"</f>
        <v>2020-2795</v>
      </c>
      <c r="C1259" s="1" t="s">
        <v>1303</v>
      </c>
      <c r="D1259" s="1" t="s">
        <v>1304</v>
      </c>
      <c r="E1259" s="1" t="str">
        <f>"2020/S 0F2-0024085"</f>
        <v>2020/S 0F2-0024085</v>
      </c>
      <c r="F1259" s="1" t="s">
        <v>22</v>
      </c>
      <c r="G1259" s="1" t="str">
        <f>CONCATENATE("VODOSKOK D.D.,"," ČULINEČKA CESTA 221/C,"," 10040 ZAGREB,"," OIB: 34134218058",CHAR(10),"",CHAR(10),"BMD  STIL D.O.O.,"," BEDENICA 45/A,"," 10381 BEDENICA,"," OIB: 96086822394",CHAR(10),"",CHAR(10),"MC PLUS D.O.O.,"," STUPNIČKE ŠIPKOVINE 3/1,"," 10255 DONJI STUPNIK,"," OIB: 69673689183")</f>
        <v>VODOSKOK D.D., ČULINEČKA CESTA 221/C, 10040 ZAGREB, OIB: 34134218058
BMD  STIL D.O.O., BEDENICA 45/A, 10381 BEDENICA, OIB: 96086822394
MC PLUS D.O.O., STUPNIČKE ŠIPKOVINE 3/1, 10255 DONJI STUPNIK, OIB: 69673689183</v>
      </c>
      <c r="H1259" s="7"/>
      <c r="I1259" s="8" t="s">
        <v>1134</v>
      </c>
      <c r="J1259" s="8" t="s">
        <v>1305</v>
      </c>
      <c r="K1259" s="6" t="str">
        <f>"2.000.000,00"</f>
        <v>2.000.000,00</v>
      </c>
      <c r="L1259" s="6" t="str">
        <f>"500.000,00"</f>
        <v>500.000,00</v>
      </c>
      <c r="M1259" s="6" t="str">
        <f>"2.500.000,00"</f>
        <v>2.500.000,00</v>
      </c>
      <c r="N1259" s="8" t="s">
        <v>262</v>
      </c>
      <c r="O1259" s="7"/>
      <c r="P1259" s="2" t="s">
        <v>5614</v>
      </c>
      <c r="Q1259" s="7"/>
      <c r="R1259" s="1"/>
      <c r="S1259" s="1" t="str">
        <f>"NOS-81-1/20"</f>
        <v>NOS-81-1/20</v>
      </c>
      <c r="T1259" s="1" t="s">
        <v>27</v>
      </c>
    </row>
    <row r="1260" spans="1:20" ht="51" x14ac:dyDescent="0.25">
      <c r="A1260" s="6">
        <v>1257</v>
      </c>
      <c r="B1260" s="1" t="str">
        <f t="shared" si="113"/>
        <v>2020-2795</v>
      </c>
      <c r="C1260" s="1" t="s">
        <v>1303</v>
      </c>
      <c r="D1260" s="1" t="s">
        <v>1306</v>
      </c>
      <c r="E1260" s="1" t="str">
        <f>""</f>
        <v/>
      </c>
      <c r="F1260" s="1" t="s">
        <v>28</v>
      </c>
      <c r="G1260" s="1" t="str">
        <f>CONCATENATE("VODOSKOK D.D.,"," ČULINEČKA CESTA 221/C,"," 10040 ZAGREB,"," OIB: 34134218058")</f>
        <v>VODOSKOK D.D., ČULINEČKA CESTA 221/C, 10040 ZAGREB, OIB: 34134218058</v>
      </c>
      <c r="H1260" s="7"/>
      <c r="I1260" s="8" t="s">
        <v>744</v>
      </c>
      <c r="J1260" s="8" t="s">
        <v>393</v>
      </c>
      <c r="K1260" s="6" t="str">
        <f>"4.386,00"</f>
        <v>4.386,00</v>
      </c>
      <c r="L1260" s="6" t="str">
        <f>"1.096,50"</f>
        <v>1.096,50</v>
      </c>
      <c r="M1260" s="6" t="str">
        <f>"5.482,50"</f>
        <v>5.482,50</v>
      </c>
      <c r="N1260" s="8" t="s">
        <v>752</v>
      </c>
      <c r="O1260" s="7"/>
      <c r="P1260" s="2" t="s">
        <v>6422</v>
      </c>
      <c r="Q1260" s="7"/>
      <c r="R1260" s="1"/>
      <c r="S1260" s="1" t="str">
        <f>"1-22/NOS-81-1/20"</f>
        <v>1-22/NOS-81-1/20</v>
      </c>
      <c r="T1260" s="1" t="s">
        <v>32</v>
      </c>
    </row>
    <row r="1261" spans="1:20" ht="51" x14ac:dyDescent="0.25">
      <c r="A1261" s="6">
        <v>1258</v>
      </c>
      <c r="B1261" s="1" t="str">
        <f t="shared" si="113"/>
        <v>2020-2795</v>
      </c>
      <c r="C1261" s="1" t="s">
        <v>1307</v>
      </c>
      <c r="D1261" s="1" t="s">
        <v>1306</v>
      </c>
      <c r="E1261" s="1" t="str">
        <f>""</f>
        <v/>
      </c>
      <c r="F1261" s="1" t="s">
        <v>28</v>
      </c>
      <c r="G1261" s="1" t="str">
        <f>CONCATENATE("VODOSKOK D.D.,"," ČULINEČKA CESTA 221/C,"," 10040 ZAGREB,"," OIB: 34134218058")</f>
        <v>VODOSKOK D.D., ČULINEČKA CESTA 221/C, 10040 ZAGREB, OIB: 34134218058</v>
      </c>
      <c r="H1261" s="7"/>
      <c r="I1261" s="8" t="s">
        <v>496</v>
      </c>
      <c r="J1261" s="8" t="s">
        <v>502</v>
      </c>
      <c r="K1261" s="6" t="str">
        <f>"14.532,75"</f>
        <v>14.532,75</v>
      </c>
      <c r="L1261" s="6" t="str">
        <f>"3.633,19"</f>
        <v>3.633,19</v>
      </c>
      <c r="M1261" s="6" t="str">
        <f>"18.165,94"</f>
        <v>18.165,94</v>
      </c>
      <c r="N1261" s="8" t="s">
        <v>226</v>
      </c>
      <c r="O1261" s="7"/>
      <c r="P1261" s="2" t="s">
        <v>6423</v>
      </c>
      <c r="Q1261" s="7"/>
      <c r="R1261" s="1"/>
      <c r="S1261" s="1" t="str">
        <f>"13-21/NOS-81-1/20"</f>
        <v>13-21/NOS-81-1/20</v>
      </c>
      <c r="T1261" s="1" t="s">
        <v>32</v>
      </c>
    </row>
    <row r="1262" spans="1:20" ht="178.5" x14ac:dyDescent="0.25">
      <c r="A1262" s="6">
        <v>1259</v>
      </c>
      <c r="B1262" s="1" t="str">
        <f t="shared" si="113"/>
        <v>2020-2795</v>
      </c>
      <c r="C1262" s="1" t="s">
        <v>1308</v>
      </c>
      <c r="D1262" s="1" t="s">
        <v>1304</v>
      </c>
      <c r="E1262" s="1" t="str">
        <f>"2020/S 0F2-0024085"</f>
        <v>2020/S 0F2-0024085</v>
      </c>
      <c r="F1262" s="1" t="s">
        <v>22</v>
      </c>
      <c r="G1262" s="1" t="str">
        <f>CONCATENATE("VODOSKOK D.D.,"," ČULINEČKA CESTA 221/C,"," 10040 ZAGREB,"," OIB: 34134218058",CHAR(10),"",CHAR(10),"PRESOFLEX GRADNJA D.O.O.,"," INDUSTRIJSKA 30,"," 34000 POŽEGA,"," OIB: 66952197279",CHAR(10),"",CHAR(10),"BMD  STIL D.O.O.,"," BEDENICA 45/A,"," 10381 BEDENICA,"," OIB: 96086822394")</f>
        <v>VODOSKOK D.D., ČULINEČKA CESTA 221/C, 10040 ZAGREB, OIB: 34134218058
PRESOFLEX GRADNJA D.O.O., INDUSTRIJSKA 30, 34000 POŽEGA, OIB: 66952197279
BMD  STIL D.O.O., BEDENICA 45/A, 10381 BEDENICA, OIB: 96086822394</v>
      </c>
      <c r="H1262" s="7"/>
      <c r="I1262" s="8" t="s">
        <v>1134</v>
      </c>
      <c r="J1262" s="8" t="s">
        <v>1287</v>
      </c>
      <c r="K1262" s="6" t="str">
        <f>"400.000,00"</f>
        <v>400.000,00</v>
      </c>
      <c r="L1262" s="6" t="str">
        <f>"100.000,00"</f>
        <v>100.000,00</v>
      </c>
      <c r="M1262" s="6" t="str">
        <f>"500.000,00"</f>
        <v>500.000,00</v>
      </c>
      <c r="N1262" s="8" t="s">
        <v>124</v>
      </c>
      <c r="O1262" s="7"/>
      <c r="P1262" s="2" t="s">
        <v>5614</v>
      </c>
      <c r="Q1262" s="7"/>
      <c r="R1262" s="1"/>
      <c r="S1262" s="1" t="str">
        <f>"NOS-81-2/20"</f>
        <v>NOS-81-2/20</v>
      </c>
      <c r="T1262" s="1" t="s">
        <v>27</v>
      </c>
    </row>
    <row r="1263" spans="1:20" ht="51" x14ac:dyDescent="0.25">
      <c r="A1263" s="6">
        <v>1260</v>
      </c>
      <c r="B1263" s="1" t="str">
        <f t="shared" si="113"/>
        <v>2020-2795</v>
      </c>
      <c r="C1263" s="1" t="s">
        <v>1308</v>
      </c>
      <c r="D1263" s="1" t="s">
        <v>1306</v>
      </c>
      <c r="E1263" s="1" t="str">
        <f>""</f>
        <v/>
      </c>
      <c r="F1263" s="1" t="s">
        <v>28</v>
      </c>
      <c r="G1263" s="1" t="str">
        <f>CONCATENATE("VODOSKOK D.D.,"," ČULINEČKA CESTA 221/C,"," 10040 ZAGREB,"," OIB: 34134218058")</f>
        <v>VODOSKOK D.D., ČULINEČKA CESTA 221/C, 10040 ZAGREB, OIB: 34134218058</v>
      </c>
      <c r="H1263" s="7"/>
      <c r="I1263" s="8" t="s">
        <v>744</v>
      </c>
      <c r="J1263" s="8" t="s">
        <v>393</v>
      </c>
      <c r="K1263" s="6" t="str">
        <f>"5.450,00"</f>
        <v>5.450,00</v>
      </c>
      <c r="L1263" s="6" t="str">
        <f>"1.362,50"</f>
        <v>1.362,50</v>
      </c>
      <c r="M1263" s="6" t="str">
        <f>"6.812,50"</f>
        <v>6.812,50</v>
      </c>
      <c r="N1263" s="8" t="s">
        <v>396</v>
      </c>
      <c r="O1263" s="7"/>
      <c r="P1263" s="2" t="s">
        <v>6424</v>
      </c>
      <c r="Q1263" s="7"/>
      <c r="R1263" s="1"/>
      <c r="S1263" s="1" t="str">
        <f>"1-22/NOS-81-2/20"</f>
        <v>1-22/NOS-81-2/20</v>
      </c>
      <c r="T1263" s="1" t="s">
        <v>32</v>
      </c>
    </row>
    <row r="1264" spans="1:20" ht="51" x14ac:dyDescent="0.25">
      <c r="A1264" s="6">
        <v>1261</v>
      </c>
      <c r="B1264" s="1" t="str">
        <f t="shared" si="113"/>
        <v>2020-2795</v>
      </c>
      <c r="C1264" s="1" t="s">
        <v>1307</v>
      </c>
      <c r="D1264" s="1" t="s">
        <v>1306</v>
      </c>
      <c r="E1264" s="1" t="str">
        <f>""</f>
        <v/>
      </c>
      <c r="F1264" s="1" t="s">
        <v>28</v>
      </c>
      <c r="G1264" s="1" t="str">
        <f>CONCATENATE("VODOSKOK D.D.,"," ČULINEČKA CESTA 221/C,"," 10040 ZAGREB,"," OIB: 34134218058")</f>
        <v>VODOSKOK D.D., ČULINEČKA CESTA 221/C, 10040 ZAGREB, OIB: 34134218058</v>
      </c>
      <c r="H1264" s="7"/>
      <c r="I1264" s="8" t="s">
        <v>416</v>
      </c>
      <c r="J1264" s="8" t="s">
        <v>502</v>
      </c>
      <c r="K1264" s="6" t="str">
        <f>"6.540,00"</f>
        <v>6.540,00</v>
      </c>
      <c r="L1264" s="6" t="str">
        <f>"1.635,00"</f>
        <v>1.635,00</v>
      </c>
      <c r="M1264" s="6" t="str">
        <f>"8.175,00"</f>
        <v>8.175,00</v>
      </c>
      <c r="N1264" s="8" t="s">
        <v>1118</v>
      </c>
      <c r="O1264" s="7"/>
      <c r="P1264" s="2" t="s">
        <v>6425</v>
      </c>
      <c r="Q1264" s="7"/>
      <c r="R1264" s="1"/>
      <c r="S1264" s="1" t="str">
        <f>"6-21/NOS-81-2/20"</f>
        <v>6-21/NOS-81-2/20</v>
      </c>
      <c r="T1264" s="1" t="s">
        <v>32</v>
      </c>
    </row>
    <row r="1265" spans="1:20" ht="51" x14ac:dyDescent="0.25">
      <c r="A1265" s="6">
        <v>1262</v>
      </c>
      <c r="B1265" s="1" t="str">
        <f t="shared" si="113"/>
        <v>2020-2795</v>
      </c>
      <c r="C1265" s="1" t="s">
        <v>1307</v>
      </c>
      <c r="D1265" s="1" t="s">
        <v>1306</v>
      </c>
      <c r="E1265" s="1" t="str">
        <f>""</f>
        <v/>
      </c>
      <c r="F1265" s="1" t="s">
        <v>28</v>
      </c>
      <c r="G1265" s="1" t="str">
        <f>CONCATENATE("PRESOFLEX GRADNJA D.O.O.,"," INDUSTRIJSKA 30,"," 34000 POŽEGA,"," OIB: 66952197279")</f>
        <v>PRESOFLEX GRADNJA D.O.O., INDUSTRIJSKA 30, 34000 POŽEGA, OIB: 66952197279</v>
      </c>
      <c r="H1265" s="7"/>
      <c r="I1265" s="8" t="s">
        <v>754</v>
      </c>
      <c r="J1265" s="8" t="s">
        <v>504</v>
      </c>
      <c r="K1265" s="6" t="str">
        <f>"7.344,00"</f>
        <v>7.344,00</v>
      </c>
      <c r="L1265" s="6" t="str">
        <f>"1.836,00"</f>
        <v>1.836,00</v>
      </c>
      <c r="M1265" s="6" t="str">
        <f>"9.180,00"</f>
        <v>9.180,00</v>
      </c>
      <c r="N1265" s="8" t="s">
        <v>994</v>
      </c>
      <c r="O1265" s="7"/>
      <c r="P1265" s="2" t="s">
        <v>6426</v>
      </c>
      <c r="Q1265" s="1"/>
      <c r="R1265" s="1"/>
      <c r="S1265" s="1" t="str">
        <f>"2-22/NOS-81-2/20"</f>
        <v>2-22/NOS-81-2/20</v>
      </c>
      <c r="T1265" s="1" t="s">
        <v>32</v>
      </c>
    </row>
    <row r="1266" spans="1:20" ht="51" x14ac:dyDescent="0.25">
      <c r="A1266" s="6">
        <v>1263</v>
      </c>
      <c r="B1266" s="1" t="str">
        <f t="shared" si="113"/>
        <v>2020-2795</v>
      </c>
      <c r="C1266" s="1" t="s">
        <v>1307</v>
      </c>
      <c r="D1266" s="1" t="s">
        <v>1306</v>
      </c>
      <c r="E1266" s="1" t="str">
        <f>""</f>
        <v/>
      </c>
      <c r="F1266" s="1" t="s">
        <v>28</v>
      </c>
      <c r="G1266" s="1" t="str">
        <f>CONCATENATE("VODOSKOK D.D.,"," ČULINEČKA CESTA 221/C,"," 10040 ZAGREB,"," OIB: 34134218058")</f>
        <v>VODOSKOK D.D., ČULINEČKA CESTA 221/C, 10040 ZAGREB, OIB: 34134218058</v>
      </c>
      <c r="H1266" s="7"/>
      <c r="I1266" s="8" t="s">
        <v>296</v>
      </c>
      <c r="J1266" s="8" t="s">
        <v>401</v>
      </c>
      <c r="K1266" s="6" t="str">
        <f>"21.840,00"</f>
        <v>21.840,00</v>
      </c>
      <c r="L1266" s="6" t="str">
        <f>"5.460,00"</f>
        <v>5.460,00</v>
      </c>
      <c r="M1266" s="6" t="str">
        <f>"27.300,00"</f>
        <v>27.300,00</v>
      </c>
      <c r="N1266" s="8" t="s">
        <v>30</v>
      </c>
      <c r="O1266" s="7"/>
      <c r="P1266" s="2" t="s">
        <v>6427</v>
      </c>
      <c r="Q1266" s="7"/>
      <c r="R1266" s="1"/>
      <c r="S1266" s="1" t="str">
        <f>"3-22/NOS-81-2/20"</f>
        <v>3-22/NOS-81-2/20</v>
      </c>
      <c r="T1266" s="1" t="s">
        <v>32</v>
      </c>
    </row>
    <row r="1267" spans="1:20" ht="51" x14ac:dyDescent="0.25">
      <c r="A1267" s="6">
        <v>1264</v>
      </c>
      <c r="B1267" s="1" t="str">
        <f t="shared" si="113"/>
        <v>2020-2795</v>
      </c>
      <c r="C1267" s="1" t="s">
        <v>1307</v>
      </c>
      <c r="D1267" s="1" t="s">
        <v>1306</v>
      </c>
      <c r="E1267" s="1" t="str">
        <f>""</f>
        <v/>
      </c>
      <c r="F1267" s="1" t="s">
        <v>28</v>
      </c>
      <c r="G1267" s="1" t="str">
        <f>CONCATENATE("BMD  STIL D.O.O.,"," BEDENICA 45/A,"," 10381 BEDENICA,"," OIB: 96086822394")</f>
        <v>BMD  STIL D.O.O., BEDENICA 45/A, 10381 BEDENICA, OIB: 96086822394</v>
      </c>
      <c r="H1267" s="7"/>
      <c r="I1267" s="8" t="s">
        <v>354</v>
      </c>
      <c r="J1267" s="8" t="s">
        <v>404</v>
      </c>
      <c r="K1267" s="6" t="str">
        <f>"14.460,00"</f>
        <v>14.460,00</v>
      </c>
      <c r="L1267" s="6" t="str">
        <f>"3.615,00"</f>
        <v>3.615,00</v>
      </c>
      <c r="M1267" s="6" t="str">
        <f>"18.075,00"</f>
        <v>18.075,00</v>
      </c>
      <c r="N1267" s="8" t="s">
        <v>562</v>
      </c>
      <c r="O1267" s="7"/>
      <c r="P1267" s="2" t="s">
        <v>6428</v>
      </c>
      <c r="Q1267" s="7"/>
      <c r="R1267" s="1"/>
      <c r="S1267" s="1" t="str">
        <f>"4-22/NOS-81-2/20"</f>
        <v>4-22/NOS-81-2/20</v>
      </c>
      <c r="T1267" s="1" t="s">
        <v>32</v>
      </c>
    </row>
    <row r="1268" spans="1:20" ht="51" x14ac:dyDescent="0.25">
      <c r="A1268" s="6">
        <v>1265</v>
      </c>
      <c r="B1268" s="1" t="str">
        <f t="shared" si="113"/>
        <v>2020-2795</v>
      </c>
      <c r="C1268" s="1" t="s">
        <v>1307</v>
      </c>
      <c r="D1268" s="1" t="s">
        <v>1306</v>
      </c>
      <c r="E1268" s="1" t="str">
        <f>""</f>
        <v/>
      </c>
      <c r="F1268" s="1" t="s">
        <v>28</v>
      </c>
      <c r="G1268" s="1" t="str">
        <f>CONCATENATE("VODOSKOK D.D.,"," ČULINEČKA CESTA 221/C,"," 10040 ZAGREB,"," OIB: 34134218058")</f>
        <v>VODOSKOK D.D., ČULINEČKA CESTA 221/C, 10040 ZAGREB, OIB: 34134218058</v>
      </c>
      <c r="H1268" s="7"/>
      <c r="I1268" s="8" t="s">
        <v>898</v>
      </c>
      <c r="J1268" s="8" t="s">
        <v>57</v>
      </c>
      <c r="K1268" s="6" t="str">
        <f>"58.750,00"</f>
        <v>58.750,00</v>
      </c>
      <c r="L1268" s="6" t="str">
        <f>"14.687,50"</f>
        <v>14.687,50</v>
      </c>
      <c r="M1268" s="6" t="str">
        <f>"73.437,50"</f>
        <v>73.437,50</v>
      </c>
      <c r="N1268" s="8" t="s">
        <v>408</v>
      </c>
      <c r="O1268" s="7"/>
      <c r="P1268" s="2" t="s">
        <v>6429</v>
      </c>
      <c r="Q1268" s="7"/>
      <c r="R1268" s="1"/>
      <c r="S1268" s="1" t="str">
        <f>"5-22/NOS-81-2/20"</f>
        <v>5-22/NOS-81-2/20</v>
      </c>
      <c r="T1268" s="1" t="s">
        <v>32</v>
      </c>
    </row>
    <row r="1269" spans="1:20" ht="51" x14ac:dyDescent="0.25">
      <c r="A1269" s="6">
        <v>1266</v>
      </c>
      <c r="B1269" s="1" t="str">
        <f t="shared" si="113"/>
        <v>2020-2795</v>
      </c>
      <c r="C1269" s="1" t="s">
        <v>1307</v>
      </c>
      <c r="D1269" s="1" t="s">
        <v>1306</v>
      </c>
      <c r="E1269" s="1" t="str">
        <f>""</f>
        <v/>
      </c>
      <c r="F1269" s="1" t="s">
        <v>28</v>
      </c>
      <c r="G1269" s="1" t="str">
        <f>CONCATENATE("BMD  STIL D.O.O.,"," BEDENICA 45/A,"," 10381 BEDENICA,"," OIB: 96086822394")</f>
        <v>BMD  STIL D.O.O., BEDENICA 45/A, 10381 BEDENICA, OIB: 96086822394</v>
      </c>
      <c r="H1269" s="7"/>
      <c r="I1269" s="8" t="s">
        <v>425</v>
      </c>
      <c r="J1269" s="8" t="s">
        <v>905</v>
      </c>
      <c r="K1269" s="6" t="str">
        <f>"6.150,00"</f>
        <v>6.150,00</v>
      </c>
      <c r="L1269" s="6" t="str">
        <f>"1.537,50"</f>
        <v>1.537,50</v>
      </c>
      <c r="M1269" s="6" t="str">
        <f>"7.687,50"</f>
        <v>7.687,50</v>
      </c>
      <c r="N1269" s="8" t="s">
        <v>124</v>
      </c>
      <c r="O1269" s="7"/>
      <c r="P1269" s="2" t="s">
        <v>5614</v>
      </c>
      <c r="Q1269" s="7"/>
      <c r="R1269" s="1"/>
      <c r="S1269" s="1" t="str">
        <f>"6-22/NOS-81-2/20"</f>
        <v>6-22/NOS-81-2/20</v>
      </c>
      <c r="T1269" s="1" t="s">
        <v>32</v>
      </c>
    </row>
    <row r="1270" spans="1:20" ht="51" x14ac:dyDescent="0.25">
      <c r="A1270" s="6">
        <v>1267</v>
      </c>
      <c r="B1270" s="1" t="str">
        <f>"2020-78"</f>
        <v>2020-78</v>
      </c>
      <c r="C1270" s="1" t="s">
        <v>1309</v>
      </c>
      <c r="D1270" s="1" t="s">
        <v>860</v>
      </c>
      <c r="E1270" s="1" t="str">
        <f>"2020/S 0F2-0044098"</f>
        <v>2020/S 0F2-0044098</v>
      </c>
      <c r="F1270" s="1" t="s">
        <v>22</v>
      </c>
      <c r="G1270" s="1" t="str">
        <f>CONCATENATE("T.D.I. 90 D.O.O.,"," VISOČIČKA 38,"," 10000 ZAGREB,"," OIB: 26978223128")</f>
        <v>T.D.I. 90 D.O.O., VISOČIČKA 38, 10000 ZAGREB, OIB: 26978223128</v>
      </c>
      <c r="H1270" s="7"/>
      <c r="I1270" s="8" t="s">
        <v>1310</v>
      </c>
      <c r="J1270" s="8" t="s">
        <v>1311</v>
      </c>
      <c r="K1270" s="6" t="str">
        <f>"800.000,00"</f>
        <v>800.000,00</v>
      </c>
      <c r="L1270" s="6" t="str">
        <f>"200.000,00"</f>
        <v>200.000,00</v>
      </c>
      <c r="M1270" s="6" t="str">
        <f>"1.000.000,00"</f>
        <v>1.000.000,00</v>
      </c>
      <c r="N1270" s="8" t="s">
        <v>124</v>
      </c>
      <c r="O1270" s="7"/>
      <c r="P1270" s="2" t="s">
        <v>5614</v>
      </c>
      <c r="Q1270" s="7"/>
      <c r="R1270" s="1"/>
      <c r="S1270" s="1" t="str">
        <f>"NOS-76/20"</f>
        <v>NOS-76/20</v>
      </c>
      <c r="T1270" s="1" t="s">
        <v>55</v>
      </c>
    </row>
    <row r="1271" spans="1:20" ht="51" x14ac:dyDescent="0.25">
      <c r="A1271" s="6">
        <v>1268</v>
      </c>
      <c r="B1271" s="1" t="str">
        <f>"2020-78"</f>
        <v>2020-78</v>
      </c>
      <c r="C1271" s="1" t="s">
        <v>1309</v>
      </c>
      <c r="D1271" s="1" t="s">
        <v>1312</v>
      </c>
      <c r="E1271" s="1" t="str">
        <f>""</f>
        <v/>
      </c>
      <c r="F1271" s="1" t="s">
        <v>28</v>
      </c>
      <c r="G1271" s="1" t="str">
        <f>CONCATENATE("T.D.I. 90 D.O.O.,"," VISOČIČKA 38,"," 10000 ZAGREB,"," OIB: 26978223128")</f>
        <v>T.D.I. 90 D.O.O., VISOČIČKA 38, 10000 ZAGREB, OIB: 26978223128</v>
      </c>
      <c r="H1271" s="7"/>
      <c r="I1271" s="8" t="s">
        <v>522</v>
      </c>
      <c r="J1271" s="8" t="s">
        <v>1313</v>
      </c>
      <c r="K1271" s="6" t="str">
        <f>"10.045,00"</f>
        <v>10.045,00</v>
      </c>
      <c r="L1271" s="6" t="str">
        <f>"2.511,25"</f>
        <v>2.511,25</v>
      </c>
      <c r="M1271" s="6" t="str">
        <f>"12.556,25"</f>
        <v>12.556,25</v>
      </c>
      <c r="N1271" s="8" t="s">
        <v>438</v>
      </c>
      <c r="O1271" s="7"/>
      <c r="P1271" s="2" t="s">
        <v>6430</v>
      </c>
      <c r="Q1271" s="7"/>
      <c r="R1271" s="1"/>
      <c r="S1271" s="1" t="str">
        <f>"1-22/NOS-76/20"</f>
        <v>1-22/NOS-76/20</v>
      </c>
      <c r="T1271" s="1" t="s">
        <v>55</v>
      </c>
    </row>
    <row r="1272" spans="1:20" ht="51" x14ac:dyDescent="0.25">
      <c r="A1272" s="6">
        <v>1269</v>
      </c>
      <c r="B1272" s="1" t="str">
        <f>"2020-78"</f>
        <v>2020-78</v>
      </c>
      <c r="C1272" s="1" t="s">
        <v>1309</v>
      </c>
      <c r="D1272" s="1" t="s">
        <v>1312</v>
      </c>
      <c r="E1272" s="1" t="str">
        <f>""</f>
        <v/>
      </c>
      <c r="F1272" s="1" t="s">
        <v>28</v>
      </c>
      <c r="G1272" s="1" t="str">
        <f>CONCATENATE("T.D.I. 90 D.O.O.,"," VISOČIČKA 38,"," 10000 ZAGREB,"," OIB: 26978223128")</f>
        <v>T.D.I. 90 D.O.O., VISOČIČKA 38, 10000 ZAGREB, OIB: 26978223128</v>
      </c>
      <c r="H1272" s="7"/>
      <c r="I1272" s="8" t="s">
        <v>1314</v>
      </c>
      <c r="J1272" s="8" t="s">
        <v>1313</v>
      </c>
      <c r="K1272" s="6" t="str">
        <f>"74.302,00"</f>
        <v>74.302,00</v>
      </c>
      <c r="L1272" s="6" t="str">
        <f>"0,00"</f>
        <v>0,00</v>
      </c>
      <c r="M1272" s="6" t="str">
        <f>"74.302,00"</f>
        <v>74.302,00</v>
      </c>
      <c r="N1272" s="8" t="s">
        <v>124</v>
      </c>
      <c r="O1272" s="7"/>
      <c r="P1272" s="2" t="s">
        <v>5614</v>
      </c>
      <c r="Q1272" s="7"/>
      <c r="R1272" s="1"/>
      <c r="S1272" s="1" t="str">
        <f>"3-22/NOS-76/20"</f>
        <v>3-22/NOS-76/20</v>
      </c>
      <c r="T1272" s="1" t="s">
        <v>55</v>
      </c>
    </row>
    <row r="1273" spans="1:20" ht="38.25" x14ac:dyDescent="0.25">
      <c r="A1273" s="6">
        <v>1270</v>
      </c>
      <c r="B1273" s="1" t="str">
        <f>"2020-2780"</f>
        <v>2020-2780</v>
      </c>
      <c r="C1273" s="1" t="s">
        <v>1315</v>
      </c>
      <c r="D1273" s="1" t="s">
        <v>1316</v>
      </c>
      <c r="E1273" s="1" t="str">
        <f>"2020/S 0F2-0044960"</f>
        <v>2020/S 0F2-0044960</v>
      </c>
      <c r="F1273" s="1" t="s">
        <v>22</v>
      </c>
      <c r="G1273" s="1" t="str">
        <f>CONCATENATE("PETROL D.O.O.,"," ,"," OIB: 75550985023")</f>
        <v>PETROL D.O.O., , OIB: 75550985023</v>
      </c>
      <c r="H1273" s="7"/>
      <c r="I1273" s="8" t="s">
        <v>1317</v>
      </c>
      <c r="J1273" s="8" t="s">
        <v>1318</v>
      </c>
      <c r="K1273" s="6" t="str">
        <f>"1.000.000,00"</f>
        <v>1.000.000,00</v>
      </c>
      <c r="L1273" s="6" t="str">
        <f>"250.000,00"</f>
        <v>250.000,00</v>
      </c>
      <c r="M1273" s="6" t="str">
        <f>"1.250.000,00"</f>
        <v>1.250.000,00</v>
      </c>
      <c r="N1273" s="8" t="s">
        <v>384</v>
      </c>
      <c r="O1273" s="7"/>
      <c r="P1273" s="2" t="s">
        <v>6431</v>
      </c>
      <c r="Q1273" s="7"/>
      <c r="R1273" s="1"/>
      <c r="S1273" s="1" t="str">
        <f>"NOS-85/20"</f>
        <v>NOS-85/20</v>
      </c>
      <c r="T1273" s="1" t="s">
        <v>32</v>
      </c>
    </row>
    <row r="1274" spans="1:20" ht="51" x14ac:dyDescent="0.25">
      <c r="A1274" s="6">
        <v>1271</v>
      </c>
      <c r="B1274" s="1" t="str">
        <f>"2020-2780"</f>
        <v>2020-2780</v>
      </c>
      <c r="C1274" s="1" t="s">
        <v>1315</v>
      </c>
      <c r="D1274" s="1" t="s">
        <v>1319</v>
      </c>
      <c r="E1274" s="1" t="str">
        <f>""</f>
        <v/>
      </c>
      <c r="F1274" s="1" t="s">
        <v>28</v>
      </c>
      <c r="G1274" s="1" t="str">
        <f>CONCATENATE("PETROL D.O.O.,"," ,"," OIB: 75550985023")</f>
        <v>PETROL D.O.O., , OIB: 75550985023</v>
      </c>
      <c r="H1274" s="7"/>
      <c r="I1274" s="8" t="s">
        <v>1167</v>
      </c>
      <c r="J1274" s="8" t="s">
        <v>89</v>
      </c>
      <c r="K1274" s="6" t="str">
        <f>"90.720,00"</f>
        <v>90.720,00</v>
      </c>
      <c r="L1274" s="6" t="str">
        <f>"22.680,00"</f>
        <v>22.680,00</v>
      </c>
      <c r="M1274" s="6" t="str">
        <f>"113.400,00"</f>
        <v>113.400,00</v>
      </c>
      <c r="N1274" s="8" t="s">
        <v>1320</v>
      </c>
      <c r="O1274" s="7"/>
      <c r="P1274" s="2" t="s">
        <v>5614</v>
      </c>
      <c r="Q1274" s="7"/>
      <c r="R1274" s="1"/>
      <c r="S1274" s="1" t="str">
        <f>"2-21/NOS-85/20"</f>
        <v>2-21/NOS-85/20</v>
      </c>
      <c r="T1274" s="1" t="s">
        <v>32</v>
      </c>
    </row>
    <row r="1275" spans="1:20" ht="51" x14ac:dyDescent="0.25">
      <c r="A1275" s="6">
        <v>1272</v>
      </c>
      <c r="B1275" s="1" t="str">
        <f>"2020-2780"</f>
        <v>2020-2780</v>
      </c>
      <c r="C1275" s="1" t="s">
        <v>1315</v>
      </c>
      <c r="D1275" s="1" t="s">
        <v>1319</v>
      </c>
      <c r="E1275" s="1" t="str">
        <f>""</f>
        <v/>
      </c>
      <c r="F1275" s="1" t="s">
        <v>28</v>
      </c>
      <c r="G1275" s="1" t="str">
        <f>CONCATENATE("PETROL D.O.O.,"," ,"," OIB: 75550985023")</f>
        <v>PETROL D.O.O., , OIB: 75550985023</v>
      </c>
      <c r="H1275" s="7"/>
      <c r="I1275" s="8" t="s">
        <v>735</v>
      </c>
      <c r="J1275" s="8" t="s">
        <v>53</v>
      </c>
      <c r="K1275" s="6" t="str">
        <f>"127.946,00"</f>
        <v>127.946,00</v>
      </c>
      <c r="L1275" s="6" t="str">
        <f>"31.986,50"</f>
        <v>31.986,50</v>
      </c>
      <c r="M1275" s="6" t="str">
        <f>"159.932,50"</f>
        <v>159.932,50</v>
      </c>
      <c r="N1275" s="8" t="s">
        <v>856</v>
      </c>
      <c r="O1275" s="7"/>
      <c r="P1275" s="2" t="s">
        <v>5614</v>
      </c>
      <c r="Q1275" s="7"/>
      <c r="R1275" s="1"/>
      <c r="S1275" s="1" t="str">
        <f>"1-22/NOS-85/20"</f>
        <v>1-22/NOS-85/20</v>
      </c>
      <c r="T1275" s="1" t="s">
        <v>32</v>
      </c>
    </row>
    <row r="1276" spans="1:20" ht="51" x14ac:dyDescent="0.25">
      <c r="A1276" s="6">
        <v>1273</v>
      </c>
      <c r="B1276" s="1" t="str">
        <f>"2020-2780"</f>
        <v>2020-2780</v>
      </c>
      <c r="C1276" s="1" t="s">
        <v>1315</v>
      </c>
      <c r="D1276" s="1" t="s">
        <v>1319</v>
      </c>
      <c r="E1276" s="1" t="str">
        <f>""</f>
        <v/>
      </c>
      <c r="F1276" s="1" t="s">
        <v>28</v>
      </c>
      <c r="G1276" s="1" t="str">
        <f>CONCATENATE("PETROL D.O.O.,"," SAVSKA OPATOVINA 36,"," 10090 ZAGREB-SUSEDGRAD,"," OIB: 75550985023")</f>
        <v>PETROL D.O.O., SAVSKA OPATOVINA 36, 10090 ZAGREB-SUSEDGRAD, OIB: 75550985023</v>
      </c>
      <c r="H1276" s="7"/>
      <c r="I1276" s="8" t="s">
        <v>939</v>
      </c>
      <c r="J1276" s="8" t="s">
        <v>123</v>
      </c>
      <c r="K1276" s="6" t="str">
        <f>"172.575,00"</f>
        <v>172.575,00</v>
      </c>
      <c r="L1276" s="6" t="str">
        <f>"43.143,75"</f>
        <v>43.143,75</v>
      </c>
      <c r="M1276" s="6" t="str">
        <f>"215.718,75"</f>
        <v>215.718,75</v>
      </c>
      <c r="N1276" s="8" t="s">
        <v>124</v>
      </c>
      <c r="O1276" s="7"/>
      <c r="P1276" s="2" t="s">
        <v>6432</v>
      </c>
      <c r="Q1276" s="1"/>
      <c r="R1276" s="1"/>
      <c r="S1276" s="1" t="str">
        <f>"3-22/NOS-85/20"</f>
        <v>3-22/NOS-85/20</v>
      </c>
      <c r="T1276" s="1" t="s">
        <v>32</v>
      </c>
    </row>
    <row r="1277" spans="1:20" ht="51" x14ac:dyDescent="0.25">
      <c r="A1277" s="6">
        <v>1274</v>
      </c>
      <c r="B1277" s="1" t="str">
        <f>"2020-2780"</f>
        <v>2020-2780</v>
      </c>
      <c r="C1277" s="1" t="s">
        <v>1315</v>
      </c>
      <c r="D1277" s="1" t="s">
        <v>1319</v>
      </c>
      <c r="E1277" s="1" t="str">
        <f>""</f>
        <v/>
      </c>
      <c r="F1277" s="1" t="s">
        <v>28</v>
      </c>
      <c r="G1277" s="1" t="str">
        <f>CONCATENATE("PETROL D.O.O.,"," OIB: 75550985023")</f>
        <v>PETROL D.O.O., OIB: 75550985023</v>
      </c>
      <c r="H1277" s="7"/>
      <c r="I1277" s="8" t="s">
        <v>877</v>
      </c>
      <c r="J1277" s="8" t="s">
        <v>423</v>
      </c>
      <c r="K1277" s="6" t="str">
        <f>"78.390,00"</f>
        <v>78.390,00</v>
      </c>
      <c r="L1277" s="6" t="str">
        <f>"0,00"</f>
        <v>0,00</v>
      </c>
      <c r="M1277" s="6" t="str">
        <f>"78.390,00"</f>
        <v>78.390,00</v>
      </c>
      <c r="N1277" s="8" t="s">
        <v>124</v>
      </c>
      <c r="O1277" s="7"/>
      <c r="P1277" s="2" t="s">
        <v>5614</v>
      </c>
      <c r="Q1277" s="7"/>
      <c r="R1277" s="1"/>
      <c r="S1277" s="1" t="str">
        <f>"2-22/NOS-85/20"</f>
        <v>2-22/NOS-85/20</v>
      </c>
      <c r="T1277" s="1" t="s">
        <v>32</v>
      </c>
    </row>
    <row r="1278" spans="1:20" ht="204" x14ac:dyDescent="0.25">
      <c r="A1278" s="6">
        <v>1275</v>
      </c>
      <c r="B1278" s="1" t="str">
        <f t="shared" ref="B1278:B1285" si="114">"2020-211"</f>
        <v>2020-211</v>
      </c>
      <c r="C1278" s="1" t="s">
        <v>1321</v>
      </c>
      <c r="D1278" s="1" t="s">
        <v>1322</v>
      </c>
      <c r="E1278" s="1" t="str">
        <f>" 2020/S 0F2-0038008"</f>
        <v xml:space="preserve"> 2020/S 0F2-0038008</v>
      </c>
      <c r="F1278" s="1" t="s">
        <v>22</v>
      </c>
      <c r="G1278" s="1" t="str">
        <f>CONCATENATE("SMIT-COMMERCE D.O.O.,"," GORNJOSTUPNIČKA 9B,"," 10255 GORNJI STUPNIK,"," OIB: 95243482140",CHAR(10),"",CHAR(10),"CONFESTIM D.O.O.,"," FRANJE WOLFA 4,"," 10000 ZAGREB,"," OIB: 08953264659",CHAR(10),"",CHAR(10),"BILAĆ COLOR D.O.O.,"," VODIĆKA 24,"," 10000 ZAGREB,"," OIB: 54294753")</f>
        <v>SMIT-COMMERCE D.O.O., GORNJOSTUPNIČKA 9B, 10255 GORNJI STUPNIK, OIB: 95243482140
CONFESTIM D.O.O., FRANJE WOLFA 4, 10000 ZAGREB, OIB: 08953264659
BILAĆ COLOR D.O.O., VODIĆKA 24, 10000 ZAGREB, OIB: 54294753</v>
      </c>
      <c r="H1278" s="7"/>
      <c r="I1278" s="8" t="s">
        <v>1323</v>
      </c>
      <c r="J1278" s="8" t="s">
        <v>1287</v>
      </c>
      <c r="K1278" s="6" t="str">
        <f>"3.500.000,00"</f>
        <v>3.500.000,00</v>
      </c>
      <c r="L1278" s="6" t="str">
        <f>"875.000,00"</f>
        <v>875.000,00</v>
      </c>
      <c r="M1278" s="6" t="str">
        <f>"4.375.000,00"</f>
        <v>4.375.000,00</v>
      </c>
      <c r="N1278" s="8" t="s">
        <v>124</v>
      </c>
      <c r="O1278" s="7"/>
      <c r="P1278" s="2" t="s">
        <v>5614</v>
      </c>
      <c r="Q1278" s="7"/>
      <c r="R1278" s="1"/>
      <c r="S1278" s="1" t="str">
        <f>"NOS-75/20"</f>
        <v>NOS-75/20</v>
      </c>
      <c r="T1278" s="1" t="s">
        <v>32</v>
      </c>
    </row>
    <row r="1279" spans="1:20" ht="51" x14ac:dyDescent="0.25">
      <c r="A1279" s="6">
        <v>1276</v>
      </c>
      <c r="B1279" s="1" t="str">
        <f t="shared" si="114"/>
        <v>2020-211</v>
      </c>
      <c r="C1279" s="1" t="s">
        <v>1321</v>
      </c>
      <c r="D1279" s="1" t="s">
        <v>1324</v>
      </c>
      <c r="E1279" s="1" t="str">
        <f>""</f>
        <v/>
      </c>
      <c r="F1279" s="1" t="s">
        <v>28</v>
      </c>
      <c r="G1279" s="1" t="str">
        <f t="shared" ref="G1279:G1285" si="115">CONCATENATE("CONFESTIM D.O.O.,"," FRANJE WOLFA 4,"," 10000 ZAGREB,"," OIB: 08953264659")</f>
        <v>CONFESTIM D.O.O., FRANJE WOLFA 4, 10000 ZAGREB, OIB: 08953264659</v>
      </c>
      <c r="H1279" s="7"/>
      <c r="I1279" s="8" t="s">
        <v>226</v>
      </c>
      <c r="J1279" s="8" t="s">
        <v>292</v>
      </c>
      <c r="K1279" s="6" t="str">
        <f>"182.500,00"</f>
        <v>182.500,00</v>
      </c>
      <c r="L1279" s="6" t="str">
        <f>"45.625,00"</f>
        <v>45.625,00</v>
      </c>
      <c r="M1279" s="6" t="str">
        <f>"228.125,00"</f>
        <v>228.125,00</v>
      </c>
      <c r="N1279" s="8" t="s">
        <v>1112</v>
      </c>
      <c r="O1279" s="7"/>
      <c r="P1279" s="2" t="s">
        <v>6433</v>
      </c>
      <c r="Q1279" s="7"/>
      <c r="R1279" s="1"/>
      <c r="S1279" s="1" t="str">
        <f>"1-22/NOS-75/20"</f>
        <v>1-22/NOS-75/20</v>
      </c>
      <c r="T1279" s="1" t="s">
        <v>32</v>
      </c>
    </row>
    <row r="1280" spans="1:20" ht="51" x14ac:dyDescent="0.25">
      <c r="A1280" s="6">
        <v>1277</v>
      </c>
      <c r="B1280" s="1" t="str">
        <f t="shared" si="114"/>
        <v>2020-211</v>
      </c>
      <c r="C1280" s="1" t="s">
        <v>1321</v>
      </c>
      <c r="D1280" s="1" t="s">
        <v>1324</v>
      </c>
      <c r="E1280" s="1" t="str">
        <f>""</f>
        <v/>
      </c>
      <c r="F1280" s="1" t="s">
        <v>28</v>
      </c>
      <c r="G1280" s="1" t="str">
        <f t="shared" si="115"/>
        <v>CONFESTIM D.O.O., FRANJE WOLFA 4, 10000 ZAGREB, OIB: 08953264659</v>
      </c>
      <c r="H1280" s="7"/>
      <c r="I1280" s="8" t="s">
        <v>42</v>
      </c>
      <c r="J1280" s="7"/>
      <c r="K1280" s="6" t="str">
        <f>"257.500,00"</f>
        <v>257.500,00</v>
      </c>
      <c r="L1280" s="6" t="str">
        <f>"69.025,00"</f>
        <v>69.025,00</v>
      </c>
      <c r="M1280" s="6" t="str">
        <f>"326.525,00"</f>
        <v>326.525,00</v>
      </c>
      <c r="N1280" s="8" t="s">
        <v>263</v>
      </c>
      <c r="O1280" s="7"/>
      <c r="P1280" s="2" t="s">
        <v>6434</v>
      </c>
      <c r="Q1280" s="1" t="s">
        <v>488</v>
      </c>
      <c r="R1280" s="1"/>
      <c r="S1280" s="1" t="str">
        <f>"2-22/NOS-75/20"</f>
        <v>2-22/NOS-75/20</v>
      </c>
      <c r="T1280" s="1" t="s">
        <v>32</v>
      </c>
    </row>
    <row r="1281" spans="1:20" ht="51" x14ac:dyDescent="0.25">
      <c r="A1281" s="6">
        <v>1278</v>
      </c>
      <c r="B1281" s="1" t="str">
        <f t="shared" si="114"/>
        <v>2020-211</v>
      </c>
      <c r="C1281" s="1" t="s">
        <v>1321</v>
      </c>
      <c r="D1281" s="1" t="s">
        <v>1324</v>
      </c>
      <c r="E1281" s="1" t="str">
        <f>""</f>
        <v/>
      </c>
      <c r="F1281" s="1" t="s">
        <v>28</v>
      </c>
      <c r="G1281" s="1" t="str">
        <f t="shared" si="115"/>
        <v>CONFESTIM D.O.O., FRANJE WOLFA 4, 10000 ZAGREB, OIB: 08953264659</v>
      </c>
      <c r="H1281" s="7"/>
      <c r="I1281" s="8" t="s">
        <v>848</v>
      </c>
      <c r="J1281" s="8" t="s">
        <v>423</v>
      </c>
      <c r="K1281" s="6" t="str">
        <f>"208.000,00"</f>
        <v>208.000,00</v>
      </c>
      <c r="L1281" s="6" t="str">
        <f>"41.675,00"</f>
        <v>41.675,00</v>
      </c>
      <c r="M1281" s="6" t="str">
        <f>"249.675,00"</f>
        <v>249.675,00</v>
      </c>
      <c r="N1281" s="8" t="s">
        <v>427</v>
      </c>
      <c r="O1281" s="7"/>
      <c r="P1281" s="2" t="s">
        <v>6435</v>
      </c>
      <c r="Q1281" s="7"/>
      <c r="R1281" s="1"/>
      <c r="S1281" s="1" t="str">
        <f>"3-22/NOS-75/20"</f>
        <v>3-22/NOS-75/20</v>
      </c>
      <c r="T1281" s="1" t="s">
        <v>32</v>
      </c>
    </row>
    <row r="1282" spans="1:20" ht="51" x14ac:dyDescent="0.25">
      <c r="A1282" s="6">
        <v>1279</v>
      </c>
      <c r="B1282" s="1" t="str">
        <f t="shared" si="114"/>
        <v>2020-211</v>
      </c>
      <c r="C1282" s="1" t="s">
        <v>1321</v>
      </c>
      <c r="D1282" s="1" t="s">
        <v>1324</v>
      </c>
      <c r="E1282" s="1" t="str">
        <f>""</f>
        <v/>
      </c>
      <c r="F1282" s="1" t="s">
        <v>28</v>
      </c>
      <c r="G1282" s="1" t="str">
        <f t="shared" si="115"/>
        <v>CONFESTIM D.O.O., FRANJE WOLFA 4, 10000 ZAGREB, OIB: 08953264659</v>
      </c>
      <c r="H1282" s="7"/>
      <c r="I1282" s="8" t="s">
        <v>522</v>
      </c>
      <c r="J1282" s="8" t="s">
        <v>423</v>
      </c>
      <c r="K1282" s="6" t="str">
        <f>"153.000,00"</f>
        <v>153.000,00</v>
      </c>
      <c r="L1282" s="6" t="str">
        <f>"38.250,00"</f>
        <v>38.250,00</v>
      </c>
      <c r="M1282" s="6" t="str">
        <f>"191.250,00"</f>
        <v>191.250,00</v>
      </c>
      <c r="N1282" s="8" t="s">
        <v>263</v>
      </c>
      <c r="O1282" s="7"/>
      <c r="P1282" s="2" t="s">
        <v>6436</v>
      </c>
      <c r="Q1282" s="7"/>
      <c r="R1282" s="1"/>
      <c r="S1282" s="1" t="str">
        <f>"4-22/NOS-75/20"</f>
        <v>4-22/NOS-75/20</v>
      </c>
      <c r="T1282" s="1" t="s">
        <v>32</v>
      </c>
    </row>
    <row r="1283" spans="1:20" ht="51" x14ac:dyDescent="0.25">
      <c r="A1283" s="6">
        <v>1280</v>
      </c>
      <c r="B1283" s="1" t="str">
        <f t="shared" si="114"/>
        <v>2020-211</v>
      </c>
      <c r="C1283" s="1" t="s">
        <v>1321</v>
      </c>
      <c r="D1283" s="1" t="s">
        <v>1324</v>
      </c>
      <c r="E1283" s="1" t="str">
        <f>""</f>
        <v/>
      </c>
      <c r="F1283" s="1" t="s">
        <v>28</v>
      </c>
      <c r="G1283" s="1" t="str">
        <f t="shared" si="115"/>
        <v>CONFESTIM D.O.O., FRANJE WOLFA 4, 10000 ZAGREB, OIB: 08953264659</v>
      </c>
      <c r="H1283" s="7"/>
      <c r="I1283" s="8" t="s">
        <v>427</v>
      </c>
      <c r="J1283" s="8" t="s">
        <v>423</v>
      </c>
      <c r="K1283" s="6" t="str">
        <f>"212.000,00"</f>
        <v>212.000,00</v>
      </c>
      <c r="L1283" s="6" t="str">
        <f>"45.625,00"</f>
        <v>45.625,00</v>
      </c>
      <c r="M1283" s="6" t="str">
        <f>"257.625,00"</f>
        <v>257.625,00</v>
      </c>
      <c r="N1283" s="8" t="s">
        <v>732</v>
      </c>
      <c r="O1283" s="7"/>
      <c r="P1283" s="2" t="s">
        <v>6433</v>
      </c>
      <c r="Q1283" s="7"/>
      <c r="R1283" s="1"/>
      <c r="S1283" s="1" t="str">
        <f>"6-22/NOS-75/20"</f>
        <v>6-22/NOS-75/20</v>
      </c>
      <c r="T1283" s="1" t="s">
        <v>32</v>
      </c>
    </row>
    <row r="1284" spans="1:20" ht="51" x14ac:dyDescent="0.25">
      <c r="A1284" s="6">
        <v>1281</v>
      </c>
      <c r="B1284" s="1" t="str">
        <f t="shared" si="114"/>
        <v>2020-211</v>
      </c>
      <c r="C1284" s="1" t="s">
        <v>1321</v>
      </c>
      <c r="D1284" s="1" t="s">
        <v>1324</v>
      </c>
      <c r="E1284" s="1" t="str">
        <f>""</f>
        <v/>
      </c>
      <c r="F1284" s="1" t="s">
        <v>28</v>
      </c>
      <c r="G1284" s="1" t="str">
        <f t="shared" si="115"/>
        <v>CONFESTIM D.O.O., FRANJE WOLFA 4, 10000 ZAGREB, OIB: 08953264659</v>
      </c>
      <c r="H1284" s="7"/>
      <c r="I1284" s="8" t="s">
        <v>565</v>
      </c>
      <c r="J1284" s="8" t="s">
        <v>423</v>
      </c>
      <c r="K1284" s="6" t="str">
        <f>"173.000,00"</f>
        <v>173.000,00</v>
      </c>
      <c r="L1284" s="6" t="str">
        <f>"43.250,00"</f>
        <v>43.250,00</v>
      </c>
      <c r="M1284" s="6" t="str">
        <f>"216.250,00"</f>
        <v>216.250,00</v>
      </c>
      <c r="N1284" s="8" t="s">
        <v>1159</v>
      </c>
      <c r="O1284" s="7"/>
      <c r="P1284" s="2" t="s">
        <v>6437</v>
      </c>
      <c r="Q1284" s="7"/>
      <c r="R1284" s="1"/>
      <c r="S1284" s="1" t="str">
        <f>"7-22/NOS-75/20"</f>
        <v>7-22/NOS-75/20</v>
      </c>
      <c r="T1284" s="1" t="s">
        <v>32</v>
      </c>
    </row>
    <row r="1285" spans="1:20" ht="51" x14ac:dyDescent="0.25">
      <c r="A1285" s="6">
        <v>1282</v>
      </c>
      <c r="B1285" s="1" t="str">
        <f t="shared" si="114"/>
        <v>2020-211</v>
      </c>
      <c r="C1285" s="1" t="s">
        <v>1321</v>
      </c>
      <c r="D1285" s="1" t="s">
        <v>1324</v>
      </c>
      <c r="E1285" s="1" t="str">
        <f>""</f>
        <v/>
      </c>
      <c r="F1285" s="1" t="s">
        <v>28</v>
      </c>
      <c r="G1285" s="1" t="str">
        <f t="shared" si="115"/>
        <v>CONFESTIM D.O.O., FRANJE WOLFA 4, 10000 ZAGREB, OIB: 08953264659</v>
      </c>
      <c r="H1285" s="7"/>
      <c r="I1285" s="8" t="s">
        <v>1191</v>
      </c>
      <c r="J1285" s="8" t="s">
        <v>423</v>
      </c>
      <c r="K1285" s="6" t="str">
        <f>"731.000,00"</f>
        <v>731.000,00</v>
      </c>
      <c r="L1285" s="6" t="str">
        <f>"0,00"</f>
        <v>0,00</v>
      </c>
      <c r="M1285" s="6" t="str">
        <f>"731.000,00"</f>
        <v>731.000,00</v>
      </c>
      <c r="N1285" s="8" t="s">
        <v>124</v>
      </c>
      <c r="O1285" s="7"/>
      <c r="P1285" s="2" t="s">
        <v>5614</v>
      </c>
      <c r="Q1285" s="7"/>
      <c r="R1285" s="1"/>
      <c r="S1285" s="1" t="str">
        <f>"8-22/NOS-75/20"</f>
        <v>8-22/NOS-75/20</v>
      </c>
      <c r="T1285" s="1" t="s">
        <v>32</v>
      </c>
    </row>
    <row r="1286" spans="1:20" ht="204" x14ac:dyDescent="0.25">
      <c r="A1286" s="6">
        <v>1283</v>
      </c>
      <c r="B1286" s="1" t="str">
        <f>"2020-1408"</f>
        <v>2020-1408</v>
      </c>
      <c r="C1286" s="1" t="s">
        <v>1325</v>
      </c>
      <c r="D1286" s="1" t="s">
        <v>1326</v>
      </c>
      <c r="E1286" s="1" t="str">
        <f>"2020/S 0F2-0018701"</f>
        <v>2020/S 0F2-0018701</v>
      </c>
      <c r="F1286" s="1" t="s">
        <v>22</v>
      </c>
      <c r="G1286" s="1"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1286" s="7"/>
      <c r="I1286" s="8" t="s">
        <v>1013</v>
      </c>
      <c r="J1286" s="8" t="s">
        <v>1327</v>
      </c>
      <c r="K1286" s="6" t="str">
        <f>"190.000,00"</f>
        <v>190.000,00</v>
      </c>
      <c r="L1286" s="6" t="str">
        <f>"47.500,00"</f>
        <v>47.500,00</v>
      </c>
      <c r="M1286" s="6" t="str">
        <f>"237.500,00"</f>
        <v>237.500,00</v>
      </c>
      <c r="N1286" s="8" t="s">
        <v>124</v>
      </c>
      <c r="O1286" s="7"/>
      <c r="P1286" s="2" t="s">
        <v>5614</v>
      </c>
      <c r="Q1286" s="7"/>
      <c r="R1286" s="1"/>
      <c r="S1286" s="1" t="str">
        <f>"NOS-86-2/20"</f>
        <v>NOS-86-2/20</v>
      </c>
      <c r="T1286" s="1" t="s">
        <v>68</v>
      </c>
    </row>
    <row r="1287" spans="1:20" ht="216.75" x14ac:dyDescent="0.25">
      <c r="A1287" s="6">
        <v>1284</v>
      </c>
      <c r="B1287" s="1" t="str">
        <f>"2020-1408"</f>
        <v>2020-1408</v>
      </c>
      <c r="C1287" s="1" t="s">
        <v>1325</v>
      </c>
      <c r="D1287" s="1" t="s">
        <v>1328</v>
      </c>
      <c r="E1287" s="1" t="str">
        <f>""</f>
        <v/>
      </c>
      <c r="F1287" s="1" t="s">
        <v>28</v>
      </c>
      <c r="G1287" s="1"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1287" s="7"/>
      <c r="I1287" s="8" t="s">
        <v>409</v>
      </c>
      <c r="J1287" s="8" t="s">
        <v>393</v>
      </c>
      <c r="K1287" s="6" t="str">
        <f>"2.240,00"</f>
        <v>2.240,00</v>
      </c>
      <c r="L1287" s="6" t="str">
        <f>"0,00"</f>
        <v>0,00</v>
      </c>
      <c r="M1287" s="6" t="str">
        <f>"2.240,00"</f>
        <v>2.240,00</v>
      </c>
      <c r="N1287" s="8" t="s">
        <v>124</v>
      </c>
      <c r="O1287" s="7"/>
      <c r="P1287" s="2" t="s">
        <v>5614</v>
      </c>
      <c r="Q1287" s="7"/>
      <c r="R1287" s="1"/>
      <c r="S1287" s="1" t="str">
        <f>"1-22/NOS-86-2/20"</f>
        <v>1-22/NOS-86-2/20</v>
      </c>
      <c r="T1287" s="1" t="s">
        <v>32</v>
      </c>
    </row>
    <row r="1288" spans="1:20" ht="51" x14ac:dyDescent="0.25">
      <c r="A1288" s="6">
        <v>1285</v>
      </c>
      <c r="B1288" s="1" t="str">
        <f>"2020-2954"</f>
        <v>2020-2954</v>
      </c>
      <c r="C1288" s="1" t="s">
        <v>1329</v>
      </c>
      <c r="D1288" s="1" t="s">
        <v>1330</v>
      </c>
      <c r="E1288" s="1" t="str">
        <f>"2020/S F14-0045093"</f>
        <v>2020/S F14-0045093</v>
      </c>
      <c r="F1288" s="1" t="s">
        <v>22</v>
      </c>
      <c r="G1288" s="1" t="str">
        <f>CONCATENATE("FDS-TRGOVINA D.O.O.,"," MAJSTORSKA 1G,"," 10000 ZAGREB,"," OIB: 71814187727")</f>
        <v>FDS-TRGOVINA D.O.O., MAJSTORSKA 1G, 10000 ZAGREB, OIB: 71814187727</v>
      </c>
      <c r="H1288" s="7"/>
      <c r="I1288" s="8" t="s">
        <v>1331</v>
      </c>
      <c r="J1288" s="8" t="s">
        <v>1332</v>
      </c>
      <c r="K1288" s="6" t="str">
        <f>"1.400.000,00"</f>
        <v>1.400.000,00</v>
      </c>
      <c r="L1288" s="6" t="str">
        <f>"350.000,00"</f>
        <v>350.000,00</v>
      </c>
      <c r="M1288" s="6" t="str">
        <f>"1.750.000,00"</f>
        <v>1.750.000,00</v>
      </c>
      <c r="N1288" s="8" t="s">
        <v>124</v>
      </c>
      <c r="O1288" s="7"/>
      <c r="P1288" s="2" t="s">
        <v>6438</v>
      </c>
      <c r="Q1288" s="7"/>
      <c r="R1288" s="1"/>
      <c r="S1288" s="1" t="str">
        <f>"NOS-87/20"</f>
        <v>NOS-87/20</v>
      </c>
      <c r="T1288" s="1" t="s">
        <v>452</v>
      </c>
    </row>
    <row r="1289" spans="1:20" ht="76.5" x14ac:dyDescent="0.25">
      <c r="A1289" s="6">
        <v>1286</v>
      </c>
      <c r="B1289" s="1" t="str">
        <f t="shared" ref="B1289:B1302" si="116">"2020-1157"</f>
        <v>2020-1157</v>
      </c>
      <c r="C1289" s="1" t="s">
        <v>1333</v>
      </c>
      <c r="D1289" s="1" t="s">
        <v>1334</v>
      </c>
      <c r="E1289" s="1" t="str">
        <f>"2020/S 0F2-0039033"</f>
        <v>2020/S 0F2-0039033</v>
      </c>
      <c r="F1289" s="1" t="s">
        <v>22</v>
      </c>
      <c r="G1289" s="1" t="str">
        <f t="shared" ref="G1289:G1300" si="117">CONCATENATE("SMIT-COMMERCE D.O.O.,"," GORNJOSTUPNIČKA 9B,"," 10255 GORNJI STUPNIK,"," OIB: 9524348214")</f>
        <v>SMIT-COMMERCE D.O.O., GORNJOSTUPNIČKA 9B, 10255 GORNJI STUPNIK, OIB: 9524348214</v>
      </c>
      <c r="H1289" s="7"/>
      <c r="I1289" s="8" t="s">
        <v>1335</v>
      </c>
      <c r="J1289" s="8" t="s">
        <v>1336</v>
      </c>
      <c r="K1289" s="6" t="str">
        <f>"1.450.000,00"</f>
        <v>1.450.000,00</v>
      </c>
      <c r="L1289" s="6" t="str">
        <f>"362.500,00"</f>
        <v>362.500,00</v>
      </c>
      <c r="M1289" s="6" t="str">
        <f>"1.812.500,00"</f>
        <v>1.812.500,00</v>
      </c>
      <c r="N1289" s="8" t="s">
        <v>124</v>
      </c>
      <c r="O1289" s="7"/>
      <c r="P1289" s="2" t="s">
        <v>5614</v>
      </c>
      <c r="Q1289" s="7"/>
      <c r="R1289" s="1"/>
      <c r="S1289" s="1" t="str">
        <f>"NOS-80-1/20"</f>
        <v>NOS-80-1/20</v>
      </c>
      <c r="T1289" s="1" t="s">
        <v>27</v>
      </c>
    </row>
    <row r="1290" spans="1:20" ht="76.5" x14ac:dyDescent="0.25">
      <c r="A1290" s="6">
        <v>1287</v>
      </c>
      <c r="B1290" s="1" t="str">
        <f t="shared" si="116"/>
        <v>2020-1157</v>
      </c>
      <c r="C1290" s="1" t="s">
        <v>1333</v>
      </c>
      <c r="D1290" s="1" t="s">
        <v>1337</v>
      </c>
      <c r="E1290" s="1" t="str">
        <f>""</f>
        <v/>
      </c>
      <c r="F1290" s="1" t="s">
        <v>28</v>
      </c>
      <c r="G1290" s="1" t="str">
        <f t="shared" si="117"/>
        <v>SMIT-COMMERCE D.O.O., GORNJOSTUPNIČKA 9B, 10255 GORNJI STUPNIK, OIB: 9524348214</v>
      </c>
      <c r="H1290" s="7"/>
      <c r="I1290" s="8" t="s">
        <v>1025</v>
      </c>
      <c r="J1290" s="8" t="s">
        <v>256</v>
      </c>
      <c r="K1290" s="6" t="str">
        <f>"2.180,00"</f>
        <v>2.180,00</v>
      </c>
      <c r="L1290" s="6" t="str">
        <f>"545,00"</f>
        <v>545,00</v>
      </c>
      <c r="M1290" s="6" t="str">
        <f>"2.725,00"</f>
        <v>2.725,00</v>
      </c>
      <c r="N1290" s="8" t="s">
        <v>567</v>
      </c>
      <c r="O1290" s="7"/>
      <c r="P1290" s="2" t="s">
        <v>6439</v>
      </c>
      <c r="Q1290" s="7"/>
      <c r="R1290" s="1"/>
      <c r="S1290" s="1" t="str">
        <f>"9-22/NOS-80-1/20"</f>
        <v>9-22/NOS-80-1/20</v>
      </c>
      <c r="T1290" s="1" t="s">
        <v>32</v>
      </c>
    </row>
    <row r="1291" spans="1:20" ht="76.5" x14ac:dyDescent="0.25">
      <c r="A1291" s="6">
        <v>1288</v>
      </c>
      <c r="B1291" s="1" t="str">
        <f t="shared" si="116"/>
        <v>2020-1157</v>
      </c>
      <c r="C1291" s="1" t="s">
        <v>1333</v>
      </c>
      <c r="D1291" s="1" t="s">
        <v>1337</v>
      </c>
      <c r="E1291" s="1" t="str">
        <f>""</f>
        <v/>
      </c>
      <c r="F1291" s="1" t="s">
        <v>28</v>
      </c>
      <c r="G1291" s="1" t="str">
        <f t="shared" si="117"/>
        <v>SMIT-COMMERCE D.O.O., GORNJOSTUPNIČKA 9B, 10255 GORNJI STUPNIK, OIB: 9524348214</v>
      </c>
      <c r="H1291" s="7"/>
      <c r="I1291" s="8" t="s">
        <v>430</v>
      </c>
      <c r="J1291" s="8" t="s">
        <v>256</v>
      </c>
      <c r="K1291" s="6" t="str">
        <f>"1.663,83"</f>
        <v>1.663,83</v>
      </c>
      <c r="L1291" s="6" t="str">
        <f>"0,00"</f>
        <v>0,00</v>
      </c>
      <c r="M1291" s="6" t="str">
        <f>"1.663,83"</f>
        <v>1.663,83</v>
      </c>
      <c r="N1291" s="8" t="s">
        <v>124</v>
      </c>
      <c r="O1291" s="7"/>
      <c r="P1291" s="2" t="s">
        <v>5614</v>
      </c>
      <c r="Q1291" s="7"/>
      <c r="R1291" s="1"/>
      <c r="S1291" s="1" t="str">
        <f>"7-22/NOS-80-1/20"</f>
        <v>7-22/NOS-80-1/20</v>
      </c>
      <c r="T1291" s="1" t="s">
        <v>55</v>
      </c>
    </row>
    <row r="1292" spans="1:20" ht="76.5" x14ac:dyDescent="0.25">
      <c r="A1292" s="6">
        <v>1289</v>
      </c>
      <c r="B1292" s="1" t="str">
        <f t="shared" si="116"/>
        <v>2020-1157</v>
      </c>
      <c r="C1292" s="1" t="s">
        <v>1333</v>
      </c>
      <c r="D1292" s="1" t="s">
        <v>1337</v>
      </c>
      <c r="E1292" s="1" t="str">
        <f>""</f>
        <v/>
      </c>
      <c r="F1292" s="1" t="s">
        <v>28</v>
      </c>
      <c r="G1292" s="1" t="str">
        <f t="shared" si="117"/>
        <v>SMIT-COMMERCE D.O.O., GORNJOSTUPNIČKA 9B, 10255 GORNJI STUPNIK, OIB: 9524348214</v>
      </c>
      <c r="H1292" s="7"/>
      <c r="I1292" s="8" t="s">
        <v>1123</v>
      </c>
      <c r="J1292" s="8" t="s">
        <v>256</v>
      </c>
      <c r="K1292" s="6" t="str">
        <f>"1.899,00"</f>
        <v>1.899,00</v>
      </c>
      <c r="L1292" s="6" t="str">
        <f>"0,00"</f>
        <v>0,00</v>
      </c>
      <c r="M1292" s="6" t="str">
        <f>"1.899,00"</f>
        <v>1.899,00</v>
      </c>
      <c r="N1292" s="8" t="s">
        <v>124</v>
      </c>
      <c r="O1292" s="7"/>
      <c r="P1292" s="2" t="s">
        <v>5614</v>
      </c>
      <c r="Q1292" s="7"/>
      <c r="R1292" s="1"/>
      <c r="S1292" s="1" t="str">
        <f>"13-22/NOS-80-1/20"</f>
        <v>13-22/NOS-80-1/20</v>
      </c>
      <c r="T1292" s="1" t="s">
        <v>55</v>
      </c>
    </row>
    <row r="1293" spans="1:20" ht="76.5" x14ac:dyDescent="0.25">
      <c r="A1293" s="6">
        <v>1290</v>
      </c>
      <c r="B1293" s="1" t="str">
        <f t="shared" si="116"/>
        <v>2020-1157</v>
      </c>
      <c r="C1293" s="1" t="s">
        <v>1338</v>
      </c>
      <c r="D1293" s="1" t="s">
        <v>1337</v>
      </c>
      <c r="E1293" s="1" t="str">
        <f>""</f>
        <v/>
      </c>
      <c r="F1293" s="1" t="s">
        <v>28</v>
      </c>
      <c r="G1293" s="1" t="str">
        <f t="shared" si="117"/>
        <v>SMIT-COMMERCE D.O.O., GORNJOSTUPNIČKA 9B, 10255 GORNJI STUPNIK, OIB: 9524348214</v>
      </c>
      <c r="H1293" s="7"/>
      <c r="I1293" s="8" t="s">
        <v>496</v>
      </c>
      <c r="J1293" s="8" t="s">
        <v>561</v>
      </c>
      <c r="K1293" s="6" t="str">
        <f>"79.940,67"</f>
        <v>79.940,67</v>
      </c>
      <c r="L1293" s="6" t="str">
        <f>"19.985,17"</f>
        <v>19.985,17</v>
      </c>
      <c r="M1293" s="6" t="str">
        <f>"99.925,84"</f>
        <v>99.925,84</v>
      </c>
      <c r="N1293" s="8" t="s">
        <v>744</v>
      </c>
      <c r="O1293" s="7"/>
      <c r="P1293" s="2" t="s">
        <v>6440</v>
      </c>
      <c r="Q1293" s="1" t="s">
        <v>5599</v>
      </c>
      <c r="R1293" s="1"/>
      <c r="S1293" s="1" t="str">
        <f>"14-21/NOS-80-1/20"</f>
        <v>14-21/NOS-80-1/20</v>
      </c>
      <c r="T1293" s="1" t="s">
        <v>32</v>
      </c>
    </row>
    <row r="1294" spans="1:20" ht="76.5" x14ac:dyDescent="0.25">
      <c r="A1294" s="6">
        <v>1291</v>
      </c>
      <c r="B1294" s="1" t="str">
        <f t="shared" si="116"/>
        <v>2020-1157</v>
      </c>
      <c r="C1294" s="1" t="s">
        <v>1338</v>
      </c>
      <c r="D1294" s="1" t="s">
        <v>1337</v>
      </c>
      <c r="E1294" s="1" t="str">
        <f>""</f>
        <v/>
      </c>
      <c r="F1294" s="1" t="s">
        <v>28</v>
      </c>
      <c r="G1294" s="1" t="str">
        <f t="shared" si="117"/>
        <v>SMIT-COMMERCE D.O.O., GORNJOSTUPNIČKA 9B, 10255 GORNJI STUPNIK, OIB: 9524348214</v>
      </c>
      <c r="H1294" s="7"/>
      <c r="I1294" s="8" t="s">
        <v>90</v>
      </c>
      <c r="J1294" s="8" t="s">
        <v>259</v>
      </c>
      <c r="K1294" s="6" t="str">
        <f>"55.637,30"</f>
        <v>55.637,30</v>
      </c>
      <c r="L1294" s="6" t="str">
        <f>"13.909,33"</f>
        <v>13.909,33</v>
      </c>
      <c r="M1294" s="6" t="str">
        <f>"69.546,63"</f>
        <v>69.546,63</v>
      </c>
      <c r="N1294" s="8" t="s">
        <v>72</v>
      </c>
      <c r="O1294" s="7"/>
      <c r="P1294" s="2" t="s">
        <v>6441</v>
      </c>
      <c r="Q1294" s="7"/>
      <c r="R1294" s="1"/>
      <c r="S1294" s="1" t="str">
        <f>"1-22/NOS-80-1/20"</f>
        <v>1-22/NOS-80-1/20</v>
      </c>
      <c r="T1294" s="1" t="s">
        <v>32</v>
      </c>
    </row>
    <row r="1295" spans="1:20" ht="76.5" x14ac:dyDescent="0.25">
      <c r="A1295" s="6">
        <v>1292</v>
      </c>
      <c r="B1295" s="1" t="str">
        <f t="shared" si="116"/>
        <v>2020-1157</v>
      </c>
      <c r="C1295" s="1" t="s">
        <v>1338</v>
      </c>
      <c r="D1295" s="1" t="s">
        <v>1337</v>
      </c>
      <c r="E1295" s="1" t="str">
        <f>""</f>
        <v/>
      </c>
      <c r="F1295" s="1" t="s">
        <v>28</v>
      </c>
      <c r="G1295" s="1" t="str">
        <f t="shared" si="117"/>
        <v>SMIT-COMMERCE D.O.O., GORNJOSTUPNIČKA 9B, 10255 GORNJI STUPNIK, OIB: 9524348214</v>
      </c>
      <c r="H1295" s="7"/>
      <c r="I1295" s="8" t="s">
        <v>1112</v>
      </c>
      <c r="J1295" s="8" t="s">
        <v>133</v>
      </c>
      <c r="K1295" s="6" t="str">
        <f>"754,85"</f>
        <v>754,85</v>
      </c>
      <c r="L1295" s="6" t="str">
        <f>"188,71"</f>
        <v>188,71</v>
      </c>
      <c r="M1295" s="6" t="str">
        <f>"943,56"</f>
        <v>943,56</v>
      </c>
      <c r="N1295" s="8" t="s">
        <v>877</v>
      </c>
      <c r="O1295" s="7"/>
      <c r="P1295" s="2" t="s">
        <v>6442</v>
      </c>
      <c r="Q1295" s="7"/>
      <c r="R1295" s="1"/>
      <c r="S1295" s="1" t="str">
        <f>"2-22/NOS-80-1/20"</f>
        <v>2-22/NOS-80-1/20</v>
      </c>
      <c r="T1295" s="1" t="s">
        <v>32</v>
      </c>
    </row>
    <row r="1296" spans="1:20" ht="76.5" x14ac:dyDescent="0.25">
      <c r="A1296" s="6">
        <v>1293</v>
      </c>
      <c r="B1296" s="1" t="str">
        <f t="shared" si="116"/>
        <v>2020-1157</v>
      </c>
      <c r="C1296" s="1" t="s">
        <v>1338</v>
      </c>
      <c r="D1296" s="1" t="s">
        <v>1337</v>
      </c>
      <c r="E1296" s="1" t="str">
        <f>""</f>
        <v/>
      </c>
      <c r="F1296" s="1" t="s">
        <v>28</v>
      </c>
      <c r="G1296" s="1" t="str">
        <f t="shared" si="117"/>
        <v>SMIT-COMMERCE D.O.O., GORNJOSTUPNIČKA 9B, 10255 GORNJI STUPNIK, OIB: 9524348214</v>
      </c>
      <c r="H1296" s="7"/>
      <c r="I1296" s="8" t="s">
        <v>505</v>
      </c>
      <c r="J1296" s="8" t="s">
        <v>57</v>
      </c>
      <c r="K1296" s="6" t="str">
        <f>"2.392,50"</f>
        <v>2.392,50</v>
      </c>
      <c r="L1296" s="6" t="str">
        <f>"598,13"</f>
        <v>598,13</v>
      </c>
      <c r="M1296" s="6" t="str">
        <f>"2.990,63"</f>
        <v>2.990,63</v>
      </c>
      <c r="N1296" s="8" t="s">
        <v>372</v>
      </c>
      <c r="O1296" s="7"/>
      <c r="P1296" s="2" t="s">
        <v>6443</v>
      </c>
      <c r="Q1296" s="7"/>
      <c r="R1296" s="1"/>
      <c r="S1296" s="1" t="str">
        <f>"4-22/NOS-80-1/20"</f>
        <v>4-22/NOS-80-1/20</v>
      </c>
      <c r="T1296" s="1" t="s">
        <v>32</v>
      </c>
    </row>
    <row r="1297" spans="1:20" ht="76.5" x14ac:dyDescent="0.25">
      <c r="A1297" s="6">
        <v>1294</v>
      </c>
      <c r="B1297" s="1" t="str">
        <f t="shared" si="116"/>
        <v>2020-1157</v>
      </c>
      <c r="C1297" s="1" t="s">
        <v>1338</v>
      </c>
      <c r="D1297" s="1" t="s">
        <v>1337</v>
      </c>
      <c r="E1297" s="1" t="str">
        <f>""</f>
        <v/>
      </c>
      <c r="F1297" s="1" t="s">
        <v>28</v>
      </c>
      <c r="G1297" s="1" t="str">
        <f t="shared" si="117"/>
        <v>SMIT-COMMERCE D.O.O., GORNJOSTUPNIČKA 9B, 10255 GORNJI STUPNIK, OIB: 9524348214</v>
      </c>
      <c r="H1297" s="7"/>
      <c r="I1297" s="8" t="s">
        <v>994</v>
      </c>
      <c r="J1297" s="8" t="s">
        <v>469</v>
      </c>
      <c r="K1297" s="6" t="str">
        <f>"545,70"</f>
        <v>545,70</v>
      </c>
      <c r="L1297" s="6" t="str">
        <f>"136,43"</f>
        <v>136,43</v>
      </c>
      <c r="M1297" s="6" t="str">
        <f>"682,13"</f>
        <v>682,13</v>
      </c>
      <c r="N1297" s="8" t="s">
        <v>438</v>
      </c>
      <c r="O1297" s="7"/>
      <c r="P1297" s="2" t="s">
        <v>6444</v>
      </c>
      <c r="Q1297" s="7"/>
      <c r="R1297" s="1"/>
      <c r="S1297" s="1" t="str">
        <f>"5-22/NOS-80-1/20"</f>
        <v>5-22/NOS-80-1/20</v>
      </c>
      <c r="T1297" s="1" t="s">
        <v>32</v>
      </c>
    </row>
    <row r="1298" spans="1:20" ht="76.5" x14ac:dyDescent="0.25">
      <c r="A1298" s="6">
        <v>1295</v>
      </c>
      <c r="B1298" s="1" t="str">
        <f t="shared" si="116"/>
        <v>2020-1157</v>
      </c>
      <c r="C1298" s="1" t="s">
        <v>1338</v>
      </c>
      <c r="D1298" s="1" t="s">
        <v>1337</v>
      </c>
      <c r="E1298" s="1" t="str">
        <f>""</f>
        <v/>
      </c>
      <c r="F1298" s="1" t="s">
        <v>28</v>
      </c>
      <c r="G1298" s="1" t="str">
        <f t="shared" si="117"/>
        <v>SMIT-COMMERCE D.O.O., GORNJOSTUPNIČKA 9B, 10255 GORNJI STUPNIK, OIB: 9524348214</v>
      </c>
      <c r="H1298" s="7"/>
      <c r="I1298" s="8" t="s">
        <v>414</v>
      </c>
      <c r="J1298" s="8" t="s">
        <v>1339</v>
      </c>
      <c r="K1298" s="6" t="str">
        <f>"55.177,58"</f>
        <v>55.177,58</v>
      </c>
      <c r="L1298" s="6" t="str">
        <f>"13.794,40"</f>
        <v>13.794,40</v>
      </c>
      <c r="M1298" s="6" t="str">
        <f>"68.971,98"</f>
        <v>68.971,98</v>
      </c>
      <c r="N1298" s="8" t="s">
        <v>207</v>
      </c>
      <c r="O1298" s="7"/>
      <c r="P1298" s="2" t="s">
        <v>6445</v>
      </c>
      <c r="Q1298" s="7"/>
      <c r="R1298" s="1"/>
      <c r="S1298" s="1" t="str">
        <f>"8-22/NOS-80-1/20"</f>
        <v>8-22/NOS-80-1/20</v>
      </c>
      <c r="T1298" s="1" t="s">
        <v>32</v>
      </c>
    </row>
    <row r="1299" spans="1:20" ht="76.5" x14ac:dyDescent="0.25">
      <c r="A1299" s="6">
        <v>1296</v>
      </c>
      <c r="B1299" s="1" t="str">
        <f t="shared" si="116"/>
        <v>2020-1157</v>
      </c>
      <c r="C1299" s="1" t="s">
        <v>1338</v>
      </c>
      <c r="D1299" s="1" t="s">
        <v>1337</v>
      </c>
      <c r="E1299" s="1" t="str">
        <f>""</f>
        <v/>
      </c>
      <c r="F1299" s="1" t="s">
        <v>28</v>
      </c>
      <c r="G1299" s="1" t="str">
        <f t="shared" si="117"/>
        <v>SMIT-COMMERCE D.O.O., GORNJOSTUPNIČKA 9B, 10255 GORNJI STUPNIK, OIB: 9524348214</v>
      </c>
      <c r="H1299" s="7"/>
      <c r="I1299" s="8" t="s">
        <v>1191</v>
      </c>
      <c r="J1299" s="8" t="s">
        <v>1200</v>
      </c>
      <c r="K1299" s="6" t="str">
        <f>"3.027,30"</f>
        <v>3.027,30</v>
      </c>
      <c r="L1299" s="6" t="str">
        <f>"756,83"</f>
        <v>756,83</v>
      </c>
      <c r="M1299" s="6" t="str">
        <f>"3.784,13"</f>
        <v>3.784,13</v>
      </c>
      <c r="N1299" s="8" t="s">
        <v>124</v>
      </c>
      <c r="O1299" s="7"/>
      <c r="P1299" s="2" t="s">
        <v>5614</v>
      </c>
      <c r="Q1299" s="7"/>
      <c r="R1299" s="1"/>
      <c r="S1299" s="1" t="str">
        <f>"11-22/NOS-80-1/20"</f>
        <v>11-22/NOS-80-1/20</v>
      </c>
      <c r="T1299" s="1" t="s">
        <v>32</v>
      </c>
    </row>
    <row r="1300" spans="1:20" ht="76.5" x14ac:dyDescent="0.25">
      <c r="A1300" s="6">
        <v>1297</v>
      </c>
      <c r="B1300" s="1" t="str">
        <f t="shared" si="116"/>
        <v>2020-1157</v>
      </c>
      <c r="C1300" s="1" t="s">
        <v>1338</v>
      </c>
      <c r="D1300" s="1" t="s">
        <v>1337</v>
      </c>
      <c r="E1300" s="1" t="str">
        <f>""</f>
        <v/>
      </c>
      <c r="F1300" s="1" t="s">
        <v>28</v>
      </c>
      <c r="G1300" s="1" t="str">
        <f t="shared" si="117"/>
        <v>SMIT-COMMERCE D.O.O., GORNJOSTUPNIČKA 9B, 10255 GORNJI STUPNIK, OIB: 9524348214</v>
      </c>
      <c r="H1300" s="7"/>
      <c r="I1300" s="8" t="s">
        <v>433</v>
      </c>
      <c r="J1300" s="8" t="s">
        <v>411</v>
      </c>
      <c r="K1300" s="6" t="str">
        <f>"7.661,30"</f>
        <v>7.661,30</v>
      </c>
      <c r="L1300" s="6" t="str">
        <f>"1.915,33"</f>
        <v>1.915,33</v>
      </c>
      <c r="M1300" s="6" t="str">
        <f>"9.576,63"</f>
        <v>9.576,63</v>
      </c>
      <c r="N1300" s="8" t="s">
        <v>124</v>
      </c>
      <c r="O1300" s="7"/>
      <c r="P1300" s="2" t="s">
        <v>5614</v>
      </c>
      <c r="Q1300" s="7"/>
      <c r="R1300" s="1"/>
      <c r="S1300" s="1" t="str">
        <f>"12-22/NOS-80-1/20"</f>
        <v>12-22/NOS-80-1/20</v>
      </c>
      <c r="T1300" s="1" t="s">
        <v>32</v>
      </c>
    </row>
    <row r="1301" spans="1:20" ht="76.5" x14ac:dyDescent="0.25">
      <c r="A1301" s="6">
        <v>1298</v>
      </c>
      <c r="B1301" s="1" t="str">
        <f t="shared" si="116"/>
        <v>2020-1157</v>
      </c>
      <c r="C1301" s="1" t="s">
        <v>1340</v>
      </c>
      <c r="D1301" s="1" t="s">
        <v>1334</v>
      </c>
      <c r="E1301" s="1" t="str">
        <f>"2020/S 0F2-0039033"</f>
        <v>2020/S 0F2-0039033</v>
      </c>
      <c r="F1301" s="1" t="s">
        <v>22</v>
      </c>
      <c r="G1301" s="1" t="str">
        <f>CONCATENATE("AGROTUROPOLJE D.O.O.,"," VELIKOGORIČKA 43,"," 10415 NOVO ČIČE,"," OIB: 66493270332")</f>
        <v>AGROTUROPOLJE D.O.O., VELIKOGORIČKA 43, 10415 NOVO ČIČE, OIB: 66493270332</v>
      </c>
      <c r="H1301" s="7"/>
      <c r="I1301" s="8" t="s">
        <v>1335</v>
      </c>
      <c r="J1301" s="8" t="s">
        <v>1341</v>
      </c>
      <c r="K1301" s="6" t="str">
        <f>"300.000,00"</f>
        <v>300.000,00</v>
      </c>
      <c r="L1301" s="6" t="str">
        <f>"75.000,00"</f>
        <v>75.000,00</v>
      </c>
      <c r="M1301" s="6" t="str">
        <f>"375.000,00"</f>
        <v>375.000,00</v>
      </c>
      <c r="N1301" s="8" t="s">
        <v>124</v>
      </c>
      <c r="O1301" s="7"/>
      <c r="P1301" s="2" t="s">
        <v>5614</v>
      </c>
      <c r="Q1301" s="7"/>
      <c r="R1301" s="1"/>
      <c r="S1301" s="1" t="str">
        <f>"NOS-80-2/20"</f>
        <v>NOS-80-2/20</v>
      </c>
      <c r="T1301" s="1" t="s">
        <v>27</v>
      </c>
    </row>
    <row r="1302" spans="1:20" ht="63.75" x14ac:dyDescent="0.25">
      <c r="A1302" s="6">
        <v>1299</v>
      </c>
      <c r="B1302" s="1" t="str">
        <f t="shared" si="116"/>
        <v>2020-1157</v>
      </c>
      <c r="C1302" s="1" t="s">
        <v>1338</v>
      </c>
      <c r="D1302" s="1" t="s">
        <v>1337</v>
      </c>
      <c r="E1302" s="1" t="str">
        <f>""</f>
        <v/>
      </c>
      <c r="F1302" s="1" t="s">
        <v>28</v>
      </c>
      <c r="G1302" s="1" t="str">
        <f>CONCATENATE("AGROTUROPOLJE D.O.O.,"," VELIKOGORIČKA 43,"," 10415 NOVO ČIČE,"," OIB: 66493270332")</f>
        <v>AGROTUROPOLJE D.O.O., VELIKOGORIČKA 43, 10415 NOVO ČIČE, OIB: 66493270332</v>
      </c>
      <c r="H1302" s="7"/>
      <c r="I1302" s="8" t="s">
        <v>400</v>
      </c>
      <c r="J1302" s="8" t="s">
        <v>401</v>
      </c>
      <c r="K1302" s="6" t="str">
        <f>"40.655,00"</f>
        <v>40.655,00</v>
      </c>
      <c r="L1302" s="6" t="str">
        <f>"10.163,75"</f>
        <v>10.163,75</v>
      </c>
      <c r="M1302" s="6" t="str">
        <f>"50.818,75"</f>
        <v>50.818,75</v>
      </c>
      <c r="N1302" s="8" t="s">
        <v>30</v>
      </c>
      <c r="O1302" s="7"/>
      <c r="P1302" s="2" t="s">
        <v>6446</v>
      </c>
      <c r="Q1302" s="1" t="s">
        <v>582</v>
      </c>
      <c r="R1302" s="1"/>
      <c r="S1302" s="1" t="str">
        <f>"1-22/NOS-80-2/20"</f>
        <v>1-22/NOS-80-2/20</v>
      </c>
      <c r="T1302" s="1" t="s">
        <v>32</v>
      </c>
    </row>
    <row r="1303" spans="1:20" ht="127.5" x14ac:dyDescent="0.25">
      <c r="A1303" s="6">
        <v>1300</v>
      </c>
      <c r="B1303" s="1" t="str">
        <f>"2020-2952"</f>
        <v>2020-2952</v>
      </c>
      <c r="C1303" s="1" t="s">
        <v>1342</v>
      </c>
      <c r="D1303" s="1" t="s">
        <v>1343</v>
      </c>
      <c r="E1303" s="1" t="str">
        <f>""</f>
        <v/>
      </c>
      <c r="F1303" s="1" t="s">
        <v>1040</v>
      </c>
      <c r="G1303" s="1" t="str">
        <f>CONCATENATE("HEP-TOPLINARSTVO D.O.O.,"," MIŠEVEČKA 15A,"," 10000 ZAGREB,"," OIB: 159070629")</f>
        <v>HEP-TOPLINARSTVO D.O.O., MIŠEVEČKA 15A, 10000 ZAGREB, OIB: 159070629</v>
      </c>
      <c r="H1303" s="7"/>
      <c r="I1303" s="8" t="s">
        <v>1344</v>
      </c>
      <c r="J1303" s="8" t="s">
        <v>1345</v>
      </c>
      <c r="K1303" s="6" t="str">
        <f>"12.080.000,00"</f>
        <v>12.080.000,00</v>
      </c>
      <c r="L1303" s="6" t="str">
        <f>"3.020.000,00"</f>
        <v>3.020.000,00</v>
      </c>
      <c r="M1303" s="6" t="str">
        <f>"15.100.000,00"</f>
        <v>15.100.000,00</v>
      </c>
      <c r="N1303" s="8" t="s">
        <v>124</v>
      </c>
      <c r="O1303" s="7"/>
      <c r="P1303" s="2" t="s">
        <v>6447</v>
      </c>
      <c r="Q1303" s="7"/>
      <c r="R1303" s="1"/>
      <c r="S1303" s="1" t="str">
        <f>"NOS-79/20"</f>
        <v>NOS-79/20</v>
      </c>
      <c r="T1303" s="1" t="s">
        <v>971</v>
      </c>
    </row>
    <row r="1304" spans="1:20" ht="51" x14ac:dyDescent="0.25">
      <c r="A1304" s="6">
        <v>1301</v>
      </c>
      <c r="B1304" s="1" t="str">
        <f>"2020-2952"</f>
        <v>2020-2952</v>
      </c>
      <c r="C1304" s="1" t="s">
        <v>1342</v>
      </c>
      <c r="D1304" s="1" t="s">
        <v>1346</v>
      </c>
      <c r="E1304" s="1" t="str">
        <f>""</f>
        <v/>
      </c>
      <c r="F1304" s="1" t="s">
        <v>28</v>
      </c>
      <c r="G1304" s="1" t="str">
        <f>CONCATENATE("HEP-TOPLINARSTVO D.O.O.,"," MIŠEVEČKA 15A,"," 10000 ZAGREB,"," OIB: 159070629")</f>
        <v>HEP-TOPLINARSTVO D.O.O., MIŠEVEČKA 15A, 10000 ZAGREB, OIB: 159070629</v>
      </c>
      <c r="H1304" s="7"/>
      <c r="I1304" s="8" t="s">
        <v>110</v>
      </c>
      <c r="J1304" s="8" t="s">
        <v>405</v>
      </c>
      <c r="K1304" s="6" t="str">
        <f>"58.340,99"</f>
        <v>58.340,99</v>
      </c>
      <c r="L1304" s="6" t="str">
        <f>"14.585,25"</f>
        <v>14.585,25</v>
      </c>
      <c r="M1304" s="6" t="str">
        <f>"72.926,24"</f>
        <v>72.926,24</v>
      </c>
      <c r="N1304" s="8" t="s">
        <v>240</v>
      </c>
      <c r="O1304" s="7"/>
      <c r="P1304" s="2" t="s">
        <v>6448</v>
      </c>
      <c r="Q1304" s="7"/>
      <c r="R1304" s="1"/>
      <c r="S1304" s="1" t="str">
        <f>"2-21/NOS-79/20"</f>
        <v>2-21/NOS-79/20</v>
      </c>
      <c r="T1304" s="1" t="s">
        <v>452</v>
      </c>
    </row>
    <row r="1305" spans="1:20" ht="51" x14ac:dyDescent="0.25">
      <c r="A1305" s="6">
        <v>1302</v>
      </c>
      <c r="B1305" s="1" t="str">
        <f>"2020-2952"</f>
        <v>2020-2952</v>
      </c>
      <c r="C1305" s="1" t="s">
        <v>1342</v>
      </c>
      <c r="D1305" s="1" t="s">
        <v>1346</v>
      </c>
      <c r="E1305" s="1" t="str">
        <f>""</f>
        <v/>
      </c>
      <c r="F1305" s="1" t="s">
        <v>28</v>
      </c>
      <c r="G1305" s="1" t="str">
        <f>CONCATENATE("HEP-TOPLINARSTVO D.O.O.,"," MIŠEVEČKA 15A,"," 10000 ZAGREB,"," OIB: 159070629")</f>
        <v>HEP-TOPLINARSTVO D.O.O., MIŠEVEČKA 15A, 10000 ZAGREB, OIB: 159070629</v>
      </c>
      <c r="H1305" s="7"/>
      <c r="I1305" s="8" t="s">
        <v>117</v>
      </c>
      <c r="J1305" s="8" t="s">
        <v>41</v>
      </c>
      <c r="K1305" s="6" t="str">
        <f>"1.466.845,31"</f>
        <v>1.466.845,31</v>
      </c>
      <c r="L1305" s="6" t="str">
        <f>"366.711,33"</f>
        <v>366.711,33</v>
      </c>
      <c r="M1305" s="6" t="str">
        <f>"1.833.556,64"</f>
        <v>1.833.556,64</v>
      </c>
      <c r="N1305" s="8" t="s">
        <v>403</v>
      </c>
      <c r="O1305" s="7"/>
      <c r="P1305" s="2" t="s">
        <v>6449</v>
      </c>
      <c r="Q1305" s="1"/>
      <c r="R1305" s="1"/>
      <c r="S1305" s="1" t="str">
        <f>"3-21/NOS-79/20"</f>
        <v>3-21/NOS-79/20</v>
      </c>
      <c r="T1305" s="1" t="s">
        <v>32</v>
      </c>
    </row>
    <row r="1306" spans="1:20" ht="51" x14ac:dyDescent="0.25">
      <c r="A1306" s="6">
        <v>1303</v>
      </c>
      <c r="B1306" s="1" t="str">
        <f>"2020-2952"</f>
        <v>2020-2952</v>
      </c>
      <c r="C1306" s="1" t="s">
        <v>1342</v>
      </c>
      <c r="D1306" s="1" t="s">
        <v>1346</v>
      </c>
      <c r="E1306" s="1" t="str">
        <f>""</f>
        <v/>
      </c>
      <c r="F1306" s="1" t="s">
        <v>28</v>
      </c>
      <c r="G1306" s="1" t="str">
        <f>CONCATENATE("HEP-TOPLINARSTVO D.O.O.,"," MIŠEVEČKA 15A,"," 10000 ZAGREB,"," OIB: 159070629")</f>
        <v>HEP-TOPLINARSTVO D.O.O., MIŠEVEČKA 15A, 10000 ZAGREB, OIB: 159070629</v>
      </c>
      <c r="H1306" s="7"/>
      <c r="I1306" s="8" t="s">
        <v>239</v>
      </c>
      <c r="J1306" s="8" t="s">
        <v>123</v>
      </c>
      <c r="K1306" s="6" t="str">
        <f>"3.444.884,00"</f>
        <v>3.444.884,00</v>
      </c>
      <c r="L1306" s="6" t="str">
        <f>"861.221,00"</f>
        <v>861.221,00</v>
      </c>
      <c r="M1306" s="6" t="str">
        <f>"4.306.105,00"</f>
        <v>4.306.105,00</v>
      </c>
      <c r="N1306" s="8" t="s">
        <v>124</v>
      </c>
      <c r="O1306" s="7"/>
      <c r="P1306" s="2" t="s">
        <v>6450</v>
      </c>
      <c r="Q1306" s="7"/>
      <c r="R1306" s="1"/>
      <c r="S1306" s="1" t="str">
        <f>"1-22/NOS-79/20"</f>
        <v>1-22/NOS-79/20</v>
      </c>
      <c r="T1306" s="1" t="s">
        <v>32</v>
      </c>
    </row>
    <row r="1307" spans="1:20" ht="51" x14ac:dyDescent="0.25">
      <c r="A1307" s="6">
        <v>1304</v>
      </c>
      <c r="B1307" s="1" t="str">
        <f>"2020-2952"</f>
        <v>2020-2952</v>
      </c>
      <c r="C1307" s="1" t="s">
        <v>1342</v>
      </c>
      <c r="D1307" s="1" t="s">
        <v>1346</v>
      </c>
      <c r="E1307" s="1" t="str">
        <f>""</f>
        <v/>
      </c>
      <c r="F1307" s="1" t="s">
        <v>28</v>
      </c>
      <c r="G1307" s="1" t="str">
        <f>CONCATENATE("HEP-TOPLINARSTVO D.O.O.,"," MIŠEVEČKA 15A,"," 10000 ZAGREB,"," OIB: 159070629")</f>
        <v>HEP-TOPLINARSTVO D.O.O., MIŠEVEČKA 15A, 10000 ZAGREB, OIB: 159070629</v>
      </c>
      <c r="H1307" s="7"/>
      <c r="I1307" s="8" t="s">
        <v>835</v>
      </c>
      <c r="J1307" s="8" t="s">
        <v>389</v>
      </c>
      <c r="K1307" s="6" t="str">
        <f>"58.340,99"</f>
        <v>58.340,99</v>
      </c>
      <c r="L1307" s="6" t="str">
        <f>"14.585,25"</f>
        <v>14.585,25</v>
      </c>
      <c r="M1307" s="6" t="str">
        <f>"72.926,24"</f>
        <v>72.926,24</v>
      </c>
      <c r="N1307" s="8" t="s">
        <v>124</v>
      </c>
      <c r="O1307" s="7"/>
      <c r="P1307" s="2" t="s">
        <v>6451</v>
      </c>
      <c r="Q1307" s="7"/>
      <c r="R1307" s="1"/>
      <c r="S1307" s="1" t="str">
        <f>"2-22/NOS-79/20"</f>
        <v>2-22/NOS-79/20</v>
      </c>
      <c r="T1307" s="1" t="s">
        <v>452</v>
      </c>
    </row>
    <row r="1308" spans="1:20" ht="51" x14ac:dyDescent="0.25">
      <c r="A1308" s="6">
        <v>1305</v>
      </c>
      <c r="B1308" s="1" t="str">
        <f>"2020-2989"</f>
        <v>2020-2989</v>
      </c>
      <c r="C1308" s="1" t="s">
        <v>1347</v>
      </c>
      <c r="D1308" s="1" t="s">
        <v>463</v>
      </c>
      <c r="E1308" s="1" t="str">
        <f>"2020/S 0F2-0046973"</f>
        <v>2020/S 0F2-0046973</v>
      </c>
      <c r="F1308" s="1" t="s">
        <v>22</v>
      </c>
      <c r="G1308" s="1" t="str">
        <f>CONCATENATE("AXIOM d.o.o.,"," BANA JOSIPA JELAČIĆA 22/B,"," 40000 ČAKOVEC,"," OIB: 07795389714")</f>
        <v>AXIOM d.o.o., BANA JOSIPA JELAČIĆA 22/B, 40000 ČAKOVEC, OIB: 07795389714</v>
      </c>
      <c r="H1308" s="7"/>
      <c r="I1308" s="8" t="s">
        <v>1348</v>
      </c>
      <c r="J1308" s="8" t="s">
        <v>1305</v>
      </c>
      <c r="K1308" s="6" t="str">
        <f>"900.000,00"</f>
        <v>900.000,00</v>
      </c>
      <c r="L1308" s="6" t="str">
        <f>"225.000,00"</f>
        <v>225.000,00</v>
      </c>
      <c r="M1308" s="6" t="str">
        <f>"1.125.000,00"</f>
        <v>1.125.000,00</v>
      </c>
      <c r="N1308" s="8" t="s">
        <v>124</v>
      </c>
      <c r="O1308" s="7"/>
      <c r="P1308" s="2" t="s">
        <v>5614</v>
      </c>
      <c r="Q1308" s="7"/>
      <c r="R1308" s="1"/>
      <c r="S1308" s="1" t="str">
        <f>"NOS-84/20"</f>
        <v>NOS-84/20</v>
      </c>
      <c r="T1308" s="1" t="s">
        <v>32</v>
      </c>
    </row>
    <row r="1309" spans="1:20" ht="51" x14ac:dyDescent="0.25">
      <c r="A1309" s="6">
        <v>1306</v>
      </c>
      <c r="B1309" s="1" t="str">
        <f>"2020-2989"</f>
        <v>2020-2989</v>
      </c>
      <c r="C1309" s="1" t="s">
        <v>1347</v>
      </c>
      <c r="D1309" s="1" t="s">
        <v>467</v>
      </c>
      <c r="E1309" s="1" t="str">
        <f>""</f>
        <v/>
      </c>
      <c r="F1309" s="1" t="s">
        <v>28</v>
      </c>
      <c r="G1309" s="1" t="str">
        <f>CONCATENATE("AXIOM d.o.o.,"," BANA JOSIPA JELAČIĆA 22/B,"," 40000 ČAKOVEC,"," OIB: 07795389714")</f>
        <v>AXIOM d.o.o., BANA JOSIPA JELAČIĆA 22/B, 40000 ČAKOVEC, OIB: 07795389714</v>
      </c>
      <c r="H1309" s="7"/>
      <c r="I1309" s="8" t="s">
        <v>1349</v>
      </c>
      <c r="J1309" s="8" t="s">
        <v>53</v>
      </c>
      <c r="K1309" s="6" t="str">
        <f>"499.719,96"</f>
        <v>499.719,96</v>
      </c>
      <c r="L1309" s="6" t="str">
        <f>"124.929,99"</f>
        <v>124.929,99</v>
      </c>
      <c r="M1309" s="6" t="str">
        <f>"624.649,95"</f>
        <v>624.649,95</v>
      </c>
      <c r="N1309" s="8" t="s">
        <v>428</v>
      </c>
      <c r="O1309" s="7"/>
      <c r="P1309" s="2" t="s">
        <v>6452</v>
      </c>
      <c r="Q1309" s="7"/>
      <c r="R1309" s="1"/>
      <c r="S1309" s="1" t="str">
        <f>"1-21/NOS-84/20"</f>
        <v>1-21/NOS-84/20</v>
      </c>
      <c r="T1309" s="1" t="s">
        <v>32</v>
      </c>
    </row>
    <row r="1310" spans="1:20" ht="51" x14ac:dyDescent="0.25">
      <c r="A1310" s="6">
        <v>1307</v>
      </c>
      <c r="B1310" s="1" t="str">
        <f>"2020-2989"</f>
        <v>2020-2989</v>
      </c>
      <c r="C1310" s="1" t="s">
        <v>1347</v>
      </c>
      <c r="D1310" s="1" t="s">
        <v>467</v>
      </c>
      <c r="E1310" s="1" t="str">
        <f>""</f>
        <v/>
      </c>
      <c r="F1310" s="1" t="s">
        <v>28</v>
      </c>
      <c r="G1310" s="1" t="str">
        <f>CONCATENATE("AXIOM d.o.o.,"," BANA JOSIPA JELAČIĆA 22/B,"," 40000 ČAKOVEC,"," OIB: 07795389714")</f>
        <v>AXIOM d.o.o., BANA JOSIPA JELAČIĆA 22/B, 40000 ČAKOVEC, OIB: 07795389714</v>
      </c>
      <c r="H1310" s="7"/>
      <c r="I1310" s="8" t="s">
        <v>1350</v>
      </c>
      <c r="J1310" s="8" t="s">
        <v>277</v>
      </c>
      <c r="K1310" s="6" t="str">
        <f>"238.750,00"</f>
        <v>238.750,00</v>
      </c>
      <c r="L1310" s="6" t="str">
        <f>"59.687,50"</f>
        <v>59.687,50</v>
      </c>
      <c r="M1310" s="6" t="str">
        <f>"298.437,50"</f>
        <v>298.437,50</v>
      </c>
      <c r="N1310" s="8" t="s">
        <v>146</v>
      </c>
      <c r="O1310" s="7"/>
      <c r="P1310" s="2" t="s">
        <v>6453</v>
      </c>
      <c r="Q1310" s="1" t="s">
        <v>488</v>
      </c>
      <c r="R1310" s="1"/>
      <c r="S1310" s="1" t="str">
        <f>"2-21/NOS-84/20"</f>
        <v>2-21/NOS-84/20</v>
      </c>
      <c r="T1310" s="1" t="s">
        <v>32</v>
      </c>
    </row>
    <row r="1311" spans="1:20" ht="51" x14ac:dyDescent="0.25">
      <c r="A1311" s="6">
        <v>1308</v>
      </c>
      <c r="B1311" s="1" t="str">
        <f t="shared" ref="B1311:B1318" si="118">"2020-1069"</f>
        <v>2020-1069</v>
      </c>
      <c r="C1311" s="1" t="s">
        <v>1351</v>
      </c>
      <c r="D1311" s="1" t="s">
        <v>1352</v>
      </c>
      <c r="E1311" s="1" t="str">
        <f>"2020/S 0F2-0046877"</f>
        <v>2020/S 0F2-0046877</v>
      </c>
      <c r="F1311" s="1" t="s">
        <v>22</v>
      </c>
      <c r="G1311" s="1" t="str">
        <f>CONCATENATE("AUTO BENUSSI D.O.O.,"," INDUSTRIJSKA 2D,"," 52100 PULA,"," OIB: 96262119913")</f>
        <v>AUTO BENUSSI D.O.O., INDUSTRIJSKA 2D, 52100 PULA, OIB: 96262119913</v>
      </c>
      <c r="H1311" s="7"/>
      <c r="I1311" s="8" t="s">
        <v>1069</v>
      </c>
      <c r="J1311" s="8" t="s">
        <v>752</v>
      </c>
      <c r="K1311" s="6" t="str">
        <f>"250.000,00"</f>
        <v>250.000,00</v>
      </c>
      <c r="L1311" s="6" t="str">
        <f>"62.500,00"</f>
        <v>62.500,00</v>
      </c>
      <c r="M1311" s="6" t="str">
        <f>"312.500,00"</f>
        <v>312.500,00</v>
      </c>
      <c r="N1311" s="8" t="s">
        <v>236</v>
      </c>
      <c r="O1311" s="7"/>
      <c r="P1311" s="2" t="s">
        <v>5614</v>
      </c>
      <c r="Q1311" s="7"/>
      <c r="R1311" s="1"/>
      <c r="S1311" s="1" t="str">
        <f>"NOS-91-1/20"</f>
        <v>NOS-91-1/20</v>
      </c>
      <c r="T1311" s="1" t="s">
        <v>32</v>
      </c>
    </row>
    <row r="1312" spans="1:20" ht="76.5" x14ac:dyDescent="0.25">
      <c r="A1312" s="6">
        <v>1309</v>
      </c>
      <c r="B1312" s="1" t="str">
        <f t="shared" si="118"/>
        <v>2020-1069</v>
      </c>
      <c r="C1312" s="1" t="s">
        <v>1353</v>
      </c>
      <c r="D1312" s="1" t="s">
        <v>1352</v>
      </c>
      <c r="E1312" s="1" t="str">
        <f>""</f>
        <v/>
      </c>
      <c r="F1312" s="1" t="s">
        <v>28</v>
      </c>
      <c r="G1312" s="1" t="str">
        <f>CONCATENATE("AUTO BENUSSI D.O.O.,"," INDUSTRIJSKA 2D,"," 52100 PULA,"," OIB: 96262119913")</f>
        <v>AUTO BENUSSI D.O.O., INDUSTRIJSKA 2D, 52100 PULA, OIB: 96262119913</v>
      </c>
      <c r="H1312" s="7"/>
      <c r="I1312" s="8" t="s">
        <v>698</v>
      </c>
      <c r="J1312" s="8" t="s">
        <v>169</v>
      </c>
      <c r="K1312" s="6" t="str">
        <f>"62.430,00"</f>
        <v>62.430,00</v>
      </c>
      <c r="L1312" s="6" t="str">
        <f>"15.607,50"</f>
        <v>15.607,50</v>
      </c>
      <c r="M1312" s="6" t="str">
        <f>"78.037,50"</f>
        <v>78.037,50</v>
      </c>
      <c r="N1312" s="8" t="s">
        <v>487</v>
      </c>
      <c r="O1312" s="7"/>
      <c r="P1312" s="2" t="s">
        <v>6454</v>
      </c>
      <c r="Q1312" s="1" t="s">
        <v>1017</v>
      </c>
      <c r="R1312" s="1"/>
      <c r="S1312" s="1" t="str">
        <f>"1-22/NOS-91-1/20"</f>
        <v>1-22/NOS-91-1/20</v>
      </c>
      <c r="T1312" s="1" t="s">
        <v>32</v>
      </c>
    </row>
    <row r="1313" spans="1:20" ht="51" x14ac:dyDescent="0.25">
      <c r="A1313" s="6">
        <v>1310</v>
      </c>
      <c r="B1313" s="1" t="str">
        <f t="shared" si="118"/>
        <v>2020-1069</v>
      </c>
      <c r="C1313" s="1" t="s">
        <v>1354</v>
      </c>
      <c r="D1313" s="1" t="s">
        <v>1352</v>
      </c>
      <c r="E1313" s="1" t="str">
        <f>"2020/S 0F2-0046877"</f>
        <v>2020/S 0F2-0046877</v>
      </c>
      <c r="F1313" s="1" t="s">
        <v>22</v>
      </c>
      <c r="G1313" s="1" t="str">
        <f>CONCATENATE("AUTO BENUSSI D.O.O.,"," INDUSTRIJSKA 2D,"," 52100 PULA,"," OIB: 96262119913")</f>
        <v>AUTO BENUSSI D.O.O., INDUSTRIJSKA 2D, 52100 PULA, OIB: 96262119913</v>
      </c>
      <c r="H1313" s="7"/>
      <c r="I1313" s="8" t="s">
        <v>1069</v>
      </c>
      <c r="J1313" s="8" t="s">
        <v>752</v>
      </c>
      <c r="K1313" s="6" t="str">
        <f>"250.000,00"</f>
        <v>250.000,00</v>
      </c>
      <c r="L1313" s="6" t="str">
        <f>"62.500,00"</f>
        <v>62.500,00</v>
      </c>
      <c r="M1313" s="6" t="str">
        <f>"312.500,00"</f>
        <v>312.500,00</v>
      </c>
      <c r="N1313" s="8" t="s">
        <v>236</v>
      </c>
      <c r="O1313" s="7"/>
      <c r="P1313" s="2" t="s">
        <v>5614</v>
      </c>
      <c r="Q1313" s="7"/>
      <c r="R1313" s="1"/>
      <c r="S1313" s="1" t="str">
        <f>"NOS-91-2/20"</f>
        <v>NOS-91-2/20</v>
      </c>
      <c r="T1313" s="1" t="s">
        <v>32</v>
      </c>
    </row>
    <row r="1314" spans="1:20" ht="76.5" x14ac:dyDescent="0.25">
      <c r="A1314" s="6">
        <v>1311</v>
      </c>
      <c r="B1314" s="1" t="str">
        <f t="shared" si="118"/>
        <v>2020-1069</v>
      </c>
      <c r="C1314" s="1" t="s">
        <v>1355</v>
      </c>
      <c r="D1314" s="1" t="s">
        <v>1352</v>
      </c>
      <c r="E1314" s="1" t="str">
        <f>""</f>
        <v/>
      </c>
      <c r="F1314" s="1" t="s">
        <v>28</v>
      </c>
      <c r="G1314" s="1" t="str">
        <f>CONCATENATE("AUTO BENUSSI D.O.O.,"," INDUSTRIJSKA 2D,"," 52100 PULA,"," OIB: 96262119913")</f>
        <v>AUTO BENUSSI D.O.O., INDUSTRIJSKA 2D, 52100 PULA, OIB: 96262119913</v>
      </c>
      <c r="H1314" s="7"/>
      <c r="I1314" s="8" t="s">
        <v>1356</v>
      </c>
      <c r="J1314" s="8" t="s">
        <v>57</v>
      </c>
      <c r="K1314" s="6" t="str">
        <f>"124.860,00"</f>
        <v>124.860,00</v>
      </c>
      <c r="L1314" s="6" t="str">
        <f>"31.215,00"</f>
        <v>31.215,00</v>
      </c>
      <c r="M1314" s="6" t="str">
        <f>"156.075,00"</f>
        <v>156.075,00</v>
      </c>
      <c r="N1314" s="8" t="s">
        <v>746</v>
      </c>
      <c r="O1314" s="7"/>
      <c r="P1314" s="2" t="s">
        <v>6455</v>
      </c>
      <c r="Q1314" s="1"/>
      <c r="R1314" s="1"/>
      <c r="S1314" s="1" t="str">
        <f>"1-21/NOS-91-2/20"</f>
        <v>1-21/NOS-91-2/20</v>
      </c>
      <c r="T1314" s="1" t="s">
        <v>32</v>
      </c>
    </row>
    <row r="1315" spans="1:20" ht="76.5" x14ac:dyDescent="0.25">
      <c r="A1315" s="6">
        <v>1312</v>
      </c>
      <c r="B1315" s="1" t="str">
        <f t="shared" si="118"/>
        <v>2020-1069</v>
      </c>
      <c r="C1315" s="1" t="s">
        <v>1357</v>
      </c>
      <c r="D1315" s="1" t="s">
        <v>1352</v>
      </c>
      <c r="E1315" s="1" t="str">
        <f>""</f>
        <v/>
      </c>
      <c r="F1315" s="1" t="s">
        <v>28</v>
      </c>
      <c r="G1315" s="1" t="str">
        <f>CONCATENATE("AUTO BENUSSI D.O.O.,"," INDUSTRIJSKA 2D,"," 52100 PULA,"," OIB: 96262119913")</f>
        <v>AUTO BENUSSI D.O.O., INDUSTRIJSKA 2D, 52100 PULA, OIB: 96262119913</v>
      </c>
      <c r="H1315" s="7"/>
      <c r="I1315" s="8" t="s">
        <v>698</v>
      </c>
      <c r="J1315" s="8" t="s">
        <v>917</v>
      </c>
      <c r="K1315" s="6" t="str">
        <f>"124.860,00"</f>
        <v>124.860,00</v>
      </c>
      <c r="L1315" s="6" t="str">
        <f>"31.215,00"</f>
        <v>31.215,00</v>
      </c>
      <c r="M1315" s="6" t="str">
        <f>"156.075,00"</f>
        <v>156.075,00</v>
      </c>
      <c r="N1315" s="8" t="s">
        <v>1121</v>
      </c>
      <c r="O1315" s="7"/>
      <c r="P1315" s="2" t="s">
        <v>6456</v>
      </c>
      <c r="Q1315" s="1"/>
      <c r="R1315" s="1"/>
      <c r="S1315" s="1" t="str">
        <f>"1-22/NOS-91-2/20"</f>
        <v>1-22/NOS-91-2/20</v>
      </c>
      <c r="T1315" s="1" t="s">
        <v>32</v>
      </c>
    </row>
    <row r="1316" spans="1:20" ht="51" x14ac:dyDescent="0.25">
      <c r="A1316" s="6">
        <v>1313</v>
      </c>
      <c r="B1316" s="1" t="str">
        <f t="shared" si="118"/>
        <v>2020-1069</v>
      </c>
      <c r="C1316" s="1" t="s">
        <v>1358</v>
      </c>
      <c r="D1316" s="1" t="s">
        <v>1352</v>
      </c>
      <c r="E1316" s="1" t="str">
        <f>"2020/S 0F2-0046877"</f>
        <v>2020/S 0F2-0046877</v>
      </c>
      <c r="F1316" s="1" t="s">
        <v>22</v>
      </c>
      <c r="G1316" s="1" t="str">
        <f>CONCATENATE("RASCO D.O.O.,"," KOLODVORSKA 120B,"," 48361 KALINOVAC,"," OIB: 12710048305")</f>
        <v>RASCO D.O.O., KOLODVORSKA 120B, 48361 KALINOVAC, OIB: 12710048305</v>
      </c>
      <c r="H1316" s="7"/>
      <c r="I1316" s="8" t="s">
        <v>1359</v>
      </c>
      <c r="J1316" s="8" t="s">
        <v>752</v>
      </c>
      <c r="K1316" s="6" t="str">
        <f>"500.000,00"</f>
        <v>500.000,00</v>
      </c>
      <c r="L1316" s="6" t="str">
        <f>"125.000,00"</f>
        <v>125.000,00</v>
      </c>
      <c r="M1316" s="6" t="str">
        <f>"625.000,00"</f>
        <v>625.000,00</v>
      </c>
      <c r="N1316" s="8" t="s">
        <v>236</v>
      </c>
      <c r="O1316" s="7"/>
      <c r="P1316" s="2" t="s">
        <v>5614</v>
      </c>
      <c r="Q1316" s="7"/>
      <c r="R1316" s="1"/>
      <c r="S1316" s="1" t="str">
        <f>"NOS-91-3/20"</f>
        <v>NOS-91-3/20</v>
      </c>
      <c r="T1316" s="1" t="s">
        <v>32</v>
      </c>
    </row>
    <row r="1317" spans="1:20" ht="63.75" x14ac:dyDescent="0.25">
      <c r="A1317" s="6">
        <v>1314</v>
      </c>
      <c r="B1317" s="1" t="str">
        <f t="shared" si="118"/>
        <v>2020-1069</v>
      </c>
      <c r="C1317" s="1" t="s">
        <v>1360</v>
      </c>
      <c r="D1317" s="1" t="s">
        <v>1352</v>
      </c>
      <c r="E1317" s="1" t="str">
        <f>""</f>
        <v/>
      </c>
      <c r="F1317" s="1" t="s">
        <v>28</v>
      </c>
      <c r="G1317" s="1" t="str">
        <f>CONCATENATE("RASCO D.O.O.,"," KOLODVORSKA 120B,"," 48361 KALINOVAC,"," OIB: 12710048305")</f>
        <v>RASCO D.O.O., KOLODVORSKA 120B, 48361 KALINOVAC, OIB: 12710048305</v>
      </c>
      <c r="H1317" s="7"/>
      <c r="I1317" s="8" t="s">
        <v>1356</v>
      </c>
      <c r="J1317" s="8" t="s">
        <v>57</v>
      </c>
      <c r="K1317" s="6" t="str">
        <f>"238.200,00"</f>
        <v>238.200,00</v>
      </c>
      <c r="L1317" s="6" t="str">
        <f>"59.550,00"</f>
        <v>59.550,00</v>
      </c>
      <c r="M1317" s="6" t="str">
        <f>"297.750,00"</f>
        <v>297.750,00</v>
      </c>
      <c r="N1317" s="8" t="s">
        <v>748</v>
      </c>
      <c r="O1317" s="7"/>
      <c r="P1317" s="2" t="s">
        <v>6457</v>
      </c>
      <c r="Q1317" s="1"/>
      <c r="R1317" s="1"/>
      <c r="S1317" s="1" t="str">
        <f>"2-21/NOS-91-3/20"</f>
        <v>2-21/NOS-91-3/20</v>
      </c>
      <c r="T1317" s="1" t="s">
        <v>32</v>
      </c>
    </row>
    <row r="1318" spans="1:20" ht="63.75" x14ac:dyDescent="0.25">
      <c r="A1318" s="6">
        <v>1315</v>
      </c>
      <c r="B1318" s="1" t="str">
        <f t="shared" si="118"/>
        <v>2020-1069</v>
      </c>
      <c r="C1318" s="1" t="s">
        <v>1361</v>
      </c>
      <c r="D1318" s="1" t="s">
        <v>1352</v>
      </c>
      <c r="E1318" s="1" t="str">
        <f>""</f>
        <v/>
      </c>
      <c r="F1318" s="1" t="s">
        <v>28</v>
      </c>
      <c r="G1318" s="1" t="str">
        <f>CONCATENATE("RASCO D.O.O.,"," KOLODVORSKA 120B,"," 48361 KALINOVAC,"," OIB: 12710048305")</f>
        <v>RASCO D.O.O., KOLODVORSKA 120B, 48361 KALINOVAC, OIB: 12710048305</v>
      </c>
      <c r="H1318" s="7"/>
      <c r="I1318" s="8" t="s">
        <v>598</v>
      </c>
      <c r="J1318" s="8" t="s">
        <v>917</v>
      </c>
      <c r="K1318" s="6" t="str">
        <f>"238.200,00"</f>
        <v>238.200,00</v>
      </c>
      <c r="L1318" s="6" t="str">
        <f>"59.550,00"</f>
        <v>59.550,00</v>
      </c>
      <c r="M1318" s="6" t="str">
        <f>"297.750,00"</f>
        <v>297.750,00</v>
      </c>
      <c r="N1318" s="8" t="s">
        <v>31</v>
      </c>
      <c r="O1318" s="7"/>
      <c r="P1318" s="2" t="s">
        <v>6458</v>
      </c>
      <c r="Q1318" s="1"/>
      <c r="R1318" s="1"/>
      <c r="S1318" s="1" t="str">
        <f>"1-22/NOS-91-3/20"</f>
        <v>1-22/NOS-91-3/20</v>
      </c>
      <c r="T1318" s="1" t="s">
        <v>32</v>
      </c>
    </row>
    <row r="1319" spans="1:20" ht="51" x14ac:dyDescent="0.25">
      <c r="A1319" s="6">
        <v>1316</v>
      </c>
      <c r="B1319" s="1" t="str">
        <f>"2020-2873"</f>
        <v>2020-2873</v>
      </c>
      <c r="C1319" s="1" t="s">
        <v>1362</v>
      </c>
      <c r="D1319" s="1" t="s">
        <v>1363</v>
      </c>
      <c r="E1319" s="1" t="str">
        <f>"2020/S 0F2-0042095"</f>
        <v>2020/S 0F2-0042095</v>
      </c>
      <c r="F1319" s="1" t="s">
        <v>22</v>
      </c>
      <c r="G1319" s="1" t="str">
        <f>CONCATENATE("DOLI PROM D.O.O.,"," MALE PUTINE 14,"," 10000 ZAGREB,"," OIB: 08741309749")</f>
        <v>DOLI PROM D.O.O., MALE PUTINE 14, 10000 ZAGREB, OIB: 08741309749</v>
      </c>
      <c r="H1319" s="7"/>
      <c r="I1319" s="8" t="s">
        <v>1364</v>
      </c>
      <c r="J1319" s="8" t="s">
        <v>1365</v>
      </c>
      <c r="K1319" s="6" t="str">
        <f>"3.000.000,00"</f>
        <v>3.000.000,00</v>
      </c>
      <c r="L1319" s="6" t="str">
        <f>"750.000,00"</f>
        <v>750.000,00</v>
      </c>
      <c r="M1319" s="6" t="str">
        <f>"3.750.000,00"</f>
        <v>3.750.000,00</v>
      </c>
      <c r="N1319" s="8" t="s">
        <v>124</v>
      </c>
      <c r="O1319" s="7"/>
      <c r="P1319" s="2" t="s">
        <v>5614</v>
      </c>
      <c r="Q1319" s="7"/>
      <c r="R1319" s="1"/>
      <c r="S1319" s="1" t="str">
        <f>"NOS-90/20"</f>
        <v>NOS-90/20</v>
      </c>
      <c r="T1319" s="1" t="s">
        <v>32</v>
      </c>
    </row>
    <row r="1320" spans="1:20" ht="51" x14ac:dyDescent="0.25">
      <c r="A1320" s="6">
        <v>1317</v>
      </c>
      <c r="B1320" s="1" t="str">
        <f>"2020-2873"</f>
        <v>2020-2873</v>
      </c>
      <c r="C1320" s="1" t="s">
        <v>1362</v>
      </c>
      <c r="D1320" s="1" t="s">
        <v>1366</v>
      </c>
      <c r="E1320" s="1" t="str">
        <f>""</f>
        <v/>
      </c>
      <c r="F1320" s="1" t="s">
        <v>28</v>
      </c>
      <c r="G1320" s="1" t="str">
        <f>CONCATENATE("DOLI PROM D.O.O.,"," MALE PUTINE 14,"," 10000 ZAGREB,"," OIB: 08741309749")</f>
        <v>DOLI PROM D.O.O., MALE PUTINE 14, 10000 ZAGREB, OIB: 08741309749</v>
      </c>
      <c r="H1320" s="7"/>
      <c r="I1320" s="8" t="s">
        <v>521</v>
      </c>
      <c r="J1320" s="8" t="s">
        <v>241</v>
      </c>
      <c r="K1320" s="6" t="str">
        <f>"63.122,00"</f>
        <v>63.122,00</v>
      </c>
      <c r="L1320" s="6" t="str">
        <f>"15.780,50"</f>
        <v>15.780,50</v>
      </c>
      <c r="M1320" s="6" t="str">
        <f>"78.902,50"</f>
        <v>78.902,50</v>
      </c>
      <c r="N1320" s="8" t="s">
        <v>442</v>
      </c>
      <c r="O1320" s="7"/>
      <c r="P1320" s="2" t="s">
        <v>6459</v>
      </c>
      <c r="Q1320" s="7"/>
      <c r="R1320" s="1"/>
      <c r="S1320" s="1" t="str">
        <f>"1-22/NOS-90/20"</f>
        <v>1-22/NOS-90/20</v>
      </c>
      <c r="T1320" s="1" t="s">
        <v>32</v>
      </c>
    </row>
    <row r="1321" spans="1:20" ht="51" x14ac:dyDescent="0.25">
      <c r="A1321" s="6">
        <v>1318</v>
      </c>
      <c r="B1321" s="1" t="str">
        <f>"2020-2873"</f>
        <v>2020-2873</v>
      </c>
      <c r="C1321" s="1" t="s">
        <v>1362</v>
      </c>
      <c r="D1321" s="1" t="s">
        <v>1366</v>
      </c>
      <c r="E1321" s="1" t="str">
        <f>""</f>
        <v/>
      </c>
      <c r="F1321" s="1" t="s">
        <v>28</v>
      </c>
      <c r="G1321" s="1" t="str">
        <f>CONCATENATE("DOLI PROM D.O.O.,"," MALE PUTINE 14,"," 10000 ZAGREB,"," OIB: 08741309749")</f>
        <v>DOLI PROM D.O.O., MALE PUTINE 14, 10000 ZAGREB, OIB: 08741309749</v>
      </c>
      <c r="H1321" s="7"/>
      <c r="I1321" s="8" t="s">
        <v>994</v>
      </c>
      <c r="J1321" s="8" t="s">
        <v>241</v>
      </c>
      <c r="K1321" s="6" t="str">
        <f>"5.480,00"</f>
        <v>5.480,00</v>
      </c>
      <c r="L1321" s="6" t="str">
        <f>"1.370,00"</f>
        <v>1.370,00</v>
      </c>
      <c r="M1321" s="6" t="str">
        <f>"6.850,00"</f>
        <v>6.850,00</v>
      </c>
      <c r="N1321" s="8" t="s">
        <v>442</v>
      </c>
      <c r="O1321" s="7"/>
      <c r="P1321" s="2" t="s">
        <v>6460</v>
      </c>
      <c r="Q1321" s="7"/>
      <c r="R1321" s="1"/>
      <c r="S1321" s="1" t="str">
        <f>"2-22/NOS-90/20"</f>
        <v>2-22/NOS-90/20</v>
      </c>
      <c r="T1321" s="1" t="s">
        <v>32</v>
      </c>
    </row>
    <row r="1322" spans="1:20" ht="51" x14ac:dyDescent="0.25">
      <c r="A1322" s="6">
        <v>1319</v>
      </c>
      <c r="B1322" s="1" t="str">
        <f>"2020-2873"</f>
        <v>2020-2873</v>
      </c>
      <c r="C1322" s="1" t="s">
        <v>1362</v>
      </c>
      <c r="D1322" s="1" t="s">
        <v>1366</v>
      </c>
      <c r="E1322" s="1" t="str">
        <f>""</f>
        <v/>
      </c>
      <c r="F1322" s="1" t="s">
        <v>28</v>
      </c>
      <c r="G1322" s="1" t="str">
        <f>CONCATENATE("DOLI PROM D.O.O.,"," MALE PUTINE 14,"," 10000 ZAGREB,"," OIB: 08741309749")</f>
        <v>DOLI PROM D.O.O., MALE PUTINE 14, 10000 ZAGREB, OIB: 08741309749</v>
      </c>
      <c r="H1322" s="7"/>
      <c r="I1322" s="8" t="s">
        <v>252</v>
      </c>
      <c r="J1322" s="8" t="s">
        <v>241</v>
      </c>
      <c r="K1322" s="6" t="str">
        <f>"56.600,00"</f>
        <v>56.600,00</v>
      </c>
      <c r="L1322" s="6" t="str">
        <f>"14.150,00"</f>
        <v>14.150,00</v>
      </c>
      <c r="M1322" s="6" t="str">
        <f>"70.750,00"</f>
        <v>70.750,00</v>
      </c>
      <c r="N1322" s="8" t="s">
        <v>215</v>
      </c>
      <c r="O1322" s="7"/>
      <c r="P1322" s="2" t="s">
        <v>6461</v>
      </c>
      <c r="Q1322" s="7"/>
      <c r="R1322" s="1"/>
      <c r="S1322" s="1" t="str">
        <f>"3-22/NOS-90/20"</f>
        <v>3-22/NOS-90/20</v>
      </c>
      <c r="T1322" s="1" t="s">
        <v>32</v>
      </c>
    </row>
    <row r="1323" spans="1:20" ht="331.5" x14ac:dyDescent="0.25">
      <c r="A1323" s="6">
        <v>1320</v>
      </c>
      <c r="B1323" s="1" t="str">
        <f>"2020-767"</f>
        <v>2020-767</v>
      </c>
      <c r="C1323" s="1" t="s">
        <v>1367</v>
      </c>
      <c r="D1323" s="1" t="s">
        <v>941</v>
      </c>
      <c r="E1323" s="1" t="str">
        <f>"2020/S F14-0042816"</f>
        <v>2020/S F14-0042816</v>
      </c>
      <c r="F1323" s="1" t="s">
        <v>22</v>
      </c>
      <c r="G1323" s="1"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1323" s="7"/>
      <c r="I1323" s="8" t="s">
        <v>1364</v>
      </c>
      <c r="J1323" s="8" t="s">
        <v>421</v>
      </c>
      <c r="K1323" s="6" t="str">
        <f>"35.000.000,00"</f>
        <v>35.000.000,00</v>
      </c>
      <c r="L1323" s="6" t="str">
        <f>"8.750.000,00"</f>
        <v>8.750.000,00</v>
      </c>
      <c r="M1323" s="6" t="str">
        <f>"43.750.000,00"</f>
        <v>43.750.000,00</v>
      </c>
      <c r="N1323" s="8" t="s">
        <v>124</v>
      </c>
      <c r="O1323" s="7"/>
      <c r="P1323" s="2" t="s">
        <v>5614</v>
      </c>
      <c r="Q1323" s="7"/>
      <c r="R1323" s="1"/>
      <c r="S1323" s="1" t="str">
        <f>"NOS-88/20"</f>
        <v>NOS-88/20</v>
      </c>
      <c r="T1323" s="1" t="s">
        <v>55</v>
      </c>
    </row>
    <row r="1324" spans="1:20" ht="331.5" x14ac:dyDescent="0.25">
      <c r="A1324" s="6">
        <v>1321</v>
      </c>
      <c r="B1324" s="1" t="str">
        <f>"2020-767"</f>
        <v>2020-767</v>
      </c>
      <c r="C1324" s="1" t="s">
        <v>1367</v>
      </c>
      <c r="D1324" s="1" t="s">
        <v>486</v>
      </c>
      <c r="E1324" s="1" t="str">
        <f>""</f>
        <v/>
      </c>
      <c r="F1324" s="1" t="s">
        <v>28</v>
      </c>
      <c r="G1324" s="1" t="str">
        <f>CONCATENATE("Zajednica ponuditelja",CHAR(10),"AMB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f>
        <v>Zajednica ponuditelja
AMB GRADNJA D.O.O., PRILAZ BARUNA FILIPOVIĆA 15, 10000 ZAGREB, OIB: 85272651470NERING D.O.O. LIVADARSKI PUT 24, 10360 SESVETE, OIB: 85965934616TEMPORIUM GRADNJA D.O.O. LJUTOMERSKA ULICA 33A, 10000 ZAGREB, OIB: 62850482681BOLČEVIĆ-GRADNJA D.O.O. DUGOSELSKA CESTA 56, 10361 SESVETSKI KRALJEVEC, OIB: 52098670500GEORAD D.O.O. KORNATSKA 1, 10000 ZAGREB, OIB: 49756748234KINDER GRADNJA D.O.O. SELSKA 57, 10360 SESVETE, OIB: 71001411174</v>
      </c>
      <c r="H1324" s="7"/>
      <c r="I1324" s="8" t="s">
        <v>397</v>
      </c>
      <c r="J1324" s="8" t="s">
        <v>1368</v>
      </c>
      <c r="K1324" s="6" t="str">
        <f>"2.887.500,00"</f>
        <v>2.887.500,00</v>
      </c>
      <c r="L1324" s="6" t="str">
        <f>"721.875,00"</f>
        <v>721.875,00</v>
      </c>
      <c r="M1324" s="6" t="str">
        <f>"3.609.375,00"</f>
        <v>3.609.375,00</v>
      </c>
      <c r="N1324" s="8" t="s">
        <v>124</v>
      </c>
      <c r="O1324" s="7"/>
      <c r="P1324" s="2" t="s">
        <v>5614</v>
      </c>
      <c r="Q1324" s="7"/>
      <c r="R1324" s="1"/>
      <c r="S1324" s="1" t="str">
        <f>"1-22/NOS-88/20"</f>
        <v>1-22/NOS-88/20</v>
      </c>
      <c r="T1324" s="1" t="s">
        <v>55</v>
      </c>
    </row>
    <row r="1325" spans="1:20" ht="357" x14ac:dyDescent="0.25">
      <c r="A1325" s="6">
        <v>1322</v>
      </c>
      <c r="B1325" s="1" t="str">
        <f>"2020-767"</f>
        <v>2020-767</v>
      </c>
      <c r="C1325" s="1" t="s">
        <v>1367</v>
      </c>
      <c r="D1325" s="1" t="s">
        <v>486</v>
      </c>
      <c r="E1325" s="1" t="str">
        <f>""</f>
        <v/>
      </c>
      <c r="F1325" s="1" t="s">
        <v>28</v>
      </c>
      <c r="G1325" s="1" t="str">
        <f>CONCATENATE("Zajednica ponuditelja:",CHAR(10),"AMB GRADNJA D.O.O.,"," PRILAZ BARUNA FILIPOVIĆA 15,"," 10000 ZAGREB,"," OIB: 85272651470",CHAR(10),"GEORAD D.O.O.,"," KORNATSKA 1,"," 10000 ZAGREB,"," OIB: 49756748234",CHAR(10),"KINDER GRADNJA D.O.O.,"," SELSKA 57,"," 10360 SESVETE,"," OIB: 71001411174",CHAR(10),"NERING D.O.O.,"," LIVADARSKI PUT 24,"," 10360 SESVETE,"," OIB: 85965934616",CHAR(10),"TEMPORIUM GRADNJA D.O.O.,"," LJUTOMERSKA ULICA 33A,"," 10000 ZAGREB,"," OIB: 62850482681",CHAR(10),"BOLČEVIĆ-GRADNJA D.O.O.,"," DUGOSELSKA CESTA 56,"," 10361 SESVETSKI KRALJEVEC,"," OIB: 520986705")</f>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1325" s="7"/>
      <c r="I1325" s="8" t="s">
        <v>496</v>
      </c>
      <c r="J1325" s="8" t="s">
        <v>1187</v>
      </c>
      <c r="K1325" s="6" t="str">
        <f>"198.461,50"</f>
        <v>198.461,50</v>
      </c>
      <c r="L1325" s="6" t="str">
        <f>"0,00"</f>
        <v>0,00</v>
      </c>
      <c r="M1325" s="6" t="str">
        <f>"198.461,50"</f>
        <v>198.461,50</v>
      </c>
      <c r="N1325" s="8" t="s">
        <v>124</v>
      </c>
      <c r="O1325" s="7"/>
      <c r="P1325" s="2" t="s">
        <v>5614</v>
      </c>
      <c r="Q1325" s="7"/>
      <c r="R1325" s="1"/>
      <c r="S1325" s="1" t="str">
        <f>"10-21/NOS-88/20"</f>
        <v>10-21/NOS-88/20</v>
      </c>
      <c r="T1325" s="1" t="s">
        <v>55</v>
      </c>
    </row>
    <row r="1326" spans="1:20" ht="357" x14ac:dyDescent="0.25">
      <c r="A1326" s="6">
        <v>1323</v>
      </c>
      <c r="B1326" s="1" t="str">
        <f>"2020-767"</f>
        <v>2020-767</v>
      </c>
      <c r="C1326" s="1" t="s">
        <v>1367</v>
      </c>
      <c r="D1326" s="1" t="s">
        <v>486</v>
      </c>
      <c r="E1326" s="1" t="str">
        <f>""</f>
        <v/>
      </c>
      <c r="F1326" s="1" t="s">
        <v>28</v>
      </c>
      <c r="G1326" s="1" t="str">
        <f>CONCATENATE("Zajednica ponuditelja:",CHAR(10),"AMB GRADNJA D.O.O.,"," PRILAZ BARUNA FILIPOVIĆA 15,"," 10000 ZAGREB,"," OIB: 85272651470",CHAR(10),"GEORAD D.O.O.,"," KORNATSKA 1,"," 10000 ZAGREB,"," OIB: 49756748234",CHAR(10),"KINDER GRADNJA D.O.O.,"," SELSKA 57,"," 10360 SESVETE,"," OIB: 71001411174",CHAR(10),"NERING D.O.O.,"," LIVADARSKI PUT 24,"," 10360 SESVETE,"," OIB: 85965934616",CHAR(10),"TEMPORIUM GRADNJA D.O.O.,"," LJUTOMERSKA ULICA 33A,"," 10000 ZAGREB,"," OIB: 62850482681",CHAR(10),"BOLČEVIĆ-GRADNJA D.O.O.,"," DUGOSELSKA CESTA 56,"," 10361 SESVETSKI KRALJEVEC,"," OIB: 520986705")</f>
        <v>Zajednica ponuditelja:
AMB GRADNJA D.O.O., PRILAZ BARUNA FILIPOVIĆA 15, 10000 ZAGREB, OIB: 85272651470
GEORAD D.O.O., KORNATSKA 1, 10000 ZAGREB, OIB: 49756748234
KINDER GRADNJA D.O.O., SELSKA 57, 10360 SESVETE, OIB: 71001411174
NERING D.O.O., LIVADARSKI PUT 24, 10360 SESVETE, OIB: 85965934616
TEMPORIUM GRADNJA D.O.O., LJUTOMERSKA ULICA 33A, 10000 ZAGREB, OIB: 62850482681
BOLČEVIĆ-GRADNJA D.O.O., DUGOSELSKA CESTA 56, 10361 SESVETSKI KRALJEVEC, OIB: 520986705</v>
      </c>
      <c r="H1326" s="7"/>
      <c r="I1326" s="8" t="s">
        <v>397</v>
      </c>
      <c r="J1326" s="8" t="s">
        <v>171</v>
      </c>
      <c r="K1326" s="6" t="str">
        <f>"169.645,00"</f>
        <v>169.645,00</v>
      </c>
      <c r="L1326" s="6" t="str">
        <f>"0,00"</f>
        <v>0,00</v>
      </c>
      <c r="M1326" s="6" t="str">
        <f>"169.645,00"</f>
        <v>169.645,00</v>
      </c>
      <c r="N1326" s="8" t="s">
        <v>124</v>
      </c>
      <c r="O1326" s="7"/>
      <c r="P1326" s="2" t="s">
        <v>5614</v>
      </c>
      <c r="Q1326" s="7"/>
      <c r="R1326" s="1"/>
      <c r="S1326" s="1" t="str">
        <f>"2-22/NOS-88/20"</f>
        <v>2-22/NOS-88/20</v>
      </c>
      <c r="T1326" s="1" t="s">
        <v>55</v>
      </c>
    </row>
    <row r="1327" spans="1:20" ht="242.25" x14ac:dyDescent="0.25">
      <c r="A1327" s="6">
        <v>1324</v>
      </c>
      <c r="B1327" s="1" t="str">
        <f>"2020-2764"</f>
        <v>2020-2764</v>
      </c>
      <c r="C1327" s="1" t="s">
        <v>1369</v>
      </c>
      <c r="D1327" s="1" t="s">
        <v>1370</v>
      </c>
      <c r="E1327" s="1" t="str">
        <f>"2020/S 0F2-0039021"</f>
        <v>2020/S 0F2-0039021</v>
      </c>
      <c r="F1327" s="1" t="s">
        <v>22</v>
      </c>
      <c r="G1327" s="1" t="str">
        <f>CONCATENATE("NARODNE NOVINE D.D.,"," SAVSKI GAJ XIII. PUT br. 6,"," 10000 ZAGREB,"," OIB: 64546066176",CHAR(10),"",CHAR(10),"BIRODOM D.O.O.,"," UL. HOJNIKOVA 19,"," 10250 LUČKO,"," OIB: 47794513055",CHAR(10),"",CHAR(10),"Zajednica ponuditelja",CHAR(10),"EURO ROSA IP D.O.O.,"," FREUDOVA 3,"," 10000 ZAGREB,"," OIB: 58421021869SOLAR ZAGORJE D.O.O. MILANA PRPIĆA 77 /1,"," 49243 OROSLAVLJE,"," OIB: 00650873295")</f>
        <v>NARODNE NOVINE D.D., SAVSKI GAJ XIII. PUT br. 6, 10000 ZAGREB, OIB: 64546066176
BIRODOM D.O.O., UL. HOJNIKOVA 19, 10250 LUČKO, OIB: 47794513055
Zajednica ponuditelja
EURO ROSA IP D.O.O., FREUDOVA 3, 10000 ZAGREB, OIB: 58421021869SOLAR ZAGORJE D.O.O. MILANA PRPIĆA 77 /1, 49243 OROSLAVLJE, OIB: 00650873295</v>
      </c>
      <c r="H1327" s="7"/>
      <c r="I1327" s="8" t="s">
        <v>1364</v>
      </c>
      <c r="J1327" s="8" t="s">
        <v>1255</v>
      </c>
      <c r="K1327" s="6" t="str">
        <f>"1.961.000,00"</f>
        <v>1.961.000,00</v>
      </c>
      <c r="L1327" s="6" t="str">
        <f>"490.250,00"</f>
        <v>490.250,00</v>
      </c>
      <c r="M1327" s="6" t="str">
        <f>"2.451.250,00"</f>
        <v>2.451.250,00</v>
      </c>
      <c r="N1327" s="8" t="s">
        <v>124</v>
      </c>
      <c r="O1327" s="7"/>
      <c r="P1327" s="2" t="s">
        <v>6462</v>
      </c>
      <c r="Q1327" s="7"/>
      <c r="R1327" s="1"/>
      <c r="S1327" s="1" t="str">
        <f>"NOS-83-ZGH/20"</f>
        <v>NOS-83-ZGH/20</v>
      </c>
      <c r="T1327" s="1" t="s">
        <v>531</v>
      </c>
    </row>
    <row r="1328" spans="1:20" ht="51" x14ac:dyDescent="0.25">
      <c r="A1328" s="6">
        <v>1325</v>
      </c>
      <c r="B1328" s="1" t="str">
        <f>"2020-2764"</f>
        <v>2020-2764</v>
      </c>
      <c r="C1328" s="1" t="s">
        <v>1369</v>
      </c>
      <c r="D1328" s="1" t="s">
        <v>1371</v>
      </c>
      <c r="E1328" s="1" t="str">
        <f>""</f>
        <v/>
      </c>
      <c r="F1328" s="1" t="s">
        <v>28</v>
      </c>
      <c r="G1328" s="1" t="str">
        <f>CONCATENATE("NARODNE NOVINE D.D.,"," SAVSKI GAJ XIII. PUT br. 6,"," 10000 ZAGREB,"," OIB: 64546066176")</f>
        <v>NARODNE NOVINE D.D., SAVSKI GAJ XIII. PUT br. 6, 10000 ZAGREB, OIB: 64546066176</v>
      </c>
      <c r="H1328" s="7"/>
      <c r="I1328" s="8" t="s">
        <v>656</v>
      </c>
      <c r="J1328" s="8" t="s">
        <v>53</v>
      </c>
      <c r="K1328" s="6" t="str">
        <f>"288.188,20"</f>
        <v>288.188,20</v>
      </c>
      <c r="L1328" s="6" t="str">
        <f>"72.047,05"</f>
        <v>72.047,05</v>
      </c>
      <c r="M1328" s="6" t="str">
        <f>"360.235,25"</f>
        <v>360.235,25</v>
      </c>
      <c r="N1328" s="8" t="s">
        <v>923</v>
      </c>
      <c r="O1328" s="7"/>
      <c r="P1328" s="2" t="s">
        <v>6463</v>
      </c>
      <c r="Q1328" s="7"/>
      <c r="R1328" s="1"/>
      <c r="S1328" s="1" t="str">
        <f>"21-21/NOS-83-ZGH/20"</f>
        <v>21-21/NOS-83-ZGH/20</v>
      </c>
      <c r="T1328" s="1" t="s">
        <v>32</v>
      </c>
    </row>
    <row r="1329" spans="1:20" ht="51" x14ac:dyDescent="0.25">
      <c r="A1329" s="6">
        <v>1326</v>
      </c>
      <c r="B1329" s="1" t="str">
        <f>"2020-2764"</f>
        <v>2020-2764</v>
      </c>
      <c r="C1329" s="1" t="s">
        <v>1369</v>
      </c>
      <c r="D1329" s="1" t="s">
        <v>1371</v>
      </c>
      <c r="E1329" s="1" t="str">
        <f>""</f>
        <v/>
      </c>
      <c r="F1329" s="1" t="s">
        <v>28</v>
      </c>
      <c r="G1329" s="1" t="str">
        <f>CONCATENATE("NARODNE NOVINE D.D.,"," SAVSKI GAJ XIII. PUT br. 6,"," 10000 ZAGREB,"," OIB: 64546066176")</f>
        <v>NARODNE NOVINE D.D., SAVSKI GAJ XIII. PUT br. 6, 10000 ZAGREB, OIB: 64546066176</v>
      </c>
      <c r="H1329" s="7"/>
      <c r="I1329" s="8" t="s">
        <v>190</v>
      </c>
      <c r="J1329" s="8" t="s">
        <v>53</v>
      </c>
      <c r="K1329" s="6" t="str">
        <f>"24.649,65"</f>
        <v>24.649,65</v>
      </c>
      <c r="L1329" s="6" t="str">
        <f>"6.162,41"</f>
        <v>6.162,41</v>
      </c>
      <c r="M1329" s="6" t="str">
        <f>"30.812,06"</f>
        <v>30.812,06</v>
      </c>
      <c r="N1329" s="8" t="s">
        <v>124</v>
      </c>
      <c r="O1329" s="7"/>
      <c r="P1329" s="2" t="s">
        <v>5614</v>
      </c>
      <c r="Q1329" s="7"/>
      <c r="R1329" s="1"/>
      <c r="S1329" s="1" t="str">
        <f>"24-21/NOS-83-ZGH/20"</f>
        <v>24-21/NOS-83-ZGH/20</v>
      </c>
      <c r="T1329" s="1" t="s">
        <v>86</v>
      </c>
    </row>
    <row r="1330" spans="1:20" ht="63.75" x14ac:dyDescent="0.25">
      <c r="A1330" s="6">
        <v>1327</v>
      </c>
      <c r="B1330" s="1" t="str">
        <f>"2020-567"</f>
        <v>2020-567</v>
      </c>
      <c r="C1330" s="1" t="s">
        <v>1372</v>
      </c>
      <c r="D1330" s="1" t="s">
        <v>1373</v>
      </c>
      <c r="E1330" s="1" t="str">
        <f>"2020/S 0F2-0034940"</f>
        <v>2020/S 0F2-0034940</v>
      </c>
      <c r="F1330" s="1" t="s">
        <v>22</v>
      </c>
      <c r="G1330" s="1" t="str">
        <f>CONCATENATE("BERGER,"," VL. ROBERT BERGER,"," ŠTEFA KUZMIĆA 13,"," 10373 IVANJA REKA,"," OIB: 39651558047")</f>
        <v>BERGER, VL. ROBERT BERGER, ŠTEFA KUZMIĆA 13, 10373 IVANJA REKA, OIB: 39651558047</v>
      </c>
      <c r="H1330" s="7"/>
      <c r="I1330" s="8" t="s">
        <v>1344</v>
      </c>
      <c r="J1330" s="8" t="s">
        <v>1374</v>
      </c>
      <c r="K1330" s="6" t="str">
        <f>"3.000.000,00"</f>
        <v>3.000.000,00</v>
      </c>
      <c r="L1330" s="6" t="str">
        <f>"750.000,00"</f>
        <v>750.000,00</v>
      </c>
      <c r="M1330" s="6" t="str">
        <f>"3.750.000,00"</f>
        <v>3.750.000,00</v>
      </c>
      <c r="N1330" s="8" t="s">
        <v>124</v>
      </c>
      <c r="O1330" s="7"/>
      <c r="P1330" s="2" t="s">
        <v>5614</v>
      </c>
      <c r="Q1330" s="7"/>
      <c r="R1330" s="1"/>
      <c r="S1330" s="1" t="str">
        <f>"NOS-93/20"</f>
        <v>NOS-93/20</v>
      </c>
      <c r="T1330" s="1" t="s">
        <v>55</v>
      </c>
    </row>
    <row r="1331" spans="1:20" ht="63.75" x14ac:dyDescent="0.25">
      <c r="A1331" s="6">
        <v>1328</v>
      </c>
      <c r="B1331" s="1" t="str">
        <f>"2020-567"</f>
        <v>2020-567</v>
      </c>
      <c r="C1331" s="1" t="s">
        <v>1372</v>
      </c>
      <c r="D1331" s="1" t="s">
        <v>1373</v>
      </c>
      <c r="E1331" s="1" t="str">
        <f>""</f>
        <v/>
      </c>
      <c r="F1331" s="1" t="s">
        <v>28</v>
      </c>
      <c r="G1331" s="1" t="str">
        <f>CONCATENATE("BERGER,"," VL. ROBERT BERGER,"," ŠTEFA KUZMIĆA 13,"," 10373 IVANJA REKA,"," OIB: 39651558047")</f>
        <v>BERGER, VL. ROBERT BERGER, ŠTEFA KUZMIĆA 13, 10373 IVANJA REKA, OIB: 39651558047</v>
      </c>
      <c r="H1331" s="7"/>
      <c r="I1331" s="8" t="s">
        <v>562</v>
      </c>
      <c r="J1331" s="8" t="s">
        <v>1187</v>
      </c>
      <c r="K1331" s="6" t="str">
        <f>"86.110,00"</f>
        <v>86.110,00</v>
      </c>
      <c r="L1331" s="6" t="str">
        <f>"21.527,50"</f>
        <v>21.527,50</v>
      </c>
      <c r="M1331" s="6" t="str">
        <f>"107.637,50"</f>
        <v>107.637,50</v>
      </c>
      <c r="N1331" s="8" t="s">
        <v>625</v>
      </c>
      <c r="O1331" s="7"/>
      <c r="P1331" s="2" t="s">
        <v>6464</v>
      </c>
      <c r="Q1331" s="7"/>
      <c r="R1331" s="1"/>
      <c r="S1331" s="1" t="str">
        <f>"1-22/NOS-93/20"</f>
        <v>1-22/NOS-93/20</v>
      </c>
      <c r="T1331" s="1" t="s">
        <v>55</v>
      </c>
    </row>
    <row r="1332" spans="1:20" ht="63.75" x14ac:dyDescent="0.25">
      <c r="A1332" s="6">
        <v>1329</v>
      </c>
      <c r="B1332" s="1" t="str">
        <f>"2020-567"</f>
        <v>2020-567</v>
      </c>
      <c r="C1332" s="1" t="s">
        <v>1372</v>
      </c>
      <c r="D1332" s="1" t="s">
        <v>1373</v>
      </c>
      <c r="E1332" s="1" t="str">
        <f>""</f>
        <v/>
      </c>
      <c r="F1332" s="1" t="s">
        <v>28</v>
      </c>
      <c r="G1332" s="1" t="str">
        <f>CONCATENATE("BERGER,"," VL. ROBERT BERGER,"," ŠTEFA KUZMIĆA 13,"," 10373 IVANJA REKA,"," OIB: 39651558047")</f>
        <v>BERGER, VL. ROBERT BERGER, ŠTEFA KUZMIĆA 13, 10373 IVANJA REKA, OIB: 39651558047</v>
      </c>
      <c r="H1332" s="7"/>
      <c r="I1332" s="8" t="s">
        <v>278</v>
      </c>
      <c r="J1332" s="8" t="s">
        <v>1187</v>
      </c>
      <c r="K1332" s="6" t="str">
        <f>"195.050,00"</f>
        <v>195.050,00</v>
      </c>
      <c r="L1332" s="6" t="str">
        <f>"48.762,50"</f>
        <v>48.762,50</v>
      </c>
      <c r="M1332" s="6" t="str">
        <f>"243.812,50"</f>
        <v>243.812,50</v>
      </c>
      <c r="N1332" s="8" t="s">
        <v>625</v>
      </c>
      <c r="O1332" s="7"/>
      <c r="P1332" s="2" t="s">
        <v>6465</v>
      </c>
      <c r="Q1332" s="7"/>
      <c r="R1332" s="1"/>
      <c r="S1332" s="1" t="str">
        <f>"2-22/NOS-93/20"</f>
        <v>2-22/NOS-93/20</v>
      </c>
      <c r="T1332" s="1" t="s">
        <v>55</v>
      </c>
    </row>
    <row r="1333" spans="1:20" ht="63.75" x14ac:dyDescent="0.25">
      <c r="A1333" s="6">
        <v>1330</v>
      </c>
      <c r="B1333" s="1" t="str">
        <f>"2020-567"</f>
        <v>2020-567</v>
      </c>
      <c r="C1333" s="1" t="s">
        <v>1372</v>
      </c>
      <c r="D1333" s="1" t="s">
        <v>1373</v>
      </c>
      <c r="E1333" s="1" t="str">
        <f>""</f>
        <v/>
      </c>
      <c r="F1333" s="1" t="s">
        <v>28</v>
      </c>
      <c r="G1333" s="1" t="str">
        <f>CONCATENATE("BERGER,"," VL. ROBERT BERGER,"," ŠTEFA KUZMIĆA 13,"," 10373 IVANJA REKA,"," OIB: 39651558047")</f>
        <v>BERGER, VL. ROBERT BERGER, ŠTEFA KUZMIĆA 13, 10373 IVANJA REKA, OIB: 39651558047</v>
      </c>
      <c r="H1333" s="7"/>
      <c r="I1333" s="8" t="s">
        <v>365</v>
      </c>
      <c r="J1333" s="8" t="s">
        <v>1187</v>
      </c>
      <c r="K1333" s="6" t="str">
        <f>"90.110,00"</f>
        <v>90.110,00</v>
      </c>
      <c r="L1333" s="6" t="str">
        <f>"0,00"</f>
        <v>0,00</v>
      </c>
      <c r="M1333" s="6" t="str">
        <f>"90.110,00"</f>
        <v>90.110,00</v>
      </c>
      <c r="N1333" s="8" t="s">
        <v>124</v>
      </c>
      <c r="O1333" s="7"/>
      <c r="P1333" s="2" t="s">
        <v>5614</v>
      </c>
      <c r="Q1333" s="7"/>
      <c r="R1333" s="1"/>
      <c r="S1333" s="1" t="str">
        <f>"3-22/NOS-93/20"</f>
        <v>3-22/NOS-93/20</v>
      </c>
      <c r="T1333" s="1" t="s">
        <v>55</v>
      </c>
    </row>
    <row r="1334" spans="1:20" ht="63.75" x14ac:dyDescent="0.25">
      <c r="A1334" s="6">
        <v>1331</v>
      </c>
      <c r="B1334" s="1" t="str">
        <f>"2020-567"</f>
        <v>2020-567</v>
      </c>
      <c r="C1334" s="1" t="s">
        <v>1372</v>
      </c>
      <c r="D1334" s="1" t="s">
        <v>1373</v>
      </c>
      <c r="E1334" s="1" t="str">
        <f>""</f>
        <v/>
      </c>
      <c r="F1334" s="1" t="s">
        <v>28</v>
      </c>
      <c r="G1334" s="1" t="str">
        <f>CONCATENATE("BERGER,"," VL. ROBERT BERGER,"," ŠTEFA KUZMIĆA 13,"," 10373 IVANJA REKA,"," OIB: 39651558047")</f>
        <v>BERGER, VL. ROBERT BERGER, ŠTEFA KUZMIĆA 13, 10373 IVANJA REKA, OIB: 39651558047</v>
      </c>
      <c r="H1334" s="7"/>
      <c r="I1334" s="8" t="s">
        <v>553</v>
      </c>
      <c r="J1334" s="8" t="s">
        <v>1187</v>
      </c>
      <c r="K1334" s="6" t="str">
        <f>"90.110,00"</f>
        <v>90.110,00</v>
      </c>
      <c r="L1334" s="6" t="str">
        <f>"0,00"</f>
        <v>0,00</v>
      </c>
      <c r="M1334" s="6" t="str">
        <f>"90.110,00"</f>
        <v>90.110,00</v>
      </c>
      <c r="N1334" s="8" t="s">
        <v>124</v>
      </c>
      <c r="O1334" s="7"/>
      <c r="P1334" s="2" t="s">
        <v>5614</v>
      </c>
      <c r="Q1334" s="7"/>
      <c r="R1334" s="1"/>
      <c r="S1334" s="1" t="str">
        <f>"4-22/NOS-93/20"</f>
        <v>4-22/NOS-93/20</v>
      </c>
      <c r="T1334" s="1" t="s">
        <v>55</v>
      </c>
    </row>
    <row r="1335" spans="1:20" ht="102" x14ac:dyDescent="0.25">
      <c r="A1335" s="6">
        <v>1332</v>
      </c>
      <c r="B1335" s="1" t="str">
        <f t="shared" ref="B1335:B1344" si="119">"2020-2940"</f>
        <v>2020-2940</v>
      </c>
      <c r="C1335" s="1" t="s">
        <v>1375</v>
      </c>
      <c r="D1335" s="1" t="s">
        <v>1376</v>
      </c>
      <c r="E1335" s="1" t="str">
        <f>"2020/S 0F2-0045647"</f>
        <v>2020/S 0F2-0045647</v>
      </c>
      <c r="F1335" s="1" t="s">
        <v>22</v>
      </c>
      <c r="G1335" s="1" t="str">
        <f>CONCATENATE("SWARCO CROATIA D.O.O.,"," SPREČKA 8,"," 10000 ZAGREB,"," OIB: 79421023865")</f>
        <v>SWARCO CROATIA D.O.O., SPREČKA 8, 10000 ZAGREB, OIB: 79421023865</v>
      </c>
      <c r="H1335" s="7"/>
      <c r="I1335" s="8" t="s">
        <v>1377</v>
      </c>
      <c r="J1335" s="8" t="s">
        <v>1327</v>
      </c>
      <c r="K1335" s="6" t="str">
        <f>"1.200.000,00"</f>
        <v>1.200.000,00</v>
      </c>
      <c r="L1335" s="6" t="str">
        <f>"300.000,00"</f>
        <v>300.000,00</v>
      </c>
      <c r="M1335" s="6" t="str">
        <f>"1.500.000,00"</f>
        <v>1.500.000,00</v>
      </c>
      <c r="N1335" s="8" t="s">
        <v>124</v>
      </c>
      <c r="O1335" s="7"/>
      <c r="P1335" s="2" t="s">
        <v>5614</v>
      </c>
      <c r="Q1335" s="7"/>
      <c r="R1335" s="1"/>
      <c r="S1335" s="1" t="str">
        <f>"NOS-95-1/20"</f>
        <v>NOS-95-1/20</v>
      </c>
      <c r="T1335" s="1" t="s">
        <v>32</v>
      </c>
    </row>
    <row r="1336" spans="1:20" ht="102" x14ac:dyDescent="0.25">
      <c r="A1336" s="6">
        <v>1333</v>
      </c>
      <c r="B1336" s="1" t="str">
        <f t="shared" si="119"/>
        <v>2020-2940</v>
      </c>
      <c r="C1336" s="1" t="s">
        <v>1375</v>
      </c>
      <c r="D1336" s="1" t="s">
        <v>1376</v>
      </c>
      <c r="E1336" s="1" t="str">
        <f>""</f>
        <v/>
      </c>
      <c r="F1336" s="1" t="s">
        <v>28</v>
      </c>
      <c r="G1336" s="1" t="str">
        <f>CONCATENATE("SWARCO CROATIA D.O.O.,"," SPREČKA 8,"," 10000 ZAGREB,"," OIB: 79421023865")</f>
        <v>SWARCO CROATIA D.O.O., SPREČKA 8, 10000 ZAGREB, OIB: 79421023865</v>
      </c>
      <c r="H1336" s="7"/>
      <c r="I1336" s="8" t="s">
        <v>779</v>
      </c>
      <c r="J1336" s="8" t="s">
        <v>1187</v>
      </c>
      <c r="K1336" s="6" t="str">
        <f>"3.070,00"</f>
        <v>3.070,00</v>
      </c>
      <c r="L1336" s="6" t="str">
        <f>"767,50"</f>
        <v>767,50</v>
      </c>
      <c r="M1336" s="6" t="str">
        <f>"3.837,50"</f>
        <v>3.837,50</v>
      </c>
      <c r="N1336" s="8" t="s">
        <v>422</v>
      </c>
      <c r="O1336" s="7"/>
      <c r="P1336" s="2" t="s">
        <v>6466</v>
      </c>
      <c r="Q1336" s="7"/>
      <c r="R1336" s="1"/>
      <c r="S1336" s="1" t="str">
        <f>"1-22/NOS-95-1/20"</f>
        <v>1-22/NOS-95-1/20</v>
      </c>
      <c r="T1336" s="1" t="s">
        <v>32</v>
      </c>
    </row>
    <row r="1337" spans="1:20" ht="102" x14ac:dyDescent="0.25">
      <c r="A1337" s="6">
        <v>1334</v>
      </c>
      <c r="B1337" s="1" t="str">
        <f t="shared" si="119"/>
        <v>2020-2940</v>
      </c>
      <c r="C1337" s="1" t="s">
        <v>1375</v>
      </c>
      <c r="D1337" s="1" t="s">
        <v>1376</v>
      </c>
      <c r="E1337" s="1" t="str">
        <f>""</f>
        <v/>
      </c>
      <c r="F1337" s="1" t="s">
        <v>28</v>
      </c>
      <c r="G1337" s="1" t="str">
        <f>CONCATENATE("SWARCO CROATIA D.O.O.,"," SPREČKA 8,"," 10000 ZAGREB,"," OIB: 79421023865")</f>
        <v>SWARCO CROATIA D.O.O., SPREČKA 8, 10000 ZAGREB, OIB: 79421023865</v>
      </c>
      <c r="H1337" s="7"/>
      <c r="I1337" s="8" t="s">
        <v>127</v>
      </c>
      <c r="J1337" s="8" t="s">
        <v>555</v>
      </c>
      <c r="K1337" s="6" t="str">
        <f>"84.786,00"</f>
        <v>84.786,00</v>
      </c>
      <c r="L1337" s="6" t="str">
        <f>"21.196,50"</f>
        <v>21.196,50</v>
      </c>
      <c r="M1337" s="6" t="str">
        <f>"105.982,50"</f>
        <v>105.982,50</v>
      </c>
      <c r="N1337" s="8" t="s">
        <v>521</v>
      </c>
      <c r="O1337" s="7"/>
      <c r="P1337" s="2" t="s">
        <v>6467</v>
      </c>
      <c r="Q1337" s="7"/>
      <c r="R1337" s="1"/>
      <c r="S1337" s="1" t="str">
        <f>"2-22/NOS-95-1/20"</f>
        <v>2-22/NOS-95-1/20</v>
      </c>
      <c r="T1337" s="1" t="s">
        <v>32</v>
      </c>
    </row>
    <row r="1338" spans="1:20" ht="102" x14ac:dyDescent="0.25">
      <c r="A1338" s="6">
        <v>1335</v>
      </c>
      <c r="B1338" s="1" t="str">
        <f t="shared" si="119"/>
        <v>2020-2940</v>
      </c>
      <c r="C1338" s="1" t="s">
        <v>1375</v>
      </c>
      <c r="D1338" s="1" t="s">
        <v>1376</v>
      </c>
      <c r="E1338" s="1" t="str">
        <f>""</f>
        <v/>
      </c>
      <c r="F1338" s="1" t="s">
        <v>28</v>
      </c>
      <c r="G1338" s="1" t="str">
        <f>CONCATENATE("SWARCO CROATIA D.O.O.,"," SPREČKA 8,"," 10000 ZAGREB,"," OIB: 79421023865")</f>
        <v>SWARCO CROATIA D.O.O., SPREČKA 8, 10000 ZAGREB, OIB: 79421023865</v>
      </c>
      <c r="H1338" s="7"/>
      <c r="I1338" s="8" t="s">
        <v>1147</v>
      </c>
      <c r="J1338" s="8" t="s">
        <v>1187</v>
      </c>
      <c r="K1338" s="6" t="str">
        <f>"117.334,00"</f>
        <v>117.334,00</v>
      </c>
      <c r="L1338" s="6" t="str">
        <f>"0,00"</f>
        <v>0,00</v>
      </c>
      <c r="M1338" s="6" t="str">
        <f>"117.334,00"</f>
        <v>117.334,00</v>
      </c>
      <c r="N1338" s="8" t="s">
        <v>124</v>
      </c>
      <c r="O1338" s="7"/>
      <c r="P1338" s="2" t="s">
        <v>5614</v>
      </c>
      <c r="Q1338" s="7"/>
      <c r="R1338" s="1"/>
      <c r="S1338" s="1" t="str">
        <f>"3-22/NOS-95-1/20"</f>
        <v>3-22/NOS-95-1/20</v>
      </c>
      <c r="T1338" s="1" t="s">
        <v>32</v>
      </c>
    </row>
    <row r="1339" spans="1:20" ht="102" x14ac:dyDescent="0.25">
      <c r="A1339" s="6">
        <v>1336</v>
      </c>
      <c r="B1339" s="1" t="str">
        <f t="shared" si="119"/>
        <v>2020-2940</v>
      </c>
      <c r="C1339" s="1" t="s">
        <v>1378</v>
      </c>
      <c r="D1339" s="1" t="s">
        <v>1376</v>
      </c>
      <c r="E1339" s="1" t="str">
        <f>"2020/S 0F2-0045647"</f>
        <v>2020/S 0F2-0045647</v>
      </c>
      <c r="F1339" s="1" t="s">
        <v>22</v>
      </c>
      <c r="G1339" s="1" t="str">
        <f t="shared" ref="G1339:G1344" si="120">CONCATENATE("SEMAFOR D.O.O.,"," ANTE TOPIĆ MIMARE 24,"," 10000 ZAGREB,"," OIB: 57464039766")</f>
        <v>SEMAFOR D.O.O., ANTE TOPIĆ MIMARE 24, 10000 ZAGREB, OIB: 57464039766</v>
      </c>
      <c r="H1339" s="7"/>
      <c r="I1339" s="8" t="s">
        <v>1377</v>
      </c>
      <c r="J1339" s="8" t="s">
        <v>1327</v>
      </c>
      <c r="K1339" s="6" t="str">
        <f>"500.000,00"</f>
        <v>500.000,00</v>
      </c>
      <c r="L1339" s="6" t="str">
        <f>"125.000,00"</f>
        <v>125.000,00</v>
      </c>
      <c r="M1339" s="6" t="str">
        <f>"625.000,00"</f>
        <v>625.000,00</v>
      </c>
      <c r="N1339" s="8" t="s">
        <v>124</v>
      </c>
      <c r="O1339" s="7"/>
      <c r="P1339" s="2" t="s">
        <v>5614</v>
      </c>
      <c r="Q1339" s="7"/>
      <c r="R1339" s="1"/>
      <c r="S1339" s="1" t="str">
        <f>"NOS-95-2/20"</f>
        <v>NOS-95-2/20</v>
      </c>
      <c r="T1339" s="1" t="s">
        <v>32</v>
      </c>
    </row>
    <row r="1340" spans="1:20" ht="102" x14ac:dyDescent="0.25">
      <c r="A1340" s="6">
        <v>1337</v>
      </c>
      <c r="B1340" s="1" t="str">
        <f t="shared" si="119"/>
        <v>2020-2940</v>
      </c>
      <c r="C1340" s="1" t="s">
        <v>1378</v>
      </c>
      <c r="D1340" s="1" t="s">
        <v>1376</v>
      </c>
      <c r="E1340" s="1" t="str">
        <f>""</f>
        <v/>
      </c>
      <c r="F1340" s="1" t="s">
        <v>28</v>
      </c>
      <c r="G1340" s="1" t="str">
        <f t="shared" si="120"/>
        <v>SEMAFOR D.O.O., ANTE TOPIĆ MIMARE 24, 10000 ZAGREB, OIB: 57464039766</v>
      </c>
      <c r="H1340" s="7"/>
      <c r="I1340" s="8" t="s">
        <v>779</v>
      </c>
      <c r="J1340" s="8" t="s">
        <v>1187</v>
      </c>
      <c r="K1340" s="6" t="str">
        <f>"20.000,00"</f>
        <v>20.000,00</v>
      </c>
      <c r="L1340" s="6" t="str">
        <f>"5.000,00"</f>
        <v>5.000,00</v>
      </c>
      <c r="M1340" s="6" t="str">
        <f>"25.000,00"</f>
        <v>25.000,00</v>
      </c>
      <c r="N1340" s="8" t="s">
        <v>396</v>
      </c>
      <c r="O1340" s="7"/>
      <c r="P1340" s="2" t="s">
        <v>6468</v>
      </c>
      <c r="Q1340" s="7"/>
      <c r="R1340" s="1"/>
      <c r="S1340" s="1" t="str">
        <f>"1-22/NOS-95-2/20"</f>
        <v>1-22/NOS-95-2/20</v>
      </c>
      <c r="T1340" s="1" t="s">
        <v>32</v>
      </c>
    </row>
    <row r="1341" spans="1:20" ht="102" x14ac:dyDescent="0.25">
      <c r="A1341" s="6">
        <v>1338</v>
      </c>
      <c r="B1341" s="1" t="str">
        <f t="shared" si="119"/>
        <v>2020-2940</v>
      </c>
      <c r="C1341" s="1" t="s">
        <v>1378</v>
      </c>
      <c r="D1341" s="1" t="s">
        <v>1376</v>
      </c>
      <c r="E1341" s="1" t="str">
        <f>""</f>
        <v/>
      </c>
      <c r="F1341" s="1" t="s">
        <v>28</v>
      </c>
      <c r="G1341" s="1" t="str">
        <f t="shared" si="120"/>
        <v>SEMAFOR D.O.O., ANTE TOPIĆ MIMARE 24, 10000 ZAGREB, OIB: 57464039766</v>
      </c>
      <c r="H1341" s="7"/>
      <c r="I1341" s="8" t="s">
        <v>754</v>
      </c>
      <c r="J1341" s="8" t="s">
        <v>1187</v>
      </c>
      <c r="K1341" s="6" t="str">
        <f>"64.000,00"</f>
        <v>64.000,00</v>
      </c>
      <c r="L1341" s="6" t="str">
        <f>"16.000,00"</f>
        <v>16.000,00</v>
      </c>
      <c r="M1341" s="6" t="str">
        <f>"80.000,00"</f>
        <v>80.000,00</v>
      </c>
      <c r="N1341" s="8" t="s">
        <v>421</v>
      </c>
      <c r="O1341" s="7"/>
      <c r="P1341" s="2" t="s">
        <v>6469</v>
      </c>
      <c r="Q1341" s="7"/>
      <c r="R1341" s="1"/>
      <c r="S1341" s="1" t="str">
        <f>"2-22/NOS-95-2/20"</f>
        <v>2-22/NOS-95-2/20</v>
      </c>
      <c r="T1341" s="1" t="s">
        <v>32</v>
      </c>
    </row>
    <row r="1342" spans="1:20" ht="102" x14ac:dyDescent="0.25">
      <c r="A1342" s="6">
        <v>1339</v>
      </c>
      <c r="B1342" s="1" t="str">
        <f t="shared" si="119"/>
        <v>2020-2940</v>
      </c>
      <c r="C1342" s="1" t="s">
        <v>1378</v>
      </c>
      <c r="D1342" s="1" t="s">
        <v>1376</v>
      </c>
      <c r="E1342" s="1" t="str">
        <f>""</f>
        <v/>
      </c>
      <c r="F1342" s="1" t="s">
        <v>28</v>
      </c>
      <c r="G1342" s="1" t="str">
        <f t="shared" si="120"/>
        <v>SEMAFOR D.O.O., ANTE TOPIĆ MIMARE 24, 10000 ZAGREB, OIB: 57464039766</v>
      </c>
      <c r="H1342" s="7"/>
      <c r="I1342" s="8" t="s">
        <v>372</v>
      </c>
      <c r="J1342" s="8" t="s">
        <v>1187</v>
      </c>
      <c r="K1342" s="6" t="str">
        <f>"11.200,00"</f>
        <v>11.200,00</v>
      </c>
      <c r="L1342" s="6" t="str">
        <f>"2.800,00"</f>
        <v>2.800,00</v>
      </c>
      <c r="M1342" s="6" t="str">
        <f>"14.000,00"</f>
        <v>14.000,00</v>
      </c>
      <c r="N1342" s="8" t="s">
        <v>406</v>
      </c>
      <c r="O1342" s="7"/>
      <c r="P1342" s="2" t="s">
        <v>6470</v>
      </c>
      <c r="Q1342" s="7"/>
      <c r="R1342" s="1"/>
      <c r="S1342" s="1" t="str">
        <f>"3-22/NOS-95-2/20"</f>
        <v>3-22/NOS-95-2/20</v>
      </c>
      <c r="T1342" s="1" t="s">
        <v>32</v>
      </c>
    </row>
    <row r="1343" spans="1:20" ht="102" x14ac:dyDescent="0.25">
      <c r="A1343" s="6">
        <v>1340</v>
      </c>
      <c r="B1343" s="1" t="str">
        <f t="shared" si="119"/>
        <v>2020-2940</v>
      </c>
      <c r="C1343" s="1" t="s">
        <v>1378</v>
      </c>
      <c r="D1343" s="1" t="s">
        <v>1376</v>
      </c>
      <c r="E1343" s="1" t="str">
        <f>""</f>
        <v/>
      </c>
      <c r="F1343" s="1" t="s">
        <v>28</v>
      </c>
      <c r="G1343" s="1" t="str">
        <f t="shared" si="120"/>
        <v>SEMAFOR D.O.O., ANTE TOPIĆ MIMARE 24, 10000 ZAGREB, OIB: 57464039766</v>
      </c>
      <c r="H1343" s="7"/>
      <c r="I1343" s="8" t="s">
        <v>916</v>
      </c>
      <c r="J1343" s="8" t="s">
        <v>1187</v>
      </c>
      <c r="K1343" s="6" t="str">
        <f>"15.000,00"</f>
        <v>15.000,00</v>
      </c>
      <c r="L1343" s="6" t="str">
        <f>"3.750,00"</f>
        <v>3.750,00</v>
      </c>
      <c r="M1343" s="6" t="str">
        <f>"18.750,00"</f>
        <v>18.750,00</v>
      </c>
      <c r="N1343" s="8" t="s">
        <v>970</v>
      </c>
      <c r="O1343" s="7"/>
      <c r="P1343" s="2" t="s">
        <v>5900</v>
      </c>
      <c r="Q1343" s="7"/>
      <c r="R1343" s="1"/>
      <c r="S1343" s="1" t="str">
        <f>"4-22/NOS-95-2/20"</f>
        <v>4-22/NOS-95-2/20</v>
      </c>
      <c r="T1343" s="1" t="s">
        <v>32</v>
      </c>
    </row>
    <row r="1344" spans="1:20" ht="102" x14ac:dyDescent="0.25">
      <c r="A1344" s="6">
        <v>1341</v>
      </c>
      <c r="B1344" s="1" t="str">
        <f t="shared" si="119"/>
        <v>2020-2940</v>
      </c>
      <c r="C1344" s="1" t="s">
        <v>1378</v>
      </c>
      <c r="D1344" s="1" t="s">
        <v>1376</v>
      </c>
      <c r="E1344" s="1" t="str">
        <f>""</f>
        <v/>
      </c>
      <c r="F1344" s="1" t="s">
        <v>28</v>
      </c>
      <c r="G1344" s="1" t="str">
        <f t="shared" si="120"/>
        <v>SEMAFOR D.O.O., ANTE TOPIĆ MIMARE 24, 10000 ZAGREB, OIB: 57464039766</v>
      </c>
      <c r="H1344" s="7"/>
      <c r="I1344" s="8" t="s">
        <v>1123</v>
      </c>
      <c r="J1344" s="8" t="s">
        <v>1187</v>
      </c>
      <c r="K1344" s="6" t="str">
        <f>"55.000,00"</f>
        <v>55.000,00</v>
      </c>
      <c r="L1344" s="6" t="str">
        <f>"0,00"</f>
        <v>0,00</v>
      </c>
      <c r="M1344" s="6" t="str">
        <f>"55.000,00"</f>
        <v>55.000,00</v>
      </c>
      <c r="N1344" s="8" t="s">
        <v>124</v>
      </c>
      <c r="O1344" s="7"/>
      <c r="P1344" s="2" t="s">
        <v>5614</v>
      </c>
      <c r="Q1344" s="7"/>
      <c r="R1344" s="1"/>
      <c r="S1344" s="1" t="str">
        <f>"5-22/NOS-95-2/20"</f>
        <v>5-22/NOS-95-2/20</v>
      </c>
      <c r="T1344" s="1" t="s">
        <v>32</v>
      </c>
    </row>
    <row r="1345" spans="1:20" ht="51" x14ac:dyDescent="0.25">
      <c r="A1345" s="6">
        <v>1342</v>
      </c>
      <c r="B1345" s="1" t="str">
        <f t="shared" ref="B1345:B1350" si="121">"2020-887"</f>
        <v>2020-887</v>
      </c>
      <c r="C1345" s="1" t="s">
        <v>1379</v>
      </c>
      <c r="D1345" s="1" t="s">
        <v>1380</v>
      </c>
      <c r="E1345" s="1" t="str">
        <f>"2020/S 0F2-0041981"</f>
        <v>2020/S 0F2-0041981</v>
      </c>
      <c r="F1345" s="1" t="s">
        <v>22</v>
      </c>
      <c r="G1345" s="1" t="str">
        <f t="shared" ref="G1345:G1350" si="122">CONCATENATE("IKOM D.O.O.,"," KOVINSKA 7,"," 10090 ZAGREB-SUSEDGRAD,"," OIB: 86247075815")</f>
        <v>IKOM D.O.O., KOVINSKA 7, 10090 ZAGREB-SUSEDGRAD, OIB: 86247075815</v>
      </c>
      <c r="H1345" s="7"/>
      <c r="I1345" s="8" t="s">
        <v>1377</v>
      </c>
      <c r="J1345" s="8" t="s">
        <v>1327</v>
      </c>
      <c r="K1345" s="6" t="str">
        <f>"24.000.000,00"</f>
        <v>24.000.000,00</v>
      </c>
      <c r="L1345" s="6" t="str">
        <f>"6.000.000,00"</f>
        <v>6.000.000,00</v>
      </c>
      <c r="M1345" s="6" t="str">
        <f>"30.000.000,00"</f>
        <v>30.000.000,00</v>
      </c>
      <c r="N1345" s="8" t="s">
        <v>124</v>
      </c>
      <c r="O1345" s="7"/>
      <c r="P1345" s="2" t="s">
        <v>5614</v>
      </c>
      <c r="Q1345" s="7"/>
      <c r="R1345" s="1"/>
      <c r="S1345" s="1" t="str">
        <f>"NOS-96/20"</f>
        <v>NOS-96/20</v>
      </c>
      <c r="T1345" s="1" t="s">
        <v>55</v>
      </c>
    </row>
    <row r="1346" spans="1:20" ht="51" x14ac:dyDescent="0.25">
      <c r="A1346" s="6">
        <v>1343</v>
      </c>
      <c r="B1346" s="1" t="str">
        <f t="shared" si="121"/>
        <v>2020-887</v>
      </c>
      <c r="C1346" s="1" t="s">
        <v>1379</v>
      </c>
      <c r="D1346" s="1" t="s">
        <v>1381</v>
      </c>
      <c r="E1346" s="1" t="str">
        <f>""</f>
        <v/>
      </c>
      <c r="F1346" s="1" t="s">
        <v>28</v>
      </c>
      <c r="G1346" s="1" t="str">
        <f t="shared" si="122"/>
        <v>IKOM D.O.O., KOVINSKA 7, 10090 ZAGREB-SUSEDGRAD, OIB: 86247075815</v>
      </c>
      <c r="H1346" s="7"/>
      <c r="I1346" s="8" t="s">
        <v>154</v>
      </c>
      <c r="J1346" s="8" t="s">
        <v>53</v>
      </c>
      <c r="K1346" s="6" t="str">
        <f>"1.638.791,00"</f>
        <v>1.638.791,00</v>
      </c>
      <c r="L1346" s="6" t="str">
        <f>"409.697,75"</f>
        <v>409.697,75</v>
      </c>
      <c r="M1346" s="6" t="str">
        <f>"2.048.488,75"</f>
        <v>2.048.488,75</v>
      </c>
      <c r="N1346" s="8" t="s">
        <v>939</v>
      </c>
      <c r="O1346" s="7"/>
      <c r="P1346" s="2" t="s">
        <v>6471</v>
      </c>
      <c r="Q1346" s="7"/>
      <c r="R1346" s="1"/>
      <c r="S1346" s="1" t="str">
        <f>"1-22/NOS-96/20"</f>
        <v>1-22/NOS-96/20</v>
      </c>
      <c r="T1346" s="1" t="s">
        <v>55</v>
      </c>
    </row>
    <row r="1347" spans="1:20" ht="51" x14ac:dyDescent="0.25">
      <c r="A1347" s="6">
        <v>1344</v>
      </c>
      <c r="B1347" s="1" t="str">
        <f t="shared" si="121"/>
        <v>2020-887</v>
      </c>
      <c r="C1347" s="1" t="s">
        <v>1379</v>
      </c>
      <c r="D1347" s="1" t="s">
        <v>1381</v>
      </c>
      <c r="E1347" s="1" t="str">
        <f>""</f>
        <v/>
      </c>
      <c r="F1347" s="1" t="s">
        <v>28</v>
      </c>
      <c r="G1347" s="1" t="str">
        <f t="shared" si="122"/>
        <v>IKOM D.O.O., KOVINSKA 7, 10090 ZAGREB-SUSEDGRAD, OIB: 86247075815</v>
      </c>
      <c r="H1347" s="7"/>
      <c r="I1347" s="8" t="s">
        <v>252</v>
      </c>
      <c r="J1347" s="8" t="s">
        <v>123</v>
      </c>
      <c r="K1347" s="6" t="str">
        <f>"291.400,00"</f>
        <v>291.400,00</v>
      </c>
      <c r="L1347" s="6" t="str">
        <f>"72.850,00"</f>
        <v>72.850,00</v>
      </c>
      <c r="M1347" s="6" t="str">
        <f>"364.250,00"</f>
        <v>364.250,00</v>
      </c>
      <c r="N1347" s="8" t="s">
        <v>409</v>
      </c>
      <c r="O1347" s="7"/>
      <c r="P1347" s="2" t="s">
        <v>6472</v>
      </c>
      <c r="Q1347" s="7"/>
      <c r="R1347" s="1"/>
      <c r="S1347" s="1" t="str">
        <f>"3-22/NOS-96/20"</f>
        <v>3-22/NOS-96/20</v>
      </c>
      <c r="T1347" s="1" t="s">
        <v>55</v>
      </c>
    </row>
    <row r="1348" spans="1:20" ht="51" x14ac:dyDescent="0.25">
      <c r="A1348" s="6">
        <v>1345</v>
      </c>
      <c r="B1348" s="1" t="str">
        <f t="shared" si="121"/>
        <v>2020-887</v>
      </c>
      <c r="C1348" s="1" t="s">
        <v>1379</v>
      </c>
      <c r="D1348" s="1" t="s">
        <v>1381</v>
      </c>
      <c r="E1348" s="1" t="str">
        <f>""</f>
        <v/>
      </c>
      <c r="F1348" s="1" t="s">
        <v>28</v>
      </c>
      <c r="G1348" s="1" t="str">
        <f t="shared" si="122"/>
        <v>IKOM D.O.O., KOVINSKA 7, 10090 ZAGREB-SUSEDGRAD, OIB: 86247075815</v>
      </c>
      <c r="H1348" s="7"/>
      <c r="I1348" s="8" t="s">
        <v>354</v>
      </c>
      <c r="J1348" s="8" t="s">
        <v>231</v>
      </c>
      <c r="K1348" s="6" t="str">
        <f>"462.000,00"</f>
        <v>462.000,00</v>
      </c>
      <c r="L1348" s="6" t="str">
        <f>"115.500,00"</f>
        <v>115.500,00</v>
      </c>
      <c r="M1348" s="6" t="str">
        <f>"577.500,00"</f>
        <v>577.500,00</v>
      </c>
      <c r="N1348" s="8" t="s">
        <v>487</v>
      </c>
      <c r="O1348" s="7"/>
      <c r="P1348" s="2" t="s">
        <v>6473</v>
      </c>
      <c r="Q1348" s="7"/>
      <c r="R1348" s="1"/>
      <c r="S1348" s="1" t="str">
        <f>"2-22/NOS-96/20"</f>
        <v>2-22/NOS-96/20</v>
      </c>
      <c r="T1348" s="1" t="s">
        <v>55</v>
      </c>
    </row>
    <row r="1349" spans="1:20" ht="51" x14ac:dyDescent="0.25">
      <c r="A1349" s="6">
        <v>1346</v>
      </c>
      <c r="B1349" s="1" t="str">
        <f t="shared" si="121"/>
        <v>2020-887</v>
      </c>
      <c r="C1349" s="1" t="s">
        <v>1379</v>
      </c>
      <c r="D1349" s="1" t="s">
        <v>1381</v>
      </c>
      <c r="E1349" s="1" t="str">
        <f>""</f>
        <v/>
      </c>
      <c r="F1349" s="1" t="s">
        <v>28</v>
      </c>
      <c r="G1349" s="1" t="str">
        <f t="shared" si="122"/>
        <v>IKOM D.O.O., KOVINSKA 7, 10090 ZAGREB-SUSEDGRAD, OIB: 86247075815</v>
      </c>
      <c r="H1349" s="7"/>
      <c r="I1349" s="8" t="s">
        <v>1314</v>
      </c>
      <c r="J1349" s="8" t="s">
        <v>423</v>
      </c>
      <c r="K1349" s="6" t="str">
        <f>"17.500,00"</f>
        <v>17.500,00</v>
      </c>
      <c r="L1349" s="6" t="str">
        <f>"1.400,00"</f>
        <v>1.400,00</v>
      </c>
      <c r="M1349" s="6" t="str">
        <f>"18.900,00"</f>
        <v>18.900,00</v>
      </c>
      <c r="N1349" s="8" t="s">
        <v>931</v>
      </c>
      <c r="O1349" s="7"/>
      <c r="P1349" s="2" t="s">
        <v>6356</v>
      </c>
      <c r="Q1349" s="7"/>
      <c r="R1349" s="1"/>
      <c r="S1349" s="1" t="str">
        <f>"4-22/NOS-96/20"</f>
        <v>4-22/NOS-96/20</v>
      </c>
      <c r="T1349" s="1" t="s">
        <v>55</v>
      </c>
    </row>
    <row r="1350" spans="1:20" ht="51" x14ac:dyDescent="0.25">
      <c r="A1350" s="6">
        <v>1347</v>
      </c>
      <c r="B1350" s="1" t="str">
        <f t="shared" si="121"/>
        <v>2020-887</v>
      </c>
      <c r="C1350" s="1" t="s">
        <v>1379</v>
      </c>
      <c r="D1350" s="1" t="s">
        <v>1381</v>
      </c>
      <c r="E1350" s="1" t="str">
        <f>""</f>
        <v/>
      </c>
      <c r="F1350" s="1" t="s">
        <v>28</v>
      </c>
      <c r="G1350" s="1" t="str">
        <f t="shared" si="122"/>
        <v>IKOM D.O.O., KOVINSKA 7, 10090 ZAGREB-SUSEDGRAD, OIB: 86247075815</v>
      </c>
      <c r="H1350" s="7"/>
      <c r="I1350" s="8" t="s">
        <v>564</v>
      </c>
      <c r="J1350" s="8" t="s">
        <v>231</v>
      </c>
      <c r="K1350" s="6" t="str">
        <f>"54.780,00"</f>
        <v>54.780,00</v>
      </c>
      <c r="L1350" s="6" t="str">
        <f>"7.955,00"</f>
        <v>7.955,00</v>
      </c>
      <c r="M1350" s="6" t="str">
        <f>"62.735,00"</f>
        <v>62.735,00</v>
      </c>
      <c r="N1350" s="8" t="s">
        <v>310</v>
      </c>
      <c r="O1350" s="7"/>
      <c r="P1350" s="2" t="s">
        <v>6474</v>
      </c>
      <c r="Q1350" s="7"/>
      <c r="R1350" s="1"/>
      <c r="S1350" s="1" t="str">
        <f>"5-22/NOS-96/20"</f>
        <v>5-22/NOS-96/20</v>
      </c>
      <c r="T1350" s="1" t="s">
        <v>55</v>
      </c>
    </row>
    <row r="1351" spans="1:20" ht="114.75" x14ac:dyDescent="0.25">
      <c r="A1351" s="6">
        <v>1348</v>
      </c>
      <c r="B1351" s="1" t="str">
        <f>"2020-2427"</f>
        <v>2020-2427</v>
      </c>
      <c r="C1351" s="1" t="s">
        <v>1382</v>
      </c>
      <c r="D1351" s="1" t="s">
        <v>1383</v>
      </c>
      <c r="E1351" s="1" t="str">
        <f>"2020/S 0F2-0044883"</f>
        <v>2020/S 0F2-0044883</v>
      </c>
      <c r="F1351" s="1" t="s">
        <v>22</v>
      </c>
      <c r="G1351" s="1" t="str">
        <f>CONCATENATE("KINDER GRADNJA D.O.O.,"," SELSKA 57,"," 10360 SESVETE,"," OIB: 71001411174")</f>
        <v>KINDER GRADNJA D.O.O., SELSKA 57, 10360 SESVETE, OIB: 71001411174</v>
      </c>
      <c r="H1351" s="1" t="str">
        <f>CONCATENATE("KINDER OBRT ZA GRADNJU I USLUGE VL. TOMISLAV KINDER,"," OIB: 36605135183",CHAR(10),"FLOW-MONT D.O.O.,"," OIB: 926105207")</f>
        <v>KINDER OBRT ZA GRADNJU I USLUGE VL. TOMISLAV KINDER, OIB: 36605135183
FLOW-MONT D.O.O., OIB: 926105207</v>
      </c>
      <c r="I1351" s="8" t="s">
        <v>1384</v>
      </c>
      <c r="J1351" s="8" t="s">
        <v>1385</v>
      </c>
      <c r="K1351" s="6" t="str">
        <f>"18.000.000,00"</f>
        <v>18.000.000,00</v>
      </c>
      <c r="L1351" s="6" t="str">
        <f>"4.500.000,00"</f>
        <v>4.500.000,00</v>
      </c>
      <c r="M1351" s="6" t="str">
        <f>"22.500.000,00"</f>
        <v>22.500.000,00</v>
      </c>
      <c r="N1351" s="8" t="s">
        <v>124</v>
      </c>
      <c r="O1351" s="7"/>
      <c r="P1351" s="2" t="s">
        <v>5614</v>
      </c>
      <c r="Q1351" s="7"/>
      <c r="R1351" s="1"/>
      <c r="S1351" s="1" t="str">
        <f>"NOS-97/20"</f>
        <v>NOS-97/20</v>
      </c>
      <c r="T1351" s="1" t="s">
        <v>55</v>
      </c>
    </row>
    <row r="1352" spans="1:20" ht="51" x14ac:dyDescent="0.25">
      <c r="A1352" s="6">
        <v>1349</v>
      </c>
      <c r="B1352" s="1" t="str">
        <f>"2020-2427"</f>
        <v>2020-2427</v>
      </c>
      <c r="C1352" s="1" t="s">
        <v>1382</v>
      </c>
      <c r="D1352" s="1" t="s">
        <v>1383</v>
      </c>
      <c r="E1352" s="1" t="str">
        <f>""</f>
        <v/>
      </c>
      <c r="F1352" s="1" t="s">
        <v>28</v>
      </c>
      <c r="G1352" s="1" t="str">
        <f>CONCATENATE("KINDER GRADNJA D.O.O.,"," SELSKA 57,"," 10360 SESVETE,"," OIB: 71001411174")</f>
        <v>KINDER GRADNJA D.O.O., SELSKA 57, 10360 SESVETE, OIB: 71001411174</v>
      </c>
      <c r="H1352" s="7"/>
      <c r="I1352" s="8" t="s">
        <v>918</v>
      </c>
      <c r="J1352" s="8" t="s">
        <v>30</v>
      </c>
      <c r="K1352" s="6" t="str">
        <f>"457.500,00"</f>
        <v>457.500,00</v>
      </c>
      <c r="L1352" s="6" t="str">
        <f>"114.375,00"</f>
        <v>114.375,00</v>
      </c>
      <c r="M1352" s="6" t="str">
        <f>"571.875,00"</f>
        <v>571.875,00</v>
      </c>
      <c r="N1352" s="8" t="s">
        <v>124</v>
      </c>
      <c r="O1352" s="7"/>
      <c r="P1352" s="2" t="s">
        <v>5614</v>
      </c>
      <c r="Q1352" s="7"/>
      <c r="R1352" s="1"/>
      <c r="S1352" s="1" t="str">
        <f>"1-22/NOS-97/20"</f>
        <v>1-22/NOS-97/20</v>
      </c>
      <c r="T1352" s="1" t="s">
        <v>55</v>
      </c>
    </row>
    <row r="1353" spans="1:20" ht="51" x14ac:dyDescent="0.25">
      <c r="A1353" s="6">
        <v>1350</v>
      </c>
      <c r="B1353" s="1" t="str">
        <f>"2020-2427"</f>
        <v>2020-2427</v>
      </c>
      <c r="C1353" s="1" t="s">
        <v>1382</v>
      </c>
      <c r="D1353" s="1" t="s">
        <v>1383</v>
      </c>
      <c r="E1353" s="1" t="str">
        <f>""</f>
        <v/>
      </c>
      <c r="F1353" s="1" t="s">
        <v>28</v>
      </c>
      <c r="G1353" s="1" t="str">
        <f>CONCATENATE("KINDER GRADNJA D.O.O.,"," SELSKA 57,"," 10360 SESVETE,"," OIB: 71001411174")</f>
        <v>KINDER GRADNJA D.O.O., SELSKA 57, 10360 SESVETE, OIB: 71001411174</v>
      </c>
      <c r="H1353" s="7"/>
      <c r="I1353" s="8" t="s">
        <v>910</v>
      </c>
      <c r="J1353" s="8" t="s">
        <v>123</v>
      </c>
      <c r="K1353" s="6" t="str">
        <f>"1.037.500,00"</f>
        <v>1.037.500,00</v>
      </c>
      <c r="L1353" s="6" t="str">
        <f>"259.375,00"</f>
        <v>259.375,00</v>
      </c>
      <c r="M1353" s="6" t="str">
        <f>"1.296.875,00"</f>
        <v>1.296.875,00</v>
      </c>
      <c r="N1353" s="8" t="s">
        <v>124</v>
      </c>
      <c r="O1353" s="7"/>
      <c r="P1353" s="2" t="s">
        <v>5614</v>
      </c>
      <c r="Q1353" s="7"/>
      <c r="R1353" s="1"/>
      <c r="S1353" s="1" t="str">
        <f>"2-22/NOS-97/20"</f>
        <v>2-22/NOS-97/20</v>
      </c>
      <c r="T1353" s="1" t="s">
        <v>55</v>
      </c>
    </row>
    <row r="1354" spans="1:20" ht="165.75" x14ac:dyDescent="0.25">
      <c r="A1354" s="6">
        <v>1351</v>
      </c>
      <c r="B1354" s="1" t="str">
        <f t="shared" ref="B1354:B1376" si="123">"2020-2915"</f>
        <v>2020-2915</v>
      </c>
      <c r="C1354" s="1" t="s">
        <v>1386</v>
      </c>
      <c r="D1354" s="1" t="s">
        <v>1387</v>
      </c>
      <c r="E1354" s="1" t="str">
        <f>"2020/S 0F2-0042203"</f>
        <v>2020/S 0F2-0042203</v>
      </c>
      <c r="F1354" s="1" t="s">
        <v>22</v>
      </c>
      <c r="G1354" s="1" t="str">
        <f>CONCATENATE("SERVIS IMP CRPKE,"," vl. Dražen Kovačić,"," STROSSMAYEROV TRG 12,"," 10450 JASTREBARSKO,"," OIB: 13145108322",CHAR(10),"",CHAR(10),"ZAGREBAČKO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H1354" s="7"/>
      <c r="I1354" s="8" t="s">
        <v>1388</v>
      </c>
      <c r="J1354" s="8" t="s">
        <v>1389</v>
      </c>
      <c r="K1354" s="6" t="str">
        <f>"1.000.000,00"</f>
        <v>1.000.000,00</v>
      </c>
      <c r="L1354" s="6" t="str">
        <f>"250.000,00"</f>
        <v>250.000,00</v>
      </c>
      <c r="M1354" s="6" t="str">
        <f>"1.250.000,00"</f>
        <v>1.250.000,00</v>
      </c>
      <c r="N1354" s="8" t="s">
        <v>124</v>
      </c>
      <c r="O1354" s="7"/>
      <c r="P1354" s="2" t="s">
        <v>5614</v>
      </c>
      <c r="Q1354" s="7"/>
      <c r="R1354" s="1"/>
      <c r="S1354" s="1" t="str">
        <f>"NOS-92-1/20"</f>
        <v>NOS-92-1/20</v>
      </c>
      <c r="T1354" s="1" t="s">
        <v>27</v>
      </c>
    </row>
    <row r="1355" spans="1:20" ht="76.5" x14ac:dyDescent="0.25">
      <c r="A1355" s="6">
        <v>1352</v>
      </c>
      <c r="B1355" s="1" t="str">
        <f t="shared" si="123"/>
        <v>2020-2915</v>
      </c>
      <c r="C1355" s="1" t="s">
        <v>1386</v>
      </c>
      <c r="D1355" s="1" t="s">
        <v>1373</v>
      </c>
      <c r="E1355" s="1" t="str">
        <f>""</f>
        <v/>
      </c>
      <c r="F1355" s="1" t="s">
        <v>28</v>
      </c>
      <c r="G1355" s="1" t="str">
        <f t="shared" ref="G1355:G1376" si="124">CONCATENATE("SERVIS IMP CRPKE,"," vl. Dražen Kovačić,"," STROSSMAYEROV TRG 12,"," 10450 JASTREBARSKO,"," OIB: 13145108322")</f>
        <v>SERVIS IMP CRPKE, vl. Dražen Kovačić, STROSSMAYEROV TRG 12, 10450 JASTREBARSKO, OIB: 13145108322</v>
      </c>
      <c r="H1355" s="7"/>
      <c r="I1355" s="8" t="s">
        <v>613</v>
      </c>
      <c r="J1355" s="8" t="s">
        <v>555</v>
      </c>
      <c r="K1355" s="6" t="str">
        <f>"760,00"</f>
        <v>760,00</v>
      </c>
      <c r="L1355" s="6" t="str">
        <f>"190,00"</f>
        <v>190,00</v>
      </c>
      <c r="M1355" s="6" t="str">
        <f>"950,00"</f>
        <v>950,00</v>
      </c>
      <c r="N1355" s="8" t="s">
        <v>754</v>
      </c>
      <c r="O1355" s="7"/>
      <c r="P1355" s="2" t="s">
        <v>6475</v>
      </c>
      <c r="Q1355" s="7"/>
      <c r="R1355" s="1"/>
      <c r="S1355" s="1" t="str">
        <f>"1-22/NOS-92-1/20"</f>
        <v>1-22/NOS-92-1/20</v>
      </c>
      <c r="T1355" s="1" t="s">
        <v>32</v>
      </c>
    </row>
    <row r="1356" spans="1:20" ht="76.5" x14ac:dyDescent="0.25">
      <c r="A1356" s="6">
        <v>1353</v>
      </c>
      <c r="B1356" s="1" t="str">
        <f t="shared" si="123"/>
        <v>2020-2915</v>
      </c>
      <c r="C1356" s="1" t="s">
        <v>1386</v>
      </c>
      <c r="D1356" s="1" t="s">
        <v>1373</v>
      </c>
      <c r="E1356" s="1" t="str">
        <f>""</f>
        <v/>
      </c>
      <c r="F1356" s="1" t="s">
        <v>28</v>
      </c>
      <c r="G1356" s="1" t="str">
        <f t="shared" si="124"/>
        <v>SERVIS IMP CRPKE, vl. Dražen Kovačić, STROSSMAYEROV TRG 12, 10450 JASTREBARSKO, OIB: 13145108322</v>
      </c>
      <c r="H1356" s="7"/>
      <c r="I1356" s="8" t="s">
        <v>503</v>
      </c>
      <c r="J1356" s="8" t="s">
        <v>555</v>
      </c>
      <c r="K1356" s="6" t="str">
        <f>"1.360,00"</f>
        <v>1.360,00</v>
      </c>
      <c r="L1356" s="6" t="str">
        <f>"340,00"</f>
        <v>340,00</v>
      </c>
      <c r="M1356" s="6" t="str">
        <f>"1.700,00"</f>
        <v>1.700,00</v>
      </c>
      <c r="N1356" s="8" t="s">
        <v>500</v>
      </c>
      <c r="O1356" s="7"/>
      <c r="P1356" s="2" t="s">
        <v>6476</v>
      </c>
      <c r="Q1356" s="7"/>
      <c r="R1356" s="1"/>
      <c r="S1356" s="1" t="str">
        <f>"3-22/NOS-92-1/20"</f>
        <v>3-22/NOS-92-1/20</v>
      </c>
      <c r="T1356" s="1" t="s">
        <v>32</v>
      </c>
    </row>
    <row r="1357" spans="1:20" ht="76.5" x14ac:dyDescent="0.25">
      <c r="A1357" s="6">
        <v>1354</v>
      </c>
      <c r="B1357" s="1" t="str">
        <f t="shared" si="123"/>
        <v>2020-2915</v>
      </c>
      <c r="C1357" s="1" t="s">
        <v>1386</v>
      </c>
      <c r="D1357" s="1" t="s">
        <v>1373</v>
      </c>
      <c r="E1357" s="1" t="str">
        <f>""</f>
        <v/>
      </c>
      <c r="F1357" s="1" t="s">
        <v>28</v>
      </c>
      <c r="G1357" s="1" t="str">
        <f t="shared" si="124"/>
        <v>SERVIS IMP CRPKE, vl. Dražen Kovačić, STROSSMAYEROV TRG 12, 10450 JASTREBARSKO, OIB: 13145108322</v>
      </c>
      <c r="H1357" s="7"/>
      <c r="I1357" s="8" t="s">
        <v>754</v>
      </c>
      <c r="J1357" s="8" t="s">
        <v>555</v>
      </c>
      <c r="K1357" s="6" t="str">
        <f>"4.650,00"</f>
        <v>4.650,00</v>
      </c>
      <c r="L1357" s="6" t="str">
        <f>"1.162,50"</f>
        <v>1.162,50</v>
      </c>
      <c r="M1357" s="6" t="str">
        <f>"5.812,50"</f>
        <v>5.812,50</v>
      </c>
      <c r="N1357" s="8" t="s">
        <v>160</v>
      </c>
      <c r="O1357" s="7"/>
      <c r="P1357" s="2" t="s">
        <v>6477</v>
      </c>
      <c r="Q1357" s="7"/>
      <c r="R1357" s="1"/>
      <c r="S1357" s="1" t="str">
        <f>"2-22/NOS-92-1/20"</f>
        <v>2-22/NOS-92-1/20</v>
      </c>
      <c r="T1357" s="1" t="s">
        <v>32</v>
      </c>
    </row>
    <row r="1358" spans="1:20" ht="76.5" x14ac:dyDescent="0.25">
      <c r="A1358" s="6">
        <v>1355</v>
      </c>
      <c r="B1358" s="1" t="str">
        <f t="shared" si="123"/>
        <v>2020-2915</v>
      </c>
      <c r="C1358" s="1" t="s">
        <v>1386</v>
      </c>
      <c r="D1358" s="1" t="s">
        <v>1373</v>
      </c>
      <c r="E1358" s="1" t="str">
        <f>""</f>
        <v/>
      </c>
      <c r="F1358" s="1" t="s">
        <v>28</v>
      </c>
      <c r="G1358" s="1" t="str">
        <f t="shared" si="124"/>
        <v>SERVIS IMP CRPKE, vl. Dražen Kovačić, STROSSMAYEROV TRG 12, 10450 JASTREBARSKO, OIB: 13145108322</v>
      </c>
      <c r="H1358" s="7"/>
      <c r="I1358" s="8" t="s">
        <v>41</v>
      </c>
      <c r="J1358" s="8" t="s">
        <v>555</v>
      </c>
      <c r="K1358" s="6" t="str">
        <f>"6.000,00"</f>
        <v>6.000,00</v>
      </c>
      <c r="L1358" s="6" t="str">
        <f>"1.500,00"</f>
        <v>1.500,00</v>
      </c>
      <c r="M1358" s="6" t="str">
        <f>"7.500,00"</f>
        <v>7.500,00</v>
      </c>
      <c r="N1358" s="8" t="s">
        <v>255</v>
      </c>
      <c r="O1358" s="7"/>
      <c r="P1358" s="2" t="s">
        <v>5806</v>
      </c>
      <c r="Q1358" s="7"/>
      <c r="R1358" s="1"/>
      <c r="S1358" s="1" t="str">
        <f>"4-22/NOS-92-1/20"</f>
        <v>4-22/NOS-92-1/20</v>
      </c>
      <c r="T1358" s="1" t="s">
        <v>32</v>
      </c>
    </row>
    <row r="1359" spans="1:20" ht="76.5" x14ac:dyDescent="0.25">
      <c r="A1359" s="6">
        <v>1356</v>
      </c>
      <c r="B1359" s="1" t="str">
        <f t="shared" si="123"/>
        <v>2020-2915</v>
      </c>
      <c r="C1359" s="1" t="s">
        <v>1386</v>
      </c>
      <c r="D1359" s="1" t="s">
        <v>1373</v>
      </c>
      <c r="E1359" s="1" t="str">
        <f>""</f>
        <v/>
      </c>
      <c r="F1359" s="1" t="s">
        <v>28</v>
      </c>
      <c r="G1359" s="1" t="str">
        <f t="shared" si="124"/>
        <v>SERVIS IMP CRPKE, vl. Dražen Kovačić, STROSSMAYEROV TRG 12, 10450 JASTREBARSKO, OIB: 13145108322</v>
      </c>
      <c r="H1359" s="7"/>
      <c r="I1359" s="8" t="s">
        <v>163</v>
      </c>
      <c r="J1359" s="8" t="s">
        <v>555</v>
      </c>
      <c r="K1359" s="6" t="str">
        <f>"10.380,00"</f>
        <v>10.380,00</v>
      </c>
      <c r="L1359" s="6" t="str">
        <f>"2.595,00"</f>
        <v>2.595,00</v>
      </c>
      <c r="M1359" s="6" t="str">
        <f>"12.975,00"</f>
        <v>12.975,00</v>
      </c>
      <c r="N1359" s="8" t="s">
        <v>499</v>
      </c>
      <c r="O1359" s="7"/>
      <c r="P1359" s="2" t="s">
        <v>6478</v>
      </c>
      <c r="Q1359" s="7"/>
      <c r="R1359" s="1"/>
      <c r="S1359" s="1" t="str">
        <f>"5-22/NOS-92-1/20"</f>
        <v>5-22/NOS-92-1/20</v>
      </c>
      <c r="T1359" s="1" t="s">
        <v>32</v>
      </c>
    </row>
    <row r="1360" spans="1:20" ht="76.5" x14ac:dyDescent="0.25">
      <c r="A1360" s="6">
        <v>1357</v>
      </c>
      <c r="B1360" s="1" t="str">
        <f t="shared" si="123"/>
        <v>2020-2915</v>
      </c>
      <c r="C1360" s="1" t="s">
        <v>1386</v>
      </c>
      <c r="D1360" s="1" t="s">
        <v>1373</v>
      </c>
      <c r="E1360" s="1" t="str">
        <f>""</f>
        <v/>
      </c>
      <c r="F1360" s="1" t="s">
        <v>28</v>
      </c>
      <c r="G1360" s="1" t="str">
        <f t="shared" si="124"/>
        <v>SERVIS IMP CRPKE, vl. Dražen Kovačić, STROSSMAYEROV TRG 12, 10450 JASTREBARSKO, OIB: 13145108322</v>
      </c>
      <c r="H1360" s="7"/>
      <c r="I1360" s="8" t="s">
        <v>127</v>
      </c>
      <c r="J1360" s="8" t="s">
        <v>555</v>
      </c>
      <c r="K1360" s="6" t="str">
        <f>"3.720,00"</f>
        <v>3.720,00</v>
      </c>
      <c r="L1360" s="6" t="str">
        <f>"930,00"</f>
        <v>930,00</v>
      </c>
      <c r="M1360" s="6" t="str">
        <f>"4.650,00"</f>
        <v>4.650,00</v>
      </c>
      <c r="N1360" s="8" t="s">
        <v>920</v>
      </c>
      <c r="O1360" s="7"/>
      <c r="P1360" s="2" t="s">
        <v>6479</v>
      </c>
      <c r="Q1360" s="7"/>
      <c r="R1360" s="1"/>
      <c r="S1360" s="1" t="str">
        <f>"6-22/NOS-92-1/20"</f>
        <v>6-22/NOS-92-1/20</v>
      </c>
      <c r="T1360" s="1" t="s">
        <v>32</v>
      </c>
    </row>
    <row r="1361" spans="1:20" ht="76.5" x14ac:dyDescent="0.25">
      <c r="A1361" s="6">
        <v>1358</v>
      </c>
      <c r="B1361" s="1" t="str">
        <f t="shared" si="123"/>
        <v>2020-2915</v>
      </c>
      <c r="C1361" s="1" t="s">
        <v>1386</v>
      </c>
      <c r="D1361" s="1" t="s">
        <v>1373</v>
      </c>
      <c r="E1361" s="1" t="str">
        <f>""</f>
        <v/>
      </c>
      <c r="F1361" s="1" t="s">
        <v>28</v>
      </c>
      <c r="G1361" s="1" t="str">
        <f t="shared" si="124"/>
        <v>SERVIS IMP CRPKE, vl. Dražen Kovačić, STROSSMAYEROV TRG 12, 10450 JASTREBARSKO, OIB: 13145108322</v>
      </c>
      <c r="H1361" s="7"/>
      <c r="I1361" s="8" t="s">
        <v>259</v>
      </c>
      <c r="J1361" s="8" t="s">
        <v>555</v>
      </c>
      <c r="K1361" s="6" t="str">
        <f>"7.730,00"</f>
        <v>7.730,00</v>
      </c>
      <c r="L1361" s="6" t="str">
        <f>"1.932,50"</f>
        <v>1.932,50</v>
      </c>
      <c r="M1361" s="6" t="str">
        <f>"9.662,50"</f>
        <v>9.662,50</v>
      </c>
      <c r="N1361" s="8" t="s">
        <v>856</v>
      </c>
      <c r="O1361" s="7"/>
      <c r="P1361" s="2" t="s">
        <v>6480</v>
      </c>
      <c r="Q1361" s="7"/>
      <c r="R1361" s="1"/>
      <c r="S1361" s="1" t="str">
        <f>"7-22/NOS-92-1/20"</f>
        <v>7-22/NOS-92-1/20</v>
      </c>
      <c r="T1361" s="1" t="s">
        <v>32</v>
      </c>
    </row>
    <row r="1362" spans="1:20" ht="76.5" x14ac:dyDescent="0.25">
      <c r="A1362" s="6">
        <v>1359</v>
      </c>
      <c r="B1362" s="1" t="str">
        <f t="shared" si="123"/>
        <v>2020-2915</v>
      </c>
      <c r="C1362" s="1" t="s">
        <v>1386</v>
      </c>
      <c r="D1362" s="1" t="s">
        <v>1373</v>
      </c>
      <c r="E1362" s="1" t="str">
        <f>""</f>
        <v/>
      </c>
      <c r="F1362" s="1" t="s">
        <v>28</v>
      </c>
      <c r="G1362" s="1" t="str">
        <f t="shared" si="124"/>
        <v>SERVIS IMP CRPKE, vl. Dražen Kovačić, STROSSMAYEROV TRG 12, 10450 JASTREBARSKO, OIB: 13145108322</v>
      </c>
      <c r="H1362" s="7"/>
      <c r="I1362" s="8" t="s">
        <v>293</v>
      </c>
      <c r="J1362" s="8" t="s">
        <v>555</v>
      </c>
      <c r="K1362" s="6" t="str">
        <f>"8.380,00"</f>
        <v>8.380,00</v>
      </c>
      <c r="L1362" s="6" t="str">
        <f>"2.095,00"</f>
        <v>2.095,00</v>
      </c>
      <c r="M1362" s="6" t="str">
        <f>"10.475,00"</f>
        <v>10.475,00</v>
      </c>
      <c r="N1362" s="8" t="s">
        <v>898</v>
      </c>
      <c r="O1362" s="7"/>
      <c r="P1362" s="2" t="s">
        <v>6481</v>
      </c>
      <c r="Q1362" s="7"/>
      <c r="R1362" s="1"/>
      <c r="S1362" s="1" t="str">
        <f>"8-22/NOS-92-1/20"</f>
        <v>8-22/NOS-92-1/20</v>
      </c>
      <c r="T1362" s="1" t="s">
        <v>32</v>
      </c>
    </row>
    <row r="1363" spans="1:20" ht="76.5" x14ac:dyDescent="0.25">
      <c r="A1363" s="6">
        <v>1360</v>
      </c>
      <c r="B1363" s="1" t="str">
        <f t="shared" si="123"/>
        <v>2020-2915</v>
      </c>
      <c r="C1363" s="1" t="s">
        <v>1386</v>
      </c>
      <c r="D1363" s="1" t="s">
        <v>1373</v>
      </c>
      <c r="E1363" s="1" t="str">
        <f>""</f>
        <v/>
      </c>
      <c r="F1363" s="1" t="s">
        <v>28</v>
      </c>
      <c r="G1363" s="1" t="str">
        <f t="shared" si="124"/>
        <v>SERVIS IMP CRPKE, vl. Dražen Kovačić, STROSSMAYEROV TRG 12, 10450 JASTREBARSKO, OIB: 13145108322</v>
      </c>
      <c r="H1363" s="7"/>
      <c r="I1363" s="8" t="s">
        <v>350</v>
      </c>
      <c r="J1363" s="8" t="s">
        <v>555</v>
      </c>
      <c r="K1363" s="6" t="str">
        <f>"3.290,00"</f>
        <v>3.290,00</v>
      </c>
      <c r="L1363" s="6" t="str">
        <f>"822,50"</f>
        <v>822,50</v>
      </c>
      <c r="M1363" s="6" t="str">
        <f>"4.112,50"</f>
        <v>4.112,50</v>
      </c>
      <c r="N1363" s="8" t="s">
        <v>372</v>
      </c>
      <c r="O1363" s="7"/>
      <c r="P1363" s="2" t="s">
        <v>6482</v>
      </c>
      <c r="Q1363" s="7"/>
      <c r="R1363" s="1"/>
      <c r="S1363" s="1" t="str">
        <f>"9-22/NOS-92-1/20"</f>
        <v>9-22/NOS-92-1/20</v>
      </c>
      <c r="T1363" s="1" t="s">
        <v>32</v>
      </c>
    </row>
    <row r="1364" spans="1:20" ht="76.5" x14ac:dyDescent="0.25">
      <c r="A1364" s="6">
        <v>1361</v>
      </c>
      <c r="B1364" s="1" t="str">
        <f t="shared" si="123"/>
        <v>2020-2915</v>
      </c>
      <c r="C1364" s="1" t="s">
        <v>1386</v>
      </c>
      <c r="D1364" s="1" t="s">
        <v>1373</v>
      </c>
      <c r="E1364" s="1" t="str">
        <f>""</f>
        <v/>
      </c>
      <c r="F1364" s="1" t="s">
        <v>28</v>
      </c>
      <c r="G1364" s="1" t="str">
        <f t="shared" si="124"/>
        <v>SERVIS IMP CRPKE, vl. Dražen Kovačić, STROSSMAYEROV TRG 12, 10450 JASTREBARSKO, OIB: 13145108322</v>
      </c>
      <c r="H1364" s="7"/>
      <c r="I1364" s="8" t="s">
        <v>994</v>
      </c>
      <c r="J1364" s="8" t="s">
        <v>555</v>
      </c>
      <c r="K1364" s="6" t="str">
        <f>"5.570,00"</f>
        <v>5.570,00</v>
      </c>
      <c r="L1364" s="6" t="str">
        <f>"1.392,50"</f>
        <v>1.392,50</v>
      </c>
      <c r="M1364" s="6" t="str">
        <f>"6.962,50"</f>
        <v>6.962,50</v>
      </c>
      <c r="N1364" s="8" t="s">
        <v>1025</v>
      </c>
      <c r="O1364" s="7"/>
      <c r="P1364" s="2" t="s">
        <v>6483</v>
      </c>
      <c r="Q1364" s="7"/>
      <c r="R1364" s="1"/>
      <c r="S1364" s="1" t="str">
        <f>"10-22/NOS-92-1/20"</f>
        <v>10-22/NOS-92-1/20</v>
      </c>
      <c r="T1364" s="1" t="s">
        <v>55</v>
      </c>
    </row>
    <row r="1365" spans="1:20" ht="76.5" x14ac:dyDescent="0.25">
      <c r="A1365" s="6">
        <v>1362</v>
      </c>
      <c r="B1365" s="1" t="str">
        <f t="shared" si="123"/>
        <v>2020-2915</v>
      </c>
      <c r="C1365" s="1" t="s">
        <v>1386</v>
      </c>
      <c r="D1365" s="1" t="s">
        <v>1373</v>
      </c>
      <c r="E1365" s="1" t="str">
        <f>""</f>
        <v/>
      </c>
      <c r="F1365" s="1" t="s">
        <v>28</v>
      </c>
      <c r="G1365" s="1" t="str">
        <f t="shared" si="124"/>
        <v>SERVIS IMP CRPKE, vl. Dražen Kovačić, STROSSMAYEROV TRG 12, 10450 JASTREBARSKO, OIB: 13145108322</v>
      </c>
      <c r="H1365" s="7"/>
      <c r="I1365" s="8" t="s">
        <v>994</v>
      </c>
      <c r="J1365" s="8" t="s">
        <v>555</v>
      </c>
      <c r="K1365" s="6" t="str">
        <f>"9.900,00"</f>
        <v>9.900,00</v>
      </c>
      <c r="L1365" s="6" t="str">
        <f>"2.475,00"</f>
        <v>2.475,00</v>
      </c>
      <c r="M1365" s="6" t="str">
        <f>"12.375,00"</f>
        <v>12.375,00</v>
      </c>
      <c r="N1365" s="8" t="s">
        <v>406</v>
      </c>
      <c r="O1365" s="7"/>
      <c r="P1365" s="2" t="s">
        <v>6484</v>
      </c>
      <c r="Q1365" s="7"/>
      <c r="R1365" s="1"/>
      <c r="S1365" s="1" t="str">
        <f>"11-22/NOS-92-1/20"</f>
        <v>11-22/NOS-92-1/20</v>
      </c>
      <c r="T1365" s="1" t="s">
        <v>32</v>
      </c>
    </row>
    <row r="1366" spans="1:20" ht="76.5" x14ac:dyDescent="0.25">
      <c r="A1366" s="6">
        <v>1363</v>
      </c>
      <c r="B1366" s="1" t="str">
        <f t="shared" si="123"/>
        <v>2020-2915</v>
      </c>
      <c r="C1366" s="1" t="s">
        <v>1386</v>
      </c>
      <c r="D1366" s="1" t="s">
        <v>1373</v>
      </c>
      <c r="E1366" s="1" t="str">
        <f>""</f>
        <v/>
      </c>
      <c r="F1366" s="1" t="s">
        <v>28</v>
      </c>
      <c r="G1366" s="1" t="str">
        <f t="shared" si="124"/>
        <v>SERVIS IMP CRPKE, vl. Dražen Kovačić, STROSSMAYEROV TRG 12, 10450 JASTREBARSKO, OIB: 13145108322</v>
      </c>
      <c r="H1366" s="7"/>
      <c r="I1366" s="8" t="s">
        <v>208</v>
      </c>
      <c r="J1366" s="8" t="s">
        <v>1156</v>
      </c>
      <c r="K1366" s="6" t="str">
        <f>"6.720,00"</f>
        <v>6.720,00</v>
      </c>
      <c r="L1366" s="6" t="str">
        <f>"1.680,00"</f>
        <v>1.680,00</v>
      </c>
      <c r="M1366" s="6" t="str">
        <f>"8.400,00"</f>
        <v>8.400,00</v>
      </c>
      <c r="N1366" s="8" t="s">
        <v>964</v>
      </c>
      <c r="O1366" s="7"/>
      <c r="P1366" s="2" t="s">
        <v>6485</v>
      </c>
      <c r="Q1366" s="7"/>
      <c r="R1366" s="1"/>
      <c r="S1366" s="1" t="str">
        <f>"13-22/NOS-92-1/20"</f>
        <v>13-22/NOS-92-1/20</v>
      </c>
      <c r="T1366" s="1" t="s">
        <v>32</v>
      </c>
    </row>
    <row r="1367" spans="1:20" ht="76.5" x14ac:dyDescent="0.25">
      <c r="A1367" s="6">
        <v>1364</v>
      </c>
      <c r="B1367" s="1" t="str">
        <f t="shared" si="123"/>
        <v>2020-2915</v>
      </c>
      <c r="C1367" s="1" t="s">
        <v>1386</v>
      </c>
      <c r="D1367" s="1" t="s">
        <v>1373</v>
      </c>
      <c r="E1367" s="1" t="str">
        <f>""</f>
        <v/>
      </c>
      <c r="F1367" s="1" t="s">
        <v>28</v>
      </c>
      <c r="G1367" s="1" t="str">
        <f t="shared" si="124"/>
        <v>SERVIS IMP CRPKE, vl. Dražen Kovačić, STROSSMAYEROV TRG 12, 10450 JASTREBARSKO, OIB: 13145108322</v>
      </c>
      <c r="H1367" s="7"/>
      <c r="I1367" s="8" t="s">
        <v>208</v>
      </c>
      <c r="J1367" s="8" t="s">
        <v>292</v>
      </c>
      <c r="K1367" s="6" t="str">
        <f>"6.920,00"</f>
        <v>6.920,00</v>
      </c>
      <c r="L1367" s="6" t="str">
        <f>"1.730,00"</f>
        <v>1.730,00</v>
      </c>
      <c r="M1367" s="6" t="str">
        <f>"8.650,00"</f>
        <v>8.650,00</v>
      </c>
      <c r="N1367" s="8" t="s">
        <v>1157</v>
      </c>
      <c r="O1367" s="7"/>
      <c r="P1367" s="2" t="s">
        <v>6486</v>
      </c>
      <c r="Q1367" s="7"/>
      <c r="R1367" s="1"/>
      <c r="S1367" s="1" t="str">
        <f>"12-22/NOS-92-1/20"</f>
        <v>12-22/NOS-92-1/20</v>
      </c>
      <c r="T1367" s="1" t="s">
        <v>32</v>
      </c>
    </row>
    <row r="1368" spans="1:20" ht="76.5" x14ac:dyDescent="0.25">
      <c r="A1368" s="6">
        <v>1365</v>
      </c>
      <c r="B1368" s="1" t="str">
        <f t="shared" si="123"/>
        <v>2020-2915</v>
      </c>
      <c r="C1368" s="1" t="s">
        <v>1386</v>
      </c>
      <c r="D1368" s="1" t="s">
        <v>1373</v>
      </c>
      <c r="E1368" s="1" t="str">
        <f>""</f>
        <v/>
      </c>
      <c r="F1368" s="1" t="s">
        <v>28</v>
      </c>
      <c r="G1368" s="1" t="str">
        <f t="shared" si="124"/>
        <v>SERVIS IMP CRPKE, vl. Dražen Kovačić, STROSSMAYEROV TRG 12, 10450 JASTREBARSKO, OIB: 13145108322</v>
      </c>
      <c r="H1368" s="7"/>
      <c r="I1368" s="8" t="s">
        <v>285</v>
      </c>
      <c r="J1368" s="8" t="s">
        <v>555</v>
      </c>
      <c r="K1368" s="6" t="str">
        <f>"2.950,00"</f>
        <v>2.950,00</v>
      </c>
      <c r="L1368" s="6" t="str">
        <f>"737,50"</f>
        <v>737,50</v>
      </c>
      <c r="M1368" s="6" t="str">
        <f>"3.687,50"</f>
        <v>3.687,50</v>
      </c>
      <c r="N1368" s="8" t="s">
        <v>432</v>
      </c>
      <c r="O1368" s="7"/>
      <c r="P1368" s="2" t="s">
        <v>6411</v>
      </c>
      <c r="Q1368" s="7"/>
      <c r="R1368" s="1"/>
      <c r="S1368" s="1" t="str">
        <f>"14-22/NOS-92-1/20"</f>
        <v>14-22/NOS-92-1/20</v>
      </c>
      <c r="T1368" s="1" t="s">
        <v>32</v>
      </c>
    </row>
    <row r="1369" spans="1:20" ht="76.5" x14ac:dyDescent="0.25">
      <c r="A1369" s="6">
        <v>1366</v>
      </c>
      <c r="B1369" s="1" t="str">
        <f t="shared" si="123"/>
        <v>2020-2915</v>
      </c>
      <c r="C1369" s="1" t="s">
        <v>1386</v>
      </c>
      <c r="D1369" s="1" t="s">
        <v>1373</v>
      </c>
      <c r="E1369" s="1" t="str">
        <f>""</f>
        <v/>
      </c>
      <c r="F1369" s="1" t="s">
        <v>28</v>
      </c>
      <c r="G1369" s="1" t="str">
        <f t="shared" si="124"/>
        <v>SERVIS IMP CRPKE, vl. Dražen Kovačić, STROSSMAYEROV TRG 12, 10450 JASTREBARSKO, OIB: 13145108322</v>
      </c>
      <c r="H1369" s="7"/>
      <c r="I1369" s="8" t="s">
        <v>525</v>
      </c>
      <c r="J1369" s="8" t="s">
        <v>555</v>
      </c>
      <c r="K1369" s="6" t="str">
        <f>"6.060,00"</f>
        <v>6.060,00</v>
      </c>
      <c r="L1369" s="6" t="str">
        <f>"0,00"</f>
        <v>0,00</v>
      </c>
      <c r="M1369" s="6" t="str">
        <f>"6.060,00"</f>
        <v>6.060,00</v>
      </c>
      <c r="N1369" s="8" t="s">
        <v>124</v>
      </c>
      <c r="O1369" s="7"/>
      <c r="P1369" s="2" t="s">
        <v>5614</v>
      </c>
      <c r="Q1369" s="7"/>
      <c r="R1369" s="1"/>
      <c r="S1369" s="1" t="str">
        <f>"16-22/NOS-92-1/20"</f>
        <v>16-22/NOS-92-1/20</v>
      </c>
      <c r="T1369" s="1" t="s">
        <v>32</v>
      </c>
    </row>
    <row r="1370" spans="1:20" ht="76.5" x14ac:dyDescent="0.25">
      <c r="A1370" s="6">
        <v>1367</v>
      </c>
      <c r="B1370" s="1" t="str">
        <f t="shared" si="123"/>
        <v>2020-2915</v>
      </c>
      <c r="C1370" s="1" t="s">
        <v>1386</v>
      </c>
      <c r="D1370" s="1" t="s">
        <v>1373</v>
      </c>
      <c r="E1370" s="1" t="str">
        <f>""</f>
        <v/>
      </c>
      <c r="F1370" s="1" t="s">
        <v>28</v>
      </c>
      <c r="G1370" s="1" t="str">
        <f t="shared" si="124"/>
        <v>SERVIS IMP CRPKE, vl. Dražen Kovačić, STROSSMAYEROV TRG 12, 10450 JASTREBARSKO, OIB: 13145108322</v>
      </c>
      <c r="H1370" s="7"/>
      <c r="I1370" s="8" t="s">
        <v>525</v>
      </c>
      <c r="J1370" s="8" t="s">
        <v>555</v>
      </c>
      <c r="K1370" s="6" t="str">
        <f>"1.500,00"</f>
        <v>1.500,00</v>
      </c>
      <c r="L1370" s="6" t="str">
        <f>"375,00"</f>
        <v>375,00</v>
      </c>
      <c r="M1370" s="6" t="str">
        <f>"1.875,00"</f>
        <v>1.875,00</v>
      </c>
      <c r="N1370" s="8" t="s">
        <v>1123</v>
      </c>
      <c r="O1370" s="7"/>
      <c r="P1370" s="2" t="s">
        <v>6378</v>
      </c>
      <c r="Q1370" s="7"/>
      <c r="R1370" s="1"/>
      <c r="S1370" s="1" t="str">
        <f>"18-22/NOS-92-1/20"</f>
        <v>18-22/NOS-92-1/20</v>
      </c>
      <c r="T1370" s="1" t="s">
        <v>32</v>
      </c>
    </row>
    <row r="1371" spans="1:20" ht="76.5" x14ac:dyDescent="0.25">
      <c r="A1371" s="6">
        <v>1368</v>
      </c>
      <c r="B1371" s="1" t="str">
        <f t="shared" si="123"/>
        <v>2020-2915</v>
      </c>
      <c r="C1371" s="1" t="s">
        <v>1386</v>
      </c>
      <c r="D1371" s="1" t="s">
        <v>1373</v>
      </c>
      <c r="E1371" s="1" t="str">
        <f>""</f>
        <v/>
      </c>
      <c r="F1371" s="1" t="s">
        <v>28</v>
      </c>
      <c r="G1371" s="1" t="str">
        <f t="shared" si="124"/>
        <v>SERVIS IMP CRPKE, vl. Dražen Kovačić, STROSSMAYEROV TRG 12, 10450 JASTREBARSKO, OIB: 13145108322</v>
      </c>
      <c r="H1371" s="7"/>
      <c r="I1371" s="8" t="s">
        <v>525</v>
      </c>
      <c r="J1371" s="8" t="s">
        <v>555</v>
      </c>
      <c r="K1371" s="6" t="str">
        <f>"2.440,00"</f>
        <v>2.440,00</v>
      </c>
      <c r="L1371" s="6" t="str">
        <f>"610,00"</f>
        <v>610,00</v>
      </c>
      <c r="M1371" s="6" t="str">
        <f>"3.050,00"</f>
        <v>3.050,00</v>
      </c>
      <c r="N1371" s="8" t="s">
        <v>384</v>
      </c>
      <c r="O1371" s="7"/>
      <c r="P1371" s="2" t="s">
        <v>6487</v>
      </c>
      <c r="Q1371" s="7"/>
      <c r="R1371" s="1"/>
      <c r="S1371" s="1" t="str">
        <f>"19-22/NOS-92-1/20"</f>
        <v>19-22/NOS-92-1/20</v>
      </c>
      <c r="T1371" s="1" t="s">
        <v>32</v>
      </c>
    </row>
    <row r="1372" spans="1:20" ht="76.5" x14ac:dyDescent="0.25">
      <c r="A1372" s="6">
        <v>1369</v>
      </c>
      <c r="B1372" s="1" t="str">
        <f t="shared" si="123"/>
        <v>2020-2915</v>
      </c>
      <c r="C1372" s="1" t="s">
        <v>1386</v>
      </c>
      <c r="D1372" s="1" t="s">
        <v>1373</v>
      </c>
      <c r="E1372" s="1" t="str">
        <f>""</f>
        <v/>
      </c>
      <c r="F1372" s="1" t="s">
        <v>28</v>
      </c>
      <c r="G1372" s="1" t="str">
        <f t="shared" si="124"/>
        <v>SERVIS IMP CRPKE, vl. Dražen Kovačić, STROSSMAYEROV TRG 12, 10450 JASTREBARSKO, OIB: 13145108322</v>
      </c>
      <c r="H1372" s="7"/>
      <c r="I1372" s="8" t="s">
        <v>388</v>
      </c>
      <c r="J1372" s="8" t="s">
        <v>1194</v>
      </c>
      <c r="K1372" s="6" t="str">
        <f>"69.260,00"</f>
        <v>69.260,00</v>
      </c>
      <c r="L1372" s="6" t="str">
        <f>"0,00"</f>
        <v>0,00</v>
      </c>
      <c r="M1372" s="6" t="str">
        <f>"69.260,00"</f>
        <v>69.260,00</v>
      </c>
      <c r="N1372" s="8" t="s">
        <v>124</v>
      </c>
      <c r="O1372" s="7"/>
      <c r="P1372" s="2" t="s">
        <v>5614</v>
      </c>
      <c r="Q1372" s="7"/>
      <c r="R1372" s="1"/>
      <c r="S1372" s="1" t="str">
        <f>"15-22/NOS-92-1/20"</f>
        <v>15-22/NOS-92-1/20</v>
      </c>
      <c r="T1372" s="1" t="s">
        <v>32</v>
      </c>
    </row>
    <row r="1373" spans="1:20" ht="76.5" x14ac:dyDescent="0.25">
      <c r="A1373" s="6">
        <v>1370</v>
      </c>
      <c r="B1373" s="1" t="str">
        <f t="shared" si="123"/>
        <v>2020-2915</v>
      </c>
      <c r="C1373" s="1" t="s">
        <v>1386</v>
      </c>
      <c r="D1373" s="1" t="s">
        <v>1373</v>
      </c>
      <c r="E1373" s="1" t="str">
        <f>""</f>
        <v/>
      </c>
      <c r="F1373" s="1" t="s">
        <v>28</v>
      </c>
      <c r="G1373" s="1" t="str">
        <f t="shared" si="124"/>
        <v>SERVIS IMP CRPKE, vl. Dražen Kovačić, STROSSMAYEROV TRG 12, 10450 JASTREBARSKO, OIB: 13145108322</v>
      </c>
      <c r="H1373" s="7"/>
      <c r="I1373" s="8" t="s">
        <v>388</v>
      </c>
      <c r="J1373" s="8" t="s">
        <v>519</v>
      </c>
      <c r="K1373" s="6" t="str">
        <f>"7.420,00"</f>
        <v>7.420,00</v>
      </c>
      <c r="L1373" s="6" t="str">
        <f>"0,00"</f>
        <v>0,00</v>
      </c>
      <c r="M1373" s="6" t="str">
        <f>"7.420,00"</f>
        <v>7.420,00</v>
      </c>
      <c r="N1373" s="8" t="s">
        <v>124</v>
      </c>
      <c r="O1373" s="7"/>
      <c r="P1373" s="2" t="s">
        <v>5614</v>
      </c>
      <c r="Q1373" s="7"/>
      <c r="R1373" s="1"/>
      <c r="S1373" s="1" t="str">
        <f>"22-22/NOS-92-1/20"</f>
        <v>22-22/NOS-92-1/20</v>
      </c>
      <c r="T1373" s="1" t="s">
        <v>32</v>
      </c>
    </row>
    <row r="1374" spans="1:20" ht="76.5" x14ac:dyDescent="0.25">
      <c r="A1374" s="6">
        <v>1371</v>
      </c>
      <c r="B1374" s="1" t="str">
        <f t="shared" si="123"/>
        <v>2020-2915</v>
      </c>
      <c r="C1374" s="1" t="s">
        <v>1386</v>
      </c>
      <c r="D1374" s="1" t="s">
        <v>1373</v>
      </c>
      <c r="E1374" s="1" t="str">
        <f>""</f>
        <v/>
      </c>
      <c r="F1374" s="1" t="s">
        <v>28</v>
      </c>
      <c r="G1374" s="1" t="str">
        <f t="shared" si="124"/>
        <v>SERVIS IMP CRPKE, vl. Dražen Kovačić, STROSSMAYEROV TRG 12, 10450 JASTREBARSKO, OIB: 13145108322</v>
      </c>
      <c r="H1374" s="7"/>
      <c r="I1374" s="8" t="s">
        <v>399</v>
      </c>
      <c r="J1374" s="8" t="s">
        <v>241</v>
      </c>
      <c r="K1374" s="6" t="str">
        <f>"11.070,00"</f>
        <v>11.070,00</v>
      </c>
      <c r="L1374" s="6" t="str">
        <f>"0,00"</f>
        <v>0,00</v>
      </c>
      <c r="M1374" s="6" t="str">
        <f>"11.070,00"</f>
        <v>11.070,00</v>
      </c>
      <c r="N1374" s="8" t="s">
        <v>124</v>
      </c>
      <c r="O1374" s="7"/>
      <c r="P1374" s="2" t="s">
        <v>5614</v>
      </c>
      <c r="Q1374" s="7"/>
      <c r="R1374" s="1"/>
      <c r="S1374" s="1" t="str">
        <f>"21-22/NOS-92-1/20"</f>
        <v>21-22/NOS-92-1/20</v>
      </c>
      <c r="T1374" s="1" t="s">
        <v>32</v>
      </c>
    </row>
    <row r="1375" spans="1:20" ht="76.5" x14ac:dyDescent="0.25">
      <c r="A1375" s="6">
        <v>1372</v>
      </c>
      <c r="B1375" s="1" t="str">
        <f t="shared" si="123"/>
        <v>2020-2915</v>
      </c>
      <c r="C1375" s="1" t="s">
        <v>1386</v>
      </c>
      <c r="D1375" s="1" t="s">
        <v>1373</v>
      </c>
      <c r="E1375" s="1" t="str">
        <f>""</f>
        <v/>
      </c>
      <c r="F1375" s="1" t="s">
        <v>28</v>
      </c>
      <c r="G1375" s="1" t="str">
        <f t="shared" si="124"/>
        <v>SERVIS IMP CRPKE, vl. Dražen Kovačić, STROSSMAYEROV TRG 12, 10450 JASTREBARSKO, OIB: 13145108322</v>
      </c>
      <c r="H1375" s="7"/>
      <c r="I1375" s="8" t="s">
        <v>146</v>
      </c>
      <c r="J1375" s="8" t="s">
        <v>555</v>
      </c>
      <c r="K1375" s="6" t="str">
        <f>"5.530,00"</f>
        <v>5.530,00</v>
      </c>
      <c r="L1375" s="6" t="str">
        <f>"0,00"</f>
        <v>0,00</v>
      </c>
      <c r="M1375" s="6" t="str">
        <f>"5.530,00"</f>
        <v>5.530,00</v>
      </c>
      <c r="N1375" s="8" t="s">
        <v>124</v>
      </c>
      <c r="O1375" s="7"/>
      <c r="P1375" s="2" t="s">
        <v>5614</v>
      </c>
      <c r="Q1375" s="7"/>
      <c r="R1375" s="1"/>
      <c r="S1375" s="1" t="str">
        <f>"24-22/NOS-92-1/20"</f>
        <v>24-22/NOS-92-1/20</v>
      </c>
      <c r="T1375" s="1" t="s">
        <v>32</v>
      </c>
    </row>
    <row r="1376" spans="1:20" ht="76.5" x14ac:dyDescent="0.25">
      <c r="A1376" s="6">
        <v>1373</v>
      </c>
      <c r="B1376" s="1" t="str">
        <f t="shared" si="123"/>
        <v>2020-2915</v>
      </c>
      <c r="C1376" s="1" t="s">
        <v>1386</v>
      </c>
      <c r="D1376" s="1" t="s">
        <v>1373</v>
      </c>
      <c r="E1376" s="1" t="str">
        <f>""</f>
        <v/>
      </c>
      <c r="F1376" s="1" t="s">
        <v>28</v>
      </c>
      <c r="G1376" s="1" t="str">
        <f t="shared" si="124"/>
        <v>SERVIS IMP CRPKE, vl. Dražen Kovačić, STROSSMAYEROV TRG 12, 10450 JASTREBARSKO, OIB: 13145108322</v>
      </c>
      <c r="H1376" s="7"/>
      <c r="I1376" s="8" t="s">
        <v>433</v>
      </c>
      <c r="J1376" s="8" t="s">
        <v>519</v>
      </c>
      <c r="K1376" s="6" t="str">
        <f>"6.950,00"</f>
        <v>6.950,00</v>
      </c>
      <c r="L1376" s="6" t="str">
        <f>"0,00"</f>
        <v>0,00</v>
      </c>
      <c r="M1376" s="6" t="str">
        <f>"6.950,00"</f>
        <v>6.950,00</v>
      </c>
      <c r="N1376" s="8" t="s">
        <v>124</v>
      </c>
      <c r="O1376" s="7"/>
      <c r="P1376" s="2" t="s">
        <v>5614</v>
      </c>
      <c r="Q1376" s="7"/>
      <c r="R1376" s="1"/>
      <c r="S1376" s="1" t="str">
        <f>"25-22/NOS-92-1/20"</f>
        <v>25-22/NOS-92-1/20</v>
      </c>
      <c r="T1376" s="1" t="s">
        <v>32</v>
      </c>
    </row>
    <row r="1377" spans="1:20" ht="38.25" x14ac:dyDescent="0.25">
      <c r="A1377" s="6">
        <v>1374</v>
      </c>
      <c r="B1377" s="1" t="str">
        <f>"2020-2968"</f>
        <v>2020-2968</v>
      </c>
      <c r="C1377" s="1" t="s">
        <v>1390</v>
      </c>
      <c r="D1377" s="1" t="s">
        <v>1391</v>
      </c>
      <c r="E1377" s="1" t="str">
        <f>"2020/S 0F2-0044403"</f>
        <v>2020/S 0F2-0044403</v>
      </c>
      <c r="F1377" s="1" t="s">
        <v>22</v>
      </c>
      <c r="G1377" s="1" t="str">
        <f>CONCATENATE("HITRA PRODUKCIJA DOKUMENATA D.O.O.,"," ,"," OIB: 65443507068")</f>
        <v>HITRA PRODUKCIJA DOKUMENATA D.O.O., , OIB: 65443507068</v>
      </c>
      <c r="H1377" s="7"/>
      <c r="I1377" s="8" t="s">
        <v>1392</v>
      </c>
      <c r="J1377" s="8" t="s">
        <v>1393</v>
      </c>
      <c r="K1377" s="6" t="str">
        <f>"1.000.000,00"</f>
        <v>1.000.000,00</v>
      </c>
      <c r="L1377" s="6" t="str">
        <f>"250.000,00"</f>
        <v>250.000,00</v>
      </c>
      <c r="M1377" s="6" t="str">
        <f>"1.250.000,00"</f>
        <v>1.250.000,00</v>
      </c>
      <c r="N1377" s="8" t="s">
        <v>124</v>
      </c>
      <c r="O1377" s="7"/>
      <c r="P1377" s="2" t="s">
        <v>5614</v>
      </c>
      <c r="Q1377" s="7"/>
      <c r="R1377" s="1"/>
      <c r="S1377" s="1" t="str">
        <f>"NOS-102/20"</f>
        <v>NOS-102/20</v>
      </c>
      <c r="T1377" s="1" t="s">
        <v>55</v>
      </c>
    </row>
    <row r="1378" spans="1:20" ht="63.75" x14ac:dyDescent="0.25">
      <c r="A1378" s="6">
        <v>1375</v>
      </c>
      <c r="B1378" s="1" t="str">
        <f>"2020-2968"</f>
        <v>2020-2968</v>
      </c>
      <c r="C1378" s="1" t="s">
        <v>1390</v>
      </c>
      <c r="D1378" s="1" t="s">
        <v>39</v>
      </c>
      <c r="E1378" s="1" t="str">
        <f>""</f>
        <v/>
      </c>
      <c r="F1378" s="1" t="s">
        <v>28</v>
      </c>
      <c r="G1378" s="1" t="str">
        <f>CONCATENATE("HITRA PRODUKCIJA DOKUMENATA D.O.O.,"," ZADARSKA ULICA 80,"," 10000 ZAGREB,"," OIB: 65443507068")</f>
        <v>HITRA PRODUKCIJA DOKUMENATA D.O.O., ZADARSKA ULICA 80, 10000 ZAGREB, OIB: 65443507068</v>
      </c>
      <c r="H1378" s="7"/>
      <c r="I1378" s="8" t="s">
        <v>598</v>
      </c>
      <c r="J1378" s="8" t="s">
        <v>231</v>
      </c>
      <c r="K1378" s="6" t="str">
        <f>"211.370,23"</f>
        <v>211.370,23</v>
      </c>
      <c r="L1378" s="6" t="str">
        <f>"10.847,17"</f>
        <v>10.847,17</v>
      </c>
      <c r="M1378" s="6" t="str">
        <f>"222.217,40"</f>
        <v>222.217,40</v>
      </c>
      <c r="N1378" s="8" t="s">
        <v>963</v>
      </c>
      <c r="O1378" s="7"/>
      <c r="P1378" s="2" t="s">
        <v>6488</v>
      </c>
      <c r="Q1378" s="7"/>
      <c r="R1378" s="1"/>
      <c r="S1378" s="1" t="str">
        <f>"1-22/NOS-102/20"</f>
        <v>1-22/NOS-102/20</v>
      </c>
      <c r="T1378" s="1" t="s">
        <v>55</v>
      </c>
    </row>
    <row r="1379" spans="1:20" ht="63.75" x14ac:dyDescent="0.25">
      <c r="A1379" s="6">
        <v>1376</v>
      </c>
      <c r="B1379" s="1" t="str">
        <f>"2020-2968"</f>
        <v>2020-2968</v>
      </c>
      <c r="C1379" s="1" t="s">
        <v>1390</v>
      </c>
      <c r="D1379" s="1" t="s">
        <v>39</v>
      </c>
      <c r="E1379" s="1" t="str">
        <f>""</f>
        <v/>
      </c>
      <c r="F1379" s="1" t="s">
        <v>28</v>
      </c>
      <c r="G1379" s="1" t="str">
        <f>CONCATENATE("HITRA PRODUKCIJA DOKUMENATA D.O.O.,"," ZADARSKA ULICA 80,"," 10000 ZAGREB,"," OIB: 65443507068")</f>
        <v>HITRA PRODUKCIJA DOKUMENATA D.O.O., ZADARSKA ULICA 80, 10000 ZAGREB, OIB: 65443507068</v>
      </c>
      <c r="H1379" s="7"/>
      <c r="I1379" s="8" t="s">
        <v>57</v>
      </c>
      <c r="J1379" s="8" t="s">
        <v>231</v>
      </c>
      <c r="K1379" s="6" t="str">
        <f>"241.265,21"</f>
        <v>241.265,21</v>
      </c>
      <c r="L1379" s="6" t="str">
        <f>"0,00"</f>
        <v>0,00</v>
      </c>
      <c r="M1379" s="6" t="str">
        <f>"241.265,21"</f>
        <v>241.265,21</v>
      </c>
      <c r="N1379" s="8" t="s">
        <v>124</v>
      </c>
      <c r="O1379" s="7"/>
      <c r="P1379" s="2" t="s">
        <v>5614</v>
      </c>
      <c r="Q1379" s="7"/>
      <c r="R1379" s="1"/>
      <c r="S1379" s="1" t="str">
        <f>"2-22/NOS-102/20"</f>
        <v>2-22/NOS-102/20</v>
      </c>
      <c r="T1379" s="1" t="s">
        <v>55</v>
      </c>
    </row>
    <row r="1380" spans="1:20" ht="63.75" x14ac:dyDescent="0.25">
      <c r="A1380" s="6">
        <v>1377</v>
      </c>
      <c r="B1380" s="1" t="str">
        <f>"2020-2968"</f>
        <v>2020-2968</v>
      </c>
      <c r="C1380" s="1" t="s">
        <v>1390</v>
      </c>
      <c r="D1380" s="1" t="s">
        <v>39</v>
      </c>
      <c r="E1380" s="1" t="str">
        <f>""</f>
        <v/>
      </c>
      <c r="F1380" s="1" t="s">
        <v>28</v>
      </c>
      <c r="G1380" s="1" t="str">
        <f>CONCATENATE("HITRA PRODUKCIJA DOKUMENATA D.O.O.,"," ZADARSKA ULICA 80,"," 10000 ZAGREB,"," OIB: 65443507068")</f>
        <v>HITRA PRODUKCIJA DOKUMENATA D.O.O., ZADARSKA ULICA 80, 10000 ZAGREB, OIB: 65443507068</v>
      </c>
      <c r="H1380" s="7"/>
      <c r="I1380" s="8" t="s">
        <v>1159</v>
      </c>
      <c r="J1380" s="8" t="s">
        <v>393</v>
      </c>
      <c r="K1380" s="6" t="str">
        <f>"480,00"</f>
        <v>480,00</v>
      </c>
      <c r="L1380" s="6" t="str">
        <f>"0,00"</f>
        <v>0,00</v>
      </c>
      <c r="M1380" s="6" t="str">
        <f>"480,00"</f>
        <v>480,00</v>
      </c>
      <c r="N1380" s="8" t="s">
        <v>124</v>
      </c>
      <c r="O1380" s="7"/>
      <c r="P1380" s="2" t="s">
        <v>5614</v>
      </c>
      <c r="Q1380" s="7"/>
      <c r="R1380" s="1"/>
      <c r="S1380" s="1" t="str">
        <f>"3-22/NOS-102/20"</f>
        <v>3-22/NOS-102/20</v>
      </c>
      <c r="T1380" s="1" t="s">
        <v>55</v>
      </c>
    </row>
    <row r="1381" spans="1:20" ht="63.75" x14ac:dyDescent="0.25">
      <c r="A1381" s="6">
        <v>1378</v>
      </c>
      <c r="B1381" s="1" t="str">
        <f>"2020-2968"</f>
        <v>2020-2968</v>
      </c>
      <c r="C1381" s="1" t="s">
        <v>1390</v>
      </c>
      <c r="D1381" s="1" t="s">
        <v>39</v>
      </c>
      <c r="E1381" s="1" t="str">
        <f>""</f>
        <v/>
      </c>
      <c r="F1381" s="1" t="s">
        <v>28</v>
      </c>
      <c r="G1381" s="1" t="str">
        <f>CONCATENATE("HITRA PRODUKCIJA DOKUMENATA D.O.O.,"," ZADARSKA ULICA 80,"," 10000 ZAGREB,"," OIB: 65443507068")</f>
        <v>HITRA PRODUKCIJA DOKUMENATA D.O.O., ZADARSKA ULICA 80, 10000 ZAGREB, OIB: 65443507068</v>
      </c>
      <c r="H1381" s="7"/>
      <c r="I1381" s="8" t="s">
        <v>388</v>
      </c>
      <c r="J1381" s="8" t="s">
        <v>231</v>
      </c>
      <c r="K1381" s="6" t="str">
        <f>"238.740,00"</f>
        <v>238.740,00</v>
      </c>
      <c r="L1381" s="6" t="str">
        <f>"0,00"</f>
        <v>0,00</v>
      </c>
      <c r="M1381" s="6" t="str">
        <f>"238.740,00"</f>
        <v>238.740,00</v>
      </c>
      <c r="N1381" s="8" t="s">
        <v>124</v>
      </c>
      <c r="O1381" s="7"/>
      <c r="P1381" s="2" t="s">
        <v>5614</v>
      </c>
      <c r="Q1381" s="7"/>
      <c r="R1381" s="1"/>
      <c r="S1381" s="1" t="str">
        <f>"4-22/NOS-102/20"</f>
        <v>4-22/NOS-102/20</v>
      </c>
      <c r="T1381" s="1" t="s">
        <v>55</v>
      </c>
    </row>
    <row r="1382" spans="1:20" ht="165.75" x14ac:dyDescent="0.25">
      <c r="A1382" s="6">
        <v>1379</v>
      </c>
      <c r="B1382" s="1" t="str">
        <f t="shared" ref="B1382:B1389" si="125">"2020-2466"</f>
        <v>2020-2466</v>
      </c>
      <c r="C1382" s="1" t="s">
        <v>1394</v>
      </c>
      <c r="D1382" s="1" t="s">
        <v>74</v>
      </c>
      <c r="E1382" s="1" t="str">
        <f>"2020/S 0F2-0045677"</f>
        <v>2020/S 0F2-0045677</v>
      </c>
      <c r="F1382" s="1" t="s">
        <v>22</v>
      </c>
      <c r="G1382" s="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382" s="7"/>
      <c r="I1382" s="8" t="s">
        <v>1377</v>
      </c>
      <c r="J1382" s="8" t="s">
        <v>1395</v>
      </c>
      <c r="K1382" s="6" t="str">
        <f>"6.600.000,00"</f>
        <v>6.600.000,00</v>
      </c>
      <c r="L1382" s="6" t="str">
        <f>"1.650.000,00"</f>
        <v>1.650.000,00</v>
      </c>
      <c r="M1382" s="6" t="str">
        <f>"8.250.000,00"</f>
        <v>8.250.000,00</v>
      </c>
      <c r="N1382" s="8" t="s">
        <v>124</v>
      </c>
      <c r="O1382" s="7"/>
      <c r="P1382" s="2" t="s">
        <v>5614</v>
      </c>
      <c r="Q1382" s="7"/>
      <c r="R1382" s="1"/>
      <c r="S1382" s="1" t="str">
        <f>"NOS-94/20"</f>
        <v>NOS-94/20</v>
      </c>
      <c r="T1382" s="1" t="s">
        <v>32</v>
      </c>
    </row>
    <row r="1383" spans="1:20" ht="165.75" x14ac:dyDescent="0.25">
      <c r="A1383" s="6">
        <v>1380</v>
      </c>
      <c r="B1383" s="1" t="str">
        <f t="shared" si="125"/>
        <v>2020-2466</v>
      </c>
      <c r="C1383" s="1" t="s">
        <v>1394</v>
      </c>
      <c r="D1383" s="1" t="s">
        <v>78</v>
      </c>
      <c r="E1383" s="1" t="str">
        <f>""</f>
        <v/>
      </c>
      <c r="F1383" s="1" t="s">
        <v>28</v>
      </c>
      <c r="G1383" s="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383" s="7"/>
      <c r="I1383" s="8" t="s">
        <v>707</v>
      </c>
      <c r="J1383" s="8" t="s">
        <v>57</v>
      </c>
      <c r="K1383" s="6" t="str">
        <f>"1.687.700,00"</f>
        <v>1.687.700,00</v>
      </c>
      <c r="L1383" s="6" t="str">
        <f>"421.925,00"</f>
        <v>421.925,00</v>
      </c>
      <c r="M1383" s="6" t="str">
        <f>"2.109.625,00"</f>
        <v>2.109.625,00</v>
      </c>
      <c r="N1383" s="8" t="s">
        <v>923</v>
      </c>
      <c r="O1383" s="7"/>
      <c r="P1383" s="2" t="s">
        <v>6489</v>
      </c>
      <c r="Q1383" s="7"/>
      <c r="R1383" s="1"/>
      <c r="S1383" s="1" t="str">
        <f>"6-21/NOS-94/20"</f>
        <v>6-21/NOS-94/20</v>
      </c>
      <c r="T1383" s="1" t="s">
        <v>32</v>
      </c>
    </row>
    <row r="1384" spans="1:20" ht="165.75" x14ac:dyDescent="0.25">
      <c r="A1384" s="6">
        <v>1381</v>
      </c>
      <c r="B1384" s="1" t="str">
        <f t="shared" si="125"/>
        <v>2020-2466</v>
      </c>
      <c r="C1384" s="1" t="s">
        <v>1394</v>
      </c>
      <c r="D1384" s="1" t="s">
        <v>78</v>
      </c>
      <c r="E1384" s="1" t="str">
        <f>""</f>
        <v/>
      </c>
      <c r="F1384" s="1" t="s">
        <v>28</v>
      </c>
      <c r="G1384" s="1"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1384" s="7"/>
      <c r="I1384" s="8" t="s">
        <v>877</v>
      </c>
      <c r="J1384" s="8" t="s">
        <v>850</v>
      </c>
      <c r="K1384" s="6" t="str">
        <f>"1.687.700,00"</f>
        <v>1.687.700,00</v>
      </c>
      <c r="L1384" s="6" t="str">
        <f>"421.925,00"</f>
        <v>421.925,00</v>
      </c>
      <c r="M1384" s="6" t="str">
        <f>"2.109.625,00"</f>
        <v>2.109.625,00</v>
      </c>
      <c r="N1384" s="8" t="s">
        <v>124</v>
      </c>
      <c r="O1384" s="7"/>
      <c r="P1384" s="2" t="s">
        <v>6490</v>
      </c>
      <c r="Q1384" s="7"/>
      <c r="R1384" s="1"/>
      <c r="S1384" s="1" t="str">
        <f>"5-22/NOS-94/20"</f>
        <v>5-22/NOS-94/20</v>
      </c>
      <c r="T1384" s="1" t="s">
        <v>32</v>
      </c>
    </row>
    <row r="1385" spans="1:20" ht="165.75" x14ac:dyDescent="0.25">
      <c r="A1385" s="6">
        <v>1382</v>
      </c>
      <c r="B1385" s="1" t="str">
        <f t="shared" si="125"/>
        <v>2020-2466</v>
      </c>
      <c r="C1385" s="1" t="s">
        <v>1394</v>
      </c>
      <c r="D1385" s="1" t="s">
        <v>78</v>
      </c>
      <c r="E1385" s="1" t="str">
        <f>""</f>
        <v/>
      </c>
      <c r="F1385" s="1" t="s">
        <v>28</v>
      </c>
      <c r="G1385" s="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385" s="7"/>
      <c r="I1385" s="8" t="s">
        <v>754</v>
      </c>
      <c r="J1385" s="8" t="s">
        <v>256</v>
      </c>
      <c r="K1385" s="6" t="str">
        <f>"58.740,00"</f>
        <v>58.740,00</v>
      </c>
      <c r="L1385" s="6" t="str">
        <f>"14.685,00"</f>
        <v>14.685,00</v>
      </c>
      <c r="M1385" s="6" t="str">
        <f>"73.425,00"</f>
        <v>73.425,00</v>
      </c>
      <c r="N1385" s="8" t="s">
        <v>923</v>
      </c>
      <c r="O1385" s="7"/>
      <c r="P1385" s="2" t="s">
        <v>6491</v>
      </c>
      <c r="Q1385" s="7"/>
      <c r="R1385" s="1"/>
      <c r="S1385" s="1" t="str">
        <f>"1-22/NOS-94/20"</f>
        <v>1-22/NOS-94/20</v>
      </c>
      <c r="T1385" s="1" t="s">
        <v>32</v>
      </c>
    </row>
    <row r="1386" spans="1:20" ht="165.75" x14ac:dyDescent="0.25">
      <c r="A1386" s="6">
        <v>1383</v>
      </c>
      <c r="B1386" s="1" t="str">
        <f t="shared" si="125"/>
        <v>2020-2466</v>
      </c>
      <c r="C1386" s="1" t="s">
        <v>1394</v>
      </c>
      <c r="D1386" s="1" t="s">
        <v>78</v>
      </c>
      <c r="E1386" s="1" t="str">
        <f>""</f>
        <v/>
      </c>
      <c r="F1386" s="1" t="s">
        <v>28</v>
      </c>
      <c r="G1386" s="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386" s="7"/>
      <c r="I1386" s="8" t="s">
        <v>505</v>
      </c>
      <c r="J1386" s="8" t="s">
        <v>256</v>
      </c>
      <c r="K1386" s="6" t="str">
        <f>"238.260,00"</f>
        <v>238.260,00</v>
      </c>
      <c r="L1386" s="6" t="str">
        <f>"59.565,00"</f>
        <v>59.565,00</v>
      </c>
      <c r="M1386" s="6" t="str">
        <f>"297.825,00"</f>
        <v>297.825,00</v>
      </c>
      <c r="N1386" s="8" t="s">
        <v>208</v>
      </c>
      <c r="O1386" s="7"/>
      <c r="P1386" s="2" t="s">
        <v>6492</v>
      </c>
      <c r="Q1386" s="7"/>
      <c r="R1386" s="1"/>
      <c r="S1386" s="1" t="str">
        <f>"4-22/NOS-94/20"</f>
        <v>4-22/NOS-94/20</v>
      </c>
      <c r="T1386" s="1" t="s">
        <v>32</v>
      </c>
    </row>
    <row r="1387" spans="1:20" ht="165.75" x14ac:dyDescent="0.25">
      <c r="A1387" s="6">
        <v>1384</v>
      </c>
      <c r="B1387" s="1" t="str">
        <f t="shared" si="125"/>
        <v>2020-2466</v>
      </c>
      <c r="C1387" s="1" t="s">
        <v>1394</v>
      </c>
      <c r="D1387" s="1" t="s">
        <v>78</v>
      </c>
      <c r="E1387" s="1" t="str">
        <f>""</f>
        <v/>
      </c>
      <c r="F1387" s="1" t="s">
        <v>28</v>
      </c>
      <c r="G1387" s="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387" s="7"/>
      <c r="I1387" s="8" t="s">
        <v>1099</v>
      </c>
      <c r="J1387" s="8" t="s">
        <v>1187</v>
      </c>
      <c r="K1387" s="6" t="str">
        <f>"178.200,00"</f>
        <v>178.200,00</v>
      </c>
      <c r="L1387" s="6" t="str">
        <f>"0,00"</f>
        <v>0,00</v>
      </c>
      <c r="M1387" s="6" t="str">
        <f>"178.200,00"</f>
        <v>178.200,00</v>
      </c>
      <c r="N1387" s="8" t="s">
        <v>124</v>
      </c>
      <c r="O1387" s="7"/>
      <c r="P1387" s="2" t="s">
        <v>5614</v>
      </c>
      <c r="Q1387" s="7"/>
      <c r="R1387" s="1"/>
      <c r="S1387" s="1" t="str">
        <f>"6-22/NOS-94/20"</f>
        <v>6-22/NOS-94/20</v>
      </c>
      <c r="T1387" s="1" t="s">
        <v>32</v>
      </c>
    </row>
    <row r="1388" spans="1:20" ht="165.75" x14ac:dyDescent="0.25">
      <c r="A1388" s="6">
        <v>1385</v>
      </c>
      <c r="B1388" s="1" t="str">
        <f t="shared" si="125"/>
        <v>2020-2466</v>
      </c>
      <c r="C1388" s="1" t="s">
        <v>1394</v>
      </c>
      <c r="D1388" s="1" t="s">
        <v>78</v>
      </c>
      <c r="E1388" s="1" t="str">
        <f>""</f>
        <v/>
      </c>
      <c r="F1388" s="1" t="s">
        <v>28</v>
      </c>
      <c r="G1388" s="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388" s="7"/>
      <c r="I1388" s="8" t="s">
        <v>1009</v>
      </c>
      <c r="J1388" s="8" t="s">
        <v>231</v>
      </c>
      <c r="K1388" s="6" t="str">
        <f>"198.000,00"</f>
        <v>198.000,00</v>
      </c>
      <c r="L1388" s="6" t="str">
        <f>"0,00"</f>
        <v>0,00</v>
      </c>
      <c r="M1388" s="6" t="str">
        <f>"198.000,00"</f>
        <v>198.000,00</v>
      </c>
      <c r="N1388" s="8" t="s">
        <v>124</v>
      </c>
      <c r="O1388" s="7"/>
      <c r="P1388" s="2" t="s">
        <v>5614</v>
      </c>
      <c r="Q1388" s="7"/>
      <c r="R1388" s="1"/>
      <c r="S1388" s="1" t="str">
        <f>"7-22/NOS-94/20"</f>
        <v>7-22/NOS-94/20</v>
      </c>
      <c r="T1388" s="1" t="s">
        <v>32</v>
      </c>
    </row>
    <row r="1389" spans="1:20" ht="165.75" x14ac:dyDescent="0.25">
      <c r="A1389" s="6">
        <v>1386</v>
      </c>
      <c r="B1389" s="1" t="str">
        <f t="shared" si="125"/>
        <v>2020-2466</v>
      </c>
      <c r="C1389" s="1" t="s">
        <v>1394</v>
      </c>
      <c r="D1389" s="1" t="s">
        <v>78</v>
      </c>
      <c r="E1389" s="1" t="str">
        <f>""</f>
        <v/>
      </c>
      <c r="F1389" s="1" t="s">
        <v>28</v>
      </c>
      <c r="G1389" s="1" t="str">
        <f>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1389" s="7"/>
      <c r="I1389" s="8" t="s">
        <v>170</v>
      </c>
      <c r="J1389" s="8" t="s">
        <v>256</v>
      </c>
      <c r="K1389" s="6" t="str">
        <f>"1.039.830,00"</f>
        <v>1.039.830,00</v>
      </c>
      <c r="L1389" s="6" t="str">
        <f>"0,00"</f>
        <v>0,00</v>
      </c>
      <c r="M1389" s="6" t="str">
        <f>"1.039.830,00"</f>
        <v>1.039.830,00</v>
      </c>
      <c r="N1389" s="8" t="s">
        <v>124</v>
      </c>
      <c r="O1389" s="7"/>
      <c r="P1389" s="2" t="s">
        <v>5614</v>
      </c>
      <c r="Q1389" s="7"/>
      <c r="R1389" s="1"/>
      <c r="S1389" s="1" t="str">
        <f>"8-22/NOS-94/20"</f>
        <v>8-22/NOS-94/20</v>
      </c>
      <c r="T1389" s="1" t="s">
        <v>32</v>
      </c>
    </row>
    <row r="1390" spans="1:20" ht="51" x14ac:dyDescent="0.25">
      <c r="A1390" s="6">
        <v>1387</v>
      </c>
      <c r="B1390" s="1" t="str">
        <f t="shared" ref="B1390:B1398" si="126">"2020-918"</f>
        <v>2020-918</v>
      </c>
      <c r="C1390" s="1" t="s">
        <v>1396</v>
      </c>
      <c r="D1390" s="1" t="s">
        <v>1007</v>
      </c>
      <c r="E1390" s="1" t="str">
        <f>"2020/S 0F2-0020710"</f>
        <v>2020/S 0F2-0020710</v>
      </c>
      <c r="F1390" s="1" t="s">
        <v>22</v>
      </c>
      <c r="G1390" s="1" t="str">
        <f t="shared" ref="G1390:G1398" si="127">CONCATENATE("ECCOS-INŽENJERING D.O.O.,"," BANI 110,"," 10000 ZAGREB,"," OIB: 71629027685")</f>
        <v>ECCOS-INŽENJERING D.O.O., BANI 110, 10000 ZAGREB, OIB: 71629027685</v>
      </c>
      <c r="H1390" s="7"/>
      <c r="I1390" s="8" t="s">
        <v>1397</v>
      </c>
      <c r="J1390" s="8" t="s">
        <v>1398</v>
      </c>
      <c r="K1390" s="6" t="str">
        <f>"1.600.000,00"</f>
        <v>1.600.000,00</v>
      </c>
      <c r="L1390" s="6" t="str">
        <f>"400.000,00"</f>
        <v>400.000,00</v>
      </c>
      <c r="M1390" s="6" t="str">
        <f>"2.000.000,00"</f>
        <v>2.000.000,00</v>
      </c>
      <c r="N1390" s="8" t="s">
        <v>124</v>
      </c>
      <c r="O1390" s="7"/>
      <c r="P1390" s="2" t="s">
        <v>5882</v>
      </c>
      <c r="Q1390" s="7"/>
      <c r="R1390" s="1"/>
      <c r="S1390" s="1" t="str">
        <f>"NOS-99/20"</f>
        <v>NOS-99/20</v>
      </c>
      <c r="T1390" s="1" t="s">
        <v>32</v>
      </c>
    </row>
    <row r="1391" spans="1:20" ht="51" x14ac:dyDescent="0.25">
      <c r="A1391" s="6">
        <v>1388</v>
      </c>
      <c r="B1391" s="1" t="str">
        <f t="shared" si="126"/>
        <v>2020-918</v>
      </c>
      <c r="C1391" s="1" t="s">
        <v>1396</v>
      </c>
      <c r="D1391" s="1" t="s">
        <v>1007</v>
      </c>
      <c r="E1391" s="1" t="str">
        <f>""</f>
        <v/>
      </c>
      <c r="F1391" s="1" t="s">
        <v>28</v>
      </c>
      <c r="G1391" s="1" t="str">
        <f t="shared" si="127"/>
        <v>ECCOS-INŽENJERING D.O.O., BANI 110, 10000 ZAGREB, OIB: 71629027685</v>
      </c>
      <c r="H1391" s="7"/>
      <c r="I1391" s="8" t="s">
        <v>42</v>
      </c>
      <c r="J1391" s="8" t="s">
        <v>53</v>
      </c>
      <c r="K1391" s="6" t="str">
        <f>"2.428,00"</f>
        <v>2.428,00</v>
      </c>
      <c r="L1391" s="6" t="str">
        <f>"607,00"</f>
        <v>607,00</v>
      </c>
      <c r="M1391" s="6" t="str">
        <f>"3.035,00"</f>
        <v>3.035,00</v>
      </c>
      <c r="N1391" s="8" t="s">
        <v>345</v>
      </c>
      <c r="O1391" s="7"/>
      <c r="P1391" s="2" t="s">
        <v>6493</v>
      </c>
      <c r="Q1391" s="7"/>
      <c r="R1391" s="1"/>
      <c r="S1391" s="1" t="str">
        <f>"2-22/NOS-99/20"</f>
        <v>2-22/NOS-99/20</v>
      </c>
      <c r="T1391" s="1" t="s">
        <v>32</v>
      </c>
    </row>
    <row r="1392" spans="1:20" ht="51" x14ac:dyDescent="0.25">
      <c r="A1392" s="6">
        <v>1389</v>
      </c>
      <c r="B1392" s="1" t="str">
        <f t="shared" si="126"/>
        <v>2020-918</v>
      </c>
      <c r="C1392" s="1" t="s">
        <v>1396</v>
      </c>
      <c r="D1392" s="1" t="s">
        <v>1007</v>
      </c>
      <c r="E1392" s="1" t="str">
        <f>""</f>
        <v/>
      </c>
      <c r="F1392" s="1" t="s">
        <v>28</v>
      </c>
      <c r="G1392" s="1" t="str">
        <f t="shared" si="127"/>
        <v>ECCOS-INŽENJERING D.O.O., BANI 110, 10000 ZAGREB, OIB: 71629027685</v>
      </c>
      <c r="H1392" s="7"/>
      <c r="I1392" s="8" t="s">
        <v>284</v>
      </c>
      <c r="J1392" s="8" t="s">
        <v>250</v>
      </c>
      <c r="K1392" s="6" t="str">
        <f>"36.330,00"</f>
        <v>36.330,00</v>
      </c>
      <c r="L1392" s="6" t="str">
        <f>"9.082,50"</f>
        <v>9.082,50</v>
      </c>
      <c r="M1392" s="6" t="str">
        <f>"45.412,50"</f>
        <v>45.412,50</v>
      </c>
      <c r="N1392" s="8" t="s">
        <v>522</v>
      </c>
      <c r="O1392" s="7"/>
      <c r="P1392" s="2" t="s">
        <v>6494</v>
      </c>
      <c r="Q1392" s="7"/>
      <c r="R1392" s="1"/>
      <c r="S1392" s="1" t="str">
        <f>"3-22/NOS-99/20"</f>
        <v>3-22/NOS-99/20</v>
      </c>
      <c r="T1392" s="1" t="s">
        <v>32</v>
      </c>
    </row>
    <row r="1393" spans="1:20" ht="51" x14ac:dyDescent="0.25">
      <c r="A1393" s="6">
        <v>1390</v>
      </c>
      <c r="B1393" s="1" t="str">
        <f t="shared" si="126"/>
        <v>2020-918</v>
      </c>
      <c r="C1393" s="1" t="s">
        <v>1396</v>
      </c>
      <c r="D1393" s="1" t="s">
        <v>1007</v>
      </c>
      <c r="E1393" s="1" t="str">
        <f>""</f>
        <v/>
      </c>
      <c r="F1393" s="1" t="s">
        <v>28</v>
      </c>
      <c r="G1393" s="1" t="str">
        <f t="shared" si="127"/>
        <v>ECCOS-INŽENJERING D.O.O., BANI 110, 10000 ZAGREB, OIB: 71629027685</v>
      </c>
      <c r="H1393" s="7"/>
      <c r="I1393" s="8" t="s">
        <v>994</v>
      </c>
      <c r="J1393" s="8" t="s">
        <v>905</v>
      </c>
      <c r="K1393" s="6" t="str">
        <f>"1.740,00"</f>
        <v>1.740,00</v>
      </c>
      <c r="L1393" s="6" t="str">
        <f>"435,00"</f>
        <v>435,00</v>
      </c>
      <c r="M1393" s="6" t="str">
        <f>"2.175,00"</f>
        <v>2.175,00</v>
      </c>
      <c r="N1393" s="8" t="s">
        <v>425</v>
      </c>
      <c r="O1393" s="7"/>
      <c r="P1393" s="2" t="s">
        <v>6495</v>
      </c>
      <c r="Q1393" s="7"/>
      <c r="R1393" s="1"/>
      <c r="S1393" s="1" t="str">
        <f>"4-22/NOS-99/20"</f>
        <v>4-22/NOS-99/20</v>
      </c>
      <c r="T1393" s="1" t="s">
        <v>32</v>
      </c>
    </row>
    <row r="1394" spans="1:20" ht="51" x14ac:dyDescent="0.25">
      <c r="A1394" s="6">
        <v>1391</v>
      </c>
      <c r="B1394" s="1" t="str">
        <f t="shared" si="126"/>
        <v>2020-918</v>
      </c>
      <c r="C1394" s="1" t="s">
        <v>1396</v>
      </c>
      <c r="D1394" s="1" t="s">
        <v>1007</v>
      </c>
      <c r="E1394" s="1" t="str">
        <f>""</f>
        <v/>
      </c>
      <c r="F1394" s="1" t="s">
        <v>28</v>
      </c>
      <c r="G1394" s="1" t="str">
        <f t="shared" si="127"/>
        <v>ECCOS-INŽENJERING D.O.O., BANI 110, 10000 ZAGREB, OIB: 71629027685</v>
      </c>
      <c r="H1394" s="7"/>
      <c r="I1394" s="8" t="s">
        <v>406</v>
      </c>
      <c r="J1394" s="8" t="s">
        <v>407</v>
      </c>
      <c r="K1394" s="6" t="str">
        <f>"13.800,00"</f>
        <v>13.800,00</v>
      </c>
      <c r="L1394" s="6" t="str">
        <f>"3.450,00"</f>
        <v>3.450,00</v>
      </c>
      <c r="M1394" s="6" t="str">
        <f>"17.250,00"</f>
        <v>17.250,00</v>
      </c>
      <c r="N1394" s="8" t="s">
        <v>124</v>
      </c>
      <c r="O1394" s="7"/>
      <c r="P1394" s="2" t="s">
        <v>5614</v>
      </c>
      <c r="Q1394" s="7"/>
      <c r="R1394" s="1"/>
      <c r="S1394" s="1" t="str">
        <f>"5-22/NOS-99/20"</f>
        <v>5-22/NOS-99/20</v>
      </c>
      <c r="T1394" s="1" t="s">
        <v>32</v>
      </c>
    </row>
    <row r="1395" spans="1:20" ht="51" x14ac:dyDescent="0.25">
      <c r="A1395" s="6">
        <v>1392</v>
      </c>
      <c r="B1395" s="1" t="str">
        <f t="shared" si="126"/>
        <v>2020-918</v>
      </c>
      <c r="C1395" s="1" t="s">
        <v>1396</v>
      </c>
      <c r="D1395" s="1" t="s">
        <v>1007</v>
      </c>
      <c r="E1395" s="1" t="str">
        <f>""</f>
        <v/>
      </c>
      <c r="F1395" s="1" t="s">
        <v>28</v>
      </c>
      <c r="G1395" s="1" t="str">
        <f t="shared" si="127"/>
        <v>ECCOS-INŽENJERING D.O.O., BANI 110, 10000 ZAGREB, OIB: 71629027685</v>
      </c>
      <c r="H1395" s="7"/>
      <c r="I1395" s="8" t="s">
        <v>1399</v>
      </c>
      <c r="J1395" s="8" t="s">
        <v>240</v>
      </c>
      <c r="K1395" s="6" t="str">
        <f>"4.600,00"</f>
        <v>4.600,00</v>
      </c>
      <c r="L1395" s="6" t="str">
        <f>"1.150,00"</f>
        <v>1.150,00</v>
      </c>
      <c r="M1395" s="6" t="str">
        <f>"5.750,00"</f>
        <v>5.750,00</v>
      </c>
      <c r="N1395" s="8" t="s">
        <v>169</v>
      </c>
      <c r="O1395" s="7"/>
      <c r="P1395" s="2" t="s">
        <v>6496</v>
      </c>
      <c r="Q1395" s="7"/>
      <c r="R1395" s="1"/>
      <c r="S1395" s="1" t="str">
        <f>"6-22/NOS-99/20"</f>
        <v>6-22/NOS-99/20</v>
      </c>
      <c r="T1395" s="1" t="s">
        <v>32</v>
      </c>
    </row>
    <row r="1396" spans="1:20" ht="51" x14ac:dyDescent="0.25">
      <c r="A1396" s="6">
        <v>1393</v>
      </c>
      <c r="B1396" s="1" t="str">
        <f t="shared" si="126"/>
        <v>2020-918</v>
      </c>
      <c r="C1396" s="1" t="s">
        <v>1396</v>
      </c>
      <c r="D1396" s="1" t="s">
        <v>1007</v>
      </c>
      <c r="E1396" s="1" t="str">
        <f>""</f>
        <v/>
      </c>
      <c r="F1396" s="1" t="s">
        <v>28</v>
      </c>
      <c r="G1396" s="1" t="str">
        <f t="shared" si="127"/>
        <v>ECCOS-INŽENJERING D.O.O., BANI 110, 10000 ZAGREB, OIB: 71629027685</v>
      </c>
      <c r="H1396" s="7"/>
      <c r="I1396" s="8" t="s">
        <v>58</v>
      </c>
      <c r="J1396" s="8" t="s">
        <v>509</v>
      </c>
      <c r="K1396" s="6" t="str">
        <f>"86.075,00"</f>
        <v>86.075,00</v>
      </c>
      <c r="L1396" s="6" t="str">
        <f>"21.518,75"</f>
        <v>21.518,75</v>
      </c>
      <c r="M1396" s="6" t="str">
        <f>"107.593,75"</f>
        <v>107.593,75</v>
      </c>
      <c r="N1396" s="8" t="s">
        <v>525</v>
      </c>
      <c r="O1396" s="7"/>
      <c r="P1396" s="2" t="s">
        <v>6497</v>
      </c>
      <c r="Q1396" s="7"/>
      <c r="R1396" s="1"/>
      <c r="S1396" s="1" t="str">
        <f>"7-22/NOS-99/20"</f>
        <v>7-22/NOS-99/20</v>
      </c>
      <c r="T1396" s="1" t="s">
        <v>32</v>
      </c>
    </row>
    <row r="1397" spans="1:20" ht="51" x14ac:dyDescent="0.25">
      <c r="A1397" s="6">
        <v>1394</v>
      </c>
      <c r="B1397" s="1" t="str">
        <f t="shared" si="126"/>
        <v>2020-918</v>
      </c>
      <c r="C1397" s="1" t="s">
        <v>1396</v>
      </c>
      <c r="D1397" s="1" t="s">
        <v>1007</v>
      </c>
      <c r="E1397" s="1" t="str">
        <f>""</f>
        <v/>
      </c>
      <c r="F1397" s="1" t="s">
        <v>28</v>
      </c>
      <c r="G1397" s="1" t="str">
        <f t="shared" si="127"/>
        <v>ECCOS-INŽENJERING D.O.O., BANI 110, 10000 ZAGREB, OIB: 71629027685</v>
      </c>
      <c r="H1397" s="7"/>
      <c r="I1397" s="8" t="s">
        <v>1123</v>
      </c>
      <c r="J1397" s="8" t="s">
        <v>170</v>
      </c>
      <c r="K1397" s="6" t="str">
        <f>"13.980,00"</f>
        <v>13.980,00</v>
      </c>
      <c r="L1397" s="6" t="str">
        <f>"3.495,00"</f>
        <v>3.495,00</v>
      </c>
      <c r="M1397" s="6" t="str">
        <f>"17.475,00"</f>
        <v>17.475,00</v>
      </c>
      <c r="N1397" s="8" t="s">
        <v>124</v>
      </c>
      <c r="O1397" s="7"/>
      <c r="P1397" s="2" t="s">
        <v>5614</v>
      </c>
      <c r="Q1397" s="7"/>
      <c r="R1397" s="1"/>
      <c r="S1397" s="1" t="str">
        <f>"8-22/NOS-99/20"</f>
        <v>8-22/NOS-99/20</v>
      </c>
      <c r="T1397" s="1" t="s">
        <v>32</v>
      </c>
    </row>
    <row r="1398" spans="1:20" ht="51" x14ac:dyDescent="0.25">
      <c r="A1398" s="6">
        <v>1395</v>
      </c>
      <c r="B1398" s="1" t="str">
        <f t="shared" si="126"/>
        <v>2020-918</v>
      </c>
      <c r="C1398" s="1" t="s">
        <v>1396</v>
      </c>
      <c r="D1398" s="1" t="s">
        <v>1007</v>
      </c>
      <c r="E1398" s="1" t="str">
        <f>""</f>
        <v/>
      </c>
      <c r="F1398" s="1" t="s">
        <v>28</v>
      </c>
      <c r="G1398" s="1" t="str">
        <f t="shared" si="127"/>
        <v>ECCOS-INŽENJERING D.O.O., BANI 110, 10000 ZAGREB, OIB: 71629027685</v>
      </c>
      <c r="H1398" s="7"/>
      <c r="I1398" s="8" t="s">
        <v>112</v>
      </c>
      <c r="J1398" s="8" t="s">
        <v>1400</v>
      </c>
      <c r="K1398" s="6" t="str">
        <f>"18.400,00"</f>
        <v>18.400,00</v>
      </c>
      <c r="L1398" s="6" t="str">
        <f>"4.600,00"</f>
        <v>4.600,00</v>
      </c>
      <c r="M1398" s="6" t="str">
        <f>"23.000,00"</f>
        <v>23.000,00</v>
      </c>
      <c r="N1398" s="8" t="s">
        <v>124</v>
      </c>
      <c r="O1398" s="7"/>
      <c r="P1398" s="2" t="s">
        <v>5614</v>
      </c>
      <c r="Q1398" s="7"/>
      <c r="R1398" s="1"/>
      <c r="S1398" s="1" t="str">
        <f>"9-22/NOS-99/20"</f>
        <v>9-22/NOS-99/20</v>
      </c>
      <c r="T1398" s="1" t="s">
        <v>32</v>
      </c>
    </row>
    <row r="1399" spans="1:20" ht="102" x14ac:dyDescent="0.25">
      <c r="A1399" s="6">
        <v>1396</v>
      </c>
      <c r="B1399" s="1" t="str">
        <f t="shared" ref="B1399:B1435" si="128">"2020-1957"</f>
        <v>2020-1957</v>
      </c>
      <c r="C1399" s="1" t="s">
        <v>1401</v>
      </c>
      <c r="D1399" s="1" t="s">
        <v>267</v>
      </c>
      <c r="E1399" s="1" t="str">
        <f>"2020/S 0F2-0022457"</f>
        <v>2020/S 0F2-0022457</v>
      </c>
      <c r="F1399" s="1" t="s">
        <v>22</v>
      </c>
      <c r="G1399" s="1" t="str">
        <f t="shared" ref="G1399:G1435" si="129">CONCATENATE("METUS D.O.O.,"," POLOŽNICA 5,"," 10431 SVETA NEDELJA,"," OIB: 24690129373")</f>
        <v>METUS D.O.O., POLOŽNICA 5, 10431 SVETA NEDELJA, OIB: 24690129373</v>
      </c>
      <c r="H1399" s="7"/>
      <c r="I1399" s="8" t="s">
        <v>1402</v>
      </c>
      <c r="J1399" s="8" t="s">
        <v>1403</v>
      </c>
      <c r="K1399" s="6" t="str">
        <f>"3.500.000,00"</f>
        <v>3.500.000,00</v>
      </c>
      <c r="L1399" s="6" t="str">
        <f>"875.000,00"</f>
        <v>875.000,00</v>
      </c>
      <c r="M1399" s="6" t="str">
        <f>"4.375.000,00"</f>
        <v>4.375.000,00</v>
      </c>
      <c r="N1399" s="8" t="s">
        <v>124</v>
      </c>
      <c r="O1399" s="7"/>
      <c r="P1399" s="2" t="s">
        <v>6498</v>
      </c>
      <c r="Q1399" s="7"/>
      <c r="R1399" s="1"/>
      <c r="S1399" s="1" t="str">
        <f>"NOS-103-1/20"</f>
        <v>NOS-103-1/20</v>
      </c>
      <c r="T1399" s="1" t="s">
        <v>27</v>
      </c>
    </row>
    <row r="1400" spans="1:20" ht="127.5" x14ac:dyDescent="0.25">
      <c r="A1400" s="6">
        <v>1397</v>
      </c>
      <c r="B1400" s="1" t="str">
        <f t="shared" si="128"/>
        <v>2020-1957</v>
      </c>
      <c r="C1400" s="1" t="s">
        <v>1404</v>
      </c>
      <c r="D1400" s="1" t="s">
        <v>267</v>
      </c>
      <c r="E1400" s="1" t="str">
        <f>""</f>
        <v/>
      </c>
      <c r="F1400" s="1" t="s">
        <v>28</v>
      </c>
      <c r="G1400" s="1" t="str">
        <f t="shared" si="129"/>
        <v>METUS D.O.O., POLOŽNICA 5, 10431 SVETA NEDELJA, OIB: 24690129373</v>
      </c>
      <c r="H1400" s="7"/>
      <c r="I1400" s="8" t="s">
        <v>1356</v>
      </c>
      <c r="J1400" s="8" t="s">
        <v>30</v>
      </c>
      <c r="K1400" s="6" t="str">
        <f>"20.600,00"</f>
        <v>20.600,00</v>
      </c>
      <c r="L1400" s="6" t="str">
        <f>"5.150,00"</f>
        <v>5.150,00</v>
      </c>
      <c r="M1400" s="6" t="str">
        <f>"25.750,00"</f>
        <v>25.750,00</v>
      </c>
      <c r="N1400" s="8" t="s">
        <v>281</v>
      </c>
      <c r="O1400" s="7"/>
      <c r="P1400" s="2" t="s">
        <v>6499</v>
      </c>
      <c r="Q1400" s="1"/>
      <c r="R1400" s="1"/>
      <c r="S1400" s="1" t="str">
        <f>"10-21/NOS-103-1/20"</f>
        <v>10-21/NOS-103-1/20</v>
      </c>
      <c r="T1400" s="1" t="s">
        <v>32</v>
      </c>
    </row>
    <row r="1401" spans="1:20" ht="114.75" x14ac:dyDescent="0.25">
      <c r="A1401" s="6">
        <v>1398</v>
      </c>
      <c r="B1401" s="1" t="str">
        <f t="shared" si="128"/>
        <v>2020-1957</v>
      </c>
      <c r="C1401" s="1" t="s">
        <v>1405</v>
      </c>
      <c r="D1401" s="1" t="s">
        <v>267</v>
      </c>
      <c r="E1401" s="1" t="str">
        <f>""</f>
        <v/>
      </c>
      <c r="F1401" s="1" t="s">
        <v>28</v>
      </c>
      <c r="G1401" s="1" t="str">
        <f t="shared" si="129"/>
        <v>METUS D.O.O., POLOŽNICA 5, 10431 SVETA NEDELJA, OIB: 24690129373</v>
      </c>
      <c r="H1401" s="7"/>
      <c r="I1401" s="8" t="s">
        <v>88</v>
      </c>
      <c r="J1401" s="8" t="s">
        <v>30</v>
      </c>
      <c r="K1401" s="6" t="str">
        <f>"63.135,00"</f>
        <v>63.135,00</v>
      </c>
      <c r="L1401" s="6" t="str">
        <f>"15.783,75"</f>
        <v>15.783,75</v>
      </c>
      <c r="M1401" s="6" t="str">
        <f>"78.918,75"</f>
        <v>78.918,75</v>
      </c>
      <c r="N1401" s="8" t="s">
        <v>57</v>
      </c>
      <c r="O1401" s="7"/>
      <c r="P1401" s="2" t="s">
        <v>6500</v>
      </c>
      <c r="Q1401" s="1"/>
      <c r="R1401" s="1"/>
      <c r="S1401" s="1" t="str">
        <f>"14-21/NOS-103-1/20"</f>
        <v>14-21/NOS-103-1/20</v>
      </c>
      <c r="T1401" s="1" t="s">
        <v>32</v>
      </c>
    </row>
    <row r="1402" spans="1:20" ht="127.5" x14ac:dyDescent="0.25">
      <c r="A1402" s="6">
        <v>1399</v>
      </c>
      <c r="B1402" s="1" t="str">
        <f t="shared" si="128"/>
        <v>2020-1957</v>
      </c>
      <c r="C1402" s="1" t="s">
        <v>1406</v>
      </c>
      <c r="D1402" s="1" t="s">
        <v>267</v>
      </c>
      <c r="E1402" s="1" t="str">
        <f>""</f>
        <v/>
      </c>
      <c r="F1402" s="1" t="s">
        <v>28</v>
      </c>
      <c r="G1402" s="1" t="str">
        <f t="shared" si="129"/>
        <v>METUS D.O.O., POLOŽNICA 5, 10431 SVETA NEDELJA, OIB: 24690129373</v>
      </c>
      <c r="H1402" s="7"/>
      <c r="I1402" s="8" t="s">
        <v>426</v>
      </c>
      <c r="J1402" s="8" t="s">
        <v>123</v>
      </c>
      <c r="K1402" s="6" t="str">
        <f>"75.330,00"</f>
        <v>75.330,00</v>
      </c>
      <c r="L1402" s="6" t="str">
        <f>"18.832,50"</f>
        <v>18.832,50</v>
      </c>
      <c r="M1402" s="6" t="str">
        <f>"94.162,50"</f>
        <v>94.162,50</v>
      </c>
      <c r="N1402" s="8" t="s">
        <v>124</v>
      </c>
      <c r="O1402" s="7"/>
      <c r="P1402" s="2" t="s">
        <v>6501</v>
      </c>
      <c r="Q1402" s="1"/>
      <c r="R1402" s="1"/>
      <c r="S1402" s="1" t="str">
        <f>"15-22/NOS-103-1/20"</f>
        <v>15-22/NOS-103-1/20</v>
      </c>
      <c r="T1402" s="1" t="s">
        <v>32</v>
      </c>
    </row>
    <row r="1403" spans="1:20" ht="102" x14ac:dyDescent="0.25">
      <c r="A1403" s="6">
        <v>1400</v>
      </c>
      <c r="B1403" s="1" t="str">
        <f t="shared" si="128"/>
        <v>2020-1957</v>
      </c>
      <c r="C1403" s="1" t="s">
        <v>1401</v>
      </c>
      <c r="D1403" s="1" t="s">
        <v>267</v>
      </c>
      <c r="E1403" s="1" t="str">
        <f>""</f>
        <v/>
      </c>
      <c r="F1403" s="1" t="s">
        <v>28</v>
      </c>
      <c r="G1403" s="1" t="str">
        <f t="shared" si="129"/>
        <v>METUS D.O.O., POLOŽNICA 5, 10431 SVETA NEDELJA, OIB: 24690129373</v>
      </c>
      <c r="H1403" s="7"/>
      <c r="I1403" s="8" t="s">
        <v>779</v>
      </c>
      <c r="J1403" s="8" t="s">
        <v>519</v>
      </c>
      <c r="K1403" s="6" t="str">
        <f>"1.960,00"</f>
        <v>1.960,00</v>
      </c>
      <c r="L1403" s="6" t="str">
        <f>"280,00"</f>
        <v>280,00</v>
      </c>
      <c r="M1403" s="6" t="str">
        <f>"2.240,00"</f>
        <v>2.240,00</v>
      </c>
      <c r="N1403" s="8" t="s">
        <v>403</v>
      </c>
      <c r="O1403" s="7"/>
      <c r="P1403" s="2" t="s">
        <v>6502</v>
      </c>
      <c r="Q1403" s="7"/>
      <c r="R1403" s="1"/>
      <c r="S1403" s="1" t="str">
        <f>"1-22/NOS-103-1/20"</f>
        <v>1-22/NOS-103-1/20</v>
      </c>
      <c r="T1403" s="1" t="s">
        <v>32</v>
      </c>
    </row>
    <row r="1404" spans="1:20" ht="102" x14ac:dyDescent="0.25">
      <c r="A1404" s="6">
        <v>1401</v>
      </c>
      <c r="B1404" s="1" t="str">
        <f t="shared" si="128"/>
        <v>2020-1957</v>
      </c>
      <c r="C1404" s="1" t="s">
        <v>1401</v>
      </c>
      <c r="D1404" s="1" t="s">
        <v>267</v>
      </c>
      <c r="E1404" s="1" t="str">
        <f>""</f>
        <v/>
      </c>
      <c r="F1404" s="1" t="s">
        <v>28</v>
      </c>
      <c r="G1404" s="1" t="str">
        <f t="shared" si="129"/>
        <v>METUS D.O.O., POLOŽNICA 5, 10431 SVETA NEDELJA, OIB: 24690129373</v>
      </c>
      <c r="H1404" s="7"/>
      <c r="I1404" s="8" t="s">
        <v>258</v>
      </c>
      <c r="J1404" s="8" t="s">
        <v>519</v>
      </c>
      <c r="K1404" s="6" t="str">
        <f>"2.150,00"</f>
        <v>2.150,00</v>
      </c>
      <c r="L1404" s="6" t="str">
        <f>"537,50"</f>
        <v>537,50</v>
      </c>
      <c r="M1404" s="6" t="str">
        <f>"2.687,50"</f>
        <v>2.687,50</v>
      </c>
      <c r="N1404" s="8" t="s">
        <v>403</v>
      </c>
      <c r="O1404" s="7"/>
      <c r="P1404" s="2" t="s">
        <v>6503</v>
      </c>
      <c r="Q1404" s="7"/>
      <c r="R1404" s="1"/>
      <c r="S1404" s="1" t="str">
        <f>"2-22/NOS-103-1/20"</f>
        <v>2-22/NOS-103-1/20</v>
      </c>
      <c r="T1404" s="1" t="s">
        <v>32</v>
      </c>
    </row>
    <row r="1405" spans="1:20" ht="102" x14ac:dyDescent="0.25">
      <c r="A1405" s="6">
        <v>1402</v>
      </c>
      <c r="B1405" s="1" t="str">
        <f t="shared" si="128"/>
        <v>2020-1957</v>
      </c>
      <c r="C1405" s="1" t="s">
        <v>1401</v>
      </c>
      <c r="D1405" s="1" t="s">
        <v>267</v>
      </c>
      <c r="E1405" s="1" t="str">
        <f>""</f>
        <v/>
      </c>
      <c r="F1405" s="1" t="s">
        <v>28</v>
      </c>
      <c r="G1405" s="1" t="str">
        <f t="shared" si="129"/>
        <v>METUS D.O.O., POLOŽNICA 5, 10431 SVETA NEDELJA, OIB: 24690129373</v>
      </c>
      <c r="H1405" s="7"/>
      <c r="I1405" s="8" t="s">
        <v>296</v>
      </c>
      <c r="J1405" s="8" t="s">
        <v>519</v>
      </c>
      <c r="K1405" s="6" t="str">
        <f>"8.760,00"</f>
        <v>8.760,00</v>
      </c>
      <c r="L1405" s="6" t="str">
        <f>"2.190,00"</f>
        <v>2.190,00</v>
      </c>
      <c r="M1405" s="6" t="str">
        <f>"10.950,00"</f>
        <v>10.950,00</v>
      </c>
      <c r="N1405" s="8" t="s">
        <v>281</v>
      </c>
      <c r="O1405" s="7"/>
      <c r="P1405" s="2" t="s">
        <v>6504</v>
      </c>
      <c r="Q1405" s="7"/>
      <c r="R1405" s="1"/>
      <c r="S1405" s="1" t="str">
        <f>"4-22/NOS-103-1/20"</f>
        <v>4-22/NOS-103-1/20</v>
      </c>
      <c r="T1405" s="1" t="s">
        <v>32</v>
      </c>
    </row>
    <row r="1406" spans="1:20" ht="102" x14ac:dyDescent="0.25">
      <c r="A1406" s="6">
        <v>1403</v>
      </c>
      <c r="B1406" s="1" t="str">
        <f t="shared" si="128"/>
        <v>2020-1957</v>
      </c>
      <c r="C1406" s="1" t="s">
        <v>1401</v>
      </c>
      <c r="D1406" s="1" t="s">
        <v>267</v>
      </c>
      <c r="E1406" s="1" t="str">
        <f>""</f>
        <v/>
      </c>
      <c r="F1406" s="1" t="s">
        <v>28</v>
      </c>
      <c r="G1406" s="1" t="str">
        <f t="shared" si="129"/>
        <v>METUS D.O.O., POLOŽNICA 5, 10431 SVETA NEDELJA, OIB: 24690129373</v>
      </c>
      <c r="H1406" s="7"/>
      <c r="I1406" s="8" t="s">
        <v>921</v>
      </c>
      <c r="J1406" s="8" t="s">
        <v>1407</v>
      </c>
      <c r="K1406" s="6" t="str">
        <f>"660,00"</f>
        <v>660,00</v>
      </c>
      <c r="L1406" s="6" t="str">
        <f>"110,00"</f>
        <v>110,00</v>
      </c>
      <c r="M1406" s="6" t="str">
        <f>"770,00"</f>
        <v>770,00</v>
      </c>
      <c r="N1406" s="8" t="s">
        <v>430</v>
      </c>
      <c r="O1406" s="7"/>
      <c r="P1406" s="2" t="s">
        <v>6505</v>
      </c>
      <c r="Q1406" s="7"/>
      <c r="R1406" s="1"/>
      <c r="S1406" s="1" t="str">
        <f>"5-22/NOS-103-1/20"</f>
        <v>5-22/NOS-103-1/20</v>
      </c>
      <c r="T1406" s="1" t="s">
        <v>32</v>
      </c>
    </row>
    <row r="1407" spans="1:20" ht="102" x14ac:dyDescent="0.25">
      <c r="A1407" s="6">
        <v>1404</v>
      </c>
      <c r="B1407" s="1" t="str">
        <f t="shared" si="128"/>
        <v>2020-1957</v>
      </c>
      <c r="C1407" s="1" t="s">
        <v>1401</v>
      </c>
      <c r="D1407" s="1" t="s">
        <v>267</v>
      </c>
      <c r="E1407" s="1" t="str">
        <f>""</f>
        <v/>
      </c>
      <c r="F1407" s="1" t="s">
        <v>28</v>
      </c>
      <c r="G1407" s="1" t="str">
        <f t="shared" si="129"/>
        <v>METUS D.O.O., POLOŽNICA 5, 10431 SVETA NEDELJA, OIB: 24690129373</v>
      </c>
      <c r="H1407" s="7"/>
      <c r="I1407" s="8" t="s">
        <v>404</v>
      </c>
      <c r="J1407" s="8" t="s">
        <v>519</v>
      </c>
      <c r="K1407" s="6" t="str">
        <f>"600,00"</f>
        <v>600,00</v>
      </c>
      <c r="L1407" s="6" t="str">
        <f>"150,00"</f>
        <v>150,00</v>
      </c>
      <c r="M1407" s="6" t="str">
        <f>"750,00"</f>
        <v>750,00</v>
      </c>
      <c r="N1407" s="8" t="s">
        <v>426</v>
      </c>
      <c r="O1407" s="7"/>
      <c r="P1407" s="2" t="s">
        <v>6376</v>
      </c>
      <c r="Q1407" s="7"/>
      <c r="R1407" s="1"/>
      <c r="S1407" s="1" t="str">
        <f>"7-22/NOS-103-1/20"</f>
        <v>7-22/NOS-103-1/20</v>
      </c>
      <c r="T1407" s="1" t="s">
        <v>32</v>
      </c>
    </row>
    <row r="1408" spans="1:20" ht="102" x14ac:dyDescent="0.25">
      <c r="A1408" s="6">
        <v>1405</v>
      </c>
      <c r="B1408" s="1" t="str">
        <f t="shared" si="128"/>
        <v>2020-1957</v>
      </c>
      <c r="C1408" s="1" t="s">
        <v>1401</v>
      </c>
      <c r="D1408" s="1" t="s">
        <v>267</v>
      </c>
      <c r="E1408" s="1" t="str">
        <f>""</f>
        <v/>
      </c>
      <c r="F1408" s="1" t="s">
        <v>28</v>
      </c>
      <c r="G1408" s="1" t="str">
        <f t="shared" si="129"/>
        <v>METUS D.O.O., POLOŽNICA 5, 10431 SVETA NEDELJA, OIB: 24690129373</v>
      </c>
      <c r="H1408" s="7"/>
      <c r="I1408" s="8" t="s">
        <v>404</v>
      </c>
      <c r="J1408" s="8" t="s">
        <v>519</v>
      </c>
      <c r="K1408" s="6" t="str">
        <f>"1.500,00"</f>
        <v>1.500,00</v>
      </c>
      <c r="L1408" s="6" t="str">
        <f>"0,00"</f>
        <v>0,00</v>
      </c>
      <c r="M1408" s="6" t="str">
        <f>"1.500,00"</f>
        <v>1.500,00</v>
      </c>
      <c r="N1408" s="8" t="s">
        <v>124</v>
      </c>
      <c r="O1408" s="7"/>
      <c r="P1408" s="2" t="s">
        <v>5614</v>
      </c>
      <c r="Q1408" s="7"/>
      <c r="R1408" s="1"/>
      <c r="S1408" s="1" t="str">
        <f>"8-22/NOS-103-1/20"</f>
        <v>8-22/NOS-103-1/20</v>
      </c>
      <c r="T1408" s="1" t="s">
        <v>32</v>
      </c>
    </row>
    <row r="1409" spans="1:20" ht="102" x14ac:dyDescent="0.25">
      <c r="A1409" s="6">
        <v>1406</v>
      </c>
      <c r="B1409" s="1" t="str">
        <f t="shared" si="128"/>
        <v>2020-1957</v>
      </c>
      <c r="C1409" s="1" t="s">
        <v>1401</v>
      </c>
      <c r="D1409" s="1" t="s">
        <v>267</v>
      </c>
      <c r="E1409" s="1" t="str">
        <f>""</f>
        <v/>
      </c>
      <c r="F1409" s="1" t="s">
        <v>28</v>
      </c>
      <c r="G1409" s="1" t="str">
        <f t="shared" si="129"/>
        <v>METUS D.O.O., POLOŽNICA 5, 10431 SVETA NEDELJA, OIB: 24690129373</v>
      </c>
      <c r="H1409" s="7"/>
      <c r="I1409" s="8" t="s">
        <v>487</v>
      </c>
      <c r="J1409" s="8" t="s">
        <v>231</v>
      </c>
      <c r="K1409" s="6" t="str">
        <f>"3.365,00"</f>
        <v>3.365,00</v>
      </c>
      <c r="L1409" s="6" t="str">
        <f>"0,00"</f>
        <v>0,00</v>
      </c>
      <c r="M1409" s="6" t="str">
        <f>"3.365,00"</f>
        <v>3.365,00</v>
      </c>
      <c r="N1409" s="8" t="s">
        <v>124</v>
      </c>
      <c r="O1409" s="7"/>
      <c r="P1409" s="2" t="s">
        <v>5614</v>
      </c>
      <c r="Q1409" s="7"/>
      <c r="R1409" s="1"/>
      <c r="S1409" s="1" t="str">
        <f>"6-22/NOS-103-1/20"</f>
        <v>6-22/NOS-103-1/20</v>
      </c>
      <c r="T1409" s="1" t="s">
        <v>32</v>
      </c>
    </row>
    <row r="1410" spans="1:20" ht="102" x14ac:dyDescent="0.25">
      <c r="A1410" s="6">
        <v>1407</v>
      </c>
      <c r="B1410" s="1" t="str">
        <f t="shared" si="128"/>
        <v>2020-1957</v>
      </c>
      <c r="C1410" s="1" t="s">
        <v>1401</v>
      </c>
      <c r="D1410" s="1" t="s">
        <v>267</v>
      </c>
      <c r="E1410" s="1" t="str">
        <f>""</f>
        <v/>
      </c>
      <c r="F1410" s="1" t="s">
        <v>28</v>
      </c>
      <c r="G1410" s="1" t="str">
        <f t="shared" si="129"/>
        <v>METUS D.O.O., POLOŽNICA 5, 10431 SVETA NEDELJA, OIB: 24690129373</v>
      </c>
      <c r="H1410" s="7"/>
      <c r="I1410" s="8" t="s">
        <v>487</v>
      </c>
      <c r="J1410" s="8" t="s">
        <v>519</v>
      </c>
      <c r="K1410" s="6" t="str">
        <f>"600,00"</f>
        <v>600,00</v>
      </c>
      <c r="L1410" s="6" t="str">
        <f>"150,00"</f>
        <v>150,00</v>
      </c>
      <c r="M1410" s="6" t="str">
        <f>"750,00"</f>
        <v>750,00</v>
      </c>
      <c r="N1410" s="8" t="s">
        <v>426</v>
      </c>
      <c r="O1410" s="7"/>
      <c r="P1410" s="2" t="s">
        <v>6376</v>
      </c>
      <c r="Q1410" s="7"/>
      <c r="R1410" s="1"/>
      <c r="S1410" s="1" t="str">
        <f>"11-22/NOS-103-1/20"</f>
        <v>11-22/NOS-103-1/20</v>
      </c>
      <c r="T1410" s="1" t="s">
        <v>32</v>
      </c>
    </row>
    <row r="1411" spans="1:20" ht="102" x14ac:dyDescent="0.25">
      <c r="A1411" s="6">
        <v>1408</v>
      </c>
      <c r="B1411" s="1" t="str">
        <f t="shared" si="128"/>
        <v>2020-1957</v>
      </c>
      <c r="C1411" s="1" t="s">
        <v>1401</v>
      </c>
      <c r="D1411" s="1" t="s">
        <v>267</v>
      </c>
      <c r="E1411" s="1" t="str">
        <f>""</f>
        <v/>
      </c>
      <c r="F1411" s="1" t="s">
        <v>28</v>
      </c>
      <c r="G1411" s="1" t="str">
        <f t="shared" si="129"/>
        <v>METUS D.O.O., POLOŽNICA 5, 10431 SVETA NEDELJA, OIB: 24690129373</v>
      </c>
      <c r="H1411" s="7"/>
      <c r="I1411" s="8" t="s">
        <v>487</v>
      </c>
      <c r="J1411" s="8" t="s">
        <v>519</v>
      </c>
      <c r="K1411" s="6" t="str">
        <f>"1.500,00"</f>
        <v>1.500,00</v>
      </c>
      <c r="L1411" s="6" t="str">
        <f>"375,00"</f>
        <v>375,00</v>
      </c>
      <c r="M1411" s="6" t="str">
        <f>"1.875,00"</f>
        <v>1.875,00</v>
      </c>
      <c r="N1411" s="8" t="s">
        <v>426</v>
      </c>
      <c r="O1411" s="7"/>
      <c r="P1411" s="2" t="s">
        <v>6378</v>
      </c>
      <c r="Q1411" s="7"/>
      <c r="R1411" s="1"/>
      <c r="S1411" s="1" t="str">
        <f>"10-22/NOS-103-1/20"</f>
        <v>10-22/NOS-103-1/20</v>
      </c>
      <c r="T1411" s="1" t="s">
        <v>32</v>
      </c>
    </row>
    <row r="1412" spans="1:20" ht="102" x14ac:dyDescent="0.25">
      <c r="A1412" s="6">
        <v>1409</v>
      </c>
      <c r="B1412" s="1" t="str">
        <f t="shared" si="128"/>
        <v>2020-1957</v>
      </c>
      <c r="C1412" s="1" t="s">
        <v>1401</v>
      </c>
      <c r="D1412" s="1" t="s">
        <v>267</v>
      </c>
      <c r="E1412" s="1" t="str">
        <f>""</f>
        <v/>
      </c>
      <c r="F1412" s="1" t="s">
        <v>28</v>
      </c>
      <c r="G1412" s="1" t="str">
        <f t="shared" si="129"/>
        <v>METUS D.O.O., POLOŽNICA 5, 10431 SVETA NEDELJA, OIB: 24690129373</v>
      </c>
      <c r="H1412" s="7"/>
      <c r="I1412" s="8" t="s">
        <v>487</v>
      </c>
      <c r="J1412" s="8" t="s">
        <v>519</v>
      </c>
      <c r="K1412" s="6" t="str">
        <f>"520,00"</f>
        <v>520,00</v>
      </c>
      <c r="L1412" s="6" t="str">
        <f>"130,00"</f>
        <v>130,00</v>
      </c>
      <c r="M1412" s="6" t="str">
        <f>"650,00"</f>
        <v>650,00</v>
      </c>
      <c r="N1412" s="8" t="s">
        <v>372</v>
      </c>
      <c r="O1412" s="7"/>
      <c r="P1412" s="2" t="s">
        <v>6506</v>
      </c>
      <c r="Q1412" s="7"/>
      <c r="R1412" s="1"/>
      <c r="S1412" s="1" t="str">
        <f>"13-22/NOS-103-1/20"</f>
        <v>13-22/NOS-103-1/20</v>
      </c>
      <c r="T1412" s="1" t="s">
        <v>32</v>
      </c>
    </row>
    <row r="1413" spans="1:20" ht="102" x14ac:dyDescent="0.25">
      <c r="A1413" s="6">
        <v>1410</v>
      </c>
      <c r="B1413" s="1" t="str">
        <f t="shared" si="128"/>
        <v>2020-1957</v>
      </c>
      <c r="C1413" s="1" t="s">
        <v>1401</v>
      </c>
      <c r="D1413" s="1" t="s">
        <v>267</v>
      </c>
      <c r="E1413" s="1" t="str">
        <f>""</f>
        <v/>
      </c>
      <c r="F1413" s="1" t="s">
        <v>28</v>
      </c>
      <c r="G1413" s="1" t="str">
        <f t="shared" si="129"/>
        <v>METUS D.O.O., POLOŽNICA 5, 10431 SVETA NEDELJA, OIB: 24690129373</v>
      </c>
      <c r="H1413" s="7"/>
      <c r="I1413" s="8" t="s">
        <v>487</v>
      </c>
      <c r="J1413" s="8" t="s">
        <v>519</v>
      </c>
      <c r="K1413" s="6" t="str">
        <f>"250,00"</f>
        <v>250,00</v>
      </c>
      <c r="L1413" s="6" t="str">
        <f>"62,50"</f>
        <v>62,50</v>
      </c>
      <c r="M1413" s="6" t="str">
        <f>"312,50"</f>
        <v>312,50</v>
      </c>
      <c r="N1413" s="8" t="s">
        <v>469</v>
      </c>
      <c r="O1413" s="7"/>
      <c r="P1413" s="2" t="s">
        <v>6507</v>
      </c>
      <c r="Q1413" s="7"/>
      <c r="R1413" s="1"/>
      <c r="S1413" s="1" t="str">
        <f>"14-22/NOS-103-1/20"</f>
        <v>14-22/NOS-103-1/20</v>
      </c>
      <c r="T1413" s="1" t="s">
        <v>32</v>
      </c>
    </row>
    <row r="1414" spans="1:20" ht="102" x14ac:dyDescent="0.25">
      <c r="A1414" s="6">
        <v>1411</v>
      </c>
      <c r="B1414" s="1" t="str">
        <f t="shared" si="128"/>
        <v>2020-1957</v>
      </c>
      <c r="C1414" s="1" t="s">
        <v>1401</v>
      </c>
      <c r="D1414" s="1" t="s">
        <v>267</v>
      </c>
      <c r="E1414" s="1" t="str">
        <f>""</f>
        <v/>
      </c>
      <c r="F1414" s="1" t="s">
        <v>28</v>
      </c>
      <c r="G1414" s="1" t="str">
        <f t="shared" si="129"/>
        <v>METUS D.O.O., POLOŽNICA 5, 10431 SVETA NEDELJA, OIB: 24690129373</v>
      </c>
      <c r="H1414" s="7"/>
      <c r="I1414" s="8" t="s">
        <v>172</v>
      </c>
      <c r="J1414" s="8" t="s">
        <v>519</v>
      </c>
      <c r="K1414" s="6" t="str">
        <f>"1.300,00"</f>
        <v>1.300,00</v>
      </c>
      <c r="L1414" s="6" t="str">
        <f>"220,00"</f>
        <v>220,00</v>
      </c>
      <c r="M1414" s="6" t="str">
        <f>"1.520,00"</f>
        <v>1.520,00</v>
      </c>
      <c r="N1414" s="8" t="s">
        <v>1399</v>
      </c>
      <c r="O1414" s="7"/>
      <c r="P1414" s="2" t="s">
        <v>6508</v>
      </c>
      <c r="Q1414" s="7"/>
      <c r="R1414" s="1"/>
      <c r="S1414" s="1" t="str">
        <f>"12-22/NOS-103-1/20"</f>
        <v>12-22/NOS-103-1/20</v>
      </c>
      <c r="T1414" s="1" t="s">
        <v>32</v>
      </c>
    </row>
    <row r="1415" spans="1:20" ht="102" x14ac:dyDescent="0.25">
      <c r="A1415" s="6">
        <v>1412</v>
      </c>
      <c r="B1415" s="1" t="str">
        <f t="shared" si="128"/>
        <v>2020-1957</v>
      </c>
      <c r="C1415" s="1" t="s">
        <v>1401</v>
      </c>
      <c r="D1415" s="1" t="s">
        <v>267</v>
      </c>
      <c r="E1415" s="1" t="str">
        <f>""</f>
        <v/>
      </c>
      <c r="F1415" s="1" t="s">
        <v>28</v>
      </c>
      <c r="G1415" s="1" t="str">
        <f t="shared" si="129"/>
        <v>METUS D.O.O., POLOŽNICA 5, 10431 SVETA NEDELJA, OIB: 24690129373</v>
      </c>
      <c r="H1415" s="7"/>
      <c r="I1415" s="8" t="s">
        <v>897</v>
      </c>
      <c r="J1415" s="8" t="s">
        <v>282</v>
      </c>
      <c r="K1415" s="6" t="str">
        <f>"3.320,00"</f>
        <v>3.320,00</v>
      </c>
      <c r="L1415" s="6" t="str">
        <f>"830,00"</f>
        <v>830,00</v>
      </c>
      <c r="M1415" s="6" t="str">
        <f>"4.150,00"</f>
        <v>4.150,00</v>
      </c>
      <c r="N1415" s="8" t="s">
        <v>208</v>
      </c>
      <c r="O1415" s="7"/>
      <c r="P1415" s="2" t="s">
        <v>6509</v>
      </c>
      <c r="Q1415" s="7"/>
      <c r="R1415" s="1"/>
      <c r="S1415" s="1" t="str">
        <f>"16-22/NOS-103-1/20"</f>
        <v>16-22/NOS-103-1/20</v>
      </c>
      <c r="T1415" s="1" t="s">
        <v>32</v>
      </c>
    </row>
    <row r="1416" spans="1:20" ht="102" x14ac:dyDescent="0.25">
      <c r="A1416" s="6">
        <v>1413</v>
      </c>
      <c r="B1416" s="1" t="str">
        <f t="shared" si="128"/>
        <v>2020-1957</v>
      </c>
      <c r="C1416" s="1" t="s">
        <v>1401</v>
      </c>
      <c r="D1416" s="1" t="s">
        <v>267</v>
      </c>
      <c r="E1416" s="1" t="str">
        <f>""</f>
        <v/>
      </c>
      <c r="F1416" s="1" t="s">
        <v>28</v>
      </c>
      <c r="G1416" s="1" t="str">
        <f t="shared" si="129"/>
        <v>METUS D.O.O., POLOŽNICA 5, 10431 SVETA NEDELJA, OIB: 24690129373</v>
      </c>
      <c r="H1416" s="7"/>
      <c r="I1416" s="8" t="s">
        <v>922</v>
      </c>
      <c r="J1416" s="8" t="s">
        <v>423</v>
      </c>
      <c r="K1416" s="6" t="str">
        <f>"8.580,00"</f>
        <v>8.580,00</v>
      </c>
      <c r="L1416" s="6" t="str">
        <f>"2.145,00"</f>
        <v>2.145,00</v>
      </c>
      <c r="M1416" s="6" t="str">
        <f>"10.725,00"</f>
        <v>10.725,00</v>
      </c>
      <c r="N1416" s="8" t="s">
        <v>507</v>
      </c>
      <c r="O1416" s="7"/>
      <c r="P1416" s="2" t="s">
        <v>6510</v>
      </c>
      <c r="Q1416" s="7"/>
      <c r="R1416" s="1"/>
      <c r="S1416" s="1" t="str">
        <f>"18-22/NOS-103-1/20"</f>
        <v>18-22/NOS-103-1/20</v>
      </c>
      <c r="T1416" s="1" t="s">
        <v>32</v>
      </c>
    </row>
    <row r="1417" spans="1:20" ht="102" x14ac:dyDescent="0.25">
      <c r="A1417" s="6">
        <v>1414</v>
      </c>
      <c r="B1417" s="1" t="str">
        <f t="shared" si="128"/>
        <v>2020-1957</v>
      </c>
      <c r="C1417" s="1" t="s">
        <v>1401</v>
      </c>
      <c r="D1417" s="1" t="s">
        <v>267</v>
      </c>
      <c r="E1417" s="1" t="str">
        <f>""</f>
        <v/>
      </c>
      <c r="F1417" s="1" t="s">
        <v>28</v>
      </c>
      <c r="G1417" s="1" t="str">
        <f t="shared" si="129"/>
        <v>METUS D.O.O., POLOŽNICA 5, 10431 SVETA NEDELJA, OIB: 24690129373</v>
      </c>
      <c r="H1417" s="7"/>
      <c r="I1417" s="8" t="s">
        <v>438</v>
      </c>
      <c r="J1417" s="8" t="s">
        <v>519</v>
      </c>
      <c r="K1417" s="6" t="str">
        <f>"14.866,00"</f>
        <v>14.866,00</v>
      </c>
      <c r="L1417" s="6" t="str">
        <f>"3.716,50"</f>
        <v>3.716,50</v>
      </c>
      <c r="M1417" s="6" t="str">
        <f>"18.582,50"</f>
        <v>18.582,50</v>
      </c>
      <c r="N1417" s="8" t="s">
        <v>263</v>
      </c>
      <c r="O1417" s="7"/>
      <c r="P1417" s="2" t="s">
        <v>6511</v>
      </c>
      <c r="Q1417" s="7"/>
      <c r="R1417" s="1"/>
      <c r="S1417" s="1" t="str">
        <f>"21-22/NOS-103-1/20"</f>
        <v>21-22/NOS-103-1/20</v>
      </c>
      <c r="T1417" s="1" t="s">
        <v>32</v>
      </c>
    </row>
    <row r="1418" spans="1:20" ht="102" x14ac:dyDescent="0.25">
      <c r="A1418" s="6">
        <v>1415</v>
      </c>
      <c r="B1418" s="1" t="str">
        <f t="shared" si="128"/>
        <v>2020-1957</v>
      </c>
      <c r="C1418" s="1" t="s">
        <v>1401</v>
      </c>
      <c r="D1418" s="1" t="s">
        <v>267</v>
      </c>
      <c r="E1418" s="1" t="str">
        <f>""</f>
        <v/>
      </c>
      <c r="F1418" s="1" t="s">
        <v>28</v>
      </c>
      <c r="G1418" s="1" t="str">
        <f t="shared" si="129"/>
        <v>METUS D.O.O., POLOŽNICA 5, 10431 SVETA NEDELJA, OIB: 24690129373</v>
      </c>
      <c r="H1418" s="7"/>
      <c r="I1418" s="8" t="s">
        <v>54</v>
      </c>
      <c r="J1418" s="8" t="s">
        <v>519</v>
      </c>
      <c r="K1418" s="6" t="str">
        <f>"1.320,00"</f>
        <v>1.320,00</v>
      </c>
      <c r="L1418" s="6" t="str">
        <f>"0,00"</f>
        <v>0,00</v>
      </c>
      <c r="M1418" s="6" t="str">
        <f>"1.320,00"</f>
        <v>1.320,00</v>
      </c>
      <c r="N1418" s="8" t="s">
        <v>124</v>
      </c>
      <c r="O1418" s="7"/>
      <c r="P1418" s="2" t="s">
        <v>5614</v>
      </c>
      <c r="Q1418" s="7"/>
      <c r="R1418" s="1"/>
      <c r="S1418" s="1" t="str">
        <f>"22-22/NOS-103-1/20"</f>
        <v>22-22/NOS-103-1/20</v>
      </c>
      <c r="T1418" s="1" t="s">
        <v>32</v>
      </c>
    </row>
    <row r="1419" spans="1:20" ht="102" x14ac:dyDescent="0.25">
      <c r="A1419" s="6">
        <v>1416</v>
      </c>
      <c r="B1419" s="1" t="str">
        <f t="shared" si="128"/>
        <v>2020-1957</v>
      </c>
      <c r="C1419" s="1" t="s">
        <v>1401</v>
      </c>
      <c r="D1419" s="1" t="s">
        <v>267</v>
      </c>
      <c r="E1419" s="1" t="str">
        <f>""</f>
        <v/>
      </c>
      <c r="F1419" s="1" t="s">
        <v>28</v>
      </c>
      <c r="G1419" s="1" t="str">
        <f t="shared" si="129"/>
        <v>METUS D.O.O., POLOŽNICA 5, 10431 SVETA NEDELJA, OIB: 24690129373</v>
      </c>
      <c r="H1419" s="7"/>
      <c r="I1419" s="8" t="s">
        <v>432</v>
      </c>
      <c r="J1419" s="8" t="s">
        <v>519</v>
      </c>
      <c r="K1419" s="6" t="str">
        <f>"1.280,00"</f>
        <v>1.280,00</v>
      </c>
      <c r="L1419" s="6" t="str">
        <f>"320,00"</f>
        <v>320,00</v>
      </c>
      <c r="M1419" s="6" t="str">
        <f>"1.600,00"</f>
        <v>1.600,00</v>
      </c>
      <c r="N1419" s="8" t="s">
        <v>384</v>
      </c>
      <c r="O1419" s="7"/>
      <c r="P1419" s="2" t="s">
        <v>6512</v>
      </c>
      <c r="Q1419" s="7"/>
      <c r="R1419" s="1"/>
      <c r="S1419" s="1" t="str">
        <f>"24-22/NOS-103-1/20"</f>
        <v>24-22/NOS-103-1/20</v>
      </c>
      <c r="T1419" s="1" t="s">
        <v>32</v>
      </c>
    </row>
    <row r="1420" spans="1:20" ht="76.5" x14ac:dyDescent="0.25">
      <c r="A1420" s="6">
        <v>1417</v>
      </c>
      <c r="B1420" s="1" t="str">
        <f t="shared" si="128"/>
        <v>2020-1957</v>
      </c>
      <c r="C1420" s="1" t="s">
        <v>1408</v>
      </c>
      <c r="D1420" s="1" t="s">
        <v>267</v>
      </c>
      <c r="E1420" s="1" t="str">
        <f>"2020/S 0F2-0022457"</f>
        <v>2020/S 0F2-0022457</v>
      </c>
      <c r="F1420" s="1" t="s">
        <v>22</v>
      </c>
      <c r="G1420" s="1" t="str">
        <f t="shared" si="129"/>
        <v>METUS D.O.O., POLOŽNICA 5, 10431 SVETA NEDELJA, OIB: 24690129373</v>
      </c>
      <c r="H1420" s="7"/>
      <c r="I1420" s="8" t="s">
        <v>1402</v>
      </c>
      <c r="J1420" s="8" t="s">
        <v>1403</v>
      </c>
      <c r="K1420" s="6" t="str">
        <f>"1.100.000,00"</f>
        <v>1.100.000,00</v>
      </c>
      <c r="L1420" s="6" t="str">
        <f>"275.000,00"</f>
        <v>275.000,00</v>
      </c>
      <c r="M1420" s="6" t="str">
        <f>"1.375.000,00"</f>
        <v>1.375.000,00</v>
      </c>
      <c r="N1420" s="8" t="s">
        <v>124</v>
      </c>
      <c r="O1420" s="7"/>
      <c r="P1420" s="2" t="s">
        <v>5614</v>
      </c>
      <c r="Q1420" s="7"/>
      <c r="R1420" s="1"/>
      <c r="S1420" s="1" t="str">
        <f>"NOS-103-2/20"</f>
        <v>NOS-103-2/20</v>
      </c>
      <c r="T1420" s="1" t="s">
        <v>27</v>
      </c>
    </row>
    <row r="1421" spans="1:20" ht="63.75" x14ac:dyDescent="0.25">
      <c r="A1421" s="6">
        <v>1418</v>
      </c>
      <c r="B1421" s="1" t="str">
        <f t="shared" si="128"/>
        <v>2020-1957</v>
      </c>
      <c r="C1421" s="1" t="s">
        <v>1409</v>
      </c>
      <c r="D1421" s="1" t="s">
        <v>267</v>
      </c>
      <c r="E1421" s="1" t="str">
        <f>""</f>
        <v/>
      </c>
      <c r="F1421" s="1" t="s">
        <v>28</v>
      </c>
      <c r="G1421" s="1" t="str">
        <f t="shared" si="129"/>
        <v>METUS D.O.O., POLOŽNICA 5, 10431 SVETA NEDELJA, OIB: 24690129373</v>
      </c>
      <c r="H1421" s="7"/>
      <c r="I1421" s="8" t="s">
        <v>1230</v>
      </c>
      <c r="J1421" s="8" t="s">
        <v>30</v>
      </c>
      <c r="K1421" s="6" t="str">
        <f>"29.760,00"</f>
        <v>29.760,00</v>
      </c>
      <c r="L1421" s="6" t="str">
        <f>"7.440,00"</f>
        <v>7.440,00</v>
      </c>
      <c r="M1421" s="6" t="str">
        <f>"37.200,00"</f>
        <v>37.200,00</v>
      </c>
      <c r="N1421" s="8" t="s">
        <v>1314</v>
      </c>
      <c r="O1421" s="7"/>
      <c r="P1421" s="2" t="s">
        <v>6513</v>
      </c>
      <c r="Q1421" s="7"/>
      <c r="R1421" s="1"/>
      <c r="S1421" s="1" t="str">
        <f>"3-21/NOS-103-2/20"</f>
        <v>3-21/NOS-103-2/20</v>
      </c>
      <c r="T1421" s="1" t="s">
        <v>32</v>
      </c>
    </row>
    <row r="1422" spans="1:20" ht="89.25" x14ac:dyDescent="0.25">
      <c r="A1422" s="6">
        <v>1419</v>
      </c>
      <c r="B1422" s="1" t="str">
        <f t="shared" si="128"/>
        <v>2020-1957</v>
      </c>
      <c r="C1422" s="1" t="s">
        <v>1410</v>
      </c>
      <c r="D1422" s="1" t="s">
        <v>267</v>
      </c>
      <c r="E1422" s="1" t="str">
        <f>""</f>
        <v/>
      </c>
      <c r="F1422" s="1" t="s">
        <v>28</v>
      </c>
      <c r="G1422" s="1" t="str">
        <f t="shared" si="129"/>
        <v>METUS D.O.O., POLOŽNICA 5, 10431 SVETA NEDELJA, OIB: 24690129373</v>
      </c>
      <c r="H1422" s="7"/>
      <c r="I1422" s="8" t="s">
        <v>88</v>
      </c>
      <c r="J1422" s="8" t="s">
        <v>30</v>
      </c>
      <c r="K1422" s="6" t="str">
        <f>"25.200,00"</f>
        <v>25.200,00</v>
      </c>
      <c r="L1422" s="6" t="str">
        <f>"6.300,00"</f>
        <v>6.300,00</v>
      </c>
      <c r="M1422" s="6" t="str">
        <f>"31.500,00"</f>
        <v>31.500,00</v>
      </c>
      <c r="N1422" s="8" t="s">
        <v>160</v>
      </c>
      <c r="O1422" s="7"/>
      <c r="P1422" s="2" t="s">
        <v>6514</v>
      </c>
      <c r="Q1422" s="1"/>
      <c r="R1422" s="1"/>
      <c r="S1422" s="1" t="str">
        <f>"10-21/NOS-103-2/20"</f>
        <v>10-21/NOS-103-2/20</v>
      </c>
      <c r="T1422" s="1" t="s">
        <v>32</v>
      </c>
    </row>
    <row r="1423" spans="1:20" ht="102" x14ac:dyDescent="0.25">
      <c r="A1423" s="6">
        <v>1420</v>
      </c>
      <c r="B1423" s="1" t="str">
        <f t="shared" si="128"/>
        <v>2020-1957</v>
      </c>
      <c r="C1423" s="1" t="s">
        <v>1412</v>
      </c>
      <c r="D1423" s="1" t="s">
        <v>267</v>
      </c>
      <c r="E1423" s="1" t="str">
        <f>""</f>
        <v/>
      </c>
      <c r="F1423" s="1" t="s">
        <v>28</v>
      </c>
      <c r="G1423" s="1" t="str">
        <f t="shared" si="129"/>
        <v>METUS D.O.O., POLOŽNICA 5, 10431 SVETA NEDELJA, OIB: 24690129373</v>
      </c>
      <c r="H1423" s="7"/>
      <c r="I1423" s="8" t="s">
        <v>921</v>
      </c>
      <c r="J1423" s="8" t="s">
        <v>389</v>
      </c>
      <c r="K1423" s="6" t="str">
        <f>"29.760,00"</f>
        <v>29.760,00</v>
      </c>
      <c r="L1423" s="6" t="str">
        <f>"7.440,00"</f>
        <v>7.440,00</v>
      </c>
      <c r="M1423" s="6" t="str">
        <f>"37.200,00"</f>
        <v>37.200,00</v>
      </c>
      <c r="N1423" s="8" t="s">
        <v>124</v>
      </c>
      <c r="O1423" s="7"/>
      <c r="P1423" s="2" t="s">
        <v>6515</v>
      </c>
      <c r="Q1423" s="7"/>
      <c r="R1423" s="1"/>
      <c r="S1423" s="1" t="str">
        <f>"2-22/NOS-103-2/20"</f>
        <v>2-22/NOS-103-2/20</v>
      </c>
      <c r="T1423" s="1" t="s">
        <v>32</v>
      </c>
    </row>
    <row r="1424" spans="1:20" ht="127.5" x14ac:dyDescent="0.25">
      <c r="A1424" s="6">
        <v>1421</v>
      </c>
      <c r="B1424" s="1" t="str">
        <f t="shared" si="128"/>
        <v>2020-1957</v>
      </c>
      <c r="C1424" s="1" t="s">
        <v>1413</v>
      </c>
      <c r="D1424" s="1" t="s">
        <v>267</v>
      </c>
      <c r="E1424" s="1" t="str">
        <f>""</f>
        <v/>
      </c>
      <c r="F1424" s="1" t="s">
        <v>28</v>
      </c>
      <c r="G1424" s="1" t="str">
        <f t="shared" si="129"/>
        <v>METUS D.O.O., POLOŽNICA 5, 10431 SVETA NEDELJA, OIB: 24690129373</v>
      </c>
      <c r="H1424" s="7"/>
      <c r="I1424" s="8" t="s">
        <v>524</v>
      </c>
      <c r="J1424" s="8" t="s">
        <v>123</v>
      </c>
      <c r="K1424" s="6" t="str">
        <f>"14.760,00"</f>
        <v>14.760,00</v>
      </c>
      <c r="L1424" s="6" t="str">
        <f>"3.690,00"</f>
        <v>3.690,00</v>
      </c>
      <c r="M1424" s="6" t="str">
        <f>"18.450,00"</f>
        <v>18.450,00</v>
      </c>
      <c r="N1424" s="8" t="s">
        <v>112</v>
      </c>
      <c r="O1424" s="7"/>
      <c r="P1424" s="2" t="s">
        <v>6516</v>
      </c>
      <c r="Q1424" s="7"/>
      <c r="R1424" s="1"/>
      <c r="S1424" s="1" t="str">
        <f>"6-22/NOS-103-2/20"</f>
        <v>6-22/NOS-103-2/20</v>
      </c>
      <c r="T1424" s="1" t="s">
        <v>32</v>
      </c>
    </row>
    <row r="1425" spans="1:20" ht="76.5" x14ac:dyDescent="0.25">
      <c r="A1425" s="6">
        <v>1422</v>
      </c>
      <c r="B1425" s="1" t="str">
        <f t="shared" si="128"/>
        <v>2020-1957</v>
      </c>
      <c r="C1425" s="1" t="s">
        <v>1408</v>
      </c>
      <c r="D1425" s="1" t="s">
        <v>267</v>
      </c>
      <c r="E1425" s="1" t="str">
        <f>""</f>
        <v/>
      </c>
      <c r="F1425" s="1" t="s">
        <v>28</v>
      </c>
      <c r="G1425" s="1" t="str">
        <f t="shared" si="129"/>
        <v>METUS D.O.O., POLOŽNICA 5, 10431 SVETA NEDELJA, OIB: 24690129373</v>
      </c>
      <c r="H1425" s="7"/>
      <c r="I1425" s="8" t="s">
        <v>219</v>
      </c>
      <c r="J1425" s="8" t="s">
        <v>519</v>
      </c>
      <c r="K1425" s="6" t="str">
        <f>"7.990,00"</f>
        <v>7.990,00</v>
      </c>
      <c r="L1425" s="6" t="str">
        <f>"1.997,50"</f>
        <v>1.997,50</v>
      </c>
      <c r="M1425" s="6" t="str">
        <f>"9.987,50"</f>
        <v>9.987,50</v>
      </c>
      <c r="N1425" s="8" t="s">
        <v>430</v>
      </c>
      <c r="O1425" s="7"/>
      <c r="P1425" s="2" t="s">
        <v>6517</v>
      </c>
      <c r="Q1425" s="7"/>
      <c r="R1425" s="1"/>
      <c r="S1425" s="1" t="str">
        <f>"1-22/NOS-103-2/20"</f>
        <v>1-22/NOS-103-2/20</v>
      </c>
      <c r="T1425" s="1" t="s">
        <v>32</v>
      </c>
    </row>
    <row r="1426" spans="1:20" ht="76.5" x14ac:dyDescent="0.25">
      <c r="A1426" s="6">
        <v>1423</v>
      </c>
      <c r="B1426" s="1" t="str">
        <f t="shared" si="128"/>
        <v>2020-1957</v>
      </c>
      <c r="C1426" s="1" t="s">
        <v>1408</v>
      </c>
      <c r="D1426" s="1" t="s">
        <v>267</v>
      </c>
      <c r="E1426" s="1" t="str">
        <f>""</f>
        <v/>
      </c>
      <c r="F1426" s="1" t="s">
        <v>28</v>
      </c>
      <c r="G1426" s="1" t="str">
        <f t="shared" si="129"/>
        <v>METUS D.O.O., POLOŽNICA 5, 10431 SVETA NEDELJA, OIB: 24690129373</v>
      </c>
      <c r="H1426" s="7"/>
      <c r="I1426" s="8" t="s">
        <v>262</v>
      </c>
      <c r="J1426" s="8" t="s">
        <v>519</v>
      </c>
      <c r="K1426" s="6" t="str">
        <f>"11.560,00"</f>
        <v>11.560,00</v>
      </c>
      <c r="L1426" s="6" t="str">
        <f>"2.890,00"</f>
        <v>2.890,00</v>
      </c>
      <c r="M1426" s="6" t="str">
        <f>"14.450,00"</f>
        <v>14.450,00</v>
      </c>
      <c r="N1426" s="8" t="s">
        <v>208</v>
      </c>
      <c r="O1426" s="7"/>
      <c r="P1426" s="2" t="s">
        <v>6518</v>
      </c>
      <c r="Q1426" s="7"/>
      <c r="R1426" s="1"/>
      <c r="S1426" s="1" t="str">
        <f>"3-22/NOS-103-2/20"</f>
        <v>3-22/NOS-103-2/20</v>
      </c>
      <c r="T1426" s="1" t="s">
        <v>32</v>
      </c>
    </row>
    <row r="1427" spans="1:20" ht="76.5" x14ac:dyDescent="0.25">
      <c r="A1427" s="6">
        <v>1424</v>
      </c>
      <c r="B1427" s="1" t="str">
        <f t="shared" si="128"/>
        <v>2020-1957</v>
      </c>
      <c r="C1427" s="1" t="s">
        <v>1408</v>
      </c>
      <c r="D1427" s="1" t="s">
        <v>267</v>
      </c>
      <c r="E1427" s="1" t="str">
        <f>""</f>
        <v/>
      </c>
      <c r="F1427" s="1" t="s">
        <v>28</v>
      </c>
      <c r="G1427" s="1" t="str">
        <f t="shared" si="129"/>
        <v>METUS D.O.O., POLOŽNICA 5, 10431 SVETA NEDELJA, OIB: 24690129373</v>
      </c>
      <c r="H1427" s="7"/>
      <c r="I1427" s="8" t="s">
        <v>923</v>
      </c>
      <c r="J1427" s="8" t="s">
        <v>519</v>
      </c>
      <c r="K1427" s="6" t="str">
        <f>"2.460,00"</f>
        <v>2.460,00</v>
      </c>
      <c r="L1427" s="6" t="str">
        <f>"135,00"</f>
        <v>135,00</v>
      </c>
      <c r="M1427" s="6" t="str">
        <f>"2.595,00"</f>
        <v>2.595,00</v>
      </c>
      <c r="N1427" s="8" t="s">
        <v>432</v>
      </c>
      <c r="O1427" s="7"/>
      <c r="P1427" s="2" t="s">
        <v>6519</v>
      </c>
      <c r="Q1427" s="7"/>
      <c r="R1427" s="1"/>
      <c r="S1427" s="1" t="str">
        <f>"7-22/NOS-103-2/20"</f>
        <v>7-22/NOS-103-2/20</v>
      </c>
      <c r="T1427" s="1" t="s">
        <v>32</v>
      </c>
    </row>
    <row r="1428" spans="1:20" ht="76.5" x14ac:dyDescent="0.25">
      <c r="A1428" s="6">
        <v>1425</v>
      </c>
      <c r="B1428" s="1" t="str">
        <f t="shared" si="128"/>
        <v>2020-1957</v>
      </c>
      <c r="C1428" s="1" t="s">
        <v>1408</v>
      </c>
      <c r="D1428" s="1" t="s">
        <v>267</v>
      </c>
      <c r="E1428" s="1" t="str">
        <f>""</f>
        <v/>
      </c>
      <c r="F1428" s="1" t="s">
        <v>28</v>
      </c>
      <c r="G1428" s="1" t="str">
        <f t="shared" si="129"/>
        <v>METUS D.O.O., POLOŽNICA 5, 10431 SVETA NEDELJA, OIB: 24690129373</v>
      </c>
      <c r="H1428" s="7"/>
      <c r="I1428" s="8" t="s">
        <v>215</v>
      </c>
      <c r="J1428" s="8" t="s">
        <v>519</v>
      </c>
      <c r="K1428" s="6" t="str">
        <f>"5.380,00"</f>
        <v>5.380,00</v>
      </c>
      <c r="L1428" s="6" t="str">
        <f t="shared" ref="L1428:L1435" si="130">"0,00"</f>
        <v>0,00</v>
      </c>
      <c r="M1428" s="6" t="str">
        <f>"5.380,00"</f>
        <v>5.380,00</v>
      </c>
      <c r="N1428" s="8" t="s">
        <v>124</v>
      </c>
      <c r="O1428" s="7"/>
      <c r="P1428" s="2" t="s">
        <v>5614</v>
      </c>
      <c r="Q1428" s="7"/>
      <c r="R1428" s="1"/>
      <c r="S1428" s="1" t="str">
        <f>"9-22/NOS-103-2/20"</f>
        <v>9-22/NOS-103-2/20</v>
      </c>
      <c r="T1428" s="1" t="s">
        <v>32</v>
      </c>
    </row>
    <row r="1429" spans="1:20" ht="76.5" x14ac:dyDescent="0.25">
      <c r="A1429" s="6">
        <v>1426</v>
      </c>
      <c r="B1429" s="1" t="str">
        <f t="shared" si="128"/>
        <v>2020-1957</v>
      </c>
      <c r="C1429" s="1" t="s">
        <v>1408</v>
      </c>
      <c r="D1429" s="1" t="s">
        <v>267</v>
      </c>
      <c r="E1429" s="1" t="str">
        <f>""</f>
        <v/>
      </c>
      <c r="F1429" s="1" t="s">
        <v>28</v>
      </c>
      <c r="G1429" s="1" t="str">
        <f t="shared" si="129"/>
        <v>METUS D.O.O., POLOŽNICA 5, 10431 SVETA NEDELJA, OIB: 24690129373</v>
      </c>
      <c r="H1429" s="7"/>
      <c r="I1429" s="8" t="s">
        <v>102</v>
      </c>
      <c r="J1429" s="8" t="s">
        <v>519</v>
      </c>
      <c r="K1429" s="6" t="str">
        <f>"1.260,00"</f>
        <v>1.260,00</v>
      </c>
      <c r="L1429" s="6" t="str">
        <f t="shared" si="130"/>
        <v>0,00</v>
      </c>
      <c r="M1429" s="6" t="str">
        <f>"1.260,00"</f>
        <v>1.260,00</v>
      </c>
      <c r="N1429" s="8" t="s">
        <v>124</v>
      </c>
      <c r="O1429" s="7"/>
      <c r="P1429" s="2" t="s">
        <v>5614</v>
      </c>
      <c r="Q1429" s="7"/>
      <c r="R1429" s="1"/>
      <c r="S1429" s="1" t="str">
        <f>"8-22/NOS-103-2/20"</f>
        <v>8-22/NOS-103-2/20</v>
      </c>
      <c r="T1429" s="1" t="s">
        <v>32</v>
      </c>
    </row>
    <row r="1430" spans="1:20" ht="76.5" x14ac:dyDescent="0.25">
      <c r="A1430" s="6">
        <v>1427</v>
      </c>
      <c r="B1430" s="1" t="str">
        <f t="shared" si="128"/>
        <v>2020-1957</v>
      </c>
      <c r="C1430" s="1" t="s">
        <v>1408</v>
      </c>
      <c r="D1430" s="1" t="s">
        <v>267</v>
      </c>
      <c r="E1430" s="1" t="str">
        <f>""</f>
        <v/>
      </c>
      <c r="F1430" s="1" t="s">
        <v>28</v>
      </c>
      <c r="G1430" s="1" t="str">
        <f t="shared" si="129"/>
        <v>METUS D.O.O., POLOŽNICA 5, 10431 SVETA NEDELJA, OIB: 24690129373</v>
      </c>
      <c r="H1430" s="7"/>
      <c r="I1430" s="8" t="s">
        <v>432</v>
      </c>
      <c r="J1430" s="8" t="s">
        <v>519</v>
      </c>
      <c r="K1430" s="6" t="str">
        <f>"6.960,00"</f>
        <v>6.960,00</v>
      </c>
      <c r="L1430" s="6" t="str">
        <f t="shared" si="130"/>
        <v>0,00</v>
      </c>
      <c r="M1430" s="6" t="str">
        <f>"6.960,00"</f>
        <v>6.960,00</v>
      </c>
      <c r="N1430" s="8" t="s">
        <v>124</v>
      </c>
      <c r="O1430" s="7"/>
      <c r="P1430" s="2" t="s">
        <v>5614</v>
      </c>
      <c r="Q1430" s="7"/>
      <c r="R1430" s="1"/>
      <c r="S1430" s="1" t="str">
        <f>"10-22/NOS-103-2/20"</f>
        <v>10-22/NOS-103-2/20</v>
      </c>
      <c r="T1430" s="1" t="s">
        <v>32</v>
      </c>
    </row>
    <row r="1431" spans="1:20" ht="76.5" x14ac:dyDescent="0.25">
      <c r="A1431" s="6">
        <v>1428</v>
      </c>
      <c r="B1431" s="1" t="str">
        <f t="shared" si="128"/>
        <v>2020-1957</v>
      </c>
      <c r="C1431" s="1" t="s">
        <v>1408</v>
      </c>
      <c r="D1431" s="1" t="s">
        <v>267</v>
      </c>
      <c r="E1431" s="1" t="str">
        <f>""</f>
        <v/>
      </c>
      <c r="F1431" s="1" t="s">
        <v>28</v>
      </c>
      <c r="G1431" s="1" t="str">
        <f t="shared" si="129"/>
        <v>METUS D.O.O., POLOŽNICA 5, 10431 SVETA NEDELJA, OIB: 24690129373</v>
      </c>
      <c r="H1431" s="7"/>
      <c r="I1431" s="8" t="s">
        <v>964</v>
      </c>
      <c r="J1431" s="8" t="s">
        <v>519</v>
      </c>
      <c r="K1431" s="6" t="str">
        <f>"4.320,00"</f>
        <v>4.320,00</v>
      </c>
      <c r="L1431" s="6" t="str">
        <f t="shared" si="130"/>
        <v>0,00</v>
      </c>
      <c r="M1431" s="6" t="str">
        <f>"4.320,00"</f>
        <v>4.320,00</v>
      </c>
      <c r="N1431" s="8" t="s">
        <v>124</v>
      </c>
      <c r="O1431" s="7"/>
      <c r="P1431" s="2" t="s">
        <v>5614</v>
      </c>
      <c r="Q1431" s="7"/>
      <c r="R1431" s="1"/>
      <c r="S1431" s="1" t="str">
        <f>"11-22/NOS-103-2/20"</f>
        <v>11-22/NOS-103-2/20</v>
      </c>
      <c r="T1431" s="1" t="s">
        <v>32</v>
      </c>
    </row>
    <row r="1432" spans="1:20" ht="76.5" x14ac:dyDescent="0.25">
      <c r="A1432" s="6">
        <v>1429</v>
      </c>
      <c r="B1432" s="1" t="str">
        <f t="shared" si="128"/>
        <v>2020-1957</v>
      </c>
      <c r="C1432" s="1" t="s">
        <v>1408</v>
      </c>
      <c r="D1432" s="1" t="s">
        <v>267</v>
      </c>
      <c r="E1432" s="1" t="str">
        <f>""</f>
        <v/>
      </c>
      <c r="F1432" s="1" t="s">
        <v>28</v>
      </c>
      <c r="G1432" s="1" t="str">
        <f t="shared" si="129"/>
        <v>METUS D.O.O., POLOŽNICA 5, 10431 SVETA NEDELJA, OIB: 24690129373</v>
      </c>
      <c r="H1432" s="7"/>
      <c r="I1432" s="8" t="s">
        <v>1159</v>
      </c>
      <c r="J1432" s="8" t="s">
        <v>519</v>
      </c>
      <c r="K1432" s="6" t="str">
        <f>"39.760,00"</f>
        <v>39.760,00</v>
      </c>
      <c r="L1432" s="6" t="str">
        <f t="shared" si="130"/>
        <v>0,00</v>
      </c>
      <c r="M1432" s="6" t="str">
        <f>"39.760,00"</f>
        <v>39.760,00</v>
      </c>
      <c r="N1432" s="8" t="s">
        <v>124</v>
      </c>
      <c r="O1432" s="7"/>
      <c r="P1432" s="2" t="s">
        <v>5614</v>
      </c>
      <c r="Q1432" s="7"/>
      <c r="R1432" s="1"/>
      <c r="S1432" s="1" t="str">
        <f>"12-22/NOS-103-2/20"</f>
        <v>12-22/NOS-103-2/20</v>
      </c>
      <c r="T1432" s="1" t="s">
        <v>32</v>
      </c>
    </row>
    <row r="1433" spans="1:20" ht="76.5" x14ac:dyDescent="0.25">
      <c r="A1433" s="6">
        <v>1430</v>
      </c>
      <c r="B1433" s="1" t="str">
        <f t="shared" si="128"/>
        <v>2020-1957</v>
      </c>
      <c r="C1433" s="1" t="s">
        <v>1408</v>
      </c>
      <c r="D1433" s="1" t="s">
        <v>267</v>
      </c>
      <c r="E1433" s="1" t="str">
        <f>""</f>
        <v/>
      </c>
      <c r="F1433" s="1" t="s">
        <v>28</v>
      </c>
      <c r="G1433" s="1" t="str">
        <f t="shared" si="129"/>
        <v>METUS D.O.O., POLOŽNICA 5, 10431 SVETA NEDELJA, OIB: 24690129373</v>
      </c>
      <c r="H1433" s="7"/>
      <c r="I1433" s="8" t="s">
        <v>553</v>
      </c>
      <c r="J1433" s="8" t="s">
        <v>519</v>
      </c>
      <c r="K1433" s="6" t="str">
        <f>"12.940,00"</f>
        <v>12.940,00</v>
      </c>
      <c r="L1433" s="6" t="str">
        <f t="shared" si="130"/>
        <v>0,00</v>
      </c>
      <c r="M1433" s="6" t="str">
        <f>"12.940,00"</f>
        <v>12.940,00</v>
      </c>
      <c r="N1433" s="8" t="s">
        <v>124</v>
      </c>
      <c r="O1433" s="7"/>
      <c r="P1433" s="2" t="s">
        <v>5614</v>
      </c>
      <c r="Q1433" s="7"/>
      <c r="R1433" s="1"/>
      <c r="S1433" s="1" t="str">
        <f>"13-22/NOS-103-2/20"</f>
        <v>13-22/NOS-103-2/20</v>
      </c>
      <c r="T1433" s="1" t="s">
        <v>32</v>
      </c>
    </row>
    <row r="1434" spans="1:20" ht="76.5" x14ac:dyDescent="0.25">
      <c r="A1434" s="6">
        <v>1431</v>
      </c>
      <c r="B1434" s="1" t="str">
        <f t="shared" si="128"/>
        <v>2020-1957</v>
      </c>
      <c r="C1434" s="1" t="s">
        <v>1408</v>
      </c>
      <c r="D1434" s="1" t="s">
        <v>267</v>
      </c>
      <c r="E1434" s="1" t="str">
        <f>""</f>
        <v/>
      </c>
      <c r="F1434" s="1" t="s">
        <v>28</v>
      </c>
      <c r="G1434" s="1" t="str">
        <f t="shared" si="129"/>
        <v>METUS D.O.O., POLOŽNICA 5, 10431 SVETA NEDELJA, OIB: 24690129373</v>
      </c>
      <c r="H1434" s="7"/>
      <c r="I1434" s="8" t="s">
        <v>384</v>
      </c>
      <c r="J1434" s="8" t="s">
        <v>519</v>
      </c>
      <c r="K1434" s="6" t="str">
        <f>"16.140,00"</f>
        <v>16.140,00</v>
      </c>
      <c r="L1434" s="6" t="str">
        <f t="shared" si="130"/>
        <v>0,00</v>
      </c>
      <c r="M1434" s="6" t="str">
        <f>"16.140,00"</f>
        <v>16.140,00</v>
      </c>
      <c r="N1434" s="8" t="s">
        <v>124</v>
      </c>
      <c r="O1434" s="7"/>
      <c r="P1434" s="2" t="s">
        <v>5614</v>
      </c>
      <c r="Q1434" s="7"/>
      <c r="R1434" s="1"/>
      <c r="S1434" s="1" t="str">
        <f>"14-22/NOS-103-2/20"</f>
        <v>14-22/NOS-103-2/20</v>
      </c>
      <c r="T1434" s="1" t="s">
        <v>32</v>
      </c>
    </row>
    <row r="1435" spans="1:20" ht="76.5" x14ac:dyDescent="0.25">
      <c r="A1435" s="6">
        <v>1432</v>
      </c>
      <c r="B1435" s="1" t="str">
        <f t="shared" si="128"/>
        <v>2020-1957</v>
      </c>
      <c r="C1435" s="1" t="s">
        <v>1408</v>
      </c>
      <c r="D1435" s="1" t="s">
        <v>267</v>
      </c>
      <c r="E1435" s="1" t="str">
        <f>""</f>
        <v/>
      </c>
      <c r="F1435" s="1" t="s">
        <v>28</v>
      </c>
      <c r="G1435" s="1" t="str">
        <f t="shared" si="129"/>
        <v>METUS D.O.O., POLOŽNICA 5, 10431 SVETA NEDELJA, OIB: 24690129373</v>
      </c>
      <c r="H1435" s="7"/>
      <c r="I1435" s="8" t="s">
        <v>433</v>
      </c>
      <c r="J1435" s="8" t="s">
        <v>519</v>
      </c>
      <c r="K1435" s="6" t="str">
        <f>"5.440,00"</f>
        <v>5.440,00</v>
      </c>
      <c r="L1435" s="6" t="str">
        <f t="shared" si="130"/>
        <v>0,00</v>
      </c>
      <c r="M1435" s="6" t="str">
        <f>"5.440,00"</f>
        <v>5.440,00</v>
      </c>
      <c r="N1435" s="8" t="s">
        <v>124</v>
      </c>
      <c r="O1435" s="7"/>
      <c r="P1435" s="2" t="s">
        <v>5614</v>
      </c>
      <c r="Q1435" s="7"/>
      <c r="R1435" s="1"/>
      <c r="S1435" s="1" t="str">
        <f>"16-22/NOS-103-2/20"</f>
        <v>16-22/NOS-103-2/20</v>
      </c>
      <c r="T1435" s="1" t="s">
        <v>32</v>
      </c>
    </row>
    <row r="1436" spans="1:20" ht="89.25" x14ac:dyDescent="0.25">
      <c r="A1436" s="6">
        <v>1433</v>
      </c>
      <c r="B1436" s="1" t="str">
        <f t="shared" ref="B1436:B1463" si="131">"2020-753"</f>
        <v>2020-753</v>
      </c>
      <c r="C1436" s="1" t="s">
        <v>1414</v>
      </c>
      <c r="D1436" s="1" t="s">
        <v>1236</v>
      </c>
      <c r="E1436" s="1" t="str">
        <f>"2020/S 0F2-0046540"</f>
        <v>2020/S 0F2-0046540</v>
      </c>
      <c r="F1436" s="1" t="s">
        <v>22</v>
      </c>
      <c r="G1436" s="1" t="str">
        <f t="shared" ref="G1436:G1455" si="132">CONCATENATE("ECCOS-INŽENJERING D.O.O.,"," BANI 110,"," 10000 ZAGREB,"," OIB: 71629027685")</f>
        <v>ECCOS-INŽENJERING D.O.O., BANI 110, 10000 ZAGREB, OIB: 71629027685</v>
      </c>
      <c r="H1436" s="7"/>
      <c r="I1436" s="8" t="s">
        <v>1392</v>
      </c>
      <c r="J1436" s="8" t="s">
        <v>1415</v>
      </c>
      <c r="K1436" s="6" t="str">
        <f>"2.700.000,00"</f>
        <v>2.700.000,00</v>
      </c>
      <c r="L1436" s="6" t="str">
        <f>"675.000,00"</f>
        <v>675.000,00</v>
      </c>
      <c r="M1436" s="6" t="str">
        <f>"3.375.000,00"</f>
        <v>3.375.000,00</v>
      </c>
      <c r="N1436" s="8" t="s">
        <v>124</v>
      </c>
      <c r="O1436" s="7"/>
      <c r="P1436" s="2" t="s">
        <v>5614</v>
      </c>
      <c r="Q1436" s="7"/>
      <c r="R1436" s="1"/>
      <c r="S1436" s="1" t="str">
        <f>"NOS-101-1/20"</f>
        <v>NOS-101-1/20</v>
      </c>
      <c r="T1436" s="1" t="s">
        <v>32</v>
      </c>
    </row>
    <row r="1437" spans="1:20" ht="102" x14ac:dyDescent="0.25">
      <c r="A1437" s="6">
        <v>1434</v>
      </c>
      <c r="B1437" s="1" t="str">
        <f t="shared" si="131"/>
        <v>2020-753</v>
      </c>
      <c r="C1437" s="1" t="s">
        <v>1416</v>
      </c>
      <c r="D1437" s="1" t="s">
        <v>1239</v>
      </c>
      <c r="E1437" s="1" t="str">
        <f>""</f>
        <v/>
      </c>
      <c r="F1437" s="1" t="s">
        <v>28</v>
      </c>
      <c r="G1437" s="1" t="str">
        <f t="shared" si="132"/>
        <v>ECCOS-INŽENJERING D.O.O., BANI 110, 10000 ZAGREB, OIB: 71629027685</v>
      </c>
      <c r="H1437" s="7"/>
      <c r="I1437" s="8" t="s">
        <v>585</v>
      </c>
      <c r="J1437" s="8" t="s">
        <v>57</v>
      </c>
      <c r="K1437" s="6" t="str">
        <f>"244.000,00"</f>
        <v>244.000,00</v>
      </c>
      <c r="L1437" s="6" t="str">
        <f>"61.000,00"</f>
        <v>61.000,00</v>
      </c>
      <c r="M1437" s="6" t="str">
        <f>"305.000,00"</f>
        <v>305.000,00</v>
      </c>
      <c r="N1437" s="8" t="s">
        <v>208</v>
      </c>
      <c r="O1437" s="7"/>
      <c r="P1437" s="2" t="s">
        <v>6520</v>
      </c>
      <c r="Q1437" s="7"/>
      <c r="R1437" s="1"/>
      <c r="S1437" s="1" t="str">
        <f>"10-21/NOS-101-1/20"</f>
        <v>10-21/NOS-101-1/20</v>
      </c>
      <c r="T1437" s="1" t="s">
        <v>32</v>
      </c>
    </row>
    <row r="1438" spans="1:20" ht="63.75" x14ac:dyDescent="0.25">
      <c r="A1438" s="6">
        <v>1435</v>
      </c>
      <c r="B1438" s="1" t="str">
        <f t="shared" si="131"/>
        <v>2020-753</v>
      </c>
      <c r="C1438" s="1" t="s">
        <v>1417</v>
      </c>
      <c r="D1438" s="1" t="s">
        <v>1239</v>
      </c>
      <c r="E1438" s="1" t="str">
        <f>""</f>
        <v/>
      </c>
      <c r="F1438" s="1" t="s">
        <v>28</v>
      </c>
      <c r="G1438" s="1" t="str">
        <f t="shared" si="132"/>
        <v>ECCOS-INŽENJERING D.O.O., BANI 110, 10000 ZAGREB, OIB: 71629027685</v>
      </c>
      <c r="H1438" s="7"/>
      <c r="I1438" s="8" t="s">
        <v>963</v>
      </c>
      <c r="J1438" s="8" t="s">
        <v>961</v>
      </c>
      <c r="K1438" s="6" t="str">
        <f>"305.000,00"</f>
        <v>305.000,00</v>
      </c>
      <c r="L1438" s="6" t="str">
        <f>"76.250,00"</f>
        <v>76.250,00</v>
      </c>
      <c r="M1438" s="6" t="str">
        <f>"381.250,00"</f>
        <v>381.250,00</v>
      </c>
      <c r="N1438" s="8" t="s">
        <v>124</v>
      </c>
      <c r="O1438" s="7"/>
      <c r="P1438" s="2" t="s">
        <v>6521</v>
      </c>
      <c r="Q1438" s="7"/>
      <c r="R1438" s="1"/>
      <c r="S1438" s="1" t="str">
        <f>"7-22/NOS-101-1/20"</f>
        <v>7-22/NOS-101-1/20</v>
      </c>
      <c r="T1438" s="1" t="s">
        <v>32</v>
      </c>
    </row>
    <row r="1439" spans="1:20" ht="89.25" x14ac:dyDescent="0.25">
      <c r="A1439" s="6">
        <v>1436</v>
      </c>
      <c r="B1439" s="1" t="str">
        <f t="shared" si="131"/>
        <v>2020-753</v>
      </c>
      <c r="C1439" s="1" t="s">
        <v>1414</v>
      </c>
      <c r="D1439" s="1" t="s">
        <v>1239</v>
      </c>
      <c r="E1439" s="1" t="str">
        <f>""</f>
        <v/>
      </c>
      <c r="F1439" s="1" t="s">
        <v>28</v>
      </c>
      <c r="G1439" s="1" t="str">
        <f t="shared" si="132"/>
        <v>ECCOS-INŽENJERING D.O.O., BANI 110, 10000 ZAGREB, OIB: 71629027685</v>
      </c>
      <c r="H1439" s="7"/>
      <c r="I1439" s="8" t="s">
        <v>613</v>
      </c>
      <c r="J1439" s="8" t="s">
        <v>292</v>
      </c>
      <c r="K1439" s="6" t="str">
        <f>"49.500,00"</f>
        <v>49.500,00</v>
      </c>
      <c r="L1439" s="6" t="str">
        <f>"12.375,00"</f>
        <v>12.375,00</v>
      </c>
      <c r="M1439" s="6" t="str">
        <f>"61.875,00"</f>
        <v>61.875,00</v>
      </c>
      <c r="N1439" s="8" t="s">
        <v>955</v>
      </c>
      <c r="O1439" s="7"/>
      <c r="P1439" s="2" t="s">
        <v>6522</v>
      </c>
      <c r="Q1439" s="7"/>
      <c r="R1439" s="1"/>
      <c r="S1439" s="1" t="str">
        <f>"2-22/NOS-101-1/20"</f>
        <v>2-22/NOS-101-1/20</v>
      </c>
      <c r="T1439" s="1" t="s">
        <v>32</v>
      </c>
    </row>
    <row r="1440" spans="1:20" ht="89.25" x14ac:dyDescent="0.25">
      <c r="A1440" s="6">
        <v>1437</v>
      </c>
      <c r="B1440" s="1" t="str">
        <f t="shared" si="131"/>
        <v>2020-753</v>
      </c>
      <c r="C1440" s="1" t="s">
        <v>1414</v>
      </c>
      <c r="D1440" s="1" t="s">
        <v>1239</v>
      </c>
      <c r="E1440" s="1" t="str">
        <f>""</f>
        <v/>
      </c>
      <c r="F1440" s="1" t="s">
        <v>28</v>
      </c>
      <c r="G1440" s="1" t="str">
        <f t="shared" si="132"/>
        <v>ECCOS-INŽENJERING D.O.O., BANI 110, 10000 ZAGREB, OIB: 71629027685</v>
      </c>
      <c r="H1440" s="7"/>
      <c r="I1440" s="8" t="s">
        <v>754</v>
      </c>
      <c r="J1440" s="8" t="s">
        <v>292</v>
      </c>
      <c r="K1440" s="6" t="str">
        <f>"31.050,00"</f>
        <v>31.050,00</v>
      </c>
      <c r="L1440" s="6" t="str">
        <f>"7.762,50"</f>
        <v>7.762,50</v>
      </c>
      <c r="M1440" s="6" t="str">
        <f>"38.812,50"</f>
        <v>38.812,50</v>
      </c>
      <c r="N1440" s="8" t="s">
        <v>955</v>
      </c>
      <c r="O1440" s="7"/>
      <c r="P1440" s="2" t="s">
        <v>6523</v>
      </c>
      <c r="Q1440" s="7"/>
      <c r="R1440" s="1"/>
      <c r="S1440" s="1" t="str">
        <f>"1-22/NOS-101-1/20"</f>
        <v>1-22/NOS-101-1/20</v>
      </c>
      <c r="T1440" s="1" t="s">
        <v>32</v>
      </c>
    </row>
    <row r="1441" spans="1:20" ht="89.25" x14ac:dyDescent="0.25">
      <c r="A1441" s="6">
        <v>1438</v>
      </c>
      <c r="B1441" s="1" t="str">
        <f t="shared" si="131"/>
        <v>2020-753</v>
      </c>
      <c r="C1441" s="1" t="s">
        <v>1414</v>
      </c>
      <c r="D1441" s="1" t="s">
        <v>1239</v>
      </c>
      <c r="E1441" s="1" t="str">
        <f>""</f>
        <v/>
      </c>
      <c r="F1441" s="1" t="s">
        <v>28</v>
      </c>
      <c r="G1441" s="1" t="str">
        <f t="shared" si="132"/>
        <v>ECCOS-INŽENJERING D.O.O., BANI 110, 10000 ZAGREB, OIB: 71629027685</v>
      </c>
      <c r="H1441" s="7"/>
      <c r="I1441" s="8" t="s">
        <v>258</v>
      </c>
      <c r="J1441" s="8" t="s">
        <v>292</v>
      </c>
      <c r="K1441" s="6" t="str">
        <f>"1.400,00"</f>
        <v>1.400,00</v>
      </c>
      <c r="L1441" s="6" t="str">
        <f>"350,00"</f>
        <v>350,00</v>
      </c>
      <c r="M1441" s="6" t="str">
        <f>"1.750,00"</f>
        <v>1.750,00</v>
      </c>
      <c r="N1441" s="8" t="s">
        <v>939</v>
      </c>
      <c r="O1441" s="7"/>
      <c r="P1441" s="2" t="s">
        <v>6524</v>
      </c>
      <c r="Q1441" s="7"/>
      <c r="R1441" s="1"/>
      <c r="S1441" s="1" t="str">
        <f>"3-22/NOS-101-1/20"</f>
        <v>3-22/NOS-101-1/20</v>
      </c>
      <c r="T1441" s="1" t="s">
        <v>32</v>
      </c>
    </row>
    <row r="1442" spans="1:20" ht="89.25" x14ac:dyDescent="0.25">
      <c r="A1442" s="6">
        <v>1439</v>
      </c>
      <c r="B1442" s="1" t="str">
        <f t="shared" si="131"/>
        <v>2020-753</v>
      </c>
      <c r="C1442" s="1" t="s">
        <v>1414</v>
      </c>
      <c r="D1442" s="1" t="s">
        <v>1239</v>
      </c>
      <c r="E1442" s="1" t="str">
        <f>""</f>
        <v/>
      </c>
      <c r="F1442" s="1" t="s">
        <v>28</v>
      </c>
      <c r="G1442" s="1" t="str">
        <f t="shared" si="132"/>
        <v>ECCOS-INŽENJERING D.O.O., BANI 110, 10000 ZAGREB, OIB: 71629027685</v>
      </c>
      <c r="H1442" s="7"/>
      <c r="I1442" s="8" t="s">
        <v>345</v>
      </c>
      <c r="J1442" s="8" t="s">
        <v>292</v>
      </c>
      <c r="K1442" s="6" t="str">
        <f>"17.655,00"</f>
        <v>17.655,00</v>
      </c>
      <c r="L1442" s="6" t="str">
        <f>"4.119,25"</f>
        <v>4.119,25</v>
      </c>
      <c r="M1442" s="6" t="str">
        <f>"21.774,25"</f>
        <v>21.774,25</v>
      </c>
      <c r="N1442" s="8" t="s">
        <v>939</v>
      </c>
      <c r="O1442" s="7"/>
      <c r="P1442" s="2" t="s">
        <v>6525</v>
      </c>
      <c r="Q1442" s="7"/>
      <c r="R1442" s="1"/>
      <c r="S1442" s="1" t="str">
        <f>"4-22/NOS-101-1/20"</f>
        <v>4-22/NOS-101-1/20</v>
      </c>
      <c r="T1442" s="1" t="s">
        <v>32</v>
      </c>
    </row>
    <row r="1443" spans="1:20" ht="89.25" x14ac:dyDescent="0.25">
      <c r="A1443" s="6">
        <v>1440</v>
      </c>
      <c r="B1443" s="1" t="str">
        <f t="shared" si="131"/>
        <v>2020-753</v>
      </c>
      <c r="C1443" s="1" t="s">
        <v>1414</v>
      </c>
      <c r="D1443" s="1" t="s">
        <v>1239</v>
      </c>
      <c r="E1443" s="1" t="str">
        <f>""</f>
        <v/>
      </c>
      <c r="F1443" s="1" t="s">
        <v>28</v>
      </c>
      <c r="G1443" s="1" t="str">
        <f t="shared" si="132"/>
        <v>ECCOS-INŽENJERING D.O.O., BANI 110, 10000 ZAGREB, OIB: 71629027685</v>
      </c>
      <c r="H1443" s="7"/>
      <c r="I1443" s="8" t="s">
        <v>250</v>
      </c>
      <c r="J1443" s="8" t="s">
        <v>292</v>
      </c>
      <c r="K1443" s="6" t="str">
        <f>"49.500,00"</f>
        <v>49.500,00</v>
      </c>
      <c r="L1443" s="6" t="str">
        <f>"12.375,00"</f>
        <v>12.375,00</v>
      </c>
      <c r="M1443" s="6" t="str">
        <f>"61.875,00"</f>
        <v>61.875,00</v>
      </c>
      <c r="N1443" s="8" t="s">
        <v>923</v>
      </c>
      <c r="O1443" s="7"/>
      <c r="P1443" s="2" t="s">
        <v>6522</v>
      </c>
      <c r="Q1443" s="7"/>
      <c r="R1443" s="1"/>
      <c r="S1443" s="1" t="str">
        <f>"5-22/NOS-101-1/20"</f>
        <v>5-22/NOS-101-1/20</v>
      </c>
      <c r="T1443" s="1" t="s">
        <v>32</v>
      </c>
    </row>
    <row r="1444" spans="1:20" ht="89.25" x14ac:dyDescent="0.25">
      <c r="A1444" s="6">
        <v>1441</v>
      </c>
      <c r="B1444" s="1" t="str">
        <f t="shared" si="131"/>
        <v>2020-753</v>
      </c>
      <c r="C1444" s="1" t="s">
        <v>1414</v>
      </c>
      <c r="D1444" s="1" t="s">
        <v>1239</v>
      </c>
      <c r="E1444" s="1" t="str">
        <f>""</f>
        <v/>
      </c>
      <c r="F1444" s="1" t="s">
        <v>28</v>
      </c>
      <c r="G1444" s="1" t="str">
        <f t="shared" si="132"/>
        <v>ECCOS-INŽENJERING D.O.O., BANI 110, 10000 ZAGREB, OIB: 71629027685</v>
      </c>
      <c r="H1444" s="7"/>
      <c r="I1444" s="8" t="s">
        <v>30</v>
      </c>
      <c r="J1444" s="8" t="s">
        <v>292</v>
      </c>
      <c r="K1444" s="6" t="str">
        <f>"9.675,00"</f>
        <v>9.675,00</v>
      </c>
      <c r="L1444" s="6" t="str">
        <f>"2.418,75"</f>
        <v>2.418,75</v>
      </c>
      <c r="M1444" s="6" t="str">
        <f>"12.093,75"</f>
        <v>12.093,75</v>
      </c>
      <c r="N1444" s="8" t="s">
        <v>1314</v>
      </c>
      <c r="O1444" s="7"/>
      <c r="P1444" s="2" t="s">
        <v>6526</v>
      </c>
      <c r="Q1444" s="7"/>
      <c r="R1444" s="1"/>
      <c r="S1444" s="1" t="str">
        <f>"6-22/NOS-101-1/20"</f>
        <v>6-22/NOS-101-1/20</v>
      </c>
      <c r="T1444" s="1" t="s">
        <v>32</v>
      </c>
    </row>
    <row r="1445" spans="1:20" ht="89.25" x14ac:dyDescent="0.25">
      <c r="A1445" s="6">
        <v>1442</v>
      </c>
      <c r="B1445" s="1" t="str">
        <f t="shared" si="131"/>
        <v>2020-753</v>
      </c>
      <c r="C1445" s="1" t="s">
        <v>1414</v>
      </c>
      <c r="D1445" s="1" t="s">
        <v>1239</v>
      </c>
      <c r="E1445" s="1" t="str">
        <f>""</f>
        <v/>
      </c>
      <c r="F1445" s="1" t="s">
        <v>28</v>
      </c>
      <c r="G1445" s="1" t="str">
        <f t="shared" si="132"/>
        <v>ECCOS-INŽENJERING D.O.O., BANI 110, 10000 ZAGREB, OIB: 71629027685</v>
      </c>
      <c r="H1445" s="7"/>
      <c r="I1445" s="8" t="s">
        <v>562</v>
      </c>
      <c r="J1445" s="8" t="s">
        <v>292</v>
      </c>
      <c r="K1445" s="6" t="str">
        <f>"13.944,00"</f>
        <v>13.944,00</v>
      </c>
      <c r="L1445" s="6" t="str">
        <f>"3.486,00"</f>
        <v>3.486,00</v>
      </c>
      <c r="M1445" s="6" t="str">
        <f>"17.430,00"</f>
        <v>17.430,00</v>
      </c>
      <c r="N1445" s="8" t="s">
        <v>208</v>
      </c>
      <c r="O1445" s="7"/>
      <c r="P1445" s="2" t="s">
        <v>6527</v>
      </c>
      <c r="Q1445" s="7"/>
      <c r="R1445" s="1"/>
      <c r="S1445" s="1" t="str">
        <f>"8-22/NOS-101-1/20"</f>
        <v>8-22/NOS-101-1/20</v>
      </c>
      <c r="T1445" s="1" t="s">
        <v>32</v>
      </c>
    </row>
    <row r="1446" spans="1:20" ht="89.25" x14ac:dyDescent="0.25">
      <c r="A1446" s="6">
        <v>1443</v>
      </c>
      <c r="B1446" s="1" t="str">
        <f t="shared" si="131"/>
        <v>2020-753</v>
      </c>
      <c r="C1446" s="1" t="s">
        <v>1414</v>
      </c>
      <c r="D1446" s="1" t="s">
        <v>1239</v>
      </c>
      <c r="E1446" s="1" t="str">
        <f>""</f>
        <v/>
      </c>
      <c r="F1446" s="1" t="s">
        <v>28</v>
      </c>
      <c r="G1446" s="1" t="str">
        <f t="shared" si="132"/>
        <v>ECCOS-INŽENJERING D.O.O., BANI 110, 10000 ZAGREB, OIB: 71629027685</v>
      </c>
      <c r="H1446" s="7"/>
      <c r="I1446" s="8" t="s">
        <v>922</v>
      </c>
      <c r="J1446" s="8" t="s">
        <v>292</v>
      </c>
      <c r="K1446" s="6" t="str">
        <f>"49.500,00"</f>
        <v>49.500,00</v>
      </c>
      <c r="L1446" s="6" t="str">
        <f>"12.375,00"</f>
        <v>12.375,00</v>
      </c>
      <c r="M1446" s="6" t="str">
        <f>"61.875,00"</f>
        <v>61.875,00</v>
      </c>
      <c r="N1446" s="8" t="s">
        <v>430</v>
      </c>
      <c r="O1446" s="7"/>
      <c r="P1446" s="2" t="s">
        <v>6522</v>
      </c>
      <c r="Q1446" s="7"/>
      <c r="R1446" s="1"/>
      <c r="S1446" s="1" t="str">
        <f>"9-22/NOS-101-1/20"</f>
        <v>9-22/NOS-101-1/20</v>
      </c>
      <c r="T1446" s="1" t="s">
        <v>32</v>
      </c>
    </row>
    <row r="1447" spans="1:20" ht="89.25" x14ac:dyDescent="0.25">
      <c r="A1447" s="6">
        <v>1444</v>
      </c>
      <c r="B1447" s="1" t="str">
        <f t="shared" si="131"/>
        <v>2020-753</v>
      </c>
      <c r="C1447" s="1" t="s">
        <v>1414</v>
      </c>
      <c r="D1447" s="1" t="s">
        <v>1239</v>
      </c>
      <c r="E1447" s="1" t="str">
        <f>""</f>
        <v/>
      </c>
      <c r="F1447" s="1" t="s">
        <v>28</v>
      </c>
      <c r="G1447" s="1" t="str">
        <f t="shared" si="132"/>
        <v>ECCOS-INŽENJERING D.O.O., BANI 110, 10000 ZAGREB, OIB: 71629027685</v>
      </c>
      <c r="H1447" s="7"/>
      <c r="I1447" s="8" t="s">
        <v>203</v>
      </c>
      <c r="J1447" s="8" t="s">
        <v>292</v>
      </c>
      <c r="K1447" s="6" t="str">
        <f>"39.078,00"</f>
        <v>39.078,00</v>
      </c>
      <c r="L1447" s="6" t="str">
        <f>"9.769,50"</f>
        <v>9.769,50</v>
      </c>
      <c r="M1447" s="6" t="str">
        <f>"48.847,50"</f>
        <v>48.847,50</v>
      </c>
      <c r="N1447" s="8" t="s">
        <v>430</v>
      </c>
      <c r="O1447" s="7"/>
      <c r="P1447" s="2" t="s">
        <v>6528</v>
      </c>
      <c r="Q1447" s="7"/>
      <c r="R1447" s="1"/>
      <c r="S1447" s="1" t="str">
        <f>"11-22/NOS-101-1/20"</f>
        <v>11-22/NOS-101-1/20</v>
      </c>
      <c r="T1447" s="1" t="s">
        <v>32</v>
      </c>
    </row>
    <row r="1448" spans="1:20" ht="89.25" x14ac:dyDescent="0.25">
      <c r="A1448" s="6">
        <v>1445</v>
      </c>
      <c r="B1448" s="1" t="str">
        <f t="shared" si="131"/>
        <v>2020-753</v>
      </c>
      <c r="C1448" s="1" t="s">
        <v>1414</v>
      </c>
      <c r="D1448" s="1" t="s">
        <v>1239</v>
      </c>
      <c r="E1448" s="1" t="str">
        <f>""</f>
        <v/>
      </c>
      <c r="F1448" s="1" t="s">
        <v>28</v>
      </c>
      <c r="G1448" s="1" t="str">
        <f t="shared" si="132"/>
        <v>ECCOS-INŽENJERING D.O.O., BANI 110, 10000 ZAGREB, OIB: 71629027685</v>
      </c>
      <c r="H1448" s="7"/>
      <c r="I1448" s="8" t="s">
        <v>893</v>
      </c>
      <c r="J1448" s="8" t="s">
        <v>292</v>
      </c>
      <c r="K1448" s="6" t="str">
        <f>"93.172,00"</f>
        <v>93.172,00</v>
      </c>
      <c r="L1448" s="6" t="str">
        <f t="shared" ref="L1448:L1455" si="133">"0,00"</f>
        <v>0,00</v>
      </c>
      <c r="M1448" s="6" t="str">
        <f>"93.172,00"</f>
        <v>93.172,00</v>
      </c>
      <c r="N1448" s="8" t="s">
        <v>124</v>
      </c>
      <c r="O1448" s="7"/>
      <c r="P1448" s="2" t="s">
        <v>5614</v>
      </c>
      <c r="Q1448" s="7"/>
      <c r="R1448" s="1"/>
      <c r="S1448" s="1" t="str">
        <f>"10-22/NOS-101-1/20"</f>
        <v>10-22/NOS-101-1/20</v>
      </c>
      <c r="T1448" s="1" t="s">
        <v>32</v>
      </c>
    </row>
    <row r="1449" spans="1:20" ht="89.25" x14ac:dyDescent="0.25">
      <c r="A1449" s="6">
        <v>1446</v>
      </c>
      <c r="B1449" s="1" t="str">
        <f t="shared" si="131"/>
        <v>2020-753</v>
      </c>
      <c r="C1449" s="1" t="s">
        <v>1414</v>
      </c>
      <c r="D1449" s="1" t="s">
        <v>1239</v>
      </c>
      <c r="E1449" s="1" t="str">
        <f>""</f>
        <v/>
      </c>
      <c r="F1449" s="1" t="s">
        <v>28</v>
      </c>
      <c r="G1449" s="1" t="str">
        <f t="shared" si="132"/>
        <v>ECCOS-INŽENJERING D.O.O., BANI 110, 10000 ZAGREB, OIB: 71629027685</v>
      </c>
      <c r="H1449" s="7"/>
      <c r="I1449" s="8" t="s">
        <v>429</v>
      </c>
      <c r="J1449" s="8" t="s">
        <v>292</v>
      </c>
      <c r="K1449" s="6" t="str">
        <f>"384.999,00"</f>
        <v>384.999,00</v>
      </c>
      <c r="L1449" s="6" t="str">
        <f t="shared" si="133"/>
        <v>0,00</v>
      </c>
      <c r="M1449" s="6" t="str">
        <f>"384.999,00"</f>
        <v>384.999,00</v>
      </c>
      <c r="N1449" s="8" t="s">
        <v>124</v>
      </c>
      <c r="O1449" s="7"/>
      <c r="P1449" s="2" t="s">
        <v>5614</v>
      </c>
      <c r="Q1449" s="7"/>
      <c r="R1449" s="1"/>
      <c r="S1449" s="1" t="str">
        <f>"12-22/NOS-101-1/20"</f>
        <v>12-22/NOS-101-1/20</v>
      </c>
      <c r="T1449" s="1" t="s">
        <v>32</v>
      </c>
    </row>
    <row r="1450" spans="1:20" ht="89.25" x14ac:dyDescent="0.25">
      <c r="A1450" s="6">
        <v>1447</v>
      </c>
      <c r="B1450" s="1" t="str">
        <f t="shared" si="131"/>
        <v>2020-753</v>
      </c>
      <c r="C1450" s="1" t="s">
        <v>1414</v>
      </c>
      <c r="D1450" s="1" t="s">
        <v>1239</v>
      </c>
      <c r="E1450" s="1" t="str">
        <f>""</f>
        <v/>
      </c>
      <c r="F1450" s="1" t="s">
        <v>28</v>
      </c>
      <c r="G1450" s="1" t="str">
        <f t="shared" si="132"/>
        <v>ECCOS-INŽENJERING D.O.O., BANI 110, 10000 ZAGREB, OIB: 71629027685</v>
      </c>
      <c r="H1450" s="7"/>
      <c r="I1450" s="8" t="s">
        <v>408</v>
      </c>
      <c r="J1450" s="8" t="s">
        <v>292</v>
      </c>
      <c r="K1450" s="6" t="str">
        <f>"10.274,00"</f>
        <v>10.274,00</v>
      </c>
      <c r="L1450" s="6" t="str">
        <f t="shared" si="133"/>
        <v>0,00</v>
      </c>
      <c r="M1450" s="6" t="str">
        <f>"10.274,00"</f>
        <v>10.274,00</v>
      </c>
      <c r="N1450" s="8" t="s">
        <v>124</v>
      </c>
      <c r="O1450" s="7"/>
      <c r="P1450" s="2" t="s">
        <v>5614</v>
      </c>
      <c r="Q1450" s="7"/>
      <c r="R1450" s="1"/>
      <c r="S1450" s="1" t="str">
        <f>"13-22/NOS-101-1/20"</f>
        <v>13-22/NOS-101-1/20</v>
      </c>
      <c r="T1450" s="1" t="s">
        <v>32</v>
      </c>
    </row>
    <row r="1451" spans="1:20" ht="89.25" x14ac:dyDescent="0.25">
      <c r="A1451" s="6">
        <v>1448</v>
      </c>
      <c r="B1451" s="1" t="str">
        <f t="shared" si="131"/>
        <v>2020-753</v>
      </c>
      <c r="C1451" s="1" t="s">
        <v>1414</v>
      </c>
      <c r="D1451" s="1" t="s">
        <v>1239</v>
      </c>
      <c r="E1451" s="1" t="str">
        <f>""</f>
        <v/>
      </c>
      <c r="F1451" s="1" t="s">
        <v>28</v>
      </c>
      <c r="G1451" s="1" t="str">
        <f t="shared" si="132"/>
        <v>ECCOS-INŽENJERING D.O.O., BANI 110, 10000 ZAGREB, OIB: 71629027685</v>
      </c>
      <c r="H1451" s="7"/>
      <c r="I1451" s="8" t="s">
        <v>964</v>
      </c>
      <c r="J1451" s="8" t="s">
        <v>292</v>
      </c>
      <c r="K1451" s="6" t="str">
        <f>"13.067,00"</f>
        <v>13.067,00</v>
      </c>
      <c r="L1451" s="6" t="str">
        <f t="shared" si="133"/>
        <v>0,00</v>
      </c>
      <c r="M1451" s="6" t="str">
        <f>"13.067,00"</f>
        <v>13.067,00</v>
      </c>
      <c r="N1451" s="8" t="s">
        <v>124</v>
      </c>
      <c r="O1451" s="7"/>
      <c r="P1451" s="2" t="s">
        <v>5614</v>
      </c>
      <c r="Q1451" s="7"/>
      <c r="R1451" s="1"/>
      <c r="S1451" s="1" t="str">
        <f>"15-22/NOS-101-1/20"</f>
        <v>15-22/NOS-101-1/20</v>
      </c>
      <c r="T1451" s="1" t="s">
        <v>32</v>
      </c>
    </row>
    <row r="1452" spans="1:20" ht="89.25" x14ac:dyDescent="0.25">
      <c r="A1452" s="6">
        <v>1449</v>
      </c>
      <c r="B1452" s="1" t="str">
        <f t="shared" si="131"/>
        <v>2020-753</v>
      </c>
      <c r="C1452" s="1" t="s">
        <v>1414</v>
      </c>
      <c r="D1452" s="1" t="s">
        <v>1239</v>
      </c>
      <c r="E1452" s="1" t="str">
        <f>""</f>
        <v/>
      </c>
      <c r="F1452" s="1" t="s">
        <v>28</v>
      </c>
      <c r="G1452" s="1" t="str">
        <f t="shared" si="132"/>
        <v>ECCOS-INŽENJERING D.O.O., BANI 110, 10000 ZAGREB, OIB: 71629027685</v>
      </c>
      <c r="H1452" s="7"/>
      <c r="I1452" s="8" t="s">
        <v>964</v>
      </c>
      <c r="J1452" s="8" t="s">
        <v>292</v>
      </c>
      <c r="K1452" s="6" t="str">
        <f>"49.500,00"</f>
        <v>49.500,00</v>
      </c>
      <c r="L1452" s="6" t="str">
        <f t="shared" si="133"/>
        <v>0,00</v>
      </c>
      <c r="M1452" s="6" t="str">
        <f>"49.500,00"</f>
        <v>49.500,00</v>
      </c>
      <c r="N1452" s="8" t="s">
        <v>124</v>
      </c>
      <c r="O1452" s="7"/>
      <c r="P1452" s="2" t="s">
        <v>5614</v>
      </c>
      <c r="Q1452" s="7"/>
      <c r="R1452" s="1"/>
      <c r="S1452" s="1" t="str">
        <f>"14-22/NOS-101-1/20"</f>
        <v>14-22/NOS-101-1/20</v>
      </c>
      <c r="T1452" s="1" t="s">
        <v>32</v>
      </c>
    </row>
    <row r="1453" spans="1:20" ht="89.25" x14ac:dyDescent="0.25">
      <c r="A1453" s="6">
        <v>1450</v>
      </c>
      <c r="B1453" s="1" t="str">
        <f t="shared" si="131"/>
        <v>2020-753</v>
      </c>
      <c r="C1453" s="1" t="s">
        <v>1414</v>
      </c>
      <c r="D1453" s="1" t="s">
        <v>1239</v>
      </c>
      <c r="E1453" s="1" t="str">
        <f>""</f>
        <v/>
      </c>
      <c r="F1453" s="1" t="s">
        <v>28</v>
      </c>
      <c r="G1453" s="1" t="str">
        <f t="shared" si="132"/>
        <v>ECCOS-INŽENJERING D.O.O., BANI 110, 10000 ZAGREB, OIB: 71629027685</v>
      </c>
      <c r="H1453" s="7"/>
      <c r="I1453" s="8" t="s">
        <v>1147</v>
      </c>
      <c r="J1453" s="8" t="s">
        <v>292</v>
      </c>
      <c r="K1453" s="6" t="str">
        <f>"30.560,47"</f>
        <v>30.560,47</v>
      </c>
      <c r="L1453" s="6" t="str">
        <f t="shared" si="133"/>
        <v>0,00</v>
      </c>
      <c r="M1453" s="6" t="str">
        <f>"30.560,47"</f>
        <v>30.560,47</v>
      </c>
      <c r="N1453" s="8" t="s">
        <v>124</v>
      </c>
      <c r="O1453" s="7"/>
      <c r="P1453" s="2" t="s">
        <v>5614</v>
      </c>
      <c r="Q1453" s="7"/>
      <c r="R1453" s="1"/>
      <c r="S1453" s="1" t="str">
        <f>"16-22/NOS-101-1/20"</f>
        <v>16-22/NOS-101-1/20</v>
      </c>
      <c r="T1453" s="1" t="s">
        <v>32</v>
      </c>
    </row>
    <row r="1454" spans="1:20" ht="89.25" x14ac:dyDescent="0.25">
      <c r="A1454" s="6">
        <v>1451</v>
      </c>
      <c r="B1454" s="1" t="str">
        <f t="shared" si="131"/>
        <v>2020-753</v>
      </c>
      <c r="C1454" s="1" t="s">
        <v>1414</v>
      </c>
      <c r="D1454" s="1" t="s">
        <v>1239</v>
      </c>
      <c r="E1454" s="1" t="str">
        <f>""</f>
        <v/>
      </c>
      <c r="F1454" s="1" t="s">
        <v>28</v>
      </c>
      <c r="G1454" s="1" t="str">
        <f t="shared" si="132"/>
        <v>ECCOS-INŽENJERING D.O.O., BANI 110, 10000 ZAGREB, OIB: 71629027685</v>
      </c>
      <c r="H1454" s="7"/>
      <c r="I1454" s="8" t="s">
        <v>553</v>
      </c>
      <c r="J1454" s="8" t="s">
        <v>292</v>
      </c>
      <c r="K1454" s="6" t="str">
        <f>"49.500,00"</f>
        <v>49.500,00</v>
      </c>
      <c r="L1454" s="6" t="str">
        <f t="shared" si="133"/>
        <v>0,00</v>
      </c>
      <c r="M1454" s="6" t="str">
        <f>"49.500,00"</f>
        <v>49.500,00</v>
      </c>
      <c r="N1454" s="8" t="s">
        <v>124</v>
      </c>
      <c r="O1454" s="7"/>
      <c r="P1454" s="2" t="s">
        <v>5614</v>
      </c>
      <c r="Q1454" s="7"/>
      <c r="R1454" s="1"/>
      <c r="S1454" s="1" t="str">
        <f>"17-22/NOS-101-1/20"</f>
        <v>17-22/NOS-101-1/20</v>
      </c>
      <c r="T1454" s="1" t="s">
        <v>32</v>
      </c>
    </row>
    <row r="1455" spans="1:20" ht="89.25" x14ac:dyDescent="0.25">
      <c r="A1455" s="6">
        <v>1452</v>
      </c>
      <c r="B1455" s="1" t="str">
        <f t="shared" si="131"/>
        <v>2020-753</v>
      </c>
      <c r="C1455" s="1" t="s">
        <v>1414</v>
      </c>
      <c r="D1455" s="1" t="s">
        <v>1239</v>
      </c>
      <c r="E1455" s="1" t="str">
        <f>""</f>
        <v/>
      </c>
      <c r="F1455" s="1" t="s">
        <v>28</v>
      </c>
      <c r="G1455" s="1" t="str">
        <f t="shared" si="132"/>
        <v>ECCOS-INŽENJERING D.O.O., BANI 110, 10000 ZAGREB, OIB: 71629027685</v>
      </c>
      <c r="H1455" s="7"/>
      <c r="I1455" s="8" t="s">
        <v>384</v>
      </c>
      <c r="J1455" s="8" t="s">
        <v>851</v>
      </c>
      <c r="K1455" s="6" t="str">
        <f>"16.200,00"</f>
        <v>16.200,00</v>
      </c>
      <c r="L1455" s="6" t="str">
        <f t="shared" si="133"/>
        <v>0,00</v>
      </c>
      <c r="M1455" s="6" t="str">
        <f>"16.200,00"</f>
        <v>16.200,00</v>
      </c>
      <c r="N1455" s="8" t="s">
        <v>124</v>
      </c>
      <c r="O1455" s="7"/>
      <c r="P1455" s="2" t="s">
        <v>5614</v>
      </c>
      <c r="Q1455" s="7"/>
      <c r="R1455" s="1"/>
      <c r="S1455" s="1" t="str">
        <f>"18-22/NOS-101-1/20"</f>
        <v>18-22/NOS-101-1/20</v>
      </c>
      <c r="T1455" s="1" t="s">
        <v>32</v>
      </c>
    </row>
    <row r="1456" spans="1:20" ht="102" x14ac:dyDescent="0.25">
      <c r="A1456" s="6">
        <v>1453</v>
      </c>
      <c r="B1456" s="1" t="str">
        <f t="shared" si="131"/>
        <v>2020-753</v>
      </c>
      <c r="C1456" s="1" t="s">
        <v>1418</v>
      </c>
      <c r="D1456" s="1" t="s">
        <v>1236</v>
      </c>
      <c r="E1456" s="1" t="str">
        <f>"2020/S 0F2-0046540"</f>
        <v>2020/S 0F2-0046540</v>
      </c>
      <c r="F1456" s="1" t="s">
        <v>22</v>
      </c>
      <c r="G1456" s="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456" s="7"/>
      <c r="I1456" s="8" t="s">
        <v>1392</v>
      </c>
      <c r="J1456" s="8" t="s">
        <v>1403</v>
      </c>
      <c r="K1456" s="6" t="str">
        <f>"3.300.000,00"</f>
        <v>3.300.000,00</v>
      </c>
      <c r="L1456" s="6" t="str">
        <f>"825.000,00"</f>
        <v>825.000,00</v>
      </c>
      <c r="M1456" s="6" t="str">
        <f>"4.125.000,00"</f>
        <v>4.125.000,00</v>
      </c>
      <c r="N1456" s="8" t="s">
        <v>124</v>
      </c>
      <c r="O1456" s="7"/>
      <c r="P1456" s="2" t="s">
        <v>5614</v>
      </c>
      <c r="Q1456" s="7"/>
      <c r="R1456" s="1"/>
      <c r="S1456" s="1" t="str">
        <f>"NOS-101-2/20"</f>
        <v>NOS-101-2/20</v>
      </c>
      <c r="T1456" s="1" t="s">
        <v>32</v>
      </c>
    </row>
    <row r="1457" spans="1:20" ht="127.5" x14ac:dyDescent="0.25">
      <c r="A1457" s="6">
        <v>1454</v>
      </c>
      <c r="B1457" s="1" t="str">
        <f t="shared" si="131"/>
        <v>2020-753</v>
      </c>
      <c r="C1457" s="1" t="s">
        <v>1419</v>
      </c>
      <c r="D1457" s="1" t="s">
        <v>1239</v>
      </c>
      <c r="E1457" s="1" t="str">
        <f>""</f>
        <v/>
      </c>
      <c r="F1457" s="1" t="s">
        <v>28</v>
      </c>
      <c r="G1457" s="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457" s="7"/>
      <c r="I1457" s="8" t="s">
        <v>640</v>
      </c>
      <c r="J1457" s="8" t="s">
        <v>57</v>
      </c>
      <c r="K1457" s="6" t="str">
        <f>"832.200,00"</f>
        <v>832.200,00</v>
      </c>
      <c r="L1457" s="6" t="str">
        <f>"208.050,00"</f>
        <v>208.050,00</v>
      </c>
      <c r="M1457" s="6" t="str">
        <f>"1.040.250,00"</f>
        <v>1.040.250,00</v>
      </c>
      <c r="N1457" s="8" t="s">
        <v>1314</v>
      </c>
      <c r="O1457" s="7"/>
      <c r="P1457" s="2" t="s">
        <v>6529</v>
      </c>
      <c r="Q1457" s="7"/>
      <c r="R1457" s="1"/>
      <c r="S1457" s="1" t="str">
        <f>"4-21/NOS-101-2/20"</f>
        <v>4-21/NOS-101-2/20</v>
      </c>
      <c r="T1457" s="1" t="s">
        <v>32</v>
      </c>
    </row>
    <row r="1458" spans="1:20" ht="114.75" x14ac:dyDescent="0.25">
      <c r="A1458" s="6">
        <v>1455</v>
      </c>
      <c r="B1458" s="1" t="str">
        <f t="shared" si="131"/>
        <v>2020-753</v>
      </c>
      <c r="C1458" s="1" t="s">
        <v>1420</v>
      </c>
      <c r="D1458" s="1" t="s">
        <v>1239</v>
      </c>
      <c r="E1458" s="1" t="str">
        <f>""</f>
        <v/>
      </c>
      <c r="F1458" s="1" t="s">
        <v>28</v>
      </c>
      <c r="G1458" s="1"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1458" s="7"/>
      <c r="I1458" s="8" t="s">
        <v>877</v>
      </c>
      <c r="J1458" s="8" t="s">
        <v>850</v>
      </c>
      <c r="K1458" s="6" t="str">
        <f>"837.200,00"</f>
        <v>837.200,00</v>
      </c>
      <c r="L1458" s="6" t="str">
        <f>"209.300,00"</f>
        <v>209.300,00</v>
      </c>
      <c r="M1458" s="6" t="str">
        <f>"1.046.500,00"</f>
        <v>1.046.500,00</v>
      </c>
      <c r="N1458" s="8" t="s">
        <v>124</v>
      </c>
      <c r="O1458" s="7"/>
      <c r="P1458" s="2" t="s">
        <v>6530</v>
      </c>
      <c r="Q1458" s="7"/>
      <c r="R1458" s="1"/>
      <c r="S1458" s="1" t="str">
        <f>"2-22/NOS-101-2/20"</f>
        <v>2-22/NOS-101-2/20</v>
      </c>
      <c r="T1458" s="1" t="s">
        <v>32</v>
      </c>
    </row>
    <row r="1459" spans="1:20" ht="114.75" x14ac:dyDescent="0.25">
      <c r="A1459" s="6">
        <v>1456</v>
      </c>
      <c r="B1459" s="1" t="str">
        <f t="shared" si="131"/>
        <v>2020-753</v>
      </c>
      <c r="C1459" s="1" t="s">
        <v>1418</v>
      </c>
      <c r="D1459" s="1" t="s">
        <v>1239</v>
      </c>
      <c r="E1459" s="1" t="str">
        <f>""</f>
        <v/>
      </c>
      <c r="F1459" s="1" t="s">
        <v>28</v>
      </c>
      <c r="G1459" s="1"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1459" s="7"/>
      <c r="I1459" s="8" t="s">
        <v>296</v>
      </c>
      <c r="J1459" s="8" t="s">
        <v>231</v>
      </c>
      <c r="K1459" s="6" t="str">
        <f>"179.865,00"</f>
        <v>179.865,00</v>
      </c>
      <c r="L1459" s="6" t="str">
        <f>"0,00"</f>
        <v>0,00</v>
      </c>
      <c r="M1459" s="6" t="str">
        <f>"179.865,00"</f>
        <v>179.865,00</v>
      </c>
      <c r="N1459" s="8" t="s">
        <v>124</v>
      </c>
      <c r="O1459" s="7"/>
      <c r="P1459" s="2" t="s">
        <v>5614</v>
      </c>
      <c r="Q1459" s="7"/>
      <c r="R1459" s="1"/>
      <c r="S1459" s="1" t="str">
        <f>"1-22/NOS-101-2/20"</f>
        <v>1-22/NOS-101-2/20</v>
      </c>
      <c r="T1459" s="1" t="s">
        <v>32</v>
      </c>
    </row>
    <row r="1460" spans="1:20" ht="114.75" x14ac:dyDescent="0.25">
      <c r="A1460" s="6">
        <v>1457</v>
      </c>
      <c r="B1460" s="1" t="str">
        <f t="shared" si="131"/>
        <v>2020-753</v>
      </c>
      <c r="C1460" s="1" t="s">
        <v>1421</v>
      </c>
      <c r="D1460" s="1" t="s">
        <v>1236</v>
      </c>
      <c r="E1460" s="1" t="str">
        <f>"2020/S 0F2-0046540"</f>
        <v>2020/S 0F2-0046540</v>
      </c>
      <c r="F1460" s="1" t="s">
        <v>22</v>
      </c>
      <c r="G1460" s="1" t="str">
        <f>CONCATENATE("ECCOS-INŽENJERING D.O.O.,"," BANI 110,"," 10000 ZAGREB,"," OIB: 71629027685")</f>
        <v>ECCOS-INŽENJERING D.O.O., BANI 110, 10000 ZAGREB, OIB: 71629027685</v>
      </c>
      <c r="H1460" s="7"/>
      <c r="I1460" s="8" t="s">
        <v>1392</v>
      </c>
      <c r="J1460" s="8" t="s">
        <v>1415</v>
      </c>
      <c r="K1460" s="6" t="str">
        <f>"180.000,00"</f>
        <v>180.000,00</v>
      </c>
      <c r="L1460" s="6" t="str">
        <f>"45.000,00"</f>
        <v>45.000,00</v>
      </c>
      <c r="M1460" s="6" t="str">
        <f>"225.000,00"</f>
        <v>225.000,00</v>
      </c>
      <c r="N1460" s="8" t="s">
        <v>124</v>
      </c>
      <c r="O1460" s="7"/>
      <c r="P1460" s="2" t="s">
        <v>5614</v>
      </c>
      <c r="Q1460" s="7"/>
      <c r="R1460" s="1"/>
      <c r="S1460" s="1" t="str">
        <f>"NOS-101-3/20"</f>
        <v>NOS-101-3/20</v>
      </c>
      <c r="T1460" s="1" t="s">
        <v>32</v>
      </c>
    </row>
    <row r="1461" spans="1:20" ht="127.5" x14ac:dyDescent="0.25">
      <c r="A1461" s="6">
        <v>1458</v>
      </c>
      <c r="B1461" s="1" t="str">
        <f t="shared" si="131"/>
        <v>2020-753</v>
      </c>
      <c r="C1461" s="1" t="s">
        <v>1422</v>
      </c>
      <c r="D1461" s="1" t="s">
        <v>1239</v>
      </c>
      <c r="E1461" s="1" t="str">
        <f>""</f>
        <v/>
      </c>
      <c r="F1461" s="1" t="s">
        <v>28</v>
      </c>
      <c r="G1461" s="1" t="str">
        <f>CONCATENATE("ECCOS-INŽENJERING D.O.O.,"," BANI 110,"," 10000 ZAGREB,"," OIB: 71629027685")</f>
        <v>ECCOS-INŽENJERING D.O.O., BANI 110, 10000 ZAGREB, OIB: 71629027685</v>
      </c>
      <c r="H1461" s="7"/>
      <c r="I1461" s="8" t="s">
        <v>117</v>
      </c>
      <c r="J1461" s="8" t="s">
        <v>133</v>
      </c>
      <c r="K1461" s="6" t="str">
        <f>"98.972,00"</f>
        <v>98.972,00</v>
      </c>
      <c r="L1461" s="6" t="str">
        <f>"24.743,00"</f>
        <v>24.743,00</v>
      </c>
      <c r="M1461" s="6" t="str">
        <f>"123.715,00"</f>
        <v>123.715,00</v>
      </c>
      <c r="N1461" s="8" t="s">
        <v>124</v>
      </c>
      <c r="O1461" s="7"/>
      <c r="P1461" s="2" t="s">
        <v>5614</v>
      </c>
      <c r="Q1461" s="7"/>
      <c r="R1461" s="1"/>
      <c r="S1461" s="1" t="str">
        <f>"4-21/NOS-101-3/20"</f>
        <v>4-21/NOS-101-3/20</v>
      </c>
      <c r="T1461" s="1" t="s">
        <v>32</v>
      </c>
    </row>
    <row r="1462" spans="1:20" ht="114.75" x14ac:dyDescent="0.25">
      <c r="A1462" s="6">
        <v>1459</v>
      </c>
      <c r="B1462" s="1" t="str">
        <f t="shared" si="131"/>
        <v>2020-753</v>
      </c>
      <c r="C1462" s="1" t="s">
        <v>1421</v>
      </c>
      <c r="D1462" s="1" t="s">
        <v>1239</v>
      </c>
      <c r="E1462" s="1" t="str">
        <f>""</f>
        <v/>
      </c>
      <c r="F1462" s="1" t="s">
        <v>28</v>
      </c>
      <c r="G1462" s="1" t="str">
        <f>CONCATENATE("ECCOS-INŽENJERING D.O.O.,"," BANI 110,"," 10000 ZAGREB,"," OIB: 71629027685")</f>
        <v>ECCOS-INŽENJERING D.O.O., BANI 110, 10000 ZAGREB, OIB: 71629027685</v>
      </c>
      <c r="H1462" s="7"/>
      <c r="I1462" s="8" t="s">
        <v>442</v>
      </c>
      <c r="J1462" s="8" t="s">
        <v>231</v>
      </c>
      <c r="K1462" s="6" t="str">
        <f>"24.000,00"</f>
        <v>24.000,00</v>
      </c>
      <c r="L1462" s="6" t="str">
        <f>"0,00"</f>
        <v>0,00</v>
      </c>
      <c r="M1462" s="6" t="str">
        <f>"24.000,00"</f>
        <v>24.000,00</v>
      </c>
      <c r="N1462" s="8" t="s">
        <v>124</v>
      </c>
      <c r="O1462" s="7"/>
      <c r="P1462" s="2" t="s">
        <v>5614</v>
      </c>
      <c r="Q1462" s="7"/>
      <c r="R1462" s="1"/>
      <c r="S1462" s="1" t="str">
        <f>"1-22/NOS-101-3/20"</f>
        <v>1-22/NOS-101-3/20</v>
      </c>
      <c r="T1462" s="1" t="s">
        <v>32</v>
      </c>
    </row>
    <row r="1463" spans="1:20" ht="114.75" x14ac:dyDescent="0.25">
      <c r="A1463" s="6">
        <v>1460</v>
      </c>
      <c r="B1463" s="1" t="str">
        <f t="shared" si="131"/>
        <v>2020-753</v>
      </c>
      <c r="C1463" s="1" t="s">
        <v>1421</v>
      </c>
      <c r="D1463" s="1" t="s">
        <v>1239</v>
      </c>
      <c r="E1463" s="1" t="str">
        <f>""</f>
        <v/>
      </c>
      <c r="F1463" s="1" t="s">
        <v>28</v>
      </c>
      <c r="G1463" s="1" t="str">
        <f>CONCATENATE("ECCOS-INŽENJERING D.O.O.,"," BANI 110,"," 10000 ZAGREB,"," OIB: 71629027685")</f>
        <v>ECCOS-INŽENJERING D.O.O., BANI 110, 10000 ZAGREB, OIB: 71629027685</v>
      </c>
      <c r="H1463" s="7"/>
      <c r="I1463" s="8" t="s">
        <v>433</v>
      </c>
      <c r="J1463" s="8" t="s">
        <v>292</v>
      </c>
      <c r="K1463" s="6" t="str">
        <f>"1.900,00"</f>
        <v>1.900,00</v>
      </c>
      <c r="L1463" s="6" t="str">
        <f>"0,00"</f>
        <v>0,00</v>
      </c>
      <c r="M1463" s="6" t="str">
        <f>"1.900,00"</f>
        <v>1.900,00</v>
      </c>
      <c r="N1463" s="8" t="s">
        <v>124</v>
      </c>
      <c r="O1463" s="7"/>
      <c r="P1463" s="2" t="s">
        <v>5614</v>
      </c>
      <c r="Q1463" s="7"/>
      <c r="R1463" s="1"/>
      <c r="S1463" s="1" t="str">
        <f>"2-22/NOS-101-3/20"</f>
        <v>2-22/NOS-101-3/20</v>
      </c>
      <c r="T1463" s="1" t="s">
        <v>32</v>
      </c>
    </row>
    <row r="1464" spans="1:20" ht="51" x14ac:dyDescent="0.25">
      <c r="A1464" s="6">
        <v>1461</v>
      </c>
      <c r="B1464" s="1" t="str">
        <f t="shared" ref="B1464:B1473" si="134">"2020-1977"</f>
        <v>2020-1977</v>
      </c>
      <c r="C1464" s="1" t="s">
        <v>1423</v>
      </c>
      <c r="D1464" s="1" t="s">
        <v>1424</v>
      </c>
      <c r="E1464" s="1" t="str">
        <f>"2020/S 0F2-0023782"</f>
        <v>2020/S 0F2-0023782</v>
      </c>
      <c r="F1464" s="1" t="s">
        <v>22</v>
      </c>
      <c r="G1464" s="1" t="str">
        <f t="shared" ref="G1464:G1473" si="135">CONCATENATE("VEPEL D.O.O.,"," VELINCI 19/A,"," 49295 KUMROVEC,"," OIB: 26012844053")</f>
        <v>VEPEL D.O.O., VELINCI 19/A, 49295 KUMROVEC, OIB: 26012844053</v>
      </c>
      <c r="H1464" s="7"/>
      <c r="I1464" s="8" t="s">
        <v>473</v>
      </c>
      <c r="J1464" s="8" t="s">
        <v>1425</v>
      </c>
      <c r="K1464" s="6" t="str">
        <f>"5.700.000,00"</f>
        <v>5.700.000,00</v>
      </c>
      <c r="L1464" s="6" t="str">
        <f>"1.425.000,00"</f>
        <v>1.425.000,00</v>
      </c>
      <c r="M1464" s="6" t="str">
        <f>"7.125.000,00"</f>
        <v>7.125.000,00</v>
      </c>
      <c r="N1464" s="8" t="s">
        <v>124</v>
      </c>
      <c r="O1464" s="7"/>
      <c r="P1464" s="2" t="s">
        <v>5614</v>
      </c>
      <c r="Q1464" s="7"/>
      <c r="R1464" s="1"/>
      <c r="S1464" s="1" t="str">
        <f>"NOS-39/20"</f>
        <v>NOS-39/20</v>
      </c>
      <c r="T1464" s="1" t="s">
        <v>32</v>
      </c>
    </row>
    <row r="1465" spans="1:20" ht="51" x14ac:dyDescent="0.25">
      <c r="A1465" s="6">
        <v>1462</v>
      </c>
      <c r="B1465" s="1" t="str">
        <f t="shared" si="134"/>
        <v>2020-1977</v>
      </c>
      <c r="C1465" s="1" t="s">
        <v>1423</v>
      </c>
      <c r="D1465" s="1" t="s">
        <v>1426</v>
      </c>
      <c r="E1465" s="1" t="str">
        <f>""</f>
        <v/>
      </c>
      <c r="F1465" s="1" t="s">
        <v>28</v>
      </c>
      <c r="G1465" s="1" t="str">
        <f t="shared" si="135"/>
        <v>VEPEL D.O.O., VELINCI 19/A, 49295 KUMROVEC, OIB: 26012844053</v>
      </c>
      <c r="H1465" s="7"/>
      <c r="I1465" s="8" t="s">
        <v>613</v>
      </c>
      <c r="J1465" s="8" t="s">
        <v>555</v>
      </c>
      <c r="K1465" s="6" t="str">
        <f>"274.000,00"</f>
        <v>274.000,00</v>
      </c>
      <c r="L1465" s="6" t="str">
        <f>"68.500,00"</f>
        <v>68.500,00</v>
      </c>
      <c r="M1465" s="6" t="str">
        <f>"342.500,00"</f>
        <v>342.500,00</v>
      </c>
      <c r="N1465" s="8" t="s">
        <v>421</v>
      </c>
      <c r="O1465" s="7"/>
      <c r="P1465" s="2" t="s">
        <v>6531</v>
      </c>
      <c r="Q1465" s="7"/>
      <c r="R1465" s="1"/>
      <c r="S1465" s="1" t="str">
        <f>"1-22/NOS-39/20"</f>
        <v>1-22/NOS-39/20</v>
      </c>
      <c r="T1465" s="1" t="s">
        <v>32</v>
      </c>
    </row>
    <row r="1466" spans="1:20" ht="51" x14ac:dyDescent="0.25">
      <c r="A1466" s="6">
        <v>1463</v>
      </c>
      <c r="B1466" s="1" t="str">
        <f t="shared" si="134"/>
        <v>2020-1977</v>
      </c>
      <c r="C1466" s="1" t="s">
        <v>1423</v>
      </c>
      <c r="D1466" s="1" t="s">
        <v>1426</v>
      </c>
      <c r="E1466" s="1" t="str">
        <f>""</f>
        <v/>
      </c>
      <c r="F1466" s="1" t="s">
        <v>28</v>
      </c>
      <c r="G1466" s="1" t="str">
        <f t="shared" si="135"/>
        <v>VEPEL D.O.O., VELINCI 19/A, 49295 KUMROVEC, OIB: 26012844053</v>
      </c>
      <c r="H1466" s="7"/>
      <c r="I1466" s="8" t="s">
        <v>163</v>
      </c>
      <c r="J1466" s="8" t="s">
        <v>555</v>
      </c>
      <c r="K1466" s="6" t="str">
        <f>"80.000,00"</f>
        <v>80.000,00</v>
      </c>
      <c r="L1466" s="6" t="str">
        <f>"20.000,00"</f>
        <v>20.000,00</v>
      </c>
      <c r="M1466" s="6" t="str">
        <f>"100.000,00"</f>
        <v>100.000,00</v>
      </c>
      <c r="N1466" s="8" t="s">
        <v>371</v>
      </c>
      <c r="O1466" s="7"/>
      <c r="P1466" s="2" t="s">
        <v>6532</v>
      </c>
      <c r="Q1466" s="7"/>
      <c r="R1466" s="1"/>
      <c r="S1466" s="1" t="str">
        <f>"2-22/NOS-39/20"</f>
        <v>2-22/NOS-39/20</v>
      </c>
      <c r="T1466" s="1" t="s">
        <v>32</v>
      </c>
    </row>
    <row r="1467" spans="1:20" ht="51" x14ac:dyDescent="0.25">
      <c r="A1467" s="6">
        <v>1464</v>
      </c>
      <c r="B1467" s="1" t="str">
        <f t="shared" si="134"/>
        <v>2020-1977</v>
      </c>
      <c r="C1467" s="1" t="s">
        <v>1423</v>
      </c>
      <c r="D1467" s="1" t="s">
        <v>1426</v>
      </c>
      <c r="E1467" s="1" t="str">
        <f>""</f>
        <v/>
      </c>
      <c r="F1467" s="1" t="s">
        <v>28</v>
      </c>
      <c r="G1467" s="1" t="str">
        <f t="shared" si="135"/>
        <v>VEPEL D.O.O., VELINCI 19/A, 49295 KUMROVEC, OIB: 26012844053</v>
      </c>
      <c r="H1467" s="7"/>
      <c r="I1467" s="8" t="s">
        <v>345</v>
      </c>
      <c r="J1467" s="8" t="s">
        <v>555</v>
      </c>
      <c r="K1467" s="6" t="str">
        <f>"74.500,00"</f>
        <v>74.500,00</v>
      </c>
      <c r="L1467" s="6" t="str">
        <f>"18.625,00"</f>
        <v>18.625,00</v>
      </c>
      <c r="M1467" s="6" t="str">
        <f>"93.125,00"</f>
        <v>93.125,00</v>
      </c>
      <c r="N1467" s="8" t="s">
        <v>260</v>
      </c>
      <c r="O1467" s="7"/>
      <c r="P1467" s="2" t="s">
        <v>6533</v>
      </c>
      <c r="Q1467" s="7"/>
      <c r="R1467" s="1"/>
      <c r="S1467" s="1" t="str">
        <f>"3-22/NOS-39/20"</f>
        <v>3-22/NOS-39/20</v>
      </c>
      <c r="T1467" s="1" t="s">
        <v>32</v>
      </c>
    </row>
    <row r="1468" spans="1:20" ht="51" x14ac:dyDescent="0.25">
      <c r="A1468" s="6">
        <v>1465</v>
      </c>
      <c r="B1468" s="1" t="str">
        <f t="shared" si="134"/>
        <v>2020-1977</v>
      </c>
      <c r="C1468" s="1" t="s">
        <v>1423</v>
      </c>
      <c r="D1468" s="1" t="s">
        <v>1426</v>
      </c>
      <c r="E1468" s="1" t="str">
        <f>""</f>
        <v/>
      </c>
      <c r="F1468" s="1" t="s">
        <v>28</v>
      </c>
      <c r="G1468" s="1" t="str">
        <f t="shared" si="135"/>
        <v>VEPEL D.O.O., VELINCI 19/A, 49295 KUMROVEC, OIB: 26012844053</v>
      </c>
      <c r="H1468" s="7"/>
      <c r="I1468" s="8" t="s">
        <v>521</v>
      </c>
      <c r="J1468" s="8" t="s">
        <v>555</v>
      </c>
      <c r="K1468" s="6" t="str">
        <f>"52.500,00"</f>
        <v>52.500,00</v>
      </c>
      <c r="L1468" s="6" t="str">
        <f>"13.125,00"</f>
        <v>13.125,00</v>
      </c>
      <c r="M1468" s="6" t="str">
        <f>"65.625,00"</f>
        <v>65.625,00</v>
      </c>
      <c r="N1468" s="8" t="s">
        <v>238</v>
      </c>
      <c r="O1468" s="7"/>
      <c r="P1468" s="2" t="s">
        <v>6534</v>
      </c>
      <c r="Q1468" s="7"/>
      <c r="R1468" s="1"/>
      <c r="S1468" s="1" t="str">
        <f>"4-22/NOS-39/20"</f>
        <v>4-22/NOS-39/20</v>
      </c>
      <c r="T1468" s="1" t="s">
        <v>32</v>
      </c>
    </row>
    <row r="1469" spans="1:20" ht="51" x14ac:dyDescent="0.25">
      <c r="A1469" s="6">
        <v>1466</v>
      </c>
      <c r="B1469" s="1" t="str">
        <f t="shared" si="134"/>
        <v>2020-1977</v>
      </c>
      <c r="C1469" s="1" t="s">
        <v>1423</v>
      </c>
      <c r="D1469" s="1" t="s">
        <v>1426</v>
      </c>
      <c r="E1469" s="1" t="str">
        <f>""</f>
        <v/>
      </c>
      <c r="F1469" s="1" t="s">
        <v>28</v>
      </c>
      <c r="G1469" s="1" t="str">
        <f t="shared" si="135"/>
        <v>VEPEL D.O.O., VELINCI 19/A, 49295 KUMROVEC, OIB: 26012844053</v>
      </c>
      <c r="H1469" s="7"/>
      <c r="I1469" s="8" t="s">
        <v>238</v>
      </c>
      <c r="J1469" s="8" t="s">
        <v>555</v>
      </c>
      <c r="K1469" s="6" t="str">
        <f>"15.000,00"</f>
        <v>15.000,00</v>
      </c>
      <c r="L1469" s="6" t="str">
        <f>"3.750,00"</f>
        <v>3.750,00</v>
      </c>
      <c r="M1469" s="6" t="str">
        <f>"18.750,00"</f>
        <v>18.750,00</v>
      </c>
      <c r="N1469" s="8" t="s">
        <v>905</v>
      </c>
      <c r="O1469" s="7"/>
      <c r="P1469" s="2" t="s">
        <v>5900</v>
      </c>
      <c r="Q1469" s="7"/>
      <c r="R1469" s="1"/>
      <c r="S1469" s="1" t="str">
        <f>"5-22/NOS-39/20"</f>
        <v>5-22/NOS-39/20</v>
      </c>
      <c r="T1469" s="1" t="s">
        <v>32</v>
      </c>
    </row>
    <row r="1470" spans="1:20" ht="51" x14ac:dyDescent="0.25">
      <c r="A1470" s="6">
        <v>1467</v>
      </c>
      <c r="B1470" s="1" t="str">
        <f t="shared" si="134"/>
        <v>2020-1977</v>
      </c>
      <c r="C1470" s="1" t="s">
        <v>1423</v>
      </c>
      <c r="D1470" s="1" t="s">
        <v>1426</v>
      </c>
      <c r="E1470" s="1" t="str">
        <f>""</f>
        <v/>
      </c>
      <c r="F1470" s="1" t="s">
        <v>28</v>
      </c>
      <c r="G1470" s="1" t="str">
        <f t="shared" si="135"/>
        <v>VEPEL D.O.O., VELINCI 19/A, 49295 KUMROVEC, OIB: 26012844053</v>
      </c>
      <c r="H1470" s="7"/>
      <c r="I1470" s="8" t="s">
        <v>893</v>
      </c>
      <c r="J1470" s="8" t="s">
        <v>555</v>
      </c>
      <c r="K1470" s="6" t="str">
        <f>"52.500,00"</f>
        <v>52.500,00</v>
      </c>
      <c r="L1470" s="6" t="str">
        <f>"13.125,00"</f>
        <v>13.125,00</v>
      </c>
      <c r="M1470" s="6" t="str">
        <f>"65.625,00"</f>
        <v>65.625,00</v>
      </c>
      <c r="N1470" s="8" t="s">
        <v>430</v>
      </c>
      <c r="O1470" s="7"/>
      <c r="P1470" s="2" t="s">
        <v>6534</v>
      </c>
      <c r="Q1470" s="7"/>
      <c r="R1470" s="1"/>
      <c r="S1470" s="1" t="str">
        <f>"6-22/NOS-39/20"</f>
        <v>6-22/NOS-39/20</v>
      </c>
      <c r="T1470" s="1" t="s">
        <v>32</v>
      </c>
    </row>
    <row r="1471" spans="1:20" ht="51" x14ac:dyDescent="0.25">
      <c r="A1471" s="6">
        <v>1468</v>
      </c>
      <c r="B1471" s="1" t="str">
        <f t="shared" si="134"/>
        <v>2020-1977</v>
      </c>
      <c r="C1471" s="1" t="s">
        <v>1423</v>
      </c>
      <c r="D1471" s="1" t="s">
        <v>1426</v>
      </c>
      <c r="E1471" s="1" t="str">
        <f>""</f>
        <v/>
      </c>
      <c r="F1471" s="1" t="s">
        <v>28</v>
      </c>
      <c r="G1471" s="1" t="str">
        <f t="shared" si="135"/>
        <v>VEPEL D.O.O., VELINCI 19/A, 49295 KUMROVEC, OIB: 26012844053</v>
      </c>
      <c r="H1471" s="7"/>
      <c r="I1471" s="8" t="s">
        <v>964</v>
      </c>
      <c r="J1471" s="8" t="s">
        <v>555</v>
      </c>
      <c r="K1471" s="6" t="str">
        <f>"117.500,00"</f>
        <v>117.500,00</v>
      </c>
      <c r="L1471" s="6" t="str">
        <f>"29.375,00"</f>
        <v>29.375,00</v>
      </c>
      <c r="M1471" s="6" t="str">
        <f>"146.875,00"</f>
        <v>146.875,00</v>
      </c>
      <c r="N1471" s="8" t="s">
        <v>501</v>
      </c>
      <c r="O1471" s="7"/>
      <c r="P1471" s="2" t="s">
        <v>6535</v>
      </c>
      <c r="Q1471" s="7"/>
      <c r="R1471" s="1"/>
      <c r="S1471" s="1" t="str">
        <f>"7-22/NOS-39/20"</f>
        <v>7-22/NOS-39/20</v>
      </c>
      <c r="T1471" s="1" t="s">
        <v>32</v>
      </c>
    </row>
    <row r="1472" spans="1:20" ht="51" x14ac:dyDescent="0.25">
      <c r="A1472" s="6">
        <v>1469</v>
      </c>
      <c r="B1472" s="1" t="str">
        <f t="shared" si="134"/>
        <v>2020-1977</v>
      </c>
      <c r="C1472" s="1" t="s">
        <v>1423</v>
      </c>
      <c r="D1472" s="1" t="s">
        <v>1426</v>
      </c>
      <c r="E1472" s="1" t="str">
        <f>""</f>
        <v/>
      </c>
      <c r="F1472" s="1" t="s">
        <v>28</v>
      </c>
      <c r="G1472" s="1" t="str">
        <f t="shared" si="135"/>
        <v>VEPEL D.O.O., VELINCI 19/A, 49295 KUMROVEC, OIB: 26012844053</v>
      </c>
      <c r="H1472" s="7"/>
      <c r="I1472" s="8" t="s">
        <v>58</v>
      </c>
      <c r="J1472" s="8" t="s">
        <v>555</v>
      </c>
      <c r="K1472" s="6" t="str">
        <f>"69.250,00"</f>
        <v>69.250,00</v>
      </c>
      <c r="L1472" s="6" t="str">
        <f>"17.312,50"</f>
        <v>17.312,50</v>
      </c>
      <c r="M1472" s="6" t="str">
        <f>"86.562,50"</f>
        <v>86.562,50</v>
      </c>
      <c r="N1472" s="8" t="s">
        <v>501</v>
      </c>
      <c r="O1472" s="7"/>
      <c r="P1472" s="2" t="s">
        <v>6536</v>
      </c>
      <c r="Q1472" s="7"/>
      <c r="R1472" s="1"/>
      <c r="S1472" s="1" t="str">
        <f>"8-22/NOS-39/20"</f>
        <v>8-22/NOS-39/20</v>
      </c>
      <c r="T1472" s="1" t="s">
        <v>32</v>
      </c>
    </row>
    <row r="1473" spans="1:20" ht="51" x14ac:dyDescent="0.25">
      <c r="A1473" s="6">
        <v>1470</v>
      </c>
      <c r="B1473" s="1" t="str">
        <f t="shared" si="134"/>
        <v>2020-1977</v>
      </c>
      <c r="C1473" s="1" t="s">
        <v>1423</v>
      </c>
      <c r="D1473" s="1" t="s">
        <v>1426</v>
      </c>
      <c r="E1473" s="1" t="str">
        <f>""</f>
        <v/>
      </c>
      <c r="F1473" s="1" t="s">
        <v>28</v>
      </c>
      <c r="G1473" s="1" t="str">
        <f t="shared" si="135"/>
        <v>VEPEL D.O.O., VELINCI 19/A, 49295 KUMROVEC, OIB: 26012844053</v>
      </c>
      <c r="H1473" s="7"/>
      <c r="I1473" s="8" t="s">
        <v>489</v>
      </c>
      <c r="J1473" s="8" t="s">
        <v>555</v>
      </c>
      <c r="K1473" s="6" t="str">
        <f>"99.500,00"</f>
        <v>99.500,00</v>
      </c>
      <c r="L1473" s="6" t="str">
        <f>"0,00"</f>
        <v>0,00</v>
      </c>
      <c r="M1473" s="6" t="str">
        <f>"99.500,00"</f>
        <v>99.500,00</v>
      </c>
      <c r="N1473" s="8" t="s">
        <v>124</v>
      </c>
      <c r="O1473" s="7"/>
      <c r="P1473" s="2" t="s">
        <v>5614</v>
      </c>
      <c r="Q1473" s="7"/>
      <c r="R1473" s="1"/>
      <c r="S1473" s="1" t="str">
        <f>"11-22/NOS-39/20"</f>
        <v>11-22/NOS-39/20</v>
      </c>
      <c r="T1473" s="1" t="s">
        <v>32</v>
      </c>
    </row>
    <row r="1474" spans="1:20" ht="51" x14ac:dyDescent="0.25">
      <c r="A1474" s="6">
        <v>1471</v>
      </c>
      <c r="B1474" s="1" t="str">
        <f>"2020-1489"</f>
        <v>2020-1489</v>
      </c>
      <c r="C1474" s="1" t="s">
        <v>1427</v>
      </c>
      <c r="D1474" s="1" t="s">
        <v>1428</v>
      </c>
      <c r="E1474" s="1" t="str">
        <f>"2021/S 0F2-0005242"</f>
        <v>2021/S 0F2-0005242</v>
      </c>
      <c r="F1474" s="1" t="s">
        <v>22</v>
      </c>
      <c r="G1474" s="1" t="str">
        <f>CONCATENATE("WELTPLAST,"," D.O.O.,"," VELIKA CESTA 33,"," 10000 ZAGREB,"," OIB: 83776585213")</f>
        <v>WELTPLAST, D.O.O., VELIKA CESTA 33, 10000 ZAGREB, OIB: 83776585213</v>
      </c>
      <c r="H1474" s="7"/>
      <c r="I1474" s="8" t="s">
        <v>1429</v>
      </c>
      <c r="J1474" s="8" t="s">
        <v>1430</v>
      </c>
      <c r="K1474" s="6" t="str">
        <f>"50.000.000,00"</f>
        <v>50.000.000,00</v>
      </c>
      <c r="L1474" s="6" t="str">
        <f>"12.500.000,00"</f>
        <v>12.500.000,00</v>
      </c>
      <c r="M1474" s="6" t="str">
        <f>"62.500.000,00"</f>
        <v>62.500.000,00</v>
      </c>
      <c r="N1474" s="8" t="s">
        <v>124</v>
      </c>
      <c r="O1474" s="7"/>
      <c r="P1474" s="2" t="s">
        <v>5614</v>
      </c>
      <c r="Q1474" s="7"/>
      <c r="R1474" s="1"/>
      <c r="S1474" s="1" t="str">
        <f>"NOS-106/20"</f>
        <v>NOS-106/20</v>
      </c>
      <c r="T1474" s="1" t="s">
        <v>32</v>
      </c>
    </row>
    <row r="1475" spans="1:20" ht="51" x14ac:dyDescent="0.25">
      <c r="A1475" s="6">
        <v>1472</v>
      </c>
      <c r="B1475" s="1" t="str">
        <f>"2020-1489"</f>
        <v>2020-1489</v>
      </c>
      <c r="C1475" s="1" t="s">
        <v>1427</v>
      </c>
      <c r="D1475" s="1" t="s">
        <v>1431</v>
      </c>
      <c r="E1475" s="1" t="str">
        <f>""</f>
        <v/>
      </c>
      <c r="F1475" s="1" t="s">
        <v>28</v>
      </c>
      <c r="G1475" s="1" t="str">
        <f>CONCATENATE("WELTPLAST,"," D.O.O.,"," VELIKA CESTA 33,"," 10000 ZAGREB,"," OIB: 83776585213")</f>
        <v>WELTPLAST, D.O.O., VELIKA CESTA 33, 10000 ZAGREB, OIB: 83776585213</v>
      </c>
      <c r="H1475" s="7"/>
      <c r="I1475" s="8" t="s">
        <v>247</v>
      </c>
      <c r="J1475" s="8" t="s">
        <v>123</v>
      </c>
      <c r="K1475" s="6" t="str">
        <f>"10.601.760,00"</f>
        <v>10.601.760,00</v>
      </c>
      <c r="L1475" s="6" t="str">
        <f>"2.650.440,00"</f>
        <v>2.650.440,00</v>
      </c>
      <c r="M1475" s="6" t="str">
        <f>"13.252.200,00"</f>
        <v>13.252.200,00</v>
      </c>
      <c r="N1475" s="8" t="s">
        <v>124</v>
      </c>
      <c r="O1475" s="7"/>
      <c r="P1475" s="2" t="s">
        <v>6537</v>
      </c>
      <c r="Q1475" s="7"/>
      <c r="R1475" s="1"/>
      <c r="S1475" s="1" t="str">
        <f>"1-22/NOS-106/20"</f>
        <v>1-22/NOS-106/20</v>
      </c>
      <c r="T1475" s="1" t="s">
        <v>32</v>
      </c>
    </row>
    <row r="1476" spans="1:20" ht="51" x14ac:dyDescent="0.25">
      <c r="A1476" s="6">
        <v>1473</v>
      </c>
      <c r="B1476" s="1" t="str">
        <f t="shared" ref="B1476:B1502" si="136">"2020-2934"</f>
        <v>2020-2934</v>
      </c>
      <c r="C1476" s="1" t="s">
        <v>1432</v>
      </c>
      <c r="D1476" s="1" t="s">
        <v>1209</v>
      </c>
      <c r="E1476" s="1" t="str">
        <f>"2020/S 0F2-0044206"</f>
        <v>2020/S 0F2-0044206</v>
      </c>
      <c r="F1476" s="1" t="s">
        <v>22</v>
      </c>
      <c r="G1476" s="1" t="str">
        <f t="shared" ref="G1476:G1502" si="137">CONCATENATE("TAHOGRAF D.O.O.,"," DR. FRANJE TUĐMANA 24,"," 10431 SVETA NEDELJA,"," OIB: 73777060562")</f>
        <v>TAHOGRAF D.O.O., DR. FRANJE TUĐMANA 24, 10431 SVETA NEDELJA, OIB: 73777060562</v>
      </c>
      <c r="H1476" s="7"/>
      <c r="I1476" s="8" t="s">
        <v>1392</v>
      </c>
      <c r="J1476" s="8" t="s">
        <v>1393</v>
      </c>
      <c r="K1476" s="6" t="str">
        <f>"1.000.000,00"</f>
        <v>1.000.000,00</v>
      </c>
      <c r="L1476" s="6" t="str">
        <f>"250.000,00"</f>
        <v>250.000,00</v>
      </c>
      <c r="M1476" s="6" t="str">
        <f>"1.250.000,00"</f>
        <v>1.250.000,00</v>
      </c>
      <c r="N1476" s="8" t="s">
        <v>124</v>
      </c>
      <c r="O1476" s="7"/>
      <c r="P1476" s="2" t="s">
        <v>5614</v>
      </c>
      <c r="Q1476" s="7"/>
      <c r="R1476" s="1"/>
      <c r="S1476" s="1" t="str">
        <f>"NOS-100/20"</f>
        <v>NOS-100/20</v>
      </c>
      <c r="T1476" s="1" t="s">
        <v>32</v>
      </c>
    </row>
    <row r="1477" spans="1:20" ht="51" x14ac:dyDescent="0.25">
      <c r="A1477" s="6">
        <v>1474</v>
      </c>
      <c r="B1477" s="1" t="str">
        <f t="shared" si="136"/>
        <v>2020-2934</v>
      </c>
      <c r="C1477" s="1" t="s">
        <v>1432</v>
      </c>
      <c r="D1477" s="1" t="s">
        <v>1209</v>
      </c>
      <c r="E1477" s="1" t="str">
        <f>""</f>
        <v/>
      </c>
      <c r="F1477" s="1" t="s">
        <v>28</v>
      </c>
      <c r="G1477" s="1" t="str">
        <f t="shared" si="137"/>
        <v>TAHOGRAF D.O.O., DR. FRANJE TUĐMANA 24, 10431 SVETA NEDELJA, OIB: 73777060562</v>
      </c>
      <c r="H1477" s="7"/>
      <c r="I1477" s="8" t="s">
        <v>1044</v>
      </c>
      <c r="J1477" s="8" t="s">
        <v>30</v>
      </c>
      <c r="K1477" s="6" t="str">
        <f>"119.986,16"</f>
        <v>119.986,16</v>
      </c>
      <c r="L1477" s="6" t="str">
        <f>"29.996,54"</f>
        <v>29.996,54</v>
      </c>
      <c r="M1477" s="6" t="str">
        <f>"149.982,70"</f>
        <v>149.982,70</v>
      </c>
      <c r="N1477" s="8" t="s">
        <v>430</v>
      </c>
      <c r="O1477" s="7"/>
      <c r="P1477" s="2" t="s">
        <v>6538</v>
      </c>
      <c r="Q1477" s="7"/>
      <c r="R1477" s="1"/>
      <c r="S1477" s="1" t="str">
        <f>"14-21/NOS-100/20"</f>
        <v>14-21/NOS-100/20</v>
      </c>
      <c r="T1477" s="1" t="s">
        <v>32</v>
      </c>
    </row>
    <row r="1478" spans="1:20" ht="51" x14ac:dyDescent="0.25">
      <c r="A1478" s="6">
        <v>1475</v>
      </c>
      <c r="B1478" s="1" t="str">
        <f t="shared" si="136"/>
        <v>2020-2934</v>
      </c>
      <c r="C1478" s="1" t="s">
        <v>1432</v>
      </c>
      <c r="D1478" s="1" t="s">
        <v>1209</v>
      </c>
      <c r="E1478" s="1" t="str">
        <f>""</f>
        <v/>
      </c>
      <c r="F1478" s="1" t="s">
        <v>28</v>
      </c>
      <c r="G1478" s="1" t="str">
        <f t="shared" si="137"/>
        <v>TAHOGRAF D.O.O., DR. FRANJE TUĐMANA 24, 10431 SVETA NEDELJA, OIB: 73777060562</v>
      </c>
      <c r="H1478" s="7"/>
      <c r="I1478" s="8" t="s">
        <v>634</v>
      </c>
      <c r="J1478" s="8" t="s">
        <v>41</v>
      </c>
      <c r="K1478" s="6" t="str">
        <f>"24.999,84"</f>
        <v>24.999,84</v>
      </c>
      <c r="L1478" s="6" t="str">
        <f>"6.249,96"</f>
        <v>6.249,96</v>
      </c>
      <c r="M1478" s="6" t="str">
        <f>"31.249,80"</f>
        <v>31.249,80</v>
      </c>
      <c r="N1478" s="8" t="s">
        <v>406</v>
      </c>
      <c r="O1478" s="7"/>
      <c r="P1478" s="2" t="s">
        <v>6539</v>
      </c>
      <c r="Q1478" s="7"/>
      <c r="R1478" s="1"/>
      <c r="S1478" s="1" t="str">
        <f>"19-21/NOS-100/20"</f>
        <v>19-21/NOS-100/20</v>
      </c>
      <c r="T1478" s="1" t="s">
        <v>32</v>
      </c>
    </row>
    <row r="1479" spans="1:20" ht="51" x14ac:dyDescent="0.25">
      <c r="A1479" s="6">
        <v>1476</v>
      </c>
      <c r="B1479" s="1" t="str">
        <f t="shared" si="136"/>
        <v>2020-2934</v>
      </c>
      <c r="C1479" s="1" t="s">
        <v>1432</v>
      </c>
      <c r="D1479" s="1" t="s">
        <v>1209</v>
      </c>
      <c r="E1479" s="1" t="str">
        <f>""</f>
        <v/>
      </c>
      <c r="F1479" s="1" t="s">
        <v>28</v>
      </c>
      <c r="G1479" s="1" t="str">
        <f t="shared" si="137"/>
        <v>TAHOGRAF D.O.O., DR. FRANJE TUĐMANA 24, 10431 SVETA NEDELJA, OIB: 73777060562</v>
      </c>
      <c r="H1479" s="7"/>
      <c r="I1479" s="8" t="s">
        <v>120</v>
      </c>
      <c r="J1479" s="8" t="s">
        <v>57</v>
      </c>
      <c r="K1479" s="6" t="str">
        <f>"39.937,85"</f>
        <v>39.937,85</v>
      </c>
      <c r="L1479" s="6" t="str">
        <f>"9.984,46"</f>
        <v>9.984,46</v>
      </c>
      <c r="M1479" s="6" t="str">
        <f>"49.922,31"</f>
        <v>49.922,31</v>
      </c>
      <c r="N1479" s="8" t="s">
        <v>1433</v>
      </c>
      <c r="O1479" s="7"/>
      <c r="P1479" s="2" t="s">
        <v>6540</v>
      </c>
      <c r="Q1479" s="7"/>
      <c r="R1479" s="1"/>
      <c r="S1479" s="1" t="str">
        <f>"21-21/NOS-100/20"</f>
        <v>21-21/NOS-100/20</v>
      </c>
      <c r="T1479" s="1" t="s">
        <v>32</v>
      </c>
    </row>
    <row r="1480" spans="1:20" ht="51" x14ac:dyDescent="0.25">
      <c r="A1480" s="6">
        <v>1477</v>
      </c>
      <c r="B1480" s="1" t="str">
        <f t="shared" si="136"/>
        <v>2020-2934</v>
      </c>
      <c r="C1480" s="1" t="s">
        <v>1432</v>
      </c>
      <c r="D1480" s="1" t="s">
        <v>1209</v>
      </c>
      <c r="E1480" s="1" t="str">
        <f>""</f>
        <v/>
      </c>
      <c r="F1480" s="1" t="s">
        <v>28</v>
      </c>
      <c r="G1480" s="1" t="str">
        <f t="shared" si="137"/>
        <v>TAHOGRAF D.O.O., DR. FRANJE TUĐMANA 24, 10431 SVETA NEDELJA, OIB: 73777060562</v>
      </c>
      <c r="H1480" s="7"/>
      <c r="I1480" s="8" t="s">
        <v>521</v>
      </c>
      <c r="J1480" s="8" t="s">
        <v>123</v>
      </c>
      <c r="K1480" s="6" t="str">
        <f>"59.999,05"</f>
        <v>59.999,05</v>
      </c>
      <c r="L1480" s="6" t="str">
        <f>"14.999,76"</f>
        <v>14.999,76</v>
      </c>
      <c r="M1480" s="6" t="str">
        <f>"74.998,81"</f>
        <v>74.998,81</v>
      </c>
      <c r="N1480" s="8" t="s">
        <v>124</v>
      </c>
      <c r="O1480" s="7"/>
      <c r="P1480" s="2" t="s">
        <v>6541</v>
      </c>
      <c r="Q1480" s="7"/>
      <c r="R1480" s="1"/>
      <c r="S1480" s="1" t="str">
        <f>"6-22/NOS-100/20"</f>
        <v>6-22/NOS-100/20</v>
      </c>
      <c r="T1480" s="1" t="s">
        <v>32</v>
      </c>
    </row>
    <row r="1481" spans="1:20" ht="51" x14ac:dyDescent="0.25">
      <c r="A1481" s="6">
        <v>1478</v>
      </c>
      <c r="B1481" s="1" t="str">
        <f t="shared" si="136"/>
        <v>2020-2934</v>
      </c>
      <c r="C1481" s="1" t="s">
        <v>1432</v>
      </c>
      <c r="D1481" s="1" t="s">
        <v>1209</v>
      </c>
      <c r="E1481" s="1" t="str">
        <f>""</f>
        <v/>
      </c>
      <c r="F1481" s="1" t="s">
        <v>28</v>
      </c>
      <c r="G1481" s="1" t="str">
        <f t="shared" si="137"/>
        <v>TAHOGRAF D.O.O., DR. FRANJE TUĐMANA 24, 10431 SVETA NEDELJA, OIB: 73777060562</v>
      </c>
      <c r="H1481" s="7"/>
      <c r="I1481" s="8" t="s">
        <v>54</v>
      </c>
      <c r="J1481" s="8" t="s">
        <v>490</v>
      </c>
      <c r="K1481" s="6" t="str">
        <f>"129.975,20"</f>
        <v>129.975,20</v>
      </c>
      <c r="L1481" s="6" t="str">
        <f>"32.493,80"</f>
        <v>32.493,80</v>
      </c>
      <c r="M1481" s="6" t="str">
        <f>"162.469,00"</f>
        <v>162.469,00</v>
      </c>
      <c r="N1481" s="8" t="s">
        <v>124</v>
      </c>
      <c r="O1481" s="7"/>
      <c r="P1481" s="2" t="s">
        <v>6542</v>
      </c>
      <c r="Q1481" s="7"/>
      <c r="R1481" s="1"/>
      <c r="S1481" s="1" t="str">
        <f>"7-22/NOS-100/20"</f>
        <v>7-22/NOS-100/20</v>
      </c>
      <c r="T1481" s="1" t="s">
        <v>32</v>
      </c>
    </row>
    <row r="1482" spans="1:20" ht="51" x14ac:dyDescent="0.25">
      <c r="A1482" s="6">
        <v>1479</v>
      </c>
      <c r="B1482" s="1" t="str">
        <f t="shared" si="136"/>
        <v>2020-2934</v>
      </c>
      <c r="C1482" s="1" t="s">
        <v>1432</v>
      </c>
      <c r="D1482" s="1" t="s">
        <v>1209</v>
      </c>
      <c r="E1482" s="1" t="str">
        <f>""</f>
        <v/>
      </c>
      <c r="F1482" s="1" t="s">
        <v>28</v>
      </c>
      <c r="G1482" s="1" t="str">
        <f t="shared" si="137"/>
        <v>TAHOGRAF D.O.O., DR. FRANJE TUĐMANA 24, 10431 SVETA NEDELJA, OIB: 73777060562</v>
      </c>
      <c r="H1482" s="7"/>
      <c r="I1482" s="8" t="s">
        <v>93</v>
      </c>
      <c r="J1482" s="8" t="s">
        <v>555</v>
      </c>
      <c r="K1482" s="6" t="str">
        <f>"3.400,00"</f>
        <v>3.400,00</v>
      </c>
      <c r="L1482" s="6" t="str">
        <f>"522,50"</f>
        <v>522,50</v>
      </c>
      <c r="M1482" s="6" t="str">
        <f>"3.922,50"</f>
        <v>3.922,50</v>
      </c>
      <c r="N1482" s="8" t="s">
        <v>955</v>
      </c>
      <c r="O1482" s="7"/>
      <c r="P1482" s="2" t="s">
        <v>6543</v>
      </c>
      <c r="Q1482" s="7"/>
      <c r="R1482" s="1"/>
      <c r="S1482" s="1" t="str">
        <f>"1-22/NOS-100/20"</f>
        <v>1-22/NOS-100/20</v>
      </c>
      <c r="T1482" s="1" t="s">
        <v>32</v>
      </c>
    </row>
    <row r="1483" spans="1:20" ht="51" x14ac:dyDescent="0.25">
      <c r="A1483" s="6">
        <v>1480</v>
      </c>
      <c r="B1483" s="1" t="str">
        <f t="shared" si="136"/>
        <v>2020-2934</v>
      </c>
      <c r="C1483" s="1" t="s">
        <v>1432</v>
      </c>
      <c r="D1483" s="1" t="s">
        <v>1209</v>
      </c>
      <c r="E1483" s="1" t="str">
        <f>""</f>
        <v/>
      </c>
      <c r="F1483" s="1" t="s">
        <v>28</v>
      </c>
      <c r="G1483" s="1" t="str">
        <f t="shared" si="137"/>
        <v>TAHOGRAF D.O.O., DR. FRANJE TUĐMANA 24, 10431 SVETA NEDELJA, OIB: 73777060562</v>
      </c>
      <c r="H1483" s="7"/>
      <c r="I1483" s="8" t="s">
        <v>421</v>
      </c>
      <c r="J1483" s="8" t="s">
        <v>555</v>
      </c>
      <c r="K1483" s="6" t="str">
        <f>"200,00"</f>
        <v>200,00</v>
      </c>
      <c r="L1483" s="6" t="str">
        <f>"50,00"</f>
        <v>50,00</v>
      </c>
      <c r="M1483" s="6" t="str">
        <f>"250,00"</f>
        <v>250,00</v>
      </c>
      <c r="N1483" s="8" t="s">
        <v>955</v>
      </c>
      <c r="O1483" s="7"/>
      <c r="P1483" s="2" t="s">
        <v>6544</v>
      </c>
      <c r="Q1483" s="7"/>
      <c r="R1483" s="1"/>
      <c r="S1483" s="1" t="str">
        <f>"3-22/NOS-100/20"</f>
        <v>3-22/NOS-100/20</v>
      </c>
      <c r="T1483" s="1" t="s">
        <v>32</v>
      </c>
    </row>
    <row r="1484" spans="1:20" ht="51" x14ac:dyDescent="0.25">
      <c r="A1484" s="6">
        <v>1481</v>
      </c>
      <c r="B1484" s="1" t="str">
        <f t="shared" si="136"/>
        <v>2020-2934</v>
      </c>
      <c r="C1484" s="1" t="s">
        <v>1432</v>
      </c>
      <c r="D1484" s="1" t="s">
        <v>1209</v>
      </c>
      <c r="E1484" s="1" t="str">
        <f>""</f>
        <v/>
      </c>
      <c r="F1484" s="1" t="s">
        <v>28</v>
      </c>
      <c r="G1484" s="1" t="str">
        <f t="shared" si="137"/>
        <v>TAHOGRAF D.O.O., DR. FRANJE TUĐMANA 24, 10431 SVETA NEDELJA, OIB: 73777060562</v>
      </c>
      <c r="H1484" s="7"/>
      <c r="I1484" s="8" t="s">
        <v>250</v>
      </c>
      <c r="J1484" s="8" t="s">
        <v>555</v>
      </c>
      <c r="K1484" s="6" t="str">
        <f>"690,90"</f>
        <v>690,90</v>
      </c>
      <c r="L1484" s="6" t="str">
        <f>"172,73"</f>
        <v>172,73</v>
      </c>
      <c r="M1484" s="6" t="str">
        <f>"863,63"</f>
        <v>863,63</v>
      </c>
      <c r="N1484" s="8" t="s">
        <v>30</v>
      </c>
      <c r="O1484" s="7"/>
      <c r="P1484" s="2" t="s">
        <v>6545</v>
      </c>
      <c r="Q1484" s="7"/>
      <c r="R1484" s="1"/>
      <c r="S1484" s="1" t="str">
        <f>"4-22/NOS-100/20"</f>
        <v>4-22/NOS-100/20</v>
      </c>
      <c r="T1484" s="1" t="s">
        <v>32</v>
      </c>
    </row>
    <row r="1485" spans="1:20" ht="51" x14ac:dyDescent="0.25">
      <c r="A1485" s="6">
        <v>1482</v>
      </c>
      <c r="B1485" s="1" t="str">
        <f t="shared" si="136"/>
        <v>2020-2934</v>
      </c>
      <c r="C1485" s="1" t="s">
        <v>1432</v>
      </c>
      <c r="D1485" s="1" t="s">
        <v>1209</v>
      </c>
      <c r="E1485" s="1" t="str">
        <f>""</f>
        <v/>
      </c>
      <c r="F1485" s="1" t="s">
        <v>28</v>
      </c>
      <c r="G1485" s="1" t="str">
        <f t="shared" si="137"/>
        <v>TAHOGRAF D.O.O., DR. FRANJE TUĐMANA 24, 10431 SVETA NEDELJA, OIB: 73777060562</v>
      </c>
      <c r="H1485" s="7"/>
      <c r="I1485" s="8" t="s">
        <v>293</v>
      </c>
      <c r="J1485" s="8" t="s">
        <v>555</v>
      </c>
      <c r="K1485" s="6" t="str">
        <f>"910,00"</f>
        <v>910,00</v>
      </c>
      <c r="L1485" s="6" t="str">
        <f>"227,50"</f>
        <v>227,50</v>
      </c>
      <c r="M1485" s="6" t="str">
        <f>"1.137,50"</f>
        <v>1.137,50</v>
      </c>
      <c r="N1485" s="8" t="s">
        <v>923</v>
      </c>
      <c r="O1485" s="7"/>
      <c r="P1485" s="2" t="s">
        <v>6546</v>
      </c>
      <c r="Q1485" s="7"/>
      <c r="R1485" s="1"/>
      <c r="S1485" s="1" t="str">
        <f>"5-22/NOS-100/20"</f>
        <v>5-22/NOS-100/20</v>
      </c>
      <c r="T1485" s="1" t="s">
        <v>32</v>
      </c>
    </row>
    <row r="1486" spans="1:20" ht="51" x14ac:dyDescent="0.25">
      <c r="A1486" s="6">
        <v>1483</v>
      </c>
      <c r="B1486" s="1" t="str">
        <f t="shared" si="136"/>
        <v>2020-2934</v>
      </c>
      <c r="C1486" s="1" t="s">
        <v>1432</v>
      </c>
      <c r="D1486" s="1" t="s">
        <v>1209</v>
      </c>
      <c r="E1486" s="1" t="str">
        <f>""</f>
        <v/>
      </c>
      <c r="F1486" s="1" t="s">
        <v>28</v>
      </c>
      <c r="G1486" s="1" t="str">
        <f t="shared" si="137"/>
        <v>TAHOGRAF D.O.O., DR. FRANJE TUĐMANA 24, 10431 SVETA NEDELJA, OIB: 73777060562</v>
      </c>
      <c r="H1486" s="7"/>
      <c r="I1486" s="8" t="s">
        <v>523</v>
      </c>
      <c r="J1486" s="8" t="s">
        <v>555</v>
      </c>
      <c r="K1486" s="6" t="str">
        <f>"6.053,43"</f>
        <v>6.053,43</v>
      </c>
      <c r="L1486" s="6" t="str">
        <f>"1.001,11"</f>
        <v>1.001,11</v>
      </c>
      <c r="M1486" s="6" t="str">
        <f>"7.054,54"</f>
        <v>7.054,54</v>
      </c>
      <c r="N1486" s="8" t="s">
        <v>208</v>
      </c>
      <c r="O1486" s="7"/>
      <c r="P1486" s="2" t="s">
        <v>6547</v>
      </c>
      <c r="Q1486" s="7"/>
      <c r="R1486" s="1"/>
      <c r="S1486" s="1" t="str">
        <f>"8-22/NOS-100/20"</f>
        <v>8-22/NOS-100/20</v>
      </c>
      <c r="T1486" s="1" t="s">
        <v>32</v>
      </c>
    </row>
    <row r="1487" spans="1:20" ht="51" x14ac:dyDescent="0.25">
      <c r="A1487" s="6">
        <v>1484</v>
      </c>
      <c r="B1487" s="1" t="str">
        <f t="shared" si="136"/>
        <v>2020-2934</v>
      </c>
      <c r="C1487" s="1" t="s">
        <v>1432</v>
      </c>
      <c r="D1487" s="1" t="s">
        <v>1209</v>
      </c>
      <c r="E1487" s="1" t="str">
        <f>""</f>
        <v/>
      </c>
      <c r="F1487" s="1" t="s">
        <v>28</v>
      </c>
      <c r="G1487" s="1" t="str">
        <f t="shared" si="137"/>
        <v>TAHOGRAF D.O.O., DR. FRANJE TUĐMANA 24, 10431 SVETA NEDELJA, OIB: 73777060562</v>
      </c>
      <c r="H1487" s="7"/>
      <c r="I1487" s="8" t="s">
        <v>523</v>
      </c>
      <c r="J1487" s="8" t="s">
        <v>555</v>
      </c>
      <c r="K1487" s="6" t="str">
        <f>"2.008,95"</f>
        <v>2.008,95</v>
      </c>
      <c r="L1487" s="6" t="str">
        <f>"502,24"</f>
        <v>502,24</v>
      </c>
      <c r="M1487" s="6" t="str">
        <f>"2.511,19"</f>
        <v>2.511,19</v>
      </c>
      <c r="N1487" s="8" t="s">
        <v>208</v>
      </c>
      <c r="O1487" s="7"/>
      <c r="P1487" s="2" t="s">
        <v>6548</v>
      </c>
      <c r="Q1487" s="7"/>
      <c r="R1487" s="1"/>
      <c r="S1487" s="1" t="str">
        <f>"9-22/NOS-100/20"</f>
        <v>9-22/NOS-100/20</v>
      </c>
      <c r="T1487" s="1" t="s">
        <v>32</v>
      </c>
    </row>
    <row r="1488" spans="1:20" ht="51" x14ac:dyDescent="0.25">
      <c r="A1488" s="6">
        <v>1485</v>
      </c>
      <c r="B1488" s="1" t="str">
        <f t="shared" si="136"/>
        <v>2020-2934</v>
      </c>
      <c r="C1488" s="1" t="s">
        <v>1432</v>
      </c>
      <c r="D1488" s="1" t="s">
        <v>1209</v>
      </c>
      <c r="E1488" s="1" t="str">
        <f>""</f>
        <v/>
      </c>
      <c r="F1488" s="1" t="s">
        <v>28</v>
      </c>
      <c r="G1488" s="1" t="str">
        <f t="shared" si="137"/>
        <v>TAHOGRAF D.O.O., DR. FRANJE TUĐMANA 24, 10431 SVETA NEDELJA, OIB: 73777060562</v>
      </c>
      <c r="H1488" s="7"/>
      <c r="I1488" s="8" t="s">
        <v>523</v>
      </c>
      <c r="J1488" s="8" t="s">
        <v>555</v>
      </c>
      <c r="K1488" s="6" t="str">
        <f>"702,28"</f>
        <v>702,28</v>
      </c>
      <c r="L1488" s="6" t="str">
        <f>"175,57"</f>
        <v>175,57</v>
      </c>
      <c r="M1488" s="6" t="str">
        <f>"877,85"</f>
        <v>877,85</v>
      </c>
      <c r="N1488" s="8" t="s">
        <v>208</v>
      </c>
      <c r="O1488" s="7"/>
      <c r="P1488" s="2" t="s">
        <v>6549</v>
      </c>
      <c r="Q1488" s="7"/>
      <c r="R1488" s="1"/>
      <c r="S1488" s="1" t="str">
        <f>"14-22/NOS-100/20"</f>
        <v>14-22/NOS-100/20</v>
      </c>
      <c r="T1488" s="1" t="s">
        <v>32</v>
      </c>
    </row>
    <row r="1489" spans="1:20" ht="51" x14ac:dyDescent="0.25">
      <c r="A1489" s="6">
        <v>1486</v>
      </c>
      <c r="B1489" s="1" t="str">
        <f t="shared" si="136"/>
        <v>2020-2934</v>
      </c>
      <c r="C1489" s="1" t="s">
        <v>1432</v>
      </c>
      <c r="D1489" s="1" t="s">
        <v>1209</v>
      </c>
      <c r="E1489" s="1" t="str">
        <f>""</f>
        <v/>
      </c>
      <c r="F1489" s="1" t="s">
        <v>28</v>
      </c>
      <c r="G1489" s="1" t="str">
        <f t="shared" si="137"/>
        <v>TAHOGRAF D.O.O., DR. FRANJE TUĐMANA 24, 10431 SVETA NEDELJA, OIB: 73777060562</v>
      </c>
      <c r="H1489" s="7"/>
      <c r="I1489" s="8" t="s">
        <v>523</v>
      </c>
      <c r="J1489" s="8" t="s">
        <v>555</v>
      </c>
      <c r="K1489" s="6" t="str">
        <f>"690,90"</f>
        <v>690,90</v>
      </c>
      <c r="L1489" s="6" t="str">
        <f>"172,73"</f>
        <v>172,73</v>
      </c>
      <c r="M1489" s="6" t="str">
        <f>"863,63"</f>
        <v>863,63</v>
      </c>
      <c r="N1489" s="8" t="s">
        <v>208</v>
      </c>
      <c r="O1489" s="7"/>
      <c r="P1489" s="2" t="s">
        <v>6545</v>
      </c>
      <c r="Q1489" s="7"/>
      <c r="R1489" s="1"/>
      <c r="S1489" s="1" t="str">
        <f>"11-22/NOS-100/20"</f>
        <v>11-22/NOS-100/20</v>
      </c>
      <c r="T1489" s="1" t="s">
        <v>32</v>
      </c>
    </row>
    <row r="1490" spans="1:20" ht="51" x14ac:dyDescent="0.25">
      <c r="A1490" s="6">
        <v>1487</v>
      </c>
      <c r="B1490" s="1" t="str">
        <f t="shared" si="136"/>
        <v>2020-2934</v>
      </c>
      <c r="C1490" s="1" t="s">
        <v>1432</v>
      </c>
      <c r="D1490" s="1" t="s">
        <v>1209</v>
      </c>
      <c r="E1490" s="1" t="str">
        <f>""</f>
        <v/>
      </c>
      <c r="F1490" s="1" t="s">
        <v>28</v>
      </c>
      <c r="G1490" s="1" t="str">
        <f t="shared" si="137"/>
        <v>TAHOGRAF D.O.O., DR. FRANJE TUĐMANA 24, 10431 SVETA NEDELJA, OIB: 73777060562</v>
      </c>
      <c r="H1490" s="7"/>
      <c r="I1490" s="8" t="s">
        <v>523</v>
      </c>
      <c r="J1490" s="8" t="s">
        <v>555</v>
      </c>
      <c r="K1490" s="6" t="str">
        <f>"655,00"</f>
        <v>655,00</v>
      </c>
      <c r="L1490" s="6" t="str">
        <f>"163,75"</f>
        <v>163,75</v>
      </c>
      <c r="M1490" s="6" t="str">
        <f>"818,75"</f>
        <v>818,75</v>
      </c>
      <c r="N1490" s="8" t="s">
        <v>208</v>
      </c>
      <c r="O1490" s="7"/>
      <c r="P1490" s="2" t="s">
        <v>6550</v>
      </c>
      <c r="Q1490" s="7"/>
      <c r="R1490" s="1"/>
      <c r="S1490" s="1" t="str">
        <f>"10-22/NOS-100/20"</f>
        <v>10-22/NOS-100/20</v>
      </c>
      <c r="T1490" s="1" t="s">
        <v>32</v>
      </c>
    </row>
    <row r="1491" spans="1:20" ht="51" x14ac:dyDescent="0.25">
      <c r="A1491" s="6">
        <v>1488</v>
      </c>
      <c r="B1491" s="1" t="str">
        <f t="shared" si="136"/>
        <v>2020-2934</v>
      </c>
      <c r="C1491" s="1" t="s">
        <v>1432</v>
      </c>
      <c r="D1491" s="1" t="s">
        <v>1209</v>
      </c>
      <c r="E1491" s="1" t="str">
        <f>""</f>
        <v/>
      </c>
      <c r="F1491" s="1" t="s">
        <v>28</v>
      </c>
      <c r="G1491" s="1" t="str">
        <f t="shared" si="137"/>
        <v>TAHOGRAF D.O.O., DR. FRANJE TUĐMANA 24, 10431 SVETA NEDELJA, OIB: 73777060562</v>
      </c>
      <c r="H1491" s="7"/>
      <c r="I1491" s="8" t="s">
        <v>523</v>
      </c>
      <c r="J1491" s="8" t="s">
        <v>555</v>
      </c>
      <c r="K1491" s="6" t="str">
        <f>"655,00"</f>
        <v>655,00</v>
      </c>
      <c r="L1491" s="6" t="str">
        <f>"163,75"</f>
        <v>163,75</v>
      </c>
      <c r="M1491" s="6" t="str">
        <f>"818,75"</f>
        <v>818,75</v>
      </c>
      <c r="N1491" s="8" t="s">
        <v>208</v>
      </c>
      <c r="O1491" s="7"/>
      <c r="P1491" s="2" t="s">
        <v>6550</v>
      </c>
      <c r="Q1491" s="7"/>
      <c r="R1491" s="1"/>
      <c r="S1491" s="1" t="str">
        <f>"12-22/NOS-100/20"</f>
        <v>12-22/NOS-100/20</v>
      </c>
      <c r="T1491" s="1" t="s">
        <v>32</v>
      </c>
    </row>
    <row r="1492" spans="1:20" ht="51" x14ac:dyDescent="0.25">
      <c r="A1492" s="6">
        <v>1489</v>
      </c>
      <c r="B1492" s="1" t="str">
        <f t="shared" si="136"/>
        <v>2020-2934</v>
      </c>
      <c r="C1492" s="1" t="s">
        <v>1432</v>
      </c>
      <c r="D1492" s="1" t="s">
        <v>1209</v>
      </c>
      <c r="E1492" s="1" t="str">
        <f>""</f>
        <v/>
      </c>
      <c r="F1492" s="1" t="s">
        <v>28</v>
      </c>
      <c r="G1492" s="1" t="str">
        <f t="shared" si="137"/>
        <v>TAHOGRAF D.O.O., DR. FRANJE TUĐMANA 24, 10431 SVETA NEDELJA, OIB: 73777060562</v>
      </c>
      <c r="H1492" s="7"/>
      <c r="I1492" s="8" t="s">
        <v>523</v>
      </c>
      <c r="J1492" s="8" t="s">
        <v>555</v>
      </c>
      <c r="K1492" s="6" t="str">
        <f>"521,00"</f>
        <v>521,00</v>
      </c>
      <c r="L1492" s="6" t="str">
        <f>"130,25"</f>
        <v>130,25</v>
      </c>
      <c r="M1492" s="6" t="str">
        <f>"651,25"</f>
        <v>651,25</v>
      </c>
      <c r="N1492" s="8" t="s">
        <v>208</v>
      </c>
      <c r="O1492" s="7"/>
      <c r="P1492" s="2" t="s">
        <v>6551</v>
      </c>
      <c r="Q1492" s="7"/>
      <c r="R1492" s="1"/>
      <c r="S1492" s="1" t="str">
        <f>"13-22/NOS-100/20"</f>
        <v>13-22/NOS-100/20</v>
      </c>
      <c r="T1492" s="1" t="s">
        <v>32</v>
      </c>
    </row>
    <row r="1493" spans="1:20" ht="51" x14ac:dyDescent="0.25">
      <c r="A1493" s="6">
        <v>1490</v>
      </c>
      <c r="B1493" s="1" t="str">
        <f t="shared" si="136"/>
        <v>2020-2934</v>
      </c>
      <c r="C1493" s="1" t="s">
        <v>1432</v>
      </c>
      <c r="D1493" s="1" t="s">
        <v>1209</v>
      </c>
      <c r="E1493" s="1" t="str">
        <f>""</f>
        <v/>
      </c>
      <c r="F1493" s="1" t="s">
        <v>28</v>
      </c>
      <c r="G1493" s="1" t="str">
        <f t="shared" si="137"/>
        <v>TAHOGRAF D.O.O., DR. FRANJE TUĐMANA 24, 10431 SVETA NEDELJA, OIB: 73777060562</v>
      </c>
      <c r="H1493" s="7"/>
      <c r="I1493" s="8" t="s">
        <v>523</v>
      </c>
      <c r="J1493" s="8" t="s">
        <v>555</v>
      </c>
      <c r="K1493" s="6" t="str">
        <f>"500,00"</f>
        <v>500,00</v>
      </c>
      <c r="L1493" s="6" t="str">
        <f>"125,00"</f>
        <v>125,00</v>
      </c>
      <c r="M1493" s="6" t="str">
        <f>"625,00"</f>
        <v>625,00</v>
      </c>
      <c r="N1493" s="8" t="s">
        <v>208</v>
      </c>
      <c r="O1493" s="7"/>
      <c r="P1493" s="2" t="s">
        <v>6552</v>
      </c>
      <c r="Q1493" s="7"/>
      <c r="R1493" s="1"/>
      <c r="S1493" s="1" t="str">
        <f>"16-22/NOS-100/20"</f>
        <v>16-22/NOS-100/20</v>
      </c>
      <c r="T1493" s="1" t="s">
        <v>32</v>
      </c>
    </row>
    <row r="1494" spans="1:20" ht="51" x14ac:dyDescent="0.25">
      <c r="A1494" s="6">
        <v>1491</v>
      </c>
      <c r="B1494" s="1" t="str">
        <f t="shared" si="136"/>
        <v>2020-2934</v>
      </c>
      <c r="C1494" s="1" t="s">
        <v>1432</v>
      </c>
      <c r="D1494" s="1" t="s">
        <v>1209</v>
      </c>
      <c r="E1494" s="1" t="str">
        <f>""</f>
        <v/>
      </c>
      <c r="F1494" s="1" t="s">
        <v>28</v>
      </c>
      <c r="G1494" s="1" t="str">
        <f t="shared" si="137"/>
        <v>TAHOGRAF D.O.O., DR. FRANJE TUĐMANA 24, 10431 SVETA NEDELJA, OIB: 73777060562</v>
      </c>
      <c r="H1494" s="7"/>
      <c r="I1494" s="8" t="s">
        <v>922</v>
      </c>
      <c r="J1494" s="8" t="s">
        <v>555</v>
      </c>
      <c r="K1494" s="6" t="str">
        <f>"2.408,00"</f>
        <v>2.408,00</v>
      </c>
      <c r="L1494" s="6" t="str">
        <f>"602,00"</f>
        <v>602,00</v>
      </c>
      <c r="M1494" s="6" t="str">
        <f>"3.010,00"</f>
        <v>3.010,00</v>
      </c>
      <c r="N1494" s="8" t="s">
        <v>916</v>
      </c>
      <c r="O1494" s="7"/>
      <c r="P1494" s="2" t="s">
        <v>6553</v>
      </c>
      <c r="Q1494" s="7"/>
      <c r="R1494" s="1"/>
      <c r="S1494" s="1" t="str">
        <f>"17-22/NOS-100/20"</f>
        <v>17-22/NOS-100/20</v>
      </c>
      <c r="T1494" s="1" t="s">
        <v>32</v>
      </c>
    </row>
    <row r="1495" spans="1:20" ht="51" x14ac:dyDescent="0.25">
      <c r="A1495" s="6">
        <v>1492</v>
      </c>
      <c r="B1495" s="1" t="str">
        <f t="shared" si="136"/>
        <v>2020-2934</v>
      </c>
      <c r="C1495" s="1" t="s">
        <v>1432</v>
      </c>
      <c r="D1495" s="1" t="s">
        <v>1209</v>
      </c>
      <c r="E1495" s="1" t="str">
        <f>""</f>
        <v/>
      </c>
      <c r="F1495" s="1" t="s">
        <v>28</v>
      </c>
      <c r="G1495" s="1" t="str">
        <f t="shared" si="137"/>
        <v>TAHOGRAF D.O.O., DR. FRANJE TUĐMANA 24, 10431 SVETA NEDELJA, OIB: 73777060562</v>
      </c>
      <c r="H1495" s="7"/>
      <c r="I1495" s="8" t="s">
        <v>922</v>
      </c>
      <c r="J1495" s="8" t="s">
        <v>555</v>
      </c>
      <c r="K1495" s="6" t="str">
        <f>"1.428,40"</f>
        <v>1.428,40</v>
      </c>
      <c r="L1495" s="6" t="str">
        <f>"357,10"</f>
        <v>357,10</v>
      </c>
      <c r="M1495" s="6" t="str">
        <f>"1.785,50"</f>
        <v>1.785,50</v>
      </c>
      <c r="N1495" s="8" t="s">
        <v>208</v>
      </c>
      <c r="O1495" s="7"/>
      <c r="P1495" s="2" t="s">
        <v>6554</v>
      </c>
      <c r="Q1495" s="7"/>
      <c r="R1495" s="1"/>
      <c r="S1495" s="1" t="str">
        <f>"18-22/NOS-100/20"</f>
        <v>18-22/NOS-100/20</v>
      </c>
      <c r="T1495" s="1" t="s">
        <v>32</v>
      </c>
    </row>
    <row r="1496" spans="1:20" ht="51" x14ac:dyDescent="0.25">
      <c r="A1496" s="6">
        <v>1493</v>
      </c>
      <c r="B1496" s="1" t="str">
        <f t="shared" si="136"/>
        <v>2020-2934</v>
      </c>
      <c r="C1496" s="1" t="s">
        <v>1432</v>
      </c>
      <c r="D1496" s="1" t="s">
        <v>1209</v>
      </c>
      <c r="E1496" s="1" t="str">
        <f>""</f>
        <v/>
      </c>
      <c r="F1496" s="1" t="s">
        <v>28</v>
      </c>
      <c r="G1496" s="1" t="str">
        <f t="shared" si="137"/>
        <v>TAHOGRAF D.O.O., DR. FRANJE TUĐMANA 24, 10431 SVETA NEDELJA, OIB: 73777060562</v>
      </c>
      <c r="H1496" s="7"/>
      <c r="I1496" s="8" t="s">
        <v>431</v>
      </c>
      <c r="J1496" s="8" t="s">
        <v>555</v>
      </c>
      <c r="K1496" s="6" t="str">
        <f>"1.180,00"</f>
        <v>1.180,00</v>
      </c>
      <c r="L1496" s="6" t="str">
        <f>"295,00"</f>
        <v>295,00</v>
      </c>
      <c r="M1496" s="6" t="str">
        <f>"1.475,00"</f>
        <v>1.475,00</v>
      </c>
      <c r="N1496" s="8" t="s">
        <v>970</v>
      </c>
      <c r="O1496" s="7"/>
      <c r="P1496" s="2" t="s">
        <v>5794</v>
      </c>
      <c r="Q1496" s="7"/>
      <c r="R1496" s="1"/>
      <c r="S1496" s="1" t="str">
        <f>"20-22/NOS-100/20"</f>
        <v>20-22/NOS-100/20</v>
      </c>
      <c r="T1496" s="1" t="s">
        <v>32</v>
      </c>
    </row>
    <row r="1497" spans="1:20" ht="51" x14ac:dyDescent="0.25">
      <c r="A1497" s="6">
        <v>1494</v>
      </c>
      <c r="B1497" s="1" t="str">
        <f t="shared" si="136"/>
        <v>2020-2934</v>
      </c>
      <c r="C1497" s="1" t="s">
        <v>1432</v>
      </c>
      <c r="D1497" s="1" t="s">
        <v>1209</v>
      </c>
      <c r="E1497" s="1" t="str">
        <f>""</f>
        <v/>
      </c>
      <c r="F1497" s="1" t="s">
        <v>28</v>
      </c>
      <c r="G1497" s="1" t="str">
        <f t="shared" si="137"/>
        <v>TAHOGRAF D.O.O., DR. FRANJE TUĐMANA 24, 10431 SVETA NEDELJA, OIB: 73777060562</v>
      </c>
      <c r="H1497" s="7"/>
      <c r="I1497" s="8" t="s">
        <v>285</v>
      </c>
      <c r="J1497" s="8" t="s">
        <v>555</v>
      </c>
      <c r="K1497" s="6" t="str">
        <f>"1.789,00"</f>
        <v>1.789,00</v>
      </c>
      <c r="L1497" s="6" t="str">
        <f>"447,25"</f>
        <v>447,25</v>
      </c>
      <c r="M1497" s="6" t="str">
        <f>"2.236,25"</f>
        <v>2.236,25</v>
      </c>
      <c r="N1497" s="8" t="s">
        <v>970</v>
      </c>
      <c r="O1497" s="7"/>
      <c r="P1497" s="2" t="s">
        <v>6555</v>
      </c>
      <c r="Q1497" s="7"/>
      <c r="R1497" s="1"/>
      <c r="S1497" s="1" t="str">
        <f>"19-22/NOS-100/20"</f>
        <v>19-22/NOS-100/20</v>
      </c>
      <c r="T1497" s="1" t="s">
        <v>32</v>
      </c>
    </row>
    <row r="1498" spans="1:20" ht="51" x14ac:dyDescent="0.25">
      <c r="A1498" s="6">
        <v>1495</v>
      </c>
      <c r="B1498" s="1" t="str">
        <f t="shared" si="136"/>
        <v>2020-2934</v>
      </c>
      <c r="C1498" s="1" t="s">
        <v>1432</v>
      </c>
      <c r="D1498" s="1" t="s">
        <v>1209</v>
      </c>
      <c r="E1498" s="1" t="str">
        <f>""</f>
        <v/>
      </c>
      <c r="F1498" s="1" t="s">
        <v>28</v>
      </c>
      <c r="G1498" s="1" t="str">
        <f t="shared" si="137"/>
        <v>TAHOGRAF D.O.O., DR. FRANJE TUĐMANA 24, 10431 SVETA NEDELJA, OIB: 73777060562</v>
      </c>
      <c r="H1498" s="7"/>
      <c r="I1498" s="8" t="s">
        <v>310</v>
      </c>
      <c r="J1498" s="8" t="s">
        <v>555</v>
      </c>
      <c r="K1498" s="6" t="str">
        <f>"5.801,80"</f>
        <v>5.801,80</v>
      </c>
      <c r="L1498" s="6" t="str">
        <f>"0,00"</f>
        <v>0,00</v>
      </c>
      <c r="M1498" s="6" t="str">
        <f>"5.801,80"</f>
        <v>5.801,80</v>
      </c>
      <c r="N1498" s="8" t="s">
        <v>124</v>
      </c>
      <c r="O1498" s="7"/>
      <c r="P1498" s="2" t="s">
        <v>5614</v>
      </c>
      <c r="Q1498" s="7"/>
      <c r="R1498" s="1"/>
      <c r="S1498" s="1" t="str">
        <f>"21-22/NOS-100/20"</f>
        <v>21-22/NOS-100/20</v>
      </c>
      <c r="T1498" s="1" t="s">
        <v>32</v>
      </c>
    </row>
    <row r="1499" spans="1:20" ht="51" x14ac:dyDescent="0.25">
      <c r="A1499" s="6">
        <v>1496</v>
      </c>
      <c r="B1499" s="1" t="str">
        <f t="shared" si="136"/>
        <v>2020-2934</v>
      </c>
      <c r="C1499" s="1" t="s">
        <v>1432</v>
      </c>
      <c r="D1499" s="1" t="s">
        <v>1209</v>
      </c>
      <c r="E1499" s="1" t="str">
        <f>""</f>
        <v/>
      </c>
      <c r="F1499" s="1" t="s">
        <v>28</v>
      </c>
      <c r="G1499" s="1" t="str">
        <f t="shared" si="137"/>
        <v>TAHOGRAF D.O.O., DR. FRANJE TUĐMANA 24, 10431 SVETA NEDELJA, OIB: 73777060562</v>
      </c>
      <c r="H1499" s="7"/>
      <c r="I1499" s="8" t="s">
        <v>409</v>
      </c>
      <c r="J1499" s="8" t="s">
        <v>555</v>
      </c>
      <c r="K1499" s="6" t="str">
        <f>"1.180,00"</f>
        <v>1.180,00</v>
      </c>
      <c r="L1499" s="6" t="str">
        <f>"0,00"</f>
        <v>0,00</v>
      </c>
      <c r="M1499" s="6" t="str">
        <f>"1.180,00"</f>
        <v>1.180,00</v>
      </c>
      <c r="N1499" s="8" t="s">
        <v>124</v>
      </c>
      <c r="O1499" s="7"/>
      <c r="P1499" s="2" t="s">
        <v>5614</v>
      </c>
      <c r="Q1499" s="7"/>
      <c r="R1499" s="1"/>
      <c r="S1499" s="1" t="str">
        <f>"22-22/NOS-100/20"</f>
        <v>22-22/NOS-100/20</v>
      </c>
      <c r="T1499" s="1" t="s">
        <v>32</v>
      </c>
    </row>
    <row r="1500" spans="1:20" ht="51" x14ac:dyDescent="0.25">
      <c r="A1500" s="6">
        <v>1497</v>
      </c>
      <c r="B1500" s="1" t="str">
        <f t="shared" si="136"/>
        <v>2020-2934</v>
      </c>
      <c r="C1500" s="1" t="s">
        <v>1432</v>
      </c>
      <c r="D1500" s="1" t="s">
        <v>1209</v>
      </c>
      <c r="E1500" s="1" t="str">
        <f>""</f>
        <v/>
      </c>
      <c r="F1500" s="1" t="s">
        <v>28</v>
      </c>
      <c r="G1500" s="1" t="str">
        <f t="shared" si="137"/>
        <v>TAHOGRAF D.O.O., DR. FRANJE TUĐMANA 24, 10431 SVETA NEDELJA, OIB: 73777060562</v>
      </c>
      <c r="H1500" s="7"/>
      <c r="I1500" s="8" t="s">
        <v>525</v>
      </c>
      <c r="J1500" s="8" t="s">
        <v>555</v>
      </c>
      <c r="K1500" s="6" t="str">
        <f>"12.874,50"</f>
        <v>12.874,50</v>
      </c>
      <c r="L1500" s="6" t="str">
        <f>"150,00"</f>
        <v>150,00</v>
      </c>
      <c r="M1500" s="6" t="str">
        <f>"13.024,50"</f>
        <v>13.024,50</v>
      </c>
      <c r="N1500" s="8" t="s">
        <v>1123</v>
      </c>
      <c r="O1500" s="7"/>
      <c r="P1500" s="2" t="s">
        <v>6376</v>
      </c>
      <c r="Q1500" s="7"/>
      <c r="R1500" s="1"/>
      <c r="S1500" s="1" t="str">
        <f>"24-22/NOS-100/20"</f>
        <v>24-22/NOS-100/20</v>
      </c>
      <c r="T1500" s="1" t="s">
        <v>32</v>
      </c>
    </row>
    <row r="1501" spans="1:20" ht="51" x14ac:dyDescent="0.25">
      <c r="A1501" s="6">
        <v>1498</v>
      </c>
      <c r="B1501" s="1" t="str">
        <f t="shared" si="136"/>
        <v>2020-2934</v>
      </c>
      <c r="C1501" s="1" t="s">
        <v>1432</v>
      </c>
      <c r="D1501" s="1" t="s">
        <v>1209</v>
      </c>
      <c r="E1501" s="1" t="str">
        <f>""</f>
        <v/>
      </c>
      <c r="F1501" s="1" t="s">
        <v>28</v>
      </c>
      <c r="G1501" s="1" t="str">
        <f t="shared" si="137"/>
        <v>TAHOGRAF D.O.O., DR. FRANJE TUĐMANA 24, 10431 SVETA NEDELJA, OIB: 73777060562</v>
      </c>
      <c r="H1501" s="7"/>
      <c r="I1501" s="8" t="s">
        <v>489</v>
      </c>
      <c r="J1501" s="8" t="s">
        <v>555</v>
      </c>
      <c r="K1501" s="6" t="str">
        <f>"11.290,80"</f>
        <v>11.290,80</v>
      </c>
      <c r="L1501" s="6" t="str">
        <f>"0,00"</f>
        <v>0,00</v>
      </c>
      <c r="M1501" s="6" t="str">
        <f>"11.290,80"</f>
        <v>11.290,80</v>
      </c>
      <c r="N1501" s="8" t="s">
        <v>124</v>
      </c>
      <c r="O1501" s="7"/>
      <c r="P1501" s="2" t="s">
        <v>5614</v>
      </c>
      <c r="Q1501" s="7"/>
      <c r="R1501" s="1"/>
      <c r="S1501" s="1" t="str">
        <f>"25-22/NOS-100/20"</f>
        <v>25-22/NOS-100/20</v>
      </c>
      <c r="T1501" s="1" t="s">
        <v>32</v>
      </c>
    </row>
    <row r="1502" spans="1:20" ht="51" x14ac:dyDescent="0.25">
      <c r="A1502" s="6">
        <v>1499</v>
      </c>
      <c r="B1502" s="1" t="str">
        <f t="shared" si="136"/>
        <v>2020-2934</v>
      </c>
      <c r="C1502" s="1" t="s">
        <v>1432</v>
      </c>
      <c r="D1502" s="1" t="s">
        <v>1209</v>
      </c>
      <c r="E1502" s="1" t="str">
        <f>""</f>
        <v/>
      </c>
      <c r="F1502" s="1" t="s">
        <v>28</v>
      </c>
      <c r="G1502" s="1" t="str">
        <f t="shared" si="137"/>
        <v>TAHOGRAF D.O.O., DR. FRANJE TUĐMANA 24, 10431 SVETA NEDELJA, OIB: 73777060562</v>
      </c>
      <c r="H1502" s="7"/>
      <c r="I1502" s="8" t="s">
        <v>121</v>
      </c>
      <c r="J1502" s="8" t="s">
        <v>555</v>
      </c>
      <c r="K1502" s="6" t="str">
        <f>"1.180,00"</f>
        <v>1.180,00</v>
      </c>
      <c r="L1502" s="6" t="str">
        <f>"0,00"</f>
        <v>0,00</v>
      </c>
      <c r="M1502" s="6" t="str">
        <f>"1.180,00"</f>
        <v>1.180,00</v>
      </c>
      <c r="N1502" s="8" t="s">
        <v>124</v>
      </c>
      <c r="O1502" s="7"/>
      <c r="P1502" s="2" t="s">
        <v>5614</v>
      </c>
      <c r="Q1502" s="7"/>
      <c r="R1502" s="1"/>
      <c r="S1502" s="1" t="str">
        <f>"26-22/NOS-100/20"</f>
        <v>26-22/NOS-100/20</v>
      </c>
      <c r="T1502" s="1" t="s">
        <v>32</v>
      </c>
    </row>
    <row r="1503" spans="1:20" ht="63.75" x14ac:dyDescent="0.25">
      <c r="A1503" s="6">
        <v>1500</v>
      </c>
      <c r="B1503" s="1" t="str">
        <f t="shared" ref="B1503:B1514" si="138">"2020-2876"</f>
        <v>2020-2876</v>
      </c>
      <c r="C1503" s="1" t="s">
        <v>1434</v>
      </c>
      <c r="D1503" s="1" t="s">
        <v>1209</v>
      </c>
      <c r="E1503" s="1" t="str">
        <f>"2021/S 0F2-0005623"</f>
        <v>2021/S 0F2-0005623</v>
      </c>
      <c r="F1503" s="1" t="s">
        <v>22</v>
      </c>
      <c r="G1503" s="1" t="str">
        <f t="shared" ref="G1503:G1514" si="139">CONCATENATE("EOL GRUPA D.O.O.,"," SMIČIKLASOVA 5/C,"," 47000 KARLOVAC,"," OIB: 7109729867")</f>
        <v>EOL GRUPA D.O.O., SMIČIKLASOVA 5/C, 47000 KARLOVAC, OIB: 7109729867</v>
      </c>
      <c r="H1503" s="7"/>
      <c r="I1503" s="8" t="s">
        <v>1429</v>
      </c>
      <c r="J1503" s="8" t="s">
        <v>1435</v>
      </c>
      <c r="K1503" s="6" t="str">
        <f>"1.300.000,00"</f>
        <v>1.300.000,00</v>
      </c>
      <c r="L1503" s="6" t="str">
        <f>"325.000,00"</f>
        <v>325.000,00</v>
      </c>
      <c r="M1503" s="6" t="str">
        <f>"1.625.000,00"</f>
        <v>1.625.000,00</v>
      </c>
      <c r="N1503" s="8" t="s">
        <v>124</v>
      </c>
      <c r="O1503" s="7"/>
      <c r="P1503" s="2" t="s">
        <v>5614</v>
      </c>
      <c r="Q1503" s="7"/>
      <c r="R1503" s="1"/>
      <c r="S1503" s="1" t="str">
        <f>"NOS-105/20"</f>
        <v>NOS-105/20</v>
      </c>
      <c r="T1503" s="1" t="s">
        <v>32</v>
      </c>
    </row>
    <row r="1504" spans="1:20" ht="63.75" x14ac:dyDescent="0.25">
      <c r="A1504" s="6">
        <v>1501</v>
      </c>
      <c r="B1504" s="1" t="str">
        <f t="shared" si="138"/>
        <v>2020-2876</v>
      </c>
      <c r="C1504" s="1" t="s">
        <v>1434</v>
      </c>
      <c r="D1504" s="1" t="s">
        <v>1209</v>
      </c>
      <c r="E1504" s="1" t="str">
        <f>""</f>
        <v/>
      </c>
      <c r="F1504" s="1" t="s">
        <v>28</v>
      </c>
      <c r="G1504" s="1" t="str">
        <f t="shared" si="139"/>
        <v>EOL GRUPA D.O.O., SMIČIKLASOVA 5/C, 47000 KARLOVAC, OIB: 7109729867</v>
      </c>
      <c r="H1504" s="7"/>
      <c r="I1504" s="8" t="s">
        <v>1436</v>
      </c>
      <c r="J1504" s="8" t="s">
        <v>30</v>
      </c>
      <c r="K1504" s="6" t="str">
        <f>"66.600,00"</f>
        <v>66.600,00</v>
      </c>
      <c r="L1504" s="6" t="str">
        <f>"16.650,00"</f>
        <v>16.650,00</v>
      </c>
      <c r="M1504" s="6" t="str">
        <f>"83.250,00"</f>
        <v>83.250,00</v>
      </c>
      <c r="N1504" s="8" t="s">
        <v>372</v>
      </c>
      <c r="O1504" s="7"/>
      <c r="P1504" s="2" t="s">
        <v>6556</v>
      </c>
      <c r="Q1504" s="7"/>
      <c r="R1504" s="1"/>
      <c r="S1504" s="1" t="str">
        <f>"1-21/NOS-105/20"</f>
        <v>1-21/NOS-105/20</v>
      </c>
      <c r="T1504" s="1" t="s">
        <v>32</v>
      </c>
    </row>
    <row r="1505" spans="1:20" ht="63.75" x14ac:dyDescent="0.25">
      <c r="A1505" s="6">
        <v>1502</v>
      </c>
      <c r="B1505" s="1" t="str">
        <f t="shared" si="138"/>
        <v>2020-2876</v>
      </c>
      <c r="C1505" s="1" t="s">
        <v>1434</v>
      </c>
      <c r="D1505" s="1" t="s">
        <v>1209</v>
      </c>
      <c r="E1505" s="1" t="str">
        <f>""</f>
        <v/>
      </c>
      <c r="F1505" s="1" t="s">
        <v>28</v>
      </c>
      <c r="G1505" s="1" t="str">
        <f t="shared" si="139"/>
        <v>EOL GRUPA D.O.O., SMIČIKLASOVA 5/C, 47000 KARLOVAC, OIB: 7109729867</v>
      </c>
      <c r="H1505" s="7"/>
      <c r="I1505" s="8" t="s">
        <v>93</v>
      </c>
      <c r="J1505" s="8" t="s">
        <v>292</v>
      </c>
      <c r="K1505" s="6" t="str">
        <f>"19.350,00"</f>
        <v>19.350,00</v>
      </c>
      <c r="L1505" s="6" t="str">
        <f>"4.837,50"</f>
        <v>4.837,50</v>
      </c>
      <c r="M1505" s="6" t="str">
        <f>"24.187,50"</f>
        <v>24.187,50</v>
      </c>
      <c r="N1505" s="8" t="s">
        <v>154</v>
      </c>
      <c r="O1505" s="7"/>
      <c r="P1505" s="2" t="s">
        <v>6557</v>
      </c>
      <c r="Q1505" s="7"/>
      <c r="R1505" s="1"/>
      <c r="S1505" s="1" t="str">
        <f>"2-22/NOS-105/20"</f>
        <v>2-22/NOS-105/20</v>
      </c>
      <c r="T1505" s="1" t="s">
        <v>32</v>
      </c>
    </row>
    <row r="1506" spans="1:20" ht="63.75" x14ac:dyDescent="0.25">
      <c r="A1506" s="6">
        <v>1503</v>
      </c>
      <c r="B1506" s="1" t="str">
        <f t="shared" si="138"/>
        <v>2020-2876</v>
      </c>
      <c r="C1506" s="1" t="s">
        <v>1434</v>
      </c>
      <c r="D1506" s="1" t="s">
        <v>1209</v>
      </c>
      <c r="E1506" s="1" t="str">
        <f>""</f>
        <v/>
      </c>
      <c r="F1506" s="1" t="s">
        <v>28</v>
      </c>
      <c r="G1506" s="1" t="str">
        <f t="shared" si="139"/>
        <v>EOL GRUPA D.O.O., SMIČIKLASOVA 5/C, 47000 KARLOVAC, OIB: 7109729867</v>
      </c>
      <c r="H1506" s="7"/>
      <c r="I1506" s="8" t="s">
        <v>259</v>
      </c>
      <c r="J1506" s="8" t="s">
        <v>292</v>
      </c>
      <c r="K1506" s="6" t="str">
        <f>"5.450,00"</f>
        <v>5.450,00</v>
      </c>
      <c r="L1506" s="6" t="str">
        <f>"0,00"</f>
        <v>0,00</v>
      </c>
      <c r="M1506" s="6" t="str">
        <f>"5.450,00"</f>
        <v>5.450,00</v>
      </c>
      <c r="N1506" s="8" t="s">
        <v>124</v>
      </c>
      <c r="O1506" s="7"/>
      <c r="P1506" s="2" t="s">
        <v>5614</v>
      </c>
      <c r="Q1506" s="7"/>
      <c r="R1506" s="1"/>
      <c r="S1506" s="1" t="str">
        <f>"5-22/NOS-105/20"</f>
        <v>5-22/NOS-105/20</v>
      </c>
      <c r="T1506" s="1" t="s">
        <v>32</v>
      </c>
    </row>
    <row r="1507" spans="1:20" ht="63.75" x14ac:dyDescent="0.25">
      <c r="A1507" s="6">
        <v>1504</v>
      </c>
      <c r="B1507" s="1" t="str">
        <f t="shared" si="138"/>
        <v>2020-2876</v>
      </c>
      <c r="C1507" s="1" t="s">
        <v>1434</v>
      </c>
      <c r="D1507" s="1" t="s">
        <v>1209</v>
      </c>
      <c r="E1507" s="1" t="str">
        <f>""</f>
        <v/>
      </c>
      <c r="F1507" s="1" t="s">
        <v>28</v>
      </c>
      <c r="G1507" s="1" t="str">
        <f t="shared" si="139"/>
        <v>EOL GRUPA D.O.O., SMIČIKLASOVA 5/C, 47000 KARLOVAC, OIB: 7109729867</v>
      </c>
      <c r="H1507" s="7"/>
      <c r="I1507" s="8" t="s">
        <v>400</v>
      </c>
      <c r="J1507" s="8" t="s">
        <v>292</v>
      </c>
      <c r="K1507" s="6" t="str">
        <f>"3.150,00"</f>
        <v>3.150,00</v>
      </c>
      <c r="L1507" s="6" t="str">
        <f>"0,00"</f>
        <v>0,00</v>
      </c>
      <c r="M1507" s="6" t="str">
        <f>"3.150,00"</f>
        <v>3.150,00</v>
      </c>
      <c r="N1507" s="8" t="s">
        <v>124</v>
      </c>
      <c r="O1507" s="7"/>
      <c r="P1507" s="2" t="s">
        <v>5614</v>
      </c>
      <c r="Q1507" s="7"/>
      <c r="R1507" s="1"/>
      <c r="S1507" s="1" t="str">
        <f>"1-22/NOS-105/20"</f>
        <v>1-22/NOS-105/20</v>
      </c>
      <c r="T1507" s="1" t="s">
        <v>32</v>
      </c>
    </row>
    <row r="1508" spans="1:20" ht="63.75" x14ac:dyDescent="0.25">
      <c r="A1508" s="6">
        <v>1505</v>
      </c>
      <c r="B1508" s="1" t="str">
        <f t="shared" si="138"/>
        <v>2020-2876</v>
      </c>
      <c r="C1508" s="1" t="s">
        <v>1434</v>
      </c>
      <c r="D1508" s="1" t="s">
        <v>1209</v>
      </c>
      <c r="E1508" s="1" t="str">
        <f>""</f>
        <v/>
      </c>
      <c r="F1508" s="1" t="s">
        <v>28</v>
      </c>
      <c r="G1508" s="1" t="str">
        <f t="shared" si="139"/>
        <v>EOL GRUPA D.O.O., SMIČIKLASOVA 5/C, 47000 KARLOVAC, OIB: 7109729867</v>
      </c>
      <c r="H1508" s="7"/>
      <c r="I1508" s="8" t="s">
        <v>1073</v>
      </c>
      <c r="J1508" s="8" t="s">
        <v>292</v>
      </c>
      <c r="K1508" s="6" t="str">
        <f>"3.150,00"</f>
        <v>3.150,00</v>
      </c>
      <c r="L1508" s="6" t="str">
        <f>"787,50"</f>
        <v>787,50</v>
      </c>
      <c r="M1508" s="6" t="str">
        <f>"3.937,50"</f>
        <v>3.937,50</v>
      </c>
      <c r="N1508" s="8" t="s">
        <v>895</v>
      </c>
      <c r="O1508" s="7"/>
      <c r="P1508" s="2" t="s">
        <v>6318</v>
      </c>
      <c r="Q1508" s="7"/>
      <c r="R1508" s="1"/>
      <c r="S1508" s="1" t="str">
        <f>"8-22/NOS-105/20"</f>
        <v>8-22/NOS-105/20</v>
      </c>
      <c r="T1508" s="1" t="s">
        <v>32</v>
      </c>
    </row>
    <row r="1509" spans="1:20" ht="63.75" x14ac:dyDescent="0.25">
      <c r="A1509" s="6">
        <v>1506</v>
      </c>
      <c r="B1509" s="1" t="str">
        <f t="shared" si="138"/>
        <v>2020-2876</v>
      </c>
      <c r="C1509" s="1" t="s">
        <v>1434</v>
      </c>
      <c r="D1509" s="1" t="s">
        <v>1209</v>
      </c>
      <c r="E1509" s="1" t="str">
        <f>""</f>
        <v/>
      </c>
      <c r="F1509" s="1" t="s">
        <v>28</v>
      </c>
      <c r="G1509" s="1" t="str">
        <f t="shared" si="139"/>
        <v>EOL GRUPA D.O.O., SMIČIKLASOVA 5/C, 47000 KARLOVAC, OIB: 7109729867</v>
      </c>
      <c r="H1509" s="7"/>
      <c r="I1509" s="8" t="s">
        <v>852</v>
      </c>
      <c r="J1509" s="8" t="s">
        <v>375</v>
      </c>
      <c r="K1509" s="6" t="str">
        <f>"66.600,00"</f>
        <v>66.600,00</v>
      </c>
      <c r="L1509" s="6" t="str">
        <f>"6.937,50"</f>
        <v>6.937,50</v>
      </c>
      <c r="M1509" s="6" t="str">
        <f>"73.537,50"</f>
        <v>73.537,50</v>
      </c>
      <c r="N1509" s="8" t="s">
        <v>553</v>
      </c>
      <c r="O1509" s="7"/>
      <c r="P1509" s="2" t="s">
        <v>6558</v>
      </c>
      <c r="Q1509" s="7"/>
      <c r="R1509" s="1"/>
      <c r="S1509" s="1" t="str">
        <f>"9-22/NOS-105/20"</f>
        <v>9-22/NOS-105/20</v>
      </c>
      <c r="T1509" s="1" t="s">
        <v>32</v>
      </c>
    </row>
    <row r="1510" spans="1:20" ht="63.75" x14ac:dyDescent="0.25">
      <c r="A1510" s="6">
        <v>1507</v>
      </c>
      <c r="B1510" s="1" t="str">
        <f t="shared" si="138"/>
        <v>2020-2876</v>
      </c>
      <c r="C1510" s="1" t="s">
        <v>1434</v>
      </c>
      <c r="D1510" s="1" t="s">
        <v>1209</v>
      </c>
      <c r="E1510" s="1" t="str">
        <f>""</f>
        <v/>
      </c>
      <c r="F1510" s="1" t="s">
        <v>28</v>
      </c>
      <c r="G1510" s="1" t="str">
        <f t="shared" si="139"/>
        <v>EOL GRUPA D.O.O., SMIČIKLASOVA 5/C, 47000 KARLOVAC, OIB: 7109729867</v>
      </c>
      <c r="H1510" s="7"/>
      <c r="I1510" s="8" t="s">
        <v>420</v>
      </c>
      <c r="J1510" s="8" t="s">
        <v>292</v>
      </c>
      <c r="K1510" s="6" t="str">
        <f>"48.200,00"</f>
        <v>48.200,00</v>
      </c>
      <c r="L1510" s="6" t="str">
        <f>"0,00"</f>
        <v>0,00</v>
      </c>
      <c r="M1510" s="6" t="str">
        <f>"48.200,00"</f>
        <v>48.200,00</v>
      </c>
      <c r="N1510" s="8" t="s">
        <v>124</v>
      </c>
      <c r="O1510" s="7"/>
      <c r="P1510" s="2" t="s">
        <v>5614</v>
      </c>
      <c r="Q1510" s="7"/>
      <c r="R1510" s="1"/>
      <c r="S1510" s="1" t="str">
        <f>"11-22/NOS-105/20"</f>
        <v>11-22/NOS-105/20</v>
      </c>
      <c r="T1510" s="1" t="s">
        <v>32</v>
      </c>
    </row>
    <row r="1511" spans="1:20" ht="63.75" x14ac:dyDescent="0.25">
      <c r="A1511" s="6">
        <v>1508</v>
      </c>
      <c r="B1511" s="1" t="str">
        <f t="shared" si="138"/>
        <v>2020-2876</v>
      </c>
      <c r="C1511" s="1" t="s">
        <v>1434</v>
      </c>
      <c r="D1511" s="1" t="s">
        <v>1209</v>
      </c>
      <c r="E1511" s="1" t="str">
        <f>""</f>
        <v/>
      </c>
      <c r="F1511" s="1" t="s">
        <v>28</v>
      </c>
      <c r="G1511" s="1" t="str">
        <f t="shared" si="139"/>
        <v>EOL GRUPA D.O.O., SMIČIKLASOVA 5/C, 47000 KARLOVAC, OIB: 7109729867</v>
      </c>
      <c r="H1511" s="7"/>
      <c r="I1511" s="8" t="s">
        <v>227</v>
      </c>
      <c r="J1511" s="8" t="s">
        <v>292</v>
      </c>
      <c r="K1511" s="6" t="str">
        <f>"11.400,00"</f>
        <v>11.400,00</v>
      </c>
      <c r="L1511" s="6" t="str">
        <f>"2.850,00"</f>
        <v>2.850,00</v>
      </c>
      <c r="M1511" s="6" t="str">
        <f>"14.250,00"</f>
        <v>14.250,00</v>
      </c>
      <c r="N1511" s="8" t="s">
        <v>207</v>
      </c>
      <c r="O1511" s="7"/>
      <c r="P1511" s="2" t="s">
        <v>6559</v>
      </c>
      <c r="Q1511" s="7"/>
      <c r="R1511" s="1"/>
      <c r="S1511" s="1" t="str">
        <f>"12-22/NOS-105/20"</f>
        <v>12-22/NOS-105/20</v>
      </c>
      <c r="T1511" s="1" t="s">
        <v>32</v>
      </c>
    </row>
    <row r="1512" spans="1:20" ht="63.75" x14ac:dyDescent="0.25">
      <c r="A1512" s="6">
        <v>1509</v>
      </c>
      <c r="B1512" s="1" t="str">
        <f t="shared" si="138"/>
        <v>2020-2876</v>
      </c>
      <c r="C1512" s="1" t="s">
        <v>1434</v>
      </c>
      <c r="D1512" s="1" t="s">
        <v>1209</v>
      </c>
      <c r="E1512" s="1" t="str">
        <f>""</f>
        <v/>
      </c>
      <c r="F1512" s="1" t="s">
        <v>28</v>
      </c>
      <c r="G1512" s="1" t="str">
        <f t="shared" si="139"/>
        <v>EOL GRUPA D.O.O., SMIČIKLASOVA 5/C, 47000 KARLOVAC, OIB: 7109729867</v>
      </c>
      <c r="H1512" s="7"/>
      <c r="I1512" s="8" t="s">
        <v>227</v>
      </c>
      <c r="J1512" s="8" t="s">
        <v>292</v>
      </c>
      <c r="K1512" s="6" t="str">
        <f>"11.400,00"</f>
        <v>11.400,00</v>
      </c>
      <c r="L1512" s="6" t="str">
        <f>"0,00"</f>
        <v>0,00</v>
      </c>
      <c r="M1512" s="6" t="str">
        <f>"11.400,00"</f>
        <v>11.400,00</v>
      </c>
      <c r="N1512" s="8" t="s">
        <v>124</v>
      </c>
      <c r="O1512" s="7"/>
      <c r="P1512" s="2" t="s">
        <v>5614</v>
      </c>
      <c r="Q1512" s="7"/>
      <c r="R1512" s="1"/>
      <c r="S1512" s="1" t="str">
        <f>"14-22/NOS-105/20"</f>
        <v>14-22/NOS-105/20</v>
      </c>
      <c r="T1512" s="1" t="s">
        <v>32</v>
      </c>
    </row>
    <row r="1513" spans="1:20" ht="63.75" x14ac:dyDescent="0.25">
      <c r="A1513" s="6">
        <v>1510</v>
      </c>
      <c r="B1513" s="1" t="str">
        <f t="shared" si="138"/>
        <v>2020-2876</v>
      </c>
      <c r="C1513" s="1" t="s">
        <v>1434</v>
      </c>
      <c r="D1513" s="1" t="s">
        <v>1209</v>
      </c>
      <c r="E1513" s="1" t="str">
        <f>""</f>
        <v/>
      </c>
      <c r="F1513" s="1" t="s">
        <v>28</v>
      </c>
      <c r="G1513" s="1" t="str">
        <f t="shared" si="139"/>
        <v>EOL GRUPA D.O.O., SMIČIKLASOVA 5/C, 47000 KARLOVAC, OIB: 7109729867</v>
      </c>
      <c r="H1513" s="7"/>
      <c r="I1513" s="8" t="s">
        <v>388</v>
      </c>
      <c r="J1513" s="8" t="s">
        <v>292</v>
      </c>
      <c r="K1513" s="6" t="str">
        <f>"3.600,00"</f>
        <v>3.600,00</v>
      </c>
      <c r="L1513" s="6" t="str">
        <f>"0,00"</f>
        <v>0,00</v>
      </c>
      <c r="M1513" s="6" t="str">
        <f>"3.600,00"</f>
        <v>3.600,00</v>
      </c>
      <c r="N1513" s="8" t="s">
        <v>124</v>
      </c>
      <c r="O1513" s="7"/>
      <c r="P1513" s="2" t="s">
        <v>5614</v>
      </c>
      <c r="Q1513" s="7"/>
      <c r="R1513" s="1"/>
      <c r="S1513" s="1" t="str">
        <f>"15-22/NOS-105/20"</f>
        <v>15-22/NOS-105/20</v>
      </c>
      <c r="T1513" s="1" t="s">
        <v>32</v>
      </c>
    </row>
    <row r="1514" spans="1:20" ht="63.75" x14ac:dyDescent="0.25">
      <c r="A1514" s="6">
        <v>1511</v>
      </c>
      <c r="B1514" s="1" t="str">
        <f t="shared" si="138"/>
        <v>2020-2876</v>
      </c>
      <c r="C1514" s="1" t="s">
        <v>1434</v>
      </c>
      <c r="D1514" s="1" t="s">
        <v>1209</v>
      </c>
      <c r="E1514" s="1" t="str">
        <f>""</f>
        <v/>
      </c>
      <c r="F1514" s="1" t="s">
        <v>28</v>
      </c>
      <c r="G1514" s="1" t="str">
        <f t="shared" si="139"/>
        <v>EOL GRUPA D.O.O., SMIČIKLASOVA 5/C, 47000 KARLOVAC, OIB: 7109729867</v>
      </c>
      <c r="H1514" s="7"/>
      <c r="I1514" s="8" t="s">
        <v>489</v>
      </c>
      <c r="J1514" s="8" t="s">
        <v>292</v>
      </c>
      <c r="K1514" s="6" t="str">
        <f>"5.400,00"</f>
        <v>5.400,00</v>
      </c>
      <c r="L1514" s="6" t="str">
        <f>"0,00"</f>
        <v>0,00</v>
      </c>
      <c r="M1514" s="6" t="str">
        <f>"5.400,00"</f>
        <v>5.400,00</v>
      </c>
      <c r="N1514" s="8" t="s">
        <v>124</v>
      </c>
      <c r="O1514" s="7"/>
      <c r="P1514" s="2" t="s">
        <v>5614</v>
      </c>
      <c r="Q1514" s="7"/>
      <c r="R1514" s="1"/>
      <c r="S1514" s="1" t="str">
        <f>"16-22/NOS-105/20"</f>
        <v>16-22/NOS-105/20</v>
      </c>
      <c r="T1514" s="1" t="s">
        <v>32</v>
      </c>
    </row>
    <row r="1515" spans="1:20" ht="140.25" x14ac:dyDescent="0.25">
      <c r="A1515" s="6">
        <v>1512</v>
      </c>
      <c r="B1515" s="1" t="str">
        <f>"2020-2760"</f>
        <v>2020-2760</v>
      </c>
      <c r="C1515" s="1" t="s">
        <v>1437</v>
      </c>
      <c r="D1515" s="1" t="s">
        <v>1438</v>
      </c>
      <c r="E1515" s="1" t="str">
        <f>"2021/S 0F2-0000634"</f>
        <v>2021/S 0F2-0000634</v>
      </c>
      <c r="F1515" s="1" t="s">
        <v>22</v>
      </c>
      <c r="G1515" s="1"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1515" s="7"/>
      <c r="I1515" s="8" t="s">
        <v>1052</v>
      </c>
      <c r="J1515" s="8" t="s">
        <v>1439</v>
      </c>
      <c r="K1515" s="6" t="str">
        <f>"5.100.000,00"</f>
        <v>5.100.000,00</v>
      </c>
      <c r="L1515" s="6" t="str">
        <f>"1.275.000,00"</f>
        <v>1.275.000,00</v>
      </c>
      <c r="M1515" s="6" t="str">
        <f>"6.375.000,00"</f>
        <v>6.375.000,00</v>
      </c>
      <c r="N1515" s="8" t="s">
        <v>124</v>
      </c>
      <c r="O1515" s="7"/>
      <c r="P1515" s="2" t="s">
        <v>5614</v>
      </c>
      <c r="Q1515" s="7"/>
      <c r="R1515" s="1"/>
      <c r="S1515" s="1" t="str">
        <f>"NOS-110/20"</f>
        <v>NOS-110/20</v>
      </c>
      <c r="T1515" s="1" t="s">
        <v>32</v>
      </c>
    </row>
    <row r="1516" spans="1:20" ht="51" x14ac:dyDescent="0.25">
      <c r="A1516" s="6">
        <v>1513</v>
      </c>
      <c r="B1516" s="1" t="str">
        <f>"2020-2760"</f>
        <v>2020-2760</v>
      </c>
      <c r="C1516" s="1" t="s">
        <v>1437</v>
      </c>
      <c r="D1516" s="1" t="s">
        <v>1438</v>
      </c>
      <c r="E1516" s="1" t="str">
        <f>""</f>
        <v/>
      </c>
      <c r="F1516" s="1" t="s">
        <v>28</v>
      </c>
      <c r="G1516" s="1" t="str">
        <f>CONCATENATE("BINĐO D.O.O.,"," MAJDEKOVA 17,"," 10310 IVANIĆ-GRAD,"," OIB: 49733628869")</f>
        <v>BINĐO D.O.O., MAJDEKOVA 17, 10310 IVANIĆ-GRAD, OIB: 49733628869</v>
      </c>
      <c r="H1516" s="7"/>
      <c r="I1516" s="8" t="s">
        <v>855</v>
      </c>
      <c r="J1516" s="8" t="s">
        <v>851</v>
      </c>
      <c r="K1516" s="6" t="str">
        <f>"455.000,00"</f>
        <v>455.000,00</v>
      </c>
      <c r="L1516" s="6" t="str">
        <f>"92.297,44"</f>
        <v>92.297,44</v>
      </c>
      <c r="M1516" s="6" t="str">
        <f>"547.297,44"</f>
        <v>547.297,44</v>
      </c>
      <c r="N1516" s="8" t="s">
        <v>523</v>
      </c>
      <c r="O1516" s="7"/>
      <c r="P1516" s="2" t="s">
        <v>6560</v>
      </c>
      <c r="Q1516" s="7"/>
      <c r="R1516" s="1"/>
      <c r="S1516" s="1" t="str">
        <f>"1-22/NOS-110/20"</f>
        <v>1-22/NOS-110/20</v>
      </c>
      <c r="T1516" s="1" t="s">
        <v>32</v>
      </c>
    </row>
    <row r="1517" spans="1:20" ht="76.5" x14ac:dyDescent="0.25">
      <c r="A1517" s="6">
        <v>1514</v>
      </c>
      <c r="B1517" s="1" t="str">
        <f t="shared" ref="B1517:B1522" si="140">"2020-100"</f>
        <v>2020-100</v>
      </c>
      <c r="C1517" s="1" t="s">
        <v>1440</v>
      </c>
      <c r="D1517" s="1" t="s">
        <v>537</v>
      </c>
      <c r="E1517" s="1" t="str">
        <f>"2020/S 0F2-0041263"</f>
        <v>2020/S 0F2-0041263</v>
      </c>
      <c r="F1517" s="1" t="s">
        <v>22</v>
      </c>
      <c r="G1517" s="1" t="str">
        <f>CONCATENATE("SMIT-COMMERCE D.O.O.,"," GORNJOSTUPNIČKA 9B,"," 10255 GORNJI STUPNIK,"," OIB: 9524348214")</f>
        <v>SMIT-COMMERCE D.O.O., GORNJOSTUPNIČKA 9B, 10255 GORNJI STUPNIK, OIB: 9524348214</v>
      </c>
      <c r="H1517" s="7"/>
      <c r="I1517" s="8" t="s">
        <v>857</v>
      </c>
      <c r="J1517" s="8" t="s">
        <v>1441</v>
      </c>
      <c r="K1517" s="6" t="str">
        <f>"4.800.000,00"</f>
        <v>4.800.000,00</v>
      </c>
      <c r="L1517" s="6" t="str">
        <f>"1.200.000,00"</f>
        <v>1.200.000,00</v>
      </c>
      <c r="M1517" s="6" t="str">
        <f>"6.000.000,00"</f>
        <v>6.000.000,00</v>
      </c>
      <c r="N1517" s="8" t="s">
        <v>124</v>
      </c>
      <c r="O1517" s="7"/>
      <c r="P1517" s="2" t="s">
        <v>5614</v>
      </c>
      <c r="Q1517" s="7"/>
      <c r="R1517" s="1"/>
      <c r="S1517" s="1" t="str">
        <f>"NOS-111-1/20"</f>
        <v>NOS-111-1/20</v>
      </c>
      <c r="T1517" s="1" t="s">
        <v>27</v>
      </c>
    </row>
    <row r="1518" spans="1:20" ht="76.5" x14ac:dyDescent="0.25">
      <c r="A1518" s="6">
        <v>1515</v>
      </c>
      <c r="B1518" s="1" t="str">
        <f t="shared" si="140"/>
        <v>2020-100</v>
      </c>
      <c r="C1518" s="1" t="s">
        <v>1442</v>
      </c>
      <c r="D1518" s="1" t="s">
        <v>541</v>
      </c>
      <c r="E1518" s="1" t="str">
        <f>""</f>
        <v/>
      </c>
      <c r="F1518" s="1" t="s">
        <v>28</v>
      </c>
      <c r="G1518" s="1" t="str">
        <f>CONCATENATE("SMIT-COMMERCE D.O.O.,"," GORNJOSTUPNIČKA 9B,"," 10255 GORNJI STUPNIK,"," OIB: 9524348214")</f>
        <v>SMIT-COMMERCE D.O.O., GORNJOSTUPNIČKA 9B, 10255 GORNJI STUPNIK, OIB: 9524348214</v>
      </c>
      <c r="H1518" s="7"/>
      <c r="I1518" s="8" t="s">
        <v>293</v>
      </c>
      <c r="J1518" s="8" t="s">
        <v>123</v>
      </c>
      <c r="K1518" s="6" t="str">
        <f>"797.275,45"</f>
        <v>797.275,45</v>
      </c>
      <c r="L1518" s="6" t="str">
        <f>"199.318,86"</f>
        <v>199.318,86</v>
      </c>
      <c r="M1518" s="6" t="str">
        <f>"996.594,31"</f>
        <v>996.594,31</v>
      </c>
      <c r="N1518" s="8" t="s">
        <v>124</v>
      </c>
      <c r="O1518" s="7"/>
      <c r="P1518" s="2" t="s">
        <v>6561</v>
      </c>
      <c r="Q1518" s="7"/>
      <c r="R1518" s="1"/>
      <c r="S1518" s="1" t="str">
        <f>"1-22/NOS-111-1/20"</f>
        <v>1-22/NOS-111-1/20</v>
      </c>
      <c r="T1518" s="1" t="s">
        <v>32</v>
      </c>
    </row>
    <row r="1519" spans="1:20" ht="76.5" x14ac:dyDescent="0.25">
      <c r="A1519" s="6">
        <v>1516</v>
      </c>
      <c r="B1519" s="1" t="str">
        <f t="shared" si="140"/>
        <v>2020-100</v>
      </c>
      <c r="C1519" s="1" t="s">
        <v>1440</v>
      </c>
      <c r="D1519" s="1" t="s">
        <v>541</v>
      </c>
      <c r="E1519" s="1" t="str">
        <f>""</f>
        <v/>
      </c>
      <c r="F1519" s="1" t="s">
        <v>28</v>
      </c>
      <c r="G1519" s="1" t="str">
        <f>CONCATENATE("SMIT-COMMERCE D.O.O.,"," GORNJOSTUPNIČKA 9B,"," 10255 GORNJI STUPNIK,"," OIB: 9524348214")</f>
        <v>SMIT-COMMERCE D.O.O., GORNJOSTUPNIČKA 9B, 10255 GORNJI STUPNIK, OIB: 9524348214</v>
      </c>
      <c r="H1519" s="7"/>
      <c r="I1519" s="8" t="s">
        <v>1123</v>
      </c>
      <c r="J1519" s="8" t="s">
        <v>555</v>
      </c>
      <c r="K1519" s="6" t="str">
        <f>"275.010,00"</f>
        <v>275.010,00</v>
      </c>
      <c r="L1519" s="6" t="str">
        <f>"0,00"</f>
        <v>0,00</v>
      </c>
      <c r="M1519" s="6" t="str">
        <f>"275.010,00"</f>
        <v>275.010,00</v>
      </c>
      <c r="N1519" s="8" t="s">
        <v>124</v>
      </c>
      <c r="O1519" s="7"/>
      <c r="P1519" s="2" t="s">
        <v>5614</v>
      </c>
      <c r="Q1519" s="7"/>
      <c r="R1519" s="1"/>
      <c r="S1519" s="1" t="str">
        <f>"2-22/NOS-111-1/20"</f>
        <v>2-22/NOS-111-1/20</v>
      </c>
      <c r="T1519" s="1" t="s">
        <v>32</v>
      </c>
    </row>
    <row r="1520" spans="1:20" ht="51" x14ac:dyDescent="0.25">
      <c r="A1520" s="6">
        <v>1517</v>
      </c>
      <c r="B1520" s="1" t="str">
        <f t="shared" si="140"/>
        <v>2020-100</v>
      </c>
      <c r="C1520" s="1" t="s">
        <v>1443</v>
      </c>
      <c r="D1520" s="1" t="s">
        <v>537</v>
      </c>
      <c r="E1520" s="1" t="str">
        <f>"2020/S 0F2-0041263"</f>
        <v>2020/S 0F2-0041263</v>
      </c>
      <c r="F1520" s="1" t="s">
        <v>22</v>
      </c>
      <c r="G1520" s="1" t="str">
        <f>CONCATENATE("SAMOBORKA SPLIT D.O.O.,"," PRISIKE 19,"," 21203 GORNJI MUĆ,"," OIB: 14978110804")</f>
        <v>SAMOBORKA SPLIT D.O.O., PRISIKE 19, 21203 GORNJI MUĆ, OIB: 14978110804</v>
      </c>
      <c r="H1520" s="7"/>
      <c r="I1520" s="8" t="s">
        <v>1052</v>
      </c>
      <c r="J1520" s="8" t="s">
        <v>1395</v>
      </c>
      <c r="K1520" s="6" t="str">
        <f>"5.000.000,00"</f>
        <v>5.000.000,00</v>
      </c>
      <c r="L1520" s="6" t="str">
        <f>"1.250.000,00"</f>
        <v>1.250.000,00</v>
      </c>
      <c r="M1520" s="6" t="str">
        <f>"6.250.000,00"</f>
        <v>6.250.000,00</v>
      </c>
      <c r="N1520" s="8" t="s">
        <v>124</v>
      </c>
      <c r="O1520" s="7"/>
      <c r="P1520" s="2" t="s">
        <v>5614</v>
      </c>
      <c r="Q1520" s="7"/>
      <c r="R1520" s="1"/>
      <c r="S1520" s="1" t="str">
        <f>"NOS-111-2/20"</f>
        <v>NOS-111-2/20</v>
      </c>
      <c r="T1520" s="1" t="s">
        <v>27</v>
      </c>
    </row>
    <row r="1521" spans="1:20" ht="51" x14ac:dyDescent="0.25">
      <c r="A1521" s="6">
        <v>1518</v>
      </c>
      <c r="B1521" s="1" t="str">
        <f t="shared" si="140"/>
        <v>2020-100</v>
      </c>
      <c r="C1521" s="1" t="s">
        <v>1444</v>
      </c>
      <c r="D1521" s="1" t="s">
        <v>541</v>
      </c>
      <c r="E1521" s="1" t="str">
        <f>""</f>
        <v/>
      </c>
      <c r="F1521" s="1" t="s">
        <v>28</v>
      </c>
      <c r="G1521" s="1" t="str">
        <f>CONCATENATE("SAMOBORKA SPLIT D.O.O.,"," PRISIKE 19,"," 21203 GORNJI MUĆ,"," OIB: 14978110804")</f>
        <v>SAMOBORKA SPLIT D.O.O., PRISIKE 19, 21203 GORNJI MUĆ, OIB: 14978110804</v>
      </c>
      <c r="H1521" s="7"/>
      <c r="I1521" s="8" t="s">
        <v>1445</v>
      </c>
      <c r="J1521" s="8" t="s">
        <v>41</v>
      </c>
      <c r="K1521" s="6" t="str">
        <f>"605.353,20"</f>
        <v>605.353,20</v>
      </c>
      <c r="L1521" s="6" t="str">
        <f>"151.338,30"</f>
        <v>151.338,30</v>
      </c>
      <c r="M1521" s="6" t="str">
        <f>"756.691,50"</f>
        <v>756.691,50</v>
      </c>
      <c r="N1521" s="8" t="s">
        <v>227</v>
      </c>
      <c r="O1521" s="7"/>
      <c r="P1521" s="2" t="s">
        <v>6562</v>
      </c>
      <c r="Q1521" s="7"/>
      <c r="R1521" s="1"/>
      <c r="S1521" s="1" t="str">
        <f>"8-21/NOS-111-2/20"</f>
        <v>8-21/NOS-111-2/20</v>
      </c>
      <c r="T1521" s="1" t="s">
        <v>32</v>
      </c>
    </row>
    <row r="1522" spans="1:20" ht="51" x14ac:dyDescent="0.25">
      <c r="A1522" s="6">
        <v>1519</v>
      </c>
      <c r="B1522" s="1" t="str">
        <f t="shared" si="140"/>
        <v>2020-100</v>
      </c>
      <c r="C1522" s="1" t="s">
        <v>1446</v>
      </c>
      <c r="D1522" s="1" t="s">
        <v>541</v>
      </c>
      <c r="E1522" s="1" t="str">
        <f>""</f>
        <v/>
      </c>
      <c r="F1522" s="1" t="s">
        <v>28</v>
      </c>
      <c r="G1522" s="1" t="str">
        <f>CONCATENATE("SAMOBORKA SPLIT D.O.O.,"," PRISIKE 19,"," 21203 GORNJI MUĆ,"," OIB: 14978110804")</f>
        <v>SAMOBORKA SPLIT D.O.O., PRISIKE 19, 21203 GORNJI MUĆ, OIB: 14978110804</v>
      </c>
      <c r="H1522" s="7"/>
      <c r="I1522" s="8" t="s">
        <v>1155</v>
      </c>
      <c r="J1522" s="8" t="s">
        <v>123</v>
      </c>
      <c r="K1522" s="6" t="str">
        <f>"527.715,92"</f>
        <v>527.715,92</v>
      </c>
      <c r="L1522" s="6" t="str">
        <f>"131.928,98"</f>
        <v>131.928,98</v>
      </c>
      <c r="M1522" s="6" t="str">
        <f>"659.644,90"</f>
        <v>659.644,90</v>
      </c>
      <c r="N1522" s="8" t="s">
        <v>384</v>
      </c>
      <c r="O1522" s="7"/>
      <c r="P1522" s="2" t="s">
        <v>6563</v>
      </c>
      <c r="Q1522" s="7"/>
      <c r="R1522" s="1"/>
      <c r="S1522" s="1" t="str">
        <f>"1-22/NOS-111-2/20"</f>
        <v>1-22/NOS-111-2/20</v>
      </c>
      <c r="T1522" s="1" t="s">
        <v>32</v>
      </c>
    </row>
    <row r="1523" spans="1:20" ht="127.5" x14ac:dyDescent="0.25">
      <c r="A1523" s="6">
        <v>1520</v>
      </c>
      <c r="B1523" s="1" t="str">
        <f t="shared" ref="B1523:B1528" si="141">"2021-6"</f>
        <v>2021-6</v>
      </c>
      <c r="C1523" s="1" t="s">
        <v>1447</v>
      </c>
      <c r="D1523" s="1" t="s">
        <v>945</v>
      </c>
      <c r="E1523" s="1" t="str">
        <f>"2021/S 0F2-0008165"</f>
        <v>2021/S 0F2-0008165</v>
      </c>
      <c r="F1523" s="1" t="s">
        <v>22</v>
      </c>
      <c r="G1523" s="1" t="str">
        <f>CONCATENATE("CE-ZA-R D.O.O.,"," JOSIPA LONČARA 15,"," 10090 ZAGREB,"," OIB: 03860945174")</f>
        <v>CE-ZA-R D.O.O., JOSIPA LONČARA 15, 10090 ZAGREB, OIB: 03860945174</v>
      </c>
      <c r="H1523" s="7"/>
      <c r="I1523" s="8" t="s">
        <v>1448</v>
      </c>
      <c r="J1523" s="8" t="s">
        <v>1449</v>
      </c>
      <c r="K1523" s="6" t="str">
        <f>"3.000.000,00"</f>
        <v>3.000.000,00</v>
      </c>
      <c r="L1523" s="6" t="str">
        <f>"750.000,00"</f>
        <v>750.000,00</v>
      </c>
      <c r="M1523" s="6" t="str">
        <f>"3.750.000,00"</f>
        <v>3.750.000,00</v>
      </c>
      <c r="N1523" s="8" t="s">
        <v>124</v>
      </c>
      <c r="O1523" s="7"/>
      <c r="P1523" s="2" t="s">
        <v>5614</v>
      </c>
      <c r="Q1523" s="7"/>
      <c r="R1523" s="1"/>
      <c r="S1523" s="1" t="str">
        <f>"NOS-1-1/21"</f>
        <v>NOS-1-1/21</v>
      </c>
      <c r="T1523" s="1" t="s">
        <v>32</v>
      </c>
    </row>
    <row r="1524" spans="1:20" ht="153" x14ac:dyDescent="0.25">
      <c r="A1524" s="6">
        <v>1521</v>
      </c>
      <c r="B1524" s="1" t="str">
        <f t="shared" si="141"/>
        <v>2021-6</v>
      </c>
      <c r="C1524" s="1" t="s">
        <v>1450</v>
      </c>
      <c r="D1524" s="1" t="s">
        <v>949</v>
      </c>
      <c r="E1524" s="1" t="str">
        <f>""</f>
        <v/>
      </c>
      <c r="F1524" s="1" t="s">
        <v>28</v>
      </c>
      <c r="G1524" s="1" t="str">
        <f>CONCATENATE("CE-ZA-R D.O.O.,"," JOSIPA LONČARA 15,"," 10090 ZAGREB,"," OIB: 03860945174")</f>
        <v>CE-ZA-R D.O.O., JOSIPA LONČARA 15, 10090 ZAGREB, OIB: 03860945174</v>
      </c>
      <c r="H1524" s="7"/>
      <c r="I1524" s="8" t="s">
        <v>895</v>
      </c>
      <c r="J1524" s="8" t="s">
        <v>123</v>
      </c>
      <c r="K1524" s="6" t="str">
        <f>"450.000,00"</f>
        <v>450.000,00</v>
      </c>
      <c r="L1524" s="6" t="str">
        <f>"112.500,00"</f>
        <v>112.500,00</v>
      </c>
      <c r="M1524" s="6" t="str">
        <f>"562.500,00"</f>
        <v>562.500,00</v>
      </c>
      <c r="N1524" s="8" t="s">
        <v>489</v>
      </c>
      <c r="O1524" s="7"/>
      <c r="P1524" s="2" t="s">
        <v>6564</v>
      </c>
      <c r="Q1524" s="1"/>
      <c r="R1524" s="1"/>
      <c r="S1524" s="1" t="str">
        <f>"1-22/NOS-1-1/21"</f>
        <v>1-22/NOS-1-1/21</v>
      </c>
      <c r="T1524" s="1" t="s">
        <v>32</v>
      </c>
    </row>
    <row r="1525" spans="1:20" ht="153" x14ac:dyDescent="0.25">
      <c r="A1525" s="6">
        <v>1522</v>
      </c>
      <c r="B1525" s="1" t="str">
        <f t="shared" si="141"/>
        <v>2021-6</v>
      </c>
      <c r="C1525" s="1" t="s">
        <v>1451</v>
      </c>
      <c r="D1525" s="1" t="s">
        <v>949</v>
      </c>
      <c r="E1525" s="1" t="str">
        <f>""</f>
        <v/>
      </c>
      <c r="F1525" s="1" t="s">
        <v>28</v>
      </c>
      <c r="G1525" s="1" t="str">
        <f>CONCATENATE("CE-ZA-R D.O.O.,"," JOSIPA LONČARA 15,"," 10090 ZAGREB,"," OIB: 03860945174")</f>
        <v>CE-ZA-R D.O.O., JOSIPA LONČARA 15, 10090 ZAGREB, OIB: 03860945174</v>
      </c>
      <c r="H1525" s="7"/>
      <c r="I1525" s="8" t="s">
        <v>1157</v>
      </c>
      <c r="J1525" s="8" t="s">
        <v>123</v>
      </c>
      <c r="K1525" s="6" t="str">
        <f>"450.000,00"</f>
        <v>450.000,00</v>
      </c>
      <c r="L1525" s="6" t="str">
        <f>"112.500,00"</f>
        <v>112.500,00</v>
      </c>
      <c r="M1525" s="6" t="str">
        <f>"562.500,00"</f>
        <v>562.500,00</v>
      </c>
      <c r="N1525" s="8" t="s">
        <v>124</v>
      </c>
      <c r="O1525" s="7"/>
      <c r="P1525" s="2" t="s">
        <v>5614</v>
      </c>
      <c r="Q1525" s="7"/>
      <c r="R1525" s="1"/>
      <c r="S1525" s="1" t="str">
        <f>"2-22/NOS-1-1/21"</f>
        <v>2-22/NOS-1-1/21</v>
      </c>
      <c r="T1525" s="1" t="s">
        <v>32</v>
      </c>
    </row>
    <row r="1526" spans="1:20" ht="140.25" x14ac:dyDescent="0.25">
      <c r="A1526" s="6">
        <v>1523</v>
      </c>
      <c r="B1526" s="1" t="str">
        <f t="shared" si="141"/>
        <v>2021-6</v>
      </c>
      <c r="C1526" s="1" t="s">
        <v>1452</v>
      </c>
      <c r="D1526" s="1" t="s">
        <v>945</v>
      </c>
      <c r="E1526" s="1" t="str">
        <f>"2021/S 0F2-0008165"</f>
        <v>2021/S 0F2-0008165</v>
      </c>
      <c r="F1526" s="1" t="s">
        <v>22</v>
      </c>
      <c r="G1526" s="1" t="str">
        <f>CONCATENATE("REOMA GRUPA D.O.O.,"," RADNIČKA CESTA 173K,"," 10000 ZAGREB,"," OIB: 61791785783")</f>
        <v>REOMA GRUPA D.O.O., RADNIČKA CESTA 173K, 10000 ZAGREB, OIB: 61791785783</v>
      </c>
      <c r="H1526" s="7"/>
      <c r="I1526" s="8" t="s">
        <v>1448</v>
      </c>
      <c r="J1526" s="8" t="s">
        <v>1453</v>
      </c>
      <c r="K1526" s="6" t="str">
        <f>"12.000.000,00"</f>
        <v>12.000.000,00</v>
      </c>
      <c r="L1526" s="6" t="str">
        <f>"3.000.000,00"</f>
        <v>3.000.000,00</v>
      </c>
      <c r="M1526" s="6" t="str">
        <f>"15.000.000,00"</f>
        <v>15.000.000,00</v>
      </c>
      <c r="N1526" s="8" t="s">
        <v>565</v>
      </c>
      <c r="O1526" s="7"/>
      <c r="P1526" s="2" t="s">
        <v>5614</v>
      </c>
      <c r="Q1526" s="7"/>
      <c r="R1526" s="1"/>
      <c r="S1526" s="1" t="str">
        <f>"NOS-1-2/21"</f>
        <v>NOS-1-2/21</v>
      </c>
      <c r="T1526" s="1" t="s">
        <v>32</v>
      </c>
    </row>
    <row r="1527" spans="1:20" ht="89.25" x14ac:dyDescent="0.25">
      <c r="A1527" s="6">
        <v>1524</v>
      </c>
      <c r="B1527" s="1" t="str">
        <f t="shared" si="141"/>
        <v>2021-6</v>
      </c>
      <c r="C1527" s="1" t="s">
        <v>1454</v>
      </c>
      <c r="D1527" s="1" t="s">
        <v>949</v>
      </c>
      <c r="E1527" s="1" t="str">
        <f>""</f>
        <v/>
      </c>
      <c r="F1527" s="1" t="s">
        <v>28</v>
      </c>
      <c r="G1527" s="1" t="str">
        <f>CONCATENATE("REOMA GRUPA D.O.O.,"," RADNIČKA CESTA 173K,"," 10000 ZAGREB,"," OIB: 61791785783")</f>
        <v>REOMA GRUPA D.O.O., RADNIČKA CESTA 173K, 10000 ZAGREB, OIB: 61791785783</v>
      </c>
      <c r="H1527" s="7"/>
      <c r="I1527" s="8" t="s">
        <v>904</v>
      </c>
      <c r="J1527" s="8" t="s">
        <v>875</v>
      </c>
      <c r="K1527" s="6" t="str">
        <f>"2.232.620,00"</f>
        <v>2.232.620,00</v>
      </c>
      <c r="L1527" s="6" t="str">
        <f>"558.155,00"</f>
        <v>558.155,00</v>
      </c>
      <c r="M1527" s="6" t="str">
        <f>"2.790.775,00"</f>
        <v>2.790.775,00</v>
      </c>
      <c r="N1527" s="8" t="s">
        <v>744</v>
      </c>
      <c r="O1527" s="7"/>
      <c r="P1527" s="2" t="s">
        <v>6565</v>
      </c>
      <c r="Q1527" s="1"/>
      <c r="R1527" s="1"/>
      <c r="S1527" s="1" t="str">
        <f>"2-21/NOS-1-2/21"</f>
        <v>2-21/NOS-1-2/21</v>
      </c>
      <c r="T1527" s="1" t="s">
        <v>32</v>
      </c>
    </row>
    <row r="1528" spans="1:20" ht="153" x14ac:dyDescent="0.25">
      <c r="A1528" s="6">
        <v>1525</v>
      </c>
      <c r="B1528" s="1" t="str">
        <f t="shared" si="141"/>
        <v>2021-6</v>
      </c>
      <c r="C1528" s="1" t="s">
        <v>1455</v>
      </c>
      <c r="D1528" s="1" t="s">
        <v>949</v>
      </c>
      <c r="E1528" s="1" t="str">
        <f>""</f>
        <v/>
      </c>
      <c r="F1528" s="1" t="s">
        <v>28</v>
      </c>
      <c r="G1528" s="1" t="str">
        <f>CONCATENATE("REOMA GRUPA D.O.O.,"," RADNIČKA CESTA 173K,"," 10000 ZAGREB,"," OIB: 61791785783")</f>
        <v>REOMA GRUPA D.O.O., RADNIČKA CESTA 173K, 10000 ZAGREB, OIB: 61791785783</v>
      </c>
      <c r="H1528" s="7"/>
      <c r="I1528" s="8" t="s">
        <v>398</v>
      </c>
      <c r="J1528" s="8" t="s">
        <v>1456</v>
      </c>
      <c r="K1528" s="6" t="str">
        <f>"2.493.000,00"</f>
        <v>2.493.000,00</v>
      </c>
      <c r="L1528" s="6" t="str">
        <f>"623.250,00"</f>
        <v>623.250,00</v>
      </c>
      <c r="M1528" s="6" t="str">
        <f>"3.116.250,00"</f>
        <v>3.116.250,00</v>
      </c>
      <c r="N1528" s="8" t="s">
        <v>489</v>
      </c>
      <c r="O1528" s="7"/>
      <c r="P1528" s="2" t="s">
        <v>6566</v>
      </c>
      <c r="Q1528" s="1"/>
      <c r="R1528" s="1"/>
      <c r="S1528" s="1" t="str">
        <f>"2-22/NOS-1-2/21"</f>
        <v>2-22/NOS-1-2/21</v>
      </c>
      <c r="T1528" s="1" t="s">
        <v>32</v>
      </c>
    </row>
    <row r="1529" spans="1:20" ht="140.25" x14ac:dyDescent="0.25">
      <c r="A1529" s="6">
        <v>1526</v>
      </c>
      <c r="B1529" s="1" t="str">
        <f t="shared" ref="B1529:B1535" si="142">"2020-2787"</f>
        <v>2020-2787</v>
      </c>
      <c r="C1529" s="1" t="s">
        <v>1457</v>
      </c>
      <c r="D1529" s="1" t="s">
        <v>1458</v>
      </c>
      <c r="E1529" s="1" t="str">
        <f>"2020/S 0F2-0038078"</f>
        <v>2020/S 0F2-0038078</v>
      </c>
      <c r="F1529" s="1" t="s">
        <v>22</v>
      </c>
      <c r="G1529" s="1" t="str">
        <f>CONCATENATE("Zajednica ponuditelja",CHAR(10),"RO-TERMO D.O.O.,"," ,"," OIB: 24452310712RO-TERMO SERVISI D.O.O. SISAČKA CESTA 20A,"," 10000 ZAGREB,"," OIB: 18918849649")</f>
        <v>Zajednica ponuditelja
RO-TERMO D.O.O., , OIB: 24452310712RO-TERMO SERVISI D.O.O. SISAČKA CESTA 20A, 10000 ZAGREB, OIB: 18918849649</v>
      </c>
      <c r="H1529" s="7"/>
      <c r="I1529" s="8" t="s">
        <v>1459</v>
      </c>
      <c r="J1529" s="8" t="s">
        <v>1430</v>
      </c>
      <c r="K1529" s="6" t="str">
        <f>"100.000,00"</f>
        <v>100.000,00</v>
      </c>
      <c r="L1529" s="6" t="str">
        <f>"25.000,00"</f>
        <v>25.000,00</v>
      </c>
      <c r="M1529" s="6" t="str">
        <f>"125.000,00"</f>
        <v>125.000,00</v>
      </c>
      <c r="N1529" s="8" t="s">
        <v>124</v>
      </c>
      <c r="O1529" s="7"/>
      <c r="P1529" s="2" t="s">
        <v>5614</v>
      </c>
      <c r="Q1529" s="7"/>
      <c r="R1529" s="1"/>
      <c r="S1529" s="1" t="str">
        <f>"NOS-113-7/20"</f>
        <v>NOS-113-7/20</v>
      </c>
      <c r="T1529" s="1" t="s">
        <v>1004</v>
      </c>
    </row>
    <row r="1530" spans="1:20" ht="114.75" x14ac:dyDescent="0.25">
      <c r="A1530" s="6">
        <v>1527</v>
      </c>
      <c r="B1530" s="1" t="str">
        <f t="shared" si="142"/>
        <v>2020-2787</v>
      </c>
      <c r="C1530" s="1" t="s">
        <v>1457</v>
      </c>
      <c r="D1530" s="1" t="s">
        <v>1458</v>
      </c>
      <c r="E1530" s="1" t="str">
        <f>""</f>
        <v/>
      </c>
      <c r="F1530" s="1" t="s">
        <v>28</v>
      </c>
      <c r="G1530" s="1"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530" s="7"/>
      <c r="I1530" s="8" t="s">
        <v>41</v>
      </c>
      <c r="J1530" s="8" t="s">
        <v>555</v>
      </c>
      <c r="K1530" s="6" t="str">
        <f>"5.247,34"</f>
        <v>5.247,34</v>
      </c>
      <c r="L1530" s="6" t="str">
        <f>"1.311,84"</f>
        <v>1.311,84</v>
      </c>
      <c r="M1530" s="6" t="str">
        <f>"6.559,18"</f>
        <v>6.559,18</v>
      </c>
      <c r="N1530" s="8" t="s">
        <v>127</v>
      </c>
      <c r="O1530" s="7"/>
      <c r="P1530" s="2" t="s">
        <v>6567</v>
      </c>
      <c r="Q1530" s="7"/>
      <c r="R1530" s="1"/>
      <c r="S1530" s="1" t="str">
        <f>"1-22/NOS-113-7/20"</f>
        <v>1-22/NOS-113-7/20</v>
      </c>
      <c r="T1530" s="1" t="s">
        <v>32</v>
      </c>
    </row>
    <row r="1531" spans="1:20" ht="114.75" x14ac:dyDescent="0.25">
      <c r="A1531" s="6">
        <v>1528</v>
      </c>
      <c r="B1531" s="1" t="str">
        <f t="shared" si="142"/>
        <v>2020-2787</v>
      </c>
      <c r="C1531" s="1" t="s">
        <v>1457</v>
      </c>
      <c r="D1531" s="1" t="s">
        <v>1458</v>
      </c>
      <c r="E1531" s="1" t="str">
        <f>""</f>
        <v/>
      </c>
      <c r="F1531" s="1" t="s">
        <v>28</v>
      </c>
      <c r="G1531" s="1"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531" s="7"/>
      <c r="I1531" s="8" t="s">
        <v>127</v>
      </c>
      <c r="J1531" s="8" t="s">
        <v>555</v>
      </c>
      <c r="K1531" s="6" t="str">
        <f>"3.158,00"</f>
        <v>3.158,00</v>
      </c>
      <c r="L1531" s="6" t="str">
        <f>"789,50"</f>
        <v>789,50</v>
      </c>
      <c r="M1531" s="6" t="str">
        <f>"3.947,50"</f>
        <v>3.947,50</v>
      </c>
      <c r="N1531" s="8" t="s">
        <v>247</v>
      </c>
      <c r="O1531" s="7"/>
      <c r="P1531" s="2" t="s">
        <v>6568</v>
      </c>
      <c r="Q1531" s="7"/>
      <c r="R1531" s="1"/>
      <c r="S1531" s="1" t="str">
        <f>"5-22/NOS-113-7/20"</f>
        <v>5-22/NOS-113-7/20</v>
      </c>
      <c r="T1531" s="1" t="s">
        <v>32</v>
      </c>
    </row>
    <row r="1532" spans="1:20" ht="114.75" x14ac:dyDescent="0.25">
      <c r="A1532" s="6">
        <v>1529</v>
      </c>
      <c r="B1532" s="1" t="str">
        <f t="shared" si="142"/>
        <v>2020-2787</v>
      </c>
      <c r="C1532" s="1" t="s">
        <v>1457</v>
      </c>
      <c r="D1532" s="1" t="s">
        <v>1458</v>
      </c>
      <c r="E1532" s="1" t="str">
        <f>""</f>
        <v/>
      </c>
      <c r="F1532" s="1" t="s">
        <v>28</v>
      </c>
      <c r="G1532" s="1"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532" s="7"/>
      <c r="I1532" s="8" t="s">
        <v>255</v>
      </c>
      <c r="J1532" s="8" t="s">
        <v>555</v>
      </c>
      <c r="K1532" s="6" t="str">
        <f>"2.580,20"</f>
        <v>2.580,20</v>
      </c>
      <c r="L1532" s="6" t="str">
        <f>"645,05"</f>
        <v>645,05</v>
      </c>
      <c r="M1532" s="6" t="str">
        <f>"3.225,25"</f>
        <v>3.225,25</v>
      </c>
      <c r="N1532" s="8" t="s">
        <v>94</v>
      </c>
      <c r="O1532" s="7"/>
      <c r="P1532" s="2" t="s">
        <v>6569</v>
      </c>
      <c r="Q1532" s="7"/>
      <c r="R1532" s="1"/>
      <c r="S1532" s="1" t="str">
        <f>"6-22/NOS-113-7/20"</f>
        <v>6-22/NOS-113-7/20</v>
      </c>
      <c r="T1532" s="1" t="s">
        <v>32</v>
      </c>
    </row>
    <row r="1533" spans="1:20" ht="114.75" x14ac:dyDescent="0.25">
      <c r="A1533" s="6">
        <v>1530</v>
      </c>
      <c r="B1533" s="1" t="str">
        <f t="shared" si="142"/>
        <v>2020-2787</v>
      </c>
      <c r="C1533" s="1" t="s">
        <v>1457</v>
      </c>
      <c r="D1533" s="1" t="s">
        <v>1458</v>
      </c>
      <c r="E1533" s="1" t="str">
        <f>""</f>
        <v/>
      </c>
      <c r="F1533" s="1" t="s">
        <v>28</v>
      </c>
      <c r="G1533" s="1"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533" s="7"/>
      <c r="I1533" s="8" t="s">
        <v>345</v>
      </c>
      <c r="J1533" s="8" t="s">
        <v>555</v>
      </c>
      <c r="K1533" s="6" t="str">
        <f>"14.343,50"</f>
        <v>14.343,50</v>
      </c>
      <c r="L1533" s="6" t="str">
        <f>"3.946,76"</f>
        <v>3.946,76</v>
      </c>
      <c r="M1533" s="6" t="str">
        <f>"18.290,26"</f>
        <v>18.290,26</v>
      </c>
      <c r="N1533" s="8" t="s">
        <v>508</v>
      </c>
      <c r="O1533" s="7"/>
      <c r="P1533" s="2" t="s">
        <v>6570</v>
      </c>
      <c r="Q1533" s="1" t="s">
        <v>5602</v>
      </c>
      <c r="R1533" s="1"/>
      <c r="S1533" s="1" t="str">
        <f>"3-22/NOS-113-7/20"</f>
        <v>3-22/NOS-113-7/20</v>
      </c>
      <c r="T1533" s="1" t="s">
        <v>32</v>
      </c>
    </row>
    <row r="1534" spans="1:20" ht="114.75" x14ac:dyDescent="0.25">
      <c r="A1534" s="6">
        <v>1531</v>
      </c>
      <c r="B1534" s="1" t="str">
        <f t="shared" si="142"/>
        <v>2020-2787</v>
      </c>
      <c r="C1534" s="1" t="s">
        <v>1457</v>
      </c>
      <c r="D1534" s="1" t="s">
        <v>1458</v>
      </c>
      <c r="E1534" s="1" t="str">
        <f>""</f>
        <v/>
      </c>
      <c r="F1534" s="1" t="s">
        <v>28</v>
      </c>
      <c r="G1534" s="1" t="str">
        <f>CONCATENATE("Zajednica ponuditelja:",CHAR(10),"RO-TERMO D.O.O.,"," SISAČKA CESTA 20A,"," 10000 ZAGREB,"," OIB: 24452310712",CHAR(10),"RO-TERMO SERVISI D.O.O.,"," SISAČKA CESTA 20A,"," 10000 ZAGREB,"," OIB: 18918849649")</f>
        <v>Zajednica ponuditelja:
RO-TERMO D.O.O., SISAČKA CESTA 20A, 10000 ZAGREB, OIB: 24452310712
RO-TERMO SERVISI D.O.O., SISAČKA CESTA 20A, 10000 ZAGREB, OIB: 18918849649</v>
      </c>
      <c r="H1534" s="7"/>
      <c r="I1534" s="8" t="s">
        <v>296</v>
      </c>
      <c r="J1534" s="8" t="s">
        <v>555</v>
      </c>
      <c r="K1534" s="6" t="str">
        <f>"1.019,04"</f>
        <v>1.019,04</v>
      </c>
      <c r="L1534" s="6" t="str">
        <f>"254,76"</f>
        <v>254,76</v>
      </c>
      <c r="M1534" s="6" t="str">
        <f>"1.273,80"</f>
        <v>1.273,80</v>
      </c>
      <c r="N1534" s="8" t="s">
        <v>262</v>
      </c>
      <c r="O1534" s="7"/>
      <c r="P1534" s="2" t="s">
        <v>6571</v>
      </c>
      <c r="Q1534" s="7"/>
      <c r="R1534" s="1"/>
      <c r="S1534" s="1" t="str">
        <f>"8-22/NOS-113-7/20"</f>
        <v>8-22/NOS-113-7/20</v>
      </c>
      <c r="T1534" s="1" t="s">
        <v>32</v>
      </c>
    </row>
    <row r="1535" spans="1:20" x14ac:dyDescent="0.25">
      <c r="A1535" s="27">
        <v>1532</v>
      </c>
      <c r="B1535" s="29" t="str">
        <f t="shared" si="142"/>
        <v>2020-2787</v>
      </c>
      <c r="C1535" s="29" t="s">
        <v>1460</v>
      </c>
      <c r="D1535" s="29" t="s">
        <v>1458</v>
      </c>
      <c r="E1535" s="29" t="str">
        <f>"2020/S 0F2-0038078"</f>
        <v>2020/S 0F2-0038078</v>
      </c>
      <c r="F1535" s="29" t="s">
        <v>22</v>
      </c>
      <c r="G1535" s="29" t="str">
        <f>CONCATENATE("DELTRON D.O.O.,"," VUKOVARSKA 148,"," 21000 SPLIT,"," OIB: 36118056137",CHAR(10),"",CHAR(10),"PAMAJO D.O.O.,"," VRANIČKA 7/A,"," 10000 ZAGREB,"," OIB: 46401136513",CHAR(10),"",CHAR(10),"Zajednica ponuditelja",CHAR(10),"RO-TERMO D.O.O.,"," ,"," OIB: 24452310712RO-TERMO SERVISI D.O.O. SISAČKA CESTA 20A,"," 10000 ZAGREB,"," OIB: 18918849649")</f>
        <v>DELTRON D.O.O., VUKOVARSKA 148, 21000 SPLIT, OIB: 36118056137
PAMAJO D.O.O., VRANIČKA 7/A, 10000 ZAGREB, OIB: 46401136513
Zajednica ponuditelja
RO-TERMO D.O.O., , OIB: 24452310712RO-TERMO SERVISI D.O.O. SISAČKA CESTA 20A, 10000 ZAGREB, OIB: 18918849649</v>
      </c>
      <c r="H1535" s="34"/>
      <c r="I1535" s="32" t="s">
        <v>1459</v>
      </c>
      <c r="J1535" s="32" t="s">
        <v>1461</v>
      </c>
      <c r="K1535" s="27" t="str">
        <f>"796.000,00"</f>
        <v>796.000,00</v>
      </c>
      <c r="L1535" s="27" t="str">
        <f>"199.000,00"</f>
        <v>199.000,00</v>
      </c>
      <c r="M1535" s="27" t="str">
        <f>"995.000,00"</f>
        <v>995.000,00</v>
      </c>
      <c r="N1535" s="32" t="s">
        <v>124</v>
      </c>
      <c r="O1535" s="34"/>
      <c r="P1535" s="38" t="s">
        <v>6572</v>
      </c>
      <c r="Q1535" s="34"/>
      <c r="R1535" s="11"/>
      <c r="S1535" s="29" t="str">
        <f>"NOS-113-1/20"</f>
        <v>NOS-113-1/20</v>
      </c>
      <c r="T1535" s="29" t="s">
        <v>1004</v>
      </c>
    </row>
    <row r="1536" spans="1:20" x14ac:dyDescent="0.25">
      <c r="A1536" s="28"/>
      <c r="B1536" s="30"/>
      <c r="C1536" s="30"/>
      <c r="D1536" s="30"/>
      <c r="E1536" s="30"/>
      <c r="F1536" s="30"/>
      <c r="G1536" s="30"/>
      <c r="H1536" s="35"/>
      <c r="I1536" s="33"/>
      <c r="J1536" s="33"/>
      <c r="K1536" s="28"/>
      <c r="L1536" s="28"/>
      <c r="M1536" s="28"/>
      <c r="N1536" s="33"/>
      <c r="O1536" s="35"/>
      <c r="P1536" s="39"/>
      <c r="Q1536" s="35"/>
      <c r="R1536" s="15"/>
      <c r="S1536" s="30"/>
      <c r="T1536" s="30"/>
    </row>
    <row r="1537" spans="1:20" ht="89.25" x14ac:dyDescent="0.25">
      <c r="A1537" s="6">
        <v>1533</v>
      </c>
      <c r="B1537" s="1" t="str">
        <f t="shared" ref="B1537:B1568" si="143">"2020-2787"</f>
        <v>2020-2787</v>
      </c>
      <c r="C1537" s="1" t="s">
        <v>1460</v>
      </c>
      <c r="D1537" s="1" t="s">
        <v>1458</v>
      </c>
      <c r="E1537" s="1" t="str">
        <f>""</f>
        <v/>
      </c>
      <c r="F1537" s="1" t="s">
        <v>28</v>
      </c>
      <c r="G1537" s="1" t="str">
        <f t="shared" ref="G1537:G1569" si="144">CONCATENATE("PAMAJO D.O.O.,"," VRANIČKA 7/A,"," 10000 ZAGREB,"," OIB: 46401136513")</f>
        <v>PAMAJO D.O.O., VRANIČKA 7/A, 10000 ZAGREB, OIB: 46401136513</v>
      </c>
      <c r="H1537" s="7"/>
      <c r="I1537" s="8" t="s">
        <v>396</v>
      </c>
      <c r="J1537" s="8" t="s">
        <v>393</v>
      </c>
      <c r="K1537" s="6" t="str">
        <f>"10.030,00"</f>
        <v>10.030,00</v>
      </c>
      <c r="L1537" s="6" t="str">
        <f>"2.197,50"</f>
        <v>2.197,50</v>
      </c>
      <c r="M1537" s="6" t="str">
        <f>"12.227,50"</f>
        <v>12.227,50</v>
      </c>
      <c r="N1537" s="8" t="s">
        <v>508</v>
      </c>
      <c r="O1537" s="7"/>
      <c r="P1537" s="2" t="s">
        <v>6573</v>
      </c>
      <c r="Q1537" s="7"/>
      <c r="R1537" s="1"/>
      <c r="S1537" s="1" t="str">
        <f>"2-22/NOS-113-1/20"</f>
        <v>2-22/NOS-113-1/20</v>
      </c>
      <c r="T1537" s="1" t="s">
        <v>32</v>
      </c>
    </row>
    <row r="1538" spans="1:20" ht="89.25" x14ac:dyDescent="0.25">
      <c r="A1538" s="6">
        <v>1534</v>
      </c>
      <c r="B1538" s="1" t="str">
        <f t="shared" si="143"/>
        <v>2020-2787</v>
      </c>
      <c r="C1538" s="1" t="s">
        <v>1460</v>
      </c>
      <c r="D1538" s="1" t="s">
        <v>1458</v>
      </c>
      <c r="E1538" s="1" t="str">
        <f>""</f>
        <v/>
      </c>
      <c r="F1538" s="1" t="s">
        <v>28</v>
      </c>
      <c r="G1538" s="1" t="str">
        <f t="shared" si="144"/>
        <v>PAMAJO D.O.O., VRANIČKA 7/A, 10000 ZAGREB, OIB: 46401136513</v>
      </c>
      <c r="H1538" s="7"/>
      <c r="I1538" s="8" t="s">
        <v>90</v>
      </c>
      <c r="J1538" s="8" t="s">
        <v>393</v>
      </c>
      <c r="K1538" s="6" t="str">
        <f>"20.320,00"</f>
        <v>20.320,00</v>
      </c>
      <c r="L1538" s="6" t="str">
        <f>"5.080,00"</f>
        <v>5.080,00</v>
      </c>
      <c r="M1538" s="6" t="str">
        <f>"25.400,00"</f>
        <v>25.400,00</v>
      </c>
      <c r="N1538" s="8" t="s">
        <v>1117</v>
      </c>
      <c r="O1538" s="7"/>
      <c r="P1538" s="2" t="s">
        <v>6574</v>
      </c>
      <c r="Q1538" s="7"/>
      <c r="R1538" s="1"/>
      <c r="S1538" s="1" t="str">
        <f>"3-22/NOS-113-1/20"</f>
        <v>3-22/NOS-113-1/20</v>
      </c>
      <c r="T1538" s="1" t="s">
        <v>32</v>
      </c>
    </row>
    <row r="1539" spans="1:20" ht="89.25" x14ac:dyDescent="0.25">
      <c r="A1539" s="6">
        <v>1535</v>
      </c>
      <c r="B1539" s="1" t="str">
        <f t="shared" si="143"/>
        <v>2020-2787</v>
      </c>
      <c r="C1539" s="1" t="s">
        <v>1460</v>
      </c>
      <c r="D1539" s="1" t="s">
        <v>1458</v>
      </c>
      <c r="E1539" s="1" t="str">
        <f>""</f>
        <v/>
      </c>
      <c r="F1539" s="1" t="s">
        <v>28</v>
      </c>
      <c r="G1539" s="1" t="str">
        <f t="shared" si="144"/>
        <v>PAMAJO D.O.O., VRANIČKA 7/A, 10000 ZAGREB, OIB: 46401136513</v>
      </c>
      <c r="H1539" s="7"/>
      <c r="I1539" s="8" t="s">
        <v>41</v>
      </c>
      <c r="J1539" s="8" t="s">
        <v>393</v>
      </c>
      <c r="K1539" s="6" t="str">
        <f>"20.190,00"</f>
        <v>20.190,00</v>
      </c>
      <c r="L1539" s="6" t="str">
        <f>"0,00"</f>
        <v>0,00</v>
      </c>
      <c r="M1539" s="6" t="str">
        <f>"20.190,00"</f>
        <v>20.190,00</v>
      </c>
      <c r="N1539" s="8" t="s">
        <v>124</v>
      </c>
      <c r="O1539" s="7"/>
      <c r="P1539" s="2" t="s">
        <v>5614</v>
      </c>
      <c r="Q1539" s="7"/>
      <c r="R1539" s="1"/>
      <c r="S1539" s="1" t="str">
        <f>"4-22/NOS-113-1/20"</f>
        <v>4-22/NOS-113-1/20</v>
      </c>
      <c r="T1539" s="1" t="s">
        <v>86</v>
      </c>
    </row>
    <row r="1540" spans="1:20" ht="89.25" x14ac:dyDescent="0.25">
      <c r="A1540" s="6">
        <v>1536</v>
      </c>
      <c r="B1540" s="1" t="str">
        <f t="shared" si="143"/>
        <v>2020-2787</v>
      </c>
      <c r="C1540" s="1" t="s">
        <v>1460</v>
      </c>
      <c r="D1540" s="1" t="s">
        <v>1458</v>
      </c>
      <c r="E1540" s="1" t="str">
        <f>""</f>
        <v/>
      </c>
      <c r="F1540" s="1" t="s">
        <v>28</v>
      </c>
      <c r="G1540" s="1" t="str">
        <f t="shared" si="144"/>
        <v>PAMAJO D.O.O., VRANIČKA 7/A, 10000 ZAGREB, OIB: 46401136513</v>
      </c>
      <c r="H1540" s="7"/>
      <c r="I1540" s="8" t="s">
        <v>258</v>
      </c>
      <c r="J1540" s="8" t="s">
        <v>393</v>
      </c>
      <c r="K1540" s="6" t="str">
        <f>"7.856,00"</f>
        <v>7.856,00</v>
      </c>
      <c r="L1540" s="6" t="str">
        <f>"4.160,88"</f>
        <v>4.160,88</v>
      </c>
      <c r="M1540" s="6" t="str">
        <f>"12.016,88"</f>
        <v>12.016,88</v>
      </c>
      <c r="N1540" s="8" t="s">
        <v>535</v>
      </c>
      <c r="O1540" s="7"/>
      <c r="P1540" s="2" t="s">
        <v>6575</v>
      </c>
      <c r="Q1540" s="1" t="s">
        <v>488</v>
      </c>
      <c r="R1540" s="1"/>
      <c r="S1540" s="1" t="str">
        <f>"5-22/NOS-113-1/20"</f>
        <v>5-22/NOS-113-1/20</v>
      </c>
      <c r="T1540" s="1" t="s">
        <v>32</v>
      </c>
    </row>
    <row r="1541" spans="1:20" ht="89.25" x14ac:dyDescent="0.25">
      <c r="A1541" s="6">
        <v>1537</v>
      </c>
      <c r="B1541" s="1" t="str">
        <f t="shared" si="143"/>
        <v>2020-2787</v>
      </c>
      <c r="C1541" s="1" t="s">
        <v>1460</v>
      </c>
      <c r="D1541" s="1" t="s">
        <v>1458</v>
      </c>
      <c r="E1541" s="1" t="str">
        <f>""</f>
        <v/>
      </c>
      <c r="F1541" s="1" t="s">
        <v>28</v>
      </c>
      <c r="G1541" s="1" t="str">
        <f t="shared" si="144"/>
        <v>PAMAJO D.O.O., VRANIČKA 7/A, 10000 ZAGREB, OIB: 46401136513</v>
      </c>
      <c r="H1541" s="7"/>
      <c r="I1541" s="8" t="s">
        <v>258</v>
      </c>
      <c r="J1541" s="8" t="s">
        <v>393</v>
      </c>
      <c r="K1541" s="6" t="str">
        <f>"7.770,00"</f>
        <v>7.770,00</v>
      </c>
      <c r="L1541" s="6" t="str">
        <f>"1.942,50"</f>
        <v>1.942,50</v>
      </c>
      <c r="M1541" s="6" t="str">
        <f>"9.712,50"</f>
        <v>9.712,50</v>
      </c>
      <c r="N1541" s="8" t="s">
        <v>172</v>
      </c>
      <c r="O1541" s="7"/>
      <c r="P1541" s="2" t="s">
        <v>6576</v>
      </c>
      <c r="Q1541" s="7"/>
      <c r="R1541" s="1"/>
      <c r="S1541" s="1" t="str">
        <f>"6-22/NOS-113-1/20"</f>
        <v>6-22/NOS-113-1/20</v>
      </c>
      <c r="T1541" s="1" t="s">
        <v>32</v>
      </c>
    </row>
    <row r="1542" spans="1:20" ht="89.25" x14ac:dyDescent="0.25">
      <c r="A1542" s="6">
        <v>1538</v>
      </c>
      <c r="B1542" s="1" t="str">
        <f t="shared" si="143"/>
        <v>2020-2787</v>
      </c>
      <c r="C1542" s="1" t="s">
        <v>1460</v>
      </c>
      <c r="D1542" s="1" t="s">
        <v>1458</v>
      </c>
      <c r="E1542" s="1" t="str">
        <f>""</f>
        <v/>
      </c>
      <c r="F1542" s="1" t="s">
        <v>28</v>
      </c>
      <c r="G1542" s="1" t="str">
        <f t="shared" si="144"/>
        <v>PAMAJO D.O.O., VRANIČKA 7/A, 10000 ZAGREB, OIB: 46401136513</v>
      </c>
      <c r="H1542" s="7"/>
      <c r="I1542" s="8" t="s">
        <v>748</v>
      </c>
      <c r="J1542" s="8" t="s">
        <v>393</v>
      </c>
      <c r="K1542" s="6" t="str">
        <f>"11.900,00"</f>
        <v>11.900,00</v>
      </c>
      <c r="L1542" s="6" t="str">
        <f>"2.975,00"</f>
        <v>2.975,00</v>
      </c>
      <c r="M1542" s="6" t="str">
        <f>"14.875,00"</f>
        <v>14.875,00</v>
      </c>
      <c r="N1542" s="8" t="s">
        <v>172</v>
      </c>
      <c r="O1542" s="7"/>
      <c r="P1542" s="2" t="s">
        <v>6577</v>
      </c>
      <c r="Q1542" s="7"/>
      <c r="R1542" s="1"/>
      <c r="S1542" s="1" t="str">
        <f>"7-22/NOS-113-1/20"</f>
        <v>7-22/NOS-113-1/20</v>
      </c>
      <c r="T1542" s="1" t="s">
        <v>32</v>
      </c>
    </row>
    <row r="1543" spans="1:20" ht="89.25" x14ac:dyDescent="0.25">
      <c r="A1543" s="6">
        <v>1539</v>
      </c>
      <c r="B1543" s="1" t="str">
        <f t="shared" si="143"/>
        <v>2020-2787</v>
      </c>
      <c r="C1543" s="1" t="s">
        <v>1460</v>
      </c>
      <c r="D1543" s="1" t="s">
        <v>1458</v>
      </c>
      <c r="E1543" s="1" t="str">
        <f>""</f>
        <v/>
      </c>
      <c r="F1543" s="1" t="s">
        <v>28</v>
      </c>
      <c r="G1543" s="1" t="str">
        <f t="shared" si="144"/>
        <v>PAMAJO D.O.O., VRANIČKA 7/A, 10000 ZAGREB, OIB: 46401136513</v>
      </c>
      <c r="H1543" s="7"/>
      <c r="I1543" s="8" t="s">
        <v>918</v>
      </c>
      <c r="J1543" s="8" t="s">
        <v>423</v>
      </c>
      <c r="K1543" s="6" t="str">
        <f>"6.020,00"</f>
        <v>6.020,00</v>
      </c>
      <c r="L1543" s="6" t="str">
        <f>"1.504,88"</f>
        <v>1.504,88</v>
      </c>
      <c r="M1543" s="6" t="str">
        <f>"7.524,88"</f>
        <v>7.524,88</v>
      </c>
      <c r="N1543" s="8" t="s">
        <v>371</v>
      </c>
      <c r="O1543" s="7"/>
      <c r="P1543" s="2" t="s">
        <v>6578</v>
      </c>
      <c r="Q1543" s="7"/>
      <c r="R1543" s="1"/>
      <c r="S1543" s="1" t="str">
        <f>"1-22/NOS-113-1/20"</f>
        <v>1-22/NOS-113-1/20</v>
      </c>
      <c r="T1543" s="1" t="s">
        <v>32</v>
      </c>
    </row>
    <row r="1544" spans="1:20" ht="89.25" x14ac:dyDescent="0.25">
      <c r="A1544" s="6">
        <v>1540</v>
      </c>
      <c r="B1544" s="1" t="str">
        <f t="shared" si="143"/>
        <v>2020-2787</v>
      </c>
      <c r="C1544" s="1" t="s">
        <v>1460</v>
      </c>
      <c r="D1544" s="1" t="s">
        <v>1458</v>
      </c>
      <c r="E1544" s="1" t="str">
        <f>""</f>
        <v/>
      </c>
      <c r="F1544" s="1" t="s">
        <v>28</v>
      </c>
      <c r="G1544" s="1" t="str">
        <f t="shared" si="144"/>
        <v>PAMAJO D.O.O., VRANIČKA 7/A, 10000 ZAGREB, OIB: 46401136513</v>
      </c>
      <c r="H1544" s="7"/>
      <c r="I1544" s="8" t="s">
        <v>918</v>
      </c>
      <c r="J1544" s="8" t="s">
        <v>393</v>
      </c>
      <c r="K1544" s="6" t="str">
        <f>"500,00"</f>
        <v>500,00</v>
      </c>
      <c r="L1544" s="6" t="str">
        <f>"125,00"</f>
        <v>125,00</v>
      </c>
      <c r="M1544" s="6" t="str">
        <f>"625,00"</f>
        <v>625,00</v>
      </c>
      <c r="N1544" s="8" t="s">
        <v>994</v>
      </c>
      <c r="O1544" s="7"/>
      <c r="P1544" s="2" t="s">
        <v>6552</v>
      </c>
      <c r="Q1544" s="7"/>
      <c r="R1544" s="1"/>
      <c r="S1544" s="1" t="str">
        <f>"8-22/NOS-113-1/20"</f>
        <v>8-22/NOS-113-1/20</v>
      </c>
      <c r="T1544" s="1" t="s">
        <v>32</v>
      </c>
    </row>
    <row r="1545" spans="1:20" ht="89.25" x14ac:dyDescent="0.25">
      <c r="A1545" s="6">
        <v>1541</v>
      </c>
      <c r="B1545" s="1" t="str">
        <f t="shared" si="143"/>
        <v>2020-2787</v>
      </c>
      <c r="C1545" s="1" t="s">
        <v>1460</v>
      </c>
      <c r="D1545" s="1" t="s">
        <v>1458</v>
      </c>
      <c r="E1545" s="1" t="str">
        <f>""</f>
        <v/>
      </c>
      <c r="F1545" s="1" t="s">
        <v>28</v>
      </c>
      <c r="G1545" s="1" t="str">
        <f t="shared" si="144"/>
        <v>PAMAJO D.O.O., VRANIČKA 7/A, 10000 ZAGREB, OIB: 46401136513</v>
      </c>
      <c r="H1545" s="7"/>
      <c r="I1545" s="8" t="s">
        <v>259</v>
      </c>
      <c r="J1545" s="8" t="s">
        <v>393</v>
      </c>
      <c r="K1545" s="6" t="str">
        <f>"3.310,00"</f>
        <v>3.310,00</v>
      </c>
      <c r="L1545" s="6" t="str">
        <f>"827,50"</f>
        <v>827,50</v>
      </c>
      <c r="M1545" s="6" t="str">
        <f>"4.137,50"</f>
        <v>4.137,50</v>
      </c>
      <c r="N1545" s="8" t="s">
        <v>273</v>
      </c>
      <c r="O1545" s="7"/>
      <c r="P1545" s="2" t="s">
        <v>6579</v>
      </c>
      <c r="Q1545" s="7"/>
      <c r="R1545" s="1"/>
      <c r="S1545" s="1" t="str">
        <f>"9-22/NOS-113-1/20"</f>
        <v>9-22/NOS-113-1/20</v>
      </c>
      <c r="T1545" s="1" t="s">
        <v>32</v>
      </c>
    </row>
    <row r="1546" spans="1:20" ht="89.25" x14ac:dyDescent="0.25">
      <c r="A1546" s="6">
        <v>1542</v>
      </c>
      <c r="B1546" s="1" t="str">
        <f t="shared" si="143"/>
        <v>2020-2787</v>
      </c>
      <c r="C1546" s="1" t="s">
        <v>1460</v>
      </c>
      <c r="D1546" s="1" t="s">
        <v>1458</v>
      </c>
      <c r="E1546" s="1" t="str">
        <f>""</f>
        <v/>
      </c>
      <c r="F1546" s="1" t="s">
        <v>28</v>
      </c>
      <c r="G1546" s="1" t="str">
        <f t="shared" si="144"/>
        <v>PAMAJO D.O.O., VRANIČKA 7/A, 10000 ZAGREB, OIB: 46401136513</v>
      </c>
      <c r="H1546" s="7"/>
      <c r="I1546" s="8" t="s">
        <v>345</v>
      </c>
      <c r="J1546" s="8" t="s">
        <v>393</v>
      </c>
      <c r="K1546" s="6" t="str">
        <f>"3.890,00"</f>
        <v>3.890,00</v>
      </c>
      <c r="L1546" s="6" t="str">
        <f>"0,00"</f>
        <v>0,00</v>
      </c>
      <c r="M1546" s="6" t="str">
        <f>"3.890,00"</f>
        <v>3.890,00</v>
      </c>
      <c r="N1546" s="8" t="s">
        <v>124</v>
      </c>
      <c r="O1546" s="7"/>
      <c r="P1546" s="2" t="s">
        <v>5614</v>
      </c>
      <c r="Q1546" s="7"/>
      <c r="R1546" s="1"/>
      <c r="S1546" s="1" t="str">
        <f>"10-22/NOS-113-1/20"</f>
        <v>10-22/NOS-113-1/20</v>
      </c>
      <c r="T1546" s="1" t="s">
        <v>32</v>
      </c>
    </row>
    <row r="1547" spans="1:20" ht="89.25" x14ac:dyDescent="0.25">
      <c r="A1547" s="6">
        <v>1543</v>
      </c>
      <c r="B1547" s="1" t="str">
        <f t="shared" si="143"/>
        <v>2020-2787</v>
      </c>
      <c r="C1547" s="1" t="s">
        <v>1460</v>
      </c>
      <c r="D1547" s="1" t="s">
        <v>1458</v>
      </c>
      <c r="E1547" s="1" t="str">
        <f>""</f>
        <v/>
      </c>
      <c r="F1547" s="1" t="s">
        <v>28</v>
      </c>
      <c r="G1547" s="1" t="str">
        <f t="shared" si="144"/>
        <v>PAMAJO D.O.O., VRANIČKA 7/A, 10000 ZAGREB, OIB: 46401136513</v>
      </c>
      <c r="H1547" s="7"/>
      <c r="I1547" s="8" t="s">
        <v>262</v>
      </c>
      <c r="J1547" s="8" t="s">
        <v>393</v>
      </c>
      <c r="K1547" s="6" t="str">
        <f>"1.410,00"</f>
        <v>1.410,00</v>
      </c>
      <c r="L1547" s="6" t="str">
        <f>"352,50"</f>
        <v>352,50</v>
      </c>
      <c r="M1547" s="6" t="str">
        <f>"1.762,50"</f>
        <v>1.762,50</v>
      </c>
      <c r="N1547" s="8" t="s">
        <v>350</v>
      </c>
      <c r="O1547" s="7"/>
      <c r="P1547" s="2" t="s">
        <v>6580</v>
      </c>
      <c r="Q1547" s="7"/>
      <c r="R1547" s="1"/>
      <c r="S1547" s="1" t="str">
        <f>"11-22/NOS-113-1/20"</f>
        <v>11-22/NOS-113-1/20</v>
      </c>
      <c r="T1547" s="1" t="s">
        <v>32</v>
      </c>
    </row>
    <row r="1548" spans="1:20" ht="89.25" x14ac:dyDescent="0.25">
      <c r="A1548" s="6">
        <v>1544</v>
      </c>
      <c r="B1548" s="1" t="str">
        <f t="shared" si="143"/>
        <v>2020-2787</v>
      </c>
      <c r="C1548" s="1" t="s">
        <v>1460</v>
      </c>
      <c r="D1548" s="1" t="s">
        <v>1458</v>
      </c>
      <c r="E1548" s="1" t="str">
        <f>""</f>
        <v/>
      </c>
      <c r="F1548" s="1" t="s">
        <v>28</v>
      </c>
      <c r="G1548" s="1" t="str">
        <f t="shared" si="144"/>
        <v>PAMAJO D.O.O., VRANIČKA 7/A, 10000 ZAGREB, OIB: 46401136513</v>
      </c>
      <c r="H1548" s="7"/>
      <c r="I1548" s="8" t="s">
        <v>635</v>
      </c>
      <c r="J1548" s="8" t="s">
        <v>393</v>
      </c>
      <c r="K1548" s="6" t="str">
        <f>"400,00"</f>
        <v>400,00</v>
      </c>
      <c r="L1548" s="6" t="str">
        <f>"0,00"</f>
        <v>0,00</v>
      </c>
      <c r="M1548" s="6" t="str">
        <f>"400,00"</f>
        <v>400,00</v>
      </c>
      <c r="N1548" s="8" t="s">
        <v>124</v>
      </c>
      <c r="O1548" s="7"/>
      <c r="P1548" s="2" t="s">
        <v>5614</v>
      </c>
      <c r="Q1548" s="7"/>
      <c r="R1548" s="1"/>
      <c r="S1548" s="1" t="str">
        <f>"12-22/NOS-113-1/20"</f>
        <v>12-22/NOS-113-1/20</v>
      </c>
      <c r="T1548" s="1" t="s">
        <v>32</v>
      </c>
    </row>
    <row r="1549" spans="1:20" ht="89.25" x14ac:dyDescent="0.25">
      <c r="A1549" s="6">
        <v>1545</v>
      </c>
      <c r="B1549" s="1" t="str">
        <f t="shared" si="143"/>
        <v>2020-2787</v>
      </c>
      <c r="C1549" s="1" t="s">
        <v>1460</v>
      </c>
      <c r="D1549" s="1" t="s">
        <v>1458</v>
      </c>
      <c r="E1549" s="1" t="str">
        <f>""</f>
        <v/>
      </c>
      <c r="F1549" s="1" t="s">
        <v>28</v>
      </c>
      <c r="G1549" s="1" t="str">
        <f t="shared" si="144"/>
        <v>PAMAJO D.O.O., VRANIČKA 7/A, 10000 ZAGREB, OIB: 46401136513</v>
      </c>
      <c r="H1549" s="7"/>
      <c r="I1549" s="8" t="s">
        <v>898</v>
      </c>
      <c r="J1549" s="8" t="s">
        <v>393</v>
      </c>
      <c r="K1549" s="6" t="str">
        <f>"990,00"</f>
        <v>990,00</v>
      </c>
      <c r="L1549" s="6" t="str">
        <f>"0,00"</f>
        <v>0,00</v>
      </c>
      <c r="M1549" s="6" t="str">
        <f>"990,00"</f>
        <v>990,00</v>
      </c>
      <c r="N1549" s="8" t="s">
        <v>124</v>
      </c>
      <c r="O1549" s="7"/>
      <c r="P1549" s="2" t="s">
        <v>5614</v>
      </c>
      <c r="Q1549" s="7"/>
      <c r="R1549" s="1"/>
      <c r="S1549" s="1" t="str">
        <f>"14-22/NOS-113-1/20"</f>
        <v>14-22/NOS-113-1/20</v>
      </c>
      <c r="T1549" s="1" t="s">
        <v>32</v>
      </c>
    </row>
    <row r="1550" spans="1:20" ht="89.25" x14ac:dyDescent="0.25">
      <c r="A1550" s="6">
        <v>1546</v>
      </c>
      <c r="B1550" s="1" t="str">
        <f t="shared" si="143"/>
        <v>2020-2787</v>
      </c>
      <c r="C1550" s="1" t="s">
        <v>1460</v>
      </c>
      <c r="D1550" s="1" t="s">
        <v>1458</v>
      </c>
      <c r="E1550" s="1" t="str">
        <f>""</f>
        <v/>
      </c>
      <c r="F1550" s="1" t="s">
        <v>28</v>
      </c>
      <c r="G1550" s="1" t="str">
        <f t="shared" si="144"/>
        <v>PAMAJO D.O.O., VRANIČKA 7/A, 10000 ZAGREB, OIB: 46401136513</v>
      </c>
      <c r="H1550" s="7"/>
      <c r="I1550" s="8" t="s">
        <v>994</v>
      </c>
      <c r="J1550" s="8" t="s">
        <v>393</v>
      </c>
      <c r="K1550" s="6" t="str">
        <f>"549,50"</f>
        <v>549,50</v>
      </c>
      <c r="L1550" s="6" t="str">
        <f>"0,00"</f>
        <v>0,00</v>
      </c>
      <c r="M1550" s="6" t="str">
        <f>"549,50"</f>
        <v>549,50</v>
      </c>
      <c r="N1550" s="8" t="s">
        <v>124</v>
      </c>
      <c r="O1550" s="7"/>
      <c r="P1550" s="2" t="s">
        <v>5614</v>
      </c>
      <c r="Q1550" s="7"/>
      <c r="R1550" s="1"/>
      <c r="S1550" s="1" t="str">
        <f>"15-22/NOS-113-1/20"</f>
        <v>15-22/NOS-113-1/20</v>
      </c>
      <c r="T1550" s="1" t="s">
        <v>32</v>
      </c>
    </row>
    <row r="1551" spans="1:20" ht="89.25" x14ac:dyDescent="0.25">
      <c r="A1551" s="6">
        <v>1547</v>
      </c>
      <c r="B1551" s="1" t="str">
        <f t="shared" si="143"/>
        <v>2020-2787</v>
      </c>
      <c r="C1551" s="1" t="s">
        <v>1460</v>
      </c>
      <c r="D1551" s="1" t="s">
        <v>1458</v>
      </c>
      <c r="E1551" s="1" t="str">
        <f>""</f>
        <v/>
      </c>
      <c r="F1551" s="1" t="s">
        <v>28</v>
      </c>
      <c r="G1551" s="1" t="str">
        <f t="shared" si="144"/>
        <v>PAMAJO D.O.O., VRANIČKA 7/A, 10000 ZAGREB, OIB: 46401136513</v>
      </c>
      <c r="H1551" s="7"/>
      <c r="I1551" s="8" t="s">
        <v>506</v>
      </c>
      <c r="J1551" s="8" t="s">
        <v>393</v>
      </c>
      <c r="K1551" s="6" t="str">
        <f>"1.696,00"</f>
        <v>1.696,00</v>
      </c>
      <c r="L1551" s="6" t="str">
        <f>"0,00"</f>
        <v>0,00</v>
      </c>
      <c r="M1551" s="6" t="str">
        <f>"1.696,00"</f>
        <v>1.696,00</v>
      </c>
      <c r="N1551" s="8" t="s">
        <v>124</v>
      </c>
      <c r="O1551" s="7"/>
      <c r="P1551" s="2" t="s">
        <v>5614</v>
      </c>
      <c r="Q1551" s="7"/>
      <c r="R1551" s="1"/>
      <c r="S1551" s="1" t="str">
        <f>"18-22/NOS-113-1/20"</f>
        <v>18-22/NOS-113-1/20</v>
      </c>
      <c r="T1551" s="1" t="s">
        <v>32</v>
      </c>
    </row>
    <row r="1552" spans="1:20" ht="89.25" x14ac:dyDescent="0.25">
      <c r="A1552" s="6">
        <v>1548</v>
      </c>
      <c r="B1552" s="1" t="str">
        <f t="shared" si="143"/>
        <v>2020-2787</v>
      </c>
      <c r="C1552" s="1" t="s">
        <v>1460</v>
      </c>
      <c r="D1552" s="1" t="s">
        <v>1458</v>
      </c>
      <c r="E1552" s="1" t="str">
        <f>""</f>
        <v/>
      </c>
      <c r="F1552" s="1" t="s">
        <v>28</v>
      </c>
      <c r="G1552" s="1" t="str">
        <f t="shared" si="144"/>
        <v>PAMAJO D.O.O., VRANIČKA 7/A, 10000 ZAGREB, OIB: 46401136513</v>
      </c>
      <c r="H1552" s="7"/>
      <c r="I1552" s="8" t="s">
        <v>506</v>
      </c>
      <c r="J1552" s="8" t="s">
        <v>393</v>
      </c>
      <c r="K1552" s="6" t="str">
        <f>"400,00"</f>
        <v>400,00</v>
      </c>
      <c r="L1552" s="6" t="str">
        <f>"100,00"</f>
        <v>100,00</v>
      </c>
      <c r="M1552" s="6" t="str">
        <f>"500,00"</f>
        <v>500,00</v>
      </c>
      <c r="N1552" s="8" t="s">
        <v>723</v>
      </c>
      <c r="O1552" s="7"/>
      <c r="P1552" s="2" t="s">
        <v>5789</v>
      </c>
      <c r="Q1552" s="7"/>
      <c r="R1552" s="1"/>
      <c r="S1552" s="1" t="str">
        <f>"17-22/NOS-113-1/20"</f>
        <v>17-22/NOS-113-1/20</v>
      </c>
      <c r="T1552" s="1" t="s">
        <v>32</v>
      </c>
    </row>
    <row r="1553" spans="1:20" ht="89.25" x14ac:dyDescent="0.25">
      <c r="A1553" s="6">
        <v>1549</v>
      </c>
      <c r="B1553" s="1" t="str">
        <f t="shared" si="143"/>
        <v>2020-2787</v>
      </c>
      <c r="C1553" s="1" t="s">
        <v>1460</v>
      </c>
      <c r="D1553" s="1" t="s">
        <v>1458</v>
      </c>
      <c r="E1553" s="1" t="str">
        <f>""</f>
        <v/>
      </c>
      <c r="F1553" s="1" t="s">
        <v>28</v>
      </c>
      <c r="G1553" s="1" t="str">
        <f t="shared" si="144"/>
        <v>PAMAJO D.O.O., VRANIČKA 7/A, 10000 ZAGREB, OIB: 46401136513</v>
      </c>
      <c r="H1553" s="7"/>
      <c r="I1553" s="8" t="s">
        <v>240</v>
      </c>
      <c r="J1553" s="8" t="s">
        <v>393</v>
      </c>
      <c r="K1553" s="6" t="str">
        <f>"840,00"</f>
        <v>840,00</v>
      </c>
      <c r="L1553" s="6" t="str">
        <f>"210,00"</f>
        <v>210,00</v>
      </c>
      <c r="M1553" s="6" t="str">
        <f>"1.050,00"</f>
        <v>1.050,00</v>
      </c>
      <c r="N1553" s="8" t="s">
        <v>214</v>
      </c>
      <c r="O1553" s="7"/>
      <c r="P1553" s="2" t="s">
        <v>6581</v>
      </c>
      <c r="Q1553" s="7"/>
      <c r="R1553" s="1"/>
      <c r="S1553" s="1" t="str">
        <f>"19-22/NOS-113-1/20"</f>
        <v>19-22/NOS-113-1/20</v>
      </c>
      <c r="T1553" s="1" t="s">
        <v>32</v>
      </c>
    </row>
    <row r="1554" spans="1:20" ht="89.25" x14ac:dyDescent="0.25">
      <c r="A1554" s="6">
        <v>1550</v>
      </c>
      <c r="B1554" s="1" t="str">
        <f t="shared" si="143"/>
        <v>2020-2787</v>
      </c>
      <c r="C1554" s="1" t="s">
        <v>1460</v>
      </c>
      <c r="D1554" s="1" t="s">
        <v>1458</v>
      </c>
      <c r="E1554" s="1" t="str">
        <f>""</f>
        <v/>
      </c>
      <c r="F1554" s="1" t="s">
        <v>28</v>
      </c>
      <c r="G1554" s="1" t="str">
        <f t="shared" si="144"/>
        <v>PAMAJO D.O.O., VRANIČKA 7/A, 10000 ZAGREB, OIB: 46401136513</v>
      </c>
      <c r="H1554" s="7"/>
      <c r="I1554" s="8" t="s">
        <v>240</v>
      </c>
      <c r="J1554" s="8" t="s">
        <v>393</v>
      </c>
      <c r="K1554" s="6" t="str">
        <f>"2.790,00"</f>
        <v>2.790,00</v>
      </c>
      <c r="L1554" s="6" t="str">
        <f>"0,00"</f>
        <v>0,00</v>
      </c>
      <c r="M1554" s="6" t="str">
        <f>"2.790,00"</f>
        <v>2.790,00</v>
      </c>
      <c r="N1554" s="8" t="s">
        <v>124</v>
      </c>
      <c r="O1554" s="7"/>
      <c r="P1554" s="2" t="s">
        <v>5614</v>
      </c>
      <c r="Q1554" s="7"/>
      <c r="R1554" s="1"/>
      <c r="S1554" s="1" t="str">
        <f>"21-22/NOS-113-1/20"</f>
        <v>21-22/NOS-113-1/20</v>
      </c>
      <c r="T1554" s="1" t="s">
        <v>32</v>
      </c>
    </row>
    <row r="1555" spans="1:20" ht="89.25" x14ac:dyDescent="0.25">
      <c r="A1555" s="6">
        <v>1551</v>
      </c>
      <c r="B1555" s="1" t="str">
        <f t="shared" si="143"/>
        <v>2020-2787</v>
      </c>
      <c r="C1555" s="1" t="s">
        <v>1460</v>
      </c>
      <c r="D1555" s="1" t="s">
        <v>1458</v>
      </c>
      <c r="E1555" s="1" t="str">
        <f>""</f>
        <v/>
      </c>
      <c r="F1555" s="1" t="s">
        <v>28</v>
      </c>
      <c r="G1555" s="1" t="str">
        <f t="shared" si="144"/>
        <v>PAMAJO D.O.O., VRANIČKA 7/A, 10000 ZAGREB, OIB: 46401136513</v>
      </c>
      <c r="H1555" s="7"/>
      <c r="I1555" s="8" t="s">
        <v>402</v>
      </c>
      <c r="J1555" s="8" t="s">
        <v>393</v>
      </c>
      <c r="K1555" s="6" t="str">
        <f>"34.740,00"</f>
        <v>34.740,00</v>
      </c>
      <c r="L1555" s="6" t="str">
        <f>"8.685,00"</f>
        <v>8.685,00</v>
      </c>
      <c r="M1555" s="6" t="str">
        <f>"43.425,00"</f>
        <v>43.425,00</v>
      </c>
      <c r="N1555" s="8" t="s">
        <v>931</v>
      </c>
      <c r="O1555" s="7"/>
      <c r="P1555" s="2" t="s">
        <v>6582</v>
      </c>
      <c r="Q1555" s="7"/>
      <c r="R1555" s="1"/>
      <c r="S1555" s="1" t="str">
        <f>"13-22/NOS-113-1/20"</f>
        <v>13-22/NOS-113-1/20</v>
      </c>
      <c r="T1555" s="1" t="s">
        <v>55</v>
      </c>
    </row>
    <row r="1556" spans="1:20" ht="89.25" x14ac:dyDescent="0.25">
      <c r="A1556" s="6">
        <v>1552</v>
      </c>
      <c r="B1556" s="1" t="str">
        <f t="shared" si="143"/>
        <v>2020-2787</v>
      </c>
      <c r="C1556" s="1" t="s">
        <v>1460</v>
      </c>
      <c r="D1556" s="1" t="s">
        <v>1458</v>
      </c>
      <c r="E1556" s="1" t="str">
        <f>""</f>
        <v/>
      </c>
      <c r="F1556" s="1" t="s">
        <v>28</v>
      </c>
      <c r="G1556" s="1" t="str">
        <f t="shared" si="144"/>
        <v>PAMAJO D.O.O., VRANIČKA 7/A, 10000 ZAGREB, OIB: 46401136513</v>
      </c>
      <c r="H1556" s="7"/>
      <c r="I1556" s="8" t="s">
        <v>281</v>
      </c>
      <c r="J1556" s="8" t="s">
        <v>393</v>
      </c>
      <c r="K1556" s="6" t="str">
        <f>"900,00"</f>
        <v>900,00</v>
      </c>
      <c r="L1556" s="6" t="str">
        <f t="shared" ref="L1556:L1561" si="145">"0,00"</f>
        <v>0,00</v>
      </c>
      <c r="M1556" s="6" t="str">
        <f>"900,00"</f>
        <v>900,00</v>
      </c>
      <c r="N1556" s="8" t="s">
        <v>124</v>
      </c>
      <c r="O1556" s="7"/>
      <c r="P1556" s="2" t="s">
        <v>5614</v>
      </c>
      <c r="Q1556" s="7"/>
      <c r="R1556" s="1"/>
      <c r="S1556" s="1" t="str">
        <f>"23-22/NOS-113-1/20"</f>
        <v>23-22/NOS-113-1/20</v>
      </c>
      <c r="T1556" s="1" t="s">
        <v>86</v>
      </c>
    </row>
    <row r="1557" spans="1:20" ht="89.25" x14ac:dyDescent="0.25">
      <c r="A1557" s="6">
        <v>1553</v>
      </c>
      <c r="B1557" s="1" t="str">
        <f t="shared" si="143"/>
        <v>2020-2787</v>
      </c>
      <c r="C1557" s="1" t="s">
        <v>1460</v>
      </c>
      <c r="D1557" s="1" t="s">
        <v>1458</v>
      </c>
      <c r="E1557" s="1" t="str">
        <f>""</f>
        <v/>
      </c>
      <c r="F1557" s="1" t="s">
        <v>28</v>
      </c>
      <c r="G1557" s="1" t="str">
        <f t="shared" si="144"/>
        <v>PAMAJO D.O.O., VRANIČKA 7/A, 10000 ZAGREB, OIB: 46401136513</v>
      </c>
      <c r="H1557" s="7"/>
      <c r="I1557" s="8" t="s">
        <v>1314</v>
      </c>
      <c r="J1557" s="8" t="s">
        <v>393</v>
      </c>
      <c r="K1557" s="6" t="str">
        <f>"20.190,00"</f>
        <v>20.190,00</v>
      </c>
      <c r="L1557" s="6" t="str">
        <f t="shared" si="145"/>
        <v>0,00</v>
      </c>
      <c r="M1557" s="6" t="str">
        <f>"20.190,00"</f>
        <v>20.190,00</v>
      </c>
      <c r="N1557" s="8" t="s">
        <v>124</v>
      </c>
      <c r="O1557" s="7"/>
      <c r="P1557" s="2" t="s">
        <v>5614</v>
      </c>
      <c r="Q1557" s="7"/>
      <c r="R1557" s="1"/>
      <c r="S1557" s="1" t="str">
        <f>"24-22/NOS-113-1/20"</f>
        <v>24-22/NOS-113-1/20</v>
      </c>
      <c r="T1557" s="1" t="s">
        <v>86</v>
      </c>
    </row>
    <row r="1558" spans="1:20" ht="89.25" x14ac:dyDescent="0.25">
      <c r="A1558" s="6">
        <v>1554</v>
      </c>
      <c r="B1558" s="1" t="str">
        <f t="shared" si="143"/>
        <v>2020-2787</v>
      </c>
      <c r="C1558" s="1" t="s">
        <v>1460</v>
      </c>
      <c r="D1558" s="1" t="s">
        <v>1458</v>
      </c>
      <c r="E1558" s="1" t="str">
        <f>""</f>
        <v/>
      </c>
      <c r="F1558" s="1" t="s">
        <v>28</v>
      </c>
      <c r="G1558" s="1" t="str">
        <f t="shared" si="144"/>
        <v>PAMAJO D.O.O., VRANIČKA 7/A, 10000 ZAGREB, OIB: 46401136513</v>
      </c>
      <c r="H1558" s="7"/>
      <c r="I1558" s="8" t="s">
        <v>1314</v>
      </c>
      <c r="J1558" s="8" t="s">
        <v>393</v>
      </c>
      <c r="K1558" s="6" t="str">
        <f>"6.497,70"</f>
        <v>6.497,70</v>
      </c>
      <c r="L1558" s="6" t="str">
        <f t="shared" si="145"/>
        <v>0,00</v>
      </c>
      <c r="M1558" s="6" t="str">
        <f>"6.497,70"</f>
        <v>6.497,70</v>
      </c>
      <c r="N1558" s="8" t="s">
        <v>124</v>
      </c>
      <c r="O1558" s="7"/>
      <c r="P1558" s="2" t="s">
        <v>5614</v>
      </c>
      <c r="Q1558" s="7"/>
      <c r="R1558" s="1"/>
      <c r="S1558" s="1" t="str">
        <f>"25-22/NOS-113-1/20"</f>
        <v>25-22/NOS-113-1/20</v>
      </c>
      <c r="T1558" s="1" t="s">
        <v>86</v>
      </c>
    </row>
    <row r="1559" spans="1:20" ht="89.25" x14ac:dyDescent="0.25">
      <c r="A1559" s="6">
        <v>1555</v>
      </c>
      <c r="B1559" s="1" t="str">
        <f t="shared" si="143"/>
        <v>2020-2787</v>
      </c>
      <c r="C1559" s="1" t="s">
        <v>1460</v>
      </c>
      <c r="D1559" s="1" t="s">
        <v>1458</v>
      </c>
      <c r="E1559" s="1" t="str">
        <f>""</f>
        <v/>
      </c>
      <c r="F1559" s="1" t="s">
        <v>28</v>
      </c>
      <c r="G1559" s="1" t="str">
        <f t="shared" si="144"/>
        <v>PAMAJO D.O.O., VRANIČKA 7/A, 10000 ZAGREB, OIB: 46401136513</v>
      </c>
      <c r="H1559" s="7"/>
      <c r="I1559" s="8" t="s">
        <v>916</v>
      </c>
      <c r="J1559" s="8" t="s">
        <v>393</v>
      </c>
      <c r="K1559" s="6" t="str">
        <f>"967,50"</f>
        <v>967,50</v>
      </c>
      <c r="L1559" s="6" t="str">
        <f t="shared" si="145"/>
        <v>0,00</v>
      </c>
      <c r="M1559" s="6" t="str">
        <f>"967,50"</f>
        <v>967,50</v>
      </c>
      <c r="N1559" s="8" t="s">
        <v>124</v>
      </c>
      <c r="O1559" s="7"/>
      <c r="P1559" s="2" t="s">
        <v>5614</v>
      </c>
      <c r="Q1559" s="7"/>
      <c r="R1559" s="1"/>
      <c r="S1559" s="1" t="str">
        <f>"26-22/NOS-113-1/20"</f>
        <v>26-22/NOS-113-1/20</v>
      </c>
      <c r="T1559" s="1" t="s">
        <v>86</v>
      </c>
    </row>
    <row r="1560" spans="1:20" ht="89.25" x14ac:dyDescent="0.25">
      <c r="A1560" s="6">
        <v>1556</v>
      </c>
      <c r="B1560" s="1" t="str">
        <f t="shared" si="143"/>
        <v>2020-2787</v>
      </c>
      <c r="C1560" s="1" t="s">
        <v>1460</v>
      </c>
      <c r="D1560" s="1" t="s">
        <v>1458</v>
      </c>
      <c r="E1560" s="1" t="str">
        <f>""</f>
        <v/>
      </c>
      <c r="F1560" s="1" t="s">
        <v>28</v>
      </c>
      <c r="G1560" s="1" t="str">
        <f t="shared" si="144"/>
        <v>PAMAJO D.O.O., VRANIČKA 7/A, 10000 ZAGREB, OIB: 46401136513</v>
      </c>
      <c r="H1560" s="7"/>
      <c r="I1560" s="8" t="s">
        <v>408</v>
      </c>
      <c r="J1560" s="8" t="s">
        <v>423</v>
      </c>
      <c r="K1560" s="6" t="str">
        <f>"2.200,00"</f>
        <v>2.200,00</v>
      </c>
      <c r="L1560" s="6" t="str">
        <f t="shared" si="145"/>
        <v>0,00</v>
      </c>
      <c r="M1560" s="6" t="str">
        <f>"2.200,00"</f>
        <v>2.200,00</v>
      </c>
      <c r="N1560" s="8" t="s">
        <v>124</v>
      </c>
      <c r="O1560" s="7"/>
      <c r="P1560" s="2" t="s">
        <v>5614</v>
      </c>
      <c r="Q1560" s="7"/>
      <c r="R1560" s="1"/>
      <c r="S1560" s="1" t="str">
        <f>"20-22/NOS-113-1/20"</f>
        <v>20-22/NOS-113-1/20</v>
      </c>
      <c r="T1560" s="1" t="s">
        <v>32</v>
      </c>
    </row>
    <row r="1561" spans="1:20" ht="89.25" x14ac:dyDescent="0.25">
      <c r="A1561" s="6">
        <v>1557</v>
      </c>
      <c r="B1561" s="1" t="str">
        <f t="shared" si="143"/>
        <v>2020-2787</v>
      </c>
      <c r="C1561" s="1" t="s">
        <v>1460</v>
      </c>
      <c r="D1561" s="1" t="s">
        <v>1458</v>
      </c>
      <c r="E1561" s="1" t="str">
        <f>""</f>
        <v/>
      </c>
      <c r="F1561" s="1" t="s">
        <v>28</v>
      </c>
      <c r="G1561" s="1" t="str">
        <f t="shared" si="144"/>
        <v>PAMAJO D.O.O., VRANIČKA 7/A, 10000 ZAGREB, OIB: 46401136513</v>
      </c>
      <c r="H1561" s="7"/>
      <c r="I1561" s="8" t="s">
        <v>374</v>
      </c>
      <c r="J1561" s="8" t="s">
        <v>393</v>
      </c>
      <c r="K1561" s="6" t="str">
        <f>"8.015,50"</f>
        <v>8.015,50</v>
      </c>
      <c r="L1561" s="6" t="str">
        <f t="shared" si="145"/>
        <v>0,00</v>
      </c>
      <c r="M1561" s="6" t="str">
        <f>"8.015,50"</f>
        <v>8.015,50</v>
      </c>
      <c r="N1561" s="8" t="s">
        <v>124</v>
      </c>
      <c r="O1561" s="7"/>
      <c r="P1561" s="2" t="s">
        <v>5614</v>
      </c>
      <c r="Q1561" s="7"/>
      <c r="R1561" s="1"/>
      <c r="S1561" s="1" t="str">
        <f>"27-22/NOS-113-1/20"</f>
        <v>27-22/NOS-113-1/20</v>
      </c>
      <c r="T1561" s="1" t="s">
        <v>32</v>
      </c>
    </row>
    <row r="1562" spans="1:20" ht="89.25" x14ac:dyDescent="0.25">
      <c r="A1562" s="6">
        <v>1558</v>
      </c>
      <c r="B1562" s="1" t="str">
        <f t="shared" si="143"/>
        <v>2020-2787</v>
      </c>
      <c r="C1562" s="1" t="s">
        <v>1460</v>
      </c>
      <c r="D1562" s="1" t="s">
        <v>1458</v>
      </c>
      <c r="E1562" s="1" t="str">
        <f>""</f>
        <v/>
      </c>
      <c r="F1562" s="1" t="s">
        <v>28</v>
      </c>
      <c r="G1562" s="1" t="str">
        <f t="shared" si="144"/>
        <v>PAMAJO D.O.O., VRANIČKA 7/A, 10000 ZAGREB, OIB: 46401136513</v>
      </c>
      <c r="H1562" s="7"/>
      <c r="I1562" s="8" t="s">
        <v>374</v>
      </c>
      <c r="J1562" s="8" t="s">
        <v>393</v>
      </c>
      <c r="K1562" s="6" t="str">
        <f>"401,70"</f>
        <v>401,70</v>
      </c>
      <c r="L1562" s="6" t="str">
        <f>"100,43"</f>
        <v>100,43</v>
      </c>
      <c r="M1562" s="6" t="str">
        <f>"502,13"</f>
        <v>502,13</v>
      </c>
      <c r="N1562" s="8" t="s">
        <v>414</v>
      </c>
      <c r="O1562" s="7"/>
      <c r="P1562" s="2" t="s">
        <v>6583</v>
      </c>
      <c r="Q1562" s="7"/>
      <c r="R1562" s="1"/>
      <c r="S1562" s="1" t="str">
        <f>"28-22/NOS-113-1/20"</f>
        <v>28-22/NOS-113-1/20</v>
      </c>
      <c r="T1562" s="1" t="s">
        <v>32</v>
      </c>
    </row>
    <row r="1563" spans="1:20" ht="89.25" x14ac:dyDescent="0.25">
      <c r="A1563" s="6">
        <v>1559</v>
      </c>
      <c r="B1563" s="1" t="str">
        <f t="shared" si="143"/>
        <v>2020-2787</v>
      </c>
      <c r="C1563" s="1" t="s">
        <v>1460</v>
      </c>
      <c r="D1563" s="1" t="s">
        <v>1458</v>
      </c>
      <c r="E1563" s="1" t="str">
        <f>""</f>
        <v/>
      </c>
      <c r="F1563" s="1" t="s">
        <v>28</v>
      </c>
      <c r="G1563" s="1" t="str">
        <f t="shared" si="144"/>
        <v>PAMAJO D.O.O., VRANIČKA 7/A, 10000 ZAGREB, OIB: 46401136513</v>
      </c>
      <c r="H1563" s="7"/>
      <c r="I1563" s="8" t="s">
        <v>409</v>
      </c>
      <c r="J1563" s="8" t="s">
        <v>393</v>
      </c>
      <c r="K1563" s="6" t="str">
        <f>"1.913,70"</f>
        <v>1.913,70</v>
      </c>
      <c r="L1563" s="6" t="str">
        <f>"478,43"</f>
        <v>478,43</v>
      </c>
      <c r="M1563" s="6" t="str">
        <f>"2.392,13"</f>
        <v>2.392,13</v>
      </c>
      <c r="N1563" s="8" t="s">
        <v>1123</v>
      </c>
      <c r="O1563" s="7"/>
      <c r="P1563" s="2" t="s">
        <v>6584</v>
      </c>
      <c r="Q1563" s="7"/>
      <c r="R1563" s="1"/>
      <c r="S1563" s="1" t="str">
        <f>"30-22/NOS-113-1/20"</f>
        <v>30-22/NOS-113-1/20</v>
      </c>
      <c r="T1563" s="1" t="s">
        <v>32</v>
      </c>
    </row>
    <row r="1564" spans="1:20" ht="89.25" x14ac:dyDescent="0.25">
      <c r="A1564" s="6">
        <v>1560</v>
      </c>
      <c r="B1564" s="1" t="str">
        <f t="shared" si="143"/>
        <v>2020-2787</v>
      </c>
      <c r="C1564" s="1" t="s">
        <v>1460</v>
      </c>
      <c r="D1564" s="1" t="s">
        <v>1458</v>
      </c>
      <c r="E1564" s="1" t="str">
        <f>""</f>
        <v/>
      </c>
      <c r="F1564" s="1" t="s">
        <v>28</v>
      </c>
      <c r="G1564" s="1" t="str">
        <f t="shared" si="144"/>
        <v>PAMAJO D.O.O., VRANIČKA 7/A, 10000 ZAGREB, OIB: 46401136513</v>
      </c>
      <c r="H1564" s="7"/>
      <c r="I1564" s="8" t="s">
        <v>227</v>
      </c>
      <c r="J1564" s="8" t="s">
        <v>393</v>
      </c>
      <c r="K1564" s="6" t="str">
        <f>"1.150,00"</f>
        <v>1.150,00</v>
      </c>
      <c r="L1564" s="6" t="str">
        <f>"287,50"</f>
        <v>287,50</v>
      </c>
      <c r="M1564" s="6" t="str">
        <f>"1.437,50"</f>
        <v>1.437,50</v>
      </c>
      <c r="N1564" s="8" t="s">
        <v>170</v>
      </c>
      <c r="O1564" s="7"/>
      <c r="P1564" s="2" t="s">
        <v>6585</v>
      </c>
      <c r="Q1564" s="7"/>
      <c r="R1564" s="1"/>
      <c r="S1564" s="1" t="str">
        <f>"32-22/NOS-113-1/20"</f>
        <v>32-22/NOS-113-1/20</v>
      </c>
      <c r="T1564" s="1" t="s">
        <v>32</v>
      </c>
    </row>
    <row r="1565" spans="1:20" ht="89.25" x14ac:dyDescent="0.25">
      <c r="A1565" s="6">
        <v>1561</v>
      </c>
      <c r="B1565" s="1" t="str">
        <f t="shared" si="143"/>
        <v>2020-2787</v>
      </c>
      <c r="C1565" s="1" t="s">
        <v>1460</v>
      </c>
      <c r="D1565" s="1" t="s">
        <v>1458</v>
      </c>
      <c r="E1565" s="1" t="str">
        <f>""</f>
        <v/>
      </c>
      <c r="F1565" s="1" t="s">
        <v>28</v>
      </c>
      <c r="G1565" s="1" t="str">
        <f t="shared" si="144"/>
        <v>PAMAJO D.O.O., VRANIČKA 7/A, 10000 ZAGREB, OIB: 46401136513</v>
      </c>
      <c r="H1565" s="7"/>
      <c r="I1565" s="8" t="s">
        <v>525</v>
      </c>
      <c r="J1565" s="8" t="s">
        <v>393</v>
      </c>
      <c r="K1565" s="6" t="str">
        <f>"3.600,00"</f>
        <v>3.600,00</v>
      </c>
      <c r="L1565" s="6" t="str">
        <f>"900,00"</f>
        <v>900,00</v>
      </c>
      <c r="M1565" s="6" t="str">
        <f>"4.500,00"</f>
        <v>4.500,00</v>
      </c>
      <c r="N1565" s="8" t="s">
        <v>553</v>
      </c>
      <c r="O1565" s="7"/>
      <c r="P1565" s="2" t="s">
        <v>5730</v>
      </c>
      <c r="Q1565" s="7"/>
      <c r="R1565" s="1"/>
      <c r="S1565" s="1" t="str">
        <f>"31-22/NOS-113-1/20"</f>
        <v>31-22/NOS-113-1/20</v>
      </c>
      <c r="T1565" s="1" t="s">
        <v>32</v>
      </c>
    </row>
    <row r="1566" spans="1:20" ht="89.25" x14ac:dyDescent="0.25">
      <c r="A1566" s="6">
        <v>1562</v>
      </c>
      <c r="B1566" s="1" t="str">
        <f t="shared" si="143"/>
        <v>2020-2787</v>
      </c>
      <c r="C1566" s="1" t="s">
        <v>1460</v>
      </c>
      <c r="D1566" s="1" t="s">
        <v>1458</v>
      </c>
      <c r="E1566" s="1" t="str">
        <f>""</f>
        <v/>
      </c>
      <c r="F1566" s="1" t="s">
        <v>28</v>
      </c>
      <c r="G1566" s="1" t="str">
        <f t="shared" si="144"/>
        <v>PAMAJO D.O.O., VRANIČKA 7/A, 10000 ZAGREB, OIB: 46401136513</v>
      </c>
      <c r="H1566" s="7"/>
      <c r="I1566" s="8" t="s">
        <v>388</v>
      </c>
      <c r="J1566" s="8" t="s">
        <v>393</v>
      </c>
      <c r="K1566" s="6" t="str">
        <f>"3.837,40"</f>
        <v>3.837,40</v>
      </c>
      <c r="L1566" s="6" t="str">
        <f>"475,00"</f>
        <v>475,00</v>
      </c>
      <c r="M1566" s="6" t="str">
        <f>"4.312,40"</f>
        <v>4.312,40</v>
      </c>
      <c r="N1566" s="8" t="s">
        <v>384</v>
      </c>
      <c r="O1566" s="7"/>
      <c r="P1566" s="2" t="s">
        <v>6320</v>
      </c>
      <c r="Q1566" s="7"/>
      <c r="R1566" s="1"/>
      <c r="S1566" s="1" t="str">
        <f>"35-22/NOS-113-1/20"</f>
        <v>35-22/NOS-113-1/20</v>
      </c>
      <c r="T1566" s="1" t="s">
        <v>32</v>
      </c>
    </row>
    <row r="1567" spans="1:20" ht="114.75" x14ac:dyDescent="0.25">
      <c r="A1567" s="6">
        <v>1563</v>
      </c>
      <c r="B1567" s="1" t="str">
        <f t="shared" si="143"/>
        <v>2020-2787</v>
      </c>
      <c r="C1567" s="1" t="s">
        <v>1460</v>
      </c>
      <c r="D1567" s="1" t="s">
        <v>1458</v>
      </c>
      <c r="E1567" s="1" t="str">
        <f>""</f>
        <v/>
      </c>
      <c r="F1567" s="1" t="s">
        <v>28</v>
      </c>
      <c r="G1567" s="1" t="str">
        <f t="shared" si="144"/>
        <v>PAMAJO D.O.O., VRANIČKA 7/A, 10000 ZAGREB, OIB: 46401136513</v>
      </c>
      <c r="H1567" s="7"/>
      <c r="I1567" s="8" t="s">
        <v>399</v>
      </c>
      <c r="J1567" s="8" t="s">
        <v>393</v>
      </c>
      <c r="K1567" s="6" t="str">
        <f>"4.908,50"</f>
        <v>4.908,50</v>
      </c>
      <c r="L1567" s="6" t="str">
        <f>"1.302,13"</f>
        <v>1.302,13</v>
      </c>
      <c r="M1567" s="6" t="str">
        <f>"6.210,63"</f>
        <v>6.210,63</v>
      </c>
      <c r="N1567" s="8" t="s">
        <v>146</v>
      </c>
      <c r="O1567" s="7"/>
      <c r="P1567" s="2" t="s">
        <v>6586</v>
      </c>
      <c r="Q1567" s="1" t="s">
        <v>1463</v>
      </c>
      <c r="R1567" s="1"/>
      <c r="S1567" s="1" t="str">
        <f>"29-22/NOS-113-1/20"</f>
        <v>29-22/NOS-113-1/20</v>
      </c>
      <c r="T1567" s="1" t="s">
        <v>32</v>
      </c>
    </row>
    <row r="1568" spans="1:20" ht="89.25" x14ac:dyDescent="0.25">
      <c r="A1568" s="6">
        <v>1564</v>
      </c>
      <c r="B1568" s="1" t="str">
        <f t="shared" si="143"/>
        <v>2020-2787</v>
      </c>
      <c r="C1568" s="1" t="s">
        <v>1460</v>
      </c>
      <c r="D1568" s="1" t="s">
        <v>1458</v>
      </c>
      <c r="E1568" s="1" t="str">
        <f>""</f>
        <v/>
      </c>
      <c r="F1568" s="1" t="s">
        <v>28</v>
      </c>
      <c r="G1568" s="1" t="str">
        <f t="shared" si="144"/>
        <v>PAMAJO D.O.O., VRANIČKA 7/A, 10000 ZAGREB, OIB: 46401136513</v>
      </c>
      <c r="H1568" s="7"/>
      <c r="I1568" s="8" t="s">
        <v>1147</v>
      </c>
      <c r="J1568" s="8" t="s">
        <v>393</v>
      </c>
      <c r="K1568" s="6" t="str">
        <f>"1.937,40"</f>
        <v>1.937,40</v>
      </c>
      <c r="L1568" s="6" t="str">
        <f>"484,35"</f>
        <v>484,35</v>
      </c>
      <c r="M1568" s="6" t="str">
        <f>"2.421,75"</f>
        <v>2.421,75</v>
      </c>
      <c r="N1568" s="8" t="s">
        <v>553</v>
      </c>
      <c r="O1568" s="7"/>
      <c r="P1568" s="2" t="s">
        <v>6587</v>
      </c>
      <c r="Q1568" s="7"/>
      <c r="R1568" s="1"/>
      <c r="S1568" s="1" t="str">
        <f>"34-22/NOS-113-1/20"</f>
        <v>34-22/NOS-113-1/20</v>
      </c>
      <c r="T1568" s="1" t="s">
        <v>32</v>
      </c>
    </row>
    <row r="1569" spans="1:20" ht="89.25" x14ac:dyDescent="0.25">
      <c r="A1569" s="6">
        <v>1565</v>
      </c>
      <c r="B1569" s="1" t="str">
        <f t="shared" ref="B1569:B1598" si="146">"2020-2787"</f>
        <v>2020-2787</v>
      </c>
      <c r="C1569" s="1" t="s">
        <v>1460</v>
      </c>
      <c r="D1569" s="1" t="s">
        <v>1458</v>
      </c>
      <c r="E1569" s="1" t="str">
        <f>""</f>
        <v/>
      </c>
      <c r="F1569" s="1" t="s">
        <v>28</v>
      </c>
      <c r="G1569" s="1" t="str">
        <f t="shared" si="144"/>
        <v>PAMAJO D.O.O., VRANIČKA 7/A, 10000 ZAGREB, OIB: 46401136513</v>
      </c>
      <c r="H1569" s="7"/>
      <c r="I1569" s="8" t="s">
        <v>146</v>
      </c>
      <c r="J1569" s="8" t="s">
        <v>393</v>
      </c>
      <c r="K1569" s="6" t="str">
        <f>"5.576,40"</f>
        <v>5.576,40</v>
      </c>
      <c r="L1569" s="6" t="str">
        <f>"0,00"</f>
        <v>0,00</v>
      </c>
      <c r="M1569" s="6" t="str">
        <f>"5.576,40"</f>
        <v>5.576,40</v>
      </c>
      <c r="N1569" s="8" t="s">
        <v>124</v>
      </c>
      <c r="O1569" s="7"/>
      <c r="P1569" s="2" t="s">
        <v>5614</v>
      </c>
      <c r="Q1569" s="7"/>
      <c r="R1569" s="1"/>
      <c r="S1569" s="1" t="str">
        <f>"33-22/NOS-113-1/20"</f>
        <v>33-22/NOS-113-1/20</v>
      </c>
      <c r="T1569" s="1" t="s">
        <v>32</v>
      </c>
    </row>
    <row r="1570" spans="1:20" ht="216.75" x14ac:dyDescent="0.25">
      <c r="A1570" s="6">
        <v>1566</v>
      </c>
      <c r="B1570" s="1" t="str">
        <f t="shared" si="146"/>
        <v>2020-2787</v>
      </c>
      <c r="C1570" s="1" t="s">
        <v>1464</v>
      </c>
      <c r="D1570" s="1" t="s">
        <v>1458</v>
      </c>
      <c r="E1570" s="1" t="str">
        <f>"2020/S 0F2-0038078"</f>
        <v>2020/S 0F2-0038078</v>
      </c>
      <c r="F1570" s="1" t="s">
        <v>22</v>
      </c>
      <c r="G1570" s="1"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1570" s="7"/>
      <c r="I1570" s="8" t="s">
        <v>1459</v>
      </c>
      <c r="J1570" s="8" t="s">
        <v>1255</v>
      </c>
      <c r="K1570" s="6" t="str">
        <f>"100.000,00"</f>
        <v>100.000,00</v>
      </c>
      <c r="L1570" s="6" t="str">
        <f>"25.000,00"</f>
        <v>25.000,00</v>
      </c>
      <c r="M1570" s="6" t="str">
        <f>"125.000,00"</f>
        <v>125.000,00</v>
      </c>
      <c r="N1570" s="8" t="s">
        <v>124</v>
      </c>
      <c r="O1570" s="7"/>
      <c r="P1570" s="2" t="s">
        <v>5614</v>
      </c>
      <c r="Q1570" s="7"/>
      <c r="R1570" s="1"/>
      <c r="S1570" s="1" t="str">
        <f>"NOS-113-2/20"</f>
        <v>NOS-113-2/20</v>
      </c>
      <c r="T1570" s="1" t="s">
        <v>1004</v>
      </c>
    </row>
    <row r="1571" spans="1:20" ht="76.5" x14ac:dyDescent="0.25">
      <c r="A1571" s="6">
        <v>1567</v>
      </c>
      <c r="B1571" s="1" t="str">
        <f t="shared" si="146"/>
        <v>2020-2787</v>
      </c>
      <c r="C1571" s="1" t="s">
        <v>1464</v>
      </c>
      <c r="D1571" s="1" t="s">
        <v>1458</v>
      </c>
      <c r="E1571" s="1" t="str">
        <f>""</f>
        <v/>
      </c>
      <c r="F1571" s="1" t="s">
        <v>28</v>
      </c>
      <c r="G1571" s="1" t="str">
        <f>CONCATENATE("KLIMA EXPERT D.O.O.,"," KARLOVAČKA CESTA 203A,"," 10250 LUČKO,"," OIB: 49766965594")</f>
        <v>KLIMA EXPERT D.O.O., KARLOVAČKA CESTA 203A, 10250 LUČKO, OIB: 49766965594</v>
      </c>
      <c r="H1571" s="7"/>
      <c r="I1571" s="8" t="s">
        <v>260</v>
      </c>
      <c r="J1571" s="8" t="s">
        <v>393</v>
      </c>
      <c r="K1571" s="6" t="str">
        <f>"7.000,00"</f>
        <v>7.000,00</v>
      </c>
      <c r="L1571" s="6" t="str">
        <f>"0,00"</f>
        <v>0,00</v>
      </c>
      <c r="M1571" s="6" t="str">
        <f>"7.000,00"</f>
        <v>7.000,00</v>
      </c>
      <c r="N1571" s="8" t="s">
        <v>124</v>
      </c>
      <c r="O1571" s="7"/>
      <c r="P1571" s="2" t="s">
        <v>5614</v>
      </c>
      <c r="Q1571" s="7"/>
      <c r="R1571" s="1"/>
      <c r="S1571" s="1" t="str">
        <f>"1-22/NOS-113-2/20"</f>
        <v>1-22/NOS-113-2/20</v>
      </c>
      <c r="T1571" s="1" t="s">
        <v>32</v>
      </c>
    </row>
    <row r="1572" spans="1:20" ht="76.5" x14ac:dyDescent="0.25">
      <c r="A1572" s="6">
        <v>1568</v>
      </c>
      <c r="B1572" s="1" t="str">
        <f t="shared" si="146"/>
        <v>2020-2787</v>
      </c>
      <c r="C1572" s="1" t="s">
        <v>1464</v>
      </c>
      <c r="D1572" s="1" t="s">
        <v>1458</v>
      </c>
      <c r="E1572" s="1" t="str">
        <f>""</f>
        <v/>
      </c>
      <c r="F1572" s="1" t="s">
        <v>28</v>
      </c>
      <c r="G1572" s="1" t="str">
        <f>CONCATENATE("KLIMA EXPERT D.O.O.,"," KARLOVAČKA CESTA 203A,"," 10250 LUČKO,"," OIB: 49766965594")</f>
        <v>KLIMA EXPERT D.O.O., KARLOVAČKA CESTA 203A, 10250 LUČKO, OIB: 49766965594</v>
      </c>
      <c r="H1572" s="7"/>
      <c r="I1572" s="8" t="s">
        <v>238</v>
      </c>
      <c r="J1572" s="8" t="s">
        <v>393</v>
      </c>
      <c r="K1572" s="6" t="str">
        <f>"7.000,00"</f>
        <v>7.000,00</v>
      </c>
      <c r="L1572" s="6" t="str">
        <f>"1.750,00"</f>
        <v>1.750,00</v>
      </c>
      <c r="M1572" s="6" t="str">
        <f>"8.750,00"</f>
        <v>8.750,00</v>
      </c>
      <c r="N1572" s="8" t="s">
        <v>432</v>
      </c>
      <c r="O1572" s="7"/>
      <c r="P1572" s="2" t="s">
        <v>6588</v>
      </c>
      <c r="Q1572" s="7"/>
      <c r="R1572" s="1"/>
      <c r="S1572" s="1" t="str">
        <f>"3-22/NOS-113-2/20"</f>
        <v>3-22/NOS-113-2/20</v>
      </c>
      <c r="T1572" s="1" t="s">
        <v>32</v>
      </c>
    </row>
    <row r="1573" spans="1:20" ht="76.5" x14ac:dyDescent="0.25">
      <c r="A1573" s="6">
        <v>1569</v>
      </c>
      <c r="B1573" s="1" t="str">
        <f t="shared" si="146"/>
        <v>2020-2787</v>
      </c>
      <c r="C1573" s="1" t="s">
        <v>1464</v>
      </c>
      <c r="D1573" s="1" t="s">
        <v>1458</v>
      </c>
      <c r="E1573" s="1" t="str">
        <f>""</f>
        <v/>
      </c>
      <c r="F1573" s="1" t="s">
        <v>28</v>
      </c>
      <c r="G1573" s="1" t="str">
        <f>CONCATENATE("KLIMA EXPERT D.O.O.,"," KARLOVAČKA CESTA 203A,"," 10250 LUČKO,"," OIB: 49766965594")</f>
        <v>KLIMA EXPERT D.O.O., KARLOVAČKA CESTA 203A, 10250 LUČKO, OIB: 49766965594</v>
      </c>
      <c r="H1573" s="7"/>
      <c r="I1573" s="8" t="s">
        <v>399</v>
      </c>
      <c r="J1573" s="8" t="s">
        <v>393</v>
      </c>
      <c r="K1573" s="6" t="str">
        <f>"3.750,00"</f>
        <v>3.750,00</v>
      </c>
      <c r="L1573" s="6" t="str">
        <f>"0,00"</f>
        <v>0,00</v>
      </c>
      <c r="M1573" s="6" t="str">
        <f>"3.750,00"</f>
        <v>3.750,00</v>
      </c>
      <c r="N1573" s="8" t="s">
        <v>124</v>
      </c>
      <c r="O1573" s="7"/>
      <c r="P1573" s="2" t="s">
        <v>5614</v>
      </c>
      <c r="Q1573" s="7"/>
      <c r="R1573" s="1"/>
      <c r="S1573" s="1" t="str">
        <f>"6-22/NOS-113-2/20"</f>
        <v>6-22/NOS-113-2/20</v>
      </c>
      <c r="T1573" s="1" t="s">
        <v>32</v>
      </c>
    </row>
    <row r="1574" spans="1:20" ht="153" x14ac:dyDescent="0.25">
      <c r="A1574" s="6">
        <v>1570</v>
      </c>
      <c r="B1574" s="1" t="str">
        <f t="shared" si="146"/>
        <v>2020-2787</v>
      </c>
      <c r="C1574" s="1" t="s">
        <v>1465</v>
      </c>
      <c r="D1574" s="1" t="s">
        <v>1458</v>
      </c>
      <c r="E1574" s="1" t="str">
        <f>"2020/S 0F2-0038078"</f>
        <v>2020/S 0F2-0038078</v>
      </c>
      <c r="F1574" s="1" t="s">
        <v>22</v>
      </c>
      <c r="G1574" s="1"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1574" s="7"/>
      <c r="I1574" s="8" t="s">
        <v>1459</v>
      </c>
      <c r="J1574" s="8" t="s">
        <v>1466</v>
      </c>
      <c r="K1574" s="6" t="str">
        <f>"100.000,00"</f>
        <v>100.000,00</v>
      </c>
      <c r="L1574" s="6" t="str">
        <f>"25.000,00"</f>
        <v>25.000,00</v>
      </c>
      <c r="M1574" s="6" t="str">
        <f>"125.000,00"</f>
        <v>125.000,00</v>
      </c>
      <c r="N1574" s="8" t="s">
        <v>124</v>
      </c>
      <c r="O1574" s="7"/>
      <c r="P1574" s="2" t="s">
        <v>6589</v>
      </c>
      <c r="Q1574" s="7"/>
      <c r="R1574" s="1"/>
      <c r="S1574" s="1" t="str">
        <f>"NOS-113-4/20"</f>
        <v>NOS-113-4/20</v>
      </c>
      <c r="T1574" s="1" t="s">
        <v>1004</v>
      </c>
    </row>
    <row r="1575" spans="1:20" ht="63.75" x14ac:dyDescent="0.25">
      <c r="A1575" s="6">
        <v>1571</v>
      </c>
      <c r="B1575" s="1" t="str">
        <f t="shared" si="146"/>
        <v>2020-2787</v>
      </c>
      <c r="C1575" s="1" t="s">
        <v>1465</v>
      </c>
      <c r="D1575" s="1" t="s">
        <v>1458</v>
      </c>
      <c r="E1575" s="1" t="str">
        <f>""</f>
        <v/>
      </c>
      <c r="F1575" s="1" t="s">
        <v>28</v>
      </c>
      <c r="G1575" s="1" t="str">
        <f>CONCATENATE("DELTRON D.O.O.,"," VUKOVARSKA 148,"," 21000 SPLIT,"," OIB: 36118056137")</f>
        <v>DELTRON D.O.O., VUKOVARSKA 148, 21000 SPLIT, OIB: 36118056137</v>
      </c>
      <c r="H1575" s="7"/>
      <c r="I1575" s="8" t="s">
        <v>296</v>
      </c>
      <c r="J1575" s="8" t="s">
        <v>555</v>
      </c>
      <c r="K1575" s="6" t="str">
        <f>"36.170,00"</f>
        <v>36.170,00</v>
      </c>
      <c r="L1575" s="6" t="str">
        <f>"0,00"</f>
        <v>0,00</v>
      </c>
      <c r="M1575" s="6" t="str">
        <f>"36.170,00"</f>
        <v>36.170,00</v>
      </c>
      <c r="N1575" s="8" t="s">
        <v>124</v>
      </c>
      <c r="O1575" s="7"/>
      <c r="P1575" s="2" t="s">
        <v>5614</v>
      </c>
      <c r="Q1575" s="7"/>
      <c r="R1575" s="1"/>
      <c r="S1575" s="1" t="str">
        <f>"1-22/NOS-113-4/20"</f>
        <v>1-22/NOS-113-4/20</v>
      </c>
      <c r="T1575" s="1" t="s">
        <v>32</v>
      </c>
    </row>
    <row r="1576" spans="1:20" ht="63.75" x14ac:dyDescent="0.25">
      <c r="A1576" s="6">
        <v>1572</v>
      </c>
      <c r="B1576" s="1" t="str">
        <f t="shared" si="146"/>
        <v>2020-2787</v>
      </c>
      <c r="C1576" s="1" t="s">
        <v>1465</v>
      </c>
      <c r="D1576" s="1" t="s">
        <v>1458</v>
      </c>
      <c r="E1576" s="1" t="str">
        <f>""</f>
        <v/>
      </c>
      <c r="F1576" s="1" t="s">
        <v>28</v>
      </c>
      <c r="G1576" s="1" t="str">
        <f>CONCATENATE("DELTRON D.O.O.,"," VUKOVARSKA 148,"," 21000 SPLIT,"," OIB: 36118056137")</f>
        <v>DELTRON D.O.O., VUKOVARSKA 148, 21000 SPLIT, OIB: 36118056137</v>
      </c>
      <c r="H1576" s="7"/>
      <c r="I1576" s="8" t="s">
        <v>921</v>
      </c>
      <c r="J1576" s="8" t="s">
        <v>555</v>
      </c>
      <c r="K1576" s="6" t="str">
        <f>"5.400,00"</f>
        <v>5.400,00</v>
      </c>
      <c r="L1576" s="6" t="str">
        <f>"0,00"</f>
        <v>0,00</v>
      </c>
      <c r="M1576" s="6" t="str">
        <f>"5.400,00"</f>
        <v>5.400,00</v>
      </c>
      <c r="N1576" s="8" t="s">
        <v>124</v>
      </c>
      <c r="O1576" s="7"/>
      <c r="P1576" s="2" t="s">
        <v>5614</v>
      </c>
      <c r="Q1576" s="7"/>
      <c r="R1576" s="1"/>
      <c r="S1576" s="1" t="str">
        <f>"2-22/NOS-113-4/20"</f>
        <v>2-22/NOS-113-4/20</v>
      </c>
      <c r="T1576" s="1" t="s">
        <v>32</v>
      </c>
    </row>
    <row r="1577" spans="1:20" ht="63.75" x14ac:dyDescent="0.25">
      <c r="A1577" s="6">
        <v>1573</v>
      </c>
      <c r="B1577" s="1" t="str">
        <f t="shared" si="146"/>
        <v>2020-2787</v>
      </c>
      <c r="C1577" s="1" t="s">
        <v>1465</v>
      </c>
      <c r="D1577" s="1" t="s">
        <v>1458</v>
      </c>
      <c r="E1577" s="1" t="str">
        <f>""</f>
        <v/>
      </c>
      <c r="F1577" s="1" t="s">
        <v>28</v>
      </c>
      <c r="G1577" s="1" t="str">
        <f>CONCATENATE("DELTRON D.O.O.,"," VUKOVARSKA 148,"," 21000 SPLIT,"," OIB: 36118056137")</f>
        <v>DELTRON D.O.O., VUKOVARSKA 148, 21000 SPLIT, OIB: 36118056137</v>
      </c>
      <c r="H1577" s="7"/>
      <c r="I1577" s="8" t="s">
        <v>524</v>
      </c>
      <c r="J1577" s="8" t="s">
        <v>555</v>
      </c>
      <c r="K1577" s="6" t="str">
        <f>"9.550,00"</f>
        <v>9.550,00</v>
      </c>
      <c r="L1577" s="6" t="str">
        <f>"2.387,50"</f>
        <v>2.387,50</v>
      </c>
      <c r="M1577" s="6" t="str">
        <f>"11.937,50"</f>
        <v>11.937,50</v>
      </c>
      <c r="N1577" s="8" t="s">
        <v>430</v>
      </c>
      <c r="O1577" s="7"/>
      <c r="P1577" s="2" t="s">
        <v>6590</v>
      </c>
      <c r="Q1577" s="7"/>
      <c r="R1577" s="1"/>
      <c r="S1577" s="1" t="str">
        <f>"5-22/NOS-113-4/20"</f>
        <v>5-22/NOS-113-4/20</v>
      </c>
      <c r="T1577" s="1" t="s">
        <v>32</v>
      </c>
    </row>
    <row r="1578" spans="1:20" ht="216.75" x14ac:dyDescent="0.25">
      <c r="A1578" s="6">
        <v>1574</v>
      </c>
      <c r="B1578" s="1" t="str">
        <f t="shared" si="146"/>
        <v>2020-2787</v>
      </c>
      <c r="C1578" s="1" t="s">
        <v>1467</v>
      </c>
      <c r="D1578" s="1" t="s">
        <v>1458</v>
      </c>
      <c r="E1578" s="1" t="str">
        <f>"2020/S 0F2-0038078"</f>
        <v>2020/S 0F2-0038078</v>
      </c>
      <c r="F1578" s="1" t="s">
        <v>22</v>
      </c>
      <c r="G1578" s="1" t="str">
        <f>CONCATENATE("DELTRON D.O.O.,"," VUKOVARSKA 148,"," 21000 SPLIT,"," OIB: 36118056137",CHAR(10),"",CHAR(10),"Zajednica ponuditelja",CHAR(10),"RO-TERMO D.O.O.,"," ,"," OIB: 24452310712RO-TERMO SERVISI D.O.O. SISAČKA CESTA 20A,"," 10000 ZAGREB,"," OIB: 18918849649",CHAR(10),"",CHAR(10),"KLIMA EXPERT D.O.O.,"," KARLOVAČKA CESTA 203A,"," 10250 LUČKO,"," OIB: 49766965594")</f>
        <v>DELTRON D.O.O., VUKOVARSKA 148, 21000 SPLIT, OIB: 36118056137
Zajednica ponuditelja
RO-TERMO D.O.O., , OIB: 24452310712RO-TERMO SERVISI D.O.O. SISAČKA CESTA 20A, 10000 ZAGREB, OIB: 18918849649
KLIMA EXPERT D.O.O., KARLOVAČKA CESTA 203A, 10250 LUČKO, OIB: 49766965594</v>
      </c>
      <c r="H1578" s="7"/>
      <c r="I1578" s="8" t="s">
        <v>1459</v>
      </c>
      <c r="J1578" s="8" t="s">
        <v>1255</v>
      </c>
      <c r="K1578" s="6" t="str">
        <f>"100.000,00"</f>
        <v>100.000,00</v>
      </c>
      <c r="L1578" s="6" t="str">
        <f>"25.000,00"</f>
        <v>25.000,00</v>
      </c>
      <c r="M1578" s="6" t="str">
        <f>"125.000,00"</f>
        <v>125.000,00</v>
      </c>
      <c r="N1578" s="8" t="s">
        <v>124</v>
      </c>
      <c r="O1578" s="7"/>
      <c r="P1578" s="2" t="s">
        <v>5614</v>
      </c>
      <c r="Q1578" s="7"/>
      <c r="R1578" s="1"/>
      <c r="S1578" s="1" t="str">
        <f>"NOS-113-5/20"</f>
        <v>NOS-113-5/20</v>
      </c>
      <c r="T1578" s="1" t="s">
        <v>1004</v>
      </c>
    </row>
    <row r="1579" spans="1:20" ht="63.75" x14ac:dyDescent="0.25">
      <c r="A1579" s="6">
        <v>1575</v>
      </c>
      <c r="B1579" s="1" t="str">
        <f t="shared" si="146"/>
        <v>2020-2787</v>
      </c>
      <c r="C1579" s="1" t="s">
        <v>1467</v>
      </c>
      <c r="D1579" s="1" t="s">
        <v>1458</v>
      </c>
      <c r="E1579" s="1" t="str">
        <f>""</f>
        <v/>
      </c>
      <c r="F1579" s="1" t="s">
        <v>28</v>
      </c>
      <c r="G1579" s="1" t="str">
        <f>CONCATENATE("KLIMA EXPERT D.O.O.,"," KARLOVAČKA CESTA 203A,"," 10250 LUČKO,"," OIB: 49766965594")</f>
        <v>KLIMA EXPERT D.O.O., KARLOVAČKA CESTA 203A, 10250 LUČKO, OIB: 49766965594</v>
      </c>
      <c r="H1579" s="7"/>
      <c r="I1579" s="8" t="s">
        <v>262</v>
      </c>
      <c r="J1579" s="8" t="s">
        <v>393</v>
      </c>
      <c r="K1579" s="6" t="str">
        <f>"2.000,00"</f>
        <v>2.000,00</v>
      </c>
      <c r="L1579" s="6" t="str">
        <f>"0,00"</f>
        <v>0,00</v>
      </c>
      <c r="M1579" s="6" t="str">
        <f>"2.000,00"</f>
        <v>2.000,00</v>
      </c>
      <c r="N1579" s="8" t="s">
        <v>124</v>
      </c>
      <c r="O1579" s="7"/>
      <c r="P1579" s="2" t="s">
        <v>5614</v>
      </c>
      <c r="Q1579" s="7"/>
      <c r="R1579" s="1"/>
      <c r="S1579" s="1" t="str">
        <f>"2-22/NOS-113-5/20"</f>
        <v>2-22/NOS-113-5/20</v>
      </c>
      <c r="T1579" s="1" t="s">
        <v>32</v>
      </c>
    </row>
    <row r="1580" spans="1:20" ht="63.75" x14ac:dyDescent="0.25">
      <c r="A1580" s="6">
        <v>1576</v>
      </c>
      <c r="B1580" s="1" t="str">
        <f t="shared" si="146"/>
        <v>2020-2787</v>
      </c>
      <c r="C1580" s="1" t="s">
        <v>1467</v>
      </c>
      <c r="D1580" s="1" t="s">
        <v>1458</v>
      </c>
      <c r="E1580" s="1" t="str">
        <f>""</f>
        <v/>
      </c>
      <c r="F1580" s="1" t="s">
        <v>28</v>
      </c>
      <c r="G1580" s="1" t="str">
        <f>CONCATENATE("KLIMA EXPERT D.O.O.,"," KARLOVAČKA CESTA 203A,"," 10250 LUČKO,"," OIB: 49766965594")</f>
        <v>KLIMA EXPERT D.O.O., KARLOVAČKA CESTA 203A, 10250 LUČKO, OIB: 49766965594</v>
      </c>
      <c r="H1580" s="7"/>
      <c r="I1580" s="8" t="s">
        <v>301</v>
      </c>
      <c r="J1580" s="8" t="s">
        <v>393</v>
      </c>
      <c r="K1580" s="6" t="str">
        <f>"300,00"</f>
        <v>300,00</v>
      </c>
      <c r="L1580" s="6" t="str">
        <f>"0,00"</f>
        <v>0,00</v>
      </c>
      <c r="M1580" s="6" t="str">
        <f>"300,00"</f>
        <v>300,00</v>
      </c>
      <c r="N1580" s="8" t="s">
        <v>124</v>
      </c>
      <c r="O1580" s="7"/>
      <c r="P1580" s="2" t="s">
        <v>5614</v>
      </c>
      <c r="Q1580" s="7"/>
      <c r="R1580" s="1"/>
      <c r="S1580" s="1" t="str">
        <f>"3-22/NOS-113-5/20"</f>
        <v>3-22/NOS-113-5/20</v>
      </c>
      <c r="T1580" s="1" t="s">
        <v>32</v>
      </c>
    </row>
    <row r="1581" spans="1:20" ht="153" x14ac:dyDescent="0.25">
      <c r="A1581" s="6">
        <v>1577</v>
      </c>
      <c r="B1581" s="1" t="str">
        <f t="shared" si="146"/>
        <v>2020-2787</v>
      </c>
      <c r="C1581" s="1" t="s">
        <v>1468</v>
      </c>
      <c r="D1581" s="1" t="s">
        <v>1458</v>
      </c>
      <c r="E1581" s="1" t="str">
        <f>"2020/S 0F2-0038078"</f>
        <v>2020/S 0F2-0038078</v>
      </c>
      <c r="F1581" s="1" t="s">
        <v>22</v>
      </c>
      <c r="G1581" s="1" t="str">
        <f>CONCATENATE("DELTRON D.O.O.,"," VUKOVARSKA 148,"," 21000 SPLIT,"," OIB: 36118056137",CHAR(10),"",CHAR(10),"Zajednica ponuditelja",CHAR(10),"RO-TERMO D.O.O.,"," ,"," OIB: 24452310712RO-TERMO SERVISI D.O.O. SISAČKA CESTA 20A,"," 10000 ZAGREB,"," OIB: 18918849649")</f>
        <v>DELTRON D.O.O., VUKOVARSKA 148, 21000 SPLIT, OIB: 36118056137
Zajednica ponuditelja
RO-TERMO D.O.O., , OIB: 24452310712RO-TERMO SERVISI D.O.O. SISAČKA CESTA 20A, 10000 ZAGREB, OIB: 18918849649</v>
      </c>
      <c r="H1581" s="7"/>
      <c r="I1581" s="8" t="s">
        <v>1459</v>
      </c>
      <c r="J1581" s="8" t="s">
        <v>1255</v>
      </c>
      <c r="K1581" s="6" t="str">
        <f>"300.000,00"</f>
        <v>300.000,00</v>
      </c>
      <c r="L1581" s="6" t="str">
        <f>"75.000,00"</f>
        <v>75.000,00</v>
      </c>
      <c r="M1581" s="6" t="str">
        <f>"375.000,00"</f>
        <v>375.000,00</v>
      </c>
      <c r="N1581" s="8" t="s">
        <v>124</v>
      </c>
      <c r="O1581" s="7"/>
      <c r="P1581" s="2" t="s">
        <v>6591</v>
      </c>
      <c r="Q1581" s="7"/>
      <c r="R1581" s="1"/>
      <c r="S1581" s="1" t="str">
        <f>"NOS-113-6/20"</f>
        <v>NOS-113-6/20</v>
      </c>
      <c r="T1581" s="1" t="s">
        <v>1004</v>
      </c>
    </row>
    <row r="1582" spans="1:20" ht="76.5" x14ac:dyDescent="0.25">
      <c r="A1582" s="6">
        <v>1578</v>
      </c>
      <c r="B1582" s="1" t="str">
        <f t="shared" si="146"/>
        <v>2020-2787</v>
      </c>
      <c r="C1582" s="1" t="s">
        <v>1468</v>
      </c>
      <c r="D1582" s="1" t="s">
        <v>1458</v>
      </c>
      <c r="E1582" s="1" t="str">
        <f>""</f>
        <v/>
      </c>
      <c r="F1582" s="1" t="s">
        <v>28</v>
      </c>
      <c r="G1582" s="1" t="str">
        <f t="shared" ref="G1582:G1598" si="147">CONCATENATE("DELTRON D.O.O.,"," VUKOVARSKA 148,"," 21000 SPLIT,"," OIB: 36118056137")</f>
        <v>DELTRON D.O.O., VUKOVARSKA 148, 21000 SPLIT, OIB: 36118056137</v>
      </c>
      <c r="H1582" s="7"/>
      <c r="I1582" s="8" t="s">
        <v>220</v>
      </c>
      <c r="J1582" s="8" t="s">
        <v>555</v>
      </c>
      <c r="K1582" s="6" t="str">
        <f>"8.163,00"</f>
        <v>8.163,00</v>
      </c>
      <c r="L1582" s="6" t="str">
        <f>"2.033,25"</f>
        <v>2.033,25</v>
      </c>
      <c r="M1582" s="6" t="str">
        <f>"10.196,25"</f>
        <v>10.196,25</v>
      </c>
      <c r="N1582" s="8" t="s">
        <v>160</v>
      </c>
      <c r="O1582" s="7"/>
      <c r="P1582" s="2" t="s">
        <v>6592</v>
      </c>
      <c r="Q1582" s="7"/>
      <c r="R1582" s="1"/>
      <c r="S1582" s="1" t="str">
        <f>"1-22/NOS-113-6/20"</f>
        <v>1-22/NOS-113-6/20</v>
      </c>
      <c r="T1582" s="1" t="s">
        <v>32</v>
      </c>
    </row>
    <row r="1583" spans="1:20" ht="76.5" x14ac:dyDescent="0.25">
      <c r="A1583" s="6">
        <v>1579</v>
      </c>
      <c r="B1583" s="1" t="str">
        <f t="shared" si="146"/>
        <v>2020-2787</v>
      </c>
      <c r="C1583" s="1" t="s">
        <v>1468</v>
      </c>
      <c r="D1583" s="1" t="s">
        <v>1458</v>
      </c>
      <c r="E1583" s="1" t="str">
        <f>""</f>
        <v/>
      </c>
      <c r="F1583" s="1" t="s">
        <v>28</v>
      </c>
      <c r="G1583" s="1" t="str">
        <f t="shared" si="147"/>
        <v>DELTRON D.O.O., VUKOVARSKA 148, 21000 SPLIT, OIB: 36118056137</v>
      </c>
      <c r="H1583" s="7"/>
      <c r="I1583" s="8" t="s">
        <v>41</v>
      </c>
      <c r="J1583" s="8" t="s">
        <v>555</v>
      </c>
      <c r="K1583" s="6" t="str">
        <f>"1.500,00"</f>
        <v>1.500,00</v>
      </c>
      <c r="L1583" s="6" t="str">
        <f>"375,00"</f>
        <v>375,00</v>
      </c>
      <c r="M1583" s="6" t="str">
        <f>"1.875,00"</f>
        <v>1.875,00</v>
      </c>
      <c r="N1583" s="8" t="s">
        <v>160</v>
      </c>
      <c r="O1583" s="7"/>
      <c r="P1583" s="2" t="s">
        <v>6378</v>
      </c>
      <c r="Q1583" s="7"/>
      <c r="R1583" s="1"/>
      <c r="S1583" s="1" t="str">
        <f>"2-22/NOS-113-6/20"</f>
        <v>2-22/NOS-113-6/20</v>
      </c>
      <c r="T1583" s="1" t="s">
        <v>32</v>
      </c>
    </row>
    <row r="1584" spans="1:20" ht="76.5" x14ac:dyDescent="0.25">
      <c r="A1584" s="6">
        <v>1580</v>
      </c>
      <c r="B1584" s="1" t="str">
        <f t="shared" si="146"/>
        <v>2020-2787</v>
      </c>
      <c r="C1584" s="1" t="s">
        <v>1468</v>
      </c>
      <c r="D1584" s="1" t="s">
        <v>1458</v>
      </c>
      <c r="E1584" s="1" t="str">
        <f>""</f>
        <v/>
      </c>
      <c r="F1584" s="1" t="s">
        <v>28</v>
      </c>
      <c r="G1584" s="1" t="str">
        <f t="shared" si="147"/>
        <v>DELTRON D.O.O., VUKOVARSKA 148, 21000 SPLIT, OIB: 36118056137</v>
      </c>
      <c r="H1584" s="7"/>
      <c r="I1584" s="8" t="s">
        <v>422</v>
      </c>
      <c r="J1584" s="8" t="s">
        <v>231</v>
      </c>
      <c r="K1584" s="6" t="str">
        <f>"17.084,00"</f>
        <v>17.084,00</v>
      </c>
      <c r="L1584" s="6" t="str">
        <f>"0,00"</f>
        <v>0,00</v>
      </c>
      <c r="M1584" s="6" t="str">
        <f>"17.084,00"</f>
        <v>17.084,00</v>
      </c>
      <c r="N1584" s="8" t="s">
        <v>124</v>
      </c>
      <c r="O1584" s="7"/>
      <c r="P1584" s="2" t="s">
        <v>5614</v>
      </c>
      <c r="Q1584" s="7"/>
      <c r="R1584" s="1"/>
      <c r="S1584" s="1" t="str">
        <f>"3-22/NOS-113-6/20"</f>
        <v>3-22/NOS-113-6/20</v>
      </c>
      <c r="T1584" s="1" t="s">
        <v>32</v>
      </c>
    </row>
    <row r="1585" spans="1:20" ht="76.5" x14ac:dyDescent="0.25">
      <c r="A1585" s="6">
        <v>1581</v>
      </c>
      <c r="B1585" s="1" t="str">
        <f t="shared" si="146"/>
        <v>2020-2787</v>
      </c>
      <c r="C1585" s="1" t="s">
        <v>1468</v>
      </c>
      <c r="D1585" s="1" t="s">
        <v>1458</v>
      </c>
      <c r="E1585" s="1" t="str">
        <f>""</f>
        <v/>
      </c>
      <c r="F1585" s="1" t="s">
        <v>28</v>
      </c>
      <c r="G1585" s="1" t="str">
        <f t="shared" si="147"/>
        <v>DELTRON D.O.O., VUKOVARSKA 148, 21000 SPLIT, OIB: 36118056137</v>
      </c>
      <c r="H1585" s="7"/>
      <c r="I1585" s="8" t="s">
        <v>260</v>
      </c>
      <c r="J1585" s="8" t="s">
        <v>555</v>
      </c>
      <c r="K1585" s="6" t="str">
        <f>"1.500,00"</f>
        <v>1.500,00</v>
      </c>
      <c r="L1585" s="6" t="str">
        <f>"375,00"</f>
        <v>375,00</v>
      </c>
      <c r="M1585" s="6" t="str">
        <f>"1.875,00"</f>
        <v>1.875,00</v>
      </c>
      <c r="N1585" s="8" t="s">
        <v>372</v>
      </c>
      <c r="O1585" s="7"/>
      <c r="P1585" s="2" t="s">
        <v>6378</v>
      </c>
      <c r="Q1585" s="7"/>
      <c r="R1585" s="1"/>
      <c r="S1585" s="1" t="str">
        <f>"6-22/NOS-113-6/20"</f>
        <v>6-22/NOS-113-6/20</v>
      </c>
      <c r="T1585" s="1" t="s">
        <v>32</v>
      </c>
    </row>
    <row r="1586" spans="1:20" ht="76.5" x14ac:dyDescent="0.25">
      <c r="A1586" s="6">
        <v>1582</v>
      </c>
      <c r="B1586" s="1" t="str">
        <f t="shared" si="146"/>
        <v>2020-2787</v>
      </c>
      <c r="C1586" s="1" t="s">
        <v>1468</v>
      </c>
      <c r="D1586" s="1" t="s">
        <v>1458</v>
      </c>
      <c r="E1586" s="1" t="str">
        <f>""</f>
        <v/>
      </c>
      <c r="F1586" s="1" t="s">
        <v>28</v>
      </c>
      <c r="G1586" s="1" t="str">
        <f t="shared" si="147"/>
        <v>DELTRON D.O.O., VUKOVARSKA 148, 21000 SPLIT, OIB: 36118056137</v>
      </c>
      <c r="H1586" s="7"/>
      <c r="I1586" s="8" t="s">
        <v>260</v>
      </c>
      <c r="J1586" s="8" t="s">
        <v>555</v>
      </c>
      <c r="K1586" s="6" t="str">
        <f>"4.904,00"</f>
        <v>4.904,00</v>
      </c>
      <c r="L1586" s="6" t="str">
        <f>"0,00"</f>
        <v>0,00</v>
      </c>
      <c r="M1586" s="6" t="str">
        <f>"4.904,00"</f>
        <v>4.904,00</v>
      </c>
      <c r="N1586" s="8" t="s">
        <v>124</v>
      </c>
      <c r="O1586" s="7"/>
      <c r="P1586" s="2" t="s">
        <v>5614</v>
      </c>
      <c r="Q1586" s="7"/>
      <c r="R1586" s="1"/>
      <c r="S1586" s="1" t="str">
        <f>"7-22/NOS-113-6/20"</f>
        <v>7-22/NOS-113-6/20</v>
      </c>
      <c r="T1586" s="1" t="s">
        <v>32</v>
      </c>
    </row>
    <row r="1587" spans="1:20" ht="76.5" x14ac:dyDescent="0.25">
      <c r="A1587" s="6">
        <v>1583</v>
      </c>
      <c r="B1587" s="1" t="str">
        <f t="shared" si="146"/>
        <v>2020-2787</v>
      </c>
      <c r="C1587" s="1" t="s">
        <v>1468</v>
      </c>
      <c r="D1587" s="1" t="s">
        <v>1458</v>
      </c>
      <c r="E1587" s="1" t="str">
        <f>""</f>
        <v/>
      </c>
      <c r="F1587" s="1" t="s">
        <v>28</v>
      </c>
      <c r="G1587" s="1" t="str">
        <f t="shared" si="147"/>
        <v>DELTRON D.O.O., VUKOVARSKA 148, 21000 SPLIT, OIB: 36118056137</v>
      </c>
      <c r="H1587" s="7"/>
      <c r="I1587" s="8" t="s">
        <v>172</v>
      </c>
      <c r="J1587" s="8" t="s">
        <v>555</v>
      </c>
      <c r="K1587" s="6" t="str">
        <f>"1.669,00"</f>
        <v>1.669,00</v>
      </c>
      <c r="L1587" s="6" t="str">
        <f>"0,00"</f>
        <v>0,00</v>
      </c>
      <c r="M1587" s="6" t="str">
        <f>"1.669,00"</f>
        <v>1.669,00</v>
      </c>
      <c r="N1587" s="8" t="s">
        <v>124</v>
      </c>
      <c r="O1587" s="7"/>
      <c r="P1587" s="2" t="s">
        <v>5614</v>
      </c>
      <c r="Q1587" s="7"/>
      <c r="R1587" s="1"/>
      <c r="S1587" s="1" t="str">
        <f>"9-22/NOS-113-6/20"</f>
        <v>9-22/NOS-113-6/20</v>
      </c>
      <c r="T1587" s="1" t="s">
        <v>32</v>
      </c>
    </row>
    <row r="1588" spans="1:20" ht="76.5" x14ac:dyDescent="0.25">
      <c r="A1588" s="6">
        <v>1584</v>
      </c>
      <c r="B1588" s="1" t="str">
        <f t="shared" si="146"/>
        <v>2020-2787</v>
      </c>
      <c r="C1588" s="1" t="s">
        <v>1468</v>
      </c>
      <c r="D1588" s="1" t="s">
        <v>1458</v>
      </c>
      <c r="E1588" s="1" t="str">
        <f>""</f>
        <v/>
      </c>
      <c r="F1588" s="1" t="s">
        <v>28</v>
      </c>
      <c r="G1588" s="1" t="str">
        <f t="shared" si="147"/>
        <v>DELTRON D.O.O., VUKOVARSKA 148, 21000 SPLIT, OIB: 36118056137</v>
      </c>
      <c r="H1588" s="7"/>
      <c r="I1588" s="8" t="s">
        <v>1073</v>
      </c>
      <c r="J1588" s="8" t="s">
        <v>555</v>
      </c>
      <c r="K1588" s="6" t="str">
        <f>"29.600,00"</f>
        <v>29.600,00</v>
      </c>
      <c r="L1588" s="6" t="str">
        <f>"6.700,00"</f>
        <v>6.700,00</v>
      </c>
      <c r="M1588" s="6" t="str">
        <f>"36.300,00"</f>
        <v>36.300,00</v>
      </c>
      <c r="N1588" s="8" t="s">
        <v>565</v>
      </c>
      <c r="O1588" s="7"/>
      <c r="P1588" s="2" t="s">
        <v>6593</v>
      </c>
      <c r="Q1588" s="7"/>
      <c r="R1588" s="1"/>
      <c r="S1588" s="1" t="str">
        <f>"11-22/NOS-113-6/20"</f>
        <v>11-22/NOS-113-6/20</v>
      </c>
      <c r="T1588" s="1" t="s">
        <v>32</v>
      </c>
    </row>
    <row r="1589" spans="1:20" ht="76.5" x14ac:dyDescent="0.25">
      <c r="A1589" s="6">
        <v>1585</v>
      </c>
      <c r="B1589" s="1" t="str">
        <f t="shared" si="146"/>
        <v>2020-2787</v>
      </c>
      <c r="C1589" s="1" t="s">
        <v>1468</v>
      </c>
      <c r="D1589" s="1" t="s">
        <v>1458</v>
      </c>
      <c r="E1589" s="1" t="str">
        <f>""</f>
        <v/>
      </c>
      <c r="F1589" s="1" t="s">
        <v>28</v>
      </c>
      <c r="G1589" s="1" t="str">
        <f t="shared" si="147"/>
        <v>DELTRON D.O.O., VUKOVARSKA 148, 21000 SPLIT, OIB: 36118056137</v>
      </c>
      <c r="H1589" s="7"/>
      <c r="I1589" s="8" t="s">
        <v>1073</v>
      </c>
      <c r="J1589" s="8" t="s">
        <v>555</v>
      </c>
      <c r="K1589" s="6" t="str">
        <f>"4.450,00"</f>
        <v>4.450,00</v>
      </c>
      <c r="L1589" s="6" t="str">
        <f>"0,00"</f>
        <v>0,00</v>
      </c>
      <c r="M1589" s="6" t="str">
        <f>"4.450,00"</f>
        <v>4.450,00</v>
      </c>
      <c r="N1589" s="8" t="s">
        <v>124</v>
      </c>
      <c r="O1589" s="7"/>
      <c r="P1589" s="2" t="s">
        <v>5614</v>
      </c>
      <c r="Q1589" s="7"/>
      <c r="R1589" s="1"/>
      <c r="S1589" s="1" t="str">
        <f>"8-22/NOS-113-6/20"</f>
        <v>8-22/NOS-113-6/20</v>
      </c>
      <c r="T1589" s="1" t="s">
        <v>32</v>
      </c>
    </row>
    <row r="1590" spans="1:20" ht="76.5" x14ac:dyDescent="0.25">
      <c r="A1590" s="6">
        <v>1586</v>
      </c>
      <c r="B1590" s="1" t="str">
        <f t="shared" si="146"/>
        <v>2020-2787</v>
      </c>
      <c r="C1590" s="1" t="s">
        <v>1468</v>
      </c>
      <c r="D1590" s="1" t="s">
        <v>1458</v>
      </c>
      <c r="E1590" s="1" t="str">
        <f>""</f>
        <v/>
      </c>
      <c r="F1590" s="1" t="s">
        <v>28</v>
      </c>
      <c r="G1590" s="1" t="str">
        <f t="shared" si="147"/>
        <v>DELTRON D.O.O., VUKOVARSKA 148, 21000 SPLIT, OIB: 36118056137</v>
      </c>
      <c r="H1590" s="7"/>
      <c r="I1590" s="8" t="s">
        <v>469</v>
      </c>
      <c r="J1590" s="8" t="s">
        <v>555</v>
      </c>
      <c r="K1590" s="6" t="str">
        <f>"27.853,00"</f>
        <v>27.853,00</v>
      </c>
      <c r="L1590" s="6" t="str">
        <f>"6.963,25"</f>
        <v>6.963,25</v>
      </c>
      <c r="M1590" s="6" t="str">
        <f>"34.816,25"</f>
        <v>34.816,25</v>
      </c>
      <c r="N1590" s="8" t="s">
        <v>600</v>
      </c>
      <c r="O1590" s="7"/>
      <c r="P1590" s="2" t="s">
        <v>6594</v>
      </c>
      <c r="Q1590" s="7"/>
      <c r="R1590" s="1"/>
      <c r="S1590" s="1" t="str">
        <f>"10-22/NOS-113-6/20"</f>
        <v>10-22/NOS-113-6/20</v>
      </c>
      <c r="T1590" s="1" t="s">
        <v>32</v>
      </c>
    </row>
    <row r="1591" spans="1:20" ht="76.5" x14ac:dyDescent="0.25">
      <c r="A1591" s="6">
        <v>1587</v>
      </c>
      <c r="B1591" s="1" t="str">
        <f t="shared" si="146"/>
        <v>2020-2787</v>
      </c>
      <c r="C1591" s="1" t="s">
        <v>1468</v>
      </c>
      <c r="D1591" s="1" t="s">
        <v>1458</v>
      </c>
      <c r="E1591" s="1" t="str">
        <f>""</f>
        <v/>
      </c>
      <c r="F1591" s="1" t="s">
        <v>28</v>
      </c>
      <c r="G1591" s="1" t="str">
        <f t="shared" si="147"/>
        <v>DELTRON D.O.O., VUKOVARSKA 148, 21000 SPLIT, OIB: 36118056137</v>
      </c>
      <c r="H1591" s="7"/>
      <c r="I1591" s="8" t="s">
        <v>923</v>
      </c>
      <c r="J1591" s="8" t="s">
        <v>555</v>
      </c>
      <c r="K1591" s="6" t="str">
        <f>"3.338,00"</f>
        <v>3.338,00</v>
      </c>
      <c r="L1591" s="6" t="str">
        <f>"0,00"</f>
        <v>0,00</v>
      </c>
      <c r="M1591" s="6" t="str">
        <f>"3.338,00"</f>
        <v>3.338,00</v>
      </c>
      <c r="N1591" s="8" t="s">
        <v>124</v>
      </c>
      <c r="O1591" s="7"/>
      <c r="P1591" s="2" t="s">
        <v>5614</v>
      </c>
      <c r="Q1591" s="7"/>
      <c r="R1591" s="1"/>
      <c r="S1591" s="1" t="str">
        <f>"13-22/NOS-113-6/20"</f>
        <v>13-22/NOS-113-6/20</v>
      </c>
      <c r="T1591" s="1" t="s">
        <v>32</v>
      </c>
    </row>
    <row r="1592" spans="1:20" ht="76.5" x14ac:dyDescent="0.25">
      <c r="A1592" s="6">
        <v>1588</v>
      </c>
      <c r="B1592" s="1" t="str">
        <f t="shared" si="146"/>
        <v>2020-2787</v>
      </c>
      <c r="C1592" s="1" t="s">
        <v>1468</v>
      </c>
      <c r="D1592" s="1" t="s">
        <v>1458</v>
      </c>
      <c r="E1592" s="1" t="str">
        <f>""</f>
        <v/>
      </c>
      <c r="F1592" s="1" t="s">
        <v>28</v>
      </c>
      <c r="G1592" s="1" t="str">
        <f t="shared" si="147"/>
        <v>DELTRON D.O.O., VUKOVARSKA 148, 21000 SPLIT, OIB: 36118056137</v>
      </c>
      <c r="H1592" s="7"/>
      <c r="I1592" s="8" t="s">
        <v>563</v>
      </c>
      <c r="J1592" s="8" t="s">
        <v>555</v>
      </c>
      <c r="K1592" s="6" t="str">
        <f>"5.280,00"</f>
        <v>5.280,00</v>
      </c>
      <c r="L1592" s="6" t="str">
        <f>"0,00"</f>
        <v>0,00</v>
      </c>
      <c r="M1592" s="6" t="str">
        <f>"5.280,00"</f>
        <v>5.280,00</v>
      </c>
      <c r="N1592" s="8" t="s">
        <v>124</v>
      </c>
      <c r="O1592" s="7"/>
      <c r="P1592" s="2" t="s">
        <v>5614</v>
      </c>
      <c r="Q1592" s="7"/>
      <c r="R1592" s="1"/>
      <c r="S1592" s="1" t="str">
        <f>"12-22/NOS-113-6/20"</f>
        <v>12-22/NOS-113-6/20</v>
      </c>
      <c r="T1592" s="1" t="s">
        <v>32</v>
      </c>
    </row>
    <row r="1593" spans="1:20" ht="76.5" x14ac:dyDescent="0.25">
      <c r="A1593" s="6">
        <v>1589</v>
      </c>
      <c r="B1593" s="1" t="str">
        <f t="shared" si="146"/>
        <v>2020-2787</v>
      </c>
      <c r="C1593" s="1" t="s">
        <v>1468</v>
      </c>
      <c r="D1593" s="1" t="s">
        <v>1458</v>
      </c>
      <c r="E1593" s="1" t="str">
        <f>""</f>
        <v/>
      </c>
      <c r="F1593" s="1" t="s">
        <v>28</v>
      </c>
      <c r="G1593" s="1" t="str">
        <f t="shared" si="147"/>
        <v>DELTRON D.O.O., VUKOVARSKA 148, 21000 SPLIT, OIB: 36118056137</v>
      </c>
      <c r="H1593" s="7"/>
      <c r="I1593" s="8" t="s">
        <v>374</v>
      </c>
      <c r="J1593" s="8" t="s">
        <v>555</v>
      </c>
      <c r="K1593" s="6" t="str">
        <f>"3.169,00"</f>
        <v>3.169,00</v>
      </c>
      <c r="L1593" s="6" t="str">
        <f>"0,00"</f>
        <v>0,00</v>
      </c>
      <c r="M1593" s="6" t="str">
        <f>"3.169,00"</f>
        <v>3.169,00</v>
      </c>
      <c r="N1593" s="8" t="s">
        <v>124</v>
      </c>
      <c r="O1593" s="7"/>
      <c r="P1593" s="2" t="s">
        <v>5614</v>
      </c>
      <c r="Q1593" s="7"/>
      <c r="R1593" s="1"/>
      <c r="S1593" s="1" t="str">
        <f>"14-22/NOS-113-6/20"</f>
        <v>14-22/NOS-113-6/20</v>
      </c>
      <c r="T1593" s="1" t="s">
        <v>32</v>
      </c>
    </row>
    <row r="1594" spans="1:20" ht="76.5" x14ac:dyDescent="0.25">
      <c r="A1594" s="6">
        <v>1590</v>
      </c>
      <c r="B1594" s="1" t="str">
        <f t="shared" si="146"/>
        <v>2020-2787</v>
      </c>
      <c r="C1594" s="1" t="s">
        <v>1468</v>
      </c>
      <c r="D1594" s="1" t="s">
        <v>1458</v>
      </c>
      <c r="E1594" s="1" t="str">
        <f>""</f>
        <v/>
      </c>
      <c r="F1594" s="1" t="s">
        <v>28</v>
      </c>
      <c r="G1594" s="1" t="str">
        <f t="shared" si="147"/>
        <v>DELTRON D.O.O., VUKOVARSKA 148, 21000 SPLIT, OIB: 36118056137</v>
      </c>
      <c r="H1594" s="7"/>
      <c r="I1594" s="8" t="s">
        <v>54</v>
      </c>
      <c r="J1594" s="8" t="s">
        <v>555</v>
      </c>
      <c r="K1594" s="6" t="str">
        <f>"14.254,00"</f>
        <v>14.254,00</v>
      </c>
      <c r="L1594" s="6" t="str">
        <f>"3.563,50"</f>
        <v>3.563,50</v>
      </c>
      <c r="M1594" s="6" t="str">
        <f>"17.817,50"</f>
        <v>17.817,50</v>
      </c>
      <c r="N1594" s="8" t="s">
        <v>892</v>
      </c>
      <c r="O1594" s="7"/>
      <c r="P1594" s="2" t="s">
        <v>6595</v>
      </c>
      <c r="Q1594" s="7"/>
      <c r="R1594" s="1"/>
      <c r="S1594" s="1" t="str">
        <f>"15-22/NOS-113-6/20"</f>
        <v>15-22/NOS-113-6/20</v>
      </c>
      <c r="T1594" s="1" t="s">
        <v>32</v>
      </c>
    </row>
    <row r="1595" spans="1:20" ht="76.5" x14ac:dyDescent="0.25">
      <c r="A1595" s="6">
        <v>1591</v>
      </c>
      <c r="B1595" s="1" t="str">
        <f t="shared" si="146"/>
        <v>2020-2787</v>
      </c>
      <c r="C1595" s="1" t="s">
        <v>1468</v>
      </c>
      <c r="D1595" s="1" t="s">
        <v>1458</v>
      </c>
      <c r="E1595" s="1" t="str">
        <f>""</f>
        <v/>
      </c>
      <c r="F1595" s="1" t="s">
        <v>28</v>
      </c>
      <c r="G1595" s="1" t="str">
        <f t="shared" si="147"/>
        <v>DELTRON D.O.O., VUKOVARSKA 148, 21000 SPLIT, OIB: 36118056137</v>
      </c>
      <c r="H1595" s="7"/>
      <c r="I1595" s="8" t="s">
        <v>432</v>
      </c>
      <c r="J1595" s="8" t="s">
        <v>555</v>
      </c>
      <c r="K1595" s="6" t="str">
        <f>"3.169,00"</f>
        <v>3.169,00</v>
      </c>
      <c r="L1595" s="6" t="str">
        <f>"792,25"</f>
        <v>792,25</v>
      </c>
      <c r="M1595" s="6" t="str">
        <f>"3.961,25"</f>
        <v>3.961,25</v>
      </c>
      <c r="N1595" s="8" t="s">
        <v>892</v>
      </c>
      <c r="O1595" s="7"/>
      <c r="P1595" s="2" t="s">
        <v>6596</v>
      </c>
      <c r="Q1595" s="7"/>
      <c r="R1595" s="1"/>
      <c r="S1595" s="1" t="str">
        <f>"16-22/NOS-113-6/20"</f>
        <v>16-22/NOS-113-6/20</v>
      </c>
      <c r="T1595" s="1" t="s">
        <v>32</v>
      </c>
    </row>
    <row r="1596" spans="1:20" ht="76.5" x14ac:dyDescent="0.25">
      <c r="A1596" s="6">
        <v>1592</v>
      </c>
      <c r="B1596" s="1" t="str">
        <f t="shared" si="146"/>
        <v>2020-2787</v>
      </c>
      <c r="C1596" s="1" t="s">
        <v>1468</v>
      </c>
      <c r="D1596" s="1" t="s">
        <v>1458</v>
      </c>
      <c r="E1596" s="1" t="str">
        <f>""</f>
        <v/>
      </c>
      <c r="F1596" s="1" t="s">
        <v>28</v>
      </c>
      <c r="G1596" s="1" t="str">
        <f t="shared" si="147"/>
        <v>DELTRON D.O.O., VUKOVARSKA 148, 21000 SPLIT, OIB: 36118056137</v>
      </c>
      <c r="H1596" s="7"/>
      <c r="I1596" s="8" t="s">
        <v>399</v>
      </c>
      <c r="J1596" s="8" t="s">
        <v>555</v>
      </c>
      <c r="K1596" s="6" t="str">
        <f>"19.160,00"</f>
        <v>19.160,00</v>
      </c>
      <c r="L1596" s="6" t="str">
        <f>"4.790,00"</f>
        <v>4.790,00</v>
      </c>
      <c r="M1596" s="6" t="str">
        <f>"23.950,00"</f>
        <v>23.950,00</v>
      </c>
      <c r="N1596" s="8" t="s">
        <v>112</v>
      </c>
      <c r="O1596" s="7"/>
      <c r="P1596" s="2" t="s">
        <v>6597</v>
      </c>
      <c r="Q1596" s="7"/>
      <c r="R1596" s="1"/>
      <c r="S1596" s="1" t="str">
        <f>"17-22/NOS-113-6/20"</f>
        <v>17-22/NOS-113-6/20</v>
      </c>
      <c r="T1596" s="1" t="s">
        <v>32</v>
      </c>
    </row>
    <row r="1597" spans="1:20" ht="76.5" x14ac:dyDescent="0.25">
      <c r="A1597" s="6">
        <v>1593</v>
      </c>
      <c r="B1597" s="1" t="str">
        <f t="shared" si="146"/>
        <v>2020-2787</v>
      </c>
      <c r="C1597" s="1" t="s">
        <v>1468</v>
      </c>
      <c r="D1597" s="1" t="s">
        <v>1458</v>
      </c>
      <c r="E1597" s="1" t="str">
        <f>""</f>
        <v/>
      </c>
      <c r="F1597" s="1" t="s">
        <v>28</v>
      </c>
      <c r="G1597" s="1" t="str">
        <f t="shared" si="147"/>
        <v>DELTRON D.O.O., VUKOVARSKA 148, 21000 SPLIT, OIB: 36118056137</v>
      </c>
      <c r="H1597" s="7"/>
      <c r="I1597" s="8" t="s">
        <v>399</v>
      </c>
      <c r="J1597" s="8" t="s">
        <v>423</v>
      </c>
      <c r="K1597" s="6" t="str">
        <f>"1.500,00"</f>
        <v>1.500,00</v>
      </c>
      <c r="L1597" s="6" t="str">
        <f>"375,00"</f>
        <v>375,00</v>
      </c>
      <c r="M1597" s="6" t="str">
        <f>"1.875,00"</f>
        <v>1.875,00</v>
      </c>
      <c r="N1597" s="8" t="s">
        <v>112</v>
      </c>
      <c r="O1597" s="7"/>
      <c r="P1597" s="2" t="s">
        <v>6378</v>
      </c>
      <c r="Q1597" s="7"/>
      <c r="R1597" s="1"/>
      <c r="S1597" s="1" t="str">
        <f>"18-22/NOS-113-6/20"</f>
        <v>18-22/NOS-113-6/20</v>
      </c>
      <c r="T1597" s="1" t="s">
        <v>32</v>
      </c>
    </row>
    <row r="1598" spans="1:20" ht="76.5" x14ac:dyDescent="0.25">
      <c r="A1598" s="6">
        <v>1594</v>
      </c>
      <c r="B1598" s="1" t="str">
        <f t="shared" si="146"/>
        <v>2020-2787</v>
      </c>
      <c r="C1598" s="1" t="s">
        <v>1468</v>
      </c>
      <c r="D1598" s="1" t="s">
        <v>1458</v>
      </c>
      <c r="E1598" s="1" t="str">
        <f>""</f>
        <v/>
      </c>
      <c r="F1598" s="1" t="s">
        <v>28</v>
      </c>
      <c r="G1598" s="1" t="str">
        <f t="shared" si="147"/>
        <v>DELTRON D.O.O., VUKOVARSKA 148, 21000 SPLIT, OIB: 36118056137</v>
      </c>
      <c r="H1598" s="7"/>
      <c r="I1598" s="8" t="s">
        <v>433</v>
      </c>
      <c r="J1598" s="8" t="s">
        <v>555</v>
      </c>
      <c r="K1598" s="6" t="str">
        <f>"1.140,00"</f>
        <v>1.140,00</v>
      </c>
      <c r="L1598" s="6" t="str">
        <f>"0,00"</f>
        <v>0,00</v>
      </c>
      <c r="M1598" s="6" t="str">
        <f>"1.140,00"</f>
        <v>1.140,00</v>
      </c>
      <c r="N1598" s="8" t="s">
        <v>124</v>
      </c>
      <c r="O1598" s="7"/>
      <c r="P1598" s="2" t="s">
        <v>5614</v>
      </c>
      <c r="Q1598" s="7"/>
      <c r="R1598" s="1"/>
      <c r="S1598" s="1" t="str">
        <f>"19-22/NOS-113-6/20"</f>
        <v>19-22/NOS-113-6/20</v>
      </c>
      <c r="T1598" s="1" t="s">
        <v>32</v>
      </c>
    </row>
    <row r="1599" spans="1:20" ht="51" x14ac:dyDescent="0.25">
      <c r="A1599" s="6">
        <v>1595</v>
      </c>
      <c r="B1599" s="1" t="str">
        <f>"2020-2631"</f>
        <v>2020-2631</v>
      </c>
      <c r="C1599" s="1" t="s">
        <v>1469</v>
      </c>
      <c r="D1599" s="1" t="s">
        <v>1470</v>
      </c>
      <c r="E1599" s="1" t="str">
        <f>"2021/S F14-0003057"</f>
        <v>2021/S F14-0003057</v>
      </c>
      <c r="F1599" s="1" t="s">
        <v>22</v>
      </c>
      <c r="G1599" s="1" t="str">
        <f>CONCATENATE("SEDAM IT D.O.O.,"," KOLEDOVČINA 2,"," 10000 ZAGREB,"," OIB: 95661305069")</f>
        <v>SEDAM IT D.O.O., KOLEDOVČINA 2, 10000 ZAGREB, OIB: 95661305069</v>
      </c>
      <c r="H1599" s="7"/>
      <c r="I1599" s="8" t="s">
        <v>1471</v>
      </c>
      <c r="J1599" s="8" t="s">
        <v>1472</v>
      </c>
      <c r="K1599" s="6" t="str">
        <f>"1.000.000,00"</f>
        <v>1.000.000,00</v>
      </c>
      <c r="L1599" s="6" t="str">
        <f>"250.000,00"</f>
        <v>250.000,00</v>
      </c>
      <c r="M1599" s="6" t="str">
        <f>"1.250.000,00"</f>
        <v>1.250.000,00</v>
      </c>
      <c r="N1599" s="8" t="s">
        <v>124</v>
      </c>
      <c r="O1599" s="7"/>
      <c r="P1599" s="2" t="s">
        <v>5614</v>
      </c>
      <c r="Q1599" s="7"/>
      <c r="R1599" s="1"/>
      <c r="S1599" s="1" t="str">
        <f>"NOS-109/20"</f>
        <v>NOS-109/20</v>
      </c>
      <c r="T1599" s="1" t="s">
        <v>32</v>
      </c>
    </row>
    <row r="1600" spans="1:20" ht="51" x14ac:dyDescent="0.25">
      <c r="A1600" s="6">
        <v>1596</v>
      </c>
      <c r="B1600" s="1" t="str">
        <f>"2020-2631"</f>
        <v>2020-2631</v>
      </c>
      <c r="C1600" s="1" t="s">
        <v>1469</v>
      </c>
      <c r="D1600" s="1" t="s">
        <v>1473</v>
      </c>
      <c r="E1600" s="1" t="str">
        <f>""</f>
        <v/>
      </c>
      <c r="F1600" s="1" t="s">
        <v>28</v>
      </c>
      <c r="G1600" s="1" t="str">
        <f>CONCATENATE("SEDAM IT D.O.O.,"," KOLEDOVČINA 2,"," 10000 ZAGREB,"," OIB: 95661305069")</f>
        <v>SEDAM IT D.O.O., KOLEDOVČINA 2, 10000 ZAGREB, OIB: 95661305069</v>
      </c>
      <c r="H1600" s="7"/>
      <c r="I1600" s="8" t="s">
        <v>120</v>
      </c>
      <c r="J1600" s="8" t="s">
        <v>170</v>
      </c>
      <c r="K1600" s="6" t="str">
        <f>"28.938,00"</f>
        <v>28.938,00</v>
      </c>
      <c r="L1600" s="6" t="str">
        <f>"7.234,50"</f>
        <v>7.234,50</v>
      </c>
      <c r="M1600" s="6" t="str">
        <f>"36.172,50"</f>
        <v>36.172,50</v>
      </c>
      <c r="N1600" s="8" t="s">
        <v>124</v>
      </c>
      <c r="O1600" s="7"/>
      <c r="P1600" s="2" t="s">
        <v>5614</v>
      </c>
      <c r="Q1600" s="7"/>
      <c r="R1600" s="1"/>
      <c r="S1600" s="1" t="str">
        <f>"1-21/NOS-109/20"</f>
        <v>1-21/NOS-109/20</v>
      </c>
      <c r="T1600" s="1" t="s">
        <v>32</v>
      </c>
    </row>
    <row r="1601" spans="1:20" ht="153" x14ac:dyDescent="0.25">
      <c r="A1601" s="6">
        <v>1597</v>
      </c>
      <c r="B1601" s="1" t="str">
        <f>"2020-2787"</f>
        <v>2020-2787</v>
      </c>
      <c r="C1601" s="1" t="s">
        <v>1474</v>
      </c>
      <c r="D1601" s="1" t="s">
        <v>1458</v>
      </c>
      <c r="E1601" s="1" t="str">
        <f>"2020/S 0F2-0038078"</f>
        <v>2020/S 0F2-0038078</v>
      </c>
      <c r="F1601" s="1" t="s">
        <v>22</v>
      </c>
      <c r="G1601" s="1" t="str">
        <f>CONCATENATE("Zajednica ponuditelja",CHAR(10),"RO-TERMO D.O.O.,"," ,"," OIB: 24452310712RO-TERMO SERVISI D.O.O. SISAČKA CESTA 20A,"," 10000 ZAGREB,"," OIB: 18918849649",CHAR(10),"",CHAR(10),"FRIGOEKSPERT D.O.O.,"," SUTLANSKE DOLINE 40,"," 10293 DUBRAVICA,"," OIB: 5586067133")</f>
        <v>Zajednica ponuditelja
RO-TERMO D.O.O., , OIB: 24452310712RO-TERMO SERVISI D.O.O. SISAČKA CESTA 20A, 10000 ZAGREB, OIB: 18918849649
FRIGOEKSPERT D.O.O., SUTLANSKE DOLINE 40, 10293 DUBRAVICA, OIB: 5586067133</v>
      </c>
      <c r="H1601" s="7"/>
      <c r="I1601" s="8" t="s">
        <v>1459</v>
      </c>
      <c r="J1601" s="8" t="s">
        <v>1255</v>
      </c>
      <c r="K1601" s="6" t="str">
        <f>"40.000,00"</f>
        <v>40.000,00</v>
      </c>
      <c r="L1601" s="6" t="str">
        <f>"10.000,00"</f>
        <v>10.000,00</v>
      </c>
      <c r="M1601" s="6" t="str">
        <f>"50.000,00"</f>
        <v>50.000,00</v>
      </c>
      <c r="N1601" s="8" t="s">
        <v>124</v>
      </c>
      <c r="O1601" s="7"/>
      <c r="P1601" s="2" t="s">
        <v>6598</v>
      </c>
      <c r="Q1601" s="7"/>
      <c r="R1601" s="1"/>
      <c r="S1601" s="1" t="str">
        <f>"NOS-113-8/20"</f>
        <v>NOS-113-8/20</v>
      </c>
      <c r="T1601" s="1" t="s">
        <v>1004</v>
      </c>
    </row>
    <row r="1602" spans="1:20" ht="63.75" x14ac:dyDescent="0.25">
      <c r="A1602" s="6">
        <v>1598</v>
      </c>
      <c r="B1602" s="1" t="str">
        <f>"2020-2787"</f>
        <v>2020-2787</v>
      </c>
      <c r="C1602" s="1" t="s">
        <v>1474</v>
      </c>
      <c r="D1602" s="1" t="s">
        <v>1458</v>
      </c>
      <c r="E1602" s="1" t="str">
        <f>""</f>
        <v/>
      </c>
      <c r="F1602" s="1" t="s">
        <v>28</v>
      </c>
      <c r="G1602" s="1" t="str">
        <f>CONCATENATE("FRIGOEKSPERT D.O.O.,"," SUTLANSKE DOLINE 40,"," 10293 DUBRAVICA,"," OIB: 5586067133")</f>
        <v>FRIGOEKSPERT D.O.O., SUTLANSKE DOLINE 40, 10293 DUBRAVICA, OIB: 5586067133</v>
      </c>
      <c r="H1602" s="7"/>
      <c r="I1602" s="8" t="s">
        <v>203</v>
      </c>
      <c r="J1602" s="8" t="s">
        <v>393</v>
      </c>
      <c r="K1602" s="6" t="str">
        <f>"6.760,00"</f>
        <v>6.760,00</v>
      </c>
      <c r="L1602" s="6" t="str">
        <f>"1.690,00"</f>
        <v>1.690,00</v>
      </c>
      <c r="M1602" s="6" t="str">
        <f>"8.450,00"</f>
        <v>8.450,00</v>
      </c>
      <c r="N1602" s="8" t="s">
        <v>227</v>
      </c>
      <c r="O1602" s="7"/>
      <c r="P1602" s="2" t="s">
        <v>6599</v>
      </c>
      <c r="Q1602" s="7"/>
      <c r="R1602" s="1"/>
      <c r="S1602" s="1" t="str">
        <f>"1-22/NOS-113-8/20"</f>
        <v>1-22/NOS-113-8/20</v>
      </c>
      <c r="T1602" s="1" t="s">
        <v>32</v>
      </c>
    </row>
    <row r="1603" spans="1:20" ht="63.75" x14ac:dyDescent="0.25">
      <c r="A1603" s="6">
        <v>1599</v>
      </c>
      <c r="B1603" s="1" t="str">
        <f>"2020-2787"</f>
        <v>2020-2787</v>
      </c>
      <c r="C1603" s="1" t="s">
        <v>1474</v>
      </c>
      <c r="D1603" s="1" t="s">
        <v>1458</v>
      </c>
      <c r="E1603" s="1" t="str">
        <f>""</f>
        <v/>
      </c>
      <c r="F1603" s="1" t="s">
        <v>28</v>
      </c>
      <c r="G1603" s="1" t="str">
        <f>CONCATENATE("FRIGOEKSPERT D.O.O.,"," SUTLANSKE DOLINE 40,"," 10293 DUBRAVICA,"," OIB: 5586067133")</f>
        <v>FRIGOEKSPERT D.O.O., SUTLANSKE DOLINE 40, 10293 DUBRAVICA, OIB: 5586067133</v>
      </c>
      <c r="H1603" s="7"/>
      <c r="I1603" s="8" t="s">
        <v>203</v>
      </c>
      <c r="J1603" s="8" t="s">
        <v>393</v>
      </c>
      <c r="K1603" s="6" t="str">
        <f>"3.500,00"</f>
        <v>3.500,00</v>
      </c>
      <c r="L1603" s="6" t="str">
        <f>"0,00"</f>
        <v>0,00</v>
      </c>
      <c r="M1603" s="6" t="str">
        <f>"3.500,00"</f>
        <v>3.500,00</v>
      </c>
      <c r="N1603" s="8" t="s">
        <v>124</v>
      </c>
      <c r="O1603" s="7"/>
      <c r="P1603" s="2" t="s">
        <v>5614</v>
      </c>
      <c r="Q1603" s="7"/>
      <c r="R1603" s="1"/>
      <c r="S1603" s="1" t="str">
        <f>"2-22/NOS-113-8/20"</f>
        <v>2-22/NOS-113-8/20</v>
      </c>
      <c r="T1603" s="1" t="s">
        <v>32</v>
      </c>
    </row>
    <row r="1604" spans="1:20" ht="63.75" x14ac:dyDescent="0.25">
      <c r="A1604" s="6">
        <v>1600</v>
      </c>
      <c r="B1604" s="1" t="str">
        <f>"2020-2787"</f>
        <v>2020-2787</v>
      </c>
      <c r="C1604" s="1" t="s">
        <v>1474</v>
      </c>
      <c r="D1604" s="1" t="s">
        <v>1458</v>
      </c>
      <c r="E1604" s="1" t="str">
        <f>""</f>
        <v/>
      </c>
      <c r="F1604" s="1" t="s">
        <v>28</v>
      </c>
      <c r="G1604" s="1" t="str">
        <f>CONCATENATE("FRIGOEKSPERT D.O.O.,"," SUTLANSKE DOLINE 40,"," 10293 DUBRAVICA,"," OIB: 5586067133")</f>
        <v>FRIGOEKSPERT D.O.O., SUTLANSKE DOLINE 40, 10293 DUBRAVICA, OIB: 5586067133</v>
      </c>
      <c r="H1604" s="7"/>
      <c r="I1604" s="8" t="s">
        <v>374</v>
      </c>
      <c r="J1604" s="8" t="s">
        <v>393</v>
      </c>
      <c r="K1604" s="6" t="str">
        <f>"210,00"</f>
        <v>210,00</v>
      </c>
      <c r="L1604" s="6" t="str">
        <f>"52,50"</f>
        <v>52,50</v>
      </c>
      <c r="M1604" s="6" t="str">
        <f>"262,50"</f>
        <v>262,50</v>
      </c>
      <c r="N1604" s="8" t="s">
        <v>566</v>
      </c>
      <c r="O1604" s="7"/>
      <c r="P1604" s="2" t="s">
        <v>6600</v>
      </c>
      <c r="Q1604" s="7"/>
      <c r="R1604" s="1"/>
      <c r="S1604" s="1" t="str">
        <f>"3-22/NOS-113-8/20"</f>
        <v>3-22/NOS-113-8/20</v>
      </c>
      <c r="T1604" s="1" t="s">
        <v>32</v>
      </c>
    </row>
    <row r="1605" spans="1:20" ht="63.75" x14ac:dyDescent="0.25">
      <c r="A1605" s="6">
        <v>1601</v>
      </c>
      <c r="B1605" s="1" t="str">
        <f>"2020-2787"</f>
        <v>2020-2787</v>
      </c>
      <c r="C1605" s="1" t="s">
        <v>1474</v>
      </c>
      <c r="D1605" s="1" t="s">
        <v>1458</v>
      </c>
      <c r="E1605" s="1" t="str">
        <f>""</f>
        <v/>
      </c>
      <c r="F1605" s="1" t="s">
        <v>28</v>
      </c>
      <c r="G1605" s="1" t="str">
        <f>CONCATENATE("FRIGOEKSPERT D.O.O.,"," SUTLANSKE DOLINE 40,"," 10293 DUBRAVICA,"," OIB: 5586067133")</f>
        <v>FRIGOEKSPERT D.O.O., SUTLANSKE DOLINE 40, 10293 DUBRAVICA, OIB: 5586067133</v>
      </c>
      <c r="H1605" s="7"/>
      <c r="I1605" s="8" t="s">
        <v>112</v>
      </c>
      <c r="J1605" s="8" t="s">
        <v>393</v>
      </c>
      <c r="K1605" s="6" t="str">
        <f>"16.085,00"</f>
        <v>16.085,00</v>
      </c>
      <c r="L1605" s="6" t="str">
        <f>"0,00"</f>
        <v>0,00</v>
      </c>
      <c r="M1605" s="6" t="str">
        <f>"16.085,00"</f>
        <v>16.085,00</v>
      </c>
      <c r="N1605" s="8" t="s">
        <v>124</v>
      </c>
      <c r="O1605" s="7"/>
      <c r="P1605" s="2" t="s">
        <v>5614</v>
      </c>
      <c r="Q1605" s="7"/>
      <c r="R1605" s="1"/>
      <c r="S1605" s="1" t="str">
        <f>"4-22/NOS-113-8/20"</f>
        <v>4-22/NOS-113-8/20</v>
      </c>
      <c r="T1605" s="1" t="s">
        <v>32</v>
      </c>
    </row>
    <row r="1606" spans="1:20" ht="63.75" x14ac:dyDescent="0.25">
      <c r="A1606" s="6">
        <v>1602</v>
      </c>
      <c r="B1606" s="1" t="str">
        <f>"2020-2984"</f>
        <v>2020-2984</v>
      </c>
      <c r="C1606" s="1" t="s">
        <v>1475</v>
      </c>
      <c r="D1606" s="1" t="s">
        <v>74</v>
      </c>
      <c r="E1606" s="1" t="str">
        <f>"2021/S 0F2-0003363"</f>
        <v>2021/S 0F2-0003363</v>
      </c>
      <c r="F1606" s="1" t="s">
        <v>22</v>
      </c>
      <c r="G1606" s="1" t="str">
        <f>CONCATENATE("ISD INFORMACIJSKI SUSTAVI D.O.O.,"," VINKOVAČKA ULICA 1c,"," 44320 KUTINA,"," OIB: 15390872174")</f>
        <v>ISD INFORMACIJSKI SUSTAVI D.O.O., VINKOVAČKA ULICA 1c, 44320 KUTINA, OIB: 15390872174</v>
      </c>
      <c r="H1606" s="7"/>
      <c r="I1606" s="8" t="s">
        <v>1471</v>
      </c>
      <c r="J1606" s="8" t="s">
        <v>873</v>
      </c>
      <c r="K1606" s="6" t="str">
        <f>"300.000,00"</f>
        <v>300.000,00</v>
      </c>
      <c r="L1606" s="6" t="str">
        <f>"75.000,00"</f>
        <v>75.000,00</v>
      </c>
      <c r="M1606" s="6" t="str">
        <f>"375.000,00"</f>
        <v>375.000,00</v>
      </c>
      <c r="N1606" s="8" t="s">
        <v>124</v>
      </c>
      <c r="O1606" s="7"/>
      <c r="P1606" s="2" t="s">
        <v>5614</v>
      </c>
      <c r="Q1606" s="7"/>
      <c r="R1606" s="1"/>
      <c r="S1606" s="1" t="str">
        <f>"NOS-108/20"</f>
        <v>NOS-108/20</v>
      </c>
      <c r="T1606" s="1" t="s">
        <v>55</v>
      </c>
    </row>
    <row r="1607" spans="1:20" ht="63.75" x14ac:dyDescent="0.25">
      <c r="A1607" s="6">
        <v>1603</v>
      </c>
      <c r="B1607" s="1" t="str">
        <f>"2020-2984"</f>
        <v>2020-2984</v>
      </c>
      <c r="C1607" s="1" t="s">
        <v>1475</v>
      </c>
      <c r="D1607" s="1" t="s">
        <v>78</v>
      </c>
      <c r="E1607" s="1" t="str">
        <f>""</f>
        <v/>
      </c>
      <c r="F1607" s="1" t="s">
        <v>28</v>
      </c>
      <c r="G1607" s="1" t="str">
        <f>CONCATENATE("ISD INFORMACIJSKI SUSTAVI D.O.O.,"," VINKOVAČKA ULICA 1c,"," 44320 KUTINA,"," OIB: 15390872174")</f>
        <v>ISD INFORMACIJSKI SUSTAVI D.O.O., VINKOVAČKA ULICA 1c, 44320 KUTINA, OIB: 15390872174</v>
      </c>
      <c r="H1607" s="7"/>
      <c r="I1607" s="8" t="s">
        <v>1476</v>
      </c>
      <c r="J1607" s="8" t="s">
        <v>57</v>
      </c>
      <c r="K1607" s="6" t="str">
        <f>"104.400,00"</f>
        <v>104.400,00</v>
      </c>
      <c r="L1607" s="6" t="str">
        <f>"26.100,00"</f>
        <v>26.100,00</v>
      </c>
      <c r="M1607" s="6" t="str">
        <f>"130.500,00"</f>
        <v>130.500,00</v>
      </c>
      <c r="N1607" s="8" t="s">
        <v>124</v>
      </c>
      <c r="O1607" s="7"/>
      <c r="P1607" s="2" t="s">
        <v>5614</v>
      </c>
      <c r="Q1607" s="7"/>
      <c r="R1607" s="1"/>
      <c r="S1607" s="1" t="str">
        <f>"1-21/NOS-108/20"</f>
        <v>1-21/NOS-108/20</v>
      </c>
      <c r="T1607" s="1" t="s">
        <v>55</v>
      </c>
    </row>
    <row r="1608" spans="1:20" ht="63.75" x14ac:dyDescent="0.25">
      <c r="A1608" s="6">
        <v>1604</v>
      </c>
      <c r="B1608" s="1" t="str">
        <f>"2020-2984"</f>
        <v>2020-2984</v>
      </c>
      <c r="C1608" s="1" t="s">
        <v>1475</v>
      </c>
      <c r="D1608" s="1" t="s">
        <v>78</v>
      </c>
      <c r="E1608" s="1" t="str">
        <f>""</f>
        <v/>
      </c>
      <c r="F1608" s="1" t="s">
        <v>28</v>
      </c>
      <c r="G1608" s="1" t="str">
        <f>CONCATENATE("ISD INFORMACIJSKI SUSTAVI D.O.O.,"," VINKOVAČKA ULICA 1c,"," 44320 KUTINA,"," OIB: 15390872174")</f>
        <v>ISD INFORMACIJSKI SUSTAVI D.O.O., VINKOVAČKA ULICA 1c, 44320 KUTINA, OIB: 15390872174</v>
      </c>
      <c r="H1608" s="7"/>
      <c r="I1608" s="8" t="s">
        <v>287</v>
      </c>
      <c r="J1608" s="8" t="s">
        <v>417</v>
      </c>
      <c r="K1608" s="6" t="str">
        <f>"104.400,00"</f>
        <v>104.400,00</v>
      </c>
      <c r="L1608" s="6" t="str">
        <f>"26.100,00"</f>
        <v>26.100,00</v>
      </c>
      <c r="M1608" s="6" t="str">
        <f>"130.500,00"</f>
        <v>130.500,00</v>
      </c>
      <c r="N1608" s="8" t="s">
        <v>124</v>
      </c>
      <c r="O1608" s="7"/>
      <c r="P1608" s="2" t="s">
        <v>5614</v>
      </c>
      <c r="Q1608" s="7"/>
      <c r="R1608" s="1"/>
      <c r="S1608" s="1" t="str">
        <f>"2-22/NOS-108/20"</f>
        <v>2-22/NOS-108/20</v>
      </c>
      <c r="T1608" s="1" t="s">
        <v>55</v>
      </c>
    </row>
    <row r="1609" spans="1:20" ht="63.75" x14ac:dyDescent="0.25">
      <c r="A1609" s="6">
        <v>1605</v>
      </c>
      <c r="B1609" s="1" t="str">
        <f>"2020-2984"</f>
        <v>2020-2984</v>
      </c>
      <c r="C1609" s="1" t="s">
        <v>1475</v>
      </c>
      <c r="D1609" s="1" t="s">
        <v>78</v>
      </c>
      <c r="E1609" s="1" t="str">
        <f>""</f>
        <v/>
      </c>
      <c r="F1609" s="1" t="s">
        <v>28</v>
      </c>
      <c r="G1609" s="1" t="str">
        <f>CONCATENATE("ISD INFORMACIJSKI SUSTAVI D.O.O.,"," VINKOVAČKA ULICA 1c,"," 44320 KUTINA,"," OIB: 15390872174")</f>
        <v>ISD INFORMACIJSKI SUSTAVI D.O.O., VINKOVAČKA ULICA 1c, 44320 KUTINA, OIB: 15390872174</v>
      </c>
      <c r="H1609" s="7"/>
      <c r="I1609" s="8" t="s">
        <v>345</v>
      </c>
      <c r="J1609" s="8" t="s">
        <v>292</v>
      </c>
      <c r="K1609" s="6" t="str">
        <f>"12.000,00"</f>
        <v>12.000,00</v>
      </c>
      <c r="L1609" s="6" t="str">
        <f>"0,00"</f>
        <v>0,00</v>
      </c>
      <c r="M1609" s="6" t="str">
        <f>"12.000,00"</f>
        <v>12.000,00</v>
      </c>
      <c r="N1609" s="8" t="s">
        <v>124</v>
      </c>
      <c r="O1609" s="7"/>
      <c r="P1609" s="2" t="s">
        <v>5614</v>
      </c>
      <c r="Q1609" s="7"/>
      <c r="R1609" s="1"/>
      <c r="S1609" s="1" t="str">
        <f>"1-22/NOS-108/20"</f>
        <v>1-22/NOS-108/20</v>
      </c>
      <c r="T1609" s="1" t="s">
        <v>55</v>
      </c>
    </row>
    <row r="1610" spans="1:20" ht="204" x14ac:dyDescent="0.25">
      <c r="A1610" s="6">
        <v>1606</v>
      </c>
      <c r="B1610" s="1" t="str">
        <f>"2020-2939"</f>
        <v>2020-2939</v>
      </c>
      <c r="C1610" s="1" t="s">
        <v>1477</v>
      </c>
      <c r="D1610" s="1" t="s">
        <v>1478</v>
      </c>
      <c r="E1610" s="1" t="str">
        <f>"2020/S 0F2-0046500"</f>
        <v>2020/S 0F2-0046500</v>
      </c>
      <c r="F1610" s="1" t="s">
        <v>22</v>
      </c>
      <c r="G1610" s="1" t="str">
        <f>CONCATENATE("BOLČEVIĆ-GRADNJA D.O.O.,"," DUGOSELSKA CESTA 56,"," 10361 SESVETSKI KRALJEVEC,"," OIB: 52098670500",CHAR(10),"",CHAR(10),"P.G.P. D.O.O.,"," KUTJEVAČKA 8,"," 10000 ZAGREB,"," OIB: 12988772690",CHAR(10),"",CHAR(10),"TEMPORIUM GRADNJA D.O.O.,"," LJUTOMERSKA ULICA 33A,"," 10000 ZAGREB,"," OIB: 6285048268")</f>
        <v>BOLČEVIĆ-GRADNJA D.O.O., DUGOSELSKA CESTA 56, 10361 SESVETSKI KRALJEVEC, OIB: 52098670500
P.G.P. D.O.O., KUTJEVAČKA 8, 10000 ZAGREB, OIB: 12988772690
TEMPORIUM GRADNJA D.O.O., LJUTOMERSKA ULICA 33A, 10000 ZAGREB, OIB: 6285048268</v>
      </c>
      <c r="H1610" s="1" t="str">
        <f>CONCATENATE("KAPITEL D.O.O.,"," OIB: 44838895379",CHAR(10),"APM-GRADITELJSTVO D.O.O,"," OIB: 50190851258")</f>
        <v>KAPITEL D.O.O., OIB: 44838895379
APM-GRADITELJSTVO D.O.O, OIB: 50190851258</v>
      </c>
      <c r="I1610" s="8" t="s">
        <v>1479</v>
      </c>
      <c r="J1610" s="8" t="s">
        <v>1480</v>
      </c>
      <c r="K1610" s="6" t="str">
        <f>"25.000.000,00"</f>
        <v>25.000.000,00</v>
      </c>
      <c r="L1610" s="6" t="str">
        <f>"6.250.000,00"</f>
        <v>6.250.000,00</v>
      </c>
      <c r="M1610" s="6" t="str">
        <f>"31.250.000,00"</f>
        <v>31.250.000,00</v>
      </c>
      <c r="N1610" s="8" t="s">
        <v>124</v>
      </c>
      <c r="O1610" s="7"/>
      <c r="P1610" s="2" t="s">
        <v>5614</v>
      </c>
      <c r="Q1610" s="7"/>
      <c r="R1610" s="1"/>
      <c r="S1610" s="1" t="str">
        <f>"NOS-114/20"</f>
        <v>NOS-114/20</v>
      </c>
      <c r="T1610" s="1" t="s">
        <v>32</v>
      </c>
    </row>
    <row r="1611" spans="1:20" ht="63.75" x14ac:dyDescent="0.25">
      <c r="A1611" s="6">
        <v>1607</v>
      </c>
      <c r="B1611" s="1" t="str">
        <f>"2020-2939"</f>
        <v>2020-2939</v>
      </c>
      <c r="C1611" s="1" t="s">
        <v>1477</v>
      </c>
      <c r="D1611" s="1" t="s">
        <v>1481</v>
      </c>
      <c r="E1611" s="1" t="str">
        <f>""</f>
        <v/>
      </c>
      <c r="F1611" s="1" t="s">
        <v>28</v>
      </c>
      <c r="G1611" s="1" t="str">
        <f>CONCATENATE("BOLČEVIĆ-GRADNJA D.O.O.,"," DUGOSELSKA CESTA 56,"," 10361 SESVETSKI KRALJEVEC,"," OIB: 520986705")</f>
        <v>BOLČEVIĆ-GRADNJA D.O.O., DUGOSELSKA CESTA 56, 10361 SESVETSKI KRALJEVEC, OIB: 520986705</v>
      </c>
      <c r="H1611" s="7"/>
      <c r="I1611" s="8" t="s">
        <v>317</v>
      </c>
      <c r="J1611" s="8" t="s">
        <v>850</v>
      </c>
      <c r="K1611" s="6" t="str">
        <f>"1.513.602,97"</f>
        <v>1.513.602,97</v>
      </c>
      <c r="L1611" s="6" t="str">
        <f>"378.400,74"</f>
        <v>378.400,74</v>
      </c>
      <c r="M1611" s="6" t="str">
        <f>"1.892.003,71"</f>
        <v>1.892.003,71</v>
      </c>
      <c r="N1611" s="8" t="s">
        <v>124</v>
      </c>
      <c r="O1611" s="7"/>
      <c r="P1611" s="2" t="s">
        <v>5614</v>
      </c>
      <c r="Q1611" s="7"/>
      <c r="R1611" s="1"/>
      <c r="S1611" s="1" t="str">
        <f>"3-22/NOS-114/20"</f>
        <v>3-22/NOS-114/20</v>
      </c>
      <c r="T1611" s="1" t="s">
        <v>32</v>
      </c>
    </row>
    <row r="1612" spans="1:20" ht="51" x14ac:dyDescent="0.25">
      <c r="A1612" s="6">
        <v>1608</v>
      </c>
      <c r="B1612" s="1" t="str">
        <f>"2020-2953"</f>
        <v>2020-2953</v>
      </c>
      <c r="C1612" s="1" t="s">
        <v>1482</v>
      </c>
      <c r="D1612" s="1" t="s">
        <v>1483</v>
      </c>
      <c r="E1612" s="1" t="str">
        <f>"2020/S 0F2-0041780"</f>
        <v>2020/S 0F2-0041780</v>
      </c>
      <c r="F1612" s="1" t="s">
        <v>22</v>
      </c>
      <c r="G1612" s="1" t="str">
        <f>CONCATENATE("FDS-TRGOVINA D.O.O.,"," MAJSTORSKA 1G,"," 10000 ZAGREB,"," OIB: 71814187727")</f>
        <v>FDS-TRGOVINA D.O.O., MAJSTORSKA 1G, 10000 ZAGREB, OIB: 71814187727</v>
      </c>
      <c r="H1612" s="7"/>
      <c r="I1612" s="8" t="s">
        <v>1054</v>
      </c>
      <c r="J1612" s="8" t="s">
        <v>1484</v>
      </c>
      <c r="K1612" s="6" t="str">
        <f>"600.000,00"</f>
        <v>600.000,00</v>
      </c>
      <c r="L1612" s="6" t="str">
        <f>"150.000,00"</f>
        <v>150.000,00</v>
      </c>
      <c r="M1612" s="6" t="str">
        <f>"750.000,00"</f>
        <v>750.000,00</v>
      </c>
      <c r="N1612" s="8" t="s">
        <v>124</v>
      </c>
      <c r="O1612" s="7"/>
      <c r="P1612" s="2" t="s">
        <v>6601</v>
      </c>
      <c r="Q1612" s="7"/>
      <c r="R1612" s="1"/>
      <c r="S1612" s="1" t="str">
        <f>"NOS-112/20"</f>
        <v>NOS-112/20</v>
      </c>
      <c r="T1612" s="1" t="s">
        <v>452</v>
      </c>
    </row>
    <row r="1613" spans="1:20" ht="140.25" x14ac:dyDescent="0.25">
      <c r="A1613" s="6">
        <v>1609</v>
      </c>
      <c r="B1613" s="1" t="str">
        <f>"2020-2951"</f>
        <v>2020-2951</v>
      </c>
      <c r="C1613" s="1" t="s">
        <v>1485</v>
      </c>
      <c r="D1613" s="1" t="s">
        <v>547</v>
      </c>
      <c r="E1613" s="1" t="str">
        <f>"2020/S 0F2-0045826"</f>
        <v>2020/S 0F2-0045826</v>
      </c>
      <c r="F1613" s="1" t="s">
        <v>22</v>
      </c>
      <c r="G1613" s="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1613" s="7"/>
      <c r="I1613" s="8" t="s">
        <v>974</v>
      </c>
      <c r="J1613" s="8" t="s">
        <v>1439</v>
      </c>
      <c r="K1613" s="6" t="str">
        <f>"3.500.000,00"</f>
        <v>3.500.000,00</v>
      </c>
      <c r="L1613" s="6" t="str">
        <f>"875.000,00"</f>
        <v>875.000,00</v>
      </c>
      <c r="M1613" s="6" t="str">
        <f>"4.375.000,00"</f>
        <v>4.375.000,00</v>
      </c>
      <c r="N1613" s="8" t="s">
        <v>124</v>
      </c>
      <c r="O1613" s="7"/>
      <c r="P1613" s="2" t="s">
        <v>5614</v>
      </c>
      <c r="Q1613" s="7"/>
      <c r="R1613" s="1"/>
      <c r="S1613" s="1" t="str">
        <f>"NOS-115/20"</f>
        <v>NOS-115/20</v>
      </c>
      <c r="T1613" s="1" t="s">
        <v>55</v>
      </c>
    </row>
    <row r="1614" spans="1:20" ht="140.25" x14ac:dyDescent="0.25">
      <c r="A1614" s="6">
        <v>1610</v>
      </c>
      <c r="B1614" s="1" t="str">
        <f>"2020-2951"</f>
        <v>2020-2951</v>
      </c>
      <c r="C1614" s="1" t="s">
        <v>1485</v>
      </c>
      <c r="D1614" s="1" t="s">
        <v>547</v>
      </c>
      <c r="E1614" s="1" t="str">
        <f>""</f>
        <v/>
      </c>
      <c r="F1614" s="1" t="s">
        <v>28</v>
      </c>
      <c r="G1614" s="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1614" s="7"/>
      <c r="I1614" s="8" t="s">
        <v>1076</v>
      </c>
      <c r="J1614" s="8" t="s">
        <v>53</v>
      </c>
      <c r="K1614" s="6" t="str">
        <f>"145.000,00"</f>
        <v>145.000,00</v>
      </c>
      <c r="L1614" s="6" t="str">
        <f>"36.250,00"</f>
        <v>36.250,00</v>
      </c>
      <c r="M1614" s="6" t="str">
        <f>"181.250,00"</f>
        <v>181.250,00</v>
      </c>
      <c r="N1614" s="8" t="s">
        <v>752</v>
      </c>
      <c r="O1614" s="7"/>
      <c r="P1614" s="2">
        <v>178935.45</v>
      </c>
      <c r="Q1614" s="7"/>
      <c r="R1614" s="1"/>
      <c r="S1614" s="1" t="str">
        <f>"4-21/NOS-115/20"</f>
        <v>4-21/NOS-115/20</v>
      </c>
      <c r="T1614" s="1" t="s">
        <v>55</v>
      </c>
    </row>
    <row r="1615" spans="1:20" ht="140.25" x14ac:dyDescent="0.25">
      <c r="A1615" s="6">
        <v>1611</v>
      </c>
      <c r="B1615" s="1" t="str">
        <f>"2020-2951"</f>
        <v>2020-2951</v>
      </c>
      <c r="C1615" s="1" t="s">
        <v>1485</v>
      </c>
      <c r="D1615" s="1" t="s">
        <v>547</v>
      </c>
      <c r="E1615" s="1" t="str">
        <f>""</f>
        <v/>
      </c>
      <c r="F1615" s="1" t="s">
        <v>28</v>
      </c>
      <c r="G1615" s="1"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1615" s="7"/>
      <c r="I1615" s="8" t="s">
        <v>920</v>
      </c>
      <c r="J1615" s="8" t="s">
        <v>214</v>
      </c>
      <c r="K1615" s="6" t="str">
        <f>"1.205.385,00"</f>
        <v>1.205.385,00</v>
      </c>
      <c r="L1615" s="6" t="str">
        <f>"301.346,25"</f>
        <v>301.346,25</v>
      </c>
      <c r="M1615" s="6" t="str">
        <f>"1.506.731,25"</f>
        <v>1.506.731,25</v>
      </c>
      <c r="N1615" s="8" t="s">
        <v>931</v>
      </c>
      <c r="O1615" s="7"/>
      <c r="P1615" s="2" t="s">
        <v>6602</v>
      </c>
      <c r="Q1615" s="7"/>
      <c r="R1615" s="1"/>
      <c r="S1615" s="1" t="str">
        <f>"2-22/NOS-115/20"</f>
        <v>2-22/NOS-115/20</v>
      </c>
      <c r="T1615" s="1" t="s">
        <v>55</v>
      </c>
    </row>
    <row r="1616" spans="1:20" ht="153" x14ac:dyDescent="0.25">
      <c r="A1616" s="6">
        <v>1612</v>
      </c>
      <c r="B1616" s="1" t="str">
        <f>"2020-2951"</f>
        <v>2020-2951</v>
      </c>
      <c r="C1616" s="1" t="s">
        <v>1485</v>
      </c>
      <c r="D1616" s="1" t="s">
        <v>547</v>
      </c>
      <c r="E1616" s="1" t="str">
        <f>""</f>
        <v/>
      </c>
      <c r="F1616" s="1" t="s">
        <v>28</v>
      </c>
      <c r="G1616" s="1" t="str">
        <f>CONCATENATE("Zajednica ponuditelja:",CHAR(10),"GOLUBOVEČKI KAMENOLOMI D.O.O.,"," NOVI GOLUBOVEC 26,"," 49255 NOVI GOLUBOVEC,"," OIB: 17144387225",CHAR(10),"KAMENOLOM GORJAK D.O.O.,"," GORNJE JESENJE bb,"," 49233 GORNJE JESENJE,"," OIB: 700926237")</f>
        <v>Zajednica ponuditelja:
GOLUBOVEČKI KAMENOLOMI D.O.O., NOVI GOLUBOVEC 26, 49255 NOVI GOLUBOVEC, OIB: 17144387225
KAMENOLOM GORJAK D.O.O., GORNJE JESENJE bb, 49233 GORNJE JESENJE, OIB: 700926237</v>
      </c>
      <c r="H1616" s="7"/>
      <c r="I1616" s="8" t="s">
        <v>57</v>
      </c>
      <c r="J1616" s="8" t="s">
        <v>555</v>
      </c>
      <c r="K1616" s="6" t="str">
        <f>"9.750,00"</f>
        <v>9.750,00</v>
      </c>
      <c r="L1616" s="6" t="str">
        <f>"0,00"</f>
        <v>0,00</v>
      </c>
      <c r="M1616" s="6" t="str">
        <f>"9.750,00"</f>
        <v>9.750,00</v>
      </c>
      <c r="N1616" s="8" t="s">
        <v>124</v>
      </c>
      <c r="O1616" s="7"/>
      <c r="P1616" s="2" t="s">
        <v>5614</v>
      </c>
      <c r="Q1616" s="7"/>
      <c r="R1616" s="1"/>
      <c r="S1616" s="1" t="str">
        <f>"3-22/NOS-115/20"</f>
        <v>3-22/NOS-115/20</v>
      </c>
      <c r="T1616" s="1" t="s">
        <v>55</v>
      </c>
    </row>
    <row r="1617" spans="1:20" ht="153" x14ac:dyDescent="0.25">
      <c r="A1617" s="6">
        <v>1613</v>
      </c>
      <c r="B1617" s="1" t="str">
        <f>"2020-2951"</f>
        <v>2020-2951</v>
      </c>
      <c r="C1617" s="1" t="s">
        <v>1485</v>
      </c>
      <c r="D1617" s="1" t="s">
        <v>547</v>
      </c>
      <c r="E1617" s="1" t="str">
        <f>""</f>
        <v/>
      </c>
      <c r="F1617" s="1" t="s">
        <v>28</v>
      </c>
      <c r="G1617" s="1" t="str">
        <f>CONCATENATE("Zajednica ponuditelja:",CHAR(10),"GOLUBOVEČKI KAMENOLOMI D.O.O.,"," NOVI GOLUBOVEC 26,"," 49255 NOVI GOLUBOVEC,"," OIB: 17144387225",CHAR(10),"KAMENOLOM GORJAK D.O.O.,"," GORNJE JESENJE bb,"," 49233 GORNJE JESENJE,"," OIB: 700926237")</f>
        <v>Zajednica ponuditelja:
GOLUBOVEČKI KAMENOLOMI D.O.O., NOVI GOLUBOVEC 26, 49255 NOVI GOLUBOVEC, OIB: 17144387225
KAMENOLOM GORJAK D.O.O., GORNJE JESENJE bb, 49233 GORNJE JESENJE, OIB: 700926237</v>
      </c>
      <c r="H1617" s="7"/>
      <c r="I1617" s="8" t="s">
        <v>910</v>
      </c>
      <c r="J1617" s="8" t="s">
        <v>555</v>
      </c>
      <c r="K1617" s="6" t="str">
        <f>"580.000,00"</f>
        <v>580.000,00</v>
      </c>
      <c r="L1617" s="6" t="str">
        <f>"167.699,26"</f>
        <v>167.699,26</v>
      </c>
      <c r="M1617" s="6" t="str">
        <f>"747.699,26"</f>
        <v>747.699,26</v>
      </c>
      <c r="N1617" s="8" t="s">
        <v>384</v>
      </c>
      <c r="O1617" s="7"/>
      <c r="P1617" s="2" t="s">
        <v>6603</v>
      </c>
      <c r="Q1617" s="1" t="s">
        <v>488</v>
      </c>
      <c r="R1617" s="1"/>
      <c r="S1617" s="1" t="str">
        <f>"4-22/NOS-115/20"</f>
        <v>4-22/NOS-115/20</v>
      </c>
      <c r="T1617" s="1" t="s">
        <v>55</v>
      </c>
    </row>
    <row r="1618" spans="1:20" ht="140.25" x14ac:dyDescent="0.25">
      <c r="A1618" s="6">
        <v>1614</v>
      </c>
      <c r="B1618" s="1" t="str">
        <f>"2021-32"</f>
        <v>2021-32</v>
      </c>
      <c r="C1618" s="1" t="s">
        <v>1486</v>
      </c>
      <c r="D1618" s="1" t="s">
        <v>483</v>
      </c>
      <c r="E1618" s="1" t="str">
        <f>"2021/S 0F2-0000668"</f>
        <v>2021/S 0F2-0000668</v>
      </c>
      <c r="F1618" s="1" t="s">
        <v>22</v>
      </c>
      <c r="G1618" s="1" t="str">
        <f>CONCATENATE("GRADITELJ SVRATIŠTA D.O.O.,"," IVANA ČESMIČKOG 16,"," 10000 ZAGREB,"," OIB: 52044657571",CHAR(10),"",CHAR(10),"TEHNO-ELEKTRO D.O.O.,"," AUGUSTA CESARCA 3,"," 31400 ĐAKOVO,"," OIB: 1165756075")</f>
        <v>GRADITELJ SVRATIŠTA D.O.O., IVANA ČESMIČKOG 16, 10000 ZAGREB, OIB: 52044657571
TEHNO-ELEKTRO D.O.O., AUGUSTA CESARCA 3, 31400 ĐAKOVO, OIB: 1165756075</v>
      </c>
      <c r="H1618" s="7"/>
      <c r="I1618" s="8" t="s">
        <v>1298</v>
      </c>
      <c r="J1618" s="8" t="s">
        <v>1439</v>
      </c>
      <c r="K1618" s="6" t="str">
        <f>"1.600.000,00"</f>
        <v>1.600.000,00</v>
      </c>
      <c r="L1618" s="6" t="str">
        <f>"400.000,00"</f>
        <v>400.000,00</v>
      </c>
      <c r="M1618" s="6" t="str">
        <f>"2.000.000,00"</f>
        <v>2.000.000,00</v>
      </c>
      <c r="N1618" s="8" t="s">
        <v>124</v>
      </c>
      <c r="O1618" s="7"/>
      <c r="P1618" s="2" t="s">
        <v>5614</v>
      </c>
      <c r="Q1618" s="7"/>
      <c r="R1618" s="1"/>
      <c r="S1618" s="1" t="str">
        <f>"NOS-2/21"</f>
        <v>NOS-2/21</v>
      </c>
      <c r="T1618" s="1" t="s">
        <v>32</v>
      </c>
    </row>
    <row r="1619" spans="1:20" ht="63.75" x14ac:dyDescent="0.25">
      <c r="A1619" s="6">
        <v>1615</v>
      </c>
      <c r="B1619" s="1" t="str">
        <f>"2021-32"</f>
        <v>2021-32</v>
      </c>
      <c r="C1619" s="1" t="s">
        <v>1486</v>
      </c>
      <c r="D1619" s="1" t="s">
        <v>486</v>
      </c>
      <c r="E1619" s="1" t="str">
        <f>""</f>
        <v/>
      </c>
      <c r="F1619" s="1" t="s">
        <v>28</v>
      </c>
      <c r="G1619" s="1" t="str">
        <f>CONCATENATE("GRADITELJ SVRATIŠTA D.O.O.,"," IVANA ČESMIČKOG 16,"," 10000 ZAGREB,"," OIB: 5204465757")</f>
        <v>GRADITELJ SVRATIŠTA D.O.O., IVANA ČESMIČKOG 16, 10000 ZAGREB, OIB: 5204465757</v>
      </c>
      <c r="H1619" s="7"/>
      <c r="I1619" s="8" t="s">
        <v>1356</v>
      </c>
      <c r="J1619" s="8" t="s">
        <v>169</v>
      </c>
      <c r="K1619" s="6" t="str">
        <f>"798.335,00"</f>
        <v>798.335,00</v>
      </c>
      <c r="L1619" s="6" t="str">
        <f>"199.583,75"</f>
        <v>199.583,75</v>
      </c>
      <c r="M1619" s="6" t="str">
        <f>"997.918,75"</f>
        <v>997.918,75</v>
      </c>
      <c r="N1619" s="8" t="s">
        <v>563</v>
      </c>
      <c r="O1619" s="7"/>
      <c r="P1619" s="2" t="s">
        <v>6604</v>
      </c>
      <c r="Q1619" s="7"/>
      <c r="R1619" s="1"/>
      <c r="S1619" s="1" t="str">
        <f>"1-21/NOS-2/21"</f>
        <v>1-21/NOS-2/21</v>
      </c>
      <c r="T1619" s="1" t="s">
        <v>32</v>
      </c>
    </row>
    <row r="1620" spans="1:20" ht="178.5" x14ac:dyDescent="0.25">
      <c r="A1620" s="6">
        <v>1616</v>
      </c>
      <c r="B1620" s="1" t="str">
        <f>"2020-1125"</f>
        <v>2020-1125</v>
      </c>
      <c r="C1620" s="1" t="s">
        <v>1487</v>
      </c>
      <c r="D1620" s="1" t="s">
        <v>185</v>
      </c>
      <c r="E1620" s="1" t="str">
        <f>"2021/S F14-0005930"</f>
        <v>2021/S F14-0005930</v>
      </c>
      <c r="F1620" s="1" t="s">
        <v>22</v>
      </c>
      <c r="G1620" s="1" t="str">
        <f>CONCATENATE("HEDOM D.O.O.,"," VELIKA CESTA 28,"," 10000 ZAGREB,"," OIB: 62485998118",CHAR(10),"",CHAR(10),"TA-GRAD D.O.O.,"," MLINOVI 110,"," 10000 ZAGREB,"," OIB: 70718680584",CHAR(10),"",CHAR(10),"FRACASSO RI D.O.O.,"," SLAVIŠE VAJNERA ČIČE 4,"," 51000 RIJEKA,"," OIB: 02744205849")</f>
        <v>HEDOM D.O.O., VELIKA CESTA 28, 10000 ZAGREB, OIB: 62485998118
TA-GRAD D.O.O., MLINOVI 110, 10000 ZAGREB, OIB: 70718680584
FRACASSO RI D.O.O., SLAVIŠE VAJNERA ČIČE 4, 51000 RIJEKA, OIB: 02744205849</v>
      </c>
      <c r="H1620" s="1" t="str">
        <f>CONCATENATE("INTERKONZALTING D.O.O.,"," OIB: 23141220773")</f>
        <v>INTERKONZALTING D.O.O., OIB: 23141220773</v>
      </c>
      <c r="I1620" s="8" t="s">
        <v>1298</v>
      </c>
      <c r="J1620" s="8" t="s">
        <v>1488</v>
      </c>
      <c r="K1620" s="6" t="str">
        <f>"17.500.000,00"</f>
        <v>17.500.000,00</v>
      </c>
      <c r="L1620" s="6" t="str">
        <f>"4.375.000,00"</f>
        <v>4.375.000,00</v>
      </c>
      <c r="M1620" s="6" t="str">
        <f>"21.875.000,00"</f>
        <v>21.875.000,00</v>
      </c>
      <c r="N1620" s="8" t="s">
        <v>124</v>
      </c>
      <c r="O1620" s="7"/>
      <c r="P1620" s="2" t="s">
        <v>5614</v>
      </c>
      <c r="Q1620" s="7"/>
      <c r="R1620" s="1"/>
      <c r="S1620" s="1" t="str">
        <f>"NOS-116/20"</f>
        <v>NOS-116/20</v>
      </c>
      <c r="T1620" s="1" t="s">
        <v>32</v>
      </c>
    </row>
    <row r="1621" spans="1:20" ht="51" x14ac:dyDescent="0.25">
      <c r="A1621" s="6">
        <v>1617</v>
      </c>
      <c r="B1621" s="1" t="str">
        <f>"2020-1125"</f>
        <v>2020-1125</v>
      </c>
      <c r="C1621" s="1" t="s">
        <v>1487</v>
      </c>
      <c r="D1621" s="1" t="s">
        <v>185</v>
      </c>
      <c r="E1621" s="1" t="str">
        <f>""</f>
        <v/>
      </c>
      <c r="F1621" s="1" t="s">
        <v>28</v>
      </c>
      <c r="G1621" s="1" t="str">
        <f>CONCATENATE("HEDOM D.O.O.,"," VELIKA CESTA 28,"," 10000 ZAGREB,"," OIB: 62485998118")</f>
        <v>HEDOM D.O.O., VELIKA CESTA 28, 10000 ZAGREB, OIB: 62485998118</v>
      </c>
      <c r="H1621" s="7"/>
      <c r="I1621" s="8" t="s">
        <v>117</v>
      </c>
      <c r="J1621" s="8" t="s">
        <v>123</v>
      </c>
      <c r="K1621" s="6" t="str">
        <f>"3.103.508,10"</f>
        <v>3.103.508,10</v>
      </c>
      <c r="L1621" s="6" t="str">
        <f>"775.877,03"</f>
        <v>775.877,03</v>
      </c>
      <c r="M1621" s="6" t="str">
        <f>"3.879.385,13"</f>
        <v>3.879.385,13</v>
      </c>
      <c r="N1621" s="8" t="s">
        <v>124</v>
      </c>
      <c r="O1621" s="7"/>
      <c r="P1621" s="2" t="s">
        <v>5614</v>
      </c>
      <c r="Q1621" s="7"/>
      <c r="R1621" s="1"/>
      <c r="S1621" s="1" t="str">
        <f>"1-21/NOS-116/20"</f>
        <v>1-21/NOS-116/20</v>
      </c>
      <c r="T1621" s="1" t="s">
        <v>32</v>
      </c>
    </row>
    <row r="1622" spans="1:20" ht="51" x14ac:dyDescent="0.25">
      <c r="A1622" s="6">
        <v>1618</v>
      </c>
      <c r="B1622" s="1" t="str">
        <f t="shared" ref="B1622:B1629" si="148">"2020-132"</f>
        <v>2020-132</v>
      </c>
      <c r="C1622" s="1" t="s">
        <v>1489</v>
      </c>
      <c r="D1622" s="1" t="s">
        <v>1490</v>
      </c>
      <c r="E1622" s="1" t="str">
        <f>"2020/S 0F2-0037998"</f>
        <v>2020/S 0F2-0037998</v>
      </c>
      <c r="F1622" s="1" t="s">
        <v>22</v>
      </c>
      <c r="G1622" s="1" t="str">
        <f t="shared" ref="G1622:G1629" si="149">CONCATENATE("DOBRO RJEŠENJE D.O.O.,"," ZAVRTNICA 3,"," 10000 ZAGREB,"," OIB: 33104804103")</f>
        <v>DOBRO RJEŠENJE D.O.O., ZAVRTNICA 3, 10000 ZAGREB, OIB: 33104804103</v>
      </c>
      <c r="H1622" s="7"/>
      <c r="I1622" s="8" t="s">
        <v>1356</v>
      </c>
      <c r="J1622" s="8" t="s">
        <v>1491</v>
      </c>
      <c r="K1622" s="6" t="str">
        <f>"2.800.000,00"</f>
        <v>2.800.000,00</v>
      </c>
      <c r="L1622" s="6" t="str">
        <f>"700.000,00"</f>
        <v>700.000,00</v>
      </c>
      <c r="M1622" s="6" t="str">
        <f>"3.500.000,00"</f>
        <v>3.500.000,00</v>
      </c>
      <c r="N1622" s="8" t="s">
        <v>124</v>
      </c>
      <c r="O1622" s="7"/>
      <c r="P1622" s="2" t="s">
        <v>5614</v>
      </c>
      <c r="Q1622" s="7"/>
      <c r="R1622" s="1"/>
      <c r="S1622" s="1" t="str">
        <f>"NOS-120/20"</f>
        <v>NOS-120/20</v>
      </c>
      <c r="T1622" s="1" t="s">
        <v>32</v>
      </c>
    </row>
    <row r="1623" spans="1:20" ht="51" x14ac:dyDescent="0.25">
      <c r="A1623" s="6">
        <v>1619</v>
      </c>
      <c r="B1623" s="1" t="str">
        <f t="shared" si="148"/>
        <v>2020-132</v>
      </c>
      <c r="C1623" s="1" t="s">
        <v>1489</v>
      </c>
      <c r="D1623" s="1" t="s">
        <v>1492</v>
      </c>
      <c r="E1623" s="1" t="str">
        <f>""</f>
        <v/>
      </c>
      <c r="F1623" s="1" t="s">
        <v>28</v>
      </c>
      <c r="G1623" s="1" t="str">
        <f t="shared" si="149"/>
        <v>DOBRO RJEŠENJE D.O.O., ZAVRTNICA 3, 10000 ZAGREB, OIB: 33104804103</v>
      </c>
      <c r="H1623" s="7"/>
      <c r="I1623" s="8" t="s">
        <v>137</v>
      </c>
      <c r="J1623" s="8" t="s">
        <v>241</v>
      </c>
      <c r="K1623" s="6" t="str">
        <f>"120.298,20"</f>
        <v>120.298,20</v>
      </c>
      <c r="L1623" s="6" t="str">
        <f>"15.650,87"</f>
        <v>15.650,87</v>
      </c>
      <c r="M1623" s="6" t="str">
        <f>"135.949,07"</f>
        <v>135.949,07</v>
      </c>
      <c r="N1623" s="8" t="s">
        <v>507</v>
      </c>
      <c r="O1623" s="7"/>
      <c r="P1623" s="2" t="s">
        <v>6605</v>
      </c>
      <c r="Q1623" s="7"/>
      <c r="R1623" s="1"/>
      <c r="S1623" s="1" t="str">
        <f>"7-21/NOS-120/20"</f>
        <v>7-21/NOS-120/20</v>
      </c>
      <c r="T1623" s="1" t="s">
        <v>32</v>
      </c>
    </row>
    <row r="1624" spans="1:20" ht="51" x14ac:dyDescent="0.25">
      <c r="A1624" s="6">
        <v>1620</v>
      </c>
      <c r="B1624" s="1" t="str">
        <f t="shared" si="148"/>
        <v>2020-132</v>
      </c>
      <c r="C1624" s="1" t="s">
        <v>1489</v>
      </c>
      <c r="D1624" s="1" t="s">
        <v>1492</v>
      </c>
      <c r="E1624" s="1" t="str">
        <f>""</f>
        <v/>
      </c>
      <c r="F1624" s="1" t="s">
        <v>28</v>
      </c>
      <c r="G1624" s="1" t="str">
        <f t="shared" si="149"/>
        <v>DOBRO RJEŠENJE D.O.O., ZAVRTNICA 3, 10000 ZAGREB, OIB: 33104804103</v>
      </c>
      <c r="H1624" s="7"/>
      <c r="I1624" s="8" t="s">
        <v>239</v>
      </c>
      <c r="J1624" s="8" t="s">
        <v>423</v>
      </c>
      <c r="K1624" s="6" t="str">
        <f>"162.891,55"</f>
        <v>162.891,55</v>
      </c>
      <c r="L1624" s="6" t="str">
        <f>"19.425,14"</f>
        <v>19.425,14</v>
      </c>
      <c r="M1624" s="6" t="str">
        <f>"182.316,69"</f>
        <v>182.316,69</v>
      </c>
      <c r="N1624" s="8" t="s">
        <v>252</v>
      </c>
      <c r="O1624" s="7"/>
      <c r="P1624" s="2" t="s">
        <v>6606</v>
      </c>
      <c r="Q1624" s="7"/>
      <c r="R1624" s="1"/>
      <c r="S1624" s="1" t="str">
        <f>"1-22/NOS-120/20"</f>
        <v>1-22/NOS-120/20</v>
      </c>
      <c r="T1624" s="1" t="s">
        <v>32</v>
      </c>
    </row>
    <row r="1625" spans="1:20" ht="51" x14ac:dyDescent="0.25">
      <c r="A1625" s="6">
        <v>1621</v>
      </c>
      <c r="B1625" s="1" t="str">
        <f t="shared" si="148"/>
        <v>2020-132</v>
      </c>
      <c r="C1625" s="1" t="s">
        <v>1489</v>
      </c>
      <c r="D1625" s="1" t="s">
        <v>1492</v>
      </c>
      <c r="E1625" s="1" t="str">
        <f>""</f>
        <v/>
      </c>
      <c r="F1625" s="1" t="s">
        <v>28</v>
      </c>
      <c r="G1625" s="1" t="str">
        <f t="shared" si="149"/>
        <v>DOBRO RJEŠENJE D.O.O., ZAVRTNICA 3, 10000 ZAGREB, OIB: 33104804103</v>
      </c>
      <c r="H1625" s="7"/>
      <c r="I1625" s="8" t="s">
        <v>748</v>
      </c>
      <c r="J1625" s="8" t="s">
        <v>423</v>
      </c>
      <c r="K1625" s="6" t="str">
        <f>"115.727,55"</f>
        <v>115.727,55</v>
      </c>
      <c r="L1625" s="6" t="str">
        <f>"12.856,00"</f>
        <v>12.856,00</v>
      </c>
      <c r="M1625" s="6" t="str">
        <f>"128.583,55"</f>
        <v>128.583,55</v>
      </c>
      <c r="N1625" s="8" t="s">
        <v>848</v>
      </c>
      <c r="O1625" s="7"/>
      <c r="P1625" s="2" t="s">
        <v>6607</v>
      </c>
      <c r="Q1625" s="1" t="s">
        <v>488</v>
      </c>
      <c r="R1625" s="1"/>
      <c r="S1625" s="1" t="str">
        <f>"2-22/NOS-120/20"</f>
        <v>2-22/NOS-120/20</v>
      </c>
      <c r="T1625" s="1" t="s">
        <v>32</v>
      </c>
    </row>
    <row r="1626" spans="1:20" ht="51" x14ac:dyDescent="0.25">
      <c r="A1626" s="6">
        <v>1622</v>
      </c>
      <c r="B1626" s="1" t="str">
        <f t="shared" si="148"/>
        <v>2020-132</v>
      </c>
      <c r="C1626" s="1" t="s">
        <v>1489</v>
      </c>
      <c r="D1626" s="1" t="s">
        <v>1492</v>
      </c>
      <c r="E1626" s="1" t="str">
        <f>""</f>
        <v/>
      </c>
      <c r="F1626" s="1" t="s">
        <v>28</v>
      </c>
      <c r="G1626" s="1" t="str">
        <f t="shared" si="149"/>
        <v>DOBRO RJEŠENJE D.O.O., ZAVRTNICA 3, 10000 ZAGREB, OIB: 33104804103</v>
      </c>
      <c r="H1626" s="7"/>
      <c r="I1626" s="8" t="s">
        <v>260</v>
      </c>
      <c r="J1626" s="8" t="s">
        <v>423</v>
      </c>
      <c r="K1626" s="6" t="str">
        <f>"90.935,55"</f>
        <v>90.935,55</v>
      </c>
      <c r="L1626" s="6" t="str">
        <f>"5.109,43"</f>
        <v>5.109,43</v>
      </c>
      <c r="M1626" s="6" t="str">
        <f>"96.044,98"</f>
        <v>96.044,98</v>
      </c>
      <c r="N1626" s="8" t="s">
        <v>469</v>
      </c>
      <c r="O1626" s="7"/>
      <c r="P1626" s="2" t="s">
        <v>6608</v>
      </c>
      <c r="Q1626" s="7"/>
      <c r="R1626" s="1"/>
      <c r="S1626" s="1" t="str">
        <f>"3-22/NOS-120/20"</f>
        <v>3-22/NOS-120/20</v>
      </c>
      <c r="T1626" s="1" t="s">
        <v>32</v>
      </c>
    </row>
    <row r="1627" spans="1:20" ht="51" x14ac:dyDescent="0.25">
      <c r="A1627" s="6">
        <v>1623</v>
      </c>
      <c r="B1627" s="1" t="str">
        <f t="shared" si="148"/>
        <v>2020-132</v>
      </c>
      <c r="C1627" s="1" t="s">
        <v>1489</v>
      </c>
      <c r="D1627" s="1" t="s">
        <v>1492</v>
      </c>
      <c r="E1627" s="1" t="str">
        <f>""</f>
        <v/>
      </c>
      <c r="F1627" s="1" t="s">
        <v>28</v>
      </c>
      <c r="G1627" s="1" t="str">
        <f t="shared" si="149"/>
        <v>DOBRO RJEŠENJE D.O.O., ZAVRTNICA 3, 10000 ZAGREB, OIB: 33104804103</v>
      </c>
      <c r="H1627" s="7"/>
      <c r="I1627" s="8" t="s">
        <v>301</v>
      </c>
      <c r="J1627" s="8" t="s">
        <v>423</v>
      </c>
      <c r="K1627" s="6" t="str">
        <f>"40.482,35"</f>
        <v>40.482,35</v>
      </c>
      <c r="L1627" s="6" t="str">
        <f>"1.071,32"</f>
        <v>1.071,32</v>
      </c>
      <c r="M1627" s="6" t="str">
        <f>"41.553,67"</f>
        <v>41.553,67</v>
      </c>
      <c r="N1627" s="8" t="s">
        <v>458</v>
      </c>
      <c r="O1627" s="7"/>
      <c r="P1627" s="2" t="s">
        <v>6609</v>
      </c>
      <c r="Q1627" s="7"/>
      <c r="R1627" s="1"/>
      <c r="S1627" s="1" t="str">
        <f>"4-22/NOS-120/20"</f>
        <v>4-22/NOS-120/20</v>
      </c>
      <c r="T1627" s="1" t="s">
        <v>32</v>
      </c>
    </row>
    <row r="1628" spans="1:20" ht="51" x14ac:dyDescent="0.25">
      <c r="A1628" s="6">
        <v>1624</v>
      </c>
      <c r="B1628" s="1" t="str">
        <f t="shared" si="148"/>
        <v>2020-132</v>
      </c>
      <c r="C1628" s="1" t="s">
        <v>1489</v>
      </c>
      <c r="D1628" s="1" t="s">
        <v>1492</v>
      </c>
      <c r="E1628" s="1" t="str">
        <f>""</f>
        <v/>
      </c>
      <c r="F1628" s="1" t="s">
        <v>28</v>
      </c>
      <c r="G1628" s="1" t="str">
        <f t="shared" si="149"/>
        <v>DOBRO RJEŠENJE D.O.O., ZAVRTNICA 3, 10000 ZAGREB, OIB: 33104804103</v>
      </c>
      <c r="H1628" s="7"/>
      <c r="I1628" s="8" t="s">
        <v>1159</v>
      </c>
      <c r="J1628" s="8" t="s">
        <v>231</v>
      </c>
      <c r="K1628" s="6" t="str">
        <f>"144.939,75"</f>
        <v>144.939,75</v>
      </c>
      <c r="L1628" s="6" t="str">
        <f>"4.597,51"</f>
        <v>4.597,51</v>
      </c>
      <c r="M1628" s="6" t="str">
        <f>"149.537,26"</f>
        <v>149.537,26</v>
      </c>
      <c r="N1628" s="8" t="s">
        <v>433</v>
      </c>
      <c r="O1628" s="7"/>
      <c r="P1628" s="2" t="s">
        <v>6610</v>
      </c>
      <c r="Q1628" s="7"/>
      <c r="R1628" s="1"/>
      <c r="S1628" s="1" t="str">
        <f>"5-22/NOS-120/20"</f>
        <v>5-22/NOS-120/20</v>
      </c>
      <c r="T1628" s="1" t="s">
        <v>32</v>
      </c>
    </row>
    <row r="1629" spans="1:20" ht="51" x14ac:dyDescent="0.25">
      <c r="A1629" s="6">
        <v>1625</v>
      </c>
      <c r="B1629" s="1" t="str">
        <f t="shared" si="148"/>
        <v>2020-132</v>
      </c>
      <c r="C1629" s="1" t="s">
        <v>1489</v>
      </c>
      <c r="D1629" s="1" t="s">
        <v>1492</v>
      </c>
      <c r="E1629" s="1" t="str">
        <f>""</f>
        <v/>
      </c>
      <c r="F1629" s="1" t="s">
        <v>28</v>
      </c>
      <c r="G1629" s="1" t="str">
        <f t="shared" si="149"/>
        <v>DOBRO RJEŠENJE D.O.O., ZAVRTNICA 3, 10000 ZAGREB, OIB: 33104804103</v>
      </c>
      <c r="H1629" s="7"/>
      <c r="I1629" s="8" t="s">
        <v>1159</v>
      </c>
      <c r="J1629" s="8" t="s">
        <v>423</v>
      </c>
      <c r="K1629" s="6" t="str">
        <f>"27.866,85"</f>
        <v>27.866,85</v>
      </c>
      <c r="L1629" s="6" t="str">
        <f>"1.038,75"</f>
        <v>1.038,75</v>
      </c>
      <c r="M1629" s="6" t="str">
        <f>"28.905,60"</f>
        <v>28.905,60</v>
      </c>
      <c r="N1629" s="8" t="s">
        <v>489</v>
      </c>
      <c r="O1629" s="7"/>
      <c r="P1629" s="2" t="s">
        <v>6611</v>
      </c>
      <c r="Q1629" s="7"/>
      <c r="R1629" s="1"/>
      <c r="S1629" s="1" t="str">
        <f>"6-22/NOS-120/20"</f>
        <v>6-22/NOS-120/20</v>
      </c>
      <c r="T1629" s="1" t="s">
        <v>32</v>
      </c>
    </row>
    <row r="1630" spans="1:20" ht="38.25" x14ac:dyDescent="0.25">
      <c r="A1630" s="6">
        <v>1626</v>
      </c>
      <c r="B1630" s="1" t="str">
        <f>"2021-1884"</f>
        <v>2021-1884</v>
      </c>
      <c r="C1630" s="1" t="s">
        <v>1493</v>
      </c>
      <c r="D1630" s="1" t="s">
        <v>907</v>
      </c>
      <c r="E1630" s="1" t="str">
        <f>"2021/S 0F2-0015012"</f>
        <v>2021/S 0F2-0015012</v>
      </c>
      <c r="F1630" s="1" t="s">
        <v>22</v>
      </c>
      <c r="G1630" s="1" t="str">
        <f>CONCATENATE("ALLIANZ HRVATSKA D.D.,"," ,"," OIB: 23759810849")</f>
        <v>ALLIANZ HRVATSKA D.D., , OIB: 23759810849</v>
      </c>
      <c r="H1630" s="7"/>
      <c r="I1630" s="8" t="s">
        <v>1356</v>
      </c>
      <c r="J1630" s="8" t="s">
        <v>570</v>
      </c>
      <c r="K1630" s="6" t="str">
        <f>"739.200,00"</f>
        <v>739.200,00</v>
      </c>
      <c r="L1630" s="6" t="str">
        <f>"184.800,00"</f>
        <v>184.800,00</v>
      </c>
      <c r="M1630" s="6" t="str">
        <f>"924.000,00"</f>
        <v>924.000,00</v>
      </c>
      <c r="N1630" s="8" t="s">
        <v>124</v>
      </c>
      <c r="O1630" s="7"/>
      <c r="P1630" s="2" t="s">
        <v>6612</v>
      </c>
      <c r="Q1630" s="7"/>
      <c r="R1630" s="1"/>
      <c r="S1630" s="1" t="str">
        <f>"NOS-4/21"</f>
        <v>NOS-4/21</v>
      </c>
      <c r="T1630" s="1" t="s">
        <v>452</v>
      </c>
    </row>
    <row r="1631" spans="1:20" ht="51" x14ac:dyDescent="0.25">
      <c r="A1631" s="6">
        <v>1627</v>
      </c>
      <c r="B1631" s="1" t="str">
        <f>"2021-1916"</f>
        <v>2021-1916</v>
      </c>
      <c r="C1631" s="1" t="s">
        <v>1494</v>
      </c>
      <c r="D1631" s="1" t="s">
        <v>1495</v>
      </c>
      <c r="E1631" s="1" t="str">
        <f>"2021/S 0F2-0018598"</f>
        <v>2021/S 0F2-0018598</v>
      </c>
      <c r="F1631" s="1" t="s">
        <v>22</v>
      </c>
      <c r="G1631" s="1" t="str">
        <f>CONCATENATE("GESTA D.O.O.,"," IVANA SEVERA bb,"," 42000 VARAŽDIN,"," OIB: 3349091397")</f>
        <v>GESTA D.O.O., IVANA SEVERA bb, 42000 VARAŽDIN, OIB: 3349091397</v>
      </c>
      <c r="H1631" s="7"/>
      <c r="I1631" s="8" t="s">
        <v>1496</v>
      </c>
      <c r="J1631" s="8" t="s">
        <v>1497</v>
      </c>
      <c r="K1631" s="6" t="str">
        <f>"741.500,00"</f>
        <v>741.500,00</v>
      </c>
      <c r="L1631" s="6" t="str">
        <f>"185.375,00"</f>
        <v>185.375,00</v>
      </c>
      <c r="M1631" s="6" t="str">
        <f>"926.875,00"</f>
        <v>926.875,00</v>
      </c>
      <c r="N1631" s="8" t="s">
        <v>124</v>
      </c>
      <c r="O1631" s="7"/>
      <c r="P1631" s="2" t="s">
        <v>5614</v>
      </c>
      <c r="Q1631" s="7"/>
      <c r="R1631" s="1"/>
      <c r="S1631" s="1" t="str">
        <f>"NOS-5/21"</f>
        <v>NOS-5/21</v>
      </c>
      <c r="T1631" s="1" t="s">
        <v>55</v>
      </c>
    </row>
    <row r="1632" spans="1:20" ht="51" x14ac:dyDescent="0.25">
      <c r="A1632" s="6">
        <v>1628</v>
      </c>
      <c r="B1632" s="1" t="str">
        <f>"2021-1916"</f>
        <v>2021-1916</v>
      </c>
      <c r="C1632" s="1" t="s">
        <v>1494</v>
      </c>
      <c r="D1632" s="1" t="s">
        <v>1498</v>
      </c>
      <c r="E1632" s="1" t="str">
        <f>""</f>
        <v/>
      </c>
      <c r="F1632" s="1" t="s">
        <v>28</v>
      </c>
      <c r="G1632" s="1" t="str">
        <f>CONCATENATE("GESTA D.O.O.,"," IVANA SEVERA bb,"," 42000 VARAŽDIN,"," OIB: 3349091397")</f>
        <v>GESTA D.O.O., IVANA SEVERA bb, 42000 VARAŽDIN, OIB: 3349091397</v>
      </c>
      <c r="H1632" s="7"/>
      <c r="I1632" s="8" t="s">
        <v>80</v>
      </c>
      <c r="J1632" s="8" t="s">
        <v>292</v>
      </c>
      <c r="K1632" s="6" t="str">
        <f>"198.925,00"</f>
        <v>198.925,00</v>
      </c>
      <c r="L1632" s="6" t="str">
        <f>"47.700,00"</f>
        <v>47.700,00</v>
      </c>
      <c r="M1632" s="6" t="str">
        <f>"246.625,00"</f>
        <v>246.625,00</v>
      </c>
      <c r="N1632" s="8" t="s">
        <v>416</v>
      </c>
      <c r="O1632" s="7"/>
      <c r="P1632" s="2" t="s">
        <v>6613</v>
      </c>
      <c r="Q1632" s="7"/>
      <c r="R1632" s="1"/>
      <c r="S1632" s="1" t="str">
        <f>"1-21/NOS-5/21"</f>
        <v>1-21/NOS-5/21</v>
      </c>
      <c r="T1632" s="1" t="s">
        <v>55</v>
      </c>
    </row>
    <row r="1633" spans="1:20" ht="51" x14ac:dyDescent="0.25">
      <c r="A1633" s="6">
        <v>1629</v>
      </c>
      <c r="B1633" s="1" t="str">
        <f>"2021-1916"</f>
        <v>2021-1916</v>
      </c>
      <c r="C1633" s="1" t="s">
        <v>1494</v>
      </c>
      <c r="D1633" s="1" t="s">
        <v>1498</v>
      </c>
      <c r="E1633" s="1" t="str">
        <f>""</f>
        <v/>
      </c>
      <c r="F1633" s="1" t="s">
        <v>28</v>
      </c>
      <c r="G1633" s="1" t="str">
        <f>CONCATENATE("GESTA D.O.O.,"," IVANA SEVERA bb,"," 42000 VARAŽDIN,"," OIB: 3349091397")</f>
        <v>GESTA D.O.O., IVANA SEVERA bb, 42000 VARAŽDIN, OIB: 3349091397</v>
      </c>
      <c r="H1633" s="7"/>
      <c r="I1633" s="8" t="s">
        <v>257</v>
      </c>
      <c r="J1633" s="8" t="s">
        <v>292</v>
      </c>
      <c r="K1633" s="6" t="str">
        <f>"199.450,00"</f>
        <v>199.450,00</v>
      </c>
      <c r="L1633" s="6" t="str">
        <f>"49.862,50"</f>
        <v>49.862,50</v>
      </c>
      <c r="M1633" s="6" t="str">
        <f>"249.312,50"</f>
        <v>249.312,50</v>
      </c>
      <c r="N1633" s="8" t="s">
        <v>238</v>
      </c>
      <c r="O1633" s="7"/>
      <c r="P1633" s="2" t="s">
        <v>6614</v>
      </c>
      <c r="Q1633" s="7"/>
      <c r="R1633" s="1"/>
      <c r="S1633" s="1" t="str">
        <f>"1-22/NOS-5/21"</f>
        <v>1-22/NOS-5/21</v>
      </c>
      <c r="T1633" s="1" t="s">
        <v>55</v>
      </c>
    </row>
    <row r="1634" spans="1:20" ht="51" x14ac:dyDescent="0.25">
      <c r="A1634" s="6">
        <v>1630</v>
      </c>
      <c r="B1634" s="1" t="str">
        <f>"2021-1916"</f>
        <v>2021-1916</v>
      </c>
      <c r="C1634" s="1" t="s">
        <v>1494</v>
      </c>
      <c r="D1634" s="1" t="s">
        <v>1498</v>
      </c>
      <c r="E1634" s="1" t="str">
        <f>""</f>
        <v/>
      </c>
      <c r="F1634" s="1" t="s">
        <v>28</v>
      </c>
      <c r="G1634" s="1" t="str">
        <f>CONCATENATE("GESTA D.O.O.,"," IVANA SEVERA bb,"," 42000 VARAŽDIN,"," OIB: 3349091397")</f>
        <v>GESTA D.O.O., IVANA SEVERA bb, 42000 VARAŽDIN, OIB: 3349091397</v>
      </c>
      <c r="H1634" s="7"/>
      <c r="I1634" s="8" t="s">
        <v>955</v>
      </c>
      <c r="J1634" s="8" t="s">
        <v>292</v>
      </c>
      <c r="K1634" s="6" t="str">
        <f>"300.275,00"</f>
        <v>300.275,00</v>
      </c>
      <c r="L1634" s="6" t="str">
        <f>"51.631,25"</f>
        <v>51.631,25</v>
      </c>
      <c r="M1634" s="6" t="str">
        <f>"351.906,25"</f>
        <v>351.906,25</v>
      </c>
      <c r="N1634" s="8" t="s">
        <v>227</v>
      </c>
      <c r="O1634" s="7"/>
      <c r="P1634" s="2" t="s">
        <v>6615</v>
      </c>
      <c r="Q1634" s="7"/>
      <c r="R1634" s="1"/>
      <c r="S1634" s="1" t="str">
        <f>"2-22/NOS-5/21"</f>
        <v>2-22/NOS-5/21</v>
      </c>
      <c r="T1634" s="1" t="s">
        <v>55</v>
      </c>
    </row>
    <row r="1635" spans="1:20" ht="51" x14ac:dyDescent="0.25">
      <c r="A1635" s="6">
        <v>1631</v>
      </c>
      <c r="B1635" s="1" t="str">
        <f>"2021-1916"</f>
        <v>2021-1916</v>
      </c>
      <c r="C1635" s="1" t="s">
        <v>1494</v>
      </c>
      <c r="D1635" s="1" t="s">
        <v>1498</v>
      </c>
      <c r="E1635" s="1" t="str">
        <f>""</f>
        <v/>
      </c>
      <c r="F1635" s="1" t="s">
        <v>28</v>
      </c>
      <c r="G1635" s="1" t="str">
        <f>CONCATENATE("GESTA D.O.O.,"," IVANA SEVERA bb,"," 42000 VARAŽDIN,"," OIB: 3349091397")</f>
        <v>GESTA D.O.O., IVANA SEVERA bb, 42000 VARAŽDIN, OIB: 3349091397</v>
      </c>
      <c r="H1635" s="7"/>
      <c r="I1635" s="8" t="s">
        <v>1123</v>
      </c>
      <c r="J1635" s="8" t="s">
        <v>292</v>
      </c>
      <c r="K1635" s="6" t="str">
        <f>"1.350,00"</f>
        <v>1.350,00</v>
      </c>
      <c r="L1635" s="6" t="str">
        <f>"0,00"</f>
        <v>0,00</v>
      </c>
      <c r="M1635" s="6" t="str">
        <f>"1.350,00"</f>
        <v>1.350,00</v>
      </c>
      <c r="N1635" s="8" t="s">
        <v>124</v>
      </c>
      <c r="O1635" s="7"/>
      <c r="P1635" s="2" t="s">
        <v>5614</v>
      </c>
      <c r="Q1635" s="7"/>
      <c r="R1635" s="1"/>
      <c r="S1635" s="1" t="str">
        <f>"3-22/NOS-5/21"</f>
        <v>3-22/NOS-5/21</v>
      </c>
      <c r="T1635" s="1" t="s">
        <v>55</v>
      </c>
    </row>
    <row r="1636" spans="1:20" ht="255" x14ac:dyDescent="0.25">
      <c r="A1636" s="6">
        <v>1632</v>
      </c>
      <c r="B1636" s="1" t="str">
        <f>"2020-429"</f>
        <v>2020-429</v>
      </c>
      <c r="C1636" s="1" t="s">
        <v>1499</v>
      </c>
      <c r="D1636" s="1" t="s">
        <v>1500</v>
      </c>
      <c r="E1636" s="1" t="str">
        <f>"2021/S 0F2-0003516"</f>
        <v>2021/S 0F2-0003516</v>
      </c>
      <c r="F1636" s="1" t="s">
        <v>22</v>
      </c>
      <c r="G1636" s="1" t="str">
        <f>CONCATENATE("METALMINERAL-KAMEN D.O.O.,"," SVETONEDELJSKA 16,"," 10431 SVETA NEDELJA,"," OIB: 38656219197",CHAR(10),"",CHAR(10),"Zajednica ponuditelja",CHAR(10),"KLESS STIL D.O.O.,"," VUGROVEČKA CESTA 77,"," 10360 SESVETE,"," OIB: 29862139033KLESS D.O.O. VUGROVEČKA 77,"," 10360 SESVETE,"," OIB: 10271941034",CHAR(10),"",CHAR(10),"MSM PRESTIGE D.O.O.,"," VUGROVEČKA 75a,"," 10360 DOBRODOL,"," OIB: 44643273812")</f>
        <v>METALMINERAL-KAMEN D.O.O., SVETONEDELJSKA 16, 10431 SVETA NEDELJA, OIB: 38656219197
Zajednica ponuditelja
KLESS STIL D.O.O., VUGROVEČKA CESTA 77, 10360 SESVETE, OIB: 29862139033KLESS D.O.O. VUGROVEČKA 77, 10360 SESVETE, OIB: 10271941034
MSM PRESTIGE D.O.O., VUGROVEČKA 75a, 10360 DOBRODOL, OIB: 44643273812</v>
      </c>
      <c r="H1636" s="7"/>
      <c r="I1636" s="8" t="s">
        <v>1501</v>
      </c>
      <c r="J1636" s="8" t="s">
        <v>1502</v>
      </c>
      <c r="K1636" s="6" t="str">
        <f>"25.000.000,00"</f>
        <v>25.000.000,00</v>
      </c>
      <c r="L1636" s="6" t="str">
        <f>"6.250.000,00"</f>
        <v>6.250.000,00</v>
      </c>
      <c r="M1636" s="6" t="str">
        <f>"31.250.000,00"</f>
        <v>31.250.000,00</v>
      </c>
      <c r="N1636" s="8" t="s">
        <v>124</v>
      </c>
      <c r="O1636" s="7"/>
      <c r="P1636" s="2" t="s">
        <v>5614</v>
      </c>
      <c r="Q1636" s="7"/>
      <c r="R1636" s="1"/>
      <c r="S1636" s="1" t="str">
        <f>"NOS-122/20"</f>
        <v>NOS-122/20</v>
      </c>
      <c r="T1636" s="1" t="s">
        <v>32</v>
      </c>
    </row>
    <row r="1637" spans="1:20" ht="51" x14ac:dyDescent="0.25">
      <c r="A1637" s="6">
        <v>1633</v>
      </c>
      <c r="B1637" s="1" t="str">
        <f>"2020-429"</f>
        <v>2020-429</v>
      </c>
      <c r="C1637" s="1" t="s">
        <v>1499</v>
      </c>
      <c r="D1637" s="1" t="s">
        <v>1503</v>
      </c>
      <c r="E1637" s="1" t="str">
        <f>""</f>
        <v/>
      </c>
      <c r="F1637" s="1" t="s">
        <v>28</v>
      </c>
      <c r="G1637" s="1" t="str">
        <f>CONCATENATE("MSM PRESTIGE D.O.O.,"," VUGROVEČKA 75a,"," 10360 DOBRODOL,"," OIB: 44643273812")</f>
        <v>MSM PRESTIGE D.O.O., VUGROVEČKA 75a, 10360 DOBRODOL, OIB: 44643273812</v>
      </c>
      <c r="H1637" s="7"/>
      <c r="I1637" s="8" t="s">
        <v>1504</v>
      </c>
      <c r="J1637" s="8" t="s">
        <v>875</v>
      </c>
      <c r="K1637" s="6" t="str">
        <f>"1.916.779,00"</f>
        <v>1.916.779,00</v>
      </c>
      <c r="L1637" s="6" t="str">
        <f>"479.194,75"</f>
        <v>479.194,75</v>
      </c>
      <c r="M1637" s="6" t="str">
        <f>"2.395.973,75"</f>
        <v>2.395.973,75</v>
      </c>
      <c r="N1637" s="8" t="s">
        <v>272</v>
      </c>
      <c r="O1637" s="7"/>
      <c r="P1637" s="2" t="s">
        <v>6616</v>
      </c>
      <c r="Q1637" s="1"/>
      <c r="R1637" s="1"/>
      <c r="S1637" s="1" t="str">
        <f>"3-21/NOS-122/20"</f>
        <v>3-21/NOS-122/20</v>
      </c>
      <c r="T1637" s="1" t="s">
        <v>32</v>
      </c>
    </row>
    <row r="1638" spans="1:20" ht="63.75" x14ac:dyDescent="0.25">
      <c r="A1638" s="6">
        <v>1634</v>
      </c>
      <c r="B1638" s="1" t="str">
        <f>"2020-429"</f>
        <v>2020-429</v>
      </c>
      <c r="C1638" s="1" t="s">
        <v>1499</v>
      </c>
      <c r="D1638" s="1" t="s">
        <v>1503</v>
      </c>
      <c r="E1638" s="1" t="str">
        <f>""</f>
        <v/>
      </c>
      <c r="F1638" s="1" t="s">
        <v>28</v>
      </c>
      <c r="G1638" s="1" t="str">
        <f>CONCATENATE("METALMINERAL-KAMEN D.O.O.,"," SVETONEDELJSKA 16,"," 10431 SVETA NEDELJA,"," OIB: 38656219197")</f>
        <v>METALMINERAL-KAMEN D.O.O., SVETONEDELJSKA 16, 10431 SVETA NEDELJA, OIB: 38656219197</v>
      </c>
      <c r="H1638" s="7"/>
      <c r="I1638" s="8" t="s">
        <v>296</v>
      </c>
      <c r="J1638" s="8" t="s">
        <v>214</v>
      </c>
      <c r="K1638" s="6" t="str">
        <f>"2.018.400,00"</f>
        <v>2.018.400,00</v>
      </c>
      <c r="L1638" s="6" t="str">
        <f>"504.600,00"</f>
        <v>504.600,00</v>
      </c>
      <c r="M1638" s="6" t="str">
        <f>"2.523.000,00"</f>
        <v>2.523.000,00</v>
      </c>
      <c r="N1638" s="8" t="s">
        <v>489</v>
      </c>
      <c r="O1638" s="7"/>
      <c r="P1638" s="2" t="s">
        <v>6617</v>
      </c>
      <c r="Q1638" s="7"/>
      <c r="R1638" s="1"/>
      <c r="S1638" s="1" t="str">
        <f>"1-22/NOS-122/20"</f>
        <v>1-22/NOS-122/20</v>
      </c>
      <c r="T1638" s="1" t="s">
        <v>32</v>
      </c>
    </row>
    <row r="1639" spans="1:20" ht="76.5" x14ac:dyDescent="0.25">
      <c r="A1639" s="6">
        <v>1635</v>
      </c>
      <c r="B1639" s="1" t="str">
        <f>"2021-1132"</f>
        <v>2021-1132</v>
      </c>
      <c r="C1639" s="1" t="s">
        <v>1505</v>
      </c>
      <c r="D1639" s="1" t="s">
        <v>1184</v>
      </c>
      <c r="E1639" s="1" t="str">
        <f>""</f>
        <v/>
      </c>
      <c r="F1639" s="1" t="s">
        <v>1040</v>
      </c>
      <c r="G1639" s="1" t="str">
        <f>CONCATENATE("DRÄGER SAFETY D.O.O.,"," AVENIJA VEĆESLAVA HOLJEVCA 40,"," 10010 ZAGREB,"," OIB: 32874587842")</f>
        <v>DRÄGER SAFETY D.O.O., AVENIJA VEĆESLAVA HOLJEVCA 40, 10010 ZAGREB, OIB: 32874587842</v>
      </c>
      <c r="H1639" s="7"/>
      <c r="I1639" s="8" t="s">
        <v>872</v>
      </c>
      <c r="J1639" s="8" t="s">
        <v>1506</v>
      </c>
      <c r="K1639" s="6" t="str">
        <f>"320.000,00"</f>
        <v>320.000,00</v>
      </c>
      <c r="L1639" s="6" t="str">
        <f>"80.000,00"</f>
        <v>80.000,00</v>
      </c>
      <c r="M1639" s="6" t="str">
        <f>"400.000,00"</f>
        <v>400.000,00</v>
      </c>
      <c r="N1639" s="8" t="s">
        <v>124</v>
      </c>
      <c r="O1639" s="7"/>
      <c r="P1639" s="2" t="s">
        <v>6618</v>
      </c>
      <c r="Q1639" s="7"/>
      <c r="R1639" s="1"/>
      <c r="S1639" s="1" t="str">
        <f>"NOS-8/21"</f>
        <v>NOS-8/21</v>
      </c>
      <c r="T1639" s="1" t="s">
        <v>452</v>
      </c>
    </row>
    <row r="1640" spans="1:20" ht="229.5" x14ac:dyDescent="0.25">
      <c r="A1640" s="6">
        <v>1636</v>
      </c>
      <c r="B1640" s="1" t="str">
        <f t="shared" ref="B1640:B1652" si="150">"2021-35"</f>
        <v>2021-35</v>
      </c>
      <c r="C1640" s="1" t="s">
        <v>1507</v>
      </c>
      <c r="D1640" s="1" t="s">
        <v>1508</v>
      </c>
      <c r="E1640" s="1" t="str">
        <f>" 2021/S 0F2-0029822"</f>
        <v xml:space="preserve"> 2021/S 0F2-0029822</v>
      </c>
      <c r="F1640" s="1" t="s">
        <v>22</v>
      </c>
      <c r="G1640" s="1" t="str">
        <f t="shared" ref="G1640:G1651" si="151">CONCATENATE("Zajednica ponuditelja",CHAR(10),"PKF FACT REVIZIJA D.O.O. ZA USLUGE,"," ZADARSKA ULICA 80,"," 10000 ZAGREB,"," OIB: 66538066056AUDIT D.O.O. TRG JOHNA FITZGERALDA KENNEDYJA 6B,"," 10000 ZAGREB,"," OIB: 39806187636")</f>
        <v>Zajednica ponuditelja
PKF FACT REVIZIJA D.O.O. ZA USLUGE, ZADARSKA ULICA 80, 10000 ZAGREB, OIB: 66538066056AUDIT D.O.O. TRG JOHNA FITZGERALDA KENNEDYJA 6B, 10000 ZAGREB, OIB: 39806187636</v>
      </c>
      <c r="H1640" s="7"/>
      <c r="I1640" s="8" t="s">
        <v>943</v>
      </c>
      <c r="J1640" s="8" t="s">
        <v>1466</v>
      </c>
      <c r="K1640" s="6" t="str">
        <f>"2.500.000,00"</f>
        <v>2.500.000,00</v>
      </c>
      <c r="L1640" s="6" t="str">
        <f>"625.000,00"</f>
        <v>625.000,00</v>
      </c>
      <c r="M1640" s="6" t="str">
        <f>"3.125.000,00"</f>
        <v>3.125.000,00</v>
      </c>
      <c r="N1640" s="8" t="s">
        <v>124</v>
      </c>
      <c r="O1640" s="7"/>
      <c r="P1640" s="2" t="s">
        <v>6619</v>
      </c>
      <c r="Q1640" s="7"/>
      <c r="R1640" s="1"/>
      <c r="S1640" s="1" t="str">
        <f>"NOS-9/21"</f>
        <v>NOS-9/21</v>
      </c>
      <c r="T1640" s="1" t="s">
        <v>1509</v>
      </c>
    </row>
    <row r="1641" spans="1:20" ht="140.25" x14ac:dyDescent="0.25">
      <c r="A1641" s="6">
        <v>1637</v>
      </c>
      <c r="B1641" s="1" t="str">
        <f t="shared" si="150"/>
        <v>2021-35</v>
      </c>
      <c r="C1641" s="1" t="s">
        <v>1507</v>
      </c>
      <c r="D1641" s="1" t="s">
        <v>1510</v>
      </c>
      <c r="E1641" s="1" t="str">
        <f>""</f>
        <v/>
      </c>
      <c r="F1641" s="1" t="s">
        <v>28</v>
      </c>
      <c r="G1641" s="1" t="str">
        <f t="shared" si="151"/>
        <v>Zajednica ponuditelja
PKF FACT REVIZIJA D.O.O. ZA USLUGE, ZADARSKA ULICA 80, 10000 ZAGREB, OIB: 66538066056AUDIT D.O.O. TRG JOHNA FITZGERALDA KENNEDYJA 6B, 10000 ZAGREB, OIB: 39806187636</v>
      </c>
      <c r="H1641" s="7"/>
      <c r="I1641" s="8" t="s">
        <v>599</v>
      </c>
      <c r="J1641" s="8" t="s">
        <v>53</v>
      </c>
      <c r="K1641" s="6" t="str">
        <f>"349.000,00"</f>
        <v>349.000,00</v>
      </c>
      <c r="L1641" s="6" t="str">
        <f>"87.250,00"</f>
        <v>87.250,00</v>
      </c>
      <c r="M1641" s="6" t="str">
        <f>"436.250,00"</f>
        <v>436.250,00</v>
      </c>
      <c r="N1641" s="8" t="s">
        <v>372</v>
      </c>
      <c r="O1641" s="7"/>
      <c r="P1641" s="2" t="s">
        <v>6620</v>
      </c>
      <c r="Q1641" s="7"/>
      <c r="R1641" s="1"/>
      <c r="S1641" s="1" t="str">
        <f>"1-21/NOS-9/21"</f>
        <v>1-21/NOS-9/21</v>
      </c>
      <c r="T1641" s="1" t="s">
        <v>32</v>
      </c>
    </row>
    <row r="1642" spans="1:20" ht="140.25" x14ac:dyDescent="0.25">
      <c r="A1642" s="6">
        <v>1638</v>
      </c>
      <c r="B1642" s="1" t="str">
        <f t="shared" si="150"/>
        <v>2021-35</v>
      </c>
      <c r="C1642" s="1" t="s">
        <v>1507</v>
      </c>
      <c r="D1642" s="1" t="s">
        <v>1510</v>
      </c>
      <c r="E1642" s="1" t="str">
        <f>""</f>
        <v/>
      </c>
      <c r="F1642" s="1" t="s">
        <v>28</v>
      </c>
      <c r="G1642" s="1" t="str">
        <f t="shared" si="151"/>
        <v>Zajednica ponuditelja
PKF FACT REVIZIJA D.O.O. ZA USLUGE, ZADARSKA ULICA 80, 10000 ZAGREB, OIB: 66538066056AUDIT D.O.O. TRG JOHNA FITZGERALDA KENNEDYJA 6B, 10000 ZAGREB, OIB: 39806187636</v>
      </c>
      <c r="H1642" s="7"/>
      <c r="I1642" s="8" t="s">
        <v>1167</v>
      </c>
      <c r="J1642" s="8" t="s">
        <v>53</v>
      </c>
      <c r="K1642" s="6" t="str">
        <f>"100.000,00"</f>
        <v>100.000,00</v>
      </c>
      <c r="L1642" s="6" t="str">
        <f>"25.000,00"</f>
        <v>25.000,00</v>
      </c>
      <c r="M1642" s="6" t="str">
        <f>"125.000,00"</f>
        <v>125.000,00</v>
      </c>
      <c r="N1642" s="8" t="s">
        <v>124</v>
      </c>
      <c r="O1642" s="7"/>
      <c r="P1642" s="2" t="s">
        <v>5614</v>
      </c>
      <c r="Q1642" s="7"/>
      <c r="R1642" s="1"/>
      <c r="S1642" s="1" t="str">
        <f>"3-21/NOS-9/21"</f>
        <v>3-21/NOS-9/21</v>
      </c>
      <c r="T1642" s="1" t="s">
        <v>55</v>
      </c>
    </row>
    <row r="1643" spans="1:20" ht="140.25" x14ac:dyDescent="0.25">
      <c r="A1643" s="6">
        <v>1639</v>
      </c>
      <c r="B1643" s="1" t="str">
        <f t="shared" si="150"/>
        <v>2021-35</v>
      </c>
      <c r="C1643" s="1" t="s">
        <v>1507</v>
      </c>
      <c r="D1643" s="1" t="s">
        <v>1510</v>
      </c>
      <c r="E1643" s="1" t="str">
        <f>""</f>
        <v/>
      </c>
      <c r="F1643" s="1" t="s">
        <v>28</v>
      </c>
      <c r="G1643" s="1" t="str">
        <f t="shared" si="151"/>
        <v>Zajednica ponuditelja
PKF FACT REVIZIJA D.O.O. ZA USLUGE, ZADARSKA ULICA 80, 10000 ZAGREB, OIB: 66538066056AUDIT D.O.O. TRG JOHNA FITZGERALDA KENNEDYJA 6B, 10000 ZAGREB, OIB: 39806187636</v>
      </c>
      <c r="H1643" s="7"/>
      <c r="I1643" s="8" t="s">
        <v>190</v>
      </c>
      <c r="J1643" s="8" t="s">
        <v>53</v>
      </c>
      <c r="K1643" s="6" t="str">
        <f>"50.000,00"</f>
        <v>50.000,00</v>
      </c>
      <c r="L1643" s="6" t="str">
        <f>"12.500,00"</f>
        <v>12.500,00</v>
      </c>
      <c r="M1643" s="6" t="str">
        <f>"62.500,00"</f>
        <v>62.500,00</v>
      </c>
      <c r="N1643" s="8" t="s">
        <v>261</v>
      </c>
      <c r="O1643" s="7"/>
      <c r="P1643" s="2" t="s">
        <v>6621</v>
      </c>
      <c r="Q1643" s="7"/>
      <c r="R1643" s="1"/>
      <c r="S1643" s="1" t="str">
        <f>"2-21/NOS-9/21"</f>
        <v>2-21/NOS-9/21</v>
      </c>
      <c r="T1643" s="1" t="s">
        <v>43</v>
      </c>
    </row>
    <row r="1644" spans="1:20" ht="140.25" x14ac:dyDescent="0.25">
      <c r="A1644" s="6">
        <v>1640</v>
      </c>
      <c r="B1644" s="1" t="str">
        <f t="shared" si="150"/>
        <v>2021-35</v>
      </c>
      <c r="C1644" s="1" t="s">
        <v>1507</v>
      </c>
      <c r="D1644" s="1" t="s">
        <v>1510</v>
      </c>
      <c r="E1644" s="1" t="str">
        <f>""</f>
        <v/>
      </c>
      <c r="F1644" s="1" t="s">
        <v>28</v>
      </c>
      <c r="G1644" s="1" t="str">
        <f t="shared" si="151"/>
        <v>Zajednica ponuditelja
PKF FACT REVIZIJA D.O.O. ZA USLUGE, ZADARSKA ULICA 80, 10000 ZAGREB, OIB: 66538066056AUDIT D.O.O. TRG JOHNA FITZGERALDA KENNEDYJA 6B, 10000 ZAGREB, OIB: 39806187636</v>
      </c>
      <c r="H1644" s="7"/>
      <c r="I1644" s="8" t="s">
        <v>190</v>
      </c>
      <c r="J1644" s="8" t="s">
        <v>53</v>
      </c>
      <c r="K1644" s="6" t="str">
        <f>"70.000,00"</f>
        <v>70.000,00</v>
      </c>
      <c r="L1644" s="6" t="str">
        <f>"17.500,00"</f>
        <v>17.500,00</v>
      </c>
      <c r="M1644" s="6" t="str">
        <f>"87.500,00"</f>
        <v>87.500,00</v>
      </c>
      <c r="N1644" s="8" t="s">
        <v>124</v>
      </c>
      <c r="O1644" s="7"/>
      <c r="P1644" s="2" t="s">
        <v>5614</v>
      </c>
      <c r="Q1644" s="7"/>
      <c r="R1644" s="1"/>
      <c r="S1644" s="1" t="str">
        <f>"4-21/NOS-9/21"</f>
        <v>4-21/NOS-9/21</v>
      </c>
      <c r="T1644" s="1" t="s">
        <v>86</v>
      </c>
    </row>
    <row r="1645" spans="1:20" ht="140.25" x14ac:dyDescent="0.25">
      <c r="A1645" s="6">
        <v>1641</v>
      </c>
      <c r="B1645" s="1" t="str">
        <f t="shared" si="150"/>
        <v>2021-35</v>
      </c>
      <c r="C1645" s="1" t="s">
        <v>1507</v>
      </c>
      <c r="D1645" s="1" t="s">
        <v>1510</v>
      </c>
      <c r="E1645" s="1" t="str">
        <f>""</f>
        <v/>
      </c>
      <c r="F1645" s="1" t="s">
        <v>28</v>
      </c>
      <c r="G1645" s="1" t="str">
        <f t="shared" si="151"/>
        <v>Zajednica ponuditelja
PKF FACT REVIZIJA D.O.O. ZA USLUGE, ZADARSKA ULICA 80, 10000 ZAGREB, OIB: 66538066056AUDIT D.O.O. TRG JOHNA FITZGERALDA KENNEDYJA 6B, 10000 ZAGREB, OIB: 39806187636</v>
      </c>
      <c r="H1645" s="7"/>
      <c r="I1645" s="8" t="s">
        <v>126</v>
      </c>
      <c r="J1645" s="8" t="s">
        <v>53</v>
      </c>
      <c r="K1645" s="6" t="str">
        <f>"20.000,00"</f>
        <v>20.000,00</v>
      </c>
      <c r="L1645" s="6" t="str">
        <f>"5.000,00"</f>
        <v>5.000,00</v>
      </c>
      <c r="M1645" s="6" t="str">
        <f>"25.000,00"</f>
        <v>25.000,00</v>
      </c>
      <c r="N1645" s="8" t="s">
        <v>124</v>
      </c>
      <c r="O1645" s="7"/>
      <c r="P1645" s="2" t="s">
        <v>5614</v>
      </c>
      <c r="Q1645" s="7"/>
      <c r="R1645" s="1"/>
      <c r="S1645" s="1" t="str">
        <f>"6-21/NOS-9/21"</f>
        <v>6-21/NOS-9/21</v>
      </c>
      <c r="T1645" s="1" t="s">
        <v>1511</v>
      </c>
    </row>
    <row r="1646" spans="1:20" ht="140.25" x14ac:dyDescent="0.25">
      <c r="A1646" s="6">
        <v>1642</v>
      </c>
      <c r="B1646" s="1" t="str">
        <f t="shared" si="150"/>
        <v>2021-35</v>
      </c>
      <c r="C1646" s="1" t="s">
        <v>1507</v>
      </c>
      <c r="D1646" s="1" t="s">
        <v>1510</v>
      </c>
      <c r="E1646" s="1" t="str">
        <f>""</f>
        <v/>
      </c>
      <c r="F1646" s="1" t="s">
        <v>28</v>
      </c>
      <c r="G1646" s="1" t="str">
        <f t="shared" si="151"/>
        <v>Zajednica ponuditelja
PKF FACT REVIZIJA D.O.O. ZA USLUGE, ZADARSKA ULICA 80, 10000 ZAGREB, OIB: 66538066056AUDIT D.O.O. TRG JOHNA FITZGERALDA KENNEDYJA 6B, 10000 ZAGREB, OIB: 39806187636</v>
      </c>
      <c r="H1646" s="7"/>
      <c r="I1646" s="8" t="s">
        <v>930</v>
      </c>
      <c r="J1646" s="8" t="s">
        <v>53</v>
      </c>
      <c r="K1646" s="6" t="str">
        <f>"60.000,00"</f>
        <v>60.000,00</v>
      </c>
      <c r="L1646" s="6" t="str">
        <f>"15.000,00"</f>
        <v>15.000,00</v>
      </c>
      <c r="M1646" s="6" t="str">
        <f>"75.000,00"</f>
        <v>75.000,00</v>
      </c>
      <c r="N1646" s="8" t="s">
        <v>489</v>
      </c>
      <c r="O1646" s="7"/>
      <c r="P1646" s="2" t="s">
        <v>6622</v>
      </c>
      <c r="Q1646" s="7"/>
      <c r="R1646" s="1"/>
      <c r="S1646" s="1" t="str">
        <f>"1-22/NOS-9/21"</f>
        <v>1-22/NOS-9/21</v>
      </c>
      <c r="T1646" s="1" t="s">
        <v>1512</v>
      </c>
    </row>
    <row r="1647" spans="1:20" ht="140.25" x14ac:dyDescent="0.25">
      <c r="A1647" s="6">
        <v>1643</v>
      </c>
      <c r="B1647" s="1" t="str">
        <f t="shared" si="150"/>
        <v>2021-35</v>
      </c>
      <c r="C1647" s="1" t="s">
        <v>1507</v>
      </c>
      <c r="D1647" s="1" t="s">
        <v>1510</v>
      </c>
      <c r="E1647" s="1" t="str">
        <f>""</f>
        <v/>
      </c>
      <c r="F1647" s="1" t="s">
        <v>28</v>
      </c>
      <c r="G1647" s="1" t="str">
        <f t="shared" si="151"/>
        <v>Zajednica ponuditelja
PKF FACT REVIZIJA D.O.O. ZA USLUGE, ZADARSKA ULICA 80, 10000 ZAGREB, OIB: 66538066056AUDIT D.O.O. TRG JOHNA FITZGERALDA KENNEDYJA 6B, 10000 ZAGREB, OIB: 39806187636</v>
      </c>
      <c r="H1647" s="7"/>
      <c r="I1647" s="8" t="s">
        <v>214</v>
      </c>
      <c r="J1647" s="8" t="s">
        <v>961</v>
      </c>
      <c r="K1647" s="6" t="str">
        <f>"349.000,00"</f>
        <v>349.000,00</v>
      </c>
      <c r="L1647" s="6" t="str">
        <f>"87.250,00"</f>
        <v>87.250,00</v>
      </c>
      <c r="M1647" s="6" t="str">
        <f>"436.250,00"</f>
        <v>436.250,00</v>
      </c>
      <c r="N1647" s="8" t="s">
        <v>124</v>
      </c>
      <c r="O1647" s="7"/>
      <c r="P1647" s="2" t="s">
        <v>5614</v>
      </c>
      <c r="Q1647" s="7"/>
      <c r="R1647" s="1"/>
      <c r="S1647" s="1" t="str">
        <f>"3-22/NOS-9/21"</f>
        <v>3-22/NOS-9/21</v>
      </c>
      <c r="T1647" s="1" t="s">
        <v>32</v>
      </c>
    </row>
    <row r="1648" spans="1:20" ht="140.25" x14ac:dyDescent="0.25">
      <c r="A1648" s="6">
        <v>1644</v>
      </c>
      <c r="B1648" s="1" t="str">
        <f t="shared" si="150"/>
        <v>2021-35</v>
      </c>
      <c r="C1648" s="1" t="s">
        <v>1507</v>
      </c>
      <c r="D1648" s="1" t="s">
        <v>1510</v>
      </c>
      <c r="E1648" s="1" t="str">
        <f>""</f>
        <v/>
      </c>
      <c r="F1648" s="1" t="s">
        <v>28</v>
      </c>
      <c r="G1648" s="1" t="str">
        <f t="shared" si="151"/>
        <v>Zajednica ponuditelja
PKF FACT REVIZIJA D.O.O. ZA USLUGE, ZADARSKA ULICA 80, 10000 ZAGREB, OIB: 66538066056AUDIT D.O.O. TRG JOHNA FITZGERALDA KENNEDYJA 6B, 10000 ZAGREB, OIB: 39806187636</v>
      </c>
      <c r="H1648" s="7"/>
      <c r="I1648" s="8" t="s">
        <v>214</v>
      </c>
      <c r="J1648" s="8" t="s">
        <v>961</v>
      </c>
      <c r="K1648" s="6" t="str">
        <f>"70.000,00"</f>
        <v>70.000,00</v>
      </c>
      <c r="L1648" s="6" t="str">
        <f>"17.500,00"</f>
        <v>17.500,00</v>
      </c>
      <c r="M1648" s="6" t="str">
        <f>"87.500,00"</f>
        <v>87.500,00</v>
      </c>
      <c r="N1648" s="8" t="s">
        <v>124</v>
      </c>
      <c r="O1648" s="7"/>
      <c r="P1648" s="2" t="s">
        <v>5614</v>
      </c>
      <c r="Q1648" s="7"/>
      <c r="R1648" s="1"/>
      <c r="S1648" s="1" t="str">
        <f>"4-22/NOS-9/21"</f>
        <v>4-22/NOS-9/21</v>
      </c>
      <c r="T1648" s="1" t="s">
        <v>86</v>
      </c>
    </row>
    <row r="1649" spans="1:20" ht="140.25" x14ac:dyDescent="0.25">
      <c r="A1649" s="6">
        <v>1645</v>
      </c>
      <c r="B1649" s="1" t="str">
        <f t="shared" si="150"/>
        <v>2021-35</v>
      </c>
      <c r="C1649" s="1" t="s">
        <v>1507</v>
      </c>
      <c r="D1649" s="1" t="s">
        <v>1510</v>
      </c>
      <c r="E1649" s="1" t="str">
        <f>""</f>
        <v/>
      </c>
      <c r="F1649" s="1" t="s">
        <v>28</v>
      </c>
      <c r="G1649" s="1" t="str">
        <f t="shared" si="151"/>
        <v>Zajednica ponuditelja
PKF FACT REVIZIJA D.O.O. ZA USLUGE, ZADARSKA ULICA 80, 10000 ZAGREB, OIB: 66538066056AUDIT D.O.O. TRG JOHNA FITZGERALDA KENNEDYJA 6B, 10000 ZAGREB, OIB: 39806187636</v>
      </c>
      <c r="H1649" s="7"/>
      <c r="I1649" s="8" t="s">
        <v>214</v>
      </c>
      <c r="J1649" s="8" t="s">
        <v>961</v>
      </c>
      <c r="K1649" s="6" t="str">
        <f>"50.000,00"</f>
        <v>50.000,00</v>
      </c>
      <c r="L1649" s="6" t="str">
        <f>"12.500,00"</f>
        <v>12.500,00</v>
      </c>
      <c r="M1649" s="6" t="str">
        <f>"62.500,00"</f>
        <v>62.500,00</v>
      </c>
      <c r="N1649" s="8" t="s">
        <v>124</v>
      </c>
      <c r="O1649" s="7"/>
      <c r="P1649" s="2" t="s">
        <v>5614</v>
      </c>
      <c r="Q1649" s="7"/>
      <c r="R1649" s="1"/>
      <c r="S1649" s="1" t="str">
        <f>"6-22/NOS-9/21"</f>
        <v>6-22/NOS-9/21</v>
      </c>
      <c r="T1649" s="1" t="s">
        <v>43</v>
      </c>
    </row>
    <row r="1650" spans="1:20" ht="140.25" x14ac:dyDescent="0.25">
      <c r="A1650" s="6">
        <v>1646</v>
      </c>
      <c r="B1650" s="1" t="str">
        <f t="shared" si="150"/>
        <v>2021-35</v>
      </c>
      <c r="C1650" s="1" t="s">
        <v>1507</v>
      </c>
      <c r="D1650" s="1" t="s">
        <v>1510</v>
      </c>
      <c r="E1650" s="1" t="str">
        <f>""</f>
        <v/>
      </c>
      <c r="F1650" s="1" t="s">
        <v>28</v>
      </c>
      <c r="G1650" s="1" t="str">
        <f t="shared" si="151"/>
        <v>Zajednica ponuditelja
PKF FACT REVIZIJA D.O.O. ZA USLUGE, ZADARSKA ULICA 80, 10000 ZAGREB, OIB: 66538066056AUDIT D.O.O. TRG JOHNA FITZGERALDA KENNEDYJA 6B, 10000 ZAGREB, OIB: 39806187636</v>
      </c>
      <c r="H1650" s="7"/>
      <c r="I1650" s="8" t="s">
        <v>214</v>
      </c>
      <c r="J1650" s="8" t="s">
        <v>961</v>
      </c>
      <c r="K1650" s="6" t="str">
        <f>"120.000,00"</f>
        <v>120.000,00</v>
      </c>
      <c r="L1650" s="6" t="str">
        <f>"30.000,00"</f>
        <v>30.000,00</v>
      </c>
      <c r="M1650" s="6" t="str">
        <f>"150.000,00"</f>
        <v>150.000,00</v>
      </c>
      <c r="N1650" s="8" t="s">
        <v>124</v>
      </c>
      <c r="O1650" s="7"/>
      <c r="P1650" s="2" t="s">
        <v>5614</v>
      </c>
      <c r="Q1650" s="7"/>
      <c r="R1650" s="1"/>
      <c r="S1650" s="1" t="str">
        <f>"5-22/NOS-9/21"</f>
        <v>5-22/NOS-9/21</v>
      </c>
      <c r="T1650" s="1" t="s">
        <v>55</v>
      </c>
    </row>
    <row r="1651" spans="1:20" ht="140.25" x14ac:dyDescent="0.25">
      <c r="A1651" s="6">
        <v>1647</v>
      </c>
      <c r="B1651" s="1" t="str">
        <f t="shared" si="150"/>
        <v>2021-35</v>
      </c>
      <c r="C1651" s="1" t="s">
        <v>1513</v>
      </c>
      <c r="D1651" s="1" t="s">
        <v>1510</v>
      </c>
      <c r="E1651" s="1" t="str">
        <f>""</f>
        <v/>
      </c>
      <c r="F1651" s="1" t="s">
        <v>92</v>
      </c>
      <c r="G1651" s="1" t="str">
        <f t="shared" si="151"/>
        <v>Zajednica ponuditelja
PKF FACT REVIZIJA D.O.O. ZA USLUGE, ZADARSKA ULICA 80, 10000 ZAGREB, OIB: 66538066056AUDIT D.O.O. TRG JOHNA FITZGERALDA KENNEDYJA 6B, 10000 ZAGREB, OIB: 39806187636</v>
      </c>
      <c r="H1651" s="7"/>
      <c r="I1651" s="8" t="s">
        <v>400</v>
      </c>
      <c r="J1651" s="8" t="s">
        <v>53</v>
      </c>
      <c r="K1651" s="6" t="str">
        <f>"34.800,00"</f>
        <v>34.800,00</v>
      </c>
      <c r="L1651" s="6" t="str">
        <f>"8.700,00"</f>
        <v>8.700,00</v>
      </c>
      <c r="M1651" s="6" t="str">
        <f>"43.500,00"</f>
        <v>43.500,00</v>
      </c>
      <c r="N1651" s="8" t="s">
        <v>372</v>
      </c>
      <c r="O1651" s="7"/>
      <c r="P1651" s="2" t="s">
        <v>6623</v>
      </c>
      <c r="Q1651" s="7"/>
      <c r="R1651" s="1"/>
      <c r="S1651" s="1" t="str">
        <f>"1-21/NOS-9/21#1"</f>
        <v>1-21/NOS-9/21#1</v>
      </c>
      <c r="T1651" s="1" t="s">
        <v>32</v>
      </c>
    </row>
    <row r="1652" spans="1:20" ht="140.25" x14ac:dyDescent="0.25">
      <c r="A1652" s="6">
        <v>1648</v>
      </c>
      <c r="B1652" s="1" t="str">
        <f t="shared" si="150"/>
        <v>2021-35</v>
      </c>
      <c r="C1652" s="1" t="s">
        <v>1507</v>
      </c>
      <c r="D1652" s="1" t="s">
        <v>1510</v>
      </c>
      <c r="E1652" s="1" t="str">
        <f>""</f>
        <v/>
      </c>
      <c r="F1652" s="1" t="s">
        <v>28</v>
      </c>
      <c r="G1652" s="1" t="str">
        <f>CONCATENATE("Zajednica ponuditelja:",CHAR(10),"PKF FACT REVIZIJA D.O.O. ZA USLUGE,"," ZADARSKA ULICA 80,"," 10000 ZAGREB,"," OIB: 66538066056",CHAR(10),"AUDIT D.O.O.,"," TRG JOHNA FITZGERALDA KENNEDYJA 6B,"," 10000 ZAGREB,"," OIB: 39806187636")</f>
        <v>Zajednica ponuditelja:
PKF FACT REVIZIJA D.O.O. ZA USLUGE, ZADARSKA ULICA 80, 10000 ZAGREB, OIB: 66538066056
AUDIT D.O.O., TRG JOHNA FITZGERALDA KENNEDYJA 6B, 10000 ZAGREB, OIB: 39806187636</v>
      </c>
      <c r="H1652" s="7"/>
      <c r="I1652" s="8" t="s">
        <v>404</v>
      </c>
      <c r="J1652" s="8" t="s">
        <v>231</v>
      </c>
      <c r="K1652" s="6" t="str">
        <f>"20.000,00"</f>
        <v>20.000,00</v>
      </c>
      <c r="L1652" s="6" t="str">
        <f>"0,00"</f>
        <v>0,00</v>
      </c>
      <c r="M1652" s="6" t="str">
        <f>"20.000,00"</f>
        <v>20.000,00</v>
      </c>
      <c r="N1652" s="8" t="s">
        <v>124</v>
      </c>
      <c r="O1652" s="7"/>
      <c r="P1652" s="2" t="s">
        <v>5614</v>
      </c>
      <c r="Q1652" s="7"/>
      <c r="R1652" s="1"/>
      <c r="S1652" s="1" t="str">
        <f>"2-22/NOS-9/21"</f>
        <v>2-22/NOS-9/21</v>
      </c>
      <c r="T1652" s="1" t="s">
        <v>55</v>
      </c>
    </row>
    <row r="1653" spans="1:20" ht="51" x14ac:dyDescent="0.25">
      <c r="A1653" s="6">
        <v>1649</v>
      </c>
      <c r="B1653" s="1" t="str">
        <f t="shared" ref="B1653:B1664" si="152">"2021-28"</f>
        <v>2021-28</v>
      </c>
      <c r="C1653" s="1" t="s">
        <v>1514</v>
      </c>
      <c r="D1653" s="1" t="s">
        <v>750</v>
      </c>
      <c r="E1653" s="1" t="str">
        <f>"2021/S 0F2-0014766"</f>
        <v>2021/S 0F2-0014766</v>
      </c>
      <c r="F1653" s="1" t="s">
        <v>22</v>
      </c>
      <c r="G1653" s="1" t="str">
        <f t="shared" ref="G1653:G1664" si="153">CONCATENATE("USLUGA D.O.O.,"," GORNJA OBRIJEŽ 21,"," 34550 PAKRAC,"," OIB: 2798710804")</f>
        <v>USLUGA D.O.O., GORNJA OBRIJEŽ 21, 34550 PAKRAC, OIB: 2798710804</v>
      </c>
      <c r="H1653" s="7"/>
      <c r="I1653" s="8" t="s">
        <v>891</v>
      </c>
      <c r="J1653" s="8" t="s">
        <v>1515</v>
      </c>
      <c r="K1653" s="6" t="str">
        <f>"15.000.000,00"</f>
        <v>15.000.000,00</v>
      </c>
      <c r="L1653" s="6" t="str">
        <f>"3.750.000,00"</f>
        <v>3.750.000,00</v>
      </c>
      <c r="M1653" s="6" t="str">
        <f>"18.750.000,00"</f>
        <v>18.750.000,00</v>
      </c>
      <c r="N1653" s="8" t="s">
        <v>124</v>
      </c>
      <c r="O1653" s="7"/>
      <c r="P1653" s="2" t="s">
        <v>5614</v>
      </c>
      <c r="Q1653" s="7"/>
      <c r="R1653" s="1"/>
      <c r="S1653" s="1" t="str">
        <f>"NOS-10-1/21"</f>
        <v>NOS-10-1/21</v>
      </c>
      <c r="T1653" s="1" t="s">
        <v>32</v>
      </c>
    </row>
    <row r="1654" spans="1:20" ht="63.75" x14ac:dyDescent="0.25">
      <c r="A1654" s="6">
        <v>1650</v>
      </c>
      <c r="B1654" s="1" t="str">
        <f t="shared" si="152"/>
        <v>2021-28</v>
      </c>
      <c r="C1654" s="1" t="s">
        <v>1516</v>
      </c>
      <c r="D1654" s="1" t="s">
        <v>753</v>
      </c>
      <c r="E1654" s="1" t="str">
        <f>""</f>
        <v/>
      </c>
      <c r="F1654" s="1" t="s">
        <v>28</v>
      </c>
      <c r="G1654" s="1" t="str">
        <f t="shared" si="153"/>
        <v>USLUGA D.O.O., GORNJA OBRIJEŽ 21, 34550 PAKRAC, OIB: 2798710804</v>
      </c>
      <c r="H1654" s="7"/>
      <c r="I1654" s="8" t="s">
        <v>126</v>
      </c>
      <c r="J1654" s="8" t="s">
        <v>41</v>
      </c>
      <c r="K1654" s="6" t="str">
        <f>"6.441.730,00"</f>
        <v>6.441.730,00</v>
      </c>
      <c r="L1654" s="6" t="str">
        <f>"1.610.432,50"</f>
        <v>1.610.432,50</v>
      </c>
      <c r="M1654" s="6" t="str">
        <f>"8.052.162,50"</f>
        <v>8.052.162,50</v>
      </c>
      <c r="N1654" s="8" t="s">
        <v>1155</v>
      </c>
      <c r="O1654" s="7"/>
      <c r="P1654" s="2" t="s">
        <v>6624</v>
      </c>
      <c r="Q1654" s="1"/>
      <c r="R1654" s="1"/>
      <c r="S1654" s="1" t="str">
        <f>"1-21/NOS-10-1/21"</f>
        <v>1-21/NOS-10-1/21</v>
      </c>
      <c r="T1654" s="1" t="s">
        <v>32</v>
      </c>
    </row>
    <row r="1655" spans="1:20" ht="63.75" x14ac:dyDescent="0.25">
      <c r="A1655" s="6">
        <v>1651</v>
      </c>
      <c r="B1655" s="1" t="str">
        <f t="shared" si="152"/>
        <v>2021-28</v>
      </c>
      <c r="C1655" s="1" t="s">
        <v>1517</v>
      </c>
      <c r="D1655" s="1" t="s">
        <v>753</v>
      </c>
      <c r="E1655" s="1" t="str">
        <f>""</f>
        <v/>
      </c>
      <c r="F1655" s="1" t="s">
        <v>28</v>
      </c>
      <c r="G1655" s="1" t="str">
        <f t="shared" si="153"/>
        <v>USLUGA D.O.O., GORNJA OBRIJEŽ 21, 34550 PAKRAC, OIB: 2798710804</v>
      </c>
      <c r="H1655" s="7"/>
      <c r="I1655" s="8" t="s">
        <v>635</v>
      </c>
      <c r="J1655" s="8" t="s">
        <v>169</v>
      </c>
      <c r="K1655" s="6" t="str">
        <f>"4.405.850,00"</f>
        <v>4.405.850,00</v>
      </c>
      <c r="L1655" s="6" t="str">
        <f>"1.101.462,50"</f>
        <v>1.101.462,50</v>
      </c>
      <c r="M1655" s="6" t="str">
        <f>"5.507.312,50"</f>
        <v>5.507.312,50</v>
      </c>
      <c r="N1655" s="8" t="s">
        <v>384</v>
      </c>
      <c r="O1655" s="7"/>
      <c r="P1655" s="2" t="s">
        <v>6625</v>
      </c>
      <c r="Q1655" s="1"/>
      <c r="R1655" s="1"/>
      <c r="S1655" s="1" t="str">
        <f>"1-22/NOS-10-1/21"</f>
        <v>1-22/NOS-10-1/21</v>
      </c>
      <c r="T1655" s="1" t="s">
        <v>32</v>
      </c>
    </row>
    <row r="1656" spans="1:20" ht="102" x14ac:dyDescent="0.25">
      <c r="A1656" s="6">
        <v>1652</v>
      </c>
      <c r="B1656" s="1" t="str">
        <f t="shared" si="152"/>
        <v>2021-28</v>
      </c>
      <c r="C1656" s="1" t="s">
        <v>1518</v>
      </c>
      <c r="D1656" s="1" t="s">
        <v>753</v>
      </c>
      <c r="E1656" s="1" t="str">
        <f>""</f>
        <v/>
      </c>
      <c r="F1656" s="1" t="s">
        <v>92</v>
      </c>
      <c r="G1656" s="1" t="str">
        <f t="shared" si="153"/>
        <v>USLUGA D.O.O., GORNJA OBRIJEŽ 21, 34550 PAKRAC, OIB: 2798710804</v>
      </c>
      <c r="H1656" s="7"/>
      <c r="I1656" s="8" t="s">
        <v>507</v>
      </c>
      <c r="J1656" s="8" t="s">
        <v>893</v>
      </c>
      <c r="K1656" s="6" t="str">
        <f>"23.350,00"</f>
        <v>23.350,00</v>
      </c>
      <c r="L1656" s="6" t="str">
        <f>"5.837,50"</f>
        <v>5.837,50</v>
      </c>
      <c r="M1656" s="6" t="str">
        <f>"29.187,50"</f>
        <v>29.187,50</v>
      </c>
      <c r="N1656" s="8" t="s">
        <v>124</v>
      </c>
      <c r="O1656" s="7"/>
      <c r="P1656" s="2" t="s">
        <v>5614</v>
      </c>
      <c r="Q1656" s="7"/>
      <c r="R1656" s="1"/>
      <c r="S1656" s="1" t="str">
        <f>"1-22/NOS-10-1/21#1"</f>
        <v>1-22/NOS-10-1/21#1</v>
      </c>
      <c r="T1656" s="1" t="s">
        <v>32</v>
      </c>
    </row>
    <row r="1657" spans="1:20" ht="51" x14ac:dyDescent="0.25">
      <c r="A1657" s="6">
        <v>1653</v>
      </c>
      <c r="B1657" s="1" t="str">
        <f t="shared" si="152"/>
        <v>2021-28</v>
      </c>
      <c r="C1657" s="1" t="s">
        <v>1514</v>
      </c>
      <c r="D1657" s="1" t="s">
        <v>753</v>
      </c>
      <c r="E1657" s="1" t="str">
        <f>""</f>
        <v/>
      </c>
      <c r="F1657" s="1" t="s">
        <v>28</v>
      </c>
      <c r="G1657" s="1" t="str">
        <f t="shared" si="153"/>
        <v>USLUGA D.O.O., GORNJA OBRIJEŽ 21, 34550 PAKRAC, OIB: 2798710804</v>
      </c>
      <c r="H1657" s="7"/>
      <c r="I1657" s="8" t="s">
        <v>160</v>
      </c>
      <c r="J1657" s="8" t="s">
        <v>292</v>
      </c>
      <c r="K1657" s="6" t="str">
        <f>"623.200,00"</f>
        <v>623.200,00</v>
      </c>
      <c r="L1657" s="6" t="str">
        <f>"0,00"</f>
        <v>0,00</v>
      </c>
      <c r="M1657" s="6" t="str">
        <f>"623.200,00"</f>
        <v>623.200,00</v>
      </c>
      <c r="N1657" s="8" t="s">
        <v>124</v>
      </c>
      <c r="O1657" s="7"/>
      <c r="P1657" s="2" t="s">
        <v>5614</v>
      </c>
      <c r="Q1657" s="7"/>
      <c r="R1657" s="1"/>
      <c r="S1657" s="1" t="str">
        <f>"2-22/NOS-10-1/21"</f>
        <v>2-22/NOS-10-1/21</v>
      </c>
      <c r="T1657" s="1" t="s">
        <v>32</v>
      </c>
    </row>
    <row r="1658" spans="1:20" ht="51" x14ac:dyDescent="0.25">
      <c r="A1658" s="6">
        <v>1654</v>
      </c>
      <c r="B1658" s="1" t="str">
        <f t="shared" si="152"/>
        <v>2021-28</v>
      </c>
      <c r="C1658" s="1" t="s">
        <v>1519</v>
      </c>
      <c r="D1658" s="1" t="s">
        <v>753</v>
      </c>
      <c r="E1658" s="1" t="str">
        <f>""</f>
        <v/>
      </c>
      <c r="F1658" s="1" t="s">
        <v>28</v>
      </c>
      <c r="G1658" s="1" t="str">
        <f t="shared" si="153"/>
        <v>USLUGA D.O.O., GORNJA OBRIJEŽ 21, 34550 PAKRAC, OIB: 2798710804</v>
      </c>
      <c r="H1658" s="7"/>
      <c r="I1658" s="8" t="s">
        <v>507</v>
      </c>
      <c r="J1658" s="8" t="s">
        <v>402</v>
      </c>
      <c r="K1658" s="6" t="str">
        <f>"391.240,00"</f>
        <v>391.240,00</v>
      </c>
      <c r="L1658" s="6" t="str">
        <f>"97.810,00"</f>
        <v>97.810,00</v>
      </c>
      <c r="M1658" s="6" t="str">
        <f>"489.050,00"</f>
        <v>489.050,00</v>
      </c>
      <c r="N1658" s="8" t="s">
        <v>227</v>
      </c>
      <c r="O1658" s="7"/>
      <c r="P1658" s="2" t="s">
        <v>6626</v>
      </c>
      <c r="Q1658" s="7"/>
      <c r="R1658" s="1"/>
      <c r="S1658" s="1" t="str">
        <f>"3-22/NOS-10-1/21"</f>
        <v>3-22/NOS-10-1/21</v>
      </c>
      <c r="T1658" s="1" t="s">
        <v>32</v>
      </c>
    </row>
    <row r="1659" spans="1:20" ht="51" x14ac:dyDescent="0.25">
      <c r="A1659" s="6">
        <v>1655</v>
      </c>
      <c r="B1659" s="1" t="str">
        <f t="shared" si="152"/>
        <v>2021-28</v>
      </c>
      <c r="C1659" s="1" t="s">
        <v>1519</v>
      </c>
      <c r="D1659" s="1" t="s">
        <v>753</v>
      </c>
      <c r="E1659" s="1" t="str">
        <f>""</f>
        <v/>
      </c>
      <c r="F1659" s="1" t="s">
        <v>28</v>
      </c>
      <c r="G1659" s="1" t="str">
        <f t="shared" si="153"/>
        <v>USLUGA D.O.O., GORNJA OBRIJEŽ 21, 34550 PAKRAC, OIB: 2798710804</v>
      </c>
      <c r="H1659" s="7"/>
      <c r="I1659" s="8" t="s">
        <v>388</v>
      </c>
      <c r="J1659" s="8" t="s">
        <v>1200</v>
      </c>
      <c r="K1659" s="6" t="str">
        <f>"405.200,00"</f>
        <v>405.200,00</v>
      </c>
      <c r="L1659" s="6" t="str">
        <f>"101.300,00"</f>
        <v>101.300,00</v>
      </c>
      <c r="M1659" s="6" t="str">
        <f>"506.500,00"</f>
        <v>506.500,00</v>
      </c>
      <c r="N1659" s="8" t="s">
        <v>124</v>
      </c>
      <c r="O1659" s="7"/>
      <c r="P1659" s="2" t="s">
        <v>5614</v>
      </c>
      <c r="Q1659" s="7"/>
      <c r="R1659" s="1"/>
      <c r="S1659" s="1" t="str">
        <f>"4-22/NOS-10-1/21"</f>
        <v>4-22/NOS-10-1/21</v>
      </c>
      <c r="T1659" s="1" t="s">
        <v>32</v>
      </c>
    </row>
    <row r="1660" spans="1:20" ht="63.75" x14ac:dyDescent="0.25">
      <c r="A1660" s="6">
        <v>1656</v>
      </c>
      <c r="B1660" s="1" t="str">
        <f t="shared" si="152"/>
        <v>2021-28</v>
      </c>
      <c r="C1660" s="1" t="s">
        <v>1520</v>
      </c>
      <c r="D1660" s="1" t="s">
        <v>750</v>
      </c>
      <c r="E1660" s="1" t="str">
        <f>"2021/S 0F2-0014766"</f>
        <v>2021/S 0F2-0014766</v>
      </c>
      <c r="F1660" s="1" t="s">
        <v>22</v>
      </c>
      <c r="G1660" s="1" t="str">
        <f t="shared" si="153"/>
        <v>USLUGA D.O.O., GORNJA OBRIJEŽ 21, 34550 PAKRAC, OIB: 2798710804</v>
      </c>
      <c r="H1660" s="7"/>
      <c r="I1660" s="8" t="s">
        <v>891</v>
      </c>
      <c r="J1660" s="8" t="s">
        <v>1515</v>
      </c>
      <c r="K1660" s="6" t="str">
        <f>"3.000.000,00"</f>
        <v>3.000.000,00</v>
      </c>
      <c r="L1660" s="6" t="str">
        <f>"750.000,00"</f>
        <v>750.000,00</v>
      </c>
      <c r="M1660" s="6" t="str">
        <f>"3.750.000,00"</f>
        <v>3.750.000,00</v>
      </c>
      <c r="N1660" s="8" t="s">
        <v>124</v>
      </c>
      <c r="O1660" s="7"/>
      <c r="P1660" s="2" t="s">
        <v>5614</v>
      </c>
      <c r="Q1660" s="7"/>
      <c r="R1660" s="1"/>
      <c r="S1660" s="1" t="str">
        <f>"NOS-10-2/21"</f>
        <v>NOS-10-2/21</v>
      </c>
      <c r="T1660" s="1" t="s">
        <v>32</v>
      </c>
    </row>
    <row r="1661" spans="1:20" ht="63.75" x14ac:dyDescent="0.25">
      <c r="A1661" s="6">
        <v>1657</v>
      </c>
      <c r="B1661" s="1" t="str">
        <f t="shared" si="152"/>
        <v>2021-28</v>
      </c>
      <c r="C1661" s="1" t="s">
        <v>1520</v>
      </c>
      <c r="D1661" s="1" t="s">
        <v>753</v>
      </c>
      <c r="E1661" s="1" t="str">
        <f>""</f>
        <v/>
      </c>
      <c r="F1661" s="1" t="s">
        <v>28</v>
      </c>
      <c r="G1661" s="1" t="str">
        <f t="shared" si="153"/>
        <v>USLUGA D.O.O., GORNJA OBRIJEŽ 21, 34550 PAKRAC, OIB: 2798710804</v>
      </c>
      <c r="H1661" s="7"/>
      <c r="I1661" s="8" t="s">
        <v>247</v>
      </c>
      <c r="J1661" s="8" t="s">
        <v>292</v>
      </c>
      <c r="K1661" s="6" t="str">
        <f>"534.392,50"</f>
        <v>534.392,50</v>
      </c>
      <c r="L1661" s="6" t="str">
        <f>"132.535,13"</f>
        <v>132.535,13</v>
      </c>
      <c r="M1661" s="6" t="str">
        <f>"666.927,63"</f>
        <v>666.927,63</v>
      </c>
      <c r="N1661" s="8" t="s">
        <v>723</v>
      </c>
      <c r="O1661" s="7"/>
      <c r="P1661" s="2" t="s">
        <v>6627</v>
      </c>
      <c r="Q1661" s="7"/>
      <c r="R1661" s="1"/>
      <c r="S1661" s="1" t="str">
        <f>"1-22/NOS-10-2/21"</f>
        <v>1-22/NOS-10-2/21</v>
      </c>
      <c r="T1661" s="1" t="s">
        <v>32</v>
      </c>
    </row>
    <row r="1662" spans="1:20" ht="63.75" x14ac:dyDescent="0.25">
      <c r="A1662" s="6">
        <v>1658</v>
      </c>
      <c r="B1662" s="1" t="str">
        <f t="shared" si="152"/>
        <v>2021-28</v>
      </c>
      <c r="C1662" s="1" t="s">
        <v>1520</v>
      </c>
      <c r="D1662" s="1" t="s">
        <v>753</v>
      </c>
      <c r="E1662" s="1" t="str">
        <f>""</f>
        <v/>
      </c>
      <c r="F1662" s="1" t="s">
        <v>28</v>
      </c>
      <c r="G1662" s="1" t="str">
        <f t="shared" si="153"/>
        <v>USLUGA D.O.O., GORNJA OBRIJEŽ 21, 34550 PAKRAC, OIB: 2798710804</v>
      </c>
      <c r="H1662" s="7"/>
      <c r="I1662" s="8" t="s">
        <v>81</v>
      </c>
      <c r="J1662" s="8" t="s">
        <v>292</v>
      </c>
      <c r="K1662" s="6" t="str">
        <f>"95.616,00"</f>
        <v>95.616,00</v>
      </c>
      <c r="L1662" s="6" t="str">
        <f>"0,00"</f>
        <v>0,00</v>
      </c>
      <c r="M1662" s="6" t="str">
        <f>"95.616,00"</f>
        <v>95.616,00</v>
      </c>
      <c r="N1662" s="8" t="s">
        <v>124</v>
      </c>
      <c r="O1662" s="7"/>
      <c r="P1662" s="2" t="s">
        <v>5614</v>
      </c>
      <c r="Q1662" s="7"/>
      <c r="R1662" s="1"/>
      <c r="S1662" s="1" t="str">
        <f>"2-22/NOS-10-2/21"</f>
        <v>2-22/NOS-10-2/21</v>
      </c>
      <c r="T1662" s="1" t="s">
        <v>32</v>
      </c>
    </row>
    <row r="1663" spans="1:20" ht="63.75" x14ac:dyDescent="0.25">
      <c r="A1663" s="6">
        <v>1659</v>
      </c>
      <c r="B1663" s="1" t="str">
        <f t="shared" si="152"/>
        <v>2021-28</v>
      </c>
      <c r="C1663" s="1" t="s">
        <v>1520</v>
      </c>
      <c r="D1663" s="1" t="s">
        <v>753</v>
      </c>
      <c r="E1663" s="1" t="str">
        <f>""</f>
        <v/>
      </c>
      <c r="F1663" s="1" t="s">
        <v>28</v>
      </c>
      <c r="G1663" s="1" t="str">
        <f t="shared" si="153"/>
        <v>USLUGA D.O.O., GORNJA OBRIJEŽ 21, 34550 PAKRAC, OIB: 2798710804</v>
      </c>
      <c r="H1663" s="7"/>
      <c r="I1663" s="8" t="s">
        <v>1009</v>
      </c>
      <c r="J1663" s="8" t="s">
        <v>292</v>
      </c>
      <c r="K1663" s="6" t="str">
        <f>"256.150,50"</f>
        <v>256.150,50</v>
      </c>
      <c r="L1663" s="6" t="str">
        <f>"0,00"</f>
        <v>0,00</v>
      </c>
      <c r="M1663" s="6" t="str">
        <f>"256.150,50"</f>
        <v>256.150,50</v>
      </c>
      <c r="N1663" s="8" t="s">
        <v>124</v>
      </c>
      <c r="O1663" s="7"/>
      <c r="P1663" s="2" t="s">
        <v>5614</v>
      </c>
      <c r="Q1663" s="7"/>
      <c r="R1663" s="1"/>
      <c r="S1663" s="1" t="str">
        <f>"4-22/NOS-10-2/21"</f>
        <v>4-22/NOS-10-2/21</v>
      </c>
      <c r="T1663" s="1" t="s">
        <v>32</v>
      </c>
    </row>
    <row r="1664" spans="1:20" ht="51" x14ac:dyDescent="0.25">
      <c r="A1664" s="6">
        <v>1660</v>
      </c>
      <c r="B1664" s="1" t="str">
        <f t="shared" si="152"/>
        <v>2021-28</v>
      </c>
      <c r="C1664" s="1" t="s">
        <v>1519</v>
      </c>
      <c r="D1664" s="1" t="s">
        <v>753</v>
      </c>
      <c r="E1664" s="1" t="str">
        <f>""</f>
        <v/>
      </c>
      <c r="F1664" s="1" t="s">
        <v>28</v>
      </c>
      <c r="G1664" s="1" t="str">
        <f t="shared" si="153"/>
        <v>USLUGA D.O.O., GORNJA OBRIJEŽ 21, 34550 PAKRAC, OIB: 2798710804</v>
      </c>
      <c r="H1664" s="7"/>
      <c r="I1664" s="8" t="s">
        <v>392</v>
      </c>
      <c r="J1664" s="8" t="s">
        <v>502</v>
      </c>
      <c r="K1664" s="6" t="str">
        <f>"29.677,00"</f>
        <v>29.677,00</v>
      </c>
      <c r="L1664" s="6" t="str">
        <f>"7.419,25"</f>
        <v>7.419,25</v>
      </c>
      <c r="M1664" s="6" t="str">
        <f>"37.096,25"</f>
        <v>37.096,25</v>
      </c>
      <c r="N1664" s="8" t="s">
        <v>496</v>
      </c>
      <c r="O1664" s="7"/>
      <c r="P1664" s="2" t="s">
        <v>6628</v>
      </c>
      <c r="Q1664" s="7"/>
      <c r="R1664" s="1"/>
      <c r="S1664" s="1" t="str">
        <f>"4-21/NOS-10-2/21"</f>
        <v>4-21/NOS-10-2/21</v>
      </c>
      <c r="T1664" s="1" t="s">
        <v>32</v>
      </c>
    </row>
    <row r="1665" spans="1:20" ht="165.75" x14ac:dyDescent="0.25">
      <c r="A1665" s="6">
        <v>1661</v>
      </c>
      <c r="B1665" s="1" t="str">
        <f>"2021-2215"</f>
        <v>2021-2215</v>
      </c>
      <c r="C1665" s="1" t="s">
        <v>1521</v>
      </c>
      <c r="D1665" s="1" t="s">
        <v>945</v>
      </c>
      <c r="E1665" s="1" t="str">
        <f>"2021/S 0F2-0029119"</f>
        <v>2021/S 0F2-0029119</v>
      </c>
      <c r="F1665" s="1" t="s">
        <v>22</v>
      </c>
      <c r="G1665" s="1"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1665" s="7"/>
      <c r="I1665" s="8" t="s">
        <v>1522</v>
      </c>
      <c r="J1665" s="8" t="s">
        <v>1087</v>
      </c>
      <c r="K1665" s="6" t="str">
        <f>"36.500.000,00"</f>
        <v>36.500.000,00</v>
      </c>
      <c r="L1665" s="6" t="str">
        <f>"9.125.000,00"</f>
        <v>9.125.000,00</v>
      </c>
      <c r="M1665" s="6" t="str">
        <f>"45.625.000,00"</f>
        <v>45.625.000,00</v>
      </c>
      <c r="N1665" s="8" t="s">
        <v>1523</v>
      </c>
      <c r="O1665" s="7"/>
      <c r="P1665" s="2" t="s">
        <v>5614</v>
      </c>
      <c r="Q1665" s="7"/>
      <c r="R1665" s="1"/>
      <c r="S1665" s="1" t="str">
        <f>"NOS-12/21"</f>
        <v>NOS-12/21</v>
      </c>
      <c r="T1665" s="1" t="s">
        <v>32</v>
      </c>
    </row>
    <row r="1666" spans="1:20" ht="51" x14ac:dyDescent="0.25">
      <c r="A1666" s="6">
        <v>1662</v>
      </c>
      <c r="B1666" s="1" t="str">
        <f>"2021-1919"</f>
        <v>2021-1919</v>
      </c>
      <c r="C1666" s="1" t="s">
        <v>1524</v>
      </c>
      <c r="D1666" s="1" t="s">
        <v>1525</v>
      </c>
      <c r="E1666" s="1" t="str">
        <f>"2021/S 0F2-0018544"</f>
        <v>2021/S 0F2-0018544</v>
      </c>
      <c r="F1666" s="1" t="s">
        <v>22</v>
      </c>
      <c r="G1666" s="1" t="str">
        <f>CONCATENATE("T.D.I. 90 D.O.O.,"," VISOČIČKA 38,"," 10000 ZAGREB,"," OIB: 26978223128")</f>
        <v>T.D.I. 90 D.O.O., VISOČIČKA 38, 10000 ZAGREB, OIB: 26978223128</v>
      </c>
      <c r="H1666" s="7"/>
      <c r="I1666" s="8" t="s">
        <v>904</v>
      </c>
      <c r="J1666" s="8" t="s">
        <v>1526</v>
      </c>
      <c r="K1666" s="6" t="str">
        <f>"1.200.000,00"</f>
        <v>1.200.000,00</v>
      </c>
      <c r="L1666" s="6" t="str">
        <f>"300.000,00"</f>
        <v>300.000,00</v>
      </c>
      <c r="M1666" s="6" t="str">
        <f>"1.500.000,00"</f>
        <v>1.500.000,00</v>
      </c>
      <c r="N1666" s="8" t="s">
        <v>124</v>
      </c>
      <c r="O1666" s="7"/>
      <c r="P1666" s="2" t="s">
        <v>5614</v>
      </c>
      <c r="Q1666" s="7"/>
      <c r="R1666" s="1"/>
      <c r="S1666" s="1" t="str">
        <f>"NOS-11/21"</f>
        <v>NOS-11/21</v>
      </c>
      <c r="T1666" s="1" t="s">
        <v>55</v>
      </c>
    </row>
    <row r="1667" spans="1:20" ht="51" x14ac:dyDescent="0.25">
      <c r="A1667" s="6">
        <v>1663</v>
      </c>
      <c r="B1667" s="1" t="str">
        <f>"2021-1919"</f>
        <v>2021-1919</v>
      </c>
      <c r="C1667" s="1" t="s">
        <v>1524</v>
      </c>
      <c r="D1667" s="1" t="s">
        <v>1527</v>
      </c>
      <c r="E1667" s="1" t="str">
        <f>""</f>
        <v/>
      </c>
      <c r="F1667" s="1" t="s">
        <v>28</v>
      </c>
      <c r="G1667" s="1" t="str">
        <f>CONCATENATE("T.D.I. 90 D.O.O.,"," VISOČIČKA 38,"," 10000 ZAGREB,"," OIB: 26978223128")</f>
        <v>T.D.I. 90 D.O.O., VISOČIČKA 38, 10000 ZAGREB, OIB: 26978223128</v>
      </c>
      <c r="H1667" s="7"/>
      <c r="I1667" s="8" t="s">
        <v>422</v>
      </c>
      <c r="J1667" s="8" t="s">
        <v>231</v>
      </c>
      <c r="K1667" s="6" t="str">
        <f>"239.537,86"</f>
        <v>239.537,86</v>
      </c>
      <c r="L1667" s="6" t="str">
        <f>"59.884,46"</f>
        <v>59.884,46</v>
      </c>
      <c r="M1667" s="6" t="str">
        <f>"299.422,32"</f>
        <v>299.422,32</v>
      </c>
      <c r="N1667" s="8" t="s">
        <v>301</v>
      </c>
      <c r="O1667" s="7"/>
      <c r="P1667" s="2" t="s">
        <v>6629</v>
      </c>
      <c r="Q1667" s="7"/>
      <c r="R1667" s="1"/>
      <c r="S1667" s="1" t="str">
        <f>"1-22/NOS-11/21"</f>
        <v>1-22/NOS-11/21</v>
      </c>
      <c r="T1667" s="1" t="s">
        <v>55</v>
      </c>
    </row>
    <row r="1668" spans="1:20" ht="51" x14ac:dyDescent="0.25">
      <c r="A1668" s="6">
        <v>1664</v>
      </c>
      <c r="B1668" s="1" t="str">
        <f>"2021-1919"</f>
        <v>2021-1919</v>
      </c>
      <c r="C1668" s="1" t="s">
        <v>1524</v>
      </c>
      <c r="D1668" s="1" t="s">
        <v>1527</v>
      </c>
      <c r="E1668" s="1" t="str">
        <f>""</f>
        <v/>
      </c>
      <c r="F1668" s="1" t="s">
        <v>28</v>
      </c>
      <c r="G1668" s="1" t="str">
        <f>CONCATENATE("T.D.I. 90 D.O.O.,"," VISOČIČKA 38,"," 10000 ZAGREB,"," OIB: 26978223128")</f>
        <v>T.D.I. 90 D.O.O., VISOČIČKA 38, 10000 ZAGREB, OIB: 26978223128</v>
      </c>
      <c r="H1668" s="7"/>
      <c r="I1668" s="8" t="s">
        <v>170</v>
      </c>
      <c r="J1668" s="8" t="s">
        <v>231</v>
      </c>
      <c r="K1668" s="6" t="str">
        <f>"119.768,93"</f>
        <v>119.768,93</v>
      </c>
      <c r="L1668" s="6" t="str">
        <f>"0,00"</f>
        <v>0,00</v>
      </c>
      <c r="M1668" s="6" t="str">
        <f>"119.768,93"</f>
        <v>119.768,93</v>
      </c>
      <c r="N1668" s="8" t="s">
        <v>124</v>
      </c>
      <c r="O1668" s="7"/>
      <c r="P1668" s="2" t="s">
        <v>5614</v>
      </c>
      <c r="Q1668" s="7"/>
      <c r="R1668" s="1"/>
      <c r="S1668" s="1" t="str">
        <f>"2-22/NOS-11/21"</f>
        <v>2-22/NOS-11/21</v>
      </c>
      <c r="T1668" s="1" t="s">
        <v>55</v>
      </c>
    </row>
    <row r="1669" spans="1:20" ht="216.75" x14ac:dyDescent="0.25">
      <c r="A1669" s="6">
        <v>1665</v>
      </c>
      <c r="B1669" s="1" t="str">
        <f t="shared" ref="B1669:B1682" si="154">"2020-2922"</f>
        <v>2020-2922</v>
      </c>
      <c r="C1669" s="1" t="s">
        <v>1528</v>
      </c>
      <c r="D1669" s="1" t="s">
        <v>1529</v>
      </c>
      <c r="E1669" s="1" t="str">
        <f>"2021/S 0F2-0003316"</f>
        <v>2021/S 0F2-0003316</v>
      </c>
      <c r="F1669" s="1" t="s">
        <v>22</v>
      </c>
      <c r="G1669" s="1"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1669" s="7"/>
      <c r="I1669" s="8" t="s">
        <v>1530</v>
      </c>
      <c r="J1669" s="8" t="s">
        <v>1531</v>
      </c>
      <c r="K1669" s="6" t="str">
        <f>"530.000,00"</f>
        <v>530.000,00</v>
      </c>
      <c r="L1669" s="6" t="str">
        <f>"132.500,00"</f>
        <v>132.500,00</v>
      </c>
      <c r="M1669" s="6" t="str">
        <f>"662.500,00"</f>
        <v>662.500,00</v>
      </c>
      <c r="N1669" s="7"/>
      <c r="O1669" s="9">
        <v>44851</v>
      </c>
      <c r="P1669" s="2" t="s">
        <v>5614</v>
      </c>
      <c r="Q1669" s="7"/>
      <c r="R1669" s="1"/>
      <c r="S1669" s="1" t="str">
        <f>"NOS-123-1/20"</f>
        <v>NOS-123-1/20</v>
      </c>
      <c r="T1669" s="1" t="s">
        <v>27</v>
      </c>
    </row>
    <row r="1670" spans="1:20" ht="63.75" x14ac:dyDescent="0.25">
      <c r="A1670" s="6">
        <v>1666</v>
      </c>
      <c r="B1670" s="1" t="str">
        <f t="shared" si="154"/>
        <v>2020-2922</v>
      </c>
      <c r="C1670" s="1" t="s">
        <v>1532</v>
      </c>
      <c r="D1670" s="1" t="s">
        <v>1533</v>
      </c>
      <c r="E1670" s="1" t="str">
        <f>""</f>
        <v/>
      </c>
      <c r="F1670" s="1" t="s">
        <v>28</v>
      </c>
      <c r="G1670" s="1" t="str">
        <f>CONCATENATE("PNEUMATIK D.O.O.,"," KARAŽNIK 2/A,"," 10000 ZAGREB,"," OIB: 68256909072")</f>
        <v>PNEUMATIK D.O.O., KARAŽNIK 2/A, 10000 ZAGREB, OIB: 68256909072</v>
      </c>
      <c r="H1670" s="7"/>
      <c r="I1670" s="8" t="s">
        <v>392</v>
      </c>
      <c r="J1670" s="8" t="s">
        <v>53</v>
      </c>
      <c r="K1670" s="6" t="str">
        <f>"19.840,00"</f>
        <v>19.840,00</v>
      </c>
      <c r="L1670" s="6" t="str">
        <f>"4.960,00"</f>
        <v>4.960,00</v>
      </c>
      <c r="M1670" s="6" t="str">
        <f>"24.800,00"</f>
        <v>24.800,00</v>
      </c>
      <c r="N1670" s="8" t="s">
        <v>856</v>
      </c>
      <c r="O1670" s="7"/>
      <c r="P1670" s="2" t="s">
        <v>6630</v>
      </c>
      <c r="Q1670" s="7"/>
      <c r="R1670" s="1"/>
      <c r="S1670" s="1" t="str">
        <f>"3-21/NOS-123-1/20"</f>
        <v>3-21/NOS-123-1/20</v>
      </c>
      <c r="T1670" s="1" t="s">
        <v>32</v>
      </c>
    </row>
    <row r="1671" spans="1:20" ht="51" x14ac:dyDescent="0.25">
      <c r="A1671" s="6">
        <v>1667</v>
      </c>
      <c r="B1671" s="1" t="str">
        <f t="shared" si="154"/>
        <v>2020-2922</v>
      </c>
      <c r="C1671" s="1" t="s">
        <v>1528</v>
      </c>
      <c r="D1671" s="1" t="s">
        <v>1533</v>
      </c>
      <c r="E1671" s="1" t="str">
        <f>""</f>
        <v/>
      </c>
      <c r="F1671" s="1" t="s">
        <v>28</v>
      </c>
      <c r="G1671" s="1" t="str">
        <f>CONCATENATE("PNEUMATIK D.O.O.,"," KARAŽNIK 2/A,"," 10000 ZAGREB,"," OIB: 68256909072")</f>
        <v>PNEUMATIK D.O.O., KARAŽNIK 2/A, 10000 ZAGREB, OIB: 68256909072</v>
      </c>
      <c r="H1671" s="7"/>
      <c r="I1671" s="8" t="s">
        <v>416</v>
      </c>
      <c r="J1671" s="7"/>
      <c r="K1671" s="6" t="str">
        <f>"9.440,00"</f>
        <v>9.440,00</v>
      </c>
      <c r="L1671" s="6" t="str">
        <f>"2.360,00"</f>
        <v>2.360,00</v>
      </c>
      <c r="M1671" s="6" t="str">
        <f>"11.800,00"</f>
        <v>11.800,00</v>
      </c>
      <c r="N1671" s="8" t="s">
        <v>561</v>
      </c>
      <c r="O1671" s="7"/>
      <c r="P1671" s="2" t="s">
        <v>6631</v>
      </c>
      <c r="Q1671" s="7"/>
      <c r="R1671" s="1"/>
      <c r="S1671" s="1" t="str">
        <f>"2-21/NOS-123-1/20"</f>
        <v>2-21/NOS-123-1/20</v>
      </c>
      <c r="T1671" s="1" t="s">
        <v>55</v>
      </c>
    </row>
    <row r="1672" spans="1:20" ht="51" x14ac:dyDescent="0.25">
      <c r="A1672" s="6">
        <v>1668</v>
      </c>
      <c r="B1672" s="1" t="str">
        <f t="shared" si="154"/>
        <v>2020-2922</v>
      </c>
      <c r="C1672" s="1" t="s">
        <v>1534</v>
      </c>
      <c r="D1672" s="1" t="s">
        <v>1533</v>
      </c>
      <c r="E1672" s="1" t="str">
        <f>""</f>
        <v/>
      </c>
      <c r="F1672" s="1" t="s">
        <v>28</v>
      </c>
      <c r="G1672" s="1" t="str">
        <f>CONCATENATE("PNEUMATIK D.O.O.,"," KARAŽNIK 2/A,"," 10000 ZAGREB,"," OIB: 68256909072")</f>
        <v>PNEUMATIK D.O.O., KARAŽNIK 2/A, 10000 ZAGREB, OIB: 68256909072</v>
      </c>
      <c r="H1672" s="7"/>
      <c r="I1672" s="8" t="s">
        <v>616</v>
      </c>
      <c r="J1672" s="8" t="s">
        <v>930</v>
      </c>
      <c r="K1672" s="6" t="str">
        <f>"37.710,00"</f>
        <v>37.710,00</v>
      </c>
      <c r="L1672" s="6" t="str">
        <f>"9.427,50"</f>
        <v>9.427,50</v>
      </c>
      <c r="M1672" s="6" t="str">
        <f>"47.137,50"</f>
        <v>47.137,50</v>
      </c>
      <c r="N1672" s="8" t="s">
        <v>80</v>
      </c>
      <c r="O1672" s="7"/>
      <c r="P1672" s="2" t="s">
        <v>6632</v>
      </c>
      <c r="Q1672" s="7"/>
      <c r="R1672" s="1"/>
      <c r="S1672" s="1" t="str">
        <f>"1-21/NOS-123-1/20"</f>
        <v>1-21/NOS-123-1/20</v>
      </c>
      <c r="T1672" s="1" t="s">
        <v>32</v>
      </c>
    </row>
    <row r="1673" spans="1:20" ht="51" x14ac:dyDescent="0.25">
      <c r="A1673" s="6">
        <v>1669</v>
      </c>
      <c r="B1673" s="1" t="str">
        <f t="shared" si="154"/>
        <v>2020-2922</v>
      </c>
      <c r="C1673" s="1" t="s">
        <v>1534</v>
      </c>
      <c r="D1673" s="1" t="s">
        <v>1533</v>
      </c>
      <c r="E1673" s="1" t="str">
        <f>""</f>
        <v/>
      </c>
      <c r="F1673" s="1" t="s">
        <v>28</v>
      </c>
      <c r="G1673" s="1" t="str">
        <f>CONCATENATE("PNEUMATIK D.O.O.,"," KARAŽNIK 2/A,"," 10000 ZAGREB,"," OIB: 68256909072")</f>
        <v>PNEUMATIK D.O.O., KARAŽNIK 2/A, 10000 ZAGREB, OIB: 68256909072</v>
      </c>
      <c r="H1673" s="7"/>
      <c r="I1673" s="8" t="s">
        <v>416</v>
      </c>
      <c r="J1673" s="8" t="s">
        <v>450</v>
      </c>
      <c r="K1673" s="6" t="str">
        <f>"960,00"</f>
        <v>960,00</v>
      </c>
      <c r="L1673" s="6" t="str">
        <f>"240,00"</f>
        <v>240,00</v>
      </c>
      <c r="M1673" s="6" t="str">
        <f>"1.200,00"</f>
        <v>1.200,00</v>
      </c>
      <c r="N1673" s="8" t="s">
        <v>655</v>
      </c>
      <c r="O1673" s="7"/>
      <c r="P1673" s="2" t="s">
        <v>6633</v>
      </c>
      <c r="Q1673" s="7"/>
      <c r="R1673" s="1"/>
      <c r="S1673" s="1" t="str">
        <f>"4-21/NOS-123-1/20"</f>
        <v>4-21/NOS-123-1/20</v>
      </c>
      <c r="T1673" s="1" t="s">
        <v>32</v>
      </c>
    </row>
    <row r="1674" spans="1:20" ht="216.75" x14ac:dyDescent="0.25">
      <c r="A1674" s="6">
        <v>1670</v>
      </c>
      <c r="B1674" s="1" t="str">
        <f t="shared" si="154"/>
        <v>2020-2922</v>
      </c>
      <c r="C1674" s="1" t="s">
        <v>1535</v>
      </c>
      <c r="D1674" s="1" t="s">
        <v>1529</v>
      </c>
      <c r="E1674" s="1" t="str">
        <f>"2021/S 0F2-0003316"</f>
        <v>2021/S 0F2-0003316</v>
      </c>
      <c r="F1674" s="1" t="s">
        <v>22</v>
      </c>
      <c r="G1674" s="1" t="str">
        <f>CONCATENATE("AUTO HRVATSKA PRODAJNO SERVISNI CENTRI D.O.O.,"," ZASTAVNICE 25/C,"," 10251 HRVATSKI LESKOVAC,"," OIB: 87682591133",CHAR(10),"",CHAR(10),"VULKAL D.O.O.,"," SAMOBORSKA CESTA 310,"," 10000 ZAGREB,"," OIB: 90439696130",CHAR(10),"",CHAR(10),"PNEUMATIK D.O.O.,"," KARAŽNIK 2/A,"," 10000 ZAGREB,"," OIB: 68256909072")</f>
        <v>AUTO HRVATSKA PRODAJNO SERVISNI CENTRI D.O.O., ZASTAVNICE 25/C, 10251 HRVATSKI LESKOVAC, OIB: 87682591133
VULKAL D.O.O., SAMOBORSKA CESTA 310, 10000 ZAGREB, OIB: 90439696130
PNEUMATIK D.O.O., KARAŽNIK 2/A, 10000 ZAGREB, OIB: 68256909072</v>
      </c>
      <c r="H1674" s="7"/>
      <c r="I1674" s="8" t="s">
        <v>1530</v>
      </c>
      <c r="J1674" s="8" t="s">
        <v>1531</v>
      </c>
      <c r="K1674" s="6" t="str">
        <f>"2.880.000,00"</f>
        <v>2.880.000,00</v>
      </c>
      <c r="L1674" s="6" t="str">
        <f>"720.000,00"</f>
        <v>720.000,00</v>
      </c>
      <c r="M1674" s="6" t="str">
        <f>"3.600.000,00"</f>
        <v>3.600.000,00</v>
      </c>
      <c r="N1674" s="7"/>
      <c r="O1674" s="9">
        <v>44851</v>
      </c>
      <c r="P1674" s="2" t="s">
        <v>5614</v>
      </c>
      <c r="Q1674" s="7"/>
      <c r="R1674" s="1"/>
      <c r="S1674" s="1" t="str">
        <f>"NOS-123-2/20"</f>
        <v>NOS-123-2/20</v>
      </c>
      <c r="T1674" s="1" t="s">
        <v>27</v>
      </c>
    </row>
    <row r="1675" spans="1:20" ht="51" x14ac:dyDescent="0.25">
      <c r="A1675" s="6">
        <v>1671</v>
      </c>
      <c r="B1675" s="1" t="str">
        <f t="shared" si="154"/>
        <v>2020-2922</v>
      </c>
      <c r="C1675" s="1" t="s">
        <v>1536</v>
      </c>
      <c r="D1675" s="1" t="s">
        <v>1533</v>
      </c>
      <c r="E1675" s="1" t="str">
        <f>""</f>
        <v/>
      </c>
      <c r="F1675" s="1" t="s">
        <v>28</v>
      </c>
      <c r="G1675" s="1" t="str">
        <f>CONCATENATE("PNEUMATIK D.O.O.,"," KARAŽNIK 2/A,"," 10000 ZAGREB,"," OIB: 68256909072")</f>
        <v>PNEUMATIK D.O.O., KARAŽNIK 2/A, 10000 ZAGREB, OIB: 68256909072</v>
      </c>
      <c r="H1675" s="7"/>
      <c r="I1675" s="8" t="s">
        <v>392</v>
      </c>
      <c r="J1675" s="8" t="s">
        <v>53</v>
      </c>
      <c r="K1675" s="6" t="str">
        <f>"172.800,00"</f>
        <v>172.800,00</v>
      </c>
      <c r="L1675" s="6" t="str">
        <f>"43.200,00"</f>
        <v>43.200,00</v>
      </c>
      <c r="M1675" s="6" t="str">
        <f>"216.000,00"</f>
        <v>216.000,00</v>
      </c>
      <c r="N1675" s="8" t="s">
        <v>1314</v>
      </c>
      <c r="O1675" s="7"/>
      <c r="P1675" s="2" t="s">
        <v>6634</v>
      </c>
      <c r="Q1675" s="7"/>
      <c r="R1675" s="1"/>
      <c r="S1675" s="1" t="str">
        <f>"3-21/NOS-123-2/20"</f>
        <v>3-21/NOS-123-2/20</v>
      </c>
      <c r="T1675" s="1" t="s">
        <v>32</v>
      </c>
    </row>
    <row r="1676" spans="1:20" ht="51" x14ac:dyDescent="0.25">
      <c r="A1676" s="6">
        <v>1672</v>
      </c>
      <c r="B1676" s="1" t="str">
        <f t="shared" si="154"/>
        <v>2020-2922</v>
      </c>
      <c r="C1676" s="1" t="s">
        <v>1535</v>
      </c>
      <c r="D1676" s="1" t="s">
        <v>1533</v>
      </c>
      <c r="E1676" s="1" t="str">
        <f>""</f>
        <v/>
      </c>
      <c r="F1676" s="1" t="s">
        <v>28</v>
      </c>
      <c r="G1676" s="1" t="str">
        <f>CONCATENATE("PNEUMATIK D.O.O.,"," KARAŽNIK 2/A,"," 10000 ZAGREB,"," OIB: 68256909072")</f>
        <v>PNEUMATIK D.O.O., KARAŽNIK 2/A, 10000 ZAGREB, OIB: 68256909072</v>
      </c>
      <c r="H1676" s="7"/>
      <c r="I1676" s="8" t="s">
        <v>416</v>
      </c>
      <c r="J1676" s="8" t="s">
        <v>423</v>
      </c>
      <c r="K1676" s="6" t="str">
        <f>"88.000,00"</f>
        <v>88.000,00</v>
      </c>
      <c r="L1676" s="6" t="str">
        <f>"22.100,00"</f>
        <v>22.100,00</v>
      </c>
      <c r="M1676" s="6" t="str">
        <f>"110.100,00"</f>
        <v>110.100,00</v>
      </c>
      <c r="N1676" s="8" t="s">
        <v>1320</v>
      </c>
      <c r="O1676" s="7"/>
      <c r="P1676" s="2" t="s">
        <v>6635</v>
      </c>
      <c r="Q1676" s="7"/>
      <c r="R1676" s="1"/>
      <c r="S1676" s="1" t="str">
        <f>"2-21/NOS-123-2/20"</f>
        <v>2-21/NOS-123-2/20</v>
      </c>
      <c r="T1676" s="1" t="s">
        <v>55</v>
      </c>
    </row>
    <row r="1677" spans="1:20" ht="51" x14ac:dyDescent="0.25">
      <c r="A1677" s="6">
        <v>1673</v>
      </c>
      <c r="B1677" s="1" t="str">
        <f t="shared" si="154"/>
        <v>2020-2922</v>
      </c>
      <c r="C1677" s="1" t="s">
        <v>1534</v>
      </c>
      <c r="D1677" s="1" t="s">
        <v>1533</v>
      </c>
      <c r="E1677" s="1" t="str">
        <f>""</f>
        <v/>
      </c>
      <c r="F1677" s="1" t="s">
        <v>28</v>
      </c>
      <c r="G1677" s="1" t="str">
        <f>CONCATENATE("PNEUMATIK D.O.O.,"," KARAŽNIK 2/A,"," 10000 ZAGREB,"," OIB: 68256909072")</f>
        <v>PNEUMATIK D.O.O., KARAŽNIK 2/A, 10000 ZAGREB, OIB: 68256909072</v>
      </c>
      <c r="H1677" s="7"/>
      <c r="I1677" s="8" t="s">
        <v>176</v>
      </c>
      <c r="J1677" s="8" t="s">
        <v>129</v>
      </c>
      <c r="K1677" s="6" t="str">
        <f>"328.000,00"</f>
        <v>328.000,00</v>
      </c>
      <c r="L1677" s="6" t="str">
        <f>"82.000,00"</f>
        <v>82.000,00</v>
      </c>
      <c r="M1677" s="6" t="str">
        <f>"410.000,00"</f>
        <v>410.000,00</v>
      </c>
      <c r="N1677" s="8" t="s">
        <v>775</v>
      </c>
      <c r="O1677" s="7"/>
      <c r="P1677" s="2" t="s">
        <v>6636</v>
      </c>
      <c r="Q1677" s="7"/>
      <c r="R1677" s="1"/>
      <c r="S1677" s="1" t="str">
        <f>"4-21/NOS-123-2/20"</f>
        <v>4-21/NOS-123-2/20</v>
      </c>
      <c r="T1677" s="1" t="s">
        <v>32</v>
      </c>
    </row>
    <row r="1678" spans="1:20" ht="114.75" x14ac:dyDescent="0.25">
      <c r="A1678" s="6">
        <v>1674</v>
      </c>
      <c r="B1678" s="1" t="str">
        <f t="shared" si="154"/>
        <v>2020-2922</v>
      </c>
      <c r="C1678" s="1" t="s">
        <v>1537</v>
      </c>
      <c r="D1678" s="1" t="s">
        <v>1529</v>
      </c>
      <c r="E1678" s="1" t="str">
        <f>"2021/S 0F2-0003316"</f>
        <v>2021/S 0F2-0003316</v>
      </c>
      <c r="F1678" s="1" t="s">
        <v>22</v>
      </c>
      <c r="G1678" s="1" t="str">
        <f>CONCATENATE("VULKAL D.O.O.,"," SAMOBORSKA CESTA 310,"," 10000 ZAGREB,"," OIB: 90439696130",CHAR(10),"",CHAR(10),"PNEUMATIK D.O.O.,"," KARAŽNIK 2/A,"," 10000 ZAGREB,"," OIB: 68256909072")</f>
        <v>VULKAL D.O.O., SAMOBORSKA CESTA 310, 10000 ZAGREB, OIB: 90439696130
PNEUMATIK D.O.O., KARAŽNIK 2/A, 10000 ZAGREB, OIB: 68256909072</v>
      </c>
      <c r="H1678" s="7"/>
      <c r="I1678" s="8" t="s">
        <v>1530</v>
      </c>
      <c r="J1678" s="8" t="s">
        <v>1538</v>
      </c>
      <c r="K1678" s="6" t="str">
        <f>"620.000,00"</f>
        <v>620.000,00</v>
      </c>
      <c r="L1678" s="6" t="str">
        <f>"155.000,00"</f>
        <v>155.000,00</v>
      </c>
      <c r="M1678" s="6" t="str">
        <f>"775.000,00"</f>
        <v>775.000,00</v>
      </c>
      <c r="N1678" s="7"/>
      <c r="O1678" s="9">
        <v>44851</v>
      </c>
      <c r="P1678" s="2" t="s">
        <v>5614</v>
      </c>
      <c r="Q1678" s="7"/>
      <c r="R1678" s="1"/>
      <c r="S1678" s="1" t="str">
        <f>"NOS-123-3/20"</f>
        <v>NOS-123-3/20</v>
      </c>
      <c r="T1678" s="1" t="s">
        <v>27</v>
      </c>
    </row>
    <row r="1679" spans="1:20" ht="63.75" x14ac:dyDescent="0.25">
      <c r="A1679" s="6">
        <v>1675</v>
      </c>
      <c r="B1679" s="1" t="str">
        <f t="shared" si="154"/>
        <v>2020-2922</v>
      </c>
      <c r="C1679" s="1" t="s">
        <v>1539</v>
      </c>
      <c r="D1679" s="1" t="s">
        <v>1533</v>
      </c>
      <c r="E1679" s="1" t="str">
        <f>""</f>
        <v/>
      </c>
      <c r="F1679" s="1" t="s">
        <v>28</v>
      </c>
      <c r="G1679" s="1" t="str">
        <f>CONCATENATE("PNEUMATIK D.O.O.,"," KARAŽNIK 2/A,"," 10000 ZAGREB,"," OIB: 68256909072")</f>
        <v>PNEUMATIK D.O.O., KARAŽNIK 2/A, 10000 ZAGREB, OIB: 68256909072</v>
      </c>
      <c r="H1679" s="7"/>
      <c r="I1679" s="8" t="s">
        <v>416</v>
      </c>
      <c r="J1679" s="8" t="s">
        <v>53</v>
      </c>
      <c r="K1679" s="6" t="str">
        <f>"209.066,00"</f>
        <v>209.066,00</v>
      </c>
      <c r="L1679" s="6" t="str">
        <f>"52.266,50"</f>
        <v>52.266,50</v>
      </c>
      <c r="M1679" s="6" t="str">
        <f>"261.332,50"</f>
        <v>261.332,50</v>
      </c>
      <c r="N1679" s="8" t="s">
        <v>399</v>
      </c>
      <c r="O1679" s="7"/>
      <c r="P1679" s="2" t="s">
        <v>6637</v>
      </c>
      <c r="Q1679" s="7"/>
      <c r="R1679" s="1"/>
      <c r="S1679" s="1" t="str">
        <f>"3-21/NOS-123-3/20"</f>
        <v>3-21/NOS-123-3/20</v>
      </c>
      <c r="T1679" s="1" t="s">
        <v>32</v>
      </c>
    </row>
    <row r="1680" spans="1:20" ht="51" x14ac:dyDescent="0.25">
      <c r="A1680" s="6">
        <v>1676</v>
      </c>
      <c r="B1680" s="1" t="str">
        <f t="shared" si="154"/>
        <v>2020-2922</v>
      </c>
      <c r="C1680" s="1" t="s">
        <v>1537</v>
      </c>
      <c r="D1680" s="1" t="s">
        <v>1533</v>
      </c>
      <c r="E1680" s="1" t="str">
        <f>""</f>
        <v/>
      </c>
      <c r="F1680" s="1" t="s">
        <v>28</v>
      </c>
      <c r="G1680" s="1" t="str">
        <f>CONCATENATE("PNEUMATIK D.O.O.,"," KARAŽNIK 2/A,"," 10000 ZAGREB,"," OIB: 68256909072")</f>
        <v>PNEUMATIK D.O.O., KARAŽNIK 2/A, 10000 ZAGREB, OIB: 68256909072</v>
      </c>
      <c r="H1680" s="7"/>
      <c r="I1680" s="8" t="s">
        <v>496</v>
      </c>
      <c r="J1680" s="8" t="s">
        <v>423</v>
      </c>
      <c r="K1680" s="6" t="str">
        <f>"5.200,00"</f>
        <v>5.200,00</v>
      </c>
      <c r="L1680" s="6" t="str">
        <f>"1.300,00"</f>
        <v>1.300,00</v>
      </c>
      <c r="M1680" s="6" t="str">
        <f>"6.500,00"</f>
        <v>6.500,00</v>
      </c>
      <c r="N1680" s="8" t="s">
        <v>561</v>
      </c>
      <c r="O1680" s="7"/>
      <c r="P1680" s="2" t="s">
        <v>6355</v>
      </c>
      <c r="Q1680" s="7"/>
      <c r="R1680" s="1"/>
      <c r="S1680" s="1" t="str">
        <f>"2-21/NOS-123-3/20"</f>
        <v>2-21/NOS-123-3/20</v>
      </c>
      <c r="T1680" s="1" t="s">
        <v>55</v>
      </c>
    </row>
    <row r="1681" spans="1:20" ht="51" x14ac:dyDescent="0.25">
      <c r="A1681" s="6">
        <v>1677</v>
      </c>
      <c r="B1681" s="1" t="str">
        <f t="shared" si="154"/>
        <v>2020-2922</v>
      </c>
      <c r="C1681" s="1" t="s">
        <v>1534</v>
      </c>
      <c r="D1681" s="1" t="s">
        <v>1533</v>
      </c>
      <c r="E1681" s="1" t="str">
        <f>""</f>
        <v/>
      </c>
      <c r="F1681" s="1" t="s">
        <v>28</v>
      </c>
      <c r="G1681" s="1" t="str">
        <f>CONCATENATE("PNEUMATIK D.O.O.,"," KARAŽNIK 2/A,"," 10000 ZAGREB,"," OIB: 68256909072")</f>
        <v>PNEUMATIK D.O.O., KARAŽNIK 2/A, 10000 ZAGREB, OIB: 68256909072</v>
      </c>
      <c r="H1681" s="7"/>
      <c r="I1681" s="8" t="s">
        <v>616</v>
      </c>
      <c r="J1681" s="8" t="s">
        <v>930</v>
      </c>
      <c r="K1681" s="6" t="str">
        <f>"30.674,00"</f>
        <v>30.674,00</v>
      </c>
      <c r="L1681" s="6" t="str">
        <f>"7.668,50"</f>
        <v>7.668,50</v>
      </c>
      <c r="M1681" s="6" t="str">
        <f>"38.342,50"</f>
        <v>38.342,50</v>
      </c>
      <c r="N1681" s="8" t="s">
        <v>126</v>
      </c>
      <c r="O1681" s="7"/>
      <c r="P1681" s="2" t="s">
        <v>6638</v>
      </c>
      <c r="Q1681" s="7"/>
      <c r="R1681" s="1"/>
      <c r="S1681" s="1" t="str">
        <f>"1-21/NOS-123-3/20"</f>
        <v>1-21/NOS-123-3/20</v>
      </c>
      <c r="T1681" s="1" t="s">
        <v>32</v>
      </c>
    </row>
    <row r="1682" spans="1:20" ht="51" x14ac:dyDescent="0.25">
      <c r="A1682" s="6">
        <v>1678</v>
      </c>
      <c r="B1682" s="1" t="str">
        <f t="shared" si="154"/>
        <v>2020-2922</v>
      </c>
      <c r="C1682" s="1" t="s">
        <v>1534</v>
      </c>
      <c r="D1682" s="1" t="s">
        <v>1533</v>
      </c>
      <c r="E1682" s="1" t="str">
        <f>""</f>
        <v/>
      </c>
      <c r="F1682" s="1" t="s">
        <v>28</v>
      </c>
      <c r="G1682" s="1" t="str">
        <f>CONCATENATE("PNEUMATIK D.O.O.,"," KARAŽNIK 2/A,"," 10000 ZAGREB,"," OIB: 68256909072")</f>
        <v>PNEUMATIK D.O.O., KARAŽNIK 2/A, 10000 ZAGREB, OIB: 68256909072</v>
      </c>
      <c r="H1682" s="7"/>
      <c r="I1682" s="8" t="s">
        <v>856</v>
      </c>
      <c r="J1682" s="8" t="s">
        <v>250</v>
      </c>
      <c r="K1682" s="6" t="str">
        <f>"9.000,00"</f>
        <v>9.000,00</v>
      </c>
      <c r="L1682" s="6" t="str">
        <f>"2.250,00"</f>
        <v>2.250,00</v>
      </c>
      <c r="M1682" s="6" t="str">
        <f>"11.250,00"</f>
        <v>11.250,00</v>
      </c>
      <c r="N1682" s="8" t="s">
        <v>354</v>
      </c>
      <c r="O1682" s="7"/>
      <c r="P1682" s="2" t="s">
        <v>6639</v>
      </c>
      <c r="Q1682" s="1" t="s">
        <v>582</v>
      </c>
      <c r="R1682" s="1"/>
      <c r="S1682" s="1" t="str">
        <f>"3-22/NOS-123-3/20"</f>
        <v>3-22/NOS-123-3/20</v>
      </c>
      <c r="T1682" s="1" t="s">
        <v>32</v>
      </c>
    </row>
    <row r="1683" spans="1:20" ht="63.75" x14ac:dyDescent="0.25">
      <c r="A1683" s="6">
        <v>1679</v>
      </c>
      <c r="B1683" s="1" t="str">
        <f>"2021-1855"</f>
        <v>2021-1855</v>
      </c>
      <c r="C1683" s="1" t="s">
        <v>1540</v>
      </c>
      <c r="D1683" s="1" t="s">
        <v>945</v>
      </c>
      <c r="E1683" s="1" t="str">
        <f>"2021/S 0F2-0027681"</f>
        <v>2021/S 0F2-0027681</v>
      </c>
      <c r="F1683" s="1" t="s">
        <v>22</v>
      </c>
      <c r="G1683" s="1" t="str">
        <f>CONCATENATE("REGENERACIJA D.O.O.,"," PRILAZ DR. FRANJE TUĐMANA 15,"," 49210 ZABOK,"," OIB: 66421949049")</f>
        <v>REGENERACIJA D.O.O., PRILAZ DR. FRANJE TUĐMANA 15, 49210 ZABOK, OIB: 66421949049</v>
      </c>
      <c r="H1683" s="7"/>
      <c r="I1683" s="8" t="s">
        <v>1530</v>
      </c>
      <c r="J1683" s="8" t="s">
        <v>1541</v>
      </c>
      <c r="K1683" s="6" t="str">
        <f>"500.000,00"</f>
        <v>500.000,00</v>
      </c>
      <c r="L1683" s="6" t="str">
        <f>"125.000,00"</f>
        <v>125.000,00</v>
      </c>
      <c r="M1683" s="6" t="str">
        <f>"625.000,00"</f>
        <v>625.000,00</v>
      </c>
      <c r="N1683" s="8" t="s">
        <v>947</v>
      </c>
      <c r="O1683" s="7"/>
      <c r="P1683" s="2" t="s">
        <v>6640</v>
      </c>
      <c r="Q1683" s="7"/>
      <c r="R1683" s="1"/>
      <c r="S1683" s="1" t="str">
        <f>"NOS-14/21"</f>
        <v>NOS-14/21</v>
      </c>
      <c r="T1683" s="1" t="s">
        <v>32</v>
      </c>
    </row>
    <row r="1684" spans="1:20" ht="63.75" x14ac:dyDescent="0.25">
      <c r="A1684" s="6">
        <v>1680</v>
      </c>
      <c r="B1684" s="1" t="str">
        <f>"2021-1855"</f>
        <v>2021-1855</v>
      </c>
      <c r="C1684" s="1" t="s">
        <v>1540</v>
      </c>
      <c r="D1684" s="1" t="s">
        <v>949</v>
      </c>
      <c r="E1684" s="1" t="str">
        <f>""</f>
        <v/>
      </c>
      <c r="F1684" s="1" t="s">
        <v>28</v>
      </c>
      <c r="G1684" s="1" t="str">
        <f>CONCATENATE("REGENERACIJA D.O.O.,"," PRILAZ DR. FRANJE TUĐMANA 15,"," 49210 ZABOK,"," OIB: 66421949049")</f>
        <v>REGENERACIJA D.O.O., PRILAZ DR. FRANJE TUĐMANA 15, 49210 ZABOK, OIB: 66421949049</v>
      </c>
      <c r="H1684" s="7"/>
      <c r="I1684" s="8" t="s">
        <v>183</v>
      </c>
      <c r="J1684" s="8" t="s">
        <v>57</v>
      </c>
      <c r="K1684" s="6" t="str">
        <f>"241.500,00"</f>
        <v>241.500,00</v>
      </c>
      <c r="L1684" s="6" t="str">
        <f>"60.375,00"</f>
        <v>60.375,00</v>
      </c>
      <c r="M1684" s="6" t="str">
        <f>"301.875,00"</f>
        <v>301.875,00</v>
      </c>
      <c r="N1684" s="8" t="s">
        <v>970</v>
      </c>
      <c r="O1684" s="7"/>
      <c r="P1684" s="2" t="s">
        <v>6641</v>
      </c>
      <c r="Q1684" s="7"/>
      <c r="R1684" s="1"/>
      <c r="S1684" s="1" t="str">
        <f>"1-21/NOS-14/21"</f>
        <v>1-21/NOS-14/21</v>
      </c>
      <c r="T1684" s="1" t="s">
        <v>32</v>
      </c>
    </row>
    <row r="1685" spans="1:20" ht="63.75" x14ac:dyDescent="0.25">
      <c r="A1685" s="6">
        <v>1681</v>
      </c>
      <c r="B1685" s="1" t="str">
        <f>"2021-1855"</f>
        <v>2021-1855</v>
      </c>
      <c r="C1685" s="1" t="s">
        <v>1540</v>
      </c>
      <c r="D1685" s="1" t="s">
        <v>949</v>
      </c>
      <c r="E1685" s="1" t="str">
        <f>""</f>
        <v/>
      </c>
      <c r="F1685" s="1" t="s">
        <v>28</v>
      </c>
      <c r="G1685" s="1" t="str">
        <f>CONCATENATE("REGENERACIJA D.O.O.,"," PRILAZ DR. FRANJE TUĐMANA 15,"," 49210 ZABOK,"," OIB: 66421949049")</f>
        <v>REGENERACIJA D.O.O., PRILAZ DR. FRANJE TUĐMANA 15, 49210 ZABOK, OIB: 66421949049</v>
      </c>
      <c r="H1685" s="7"/>
      <c r="I1685" s="8" t="s">
        <v>408</v>
      </c>
      <c r="J1685" s="8" t="s">
        <v>123</v>
      </c>
      <c r="K1685" s="6" t="str">
        <f>"172.500,00"</f>
        <v>172.500,00</v>
      </c>
      <c r="L1685" s="6" t="str">
        <f>"43.125,00"</f>
        <v>43.125,00</v>
      </c>
      <c r="M1685" s="6" t="str">
        <f>"215.625,00"</f>
        <v>215.625,00</v>
      </c>
      <c r="N1685" s="8" t="s">
        <v>1147</v>
      </c>
      <c r="O1685" s="7"/>
      <c r="P1685" s="2" t="s">
        <v>6642</v>
      </c>
      <c r="Q1685" s="7"/>
      <c r="R1685" s="1"/>
      <c r="S1685" s="1" t="str">
        <f>"1-22/NOS-14/21"</f>
        <v>1-22/NOS-14/21</v>
      </c>
      <c r="T1685" s="1" t="s">
        <v>32</v>
      </c>
    </row>
    <row r="1686" spans="1:20" ht="267.75" x14ac:dyDescent="0.25">
      <c r="A1686" s="6">
        <v>1682</v>
      </c>
      <c r="B1686" s="1" t="str">
        <f>"2021-1860"</f>
        <v>2021-1860</v>
      </c>
      <c r="C1686" s="1" t="s">
        <v>1542</v>
      </c>
      <c r="D1686" s="1" t="s">
        <v>1085</v>
      </c>
      <c r="E1686" s="1" t="str">
        <f>"2021/S 0F2-0028274"</f>
        <v>2021/S 0F2-0028274</v>
      </c>
      <c r="F1686" s="1" t="s">
        <v>22</v>
      </c>
      <c r="G1686" s="1" t="str">
        <f>CONCATENATE("DIV GRUPA  D.O.O. ZA USLUGE,"," BOBOVICA 10/A,"," 10430 SAMOBOR,"," OIB: 33890755814",CHAR(10),"",CHAR(10),"INDUSTROOPREMA D.O.O.,"," RIMSKI PUT 11K,"," 10360 SESVETE,"," OIB: 01291306683",CHAR(10),"",CHAR(10),"VODOSKOK D.D.,"," ČULINEČKA CESTA 221/C,"," 10040 ZAGREB,"," OIB: 34134218058",CHAR(10),"",CHAR(10),"PISMORAD D.O.O.,"," INDUSTRIJSKA 5,"," 10431 SVETA NEDELJA-NOVAKI,"," OIB: 33260306505")</f>
        <v>DIV GRUPA  D.O.O. ZA USLUGE, BOBOVICA 10/A, 10430 SAMOBOR, OIB: 33890755814
INDUSTROOPREMA D.O.O., RIMSKI PUT 11K, 10360 SESVETE, OIB: 01291306683
VODOSKOK D.D., ČULINEČKA CESTA 221/C, 10040 ZAGREB, OIB: 34134218058
PISMORAD D.O.O., INDUSTRIJSKA 5, 10431 SVETA NEDELJA-NOVAKI, OIB: 33260306505</v>
      </c>
      <c r="H1686" s="7"/>
      <c r="I1686" s="8" t="s">
        <v>225</v>
      </c>
      <c r="J1686" s="8" t="s">
        <v>1543</v>
      </c>
      <c r="K1686" s="6" t="str">
        <f>"600.000,00"</f>
        <v>600.000,00</v>
      </c>
      <c r="L1686" s="6" t="str">
        <f>"150.000,00"</f>
        <v>150.000,00</v>
      </c>
      <c r="M1686" s="6" t="str">
        <f>"750.000,00"</f>
        <v>750.000,00</v>
      </c>
      <c r="N1686" s="8" t="s">
        <v>124</v>
      </c>
      <c r="O1686" s="7"/>
      <c r="P1686" s="2" t="s">
        <v>5614</v>
      </c>
      <c r="Q1686" s="7"/>
      <c r="R1686" s="1"/>
      <c r="S1686" s="1" t="str">
        <f>"NOS-17/21"</f>
        <v>NOS-17/21</v>
      </c>
      <c r="T1686" s="1" t="s">
        <v>32</v>
      </c>
    </row>
    <row r="1687" spans="1:20" ht="63.75" x14ac:dyDescent="0.25">
      <c r="A1687" s="6">
        <v>1683</v>
      </c>
      <c r="B1687" s="1" t="str">
        <f>"2021-1860"</f>
        <v>2021-1860</v>
      </c>
      <c r="C1687" s="1" t="s">
        <v>1542</v>
      </c>
      <c r="D1687" s="1" t="s">
        <v>1544</v>
      </c>
      <c r="E1687" s="1" t="str">
        <f>""</f>
        <v/>
      </c>
      <c r="F1687" s="1" t="s">
        <v>28</v>
      </c>
      <c r="G1687" s="1" t="str">
        <f>CONCATENATE("PISMORAD D.O.O.,"," INDUSTRIJSKA 5,"," 10431 SVETA NEDELJA-NOVAKI,"," OIB: 33260306505")</f>
        <v>PISMORAD D.O.O., INDUSTRIJSKA 5, 10431 SVETA NEDELJA-NOVAKI, OIB: 33260306505</v>
      </c>
      <c r="H1687" s="7"/>
      <c r="I1687" s="8" t="s">
        <v>232</v>
      </c>
      <c r="J1687" s="8" t="s">
        <v>393</v>
      </c>
      <c r="K1687" s="6" t="str">
        <f>"78.000,00"</f>
        <v>78.000,00</v>
      </c>
      <c r="L1687" s="6" t="str">
        <f>"19.500,00"</f>
        <v>19.500,00</v>
      </c>
      <c r="M1687" s="6" t="str">
        <f>"97.500,00"</f>
        <v>97.500,00</v>
      </c>
      <c r="N1687" s="8" t="s">
        <v>1119</v>
      </c>
      <c r="O1687" s="7"/>
      <c r="P1687" s="2" t="s">
        <v>6643</v>
      </c>
      <c r="Q1687" s="7"/>
      <c r="R1687" s="1"/>
      <c r="S1687" s="1" t="str">
        <f>"1-22/NOS-17/21"</f>
        <v>1-22/NOS-17/21</v>
      </c>
      <c r="T1687" s="1" t="s">
        <v>32</v>
      </c>
    </row>
    <row r="1688" spans="1:20" ht="63.75" x14ac:dyDescent="0.25">
      <c r="A1688" s="6">
        <v>1684</v>
      </c>
      <c r="B1688" s="1" t="str">
        <f>"2021-1860"</f>
        <v>2021-1860</v>
      </c>
      <c r="C1688" s="1" t="s">
        <v>1542</v>
      </c>
      <c r="D1688" s="1" t="s">
        <v>1544</v>
      </c>
      <c r="E1688" s="1" t="str">
        <f>""</f>
        <v/>
      </c>
      <c r="F1688" s="1" t="s">
        <v>28</v>
      </c>
      <c r="G1688" s="1" t="str">
        <f>CONCATENATE("PISMORAD D.O.O.,"," INDUSTRIJSKA 5,"," 10431 SVETA NEDELJA-NOVAKI,"," OIB: 33260306505")</f>
        <v>PISMORAD D.O.O., INDUSTRIJSKA 5, 10431 SVETA NEDELJA-NOVAKI, OIB: 33260306505</v>
      </c>
      <c r="H1688" s="7"/>
      <c r="I1688" s="8" t="s">
        <v>255</v>
      </c>
      <c r="J1688" s="8" t="s">
        <v>393</v>
      </c>
      <c r="K1688" s="6" t="str">
        <f>"4.750,00"</f>
        <v>4.750,00</v>
      </c>
      <c r="L1688" s="6" t="str">
        <f>"1.187,50"</f>
        <v>1.187,50</v>
      </c>
      <c r="M1688" s="6" t="str">
        <f>"5.937,50"</f>
        <v>5.937,50</v>
      </c>
      <c r="N1688" s="8" t="s">
        <v>400</v>
      </c>
      <c r="O1688" s="7"/>
      <c r="P1688" s="2" t="s">
        <v>6644</v>
      </c>
      <c r="Q1688" s="7"/>
      <c r="R1688" s="1"/>
      <c r="S1688" s="1" t="str">
        <f>"2-22/NOS-17/21"</f>
        <v>2-22/NOS-17/21</v>
      </c>
      <c r="T1688" s="1" t="s">
        <v>32</v>
      </c>
    </row>
    <row r="1689" spans="1:20" ht="51" x14ac:dyDescent="0.25">
      <c r="A1689" s="6">
        <v>1685</v>
      </c>
      <c r="B1689" s="1" t="str">
        <f>"2021-1860"</f>
        <v>2021-1860</v>
      </c>
      <c r="C1689" s="1" t="s">
        <v>1542</v>
      </c>
      <c r="D1689" s="1" t="s">
        <v>1544</v>
      </c>
      <c r="E1689" s="1" t="str">
        <f>""</f>
        <v/>
      </c>
      <c r="F1689" s="1" t="s">
        <v>28</v>
      </c>
      <c r="G1689" s="1" t="str">
        <f>CONCATENATE("VODOSKOK D.D.,"," ČULINEČKA CESTA 221/C,"," 10040 ZAGREB,"," OIB: 34134218058")</f>
        <v>VODOSKOK D.D., ČULINEČKA CESTA 221/C, 10040 ZAGREB, OIB: 34134218058</v>
      </c>
      <c r="H1689" s="7"/>
      <c r="I1689" s="8" t="s">
        <v>505</v>
      </c>
      <c r="J1689" s="8" t="s">
        <v>393</v>
      </c>
      <c r="K1689" s="6" t="str">
        <f>"32.100,00"</f>
        <v>32.100,00</v>
      </c>
      <c r="L1689" s="6" t="str">
        <f>"8.025,00"</f>
        <v>8.025,00</v>
      </c>
      <c r="M1689" s="6" t="str">
        <f>"40.125,00"</f>
        <v>40.125,00</v>
      </c>
      <c r="N1689" s="8" t="s">
        <v>905</v>
      </c>
      <c r="O1689" s="7"/>
      <c r="P1689" s="2" t="s">
        <v>6645</v>
      </c>
      <c r="Q1689" s="7"/>
      <c r="R1689" s="1"/>
      <c r="S1689" s="1" t="str">
        <f>"3-22/NOS-17/21"</f>
        <v>3-22/NOS-17/21</v>
      </c>
      <c r="T1689" s="1" t="s">
        <v>32</v>
      </c>
    </row>
    <row r="1690" spans="1:20" ht="63.75" x14ac:dyDescent="0.25">
      <c r="A1690" s="6">
        <v>1686</v>
      </c>
      <c r="B1690" s="1" t="str">
        <f>"2021-1860"</f>
        <v>2021-1860</v>
      </c>
      <c r="C1690" s="1" t="s">
        <v>1542</v>
      </c>
      <c r="D1690" s="1" t="s">
        <v>1544</v>
      </c>
      <c r="E1690" s="1" t="str">
        <f>""</f>
        <v/>
      </c>
      <c r="F1690" s="1" t="s">
        <v>28</v>
      </c>
      <c r="G1690" s="1" t="str">
        <f>CONCATENATE("PISMORAD D.O.O.,"," INDUSTRIJSKA 5,"," 10431 SVETA NEDELJA-NOVAKI,"," OIB: 33260306505")</f>
        <v>PISMORAD D.O.O., INDUSTRIJSKA 5, 10431 SVETA NEDELJA-NOVAKI, OIB: 33260306505</v>
      </c>
      <c r="H1690" s="7"/>
      <c r="I1690" s="8" t="s">
        <v>939</v>
      </c>
      <c r="J1690" s="8" t="s">
        <v>393</v>
      </c>
      <c r="K1690" s="6" t="str">
        <f>"211.500,00"</f>
        <v>211.500,00</v>
      </c>
      <c r="L1690" s="6" t="str">
        <f>"52.875,00"</f>
        <v>52.875,00</v>
      </c>
      <c r="M1690" s="6" t="str">
        <f>"264.375,00"</f>
        <v>264.375,00</v>
      </c>
      <c r="N1690" s="8" t="s">
        <v>384</v>
      </c>
      <c r="O1690" s="7"/>
      <c r="P1690" s="2" t="s">
        <v>6646</v>
      </c>
      <c r="Q1690" s="7"/>
      <c r="R1690" s="1"/>
      <c r="S1690" s="1" t="str">
        <f>"4-22/NOS-17/21"</f>
        <v>4-22/NOS-17/21</v>
      </c>
      <c r="T1690" s="1" t="s">
        <v>32</v>
      </c>
    </row>
    <row r="1691" spans="1:20" ht="178.5" x14ac:dyDescent="0.25">
      <c r="A1691" s="6">
        <v>1687</v>
      </c>
      <c r="B1691" s="1" t="str">
        <f t="shared" ref="B1691:B1715" si="155">"2021-146"</f>
        <v>2021-146</v>
      </c>
      <c r="C1691" s="1" t="s">
        <v>1545</v>
      </c>
      <c r="D1691" s="1" t="s">
        <v>1546</v>
      </c>
      <c r="E1691" s="1" t="str">
        <f>"2021/S 0F2-0011186"</f>
        <v>2021/S 0F2-0011186</v>
      </c>
      <c r="F1691" s="1" t="s">
        <v>22</v>
      </c>
      <c r="G1691" s="1" t="str">
        <f>CONCATENATE("NARODNE NOVINE D.D.,"," SAVSKI GAJ XIII. PUT br. 6,"," 10000 ZAGREB,"," OIB: 64546066176",CHAR(10),"",CHAR(10),"INSAKO D.O.O.,"," PUŽEVA 11,"," 10000 ZAGREB,"," OIB: 39851720584",CHAR(10),"",CHAR(10),"KEMOBOJA-DUBRAVA D.O.O.,"," AVENIJA DUBRAVA 37,"," 10000 ZAGREB,"," OIB: 6402157427")</f>
        <v>NARODNE NOVINE D.D., SAVSKI GAJ XIII. PUT br. 6, 10000 ZAGREB, OIB: 64546066176
INSAKO D.O.O., PUŽEVA 11, 10000 ZAGREB, OIB: 39851720584
KEMOBOJA-DUBRAVA D.O.O., AVENIJA DUBRAVA 37, 10000 ZAGREB, OIB: 6402157427</v>
      </c>
      <c r="H1691" s="7"/>
      <c r="I1691" s="8" t="s">
        <v>1167</v>
      </c>
      <c r="J1691" s="8" t="s">
        <v>1547</v>
      </c>
      <c r="K1691" s="6" t="str">
        <f>"2.875.000,00"</f>
        <v>2.875.000,00</v>
      </c>
      <c r="L1691" s="6" t="str">
        <f>"718.750,00"</f>
        <v>718.750,00</v>
      </c>
      <c r="M1691" s="6" t="str">
        <f>"3.593.750,00"</f>
        <v>3.593.750,00</v>
      </c>
      <c r="N1691" s="8" t="s">
        <v>124</v>
      </c>
      <c r="O1691" s="7"/>
      <c r="P1691" s="2" t="s">
        <v>6647</v>
      </c>
      <c r="Q1691" s="7"/>
      <c r="R1691" s="1"/>
      <c r="S1691" s="1" t="str">
        <f>"NOS-13-ZGH/21"</f>
        <v>NOS-13-ZGH/21</v>
      </c>
      <c r="T1691" s="1" t="s">
        <v>531</v>
      </c>
    </row>
    <row r="1692" spans="1:20" ht="63.75" x14ac:dyDescent="0.25">
      <c r="A1692" s="6">
        <v>1688</v>
      </c>
      <c r="B1692" s="1" t="str">
        <f t="shared" si="155"/>
        <v>2021-146</v>
      </c>
      <c r="C1692" s="1" t="s">
        <v>1545</v>
      </c>
      <c r="D1692" s="1" t="s">
        <v>1548</v>
      </c>
      <c r="E1692" s="1" t="str">
        <f>""</f>
        <v/>
      </c>
      <c r="F1692" s="1" t="s">
        <v>28</v>
      </c>
      <c r="G1692" s="1" t="str">
        <f>CONCATENATE("KEMOBOJA-DUBRAVA D.O.O.,"," AVENIJA DUBRAVA 37,"," 10000 ZAGREB,"," OIB: 6402157427")</f>
        <v>KEMOBOJA-DUBRAVA D.O.O., AVENIJA DUBRAVA 37, 10000 ZAGREB, OIB: 6402157427</v>
      </c>
      <c r="H1692" s="7"/>
      <c r="I1692" s="8" t="s">
        <v>708</v>
      </c>
      <c r="J1692" s="8" t="s">
        <v>555</v>
      </c>
      <c r="K1692" s="6" t="str">
        <f>"5.526,20"</f>
        <v>5.526,20</v>
      </c>
      <c r="L1692" s="6" t="str">
        <f>"0,00"</f>
        <v>0,00</v>
      </c>
      <c r="M1692" s="6" t="str">
        <f>"5.526,20"</f>
        <v>5.526,20</v>
      </c>
      <c r="N1692" s="8" t="s">
        <v>124</v>
      </c>
      <c r="O1692" s="7"/>
      <c r="P1692" s="2" t="s">
        <v>5614</v>
      </c>
      <c r="Q1692" s="7"/>
      <c r="R1692" s="1"/>
      <c r="S1692" s="1" t="str">
        <f>"2-21/NOS-13-ZGH/21"</f>
        <v>2-21/NOS-13-ZGH/21</v>
      </c>
      <c r="T1692" s="1" t="s">
        <v>86</v>
      </c>
    </row>
    <row r="1693" spans="1:20" ht="63.75" x14ac:dyDescent="0.25">
      <c r="A1693" s="6">
        <v>1689</v>
      </c>
      <c r="B1693" s="1" t="str">
        <f t="shared" si="155"/>
        <v>2021-146</v>
      </c>
      <c r="C1693" s="1" t="s">
        <v>1545</v>
      </c>
      <c r="D1693" s="1" t="s">
        <v>1548</v>
      </c>
      <c r="E1693" s="1" t="str">
        <f>""</f>
        <v/>
      </c>
      <c r="F1693" s="1" t="s">
        <v>28</v>
      </c>
      <c r="G1693" s="1" t="str">
        <f>CONCATENATE("KEMOBOJA-DUBRAVA D.O.O.,"," AVENIJA DUBRAVA 37,"," 10000 ZAGREB,"," OIB: 6402157427")</f>
        <v>KEMOBOJA-DUBRAVA D.O.O., AVENIJA DUBRAVA 37, 10000 ZAGREB, OIB: 6402157427</v>
      </c>
      <c r="H1693" s="7"/>
      <c r="I1693" s="8" t="s">
        <v>708</v>
      </c>
      <c r="J1693" s="8" t="s">
        <v>555</v>
      </c>
      <c r="K1693" s="6" t="str">
        <f>"27.859,40"</f>
        <v>27.859,40</v>
      </c>
      <c r="L1693" s="6" t="str">
        <f>"6.750,46"</f>
        <v>6.750,46</v>
      </c>
      <c r="M1693" s="6" t="str">
        <f>"34.609,86"</f>
        <v>34.609,86</v>
      </c>
      <c r="N1693" s="8" t="s">
        <v>706</v>
      </c>
      <c r="O1693" s="7"/>
      <c r="P1693" s="2" t="s">
        <v>6648</v>
      </c>
      <c r="Q1693" s="7"/>
      <c r="R1693" s="1"/>
      <c r="S1693" s="1" t="str">
        <f>"4-21/NOS-13-ZGH/21"</f>
        <v>4-21/NOS-13-ZGH/21</v>
      </c>
      <c r="T1693" s="1" t="s">
        <v>55</v>
      </c>
    </row>
    <row r="1694" spans="1:20" ht="51" x14ac:dyDescent="0.25">
      <c r="A1694" s="6">
        <v>1690</v>
      </c>
      <c r="B1694" s="1" t="str">
        <f t="shared" si="155"/>
        <v>2021-146</v>
      </c>
      <c r="C1694" s="1" t="s">
        <v>1545</v>
      </c>
      <c r="D1694" s="1" t="s">
        <v>1548</v>
      </c>
      <c r="E1694" s="1" t="str">
        <f>""</f>
        <v/>
      </c>
      <c r="F1694" s="1" t="s">
        <v>28</v>
      </c>
      <c r="G1694" s="1" t="str">
        <f>CONCATENATE("NARODNE NOVINE D.D.,"," SAVSKI GAJ XIII. PUT br. 6,"," 10000 ZAGREB,"," OIB: 64546066176")</f>
        <v>NARODNE NOVINE D.D., SAVSKI GAJ XIII. PUT br. 6, 10000 ZAGREB, OIB: 64546066176</v>
      </c>
      <c r="H1694" s="7"/>
      <c r="I1694" s="8" t="s">
        <v>757</v>
      </c>
      <c r="J1694" s="8" t="s">
        <v>555</v>
      </c>
      <c r="K1694" s="6" t="str">
        <f>"2.815,90"</f>
        <v>2.815,90</v>
      </c>
      <c r="L1694" s="6" t="str">
        <f>"0,00"</f>
        <v>0,00</v>
      </c>
      <c r="M1694" s="6" t="str">
        <f>"2.815,90"</f>
        <v>2.815,90</v>
      </c>
      <c r="N1694" s="8" t="s">
        <v>124</v>
      </c>
      <c r="O1694" s="7"/>
      <c r="P1694" s="2" t="s">
        <v>5614</v>
      </c>
      <c r="Q1694" s="7"/>
      <c r="R1694" s="1"/>
      <c r="S1694" s="1" t="str">
        <f>"1-22/NOS-13-ZGH/21"</f>
        <v>1-22/NOS-13-ZGH/21</v>
      </c>
      <c r="T1694" s="1" t="s">
        <v>32</v>
      </c>
    </row>
    <row r="1695" spans="1:20" ht="51" x14ac:dyDescent="0.25">
      <c r="A1695" s="6">
        <v>1691</v>
      </c>
      <c r="B1695" s="1" t="str">
        <f t="shared" si="155"/>
        <v>2021-146</v>
      </c>
      <c r="C1695" s="1" t="s">
        <v>1545</v>
      </c>
      <c r="D1695" s="1" t="s">
        <v>1548</v>
      </c>
      <c r="E1695" s="1" t="str">
        <f>""</f>
        <v/>
      </c>
      <c r="F1695" s="1" t="s">
        <v>28</v>
      </c>
      <c r="G1695" s="1" t="str">
        <f>CONCATENATE("NARODNE NOVINE D.D.,"," SAVSKI GAJ XIII. PUT br. 6,"," 10000 ZAGREB,"," OIB: 64546066176")</f>
        <v>NARODNE NOVINE D.D., SAVSKI GAJ XIII. PUT br. 6, 10000 ZAGREB, OIB: 64546066176</v>
      </c>
      <c r="H1695" s="7"/>
      <c r="I1695" s="8" t="s">
        <v>255</v>
      </c>
      <c r="J1695" s="8" t="s">
        <v>555</v>
      </c>
      <c r="K1695" s="6" t="str">
        <f>"275,20"</f>
        <v>275,20</v>
      </c>
      <c r="L1695" s="6" t="str">
        <f>"0,00"</f>
        <v>0,00</v>
      </c>
      <c r="M1695" s="6" t="str">
        <f>"275,20"</f>
        <v>275,20</v>
      </c>
      <c r="N1695" s="8" t="s">
        <v>124</v>
      </c>
      <c r="O1695" s="7"/>
      <c r="P1695" s="2" t="s">
        <v>5614</v>
      </c>
      <c r="Q1695" s="7"/>
      <c r="R1695" s="1"/>
      <c r="S1695" s="1" t="str">
        <f>"8-22/NOS-13-ZGH/21"</f>
        <v>8-22/NOS-13-ZGH/21</v>
      </c>
      <c r="T1695" s="1" t="s">
        <v>32</v>
      </c>
    </row>
    <row r="1696" spans="1:20" ht="51" x14ac:dyDescent="0.25">
      <c r="A1696" s="6">
        <v>1692</v>
      </c>
      <c r="B1696" s="1" t="str">
        <f t="shared" si="155"/>
        <v>2021-146</v>
      </c>
      <c r="C1696" s="1" t="s">
        <v>1545</v>
      </c>
      <c r="D1696" s="1" t="s">
        <v>1548</v>
      </c>
      <c r="E1696" s="1" t="str">
        <f>""</f>
        <v/>
      </c>
      <c r="F1696" s="1" t="s">
        <v>28</v>
      </c>
      <c r="G1696" s="1" t="str">
        <f>CONCATENATE("INSAKO D.O.O.,"," PUŽEVA 11,"," 10000 ZAGREB,"," OIB: 39851720584")</f>
        <v>INSAKO D.O.O., PUŽEVA 11, 10000 ZAGREB, OIB: 39851720584</v>
      </c>
      <c r="H1696" s="7"/>
      <c r="I1696" s="8" t="s">
        <v>1119</v>
      </c>
      <c r="J1696" s="8" t="s">
        <v>555</v>
      </c>
      <c r="K1696" s="6" t="str">
        <f>"4.370,00"</f>
        <v>4.370,00</v>
      </c>
      <c r="L1696" s="6" t="str">
        <f>"1.092,50"</f>
        <v>1.092,50</v>
      </c>
      <c r="M1696" s="6" t="str">
        <f>"5.462,50"</f>
        <v>5.462,50</v>
      </c>
      <c r="N1696" s="8" t="s">
        <v>260</v>
      </c>
      <c r="O1696" s="7"/>
      <c r="P1696" s="2" t="s">
        <v>6649</v>
      </c>
      <c r="Q1696" s="7"/>
      <c r="R1696" s="1"/>
      <c r="S1696" s="1" t="str">
        <f>"9-22/NOS-13-ZGH/21"</f>
        <v>9-22/NOS-13-ZGH/21</v>
      </c>
      <c r="T1696" s="1" t="s">
        <v>55</v>
      </c>
    </row>
    <row r="1697" spans="1:20" ht="63.75" x14ac:dyDescent="0.25">
      <c r="A1697" s="6">
        <v>1693</v>
      </c>
      <c r="B1697" s="1" t="str">
        <f t="shared" si="155"/>
        <v>2021-146</v>
      </c>
      <c r="C1697" s="1" t="s">
        <v>1545</v>
      </c>
      <c r="D1697" s="1" t="s">
        <v>1548</v>
      </c>
      <c r="E1697" s="1" t="str">
        <f>""</f>
        <v/>
      </c>
      <c r="F1697" s="1" t="s">
        <v>28</v>
      </c>
      <c r="G1697" s="1" t="str">
        <f t="shared" ref="G1697:G1703" si="156">CONCATENATE("KEMOBOJA-DUBRAVA D.O.O.,"," AVENIJA DUBRAVA 37,"," 10000 ZAGREB,"," OIB: 6402157427")</f>
        <v>KEMOBOJA-DUBRAVA D.O.O., AVENIJA DUBRAVA 37, 10000 ZAGREB, OIB: 6402157427</v>
      </c>
      <c r="H1697" s="7"/>
      <c r="I1697" s="8" t="s">
        <v>607</v>
      </c>
      <c r="J1697" s="8" t="s">
        <v>555</v>
      </c>
      <c r="K1697" s="6" t="str">
        <f>"3.792,86"</f>
        <v>3.792,86</v>
      </c>
      <c r="L1697" s="6" t="str">
        <f>"483,95"</f>
        <v>483,95</v>
      </c>
      <c r="M1697" s="6" t="str">
        <f>"4.276,81"</f>
        <v>4.276,81</v>
      </c>
      <c r="N1697" s="8" t="s">
        <v>133</v>
      </c>
      <c r="O1697" s="7"/>
      <c r="P1697" s="2" t="s">
        <v>6650</v>
      </c>
      <c r="Q1697" s="7"/>
      <c r="R1697" s="1"/>
      <c r="S1697" s="1" t="str">
        <f>"12-22/NOS-13-ZGH/21"</f>
        <v>12-22/NOS-13-ZGH/21</v>
      </c>
      <c r="T1697" s="1" t="s">
        <v>55</v>
      </c>
    </row>
    <row r="1698" spans="1:20" ht="63.75" x14ac:dyDescent="0.25">
      <c r="A1698" s="6">
        <v>1694</v>
      </c>
      <c r="B1698" s="1" t="str">
        <f t="shared" si="155"/>
        <v>2021-146</v>
      </c>
      <c r="C1698" s="1" t="s">
        <v>1545</v>
      </c>
      <c r="D1698" s="1" t="s">
        <v>1548</v>
      </c>
      <c r="E1698" s="1" t="str">
        <f>""</f>
        <v/>
      </c>
      <c r="F1698" s="1" t="s">
        <v>28</v>
      </c>
      <c r="G1698" s="1" t="str">
        <f t="shared" si="156"/>
        <v>KEMOBOJA-DUBRAVA D.O.O., AVENIJA DUBRAVA 37, 10000 ZAGREB, OIB: 6402157427</v>
      </c>
      <c r="H1698" s="7"/>
      <c r="I1698" s="8" t="s">
        <v>308</v>
      </c>
      <c r="J1698" s="8" t="s">
        <v>555</v>
      </c>
      <c r="K1698" s="6" t="str">
        <f>"720,00"</f>
        <v>720,00</v>
      </c>
      <c r="L1698" s="6" t="str">
        <f>"180,00"</f>
        <v>180,00</v>
      </c>
      <c r="M1698" s="6" t="str">
        <f>"900,00"</f>
        <v>900,00</v>
      </c>
      <c r="N1698" s="8" t="s">
        <v>487</v>
      </c>
      <c r="O1698" s="7"/>
      <c r="P1698" s="2" t="s">
        <v>5738</v>
      </c>
      <c r="Q1698" s="7"/>
      <c r="R1698" s="1"/>
      <c r="S1698" s="1" t="str">
        <f>"15-22/NOS-13-ZGH/21"</f>
        <v>15-22/NOS-13-ZGH/21</v>
      </c>
      <c r="T1698" s="1" t="s">
        <v>32</v>
      </c>
    </row>
    <row r="1699" spans="1:20" ht="63.75" x14ac:dyDescent="0.25">
      <c r="A1699" s="6">
        <v>1695</v>
      </c>
      <c r="B1699" s="1" t="str">
        <f t="shared" si="155"/>
        <v>2021-146</v>
      </c>
      <c r="C1699" s="1" t="s">
        <v>1545</v>
      </c>
      <c r="D1699" s="1" t="s">
        <v>1548</v>
      </c>
      <c r="E1699" s="1" t="str">
        <f>""</f>
        <v/>
      </c>
      <c r="F1699" s="1" t="s">
        <v>28</v>
      </c>
      <c r="G1699" s="1" t="str">
        <f t="shared" si="156"/>
        <v>KEMOBOJA-DUBRAVA D.O.O., AVENIJA DUBRAVA 37, 10000 ZAGREB, OIB: 6402157427</v>
      </c>
      <c r="H1699" s="7"/>
      <c r="I1699" s="8" t="s">
        <v>522</v>
      </c>
      <c r="J1699" s="8" t="s">
        <v>555</v>
      </c>
      <c r="K1699" s="6" t="str">
        <f>"1.540,00"</f>
        <v>1.540,00</v>
      </c>
      <c r="L1699" s="6" t="str">
        <f>"77,00"</f>
        <v>77,00</v>
      </c>
      <c r="M1699" s="6" t="str">
        <f>"1.617,00"</f>
        <v>1.617,00</v>
      </c>
      <c r="N1699" s="8" t="s">
        <v>895</v>
      </c>
      <c r="O1699" s="7"/>
      <c r="P1699" s="2" t="s">
        <v>6651</v>
      </c>
      <c r="Q1699" s="7"/>
      <c r="R1699" s="1"/>
      <c r="S1699" s="1" t="str">
        <f>"17-22/NOS-13-ZGH/21"</f>
        <v>17-22/NOS-13-ZGH/21</v>
      </c>
      <c r="T1699" s="1" t="s">
        <v>55</v>
      </c>
    </row>
    <row r="1700" spans="1:20" ht="63.75" x14ac:dyDescent="0.25">
      <c r="A1700" s="6">
        <v>1696</v>
      </c>
      <c r="B1700" s="1" t="str">
        <f t="shared" si="155"/>
        <v>2021-146</v>
      </c>
      <c r="C1700" s="1" t="s">
        <v>1545</v>
      </c>
      <c r="D1700" s="1" t="s">
        <v>1548</v>
      </c>
      <c r="E1700" s="1" t="str">
        <f>""</f>
        <v/>
      </c>
      <c r="F1700" s="1" t="s">
        <v>28</v>
      </c>
      <c r="G1700" s="1" t="str">
        <f t="shared" si="156"/>
        <v>KEMOBOJA-DUBRAVA D.O.O., AVENIJA DUBRAVA 37, 10000 ZAGREB, OIB: 6402157427</v>
      </c>
      <c r="H1700" s="7"/>
      <c r="I1700" s="8" t="s">
        <v>939</v>
      </c>
      <c r="J1700" s="8" t="s">
        <v>555</v>
      </c>
      <c r="K1700" s="6" t="str">
        <f>"6.858,06"</f>
        <v>6.858,06</v>
      </c>
      <c r="L1700" s="6" t="str">
        <f>"716,95"</f>
        <v>716,95</v>
      </c>
      <c r="M1700" s="6" t="str">
        <f>"7.575,01"</f>
        <v>7.575,01</v>
      </c>
      <c r="N1700" s="8" t="s">
        <v>565</v>
      </c>
      <c r="O1700" s="7"/>
      <c r="P1700" s="2" t="s">
        <v>6652</v>
      </c>
      <c r="Q1700" s="7"/>
      <c r="R1700" s="1"/>
      <c r="S1700" s="1" t="str">
        <f>"22-22/NOS-13-ZGH/21"</f>
        <v>22-22/NOS-13-ZGH/21</v>
      </c>
      <c r="T1700" s="1" t="s">
        <v>55</v>
      </c>
    </row>
    <row r="1701" spans="1:20" ht="63.75" x14ac:dyDescent="0.25">
      <c r="A1701" s="6">
        <v>1697</v>
      </c>
      <c r="B1701" s="1" t="str">
        <f t="shared" si="155"/>
        <v>2021-146</v>
      </c>
      <c r="C1701" s="1" t="s">
        <v>1545</v>
      </c>
      <c r="D1701" s="1" t="s">
        <v>1548</v>
      </c>
      <c r="E1701" s="1" t="str">
        <f>""</f>
        <v/>
      </c>
      <c r="F1701" s="1" t="s">
        <v>28</v>
      </c>
      <c r="G1701" s="1" t="str">
        <f t="shared" si="156"/>
        <v>KEMOBOJA-DUBRAVA D.O.O., AVENIJA DUBRAVA 37, 10000 ZAGREB, OIB: 6402157427</v>
      </c>
      <c r="H1701" s="7"/>
      <c r="I1701" s="8" t="s">
        <v>970</v>
      </c>
      <c r="J1701" s="8" t="s">
        <v>423</v>
      </c>
      <c r="K1701" s="6" t="str">
        <f>"7.174,75"</f>
        <v>7.174,75</v>
      </c>
      <c r="L1701" s="6" t="str">
        <f>"1.793,69"</f>
        <v>1.793,69</v>
      </c>
      <c r="M1701" s="6" t="str">
        <f>"8.968,44"</f>
        <v>8.968,44</v>
      </c>
      <c r="N1701" s="8" t="s">
        <v>81</v>
      </c>
      <c r="O1701" s="7"/>
      <c r="P1701" s="2" t="s">
        <v>6653</v>
      </c>
      <c r="Q1701" s="7"/>
      <c r="R1701" s="1"/>
      <c r="S1701" s="1" t="str">
        <f>"27-22/NOS-13-ZGH/21"</f>
        <v>27-22/NOS-13-ZGH/21</v>
      </c>
      <c r="T1701" s="1" t="s">
        <v>55</v>
      </c>
    </row>
    <row r="1702" spans="1:20" ht="63.75" x14ac:dyDescent="0.25">
      <c r="A1702" s="6">
        <v>1698</v>
      </c>
      <c r="B1702" s="1" t="str">
        <f t="shared" si="155"/>
        <v>2021-146</v>
      </c>
      <c r="C1702" s="1" t="s">
        <v>1545</v>
      </c>
      <c r="D1702" s="1" t="s">
        <v>1548</v>
      </c>
      <c r="E1702" s="1" t="str">
        <f>""</f>
        <v/>
      </c>
      <c r="F1702" s="1" t="s">
        <v>28</v>
      </c>
      <c r="G1702" s="1" t="str">
        <f t="shared" si="156"/>
        <v>KEMOBOJA-DUBRAVA D.O.O., AVENIJA DUBRAVA 37, 10000 ZAGREB, OIB: 6402157427</v>
      </c>
      <c r="H1702" s="7"/>
      <c r="I1702" s="8" t="s">
        <v>81</v>
      </c>
      <c r="J1702" s="8" t="s">
        <v>1188</v>
      </c>
      <c r="K1702" s="6" t="str">
        <f>"11.883,03"</f>
        <v>11.883,03</v>
      </c>
      <c r="L1702" s="6" t="str">
        <f>"0,00"</f>
        <v>0,00</v>
      </c>
      <c r="M1702" s="6" t="str">
        <f>"11.883,03"</f>
        <v>11.883,03</v>
      </c>
      <c r="N1702" s="8" t="s">
        <v>124</v>
      </c>
      <c r="O1702" s="7"/>
      <c r="P1702" s="2" t="s">
        <v>5614</v>
      </c>
      <c r="Q1702" s="7"/>
      <c r="R1702" s="1"/>
      <c r="S1702" s="1" t="str">
        <f>"31-22/NOS-13-ZGH/21"</f>
        <v>31-22/NOS-13-ZGH/21</v>
      </c>
      <c r="T1702" s="1" t="s">
        <v>86</v>
      </c>
    </row>
    <row r="1703" spans="1:20" ht="63.75" x14ac:dyDescent="0.25">
      <c r="A1703" s="6">
        <v>1699</v>
      </c>
      <c r="B1703" s="1" t="str">
        <f t="shared" si="155"/>
        <v>2021-146</v>
      </c>
      <c r="C1703" s="1" t="s">
        <v>1545</v>
      </c>
      <c r="D1703" s="1" t="s">
        <v>1548</v>
      </c>
      <c r="E1703" s="1" t="str">
        <f>""</f>
        <v/>
      </c>
      <c r="F1703" s="1" t="s">
        <v>28</v>
      </c>
      <c r="G1703" s="1" t="str">
        <f t="shared" si="156"/>
        <v>KEMOBOJA-DUBRAVA D.O.O., AVENIJA DUBRAVA 37, 10000 ZAGREB, OIB: 6402157427</v>
      </c>
      <c r="H1703" s="7"/>
      <c r="I1703" s="8" t="s">
        <v>566</v>
      </c>
      <c r="J1703" s="8" t="s">
        <v>555</v>
      </c>
      <c r="K1703" s="6" t="str">
        <f>"1.783,85"</f>
        <v>1.783,85</v>
      </c>
      <c r="L1703" s="6" t="str">
        <f>"0,00"</f>
        <v>0,00</v>
      </c>
      <c r="M1703" s="6" t="str">
        <f>"1.783,85"</f>
        <v>1.783,85</v>
      </c>
      <c r="N1703" s="8" t="s">
        <v>124</v>
      </c>
      <c r="O1703" s="7"/>
      <c r="P1703" s="2" t="s">
        <v>5614</v>
      </c>
      <c r="Q1703" s="7"/>
      <c r="R1703" s="1"/>
      <c r="S1703" s="1" t="str">
        <f>"32-22/NOS-13-ZGH/21"</f>
        <v>32-22/NOS-13-ZGH/21</v>
      </c>
      <c r="T1703" s="1" t="s">
        <v>43</v>
      </c>
    </row>
    <row r="1704" spans="1:20" ht="51" x14ac:dyDescent="0.25">
      <c r="A1704" s="6">
        <v>1700</v>
      </c>
      <c r="B1704" s="1" t="str">
        <f t="shared" si="155"/>
        <v>2021-146</v>
      </c>
      <c r="C1704" s="1" t="s">
        <v>1545</v>
      </c>
      <c r="D1704" s="1" t="s">
        <v>1548</v>
      </c>
      <c r="E1704" s="1" t="str">
        <f>""</f>
        <v/>
      </c>
      <c r="F1704" s="1" t="s">
        <v>28</v>
      </c>
      <c r="G1704" s="1" t="str">
        <f>CONCATENATE("INSAKO D.O.O.,"," PUŽEVA 11,"," 10000 ZAGREB,"," OIB: 39851720584")</f>
        <v>INSAKO D.O.O., PUŽEVA 11, 10000 ZAGREB, OIB: 39851720584</v>
      </c>
      <c r="H1704" s="7"/>
      <c r="I1704" s="8" t="s">
        <v>117</v>
      </c>
      <c r="J1704" s="8" t="s">
        <v>502</v>
      </c>
      <c r="K1704" s="6" t="str">
        <f>"69.598,36"</f>
        <v>69.598,36</v>
      </c>
      <c r="L1704" s="6" t="str">
        <f>"17.399,59"</f>
        <v>17.399,59</v>
      </c>
      <c r="M1704" s="6" t="str">
        <f>"86.997,95"</f>
        <v>86.997,95</v>
      </c>
      <c r="N1704" s="8" t="s">
        <v>1549</v>
      </c>
      <c r="O1704" s="7"/>
      <c r="P1704" s="2" t="s">
        <v>6654</v>
      </c>
      <c r="Q1704" s="7"/>
      <c r="R1704" s="1"/>
      <c r="S1704" s="1" t="str">
        <f>"1-21/NOS-13-ZGH/21"</f>
        <v>1-21/NOS-13-ZGH/21</v>
      </c>
      <c r="T1704" s="1" t="s">
        <v>32</v>
      </c>
    </row>
    <row r="1705" spans="1:20" ht="51" x14ac:dyDescent="0.25">
      <c r="A1705" s="6">
        <v>1701</v>
      </c>
      <c r="B1705" s="1" t="str">
        <f t="shared" si="155"/>
        <v>2021-146</v>
      </c>
      <c r="C1705" s="1" t="s">
        <v>1545</v>
      </c>
      <c r="D1705" s="1" t="s">
        <v>1548</v>
      </c>
      <c r="E1705" s="1" t="str">
        <f>""</f>
        <v/>
      </c>
      <c r="F1705" s="1" t="s">
        <v>28</v>
      </c>
      <c r="G1705" s="1" t="str">
        <f>CONCATENATE("INSAKO D.O.O.,"," PUŽEVA 11,"," 10000 ZAGREB,"," OIB: 39851720584")</f>
        <v>INSAKO D.O.O., PUŽEVA 11, 10000 ZAGREB, OIB: 39851720584</v>
      </c>
      <c r="H1705" s="7"/>
      <c r="I1705" s="8" t="s">
        <v>804</v>
      </c>
      <c r="J1705" s="8" t="s">
        <v>422</v>
      </c>
      <c r="K1705" s="6" t="str">
        <f>"180.874,70"</f>
        <v>180.874,70</v>
      </c>
      <c r="L1705" s="6" t="str">
        <f>"45.218,68"</f>
        <v>45.218,68</v>
      </c>
      <c r="M1705" s="6" t="str">
        <f>"226.093,38"</f>
        <v>226.093,38</v>
      </c>
      <c r="N1705" s="8" t="s">
        <v>291</v>
      </c>
      <c r="O1705" s="7"/>
      <c r="P1705" s="2" t="s">
        <v>6655</v>
      </c>
      <c r="Q1705" s="7"/>
      <c r="R1705" s="1"/>
      <c r="S1705" s="1" t="str">
        <f>"5-22/NOS-13-ZGH/21"</f>
        <v>5-22/NOS-13-ZGH/21</v>
      </c>
      <c r="T1705" s="1" t="s">
        <v>32</v>
      </c>
    </row>
    <row r="1706" spans="1:20" ht="63.75" x14ac:dyDescent="0.25">
      <c r="A1706" s="6">
        <v>1702</v>
      </c>
      <c r="B1706" s="1" t="str">
        <f t="shared" si="155"/>
        <v>2021-146</v>
      </c>
      <c r="C1706" s="1" t="s">
        <v>1545</v>
      </c>
      <c r="D1706" s="1" t="s">
        <v>1548</v>
      </c>
      <c r="E1706" s="1" t="str">
        <f>""</f>
        <v/>
      </c>
      <c r="F1706" s="1" t="s">
        <v>28</v>
      </c>
      <c r="G1706" s="1" t="str">
        <f>CONCATENATE("KEMOBOJA-DUBRAVA D.O.O.,"," AVENIJA DUBRAVA 37,"," 10000 ZAGREB,"," OIB: 6402157427")</f>
        <v>KEMOBOJA-DUBRAVA D.O.O., AVENIJA DUBRAVA 37, 10000 ZAGREB, OIB: 6402157427</v>
      </c>
      <c r="H1706" s="7"/>
      <c r="I1706" s="8" t="s">
        <v>499</v>
      </c>
      <c r="J1706" s="8" t="s">
        <v>53</v>
      </c>
      <c r="K1706" s="6" t="str">
        <f>"29.764,34"</f>
        <v>29.764,34</v>
      </c>
      <c r="L1706" s="6" t="str">
        <f>"7.441,09"</f>
        <v>7.441,09</v>
      </c>
      <c r="M1706" s="6" t="str">
        <f>"37.205,43"</f>
        <v>37.205,43</v>
      </c>
      <c r="N1706" s="8" t="s">
        <v>247</v>
      </c>
      <c r="O1706" s="7"/>
      <c r="P1706" s="2" t="s">
        <v>6656</v>
      </c>
      <c r="Q1706" s="7"/>
      <c r="R1706" s="1"/>
      <c r="S1706" s="1" t="str">
        <f>"6-22/NOS-13-ZGH/21"</f>
        <v>6-22/NOS-13-ZGH/21</v>
      </c>
      <c r="T1706" s="1" t="s">
        <v>32</v>
      </c>
    </row>
    <row r="1707" spans="1:20" ht="63.75" x14ac:dyDescent="0.25">
      <c r="A1707" s="6">
        <v>1703</v>
      </c>
      <c r="B1707" s="1" t="str">
        <f t="shared" si="155"/>
        <v>2021-146</v>
      </c>
      <c r="C1707" s="1" t="s">
        <v>1545</v>
      </c>
      <c r="D1707" s="1" t="s">
        <v>1548</v>
      </c>
      <c r="E1707" s="1" t="str">
        <f>""</f>
        <v/>
      </c>
      <c r="F1707" s="1" t="s">
        <v>28</v>
      </c>
      <c r="G1707" s="1" t="str">
        <f>CONCATENATE("KEMOBOJA-DUBRAVA D.O.O.,"," AVENIJA DUBRAVA 37,"," 10000 ZAGREB,"," OIB: 6402157427")</f>
        <v>KEMOBOJA-DUBRAVA D.O.O., AVENIJA DUBRAVA 37, 10000 ZAGREB, OIB: 6402157427</v>
      </c>
      <c r="H1707" s="7"/>
      <c r="I1707" s="8" t="s">
        <v>296</v>
      </c>
      <c r="J1707" s="8" t="s">
        <v>401</v>
      </c>
      <c r="K1707" s="6" t="str">
        <f>"2.013,58"</f>
        <v>2.013,58</v>
      </c>
      <c r="L1707" s="6" t="str">
        <f>"503,40"</f>
        <v>503,40</v>
      </c>
      <c r="M1707" s="6" t="str">
        <f>"2.516,98"</f>
        <v>2.516,98</v>
      </c>
      <c r="N1707" s="8" t="s">
        <v>72</v>
      </c>
      <c r="O1707" s="7"/>
      <c r="P1707" s="2" t="s">
        <v>6657</v>
      </c>
      <c r="Q1707" s="7"/>
      <c r="R1707" s="1"/>
      <c r="S1707" s="1" t="str">
        <f>"10-22/NOS-13-ZGH/21"</f>
        <v>10-22/NOS-13-ZGH/21</v>
      </c>
      <c r="T1707" s="1" t="s">
        <v>32</v>
      </c>
    </row>
    <row r="1708" spans="1:20" ht="63.75" x14ac:dyDescent="0.25">
      <c r="A1708" s="6">
        <v>1704</v>
      </c>
      <c r="B1708" s="1" t="str">
        <f t="shared" si="155"/>
        <v>2021-146</v>
      </c>
      <c r="C1708" s="1" t="s">
        <v>1545</v>
      </c>
      <c r="D1708" s="1" t="s">
        <v>1548</v>
      </c>
      <c r="E1708" s="1" t="str">
        <f>""</f>
        <v/>
      </c>
      <c r="F1708" s="1" t="s">
        <v>28</v>
      </c>
      <c r="G1708" s="1" t="str">
        <f>CONCATENATE("KEMOBOJA-DUBRAVA D.O.O.,"," AVENIJA DUBRAVA 37,"," 10000 ZAGREB,"," OIB: 6402157427")</f>
        <v>KEMOBOJA-DUBRAVA D.O.O., AVENIJA DUBRAVA 37, 10000 ZAGREB, OIB: 6402157427</v>
      </c>
      <c r="H1708" s="7"/>
      <c r="I1708" s="8" t="s">
        <v>855</v>
      </c>
      <c r="J1708" s="8" t="s">
        <v>250</v>
      </c>
      <c r="K1708" s="6" t="str">
        <f>"858,70"</f>
        <v>858,70</v>
      </c>
      <c r="L1708" s="6" t="str">
        <f>"214,68"</f>
        <v>214,68</v>
      </c>
      <c r="M1708" s="6" t="str">
        <f>"1.073,38"</f>
        <v>1.073,38</v>
      </c>
      <c r="N1708" s="8" t="s">
        <v>261</v>
      </c>
      <c r="O1708" s="7"/>
      <c r="P1708" s="2" t="s">
        <v>6658</v>
      </c>
      <c r="Q1708" s="7"/>
      <c r="R1708" s="1"/>
      <c r="S1708" s="1" t="str">
        <f>"11-22/NOS-13-ZGH/21"</f>
        <v>11-22/NOS-13-ZGH/21</v>
      </c>
      <c r="T1708" s="1" t="s">
        <v>32</v>
      </c>
    </row>
    <row r="1709" spans="1:20" ht="51" x14ac:dyDescent="0.25">
      <c r="A1709" s="6">
        <v>1705</v>
      </c>
      <c r="B1709" s="1" t="str">
        <f t="shared" si="155"/>
        <v>2021-146</v>
      </c>
      <c r="C1709" s="1" t="s">
        <v>1545</v>
      </c>
      <c r="D1709" s="1" t="s">
        <v>1548</v>
      </c>
      <c r="E1709" s="1" t="str">
        <f>""</f>
        <v/>
      </c>
      <c r="F1709" s="1" t="s">
        <v>28</v>
      </c>
      <c r="G1709" s="1" t="str">
        <f>CONCATENATE("INSAKO D.O.O.,"," PUŽEVA 11,"," 10000 ZAGREB,"," OIB: 39851720584")</f>
        <v>INSAKO D.O.O., PUŽEVA 11, 10000 ZAGREB, OIB: 39851720584</v>
      </c>
      <c r="H1709" s="7"/>
      <c r="I1709" s="8" t="s">
        <v>308</v>
      </c>
      <c r="J1709" s="8" t="s">
        <v>350</v>
      </c>
      <c r="K1709" s="6" t="str">
        <f>"20.132,00"</f>
        <v>20.132,00</v>
      </c>
      <c r="L1709" s="6" t="str">
        <f>"5.033,00"</f>
        <v>5.033,00</v>
      </c>
      <c r="M1709" s="6" t="str">
        <f>"25.165,00"</f>
        <v>25.165,00</v>
      </c>
      <c r="N1709" s="8" t="s">
        <v>478</v>
      </c>
      <c r="O1709" s="7"/>
      <c r="P1709" s="2" t="s">
        <v>6659</v>
      </c>
      <c r="Q1709" s="1"/>
      <c r="R1709" s="1"/>
      <c r="S1709" s="1" t="str">
        <f>"13-22/NOS-13-ZGH/21"</f>
        <v>13-22/NOS-13-ZGH/21</v>
      </c>
      <c r="T1709" s="1" t="s">
        <v>32</v>
      </c>
    </row>
    <row r="1710" spans="1:20" ht="51" x14ac:dyDescent="0.25">
      <c r="A1710" s="6">
        <v>1706</v>
      </c>
      <c r="B1710" s="1" t="str">
        <f t="shared" si="155"/>
        <v>2021-146</v>
      </c>
      <c r="C1710" s="1" t="s">
        <v>1545</v>
      </c>
      <c r="D1710" s="1" t="s">
        <v>1548</v>
      </c>
      <c r="E1710" s="1" t="str">
        <f>""</f>
        <v/>
      </c>
      <c r="F1710" s="1" t="s">
        <v>28</v>
      </c>
      <c r="G1710" s="1" t="str">
        <f>CONCATENATE("INSAKO D.O.O.,"," PUŽEVA 11,"," 10000 ZAGREB,"," OIB: 39851720584")</f>
        <v>INSAKO D.O.O., PUŽEVA 11, 10000 ZAGREB, OIB: 39851720584</v>
      </c>
      <c r="H1710" s="7"/>
      <c r="I1710" s="8" t="s">
        <v>994</v>
      </c>
      <c r="J1710" s="8" t="s">
        <v>469</v>
      </c>
      <c r="K1710" s="6" t="str">
        <f>"58.977,10"</f>
        <v>58.977,10</v>
      </c>
      <c r="L1710" s="6" t="str">
        <f>"14.744,28"</f>
        <v>14.744,28</v>
      </c>
      <c r="M1710" s="6" t="str">
        <f>"73.721,38"</f>
        <v>73.721,38</v>
      </c>
      <c r="N1710" s="8" t="s">
        <v>773</v>
      </c>
      <c r="O1710" s="7"/>
      <c r="P1710" s="2" t="s">
        <v>6660</v>
      </c>
      <c r="Q1710" s="1" t="s">
        <v>135</v>
      </c>
      <c r="R1710" s="1"/>
      <c r="S1710" s="1" t="str">
        <f>"14-22/NOS-13-ZGH/21"</f>
        <v>14-22/NOS-13-ZGH/21</v>
      </c>
      <c r="T1710" s="1" t="s">
        <v>32</v>
      </c>
    </row>
    <row r="1711" spans="1:20" ht="63.75" x14ac:dyDescent="0.25">
      <c r="A1711" s="6">
        <v>1707</v>
      </c>
      <c r="B1711" s="1" t="str">
        <f t="shared" si="155"/>
        <v>2021-146</v>
      </c>
      <c r="C1711" s="1" t="s">
        <v>1545</v>
      </c>
      <c r="D1711" s="1" t="s">
        <v>1548</v>
      </c>
      <c r="E1711" s="1" t="str">
        <f>""</f>
        <v/>
      </c>
      <c r="F1711" s="1" t="s">
        <v>28</v>
      </c>
      <c r="G1711" s="1" t="str">
        <f>CONCATENATE("KEMOBOJA-DUBRAVA D.O.O.,"," AVENIJA DUBRAVA 37,"," 10000 ZAGREB,"," OIB: 6402157427")</f>
        <v>KEMOBOJA-DUBRAVA D.O.O., AVENIJA DUBRAVA 37, 10000 ZAGREB, OIB: 6402157427</v>
      </c>
      <c r="H1711" s="7"/>
      <c r="I1711" s="8" t="s">
        <v>426</v>
      </c>
      <c r="J1711" s="8" t="s">
        <v>240</v>
      </c>
      <c r="K1711" s="6" t="str">
        <f>"25.782,64"</f>
        <v>25.782,64</v>
      </c>
      <c r="L1711" s="6" t="str">
        <f>"6.445,66"</f>
        <v>6.445,66</v>
      </c>
      <c r="M1711" s="6" t="str">
        <f>"32.228,30"</f>
        <v>32.228,30</v>
      </c>
      <c r="N1711" s="8" t="s">
        <v>1123</v>
      </c>
      <c r="O1711" s="7"/>
      <c r="P1711" s="2" t="s">
        <v>6661</v>
      </c>
      <c r="Q1711" s="7"/>
      <c r="R1711" s="1"/>
      <c r="S1711" s="1" t="str">
        <f>"19-22/NOS-13-ZGH/21"</f>
        <v>19-22/NOS-13-ZGH/21</v>
      </c>
      <c r="T1711" s="1" t="s">
        <v>32</v>
      </c>
    </row>
    <row r="1712" spans="1:20" ht="51" x14ac:dyDescent="0.25">
      <c r="A1712" s="6">
        <v>1708</v>
      </c>
      <c r="B1712" s="1" t="str">
        <f t="shared" si="155"/>
        <v>2021-146</v>
      </c>
      <c r="C1712" s="1" t="s">
        <v>1545</v>
      </c>
      <c r="D1712" s="1" t="s">
        <v>1548</v>
      </c>
      <c r="E1712" s="1" t="str">
        <f>""</f>
        <v/>
      </c>
      <c r="F1712" s="1" t="s">
        <v>28</v>
      </c>
      <c r="G1712" s="1" t="str">
        <f>CONCATENATE("INSAKO D.O.O.,"," PUŽEVA 11,"," 10000 ZAGREB,"," OIB: 39851720584")</f>
        <v>INSAKO D.O.O., PUŽEVA 11, 10000 ZAGREB, OIB: 39851720584</v>
      </c>
      <c r="H1712" s="7"/>
      <c r="I1712" s="8" t="s">
        <v>895</v>
      </c>
      <c r="J1712" s="8" t="s">
        <v>407</v>
      </c>
      <c r="K1712" s="6" t="str">
        <f>"5.460,00"</f>
        <v>5.460,00</v>
      </c>
      <c r="L1712" s="6" t="str">
        <f>"1.365,00"</f>
        <v>1.365,00</v>
      </c>
      <c r="M1712" s="6" t="str">
        <f>"6.825,00"</f>
        <v>6.825,00</v>
      </c>
      <c r="N1712" s="8" t="s">
        <v>442</v>
      </c>
      <c r="O1712" s="7"/>
      <c r="P1712" s="2" t="s">
        <v>6662</v>
      </c>
      <c r="Q1712" s="7"/>
      <c r="R1712" s="1"/>
      <c r="S1712" s="1" t="str">
        <f>"18-22/NOS-13-ZGH/21"</f>
        <v>18-22/NOS-13-ZGH/21</v>
      </c>
      <c r="T1712" s="1" t="s">
        <v>32</v>
      </c>
    </row>
    <row r="1713" spans="1:20" ht="51" x14ac:dyDescent="0.25">
      <c r="A1713" s="6">
        <v>1709</v>
      </c>
      <c r="B1713" s="1" t="str">
        <f t="shared" si="155"/>
        <v>2021-146</v>
      </c>
      <c r="C1713" s="1" t="s">
        <v>1545</v>
      </c>
      <c r="D1713" s="1" t="s">
        <v>1548</v>
      </c>
      <c r="E1713" s="1" t="str">
        <f>""</f>
        <v/>
      </c>
      <c r="F1713" s="1" t="s">
        <v>28</v>
      </c>
      <c r="G1713" s="1" t="str">
        <f>CONCATENATE("INSAKO D.O.O.,"," PUŽEVA 11,"," 10000 ZAGREB,"," OIB: 39851720584")</f>
        <v>INSAKO D.O.O., PUŽEVA 11, 10000 ZAGREB, OIB: 39851720584</v>
      </c>
      <c r="H1713" s="7"/>
      <c r="I1713" s="8" t="s">
        <v>203</v>
      </c>
      <c r="J1713" s="8" t="s">
        <v>1550</v>
      </c>
      <c r="K1713" s="6" t="str">
        <f>"27.733,60"</f>
        <v>27.733,60</v>
      </c>
      <c r="L1713" s="6" t="str">
        <f>"6.933,40"</f>
        <v>6.933,40</v>
      </c>
      <c r="M1713" s="6" t="str">
        <f>"34.667,00"</f>
        <v>34.667,00</v>
      </c>
      <c r="N1713" s="8" t="s">
        <v>124</v>
      </c>
      <c r="O1713" s="7"/>
      <c r="P1713" s="2" t="s">
        <v>5614</v>
      </c>
      <c r="Q1713" s="7"/>
      <c r="R1713" s="1"/>
      <c r="S1713" s="1" t="str">
        <f>"20-22/NOS-13-ZGH/21"</f>
        <v>20-22/NOS-13-ZGH/21</v>
      </c>
      <c r="T1713" s="1" t="s">
        <v>32</v>
      </c>
    </row>
    <row r="1714" spans="1:20" ht="63.75" x14ac:dyDescent="0.25">
      <c r="A1714" s="6">
        <v>1710</v>
      </c>
      <c r="B1714" s="1" t="str">
        <f t="shared" si="155"/>
        <v>2021-146</v>
      </c>
      <c r="C1714" s="1" t="s">
        <v>1545</v>
      </c>
      <c r="D1714" s="1" t="s">
        <v>1548</v>
      </c>
      <c r="E1714" s="1" t="str">
        <f>""</f>
        <v/>
      </c>
      <c r="F1714" s="1" t="s">
        <v>28</v>
      </c>
      <c r="G1714" s="1" t="str">
        <f>CONCATENATE("KEMOBOJA-DUBRAVA D.O.O.,"," AVENIJA DUBRAVA 37,"," 10000 ZAGREB,"," OIB: 6402157427")</f>
        <v>KEMOBOJA-DUBRAVA D.O.O., AVENIJA DUBRAVA 37, 10000 ZAGREB, OIB: 6402157427</v>
      </c>
      <c r="H1714" s="7"/>
      <c r="I1714" s="8" t="s">
        <v>939</v>
      </c>
      <c r="J1714" s="8" t="s">
        <v>1551</v>
      </c>
      <c r="K1714" s="6" t="str">
        <f>"17.246,01"</f>
        <v>17.246,01</v>
      </c>
      <c r="L1714" s="6" t="str">
        <f>"4.311,50"</f>
        <v>4.311,50</v>
      </c>
      <c r="M1714" s="6" t="str">
        <f>"21.557,51"</f>
        <v>21.557,51</v>
      </c>
      <c r="N1714" s="8" t="s">
        <v>669</v>
      </c>
      <c r="O1714" s="7"/>
      <c r="P1714" s="2" t="s">
        <v>6663</v>
      </c>
      <c r="Q1714" s="7"/>
      <c r="R1714" s="1"/>
      <c r="S1714" s="1" t="str">
        <f>"21-22/NOS-13-ZGH/21"</f>
        <v>21-22/NOS-13-ZGH/21</v>
      </c>
      <c r="T1714" s="1" t="s">
        <v>32</v>
      </c>
    </row>
    <row r="1715" spans="1:20" ht="63.75" x14ac:dyDescent="0.25">
      <c r="A1715" s="6">
        <v>1711</v>
      </c>
      <c r="B1715" s="1" t="str">
        <f t="shared" si="155"/>
        <v>2021-146</v>
      </c>
      <c r="C1715" s="1" t="s">
        <v>1545</v>
      </c>
      <c r="D1715" s="1" t="s">
        <v>1548</v>
      </c>
      <c r="E1715" s="1" t="str">
        <f>""</f>
        <v/>
      </c>
      <c r="F1715" s="1" t="s">
        <v>28</v>
      </c>
      <c r="G1715" s="1" t="str">
        <f>CONCATENATE("KEMOBOJA-DUBRAVA D.O.O.,"," AVENIJA DUBRAVA 37,"," 10000 ZAGREB,"," OIB: 6402157427")</f>
        <v>KEMOBOJA-DUBRAVA D.O.O., AVENIJA DUBRAVA 37, 10000 ZAGREB, OIB: 6402157427</v>
      </c>
      <c r="H1715" s="7"/>
      <c r="I1715" s="8" t="s">
        <v>207</v>
      </c>
      <c r="J1715" s="8" t="s">
        <v>489</v>
      </c>
      <c r="K1715" s="6" t="str">
        <f>"10.374,61"</f>
        <v>10.374,61</v>
      </c>
      <c r="L1715" s="6" t="str">
        <f>"2.593,65"</f>
        <v>2.593,65</v>
      </c>
      <c r="M1715" s="6" t="str">
        <f>"12.968,26"</f>
        <v>12.968,26</v>
      </c>
      <c r="N1715" s="8" t="s">
        <v>384</v>
      </c>
      <c r="O1715" s="7"/>
      <c r="P1715" s="2" t="s">
        <v>6664</v>
      </c>
      <c r="Q1715" s="7"/>
      <c r="R1715" s="1"/>
      <c r="S1715" s="1" t="str">
        <f>"34-22/NOS-13-ZGH/21"</f>
        <v>34-22/NOS-13-ZGH/21</v>
      </c>
      <c r="T1715" s="1" t="s">
        <v>32</v>
      </c>
    </row>
    <row r="1716" spans="1:20" ht="331.5" x14ac:dyDescent="0.25">
      <c r="A1716" s="6">
        <v>1712</v>
      </c>
      <c r="B1716" s="1" t="str">
        <f t="shared" ref="B1716:B1723" si="157">"2021-696"</f>
        <v>2021-696</v>
      </c>
      <c r="C1716" s="1" t="s">
        <v>1552</v>
      </c>
      <c r="D1716" s="1" t="s">
        <v>1553</v>
      </c>
      <c r="E1716" s="1" t="str">
        <f>"2021/S 0F2-0028311"</f>
        <v>2021/S 0F2-0028311</v>
      </c>
      <c r="F1716" s="1" t="s">
        <v>22</v>
      </c>
      <c r="G1716" s="1" t="str">
        <f>CONCATENATE("C.I.A.K. D.O.O.,"," SAVSKA OPATOVINA 36,"," 10090 ZAGREB-SUSEDGRAD,"," OIB: 47428597158",CHAR(10),"",CHAR(10),"CIAK TOOLS D.O.O.,"," KOVINSKA 4,"," 10090 ZAGREB-SUSEDGRAD,"," OIB: 26004523816",CHAR(10),"",CHAR(10),"C.I.A.K. AUTO D.O.O.,"," GORNJOSTUPNIČKA 96,"," 10255 GORNJI STUPNIK,"," OIB: 62595301902",CHAR(10),"",CHAR(10),"BATERIJA-TAB HRVATSKA D.O.O.,"," ČULINEČKA CESTA 269,"," 10040 ZAGREB,"," OIB: 24580002446",CHAR(10),"",CHAR(10),"CIAK TRUCK D.O.O.,"," JELKOVEČKA ULICA 5,"," 10360 SESVETE,"," OIB: 789690718")</f>
        <v>C.I.A.K. D.O.O., SAVSKA OPATOVINA 36, 10090 ZAGREB-SUSEDGRAD, OIB: 47428597158
CIAK TOOLS D.O.O., KOVINSKA 4, 10090 ZAGREB-SUSEDGRAD, OIB: 26004523816
C.I.A.K. AUTO D.O.O., GORNJOSTUPNIČKA 96, 10255 GORNJI STUPNIK, OIB: 62595301902
BATERIJA-TAB HRVATSKA D.O.O., ČULINEČKA CESTA 269, 10040 ZAGREB, OIB: 24580002446
CIAK TRUCK D.O.O., JELKOVEČKA ULICA 5, 10360 SESVETE, OIB: 789690718</v>
      </c>
      <c r="H1716" s="7"/>
      <c r="I1716" s="8" t="s">
        <v>225</v>
      </c>
      <c r="J1716" s="8" t="s">
        <v>1554</v>
      </c>
      <c r="K1716" s="6" t="str">
        <f>"650.000,00"</f>
        <v>650.000,00</v>
      </c>
      <c r="L1716" s="6" t="str">
        <f>"162.500,00"</f>
        <v>162.500,00</v>
      </c>
      <c r="M1716" s="6" t="str">
        <f>"812.500,00"</f>
        <v>812.500,00</v>
      </c>
      <c r="N1716" s="8" t="s">
        <v>124</v>
      </c>
      <c r="O1716" s="7"/>
      <c r="P1716" s="2" t="s">
        <v>5614</v>
      </c>
      <c r="Q1716" s="7"/>
      <c r="R1716" s="1"/>
      <c r="S1716" s="1" t="str">
        <f>"NOS-16-1/21"</f>
        <v>NOS-16-1/21</v>
      </c>
      <c r="T1716" s="1" t="s">
        <v>32</v>
      </c>
    </row>
    <row r="1717" spans="1:20" ht="63.75" x14ac:dyDescent="0.25">
      <c r="A1717" s="6">
        <v>1713</v>
      </c>
      <c r="B1717" s="1" t="str">
        <f t="shared" si="157"/>
        <v>2021-696</v>
      </c>
      <c r="C1717" s="1" t="s">
        <v>1555</v>
      </c>
      <c r="D1717" s="1" t="s">
        <v>1553</v>
      </c>
      <c r="E1717" s="1" t="str">
        <f>""</f>
        <v/>
      </c>
      <c r="F1717" s="1" t="s">
        <v>28</v>
      </c>
      <c r="G1717" s="1" t="str">
        <f>CONCATENATE("BATERIJA-TAB HRVATSKA D.O.O.,"," ČULINEČKA CESTA 269,"," 10040 ZAGREB,"," OIB: 24580002446")</f>
        <v>BATERIJA-TAB HRVATSKA D.O.O., ČULINEČKA CESTA 269, 10040 ZAGREB, OIB: 24580002446</v>
      </c>
      <c r="H1717" s="7"/>
      <c r="I1717" s="8" t="s">
        <v>296</v>
      </c>
      <c r="J1717" s="8" t="s">
        <v>401</v>
      </c>
      <c r="K1717" s="6" t="str">
        <f>"63.310,00"</f>
        <v>63.310,00</v>
      </c>
      <c r="L1717" s="6" t="str">
        <f>"15.827,50"</f>
        <v>15.827,50</v>
      </c>
      <c r="M1717" s="6" t="str">
        <f>"79.137,50"</f>
        <v>79.137,50</v>
      </c>
      <c r="N1717" s="8" t="s">
        <v>293</v>
      </c>
      <c r="O1717" s="7"/>
      <c r="P1717" s="2" t="s">
        <v>6665</v>
      </c>
      <c r="Q1717" s="7"/>
      <c r="R1717" s="1"/>
      <c r="S1717" s="1" t="str">
        <f>"2-22/NOS-16-1/21"</f>
        <v>2-22/NOS-16-1/21</v>
      </c>
      <c r="T1717" s="1" t="s">
        <v>32</v>
      </c>
    </row>
    <row r="1718" spans="1:20" ht="51" x14ac:dyDescent="0.25">
      <c r="A1718" s="6">
        <v>1714</v>
      </c>
      <c r="B1718" s="1" t="str">
        <f t="shared" si="157"/>
        <v>2021-696</v>
      </c>
      <c r="C1718" s="1" t="s">
        <v>1555</v>
      </c>
      <c r="D1718" s="1" t="s">
        <v>1553</v>
      </c>
      <c r="E1718" s="1" t="str">
        <f>""</f>
        <v/>
      </c>
      <c r="F1718" s="1" t="s">
        <v>28</v>
      </c>
      <c r="G1718" s="1" t="str">
        <f>CONCATENATE("C.I.A.K. D.O.O.,"," SAVSKA OPATOVINA 36,"," 10090 ZAGREB-SUSEDGRAD,"," OIB: 47428597158")</f>
        <v>C.I.A.K. D.O.O., SAVSKA OPATOVINA 36, 10090 ZAGREB-SUSEDGRAD, OIB: 47428597158</v>
      </c>
      <c r="H1718" s="7"/>
      <c r="I1718" s="8" t="s">
        <v>920</v>
      </c>
      <c r="J1718" s="8" t="s">
        <v>250</v>
      </c>
      <c r="K1718" s="6" t="str">
        <f>"79.280,00"</f>
        <v>79.280,00</v>
      </c>
      <c r="L1718" s="6" t="str">
        <f>"19.820,00"</f>
        <v>19.820,00</v>
      </c>
      <c r="M1718" s="6" t="str">
        <f>"99.100,00"</f>
        <v>99.100,00</v>
      </c>
      <c r="N1718" s="8" t="s">
        <v>308</v>
      </c>
      <c r="O1718" s="7"/>
      <c r="P1718" s="2" t="s">
        <v>6666</v>
      </c>
      <c r="Q1718" s="7"/>
      <c r="R1718" s="1"/>
      <c r="S1718" s="1" t="str">
        <f>"1-22/NOS-16-1/21"</f>
        <v>1-22/NOS-16-1/21</v>
      </c>
      <c r="T1718" s="1" t="s">
        <v>32</v>
      </c>
    </row>
    <row r="1719" spans="1:20" ht="63.75" x14ac:dyDescent="0.25">
      <c r="A1719" s="6">
        <v>1715</v>
      </c>
      <c r="B1719" s="1" t="str">
        <f t="shared" si="157"/>
        <v>2021-696</v>
      </c>
      <c r="C1719" s="1" t="s">
        <v>1555</v>
      </c>
      <c r="D1719" s="1" t="s">
        <v>1553</v>
      </c>
      <c r="E1719" s="1" t="str">
        <f>""</f>
        <v/>
      </c>
      <c r="F1719" s="1" t="s">
        <v>28</v>
      </c>
      <c r="G1719" s="1" t="str">
        <f>CONCATENATE("C.I.A.K. AUTO D.O.O.,"," GORNJOSTUPNIČKA 96,"," 10255 GORNJI STUPNIK,"," OIB: 62595301902")</f>
        <v>C.I.A.K. AUTO D.O.O., GORNJOSTUPNIČKA 96, 10255 GORNJI STUPNIK, OIB: 62595301902</v>
      </c>
      <c r="H1719" s="7"/>
      <c r="I1719" s="8" t="s">
        <v>898</v>
      </c>
      <c r="J1719" s="8" t="s">
        <v>57</v>
      </c>
      <c r="K1719" s="6" t="str">
        <f>"8.340,00"</f>
        <v>8.340,00</v>
      </c>
      <c r="L1719" s="6" t="str">
        <f>"2.085,00"</f>
        <v>2.085,00</v>
      </c>
      <c r="M1719" s="6" t="str">
        <f>"10.425,00"</f>
        <v>10.425,00</v>
      </c>
      <c r="N1719" s="8" t="s">
        <v>1159</v>
      </c>
      <c r="O1719" s="7"/>
      <c r="P1719" s="2" t="s">
        <v>6667</v>
      </c>
      <c r="Q1719" s="7"/>
      <c r="R1719" s="1"/>
      <c r="S1719" s="1" t="str">
        <f>"3-22/NOS-16-1/21"</f>
        <v>3-22/NOS-16-1/21</v>
      </c>
      <c r="T1719" s="1" t="s">
        <v>32</v>
      </c>
    </row>
    <row r="1720" spans="1:20" ht="63.75" x14ac:dyDescent="0.25">
      <c r="A1720" s="6">
        <v>1716</v>
      </c>
      <c r="B1720" s="1" t="str">
        <f t="shared" si="157"/>
        <v>2021-696</v>
      </c>
      <c r="C1720" s="1" t="s">
        <v>1555</v>
      </c>
      <c r="D1720" s="1" t="s">
        <v>1553</v>
      </c>
      <c r="E1720" s="1" t="str">
        <f>""</f>
        <v/>
      </c>
      <c r="F1720" s="1" t="s">
        <v>28</v>
      </c>
      <c r="G1720" s="1" t="str">
        <f>CONCATENATE("C.I.A.K. AUTO D.O.O.,"," GORNJOSTUPNIČKA 96,"," 10255 GORNJI STUPNIK,"," OIB: 62595301902")</f>
        <v>C.I.A.K. AUTO D.O.O., GORNJOSTUPNIČKA 96, 10255 GORNJI STUPNIK, OIB: 62595301902</v>
      </c>
      <c r="H1720" s="7"/>
      <c r="I1720" s="8" t="s">
        <v>535</v>
      </c>
      <c r="J1720" s="8" t="s">
        <v>1556</v>
      </c>
      <c r="K1720" s="6" t="str">
        <f>"45.680,00"</f>
        <v>45.680,00</v>
      </c>
      <c r="L1720" s="6" t="str">
        <f>"11.420,00"</f>
        <v>11.420,00</v>
      </c>
      <c r="M1720" s="6" t="str">
        <f>"57.100,00"</f>
        <v>57.100,00</v>
      </c>
      <c r="N1720" s="8" t="s">
        <v>215</v>
      </c>
      <c r="O1720" s="7"/>
      <c r="P1720" s="2" t="s">
        <v>6668</v>
      </c>
      <c r="Q1720" s="7"/>
      <c r="R1720" s="1"/>
      <c r="S1720" s="1" t="str">
        <f>"4-22/NOS-16-1/21"</f>
        <v>4-22/NOS-16-1/21</v>
      </c>
      <c r="T1720" s="1" t="s">
        <v>32</v>
      </c>
    </row>
    <row r="1721" spans="1:20" ht="63.75" x14ac:dyDescent="0.25">
      <c r="A1721" s="6">
        <v>1717</v>
      </c>
      <c r="B1721" s="1" t="str">
        <f t="shared" si="157"/>
        <v>2021-696</v>
      </c>
      <c r="C1721" s="1" t="s">
        <v>1555</v>
      </c>
      <c r="D1721" s="1" t="s">
        <v>1553</v>
      </c>
      <c r="E1721" s="1" t="str">
        <f>""</f>
        <v/>
      </c>
      <c r="F1721" s="1" t="s">
        <v>28</v>
      </c>
      <c r="G1721" s="1" t="str">
        <f>CONCATENATE("C.I.A.K. AUTO D.O.O.,"," GORNJOSTUPNIČKA 96,"," 10255 GORNJI STUPNIK,"," OIB: 62595301902")</f>
        <v>C.I.A.K. AUTO D.O.O., GORNJOSTUPNIČKA 96, 10255 GORNJI STUPNIK, OIB: 62595301902</v>
      </c>
      <c r="H1721" s="7"/>
      <c r="I1721" s="8" t="s">
        <v>415</v>
      </c>
      <c r="J1721" s="8" t="s">
        <v>409</v>
      </c>
      <c r="K1721" s="6" t="str">
        <f>"20.707,00"</f>
        <v>20.707,00</v>
      </c>
      <c r="L1721" s="6" t="str">
        <f>"5.176,75"</f>
        <v>5.176,75</v>
      </c>
      <c r="M1721" s="6" t="str">
        <f>"25.883,75"</f>
        <v>25.883,75</v>
      </c>
      <c r="N1721" s="8" t="s">
        <v>58</v>
      </c>
      <c r="O1721" s="7"/>
      <c r="P1721" s="2" t="s">
        <v>6669</v>
      </c>
      <c r="Q1721" s="7"/>
      <c r="R1721" s="1"/>
      <c r="S1721" s="1" t="str">
        <f>"5-22/NOS-16-1/21"</f>
        <v>5-22/NOS-16-1/21</v>
      </c>
      <c r="T1721" s="1" t="s">
        <v>32</v>
      </c>
    </row>
    <row r="1722" spans="1:20" ht="63.75" x14ac:dyDescent="0.25">
      <c r="A1722" s="6">
        <v>1718</v>
      </c>
      <c r="B1722" s="1" t="str">
        <f t="shared" si="157"/>
        <v>2021-696</v>
      </c>
      <c r="C1722" s="1" t="s">
        <v>1555</v>
      </c>
      <c r="D1722" s="1" t="s">
        <v>1553</v>
      </c>
      <c r="E1722" s="1" t="str">
        <f>""</f>
        <v/>
      </c>
      <c r="F1722" s="1" t="s">
        <v>28</v>
      </c>
      <c r="G1722" s="1" t="str">
        <f>CONCATENATE("C.I.A.K. AUTO D.O.O.,"," GORNJOSTUPNIČKA 96,"," 10255 GORNJI STUPNIK,"," OIB: 62595301902")</f>
        <v>C.I.A.K. AUTO D.O.O., GORNJOSTUPNIČKA 96, 10255 GORNJI STUPNIK, OIB: 62595301902</v>
      </c>
      <c r="H1722" s="7"/>
      <c r="I1722" s="8" t="s">
        <v>384</v>
      </c>
      <c r="J1722" s="8" t="s">
        <v>489</v>
      </c>
      <c r="K1722" s="6" t="str">
        <f>"14.370,00"</f>
        <v>14.370,00</v>
      </c>
      <c r="L1722" s="6" t="str">
        <f>"3.592,50"</f>
        <v>3.592,50</v>
      </c>
      <c r="M1722" s="6" t="str">
        <f>"17.962,50"</f>
        <v>17.962,50</v>
      </c>
      <c r="N1722" s="8" t="s">
        <v>124</v>
      </c>
      <c r="O1722" s="7"/>
      <c r="P1722" s="2" t="s">
        <v>5614</v>
      </c>
      <c r="Q1722" s="7"/>
      <c r="R1722" s="1"/>
      <c r="S1722" s="1" t="str">
        <f>"7-22/NOS-16-1/21"</f>
        <v>7-22/NOS-16-1/21</v>
      </c>
      <c r="T1722" s="1" t="s">
        <v>32</v>
      </c>
    </row>
    <row r="1723" spans="1:20" ht="63.75" x14ac:dyDescent="0.25">
      <c r="A1723" s="6">
        <v>1719</v>
      </c>
      <c r="B1723" s="1" t="str">
        <f t="shared" si="157"/>
        <v>2021-696</v>
      </c>
      <c r="C1723" s="1" t="s">
        <v>1555</v>
      </c>
      <c r="D1723" s="1" t="s">
        <v>1553</v>
      </c>
      <c r="E1723" s="1" t="str">
        <f>""</f>
        <v/>
      </c>
      <c r="F1723" s="1" t="s">
        <v>28</v>
      </c>
      <c r="G1723" s="1" t="str">
        <f>CONCATENATE("C.I.A.K. AUTO D.O.O.,"," GORNJOSTUPNIČKA 96,"," 10255 GORNJI STUPNIK,"," OIB: 62595301902")</f>
        <v>C.I.A.K. AUTO D.O.O., GORNJOSTUPNIČKA 96, 10255 GORNJI STUPNIK, OIB: 62595301902</v>
      </c>
      <c r="H1723" s="7"/>
      <c r="I1723" s="8" t="s">
        <v>170</v>
      </c>
      <c r="J1723" s="8" t="s">
        <v>1400</v>
      </c>
      <c r="K1723" s="6" t="str">
        <f>"11.166,00"</f>
        <v>11.166,00</v>
      </c>
      <c r="L1723" s="6" t="str">
        <f>"2.791,50"</f>
        <v>2.791,50</v>
      </c>
      <c r="M1723" s="6" t="str">
        <f>"13.957,50"</f>
        <v>13.957,50</v>
      </c>
      <c r="N1723" s="8" t="s">
        <v>124</v>
      </c>
      <c r="O1723" s="7"/>
      <c r="P1723" s="2" t="s">
        <v>5614</v>
      </c>
      <c r="Q1723" s="7"/>
      <c r="R1723" s="1"/>
      <c r="S1723" s="1" t="str">
        <f>"8-22/NOS-16-1/21"</f>
        <v>8-22/NOS-16-1/21</v>
      </c>
      <c r="T1723" s="1" t="s">
        <v>32</v>
      </c>
    </row>
    <row r="1724" spans="1:20" ht="51" x14ac:dyDescent="0.25">
      <c r="A1724" s="6">
        <v>1720</v>
      </c>
      <c r="B1724" s="1" t="str">
        <f>"2021-2257"</f>
        <v>2021-2257</v>
      </c>
      <c r="C1724" s="1" t="s">
        <v>1557</v>
      </c>
      <c r="D1724" s="1" t="s">
        <v>1558</v>
      </c>
      <c r="E1724" s="1" t="str">
        <f>"2021/S 0F2-0032485"</f>
        <v>2021/S 0F2-0032485</v>
      </c>
      <c r="F1724" s="1" t="s">
        <v>22</v>
      </c>
      <c r="G1724" s="1" t="str">
        <f>CONCATENATE("SBERBANK D.D.,"," VARŠAVSKA 9,"," 10000 ZAGREB,"," OIB: 78427478595")</f>
        <v>SBERBANK D.D., VARŠAVSKA 9, 10000 ZAGREB, OIB: 78427478595</v>
      </c>
      <c r="H1724" s="7"/>
      <c r="I1724" s="8" t="s">
        <v>177</v>
      </c>
      <c r="J1724" s="8" t="s">
        <v>1559</v>
      </c>
      <c r="K1724" s="6" t="str">
        <f>"1.455.000,00"</f>
        <v>1.455.000,00</v>
      </c>
      <c r="L1724" s="6" t="str">
        <f>"363.750,00"</f>
        <v>363.750,00</v>
      </c>
      <c r="M1724" s="6" t="str">
        <f>"1.818.750,00"</f>
        <v>1.818.750,00</v>
      </c>
      <c r="N1724" s="8" t="s">
        <v>124</v>
      </c>
      <c r="O1724" s="7"/>
      <c r="P1724" s="2" t="s">
        <v>5614</v>
      </c>
      <c r="Q1724" s="7"/>
      <c r="R1724" s="1"/>
      <c r="S1724" s="1" t="str">
        <f>"NOS-18/21"</f>
        <v>NOS-18/21</v>
      </c>
      <c r="T1724" s="1" t="s">
        <v>43</v>
      </c>
    </row>
    <row r="1725" spans="1:20" ht="51" x14ac:dyDescent="0.25">
      <c r="A1725" s="6">
        <v>1721</v>
      </c>
      <c r="B1725" s="1" t="str">
        <f>"2021-2257"</f>
        <v>2021-2257</v>
      </c>
      <c r="C1725" s="1" t="s">
        <v>1557</v>
      </c>
      <c r="D1725" s="1" t="s">
        <v>1560</v>
      </c>
      <c r="E1725" s="1" t="str">
        <f>""</f>
        <v/>
      </c>
      <c r="F1725" s="1" t="s">
        <v>28</v>
      </c>
      <c r="G1725" s="1" t="str">
        <f>CONCATENATE("SBERBANK D.D.,"," VARŠAVSKA 9,"," 10000 ZAGREB,"," OIB: 78427478595")</f>
        <v>SBERBANK D.D., VARŠAVSKA 9, 10000 ZAGREB, OIB: 78427478595</v>
      </c>
      <c r="H1725" s="7"/>
      <c r="I1725" s="8" t="s">
        <v>126</v>
      </c>
      <c r="J1725" s="8" t="s">
        <v>123</v>
      </c>
      <c r="K1725" s="6" t="str">
        <f>"400.000,00"</f>
        <v>400.000,00</v>
      </c>
      <c r="L1725" s="6" t="str">
        <f>"100.000,00"</f>
        <v>100.000,00</v>
      </c>
      <c r="M1725" s="6" t="str">
        <f>"500.000,00"</f>
        <v>500.000,00</v>
      </c>
      <c r="N1725" s="8" t="s">
        <v>124</v>
      </c>
      <c r="O1725" s="7"/>
      <c r="P1725" s="2" t="s">
        <v>6670</v>
      </c>
      <c r="Q1725" s="7"/>
      <c r="R1725" s="1"/>
      <c r="S1725" s="1" t="str">
        <f>"1-21/NOS-18/21"</f>
        <v>1-21/NOS-18/21</v>
      </c>
      <c r="T1725" s="1" t="s">
        <v>43</v>
      </c>
    </row>
    <row r="1726" spans="1:20" ht="318.75" x14ac:dyDescent="0.25">
      <c r="A1726" s="6">
        <v>1722</v>
      </c>
      <c r="B1726" s="1" t="str">
        <f>"2021-696"</f>
        <v>2021-696</v>
      </c>
      <c r="C1726" s="1" t="s">
        <v>1561</v>
      </c>
      <c r="D1726" s="1" t="s">
        <v>1553</v>
      </c>
      <c r="E1726" s="1" t="str">
        <f>"2021/S 0F2-0028311"</f>
        <v>2021/S 0F2-0028311</v>
      </c>
      <c r="F1726" s="1" t="s">
        <v>22</v>
      </c>
      <c r="G1726" s="1" t="str">
        <f>CONCATENATE("C.I.A.K. D.O.O.,"," SAVSKA OPATOVINA 36,"," 10090 ZAGREB-SUSEDGRAD,"," OIB: 47428597158",CHAR(10),"",CHAR(10),"CIAK TOOLS D.O.O.,"," KOVINSKA 4,"," 10090 ZAGREB-SUSEDGRAD,"," OIB: 26004523816",CHAR(10),"",CHAR(10),"C.I.A.K. AUTO D.O.O.,"," GORNJOSTUPNIČKA 96,"," 10255 GORNJI STUPNIK,"," OIB: 62595301902",CHAR(10),"",CHAR(10),"TOP START D.O.O.,"," RIBNJAK 5,"," 10000 ZAGREB,"," OIB: 92652872761",CHAR(10),"",CHAR(10),"CIAK TRUCK D.O.O.,"," JELKOVEČKA ULICA 5,"," 10360 SESVETE,"," OIB: 789690718")</f>
        <v>C.I.A.K. D.O.O., SAVSKA OPATOVINA 36, 10090 ZAGREB-SUSEDGRAD, OIB: 47428597158
CIAK TOOLS D.O.O., KOVINSKA 4, 10090 ZAGREB-SUSEDGRAD, OIB: 26004523816
C.I.A.K. AUTO D.O.O., GORNJOSTUPNIČKA 96, 10255 GORNJI STUPNIK, OIB: 62595301902
TOP START D.O.O., RIBNJAK 5, 10000 ZAGREB, OIB: 92652872761
CIAK TRUCK D.O.O., JELKOVEČKA ULICA 5, 10360 SESVETE, OIB: 789690718</v>
      </c>
      <c r="H1726" s="7"/>
      <c r="I1726" s="8" t="s">
        <v>225</v>
      </c>
      <c r="J1726" s="8" t="s">
        <v>1562</v>
      </c>
      <c r="K1726" s="6" t="str">
        <f>"100.000,00"</f>
        <v>100.000,00</v>
      </c>
      <c r="L1726" s="6" t="str">
        <f>"25.000,00"</f>
        <v>25.000,00</v>
      </c>
      <c r="M1726" s="6" t="str">
        <f>"125.000,00"</f>
        <v>125.000,00</v>
      </c>
      <c r="N1726" s="8" t="s">
        <v>124</v>
      </c>
      <c r="O1726" s="7"/>
      <c r="P1726" s="2" t="s">
        <v>5614</v>
      </c>
      <c r="Q1726" s="7"/>
      <c r="R1726" s="1"/>
      <c r="S1726" s="1" t="str">
        <f>"NOS-16-3/21"</f>
        <v>NOS-16-3/21</v>
      </c>
      <c r="T1726" s="1" t="s">
        <v>32</v>
      </c>
    </row>
    <row r="1727" spans="1:20" ht="51" x14ac:dyDescent="0.25">
      <c r="A1727" s="6">
        <v>1723</v>
      </c>
      <c r="B1727" s="1" t="str">
        <f>"2021-696"</f>
        <v>2021-696</v>
      </c>
      <c r="C1727" s="1" t="s">
        <v>1555</v>
      </c>
      <c r="D1727" s="1" t="s">
        <v>1553</v>
      </c>
      <c r="E1727" s="1" t="str">
        <f>""</f>
        <v/>
      </c>
      <c r="F1727" s="1" t="s">
        <v>28</v>
      </c>
      <c r="G1727" s="1" t="str">
        <f>CONCATENATE("CIAK TOOLS D.O.O.,"," KOVINSKA 4,"," 10090 ZAGREB-SUSEDGRAD,"," OIB: 26004523816")</f>
        <v>CIAK TOOLS D.O.O., KOVINSKA 4, 10090 ZAGREB-SUSEDGRAD, OIB: 26004523816</v>
      </c>
      <c r="H1727" s="7"/>
      <c r="I1727" s="8" t="s">
        <v>259</v>
      </c>
      <c r="J1727" s="8" t="s">
        <v>53</v>
      </c>
      <c r="K1727" s="6" t="str">
        <f>"2.583,24"</f>
        <v>2.583,24</v>
      </c>
      <c r="L1727" s="6" t="str">
        <f>"645,81"</f>
        <v>645,81</v>
      </c>
      <c r="M1727" s="6" t="str">
        <f>"3.229,05"</f>
        <v>3.229,05</v>
      </c>
      <c r="N1727" s="8" t="s">
        <v>920</v>
      </c>
      <c r="O1727" s="7"/>
      <c r="P1727" s="2" t="s">
        <v>6671</v>
      </c>
      <c r="Q1727" s="7"/>
      <c r="R1727" s="1"/>
      <c r="S1727" s="1" t="str">
        <f>"1-22/NOS-16-3/21"</f>
        <v>1-22/NOS-16-3/21</v>
      </c>
      <c r="T1727" s="1" t="s">
        <v>32</v>
      </c>
    </row>
    <row r="1728" spans="1:20" ht="140.25" x14ac:dyDescent="0.25">
      <c r="A1728" s="6">
        <v>1724</v>
      </c>
      <c r="B1728" s="1" t="str">
        <f t="shared" ref="B1728:B1745" si="158">"2021-1805"</f>
        <v>2021-1805</v>
      </c>
      <c r="C1728" s="1" t="s">
        <v>104</v>
      </c>
      <c r="D1728" s="1" t="s">
        <v>105</v>
      </c>
      <c r="E1728" s="1" t="str">
        <f>"2021/S 0F2-0032636"</f>
        <v>2021/S 0F2-0032636</v>
      </c>
      <c r="F1728" s="1" t="s">
        <v>22</v>
      </c>
      <c r="G1728" s="1" t="str">
        <f t="shared" ref="G1728:G1745" si="159">CONCATENATE("ADRIA ZAPOSLENICI D.O.O.,"," HEINZELOVA 53/A,"," 10000 ZAGREB,"," OIB: 45462110557")</f>
        <v>ADRIA ZAPOSLENICI D.O.O., HEINZELOVA 53/A, 10000 ZAGREB, OIB: 45462110557</v>
      </c>
      <c r="H1728" s="7"/>
      <c r="I1728" s="8" t="s">
        <v>120</v>
      </c>
      <c r="J1728" s="8" t="s">
        <v>123</v>
      </c>
      <c r="K1728" s="6" t="str">
        <f>"52.100.000,00"</f>
        <v>52.100.000,00</v>
      </c>
      <c r="L1728" s="6" t="str">
        <f>"13.025.000,00"</f>
        <v>13.025.000,00</v>
      </c>
      <c r="M1728" s="6" t="str">
        <f>"65.125.000,00"</f>
        <v>65.125.000,00</v>
      </c>
      <c r="N1728" s="8" t="s">
        <v>124</v>
      </c>
      <c r="O1728" s="7"/>
      <c r="P1728" s="2" t="s">
        <v>6672</v>
      </c>
      <c r="Q1728" s="7"/>
      <c r="R1728" s="1"/>
      <c r="S1728" s="1" t="str">
        <f>"NOS-19/21"</f>
        <v>NOS-19/21</v>
      </c>
      <c r="T1728" s="1" t="s">
        <v>386</v>
      </c>
    </row>
    <row r="1729" spans="1:20" ht="51" x14ac:dyDescent="0.25">
      <c r="A1729" s="6">
        <v>1725</v>
      </c>
      <c r="B1729" s="1" t="str">
        <f t="shared" si="158"/>
        <v>2021-1805</v>
      </c>
      <c r="C1729" s="1" t="s">
        <v>104</v>
      </c>
      <c r="D1729" s="1" t="s">
        <v>109</v>
      </c>
      <c r="E1729" s="1" t="str">
        <f>""</f>
        <v/>
      </c>
      <c r="F1729" s="1" t="s">
        <v>28</v>
      </c>
      <c r="G1729" s="1" t="str">
        <f t="shared" si="159"/>
        <v>ADRIA ZAPOSLENICI D.O.O., HEINZELOVA 53/A, 10000 ZAGREB, OIB: 45462110557</v>
      </c>
      <c r="H1729" s="7"/>
      <c r="I1729" s="8" t="s">
        <v>1240</v>
      </c>
      <c r="J1729" s="8" t="s">
        <v>41</v>
      </c>
      <c r="K1729" s="6" t="str">
        <f>"4.692.000,00"</f>
        <v>4.692.000,00</v>
      </c>
      <c r="L1729" s="6" t="str">
        <f>"1.173.000,00"</f>
        <v>1.173.000,00</v>
      </c>
      <c r="M1729" s="6" t="str">
        <f>"5.865.000,00"</f>
        <v>5.865.000,00</v>
      </c>
      <c r="N1729" s="8" t="s">
        <v>415</v>
      </c>
      <c r="O1729" s="7"/>
      <c r="P1729" s="2" t="s">
        <v>6673</v>
      </c>
      <c r="Q1729" s="1" t="s">
        <v>488</v>
      </c>
      <c r="R1729" s="1"/>
      <c r="S1729" s="1" t="str">
        <f>"1-21/NOS-19/21"</f>
        <v>1-21/NOS-19/21</v>
      </c>
      <c r="T1729" s="1" t="s">
        <v>32</v>
      </c>
    </row>
    <row r="1730" spans="1:20" ht="51" x14ac:dyDescent="0.25">
      <c r="A1730" s="6">
        <v>1726</v>
      </c>
      <c r="B1730" s="1" t="str">
        <f t="shared" si="158"/>
        <v>2021-1805</v>
      </c>
      <c r="C1730" s="1" t="s">
        <v>104</v>
      </c>
      <c r="D1730" s="1" t="s">
        <v>109</v>
      </c>
      <c r="E1730" s="1" t="str">
        <f>""</f>
        <v/>
      </c>
      <c r="F1730" s="1" t="s">
        <v>28</v>
      </c>
      <c r="G1730" s="1" t="str">
        <f t="shared" si="159"/>
        <v>ADRIA ZAPOSLENICI D.O.O., HEINZELOVA 53/A, 10000 ZAGREB, OIB: 45462110557</v>
      </c>
      <c r="H1730" s="7"/>
      <c r="I1730" s="8" t="s">
        <v>396</v>
      </c>
      <c r="J1730" s="8" t="s">
        <v>41</v>
      </c>
      <c r="K1730" s="6" t="str">
        <f>"1.230.000,00"</f>
        <v>1.230.000,00</v>
      </c>
      <c r="L1730" s="6" t="str">
        <f>"307.500,00"</f>
        <v>307.500,00</v>
      </c>
      <c r="M1730" s="6" t="str">
        <f>"1.537.500,00"</f>
        <v>1.537.500,00</v>
      </c>
      <c r="N1730" s="8" t="s">
        <v>400</v>
      </c>
      <c r="O1730" s="7"/>
      <c r="P1730" s="2" t="s">
        <v>6674</v>
      </c>
      <c r="Q1730" s="7"/>
      <c r="R1730" s="1"/>
      <c r="S1730" s="1" t="str">
        <f>"1-22/NOS-19/21"</f>
        <v>1-22/NOS-19/21</v>
      </c>
      <c r="T1730" s="1" t="s">
        <v>86</v>
      </c>
    </row>
    <row r="1731" spans="1:20" ht="51" x14ac:dyDescent="0.25">
      <c r="A1731" s="6">
        <v>1727</v>
      </c>
      <c r="B1731" s="1" t="str">
        <f t="shared" si="158"/>
        <v>2021-1805</v>
      </c>
      <c r="C1731" s="1" t="s">
        <v>104</v>
      </c>
      <c r="D1731" s="1" t="s">
        <v>109</v>
      </c>
      <c r="E1731" s="1" t="str">
        <f>""</f>
        <v/>
      </c>
      <c r="F1731" s="1" t="s">
        <v>28</v>
      </c>
      <c r="G1731" s="1" t="str">
        <f t="shared" si="159"/>
        <v>ADRIA ZAPOSLENICI D.O.O., HEINZELOVA 53/A, 10000 ZAGREB, OIB: 45462110557</v>
      </c>
      <c r="H1731" s="7"/>
      <c r="I1731" s="8" t="s">
        <v>421</v>
      </c>
      <c r="J1731" s="8" t="s">
        <v>53</v>
      </c>
      <c r="K1731" s="6" t="str">
        <f>"270.000,00"</f>
        <v>270.000,00</v>
      </c>
      <c r="L1731" s="6" t="str">
        <f>"67.500,00"</f>
        <v>67.500,00</v>
      </c>
      <c r="M1731" s="6" t="str">
        <f>"337.500,00"</f>
        <v>337.500,00</v>
      </c>
      <c r="N1731" s="8" t="s">
        <v>405</v>
      </c>
      <c r="O1731" s="7"/>
      <c r="P1731" s="2" t="s">
        <v>6675</v>
      </c>
      <c r="Q1731" s="7"/>
      <c r="R1731" s="1"/>
      <c r="S1731" s="1" t="str">
        <f>"2-22/NOS-19/21"</f>
        <v>2-22/NOS-19/21</v>
      </c>
      <c r="T1731" s="1" t="s">
        <v>86</v>
      </c>
    </row>
    <row r="1732" spans="1:20" ht="51" x14ac:dyDescent="0.25">
      <c r="A1732" s="6">
        <v>1728</v>
      </c>
      <c r="B1732" s="1" t="str">
        <f t="shared" si="158"/>
        <v>2021-1805</v>
      </c>
      <c r="C1732" s="1" t="s">
        <v>104</v>
      </c>
      <c r="D1732" s="1" t="s">
        <v>109</v>
      </c>
      <c r="E1732" s="1" t="str">
        <f>""</f>
        <v/>
      </c>
      <c r="F1732" s="1" t="s">
        <v>28</v>
      </c>
      <c r="G1732" s="1" t="str">
        <f t="shared" si="159"/>
        <v>ADRIA ZAPOSLENICI D.O.O., HEINZELOVA 53/A, 10000 ZAGREB, OIB: 45462110557</v>
      </c>
      <c r="H1732" s="7"/>
      <c r="I1732" s="8" t="s">
        <v>421</v>
      </c>
      <c r="J1732" s="8" t="s">
        <v>53</v>
      </c>
      <c r="K1732" s="6" t="str">
        <f>"1.187.603,52"</f>
        <v>1.187.603,52</v>
      </c>
      <c r="L1732" s="6" t="str">
        <f>"296.900,88"</f>
        <v>296.900,88</v>
      </c>
      <c r="M1732" s="6" t="str">
        <f>"1.484.504,40"</f>
        <v>1.484.504,40</v>
      </c>
      <c r="N1732" s="8" t="s">
        <v>505</v>
      </c>
      <c r="O1732" s="7"/>
      <c r="P1732" s="2" t="s">
        <v>6676</v>
      </c>
      <c r="Q1732" s="7"/>
      <c r="R1732" s="1"/>
      <c r="S1732" s="1" t="str">
        <f>"3-22/NOS-19/21"</f>
        <v>3-22/NOS-19/21</v>
      </c>
      <c r="T1732" s="1" t="s">
        <v>32</v>
      </c>
    </row>
    <row r="1733" spans="1:20" ht="51" x14ac:dyDescent="0.25">
      <c r="A1733" s="6">
        <v>1729</v>
      </c>
      <c r="B1733" s="1" t="str">
        <f t="shared" si="158"/>
        <v>2021-1805</v>
      </c>
      <c r="C1733" s="1" t="s">
        <v>104</v>
      </c>
      <c r="D1733" s="1" t="s">
        <v>109</v>
      </c>
      <c r="E1733" s="1" t="str">
        <f>""</f>
        <v/>
      </c>
      <c r="F1733" s="1" t="s">
        <v>28</v>
      </c>
      <c r="G1733" s="1" t="str">
        <f t="shared" si="159"/>
        <v>ADRIA ZAPOSLENICI D.O.O., HEINZELOVA 53/A, 10000 ZAGREB, OIB: 45462110557</v>
      </c>
      <c r="H1733" s="7"/>
      <c r="I1733" s="8" t="s">
        <v>919</v>
      </c>
      <c r="J1733" s="8" t="s">
        <v>30</v>
      </c>
      <c r="K1733" s="6" t="str">
        <f>"135.000,00"</f>
        <v>135.000,00</v>
      </c>
      <c r="L1733" s="6" t="str">
        <f>"33.750,00"</f>
        <v>33.750,00</v>
      </c>
      <c r="M1733" s="6" t="str">
        <f>"168.750,00"</f>
        <v>168.750,00</v>
      </c>
      <c r="N1733" s="8" t="s">
        <v>124</v>
      </c>
      <c r="O1733" s="7"/>
      <c r="P1733" s="2" t="s">
        <v>5614</v>
      </c>
      <c r="Q1733" s="7"/>
      <c r="R1733" s="1"/>
      <c r="S1733" s="1" t="str">
        <f>"4-22/NOS-19/21"</f>
        <v>4-22/NOS-19/21</v>
      </c>
      <c r="T1733" s="1" t="s">
        <v>86</v>
      </c>
    </row>
    <row r="1734" spans="1:20" ht="51" x14ac:dyDescent="0.25">
      <c r="A1734" s="6">
        <v>1730</v>
      </c>
      <c r="B1734" s="1" t="str">
        <f t="shared" si="158"/>
        <v>2021-1805</v>
      </c>
      <c r="C1734" s="1" t="s">
        <v>104</v>
      </c>
      <c r="D1734" s="1" t="s">
        <v>109</v>
      </c>
      <c r="E1734" s="1" t="str">
        <f>""</f>
        <v/>
      </c>
      <c r="F1734" s="1" t="s">
        <v>28</v>
      </c>
      <c r="G1734" s="1" t="str">
        <f t="shared" si="159"/>
        <v>ADRIA ZAPOSLENICI D.O.O., HEINZELOVA 53/A, 10000 ZAGREB, OIB: 45462110557</v>
      </c>
      <c r="H1734" s="7"/>
      <c r="I1734" s="8" t="s">
        <v>635</v>
      </c>
      <c r="J1734" s="8" t="s">
        <v>57</v>
      </c>
      <c r="K1734" s="6" t="str">
        <f>"35.263,00"</f>
        <v>35.263,00</v>
      </c>
      <c r="L1734" s="6" t="str">
        <f>"8.815,75"</f>
        <v>8.815,75</v>
      </c>
      <c r="M1734" s="6" t="str">
        <f>"44.078,75"</f>
        <v>44.078,75</v>
      </c>
      <c r="N1734" s="8" t="s">
        <v>124</v>
      </c>
      <c r="O1734" s="7"/>
      <c r="P1734" s="2" t="s">
        <v>5614</v>
      </c>
      <c r="Q1734" s="7"/>
      <c r="R1734" s="1"/>
      <c r="S1734" s="1" t="str">
        <f>"6-22/NOS-19/21"</f>
        <v>6-22/NOS-19/21</v>
      </c>
      <c r="T1734" s="1" t="s">
        <v>86</v>
      </c>
    </row>
    <row r="1735" spans="1:20" ht="51" x14ac:dyDescent="0.25">
      <c r="A1735" s="6">
        <v>1731</v>
      </c>
      <c r="B1735" s="1" t="str">
        <f t="shared" si="158"/>
        <v>2021-1805</v>
      </c>
      <c r="C1735" s="1" t="s">
        <v>104</v>
      </c>
      <c r="D1735" s="1" t="s">
        <v>109</v>
      </c>
      <c r="E1735" s="1" t="str">
        <f>""</f>
        <v/>
      </c>
      <c r="F1735" s="1" t="s">
        <v>28</v>
      </c>
      <c r="G1735" s="1" t="str">
        <f t="shared" si="159"/>
        <v>ADRIA ZAPOSLENICI D.O.O., HEINZELOVA 53/A, 10000 ZAGREB, OIB: 45462110557</v>
      </c>
      <c r="H1735" s="7"/>
      <c r="I1735" s="8" t="s">
        <v>160</v>
      </c>
      <c r="J1735" s="8" t="s">
        <v>277</v>
      </c>
      <c r="K1735" s="6" t="str">
        <f>"50.000,00"</f>
        <v>50.000,00</v>
      </c>
      <c r="L1735" s="6" t="str">
        <f>"12.500,00"</f>
        <v>12.500,00</v>
      </c>
      <c r="M1735" s="6" t="str">
        <f>"62.500,00"</f>
        <v>62.500,00</v>
      </c>
      <c r="N1735" s="8" t="s">
        <v>955</v>
      </c>
      <c r="O1735" s="7"/>
      <c r="P1735" s="2" t="s">
        <v>6677</v>
      </c>
      <c r="Q1735" s="7"/>
      <c r="R1735" s="1"/>
      <c r="S1735" s="1" t="str">
        <f>"9-22/NOS-19/21"</f>
        <v>9-22/NOS-19/21</v>
      </c>
      <c r="T1735" s="1" t="s">
        <v>86</v>
      </c>
    </row>
    <row r="1736" spans="1:20" ht="51" x14ac:dyDescent="0.25">
      <c r="A1736" s="6">
        <v>1732</v>
      </c>
      <c r="B1736" s="1" t="str">
        <f t="shared" si="158"/>
        <v>2021-1805</v>
      </c>
      <c r="C1736" s="1" t="s">
        <v>104</v>
      </c>
      <c r="D1736" s="1" t="s">
        <v>109</v>
      </c>
      <c r="E1736" s="1" t="str">
        <f>""</f>
        <v/>
      </c>
      <c r="F1736" s="1" t="s">
        <v>28</v>
      </c>
      <c r="G1736" s="1" t="str">
        <f t="shared" si="159"/>
        <v>ADRIA ZAPOSLENICI D.O.O., HEINZELOVA 53/A, 10000 ZAGREB, OIB: 45462110557</v>
      </c>
      <c r="H1736" s="7"/>
      <c r="I1736" s="8" t="s">
        <v>1025</v>
      </c>
      <c r="J1736" s="8" t="s">
        <v>123</v>
      </c>
      <c r="K1736" s="6" t="str">
        <f>"10.896.609,28"</f>
        <v>10.896.609,28</v>
      </c>
      <c r="L1736" s="6" t="str">
        <f>"2.724.152,32"</f>
        <v>2.724.152,32</v>
      </c>
      <c r="M1736" s="6" t="str">
        <f>"13.620.761,60"</f>
        <v>13.620.761,60</v>
      </c>
      <c r="N1736" s="8" t="s">
        <v>124</v>
      </c>
      <c r="O1736" s="7"/>
      <c r="P1736" s="2" t="s">
        <v>6678</v>
      </c>
      <c r="Q1736" s="1"/>
      <c r="R1736" s="1"/>
      <c r="S1736" s="1" t="str">
        <f>"7-22/NOS-19/21"</f>
        <v>7-22/NOS-19/21</v>
      </c>
      <c r="T1736" s="1" t="s">
        <v>32</v>
      </c>
    </row>
    <row r="1737" spans="1:20" ht="51" x14ac:dyDescent="0.25">
      <c r="A1737" s="6">
        <v>1733</v>
      </c>
      <c r="B1737" s="1" t="str">
        <f t="shared" si="158"/>
        <v>2021-1805</v>
      </c>
      <c r="C1737" s="1" t="s">
        <v>104</v>
      </c>
      <c r="D1737" s="1" t="s">
        <v>109</v>
      </c>
      <c r="E1737" s="1" t="str">
        <f>""</f>
        <v/>
      </c>
      <c r="F1737" s="1" t="s">
        <v>28</v>
      </c>
      <c r="G1737" s="1" t="str">
        <f t="shared" si="159"/>
        <v>ADRIA ZAPOSLENICI D.O.O., HEINZELOVA 53/A, 10000 ZAGREB, OIB: 45462110557</v>
      </c>
      <c r="H1737" s="7"/>
      <c r="I1737" s="8" t="s">
        <v>1157</v>
      </c>
      <c r="J1737" s="8" t="s">
        <v>170</v>
      </c>
      <c r="K1737" s="6" t="str">
        <f>"420.000,00"</f>
        <v>420.000,00</v>
      </c>
      <c r="L1737" s="6" t="str">
        <f>"105.000,00"</f>
        <v>105.000,00</v>
      </c>
      <c r="M1737" s="6" t="str">
        <f>"525.000,00"</f>
        <v>525.000,00</v>
      </c>
      <c r="N1737" s="8" t="s">
        <v>489</v>
      </c>
      <c r="O1737" s="7"/>
      <c r="P1737" s="2" t="s">
        <v>6679</v>
      </c>
      <c r="Q1737" s="1"/>
      <c r="R1737" s="1"/>
      <c r="S1737" s="1" t="str">
        <f>"13-22/NOS-19/21"</f>
        <v>13-22/NOS-19/21</v>
      </c>
      <c r="T1737" s="1" t="s">
        <v>86</v>
      </c>
    </row>
    <row r="1738" spans="1:20" ht="51" x14ac:dyDescent="0.25">
      <c r="A1738" s="6">
        <v>1734</v>
      </c>
      <c r="B1738" s="1" t="str">
        <f t="shared" si="158"/>
        <v>2021-1805</v>
      </c>
      <c r="C1738" s="1" t="s">
        <v>104</v>
      </c>
      <c r="D1738" s="1" t="s">
        <v>109</v>
      </c>
      <c r="E1738" s="1" t="str">
        <f>""</f>
        <v/>
      </c>
      <c r="F1738" s="1" t="s">
        <v>28</v>
      </c>
      <c r="G1738" s="1" t="str">
        <f t="shared" si="159"/>
        <v>ADRIA ZAPOSLENICI D.O.O., HEINZELOVA 53/A, 10000 ZAGREB, OIB: 45462110557</v>
      </c>
      <c r="H1738" s="7"/>
      <c r="I1738" s="8" t="s">
        <v>261</v>
      </c>
      <c r="J1738" s="8" t="s">
        <v>231</v>
      </c>
      <c r="K1738" s="6" t="str">
        <f>"23.264,25"</f>
        <v>23.264,25</v>
      </c>
      <c r="L1738" s="6" t="str">
        <f>"5.816,06"</f>
        <v>5.816,06</v>
      </c>
      <c r="M1738" s="6" t="str">
        <f>"29.080,31"</f>
        <v>29.080,31</v>
      </c>
      <c r="N1738" s="8" t="s">
        <v>403</v>
      </c>
      <c r="O1738" s="7"/>
      <c r="P1738" s="2" t="s">
        <v>6680</v>
      </c>
      <c r="Q1738" s="7"/>
      <c r="R1738" s="1"/>
      <c r="S1738" s="1" t="str">
        <f>"5-22/NOS-19/21"</f>
        <v>5-22/NOS-19/21</v>
      </c>
      <c r="T1738" s="1" t="s">
        <v>43</v>
      </c>
    </row>
    <row r="1739" spans="1:20" ht="51" x14ac:dyDescent="0.25">
      <c r="A1739" s="6">
        <v>1735</v>
      </c>
      <c r="B1739" s="1" t="str">
        <f t="shared" si="158"/>
        <v>2021-1805</v>
      </c>
      <c r="C1739" s="1" t="s">
        <v>104</v>
      </c>
      <c r="D1739" s="1" t="s">
        <v>109</v>
      </c>
      <c r="E1739" s="1" t="str">
        <f>""</f>
        <v/>
      </c>
      <c r="F1739" s="1" t="s">
        <v>28</v>
      </c>
      <c r="G1739" s="1" t="str">
        <f t="shared" si="159"/>
        <v>ADRIA ZAPOSLENICI D.O.O., HEINZELOVA 53/A, 10000 ZAGREB, OIB: 45462110557</v>
      </c>
      <c r="H1739" s="7"/>
      <c r="I1739" s="8" t="s">
        <v>57</v>
      </c>
      <c r="J1739" s="8" t="s">
        <v>1148</v>
      </c>
      <c r="K1739" s="6" t="str">
        <f>"24.372,08"</f>
        <v>24.372,08</v>
      </c>
      <c r="L1739" s="6" t="str">
        <f>"6.093,02"</f>
        <v>6.093,02</v>
      </c>
      <c r="M1739" s="6" t="str">
        <f>"30.465,10"</f>
        <v>30.465,10</v>
      </c>
      <c r="N1739" s="8" t="s">
        <v>57</v>
      </c>
      <c r="O1739" s="7"/>
      <c r="P1739" s="2" t="s">
        <v>6681</v>
      </c>
      <c r="Q1739" s="7"/>
      <c r="R1739" s="1"/>
      <c r="S1739" s="1" t="str">
        <f>"8-22/NOS-19/21"</f>
        <v>8-22/NOS-19/21</v>
      </c>
      <c r="T1739" s="1" t="s">
        <v>43</v>
      </c>
    </row>
    <row r="1740" spans="1:20" ht="51" x14ac:dyDescent="0.25">
      <c r="A1740" s="6">
        <v>1736</v>
      </c>
      <c r="B1740" s="1" t="str">
        <f t="shared" si="158"/>
        <v>2021-1805</v>
      </c>
      <c r="C1740" s="1" t="s">
        <v>104</v>
      </c>
      <c r="D1740" s="1" t="s">
        <v>109</v>
      </c>
      <c r="E1740" s="1" t="str">
        <f>""</f>
        <v/>
      </c>
      <c r="F1740" s="1" t="s">
        <v>28</v>
      </c>
      <c r="G1740" s="1" t="str">
        <f t="shared" si="159"/>
        <v>ADRIA ZAPOSLENICI D.O.O., HEINZELOVA 53/A, 10000 ZAGREB, OIB: 45462110557</v>
      </c>
      <c r="H1740" s="7"/>
      <c r="I1740" s="8" t="s">
        <v>240</v>
      </c>
      <c r="J1740" s="8" t="s">
        <v>231</v>
      </c>
      <c r="K1740" s="6" t="str">
        <f>"24.258,87"</f>
        <v>24.258,87</v>
      </c>
      <c r="L1740" s="6" t="str">
        <f>"0,00"</f>
        <v>0,00</v>
      </c>
      <c r="M1740" s="6" t="str">
        <f>"24.258,87"</f>
        <v>24.258,87</v>
      </c>
      <c r="N1740" s="8" t="s">
        <v>124</v>
      </c>
      <c r="O1740" s="7"/>
      <c r="P1740" s="2" t="s">
        <v>5614</v>
      </c>
      <c r="Q1740" s="7"/>
      <c r="R1740" s="1"/>
      <c r="S1740" s="1" t="str">
        <f>"10-22/NOS-19/21"</f>
        <v>10-22/NOS-19/21</v>
      </c>
      <c r="T1740" s="1" t="s">
        <v>43</v>
      </c>
    </row>
    <row r="1741" spans="1:20" ht="51" x14ac:dyDescent="0.25">
      <c r="A1741" s="6">
        <v>1737</v>
      </c>
      <c r="B1741" s="1" t="str">
        <f t="shared" si="158"/>
        <v>2021-1805</v>
      </c>
      <c r="C1741" s="1" t="s">
        <v>104</v>
      </c>
      <c r="D1741" s="1" t="s">
        <v>109</v>
      </c>
      <c r="E1741" s="1" t="str">
        <f>""</f>
        <v/>
      </c>
      <c r="F1741" s="1" t="s">
        <v>28</v>
      </c>
      <c r="G1741" s="1" t="str">
        <f t="shared" si="159"/>
        <v>ADRIA ZAPOSLENICI D.O.O., HEINZELOVA 53/A, 10000 ZAGREB, OIB: 45462110557</v>
      </c>
      <c r="H1741" s="7"/>
      <c r="I1741" s="8" t="s">
        <v>263</v>
      </c>
      <c r="J1741" s="8" t="s">
        <v>1148</v>
      </c>
      <c r="K1741" s="6" t="str">
        <f>"15.000,00"</f>
        <v>15.000,00</v>
      </c>
      <c r="L1741" s="6" t="str">
        <f>"3.138,03"</f>
        <v>3.138,03</v>
      </c>
      <c r="M1741" s="6" t="str">
        <f>"18.138,03"</f>
        <v>18.138,03</v>
      </c>
      <c r="N1741" s="8" t="s">
        <v>430</v>
      </c>
      <c r="O1741" s="7"/>
      <c r="P1741" s="2" t="s">
        <v>6682</v>
      </c>
      <c r="Q1741" s="7"/>
      <c r="R1741" s="1"/>
      <c r="S1741" s="1" t="str">
        <f>"11-22/NOS-19/21"</f>
        <v>11-22/NOS-19/21</v>
      </c>
      <c r="T1741" s="1" t="s">
        <v>86</v>
      </c>
    </row>
    <row r="1742" spans="1:20" ht="51" x14ac:dyDescent="0.25">
      <c r="A1742" s="6">
        <v>1738</v>
      </c>
      <c r="B1742" s="1" t="str">
        <f t="shared" si="158"/>
        <v>2021-1805</v>
      </c>
      <c r="C1742" s="1" t="s">
        <v>104</v>
      </c>
      <c r="D1742" s="1" t="s">
        <v>109</v>
      </c>
      <c r="E1742" s="1" t="str">
        <f>""</f>
        <v/>
      </c>
      <c r="F1742" s="1" t="s">
        <v>28</v>
      </c>
      <c r="G1742" s="1" t="str">
        <f t="shared" si="159"/>
        <v>ADRIA ZAPOSLENICI D.O.O., HEINZELOVA 53/A, 10000 ZAGREB, OIB: 45462110557</v>
      </c>
      <c r="H1742" s="7"/>
      <c r="I1742" s="8" t="s">
        <v>893</v>
      </c>
      <c r="J1742" s="8" t="s">
        <v>1148</v>
      </c>
      <c r="K1742" s="6" t="str">
        <f>"29.998,57"</f>
        <v>29.998,57</v>
      </c>
      <c r="L1742" s="6" t="str">
        <f>"0,00"</f>
        <v>0,00</v>
      </c>
      <c r="M1742" s="6" t="str">
        <f>"29.998,57"</f>
        <v>29.998,57</v>
      </c>
      <c r="N1742" s="8" t="s">
        <v>124</v>
      </c>
      <c r="O1742" s="7"/>
      <c r="P1742" s="2" t="s">
        <v>5614</v>
      </c>
      <c r="Q1742" s="7"/>
      <c r="R1742" s="1"/>
      <c r="S1742" s="1" t="str">
        <f>"12-22/NOS-19/21"</f>
        <v>12-22/NOS-19/21</v>
      </c>
      <c r="T1742" s="1" t="s">
        <v>43</v>
      </c>
    </row>
    <row r="1743" spans="1:20" ht="51" x14ac:dyDescent="0.25">
      <c r="A1743" s="6">
        <v>1739</v>
      </c>
      <c r="B1743" s="1" t="str">
        <f t="shared" si="158"/>
        <v>2021-1805</v>
      </c>
      <c r="C1743" s="1" t="s">
        <v>104</v>
      </c>
      <c r="D1743" s="1" t="s">
        <v>109</v>
      </c>
      <c r="E1743" s="1" t="str">
        <f>""</f>
        <v/>
      </c>
      <c r="F1743" s="1" t="s">
        <v>28</v>
      </c>
      <c r="G1743" s="1" t="str">
        <f t="shared" si="159"/>
        <v>ADRIA ZAPOSLENICI D.O.O., HEINZELOVA 53/A, 10000 ZAGREB, OIB: 45462110557</v>
      </c>
      <c r="H1743" s="7"/>
      <c r="I1743" s="8" t="s">
        <v>214</v>
      </c>
      <c r="J1743" s="8" t="s">
        <v>1148</v>
      </c>
      <c r="K1743" s="6" t="str">
        <f>"13.062,40"</f>
        <v>13.062,40</v>
      </c>
      <c r="L1743" s="6" t="str">
        <f>"3.265,60"</f>
        <v>3.265,60</v>
      </c>
      <c r="M1743" s="6" t="str">
        <f>"16.328,00"</f>
        <v>16.328,00</v>
      </c>
      <c r="N1743" s="8" t="s">
        <v>214</v>
      </c>
      <c r="O1743" s="7"/>
      <c r="P1743" s="2" t="s">
        <v>6683</v>
      </c>
      <c r="Q1743" s="7"/>
      <c r="R1743" s="1"/>
      <c r="S1743" s="1" t="str">
        <f>"14-22/NOS-19/21"</f>
        <v>14-22/NOS-19/21</v>
      </c>
      <c r="T1743" s="1" t="s">
        <v>43</v>
      </c>
    </row>
    <row r="1744" spans="1:20" ht="51" x14ac:dyDescent="0.25">
      <c r="A1744" s="6">
        <v>1740</v>
      </c>
      <c r="B1744" s="1" t="str">
        <f t="shared" si="158"/>
        <v>2021-1805</v>
      </c>
      <c r="C1744" s="1" t="s">
        <v>104</v>
      </c>
      <c r="D1744" s="1" t="s">
        <v>109</v>
      </c>
      <c r="E1744" s="1" t="str">
        <f>""</f>
        <v/>
      </c>
      <c r="F1744" s="1" t="s">
        <v>28</v>
      </c>
      <c r="G1744" s="1" t="str">
        <f t="shared" si="159"/>
        <v>ADRIA ZAPOSLENICI D.O.O., HEINZELOVA 53/A, 10000 ZAGREB, OIB: 45462110557</v>
      </c>
      <c r="H1744" s="7"/>
      <c r="I1744" s="8" t="s">
        <v>964</v>
      </c>
      <c r="J1744" s="8" t="s">
        <v>231</v>
      </c>
      <c r="K1744" s="6" t="str">
        <f>"12.494,46"</f>
        <v>12.494,46</v>
      </c>
      <c r="L1744" s="6" t="str">
        <f>"3.123,62"</f>
        <v>3.123,62</v>
      </c>
      <c r="M1744" s="6" t="str">
        <f>"15.618,08"</f>
        <v>15.618,08</v>
      </c>
      <c r="N1744" s="8" t="s">
        <v>31</v>
      </c>
      <c r="O1744" s="7"/>
      <c r="P1744" s="2" t="s">
        <v>6684</v>
      </c>
      <c r="Q1744" s="7"/>
      <c r="R1744" s="1"/>
      <c r="S1744" s="1" t="str">
        <f>"15-22/NOS-19/21"</f>
        <v>15-22/NOS-19/21</v>
      </c>
      <c r="T1744" s="1" t="s">
        <v>43</v>
      </c>
    </row>
    <row r="1745" spans="1:20" ht="51" x14ac:dyDescent="0.25">
      <c r="A1745" s="6">
        <v>1741</v>
      </c>
      <c r="B1745" s="1" t="str">
        <f t="shared" si="158"/>
        <v>2021-1805</v>
      </c>
      <c r="C1745" s="1" t="s">
        <v>104</v>
      </c>
      <c r="D1745" s="1" t="s">
        <v>109</v>
      </c>
      <c r="E1745" s="1" t="str">
        <f>""</f>
        <v/>
      </c>
      <c r="F1745" s="1" t="s">
        <v>28</v>
      </c>
      <c r="G1745" s="1" t="str">
        <f t="shared" si="159"/>
        <v>ADRIA ZAPOSLENICI D.O.O., HEINZELOVA 53/A, 10000 ZAGREB, OIB: 45462110557</v>
      </c>
      <c r="H1745" s="7"/>
      <c r="I1745" s="8" t="s">
        <v>1191</v>
      </c>
      <c r="J1745" s="8" t="s">
        <v>1148</v>
      </c>
      <c r="K1745" s="6" t="str">
        <f>"11.926,52"</f>
        <v>11.926,52</v>
      </c>
      <c r="L1745" s="6" t="str">
        <f>"0,00"</f>
        <v>0,00</v>
      </c>
      <c r="M1745" s="6" t="str">
        <f>"11.926,52"</f>
        <v>11.926,52</v>
      </c>
      <c r="N1745" s="8" t="s">
        <v>124</v>
      </c>
      <c r="O1745" s="7"/>
      <c r="P1745" s="2" t="s">
        <v>5614</v>
      </c>
      <c r="Q1745" s="7"/>
      <c r="R1745" s="1"/>
      <c r="S1745" s="1" t="str">
        <f>"16-22/NOS-19/21"</f>
        <v>16-22/NOS-19/21</v>
      </c>
      <c r="T1745" s="1" t="s">
        <v>43</v>
      </c>
    </row>
    <row r="1746" spans="1:20" ht="331.5" x14ac:dyDescent="0.25">
      <c r="A1746" s="6">
        <v>1742</v>
      </c>
      <c r="B1746" s="1" t="str">
        <f>"2021-1872"</f>
        <v>2021-1872</v>
      </c>
      <c r="C1746" s="1" t="s">
        <v>1563</v>
      </c>
      <c r="D1746" s="1" t="s">
        <v>1564</v>
      </c>
      <c r="E1746" s="1" t="str">
        <f>"2021/S 0F2-0036198"</f>
        <v>2021/S 0F2-0036198</v>
      </c>
      <c r="F1746" s="1" t="s">
        <v>22</v>
      </c>
      <c r="G1746" s="1" t="str">
        <f>CONCATENATE("INDUSTROOPREMA D.O.O.,"," RIMSKI PUT 11K,"," 10360 SESVETE,"," OIB: 01291306683",CHAR(10),"",CHAR(10),"JAKA D.O.O.,"," OGRIZOVIĆEVA 28/B,","  10 000 ZAGREB,"," OIB: 37705921960",CHAR(10),"",CHAR(10),"BELINAMONT D.O.O.,"," VRTNJAKOVEC 131,"," 49217 KRAPINSKE TOPLICE,"," OIB: 89659199046",CHAR(10),"",CHAR(10),"ELEKTRO-KOMUNIKACIJE D.O.O.,"," 14. PODBREŽJE 4,"," 10000 ZAGREB,"," OIB: 76412373309",CHAR(10),"",CHAR(10),"BASIC MODEL D.O.O.,"," TRAVANJSKA 19,"," 10000 ZAGREB,"," OIB: 64150104602")</f>
        <v>INDUSTROOPREMA D.O.O., RIMSKI PUT 11K, 10360 SESVETE, OIB: 01291306683
JAKA D.O.O., OGRIZOVIĆEVA 28/B,  10 000 ZAGREB, OIB: 37705921960
BELINAMONT D.O.O., VRTNJAKOVEC 131, 49217 KRAPINSKE TOPLICE, OIB: 89659199046
ELEKTRO-KOMUNIKACIJE D.O.O., 14. PODBREŽJE 4, 10000 ZAGREB, OIB: 76412373309
BASIC MODEL D.O.O., TRAVANJSKA 19, 10000 ZAGREB, OIB: 64150104602</v>
      </c>
      <c r="H1746" s="7"/>
      <c r="I1746" s="8" t="s">
        <v>496</v>
      </c>
      <c r="J1746" s="8" t="s">
        <v>1565</v>
      </c>
      <c r="K1746" s="6" t="str">
        <f>"600.000,00"</f>
        <v>600.000,00</v>
      </c>
      <c r="L1746" s="6" t="str">
        <f>"150.000,00"</f>
        <v>150.000,00</v>
      </c>
      <c r="M1746" s="6" t="str">
        <f>"750.000,00"</f>
        <v>750.000,00</v>
      </c>
      <c r="N1746" s="8" t="s">
        <v>124</v>
      </c>
      <c r="O1746" s="7"/>
      <c r="P1746" s="2" t="s">
        <v>5614</v>
      </c>
      <c r="Q1746" s="7"/>
      <c r="R1746" s="1"/>
      <c r="S1746" s="1" t="str">
        <f>"NOS-21/21"</f>
        <v>NOS-21/21</v>
      </c>
      <c r="T1746" s="1" t="s">
        <v>32</v>
      </c>
    </row>
    <row r="1747" spans="1:20" ht="51" x14ac:dyDescent="0.25">
      <c r="A1747" s="6">
        <v>1743</v>
      </c>
      <c r="B1747" s="1" t="str">
        <f>"2021-1872"</f>
        <v>2021-1872</v>
      </c>
      <c r="C1747" s="1" t="s">
        <v>1563</v>
      </c>
      <c r="D1747" s="1" t="s">
        <v>1566</v>
      </c>
      <c r="E1747" s="1" t="str">
        <f>""</f>
        <v/>
      </c>
      <c r="F1747" s="1" t="s">
        <v>28</v>
      </c>
      <c r="G1747" s="1" t="str">
        <f>CONCATENATE("INDUSTROOPREMA D.O.O.,"," RIMSKI PUT 11K,"," 10360 SESVETE,"," OIB: 01291306683")</f>
        <v>INDUSTROOPREMA D.O.O., RIMSKI PUT 11K, 10360 SESVETE, OIB: 01291306683</v>
      </c>
      <c r="H1747" s="7"/>
      <c r="I1747" s="8" t="s">
        <v>296</v>
      </c>
      <c r="J1747" s="8" t="s">
        <v>401</v>
      </c>
      <c r="K1747" s="6" t="str">
        <f>"8.000,00"</f>
        <v>8.000,00</v>
      </c>
      <c r="L1747" s="6" t="str">
        <f>"2.000,00"</f>
        <v>2.000,00</v>
      </c>
      <c r="M1747" s="6" t="str">
        <f>"10.000,00"</f>
        <v>10.000,00</v>
      </c>
      <c r="N1747" s="8" t="s">
        <v>284</v>
      </c>
      <c r="O1747" s="7"/>
      <c r="P1747" s="2" t="s">
        <v>5881</v>
      </c>
      <c r="Q1747" s="7"/>
      <c r="R1747" s="1"/>
      <c r="S1747" s="1" t="str">
        <f>"1-22/NOS-21/21"</f>
        <v>1-22/NOS-21/21</v>
      </c>
      <c r="T1747" s="1" t="s">
        <v>32</v>
      </c>
    </row>
    <row r="1748" spans="1:20" ht="51" x14ac:dyDescent="0.25">
      <c r="A1748" s="6">
        <v>1744</v>
      </c>
      <c r="B1748" s="1" t="str">
        <f>"2021-1872"</f>
        <v>2021-1872</v>
      </c>
      <c r="C1748" s="1" t="s">
        <v>1563</v>
      </c>
      <c r="D1748" s="1" t="s">
        <v>1566</v>
      </c>
      <c r="E1748" s="1" t="str">
        <f>""</f>
        <v/>
      </c>
      <c r="F1748" s="1" t="s">
        <v>28</v>
      </c>
      <c r="G1748" s="1" t="str">
        <f>CONCATENATE("INDUSTROOPREMA D.O.O.,"," RIMSKI PUT 11K,"," 10360 SESVETE,"," OIB: 01291306683")</f>
        <v>INDUSTROOPREMA D.O.O., RIMSKI PUT 11K, 10360 SESVETE, OIB: 01291306683</v>
      </c>
      <c r="H1748" s="7"/>
      <c r="I1748" s="8" t="s">
        <v>1112</v>
      </c>
      <c r="J1748" s="8" t="s">
        <v>350</v>
      </c>
      <c r="K1748" s="6" t="str">
        <f>"6.950,00"</f>
        <v>6.950,00</v>
      </c>
      <c r="L1748" s="6" t="str">
        <f>"1.737,50"</f>
        <v>1.737,50</v>
      </c>
      <c r="M1748" s="6" t="str">
        <f>"8.687,50"</f>
        <v>8.687,50</v>
      </c>
      <c r="N1748" s="8" t="s">
        <v>521</v>
      </c>
      <c r="O1748" s="7"/>
      <c r="P1748" s="2" t="s">
        <v>6685</v>
      </c>
      <c r="Q1748" s="7"/>
      <c r="R1748" s="1"/>
      <c r="S1748" s="1" t="str">
        <f>"2-22/NOS-21/21"</f>
        <v>2-22/NOS-21/21</v>
      </c>
      <c r="T1748" s="1" t="s">
        <v>32</v>
      </c>
    </row>
    <row r="1749" spans="1:20" ht="63.75" x14ac:dyDescent="0.25">
      <c r="A1749" s="6">
        <v>1745</v>
      </c>
      <c r="B1749" s="1" t="str">
        <f>"2021-2159"</f>
        <v>2021-2159</v>
      </c>
      <c r="C1749" s="1" t="s">
        <v>1567</v>
      </c>
      <c r="D1749" s="1" t="s">
        <v>702</v>
      </c>
      <c r="E1749" s="1" t="str">
        <f>"2021/S 0F2-0022521"</f>
        <v>2021/S 0F2-0022521</v>
      </c>
      <c r="F1749" s="1" t="s">
        <v>22</v>
      </c>
      <c r="G1749" s="1" t="str">
        <f>CONCATENATE("PA-EL D.O.O.,"," DUBROVČAN 33B,"," 49214 VELIKO TRGOVIŠĆE,"," OIB: 5674084932")</f>
        <v>PA-EL D.O.O., DUBROVČAN 33B, 49214 VELIKO TRGOVIŠĆE, OIB: 5674084932</v>
      </c>
      <c r="H1749" s="7"/>
      <c r="I1749" s="8" t="s">
        <v>225</v>
      </c>
      <c r="J1749" s="8" t="s">
        <v>1568</v>
      </c>
      <c r="K1749" s="6" t="str">
        <f>"3.840.000,00"</f>
        <v>3.840.000,00</v>
      </c>
      <c r="L1749" s="6" t="str">
        <f>"960.000,00"</f>
        <v>960.000,00</v>
      </c>
      <c r="M1749" s="6" t="str">
        <f>"4.800.000,00"</f>
        <v>4.800.000,00</v>
      </c>
      <c r="N1749" s="8" t="s">
        <v>124</v>
      </c>
      <c r="O1749" s="7"/>
      <c r="P1749" s="2" t="s">
        <v>6686</v>
      </c>
      <c r="Q1749" s="7"/>
      <c r="R1749" s="1"/>
      <c r="S1749" s="1" t="str">
        <f>"NOS-22/21"</f>
        <v>NOS-22/21</v>
      </c>
      <c r="T1749" s="1" t="s">
        <v>452</v>
      </c>
    </row>
    <row r="1750" spans="1:20" ht="280.5" x14ac:dyDescent="0.25">
      <c r="A1750" s="6">
        <v>1746</v>
      </c>
      <c r="B1750" s="1" t="str">
        <f>"2021-1900"</f>
        <v>2021-1900</v>
      </c>
      <c r="C1750" s="1" t="s">
        <v>1569</v>
      </c>
      <c r="D1750" s="1" t="s">
        <v>1570</v>
      </c>
      <c r="E1750" s="1" t="str">
        <f>"2021/S 0F2-0030086"</f>
        <v>2021/S 0F2-0030086</v>
      </c>
      <c r="F1750" s="1" t="s">
        <v>22</v>
      </c>
      <c r="G1750" s="1" t="str">
        <f>CONCATENATE("VELEKEM D.D.,"," UL.KNEZA LJUDEVITA POSAVSKOG 13,"," 10360 SESVETE,"," OIB: 62347407589",CHAR(10),"",CHAR(10),"CHROMOS D.D.,"," ZAGREBAČKA 30,"," 10430 SAMOBOR,"," OIB: 08231288332",CHAR(10),"",CHAR(10),"HELIOS HRVATSKA D.O.O.,"," RADNIČKA CESTA 173D,"," 10000 ZAGREB,"," OIB: 51925436571",CHAR(10),"",CHAR(10),"PISMORAD D.O.O.,"," INDUSTRIJSKA 5,"," 10431 SVETA NEDELJA-NOVAKI,"," OIB: 33260306505")</f>
        <v>VELEKEM D.D., UL.KNEZA LJUDEVITA POSAVSKOG 13, 10360 SESVETE, OIB: 62347407589
CHROMOS D.D., ZAGREBAČKA 30, 10430 SAMOBOR, OIB: 08231288332
HELIOS HRVATSKA D.O.O., RADNIČKA CESTA 173D, 10000 ZAGREB, OIB: 51925436571
PISMORAD D.O.O., INDUSTRIJSKA 5, 10431 SVETA NEDELJA-NOVAKI, OIB: 33260306505</v>
      </c>
      <c r="H1750" s="7"/>
      <c r="I1750" s="8" t="s">
        <v>225</v>
      </c>
      <c r="J1750" s="8" t="s">
        <v>1571</v>
      </c>
      <c r="K1750" s="6" t="str">
        <f>"500.000,00"</f>
        <v>500.000,00</v>
      </c>
      <c r="L1750" s="6" t="str">
        <f>"125.000,00"</f>
        <v>125.000,00</v>
      </c>
      <c r="M1750" s="6" t="str">
        <f>"625.000,00"</f>
        <v>625.000,00</v>
      </c>
      <c r="N1750" s="8" t="s">
        <v>124</v>
      </c>
      <c r="O1750" s="7"/>
      <c r="P1750" s="2" t="s">
        <v>5614</v>
      </c>
      <c r="Q1750" s="7"/>
      <c r="R1750" s="1"/>
      <c r="S1750" s="1" t="str">
        <f>"NOS-15/21"</f>
        <v>NOS-15/21</v>
      </c>
      <c r="T1750" s="1" t="s">
        <v>32</v>
      </c>
    </row>
    <row r="1751" spans="1:20" ht="63.75" x14ac:dyDescent="0.25">
      <c r="A1751" s="6">
        <v>1747</v>
      </c>
      <c r="B1751" s="1" t="str">
        <f>"2021-1900"</f>
        <v>2021-1900</v>
      </c>
      <c r="C1751" s="1" t="s">
        <v>1569</v>
      </c>
      <c r="D1751" s="1" t="s">
        <v>1572</v>
      </c>
      <c r="E1751" s="1" t="str">
        <f>""</f>
        <v/>
      </c>
      <c r="F1751" s="1" t="s">
        <v>28</v>
      </c>
      <c r="G1751" s="1" t="str">
        <f>CONCATENATE("HELIOS HRVATSKA D.O.O.,"," RADNIČKA CESTA 173D,"," 10000 ZAGREB,"," OIB: 5192543657")</f>
        <v>HELIOS HRVATSKA D.O.O., RADNIČKA CESTA 173D, 10000 ZAGREB, OIB: 5192543657</v>
      </c>
      <c r="H1751" s="7"/>
      <c r="I1751" s="8" t="s">
        <v>255</v>
      </c>
      <c r="J1751" s="8" t="s">
        <v>393</v>
      </c>
      <c r="K1751" s="6" t="str">
        <f>"19.550,00"</f>
        <v>19.550,00</v>
      </c>
      <c r="L1751" s="6" t="str">
        <f>"4.887,50"</f>
        <v>4.887,50</v>
      </c>
      <c r="M1751" s="6" t="str">
        <f>"24.437,50"</f>
        <v>24.437,50</v>
      </c>
      <c r="N1751" s="8" t="s">
        <v>371</v>
      </c>
      <c r="O1751" s="7"/>
      <c r="P1751" s="2" t="s">
        <v>6687</v>
      </c>
      <c r="Q1751" s="7"/>
      <c r="R1751" s="1"/>
      <c r="S1751" s="1" t="str">
        <f>"1-22/NOS-15/21"</f>
        <v>1-22/NOS-15/21</v>
      </c>
      <c r="T1751" s="1" t="s">
        <v>32</v>
      </c>
    </row>
    <row r="1752" spans="1:20" ht="63.75" x14ac:dyDescent="0.25">
      <c r="A1752" s="6">
        <v>1748</v>
      </c>
      <c r="B1752" s="1" t="str">
        <f>"2021-1900"</f>
        <v>2021-1900</v>
      </c>
      <c r="C1752" s="1" t="s">
        <v>1569</v>
      </c>
      <c r="D1752" s="1" t="s">
        <v>1572</v>
      </c>
      <c r="E1752" s="1" t="str">
        <f>""</f>
        <v/>
      </c>
      <c r="F1752" s="1" t="s">
        <v>28</v>
      </c>
      <c r="G1752" s="1" t="str">
        <f>CONCATENATE("HELIOS HRVATSKA D.O.O.,"," RADNIČKA CESTA 173D,"," 10000 ZAGREB,"," OIB: 5192543657")</f>
        <v>HELIOS HRVATSKA D.O.O., RADNIČKA CESTA 173D, 10000 ZAGREB, OIB: 5192543657</v>
      </c>
      <c r="H1752" s="7"/>
      <c r="I1752" s="8" t="s">
        <v>31</v>
      </c>
      <c r="J1752" s="8" t="s">
        <v>393</v>
      </c>
      <c r="K1752" s="6" t="str">
        <f>"88.050,00"</f>
        <v>88.050,00</v>
      </c>
      <c r="L1752" s="6" t="str">
        <f>"22.012,50"</f>
        <v>22.012,50</v>
      </c>
      <c r="M1752" s="6" t="str">
        <f>"110.062,50"</f>
        <v>110.062,50</v>
      </c>
      <c r="N1752" s="8" t="s">
        <v>1123</v>
      </c>
      <c r="O1752" s="7"/>
      <c r="P1752" s="2" t="s">
        <v>6688</v>
      </c>
      <c r="Q1752" s="7"/>
      <c r="R1752" s="1"/>
      <c r="S1752" s="1" t="str">
        <f>"4-22/NOS-15/21"</f>
        <v>4-22/NOS-15/21</v>
      </c>
      <c r="T1752" s="1" t="s">
        <v>32</v>
      </c>
    </row>
    <row r="1753" spans="1:20" ht="267.75" x14ac:dyDescent="0.25">
      <c r="A1753" s="6">
        <v>1749</v>
      </c>
      <c r="B1753" s="1" t="str">
        <f t="shared" ref="B1753:B1760" si="160">"2021-58"</f>
        <v>2021-58</v>
      </c>
      <c r="C1753" s="1" t="s">
        <v>1573</v>
      </c>
      <c r="D1753" s="1" t="s">
        <v>547</v>
      </c>
      <c r="E1753" s="1" t="str">
        <f>"2021/S 0F2-0038545"</f>
        <v>2021/S 0F2-0038545</v>
      </c>
      <c r="F1753" s="1" t="s">
        <v>22</v>
      </c>
      <c r="G1753" s="1" t="str">
        <f>CONCATENATE("SMIT-COMMERCE D.O.O.,"," GORNJOSTUPNIČKA 9B,"," 10255 GORNJI STUPNIK,"," OIB: 95243482140",CHAR(10),"",CHAR(10),"VODOSKOK D.D.,"," ČULINEČKA CESTA 221/C,"," 10040 ZAGREB,"," OIB: 34134218058",CHAR(10),"",CHAR(10),"BASIC MODEL D.O.O.,"," TRAVANJSKA 19,"," 10000 ZAGREB,"," OIB: 64150104602",CHAR(10),"",CHAR(10),"BAUMACHER D.O.O.,"," MIKE TRIPALA 4,"," 10000 ZAGREB,"," OIB: 3055929744")</f>
        <v>SMIT-COMMERCE D.O.O., GORNJOSTUPNIČKA 9B, 10255 GORNJI STUPNIK, OIB: 95243482140
VODOSKOK D.D., ČULINEČKA CESTA 221/C, 10040 ZAGREB, OIB: 34134218058
BASIC MODEL D.O.O., TRAVANJSKA 19, 10000 ZAGREB, OIB: 64150104602
BAUMACHER D.O.O., MIKE TRIPALA 4, 10000 ZAGREB, OIB: 3055929744</v>
      </c>
      <c r="H1753" s="7"/>
      <c r="I1753" s="8" t="s">
        <v>117</v>
      </c>
      <c r="J1753" s="8" t="s">
        <v>1554</v>
      </c>
      <c r="K1753" s="6" t="str">
        <f>"1.000.000,00"</f>
        <v>1.000.000,00</v>
      </c>
      <c r="L1753" s="6" t="str">
        <f>"250.000,00"</f>
        <v>250.000,00</v>
      </c>
      <c r="M1753" s="6" t="str">
        <f>"1.250.000,00"</f>
        <v>1.250.000,00</v>
      </c>
      <c r="N1753" s="8" t="s">
        <v>124</v>
      </c>
      <c r="O1753" s="7"/>
      <c r="P1753" s="2" t="s">
        <v>5614</v>
      </c>
      <c r="Q1753" s="7"/>
      <c r="R1753" s="1"/>
      <c r="S1753" s="1" t="str">
        <f>"NOS-20/21"</f>
        <v>NOS-20/21</v>
      </c>
      <c r="T1753" s="1" t="s">
        <v>32</v>
      </c>
    </row>
    <row r="1754" spans="1:20" ht="76.5" x14ac:dyDescent="0.25">
      <c r="A1754" s="6">
        <v>1750</v>
      </c>
      <c r="B1754" s="1" t="str">
        <f t="shared" si="160"/>
        <v>2021-58</v>
      </c>
      <c r="C1754" s="1" t="s">
        <v>1573</v>
      </c>
      <c r="D1754" s="1" t="s">
        <v>547</v>
      </c>
      <c r="E1754" s="1" t="str">
        <f>""</f>
        <v/>
      </c>
      <c r="F1754" s="1" t="s">
        <v>28</v>
      </c>
      <c r="G1754" s="1" t="str">
        <f>CONCATENATE("SMIT-COMMERCE D.O.O.,"," GORNJOSTUPNIČKA 9B,"," 10255 GORNJI STUPNIK,"," OIB: 9524348214")</f>
        <v>SMIT-COMMERCE D.O.O., GORNJOSTUPNIČKA 9B, 10255 GORNJI STUPNIK, OIB: 9524348214</v>
      </c>
      <c r="H1754" s="7"/>
      <c r="I1754" s="8" t="s">
        <v>503</v>
      </c>
      <c r="J1754" s="8" t="s">
        <v>504</v>
      </c>
      <c r="K1754" s="6" t="str">
        <f>"7.498,00"</f>
        <v>7.498,00</v>
      </c>
      <c r="L1754" s="6" t="str">
        <f>"1.874,50"</f>
        <v>1.874,50</v>
      </c>
      <c r="M1754" s="6" t="str">
        <f>"9.372,50"</f>
        <v>9.372,50</v>
      </c>
      <c r="N1754" s="8" t="s">
        <v>831</v>
      </c>
      <c r="O1754" s="7"/>
      <c r="P1754" s="2" t="s">
        <v>6689</v>
      </c>
      <c r="Q1754" s="7"/>
      <c r="R1754" s="1"/>
      <c r="S1754" s="1" t="str">
        <f>"1-22/NOS-20/21"</f>
        <v>1-22/NOS-20/21</v>
      </c>
      <c r="T1754" s="1" t="s">
        <v>32</v>
      </c>
    </row>
    <row r="1755" spans="1:20" ht="76.5" x14ac:dyDescent="0.25">
      <c r="A1755" s="6">
        <v>1751</v>
      </c>
      <c r="B1755" s="1" t="str">
        <f t="shared" si="160"/>
        <v>2021-58</v>
      </c>
      <c r="C1755" s="1" t="s">
        <v>1573</v>
      </c>
      <c r="D1755" s="1" t="s">
        <v>547</v>
      </c>
      <c r="E1755" s="1" t="str">
        <f>""</f>
        <v/>
      </c>
      <c r="F1755" s="1" t="s">
        <v>28</v>
      </c>
      <c r="G1755" s="1" t="str">
        <f>CONCATENATE("SMIT-COMMERCE D.O.O.,"," GORNJOSTUPNIČKA 9B,"," 10255 GORNJI STUPNIK,"," OIB: 9524348214")</f>
        <v>SMIT-COMMERCE D.O.O., GORNJOSTUPNIČKA 9B, 10255 GORNJI STUPNIK, OIB: 9524348214</v>
      </c>
      <c r="H1755" s="7"/>
      <c r="I1755" s="8" t="s">
        <v>499</v>
      </c>
      <c r="J1755" s="8" t="s">
        <v>53</v>
      </c>
      <c r="K1755" s="6" t="str">
        <f>"5.760,00"</f>
        <v>5.760,00</v>
      </c>
      <c r="L1755" s="6" t="str">
        <f>"1.440,00"</f>
        <v>1.440,00</v>
      </c>
      <c r="M1755" s="6" t="str">
        <f>"7.200,00"</f>
        <v>7.200,00</v>
      </c>
      <c r="N1755" s="8" t="s">
        <v>272</v>
      </c>
      <c r="O1755" s="7"/>
      <c r="P1755" s="2" t="s">
        <v>5926</v>
      </c>
      <c r="Q1755" s="7"/>
      <c r="R1755" s="1"/>
      <c r="S1755" s="1" t="str">
        <f>"2-22/NOS-20/21"</f>
        <v>2-22/NOS-20/21</v>
      </c>
      <c r="T1755" s="1" t="s">
        <v>32</v>
      </c>
    </row>
    <row r="1756" spans="1:20" ht="51" x14ac:dyDescent="0.25">
      <c r="A1756" s="6">
        <v>1752</v>
      </c>
      <c r="B1756" s="1" t="str">
        <f t="shared" si="160"/>
        <v>2021-58</v>
      </c>
      <c r="C1756" s="1" t="s">
        <v>1573</v>
      </c>
      <c r="D1756" s="1" t="s">
        <v>547</v>
      </c>
      <c r="E1756" s="1" t="str">
        <f>""</f>
        <v/>
      </c>
      <c r="F1756" s="1" t="s">
        <v>28</v>
      </c>
      <c r="G1756" s="1" t="str">
        <f>CONCATENATE("VODOSKOK D.D.,"," ČULINEČKA CESTA 221/C,"," 10040 ZAGREB,"," OIB: 34134218058")</f>
        <v>VODOSKOK D.D., ČULINEČKA CESTA 221/C, 10040 ZAGREB, OIB: 34134218058</v>
      </c>
      <c r="H1756" s="7"/>
      <c r="I1756" s="8" t="s">
        <v>852</v>
      </c>
      <c r="J1756" s="8" t="s">
        <v>240</v>
      </c>
      <c r="K1756" s="6" t="str">
        <f>"34.988,00"</f>
        <v>34.988,00</v>
      </c>
      <c r="L1756" s="6" t="str">
        <f>"8.747,00"</f>
        <v>8.747,00</v>
      </c>
      <c r="M1756" s="6" t="str">
        <f>"43.735,00"</f>
        <v>43.735,00</v>
      </c>
      <c r="N1756" s="8" t="s">
        <v>208</v>
      </c>
      <c r="O1756" s="7"/>
      <c r="P1756" s="2" t="s">
        <v>6690</v>
      </c>
      <c r="Q1756" s="7"/>
      <c r="R1756" s="1"/>
      <c r="S1756" s="1" t="str">
        <f>"4-22/NOS-20/21"</f>
        <v>4-22/NOS-20/21</v>
      </c>
      <c r="T1756" s="1" t="s">
        <v>32</v>
      </c>
    </row>
    <row r="1757" spans="1:20" ht="51" x14ac:dyDescent="0.25">
      <c r="A1757" s="6">
        <v>1753</v>
      </c>
      <c r="B1757" s="1" t="str">
        <f t="shared" si="160"/>
        <v>2021-58</v>
      </c>
      <c r="C1757" s="1" t="s">
        <v>1573</v>
      </c>
      <c r="D1757" s="1" t="s">
        <v>547</v>
      </c>
      <c r="E1757" s="1" t="str">
        <f>""</f>
        <v/>
      </c>
      <c r="F1757" s="1" t="s">
        <v>28</v>
      </c>
      <c r="G1757" s="1" t="str">
        <f>CONCATENATE("VODOSKOK D.D.,"," ČULINEČKA CESTA 221/C,"," 10040 ZAGREB,"," OIB: 34134218058")</f>
        <v>VODOSKOK D.D., ČULINEČKA CESTA 221/C, 10040 ZAGREB, OIB: 34134218058</v>
      </c>
      <c r="H1757" s="7"/>
      <c r="I1757" s="8" t="s">
        <v>430</v>
      </c>
      <c r="J1757" s="8" t="s">
        <v>377</v>
      </c>
      <c r="K1757" s="6" t="str">
        <f>"11.160,00"</f>
        <v>11.160,00</v>
      </c>
      <c r="L1757" s="6" t="str">
        <f>"2.790,00"</f>
        <v>2.790,00</v>
      </c>
      <c r="M1757" s="6" t="str">
        <f>"13.950,00"</f>
        <v>13.950,00</v>
      </c>
      <c r="N1757" s="8" t="s">
        <v>875</v>
      </c>
      <c r="O1757" s="7"/>
      <c r="P1757" s="2" t="s">
        <v>6691</v>
      </c>
      <c r="Q1757" s="7"/>
      <c r="R1757" s="1"/>
      <c r="S1757" s="1" t="str">
        <f>"6-22/NOS-20/21"</f>
        <v>6-22/NOS-20/21</v>
      </c>
      <c r="T1757" s="1" t="s">
        <v>32</v>
      </c>
    </row>
    <row r="1758" spans="1:20" ht="76.5" x14ac:dyDescent="0.25">
      <c r="A1758" s="6">
        <v>1754</v>
      </c>
      <c r="B1758" s="1" t="str">
        <f t="shared" si="160"/>
        <v>2021-58</v>
      </c>
      <c r="C1758" s="1" t="s">
        <v>1573</v>
      </c>
      <c r="D1758" s="1" t="s">
        <v>547</v>
      </c>
      <c r="E1758" s="1" t="str">
        <f>""</f>
        <v/>
      </c>
      <c r="F1758" s="1" t="s">
        <v>28</v>
      </c>
      <c r="G1758" s="1" t="str">
        <f>CONCATENATE("SMIT-COMMERCE D.O.O.,"," GORNJOSTUPNIČKA 9B,"," 10255 GORNJI STUPNIK,"," OIB: 9524348214")</f>
        <v>SMIT-COMMERCE D.O.O., GORNJOSTUPNIČKA 9B, 10255 GORNJI STUPNIK, OIB: 9524348214</v>
      </c>
      <c r="H1758" s="7"/>
      <c r="I1758" s="8" t="s">
        <v>1159</v>
      </c>
      <c r="J1758" s="8" t="s">
        <v>1200</v>
      </c>
      <c r="K1758" s="6" t="str">
        <f>"38.270,00"</f>
        <v>38.270,00</v>
      </c>
      <c r="L1758" s="6" t="str">
        <f>"9.567,50"</f>
        <v>9.567,50</v>
      </c>
      <c r="M1758" s="6" t="str">
        <f>"47.837,50"</f>
        <v>47.837,50</v>
      </c>
      <c r="N1758" s="8" t="s">
        <v>207</v>
      </c>
      <c r="O1758" s="7"/>
      <c r="P1758" s="2" t="s">
        <v>6692</v>
      </c>
      <c r="Q1758" s="7"/>
      <c r="R1758" s="1"/>
      <c r="S1758" s="1" t="str">
        <f>"7-22/NOS-20/21"</f>
        <v>7-22/NOS-20/21</v>
      </c>
      <c r="T1758" s="1" t="s">
        <v>32</v>
      </c>
    </row>
    <row r="1759" spans="1:20" ht="76.5" x14ac:dyDescent="0.25">
      <c r="A1759" s="6">
        <v>1755</v>
      </c>
      <c r="B1759" s="1" t="str">
        <f t="shared" si="160"/>
        <v>2021-58</v>
      </c>
      <c r="C1759" s="1" t="s">
        <v>1573</v>
      </c>
      <c r="D1759" s="1" t="s">
        <v>547</v>
      </c>
      <c r="E1759" s="1" t="str">
        <f>""</f>
        <v/>
      </c>
      <c r="F1759" s="1" t="s">
        <v>28</v>
      </c>
      <c r="G1759" s="1" t="str">
        <f>CONCATENATE("SMIT-COMMERCE D.O.O.,"," GORNJOSTUPNIČKA 9B,"," 10255 GORNJI STUPNIK,"," OIB: 9524348214")</f>
        <v>SMIT-COMMERCE D.O.O., GORNJOSTUPNIČKA 9B, 10255 GORNJI STUPNIK, OIB: 9524348214</v>
      </c>
      <c r="H1759" s="7"/>
      <c r="I1759" s="8" t="s">
        <v>207</v>
      </c>
      <c r="J1759" s="8" t="s">
        <v>489</v>
      </c>
      <c r="K1759" s="6" t="str">
        <f>"8.240,00"</f>
        <v>8.240,00</v>
      </c>
      <c r="L1759" s="6" t="str">
        <f>"2.060,00"</f>
        <v>2.060,00</v>
      </c>
      <c r="M1759" s="6" t="str">
        <f>"10.300,00"</f>
        <v>10.300,00</v>
      </c>
      <c r="N1759" s="8" t="s">
        <v>124</v>
      </c>
      <c r="O1759" s="7"/>
      <c r="P1759" s="2" t="s">
        <v>5614</v>
      </c>
      <c r="Q1759" s="7"/>
      <c r="R1759" s="1"/>
      <c r="S1759" s="1" t="str">
        <f>"8-22/NOS-20/21"</f>
        <v>8-22/NOS-20/21</v>
      </c>
      <c r="T1759" s="1" t="s">
        <v>32</v>
      </c>
    </row>
    <row r="1760" spans="1:20" ht="76.5" x14ac:dyDescent="0.25">
      <c r="A1760" s="6">
        <v>1756</v>
      </c>
      <c r="B1760" s="1" t="str">
        <f t="shared" si="160"/>
        <v>2021-58</v>
      </c>
      <c r="C1760" s="1" t="s">
        <v>1573</v>
      </c>
      <c r="D1760" s="1" t="s">
        <v>547</v>
      </c>
      <c r="E1760" s="1" t="str">
        <f>""</f>
        <v/>
      </c>
      <c r="F1760" s="1" t="s">
        <v>28</v>
      </c>
      <c r="G1760" s="1" t="str">
        <f>CONCATENATE("SMIT-COMMERCE D.O.O.,"," GORNJOSTUPNIČKA 9B,"," 10255 GORNJI STUPNIK,"," OIB: 9524348214")</f>
        <v>SMIT-COMMERCE D.O.O., GORNJOSTUPNIČKA 9B, 10255 GORNJI STUPNIK, OIB: 9524348214</v>
      </c>
      <c r="H1760" s="7"/>
      <c r="I1760" s="8" t="s">
        <v>170</v>
      </c>
      <c r="J1760" s="8" t="s">
        <v>1400</v>
      </c>
      <c r="K1760" s="6" t="str">
        <f>"8.320,00"</f>
        <v>8.320,00</v>
      </c>
      <c r="L1760" s="6" t="str">
        <f>"2.080,00"</f>
        <v>2.080,00</v>
      </c>
      <c r="M1760" s="6" t="str">
        <f>"10.400,00"</f>
        <v>10.400,00</v>
      </c>
      <c r="N1760" s="8" t="s">
        <v>124</v>
      </c>
      <c r="O1760" s="7"/>
      <c r="P1760" s="2" t="s">
        <v>5614</v>
      </c>
      <c r="Q1760" s="7"/>
      <c r="R1760" s="1"/>
      <c r="S1760" s="1" t="str">
        <f>"9-22/NOS-20/21"</f>
        <v>9-22/NOS-20/21</v>
      </c>
      <c r="T1760" s="1" t="s">
        <v>32</v>
      </c>
    </row>
    <row r="1761" spans="1:20" ht="409.5" x14ac:dyDescent="0.25">
      <c r="A1761" s="6">
        <v>1757</v>
      </c>
      <c r="B1761" s="1" t="str">
        <f>"2021-2148"</f>
        <v>2021-2148</v>
      </c>
      <c r="C1761" s="1" t="s">
        <v>1158</v>
      </c>
      <c r="D1761" s="1" t="s">
        <v>941</v>
      </c>
      <c r="E1761" s="1" t="str">
        <f>"2021/S 0F2-0035150"</f>
        <v>2021/S 0F2-0035150</v>
      </c>
      <c r="F1761" s="1" t="s">
        <v>22</v>
      </c>
      <c r="G1761" s="1"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1761" s="7"/>
      <c r="I1761" s="8" t="s">
        <v>89</v>
      </c>
      <c r="J1761" s="8" t="s">
        <v>1554</v>
      </c>
      <c r="K1761" s="6" t="str">
        <f>"15.000.000,00"</f>
        <v>15.000.000,00</v>
      </c>
      <c r="L1761" s="6" t="str">
        <f>"3.750.000,00"</f>
        <v>3.750.000,00</v>
      </c>
      <c r="M1761" s="6" t="str">
        <f>"18.750.000,00"</f>
        <v>18.750.000,00</v>
      </c>
      <c r="N1761" s="8" t="s">
        <v>124</v>
      </c>
      <c r="O1761" s="7"/>
      <c r="P1761" s="2" t="s">
        <v>5614</v>
      </c>
      <c r="Q1761" s="7"/>
      <c r="R1761" s="1"/>
      <c r="S1761" s="1" t="str">
        <f>"NOS-26/21"</f>
        <v>NOS-26/21</v>
      </c>
      <c r="T1761" s="1" t="s">
        <v>55</v>
      </c>
    </row>
    <row r="1762" spans="1:20" ht="409.5" x14ac:dyDescent="0.25">
      <c r="A1762" s="6">
        <v>1758</v>
      </c>
      <c r="B1762" s="1" t="str">
        <f>"2021-2148"</f>
        <v>2021-2148</v>
      </c>
      <c r="C1762" s="1" t="s">
        <v>1158</v>
      </c>
      <c r="D1762" s="1" t="s">
        <v>486</v>
      </c>
      <c r="E1762" s="1" t="str">
        <f>""</f>
        <v/>
      </c>
      <c r="F1762" s="1" t="s">
        <v>28</v>
      </c>
      <c r="G1762" s="1"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1762" s="7"/>
      <c r="I1762" s="8" t="s">
        <v>239</v>
      </c>
      <c r="J1762" s="8" t="s">
        <v>30</v>
      </c>
      <c r="K1762" s="6" t="str">
        <f>"2.907.048,50"</f>
        <v>2.907.048,50</v>
      </c>
      <c r="L1762" s="6" t="str">
        <f>"726.762,13"</f>
        <v>726.762,13</v>
      </c>
      <c r="M1762" s="6" t="str">
        <f>"3.633.810,63"</f>
        <v>3.633.810,63</v>
      </c>
      <c r="N1762" s="8" t="s">
        <v>506</v>
      </c>
      <c r="O1762" s="7"/>
      <c r="P1762" s="2" t="s">
        <v>6693</v>
      </c>
      <c r="Q1762" s="7"/>
      <c r="R1762" s="1"/>
      <c r="S1762" s="1" t="str">
        <f>"1-22/NOS-26/21"</f>
        <v>1-22/NOS-26/21</v>
      </c>
      <c r="T1762" s="1" t="s">
        <v>55</v>
      </c>
    </row>
    <row r="1763" spans="1:20" ht="409.5" x14ac:dyDescent="0.25">
      <c r="A1763" s="6">
        <v>1759</v>
      </c>
      <c r="B1763" s="1" t="str">
        <f>"2021-2148"</f>
        <v>2021-2148</v>
      </c>
      <c r="C1763" s="1" t="s">
        <v>1158</v>
      </c>
      <c r="D1763" s="1" t="s">
        <v>486</v>
      </c>
      <c r="E1763" s="1" t="str">
        <f>""</f>
        <v/>
      </c>
      <c r="F1763" s="1" t="s">
        <v>28</v>
      </c>
      <c r="G1763" s="1"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1763" s="7"/>
      <c r="I1763" s="8" t="s">
        <v>94</v>
      </c>
      <c r="J1763" s="8" t="s">
        <v>277</v>
      </c>
      <c r="K1763" s="6" t="str">
        <f>"3.284.490,65"</f>
        <v>3.284.490,65</v>
      </c>
      <c r="L1763" s="6" t="str">
        <f>"821.122,66"</f>
        <v>821.122,66</v>
      </c>
      <c r="M1763" s="6" t="str">
        <f>"4.105.613,31"</f>
        <v>4.105.613,31</v>
      </c>
      <c r="N1763" s="8" t="s">
        <v>133</v>
      </c>
      <c r="O1763" s="7"/>
      <c r="P1763" s="2" t="s">
        <v>6694</v>
      </c>
      <c r="Q1763" s="7"/>
      <c r="R1763" s="1"/>
      <c r="S1763" s="1" t="str">
        <f>"2-22/NOS-26/21"</f>
        <v>2-22/NOS-26/21</v>
      </c>
      <c r="T1763" s="1" t="s">
        <v>55</v>
      </c>
    </row>
    <row r="1764" spans="1:20" ht="409.5" x14ac:dyDescent="0.25">
      <c r="A1764" s="6">
        <v>1760</v>
      </c>
      <c r="B1764" s="1" t="str">
        <f>"2021-2148"</f>
        <v>2021-2148</v>
      </c>
      <c r="C1764" s="1" t="s">
        <v>1158</v>
      </c>
      <c r="D1764" s="1" t="s">
        <v>486</v>
      </c>
      <c r="E1764" s="1" t="str">
        <f>""</f>
        <v/>
      </c>
      <c r="F1764" s="1" t="s">
        <v>28</v>
      </c>
      <c r="G1764" s="1"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1764" s="7"/>
      <c r="I1764" s="8" t="s">
        <v>955</v>
      </c>
      <c r="J1764" s="8" t="s">
        <v>875</v>
      </c>
      <c r="K1764" s="6" t="str">
        <f>"1.398.639,40"</f>
        <v>1.398.639,40</v>
      </c>
      <c r="L1764" s="6" t="str">
        <f>"349.659,85"</f>
        <v>349.659,85</v>
      </c>
      <c r="M1764" s="6" t="str">
        <f>"1.748.299,25"</f>
        <v>1.748.299,25</v>
      </c>
      <c r="N1764" s="8" t="s">
        <v>124</v>
      </c>
      <c r="O1764" s="7"/>
      <c r="P1764" s="2" t="s">
        <v>5614</v>
      </c>
      <c r="Q1764" s="7"/>
      <c r="R1764" s="1"/>
      <c r="S1764" s="1" t="str">
        <f>"3-22/NOS-26/21"</f>
        <v>3-22/NOS-26/21</v>
      </c>
      <c r="T1764" s="1" t="s">
        <v>55</v>
      </c>
    </row>
    <row r="1765" spans="1:20" ht="409.5" x14ac:dyDescent="0.25">
      <c r="A1765" s="6">
        <v>1761</v>
      </c>
      <c r="B1765" s="1" t="str">
        <f>"2021-2148"</f>
        <v>2021-2148</v>
      </c>
      <c r="C1765" s="1" t="s">
        <v>1158</v>
      </c>
      <c r="D1765" s="1" t="s">
        <v>486</v>
      </c>
      <c r="E1765" s="1" t="str">
        <f>""</f>
        <v/>
      </c>
      <c r="F1765" s="1" t="s">
        <v>28</v>
      </c>
      <c r="G1765" s="1" t="str">
        <f>CONCATENATE("Zajednica ponuditelja",CHAR(10),"KINDER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f>
        <v>Zajednica ponuditelja
KINDER GRADNJA D.O.O., SELSKA 57, 10360 SESVETE, OIB: 71001411174BOLČEVIĆ-GRADNJA D.O.O. DUGOSELSKA CESTA 56, 10361 SESVETSKI KRALJEVEC, OIB: 52098670500GEORAD D.O.O. KORNATSKA 1, 10000 ZAGREB, OIB: 49756748234AMB GRADNJA D.O.O. PRILAZ BARUNA FILIPOVIĆA 15, 10000 ZAGREB, OIB: 85272651470NERING D.O.O. LIVADARSKI PUT 24, 10360 SESVETE, OIB: 85965934616SKEN - MONT D.O.O. GAJEVA 62, 10430 SAMOBOR, OIB: 29785127309TEMPORIUM GRADNJA D.O.O. LJUTOMERSKA ULICA 33A, 10000 ZAGREB, OIB: 62850482681MULTIGRAD D.O.O. LUKAVEČKA 7, 10412 DONJA LOMNICA, OIB: 33615517007GUT D.O.O. SISAČKA 37, 10000 ZAGREB, OIB: 95017105221ZG MARINE D.O.O. MEDARSKA 69, 10000 ZAGREB, OIB: 98182061008</v>
      </c>
      <c r="H1765" s="7"/>
      <c r="I1765" s="8" t="s">
        <v>58</v>
      </c>
      <c r="J1765" s="8" t="s">
        <v>1574</v>
      </c>
      <c r="K1765" s="6" t="str">
        <f>"1.049.472,60"</f>
        <v>1.049.472,60</v>
      </c>
      <c r="L1765" s="6" t="str">
        <f>"262.368,15"</f>
        <v>262.368,15</v>
      </c>
      <c r="M1765" s="6" t="str">
        <f>"1.311.840,75"</f>
        <v>1.311.840,75</v>
      </c>
      <c r="N1765" s="8" t="s">
        <v>489</v>
      </c>
      <c r="O1765" s="7"/>
      <c r="P1765" s="2" t="s">
        <v>6695</v>
      </c>
      <c r="Q1765" s="7"/>
      <c r="R1765" s="1"/>
      <c r="S1765" s="1" t="str">
        <f>"4-22/NOS-26/21"</f>
        <v>4-22/NOS-26/21</v>
      </c>
      <c r="T1765" s="1" t="s">
        <v>55</v>
      </c>
    </row>
    <row r="1766" spans="1:20" ht="140.25" x14ac:dyDescent="0.25">
      <c r="A1766" s="6">
        <v>1762</v>
      </c>
      <c r="B1766" s="1" t="str">
        <f>"2021-33"</f>
        <v>2021-33</v>
      </c>
      <c r="C1766" s="1" t="s">
        <v>1575</v>
      </c>
      <c r="D1766" s="1" t="s">
        <v>1576</v>
      </c>
      <c r="E1766" s="1" t="str">
        <f>"2021/S 0F2-0010587"</f>
        <v>2021/S 0F2-0010587</v>
      </c>
      <c r="F1766" s="1" t="s">
        <v>22</v>
      </c>
      <c r="G1766" s="1" t="str">
        <f>CONCATENATE("KVAM SISTEM D.O.O.,"," SISAČKA CESTA II ODVOJAK 60,"," 10000 ZAGREB,"," OIB: 54392975253")</f>
        <v>KVAM SISTEM D.O.O., SISAČKA CESTA II ODVOJAK 60, 10000 ZAGREB, OIB: 54392975253</v>
      </c>
      <c r="H1766" s="7"/>
      <c r="I1766" s="8" t="s">
        <v>120</v>
      </c>
      <c r="J1766" s="8" t="s">
        <v>1577</v>
      </c>
      <c r="K1766" s="6" t="str">
        <f>"1.340.000,00"</f>
        <v>1.340.000,00</v>
      </c>
      <c r="L1766" s="6" t="str">
        <f>"335.000,00"</f>
        <v>335.000,00</v>
      </c>
      <c r="M1766" s="6" t="str">
        <f>"1.675.000,00"</f>
        <v>1.675.000,00</v>
      </c>
      <c r="N1766" s="8" t="s">
        <v>124</v>
      </c>
      <c r="O1766" s="7"/>
      <c r="P1766" s="2" t="s">
        <v>5614</v>
      </c>
      <c r="Q1766" s="7"/>
      <c r="R1766" s="1"/>
      <c r="S1766" s="1" t="str">
        <f>"NOS-25-1-ZGH/21"</f>
        <v>NOS-25-1-ZGH/21</v>
      </c>
      <c r="T1766" s="1" t="s">
        <v>386</v>
      </c>
    </row>
    <row r="1767" spans="1:20" ht="63.75" x14ac:dyDescent="0.25">
      <c r="A1767" s="6">
        <v>1763</v>
      </c>
      <c r="B1767" s="1" t="str">
        <f>"2021-33"</f>
        <v>2021-33</v>
      </c>
      <c r="C1767" s="1" t="s">
        <v>1575</v>
      </c>
      <c r="D1767" s="1" t="s">
        <v>1578</v>
      </c>
      <c r="E1767" s="1" t="str">
        <f>""</f>
        <v/>
      </c>
      <c r="F1767" s="1" t="s">
        <v>28</v>
      </c>
      <c r="G1767" s="1" t="str">
        <f>CONCATENATE("KVAM SISTEM D.O.O.,"," SISAČKA CESTA II ODVOJAK 60,"," 10000 ZAGREB,"," OIB: 54392975253")</f>
        <v>KVAM SISTEM D.O.O., SISAČKA CESTA II ODVOJAK 60, 10000 ZAGREB, OIB: 54392975253</v>
      </c>
      <c r="H1767" s="7"/>
      <c r="I1767" s="8" t="s">
        <v>500</v>
      </c>
      <c r="J1767" s="8" t="s">
        <v>851</v>
      </c>
      <c r="K1767" s="6" t="str">
        <f>"21.876,00"</f>
        <v>21.876,00</v>
      </c>
      <c r="L1767" s="6" t="str">
        <f>"5.469,00"</f>
        <v>5.469,00</v>
      </c>
      <c r="M1767" s="6" t="str">
        <f>"27.345,00"</f>
        <v>27.345,00</v>
      </c>
      <c r="N1767" s="8" t="s">
        <v>293</v>
      </c>
      <c r="O1767" s="7"/>
      <c r="P1767" s="2" t="s">
        <v>6696</v>
      </c>
      <c r="Q1767" s="7"/>
      <c r="R1767" s="1"/>
      <c r="S1767" s="1" t="str">
        <f>"3-22/NOS-25-1-ZGH/21"</f>
        <v>3-22/NOS-25-1-ZGH/21</v>
      </c>
      <c r="T1767" s="1" t="s">
        <v>55</v>
      </c>
    </row>
    <row r="1768" spans="1:20" ht="63.75" x14ac:dyDescent="0.25">
      <c r="A1768" s="6">
        <v>1764</v>
      </c>
      <c r="B1768" s="1" t="str">
        <f>"2021-33"</f>
        <v>2021-33</v>
      </c>
      <c r="C1768" s="1" t="s">
        <v>1579</v>
      </c>
      <c r="D1768" s="1" t="s">
        <v>1578</v>
      </c>
      <c r="E1768" s="1" t="str">
        <f>""</f>
        <v/>
      </c>
      <c r="F1768" s="1" t="s">
        <v>28</v>
      </c>
      <c r="G1768" s="1" t="str">
        <f>CONCATENATE("KVAM SISTEM D.O.O.,"," SISAČKA CESTA II ODVOJAK 60,"," 10000 ZAGREB,"," OIB: 54392975253")</f>
        <v>KVAM SISTEM D.O.O., SISAČKA CESTA II ODVOJAK 60, 10000 ZAGREB, OIB: 54392975253</v>
      </c>
      <c r="H1768" s="7"/>
      <c r="I1768" s="8" t="s">
        <v>247</v>
      </c>
      <c r="J1768" s="8" t="s">
        <v>71</v>
      </c>
      <c r="K1768" s="6" t="str">
        <f>"15.188,00"</f>
        <v>15.188,00</v>
      </c>
      <c r="L1768" s="6" t="str">
        <f>"3.797,00"</f>
        <v>3.797,00</v>
      </c>
      <c r="M1768" s="6" t="str">
        <f>"18.985,00"</f>
        <v>18.985,00</v>
      </c>
      <c r="N1768" s="8" t="s">
        <v>862</v>
      </c>
      <c r="O1768" s="7"/>
      <c r="P1768" s="2" t="s">
        <v>6697</v>
      </c>
      <c r="Q1768" s="7"/>
      <c r="R1768" s="1"/>
      <c r="S1768" s="1" t="str">
        <f>"1-22/NOS-25-1-ZGH/21"</f>
        <v>1-22/NOS-25-1-ZGH/21</v>
      </c>
      <c r="T1768" s="1" t="s">
        <v>32</v>
      </c>
    </row>
    <row r="1769" spans="1:20" ht="127.5" x14ac:dyDescent="0.25">
      <c r="A1769" s="6">
        <v>1765</v>
      </c>
      <c r="B1769" s="1" t="str">
        <f t="shared" ref="B1769:B1789" si="161">"2021-1832"</f>
        <v>2021-1832</v>
      </c>
      <c r="C1769" s="1" t="s">
        <v>1580</v>
      </c>
      <c r="D1769" s="1" t="s">
        <v>1581</v>
      </c>
      <c r="E1769" s="1" t="str">
        <f>"2021/S 0F2-0038725"</f>
        <v>2021/S 0F2-0038725</v>
      </c>
      <c r="F1769" s="1" t="s">
        <v>22</v>
      </c>
      <c r="G1769" s="1" t="str">
        <f>CONCATENATE("GRADITELJSTVO I TRGOVINA PERIĆ D.O.O.,"," NAD LIPOM 12,"," 10000 ZAGREB,"," OIB: 43566372258",CHAR(10),"",CHAR(10),"O.K.I. MONT D.O.O.,"," DANKOVEČKA 87,"," 10000 ZAGREB,"," OIB: 98039404134")</f>
        <v>GRADITELJSTVO I TRGOVINA PERIĆ D.O.O., NAD LIPOM 12, 10000 ZAGREB, OIB: 43566372258
O.K.I. MONT D.O.O., DANKOVEČKA 87, 10000 ZAGREB, OIB: 98039404134</v>
      </c>
      <c r="H1769" s="7"/>
      <c r="I1769" s="8" t="s">
        <v>757</v>
      </c>
      <c r="J1769" s="8" t="s">
        <v>1582</v>
      </c>
      <c r="K1769" s="6" t="str">
        <f>"4.500.000,00"</f>
        <v>4.500.000,00</v>
      </c>
      <c r="L1769" s="6" t="str">
        <f>"1.125.000,00"</f>
        <v>1.125.000,00</v>
      </c>
      <c r="M1769" s="6" t="str">
        <f>"5.625.000,00"</f>
        <v>5.625.000,00</v>
      </c>
      <c r="N1769" s="8" t="s">
        <v>124</v>
      </c>
      <c r="O1769" s="7"/>
      <c r="P1769" s="2" t="s">
        <v>5614</v>
      </c>
      <c r="Q1769" s="7"/>
      <c r="R1769" s="1"/>
      <c r="S1769" s="1" t="str">
        <f>"NOS-27/21"</f>
        <v>NOS-27/21</v>
      </c>
      <c r="T1769" s="1" t="s">
        <v>27</v>
      </c>
    </row>
    <row r="1770" spans="1:20" ht="63.75" x14ac:dyDescent="0.25">
      <c r="A1770" s="6">
        <v>1766</v>
      </c>
      <c r="B1770" s="1" t="str">
        <f t="shared" si="161"/>
        <v>2021-1832</v>
      </c>
      <c r="C1770" s="1" t="s">
        <v>1580</v>
      </c>
      <c r="D1770" s="1" t="s">
        <v>1583</v>
      </c>
      <c r="E1770" s="1" t="str">
        <f>""</f>
        <v/>
      </c>
      <c r="F1770" s="1" t="s">
        <v>28</v>
      </c>
      <c r="G1770" s="1" t="str">
        <f t="shared" ref="G1770:G1789" si="162">CONCATENATE("GRADITELJSTVO I TRGOVINA PERIĆ D.O.O.,"," NAD LIPOM 12,"," 10000 ZAGREB,"," OIB: 43566372258")</f>
        <v>GRADITELJSTVO I TRGOVINA PERIĆ D.O.O., NAD LIPOM 12, 10000 ZAGREB, OIB: 43566372258</v>
      </c>
      <c r="H1770" s="7"/>
      <c r="I1770" s="8" t="s">
        <v>499</v>
      </c>
      <c r="J1770" s="8" t="s">
        <v>231</v>
      </c>
      <c r="K1770" s="6" t="str">
        <f>"7.567,10"</f>
        <v>7.567,10</v>
      </c>
      <c r="L1770" s="6" t="str">
        <f t="shared" ref="L1770:L1789" si="163">"0,00"</f>
        <v>0,00</v>
      </c>
      <c r="M1770" s="6" t="str">
        <f>"7.567,10"</f>
        <v>7.567,10</v>
      </c>
      <c r="N1770" s="8" t="s">
        <v>562</v>
      </c>
      <c r="O1770" s="7"/>
      <c r="P1770" s="2" t="s">
        <v>6698</v>
      </c>
      <c r="Q1770" s="7"/>
      <c r="R1770" s="1"/>
      <c r="S1770" s="1" t="str">
        <f>"1-22/NOS-27/21"</f>
        <v>1-22/NOS-27/21</v>
      </c>
      <c r="T1770" s="1" t="s">
        <v>32</v>
      </c>
    </row>
    <row r="1771" spans="1:20" ht="63.75" x14ac:dyDescent="0.25">
      <c r="A1771" s="6">
        <v>1767</v>
      </c>
      <c r="B1771" s="1" t="str">
        <f t="shared" si="161"/>
        <v>2021-1832</v>
      </c>
      <c r="C1771" s="1" t="s">
        <v>1580</v>
      </c>
      <c r="D1771" s="1" t="s">
        <v>1583</v>
      </c>
      <c r="E1771" s="1" t="str">
        <f>""</f>
        <v/>
      </c>
      <c r="F1771" s="1" t="s">
        <v>28</v>
      </c>
      <c r="G1771" s="1" t="str">
        <f t="shared" si="162"/>
        <v>GRADITELJSTVO I TRGOVINA PERIĆ D.O.O., NAD LIPOM 12, 10000 ZAGREB, OIB: 43566372258</v>
      </c>
      <c r="H1771" s="7"/>
      <c r="I1771" s="8" t="s">
        <v>94</v>
      </c>
      <c r="J1771" s="8" t="s">
        <v>231</v>
      </c>
      <c r="K1771" s="6" t="str">
        <f>"6.547,45"</f>
        <v>6.547,45</v>
      </c>
      <c r="L1771" s="6" t="str">
        <f t="shared" si="163"/>
        <v>0,00</v>
      </c>
      <c r="M1771" s="6" t="str">
        <f>"6.547,45"</f>
        <v>6.547,45</v>
      </c>
      <c r="N1771" s="8" t="s">
        <v>1399</v>
      </c>
      <c r="O1771" s="7"/>
      <c r="P1771" s="2" t="s">
        <v>6699</v>
      </c>
      <c r="Q1771" s="7"/>
      <c r="R1771" s="1"/>
      <c r="S1771" s="1" t="str">
        <f>"3-22/NOS-27/21"</f>
        <v>3-22/NOS-27/21</v>
      </c>
      <c r="T1771" s="1" t="s">
        <v>32</v>
      </c>
    </row>
    <row r="1772" spans="1:20" ht="63.75" x14ac:dyDescent="0.25">
      <c r="A1772" s="6">
        <v>1768</v>
      </c>
      <c r="B1772" s="1" t="str">
        <f t="shared" si="161"/>
        <v>2021-1832</v>
      </c>
      <c r="C1772" s="1" t="s">
        <v>1580</v>
      </c>
      <c r="D1772" s="1" t="s">
        <v>1583</v>
      </c>
      <c r="E1772" s="1" t="str">
        <f>""</f>
        <v/>
      </c>
      <c r="F1772" s="1" t="s">
        <v>28</v>
      </c>
      <c r="G1772" s="1" t="str">
        <f t="shared" si="162"/>
        <v>GRADITELJSTVO I TRGOVINA PERIĆ D.O.O., NAD LIPOM 12, 10000 ZAGREB, OIB: 43566372258</v>
      </c>
      <c r="H1772" s="7"/>
      <c r="I1772" s="8" t="s">
        <v>94</v>
      </c>
      <c r="J1772" s="8" t="s">
        <v>231</v>
      </c>
      <c r="K1772" s="6" t="str">
        <f>"6.762,60"</f>
        <v>6.762,60</v>
      </c>
      <c r="L1772" s="6" t="str">
        <f t="shared" si="163"/>
        <v>0,00</v>
      </c>
      <c r="M1772" s="6" t="str">
        <f>"6.762,60"</f>
        <v>6.762,60</v>
      </c>
      <c r="N1772" s="8" t="s">
        <v>1399</v>
      </c>
      <c r="O1772" s="7"/>
      <c r="P1772" s="2" t="s">
        <v>6700</v>
      </c>
      <c r="Q1772" s="7"/>
      <c r="R1772" s="1"/>
      <c r="S1772" s="1" t="str">
        <f>"2-22/NOS-27/21"</f>
        <v>2-22/NOS-27/21</v>
      </c>
      <c r="T1772" s="1" t="s">
        <v>32</v>
      </c>
    </row>
    <row r="1773" spans="1:20" ht="63.75" x14ac:dyDescent="0.25">
      <c r="A1773" s="6">
        <v>1769</v>
      </c>
      <c r="B1773" s="1" t="str">
        <f t="shared" si="161"/>
        <v>2021-1832</v>
      </c>
      <c r="C1773" s="1" t="s">
        <v>1580</v>
      </c>
      <c r="D1773" s="1" t="s">
        <v>1583</v>
      </c>
      <c r="E1773" s="1" t="str">
        <f>""</f>
        <v/>
      </c>
      <c r="F1773" s="1" t="s">
        <v>28</v>
      </c>
      <c r="G1773" s="1" t="str">
        <f t="shared" si="162"/>
        <v>GRADITELJSTVO I TRGOVINA PERIĆ D.O.O., NAD LIPOM 12, 10000 ZAGREB, OIB: 43566372258</v>
      </c>
      <c r="H1773" s="7"/>
      <c r="I1773" s="8" t="s">
        <v>262</v>
      </c>
      <c r="J1773" s="8" t="s">
        <v>393</v>
      </c>
      <c r="K1773" s="6" t="str">
        <f>"3.973,24"</f>
        <v>3.973,24</v>
      </c>
      <c r="L1773" s="6" t="str">
        <f t="shared" si="163"/>
        <v>0,00</v>
      </c>
      <c r="M1773" s="6" t="str">
        <f>"3.973,24"</f>
        <v>3.973,24</v>
      </c>
      <c r="N1773" s="8" t="s">
        <v>124</v>
      </c>
      <c r="O1773" s="7"/>
      <c r="P1773" s="2" t="s">
        <v>6701</v>
      </c>
      <c r="Q1773" s="7"/>
      <c r="R1773" s="1"/>
      <c r="S1773" s="1" t="str">
        <f>"4-22/NOS-27/21"</f>
        <v>4-22/NOS-27/21</v>
      </c>
      <c r="T1773" s="1" t="s">
        <v>32</v>
      </c>
    </row>
    <row r="1774" spans="1:20" ht="63.75" x14ac:dyDescent="0.25">
      <c r="A1774" s="6">
        <v>1770</v>
      </c>
      <c r="B1774" s="1" t="str">
        <f t="shared" si="161"/>
        <v>2021-1832</v>
      </c>
      <c r="C1774" s="1" t="s">
        <v>1580</v>
      </c>
      <c r="D1774" s="1" t="s">
        <v>1583</v>
      </c>
      <c r="E1774" s="1" t="str">
        <f>""</f>
        <v/>
      </c>
      <c r="F1774" s="1" t="s">
        <v>28</v>
      </c>
      <c r="G1774" s="1" t="str">
        <f t="shared" si="162"/>
        <v>GRADITELJSTVO I TRGOVINA PERIĆ D.O.O., NAD LIPOM 12, 10000 ZAGREB, OIB: 43566372258</v>
      </c>
      <c r="H1774" s="7"/>
      <c r="I1774" s="8" t="s">
        <v>1073</v>
      </c>
      <c r="J1774" s="8" t="s">
        <v>241</v>
      </c>
      <c r="K1774" s="6" t="str">
        <f>"88.402,15"</f>
        <v>88.402,15</v>
      </c>
      <c r="L1774" s="6" t="str">
        <f t="shared" si="163"/>
        <v>0,00</v>
      </c>
      <c r="M1774" s="6" t="str">
        <f>"88.402,15"</f>
        <v>88.402,15</v>
      </c>
      <c r="N1774" s="8" t="s">
        <v>281</v>
      </c>
      <c r="O1774" s="7"/>
      <c r="P1774" s="2" t="s">
        <v>6702</v>
      </c>
      <c r="Q1774" s="7"/>
      <c r="R1774" s="1"/>
      <c r="S1774" s="1" t="str">
        <f>"6-22/NOS-27/21"</f>
        <v>6-22/NOS-27/21</v>
      </c>
      <c r="T1774" s="1" t="s">
        <v>32</v>
      </c>
    </row>
    <row r="1775" spans="1:20" ht="63.75" x14ac:dyDescent="0.25">
      <c r="A1775" s="6">
        <v>1771</v>
      </c>
      <c r="B1775" s="1" t="str">
        <f t="shared" si="161"/>
        <v>2021-1832</v>
      </c>
      <c r="C1775" s="1" t="s">
        <v>1580</v>
      </c>
      <c r="D1775" s="1" t="s">
        <v>1583</v>
      </c>
      <c r="E1775" s="1" t="str">
        <f>""</f>
        <v/>
      </c>
      <c r="F1775" s="1" t="s">
        <v>28</v>
      </c>
      <c r="G1775" s="1" t="str">
        <f t="shared" si="162"/>
        <v>GRADITELJSTVO I TRGOVINA PERIĆ D.O.O., NAD LIPOM 12, 10000 ZAGREB, OIB: 43566372258</v>
      </c>
      <c r="H1775" s="7"/>
      <c r="I1775" s="8" t="s">
        <v>506</v>
      </c>
      <c r="J1775" s="8" t="s">
        <v>231</v>
      </c>
      <c r="K1775" s="6" t="str">
        <f>"43.896,19"</f>
        <v>43.896,19</v>
      </c>
      <c r="L1775" s="6" t="str">
        <f t="shared" si="163"/>
        <v>0,00</v>
      </c>
      <c r="M1775" s="6" t="str">
        <f>"43.896,19"</f>
        <v>43.896,19</v>
      </c>
      <c r="N1775" s="8" t="s">
        <v>124</v>
      </c>
      <c r="O1775" s="7"/>
      <c r="P1775" s="2" t="s">
        <v>5614</v>
      </c>
      <c r="Q1775" s="7"/>
      <c r="R1775" s="1"/>
      <c r="S1775" s="1" t="str">
        <f>"7-22/NOS-27/21"</f>
        <v>7-22/NOS-27/21</v>
      </c>
      <c r="T1775" s="1" t="s">
        <v>32</v>
      </c>
    </row>
    <row r="1776" spans="1:20" ht="63.75" x14ac:dyDescent="0.25">
      <c r="A1776" s="6">
        <v>1772</v>
      </c>
      <c r="B1776" s="1" t="str">
        <f t="shared" si="161"/>
        <v>2021-1832</v>
      </c>
      <c r="C1776" s="1" t="s">
        <v>1580</v>
      </c>
      <c r="D1776" s="1" t="s">
        <v>1583</v>
      </c>
      <c r="E1776" s="1" t="str">
        <f>""</f>
        <v/>
      </c>
      <c r="F1776" s="1" t="s">
        <v>28</v>
      </c>
      <c r="G1776" s="1" t="str">
        <f t="shared" si="162"/>
        <v>GRADITELJSTVO I TRGOVINA PERIĆ D.O.O., NAD LIPOM 12, 10000 ZAGREB, OIB: 43566372258</v>
      </c>
      <c r="H1776" s="7"/>
      <c r="I1776" s="8" t="s">
        <v>506</v>
      </c>
      <c r="J1776" s="8" t="s">
        <v>231</v>
      </c>
      <c r="K1776" s="6" t="str">
        <f>"28.697,53"</f>
        <v>28.697,53</v>
      </c>
      <c r="L1776" s="6" t="str">
        <f t="shared" si="163"/>
        <v>0,00</v>
      </c>
      <c r="M1776" s="6" t="str">
        <f>"28.697,53"</f>
        <v>28.697,53</v>
      </c>
      <c r="N1776" s="8" t="s">
        <v>124</v>
      </c>
      <c r="O1776" s="7"/>
      <c r="P1776" s="2" t="s">
        <v>5614</v>
      </c>
      <c r="Q1776" s="7"/>
      <c r="R1776" s="1"/>
      <c r="S1776" s="1" t="str">
        <f>"8-22/NOS-27/21"</f>
        <v>8-22/NOS-27/21</v>
      </c>
      <c r="T1776" s="1" t="s">
        <v>32</v>
      </c>
    </row>
    <row r="1777" spans="1:20" ht="63.75" x14ac:dyDescent="0.25">
      <c r="A1777" s="6">
        <v>1773</v>
      </c>
      <c r="B1777" s="1" t="str">
        <f t="shared" si="161"/>
        <v>2021-1832</v>
      </c>
      <c r="C1777" s="1" t="s">
        <v>1580</v>
      </c>
      <c r="D1777" s="1" t="s">
        <v>1583</v>
      </c>
      <c r="E1777" s="1" t="str">
        <f>""</f>
        <v/>
      </c>
      <c r="F1777" s="1" t="s">
        <v>28</v>
      </c>
      <c r="G1777" s="1" t="str">
        <f t="shared" si="162"/>
        <v>GRADITELJSTVO I TRGOVINA PERIĆ D.O.O., NAD LIPOM 12, 10000 ZAGREB, OIB: 43566372258</v>
      </c>
      <c r="H1777" s="7"/>
      <c r="I1777" s="8" t="s">
        <v>506</v>
      </c>
      <c r="J1777" s="8" t="s">
        <v>555</v>
      </c>
      <c r="K1777" s="6" t="str">
        <f>"52.296,27"</f>
        <v>52.296,27</v>
      </c>
      <c r="L1777" s="6" t="str">
        <f t="shared" si="163"/>
        <v>0,00</v>
      </c>
      <c r="M1777" s="6" t="str">
        <f>"52.296,27"</f>
        <v>52.296,27</v>
      </c>
      <c r="N1777" s="8" t="s">
        <v>964</v>
      </c>
      <c r="O1777" s="7"/>
      <c r="P1777" s="2" t="s">
        <v>6703</v>
      </c>
      <c r="Q1777" s="7"/>
      <c r="R1777" s="1"/>
      <c r="S1777" s="1" t="str">
        <f>"5-22/NOS-27/21"</f>
        <v>5-22/NOS-27/21</v>
      </c>
      <c r="T1777" s="1" t="s">
        <v>32</v>
      </c>
    </row>
    <row r="1778" spans="1:20" ht="63.75" x14ac:dyDescent="0.25">
      <c r="A1778" s="6">
        <v>1774</v>
      </c>
      <c r="B1778" s="1" t="str">
        <f t="shared" si="161"/>
        <v>2021-1832</v>
      </c>
      <c r="C1778" s="1" t="s">
        <v>1580</v>
      </c>
      <c r="D1778" s="1" t="s">
        <v>1583</v>
      </c>
      <c r="E1778" s="1" t="str">
        <f>""</f>
        <v/>
      </c>
      <c r="F1778" s="1" t="s">
        <v>28</v>
      </c>
      <c r="G1778" s="1" t="str">
        <f t="shared" si="162"/>
        <v>GRADITELJSTVO I TRGOVINA PERIĆ D.O.O., NAD LIPOM 12, 10000 ZAGREB, OIB: 43566372258</v>
      </c>
      <c r="H1778" s="7"/>
      <c r="I1778" s="8" t="s">
        <v>565</v>
      </c>
      <c r="J1778" s="8" t="s">
        <v>292</v>
      </c>
      <c r="K1778" s="6" t="str">
        <f>"202.186,60"</f>
        <v>202.186,60</v>
      </c>
      <c r="L1778" s="6" t="str">
        <f t="shared" si="163"/>
        <v>0,00</v>
      </c>
      <c r="M1778" s="6" t="str">
        <f>"202.186,60"</f>
        <v>202.186,60</v>
      </c>
      <c r="N1778" s="8" t="s">
        <v>227</v>
      </c>
      <c r="O1778" s="7"/>
      <c r="P1778" s="2" t="s">
        <v>6704</v>
      </c>
      <c r="Q1778" s="7"/>
      <c r="R1778" s="1"/>
      <c r="S1778" s="1" t="str">
        <f>"10-22/NOS-27/21"</f>
        <v>10-22/NOS-27/21</v>
      </c>
      <c r="T1778" s="1" t="s">
        <v>32</v>
      </c>
    </row>
    <row r="1779" spans="1:20" ht="63.75" x14ac:dyDescent="0.25">
      <c r="A1779" s="6">
        <v>1775</v>
      </c>
      <c r="B1779" s="1" t="str">
        <f t="shared" si="161"/>
        <v>2021-1832</v>
      </c>
      <c r="C1779" s="1" t="s">
        <v>1580</v>
      </c>
      <c r="D1779" s="1" t="s">
        <v>1583</v>
      </c>
      <c r="E1779" s="1" t="str">
        <f>""</f>
        <v/>
      </c>
      <c r="F1779" s="1" t="s">
        <v>28</v>
      </c>
      <c r="G1779" s="1" t="str">
        <f t="shared" si="162"/>
        <v>GRADITELJSTVO I TRGOVINA PERIĆ D.O.O., NAD LIPOM 12, 10000 ZAGREB, OIB: 43566372258</v>
      </c>
      <c r="H1779" s="7"/>
      <c r="I1779" s="8" t="s">
        <v>374</v>
      </c>
      <c r="J1779" s="8" t="s">
        <v>231</v>
      </c>
      <c r="K1779" s="6" t="str">
        <f>"4.050,00"</f>
        <v>4.050,00</v>
      </c>
      <c r="L1779" s="6" t="str">
        <f t="shared" si="163"/>
        <v>0,00</v>
      </c>
      <c r="M1779" s="6" t="str">
        <f>"4.050,00"</f>
        <v>4.050,00</v>
      </c>
      <c r="N1779" s="8" t="s">
        <v>124</v>
      </c>
      <c r="O1779" s="7"/>
      <c r="P1779" s="2" t="s">
        <v>5614</v>
      </c>
      <c r="Q1779" s="7"/>
      <c r="R1779" s="1"/>
      <c r="S1779" s="1" t="str">
        <f>"12-22/NOS-27/21"</f>
        <v>12-22/NOS-27/21</v>
      </c>
      <c r="T1779" s="1" t="s">
        <v>32</v>
      </c>
    </row>
    <row r="1780" spans="1:20" ht="63.75" x14ac:dyDescent="0.25">
      <c r="A1780" s="6">
        <v>1776</v>
      </c>
      <c r="B1780" s="1" t="str">
        <f t="shared" si="161"/>
        <v>2021-1832</v>
      </c>
      <c r="C1780" s="1" t="s">
        <v>1580</v>
      </c>
      <c r="D1780" s="1" t="s">
        <v>1583</v>
      </c>
      <c r="E1780" s="1" t="str">
        <f>""</f>
        <v/>
      </c>
      <c r="F1780" s="1" t="s">
        <v>28</v>
      </c>
      <c r="G1780" s="1" t="str">
        <f t="shared" si="162"/>
        <v>GRADITELJSTVO I TRGOVINA PERIĆ D.O.O., NAD LIPOM 12, 10000 ZAGREB, OIB: 43566372258</v>
      </c>
      <c r="H1780" s="7"/>
      <c r="I1780" s="8" t="s">
        <v>374</v>
      </c>
      <c r="J1780" s="8" t="s">
        <v>231</v>
      </c>
      <c r="K1780" s="6" t="str">
        <f>"11.162,11"</f>
        <v>11.162,11</v>
      </c>
      <c r="L1780" s="6" t="str">
        <f t="shared" si="163"/>
        <v>0,00</v>
      </c>
      <c r="M1780" s="6" t="str">
        <f>"11.162,11"</f>
        <v>11.162,11</v>
      </c>
      <c r="N1780" s="8" t="s">
        <v>124</v>
      </c>
      <c r="O1780" s="7"/>
      <c r="P1780" s="2" t="s">
        <v>5614</v>
      </c>
      <c r="Q1780" s="7"/>
      <c r="R1780" s="1"/>
      <c r="S1780" s="1" t="str">
        <f>"11-22/NOS-27/21"</f>
        <v>11-22/NOS-27/21</v>
      </c>
      <c r="T1780" s="1" t="s">
        <v>32</v>
      </c>
    </row>
    <row r="1781" spans="1:20" ht="63.75" x14ac:dyDescent="0.25">
      <c r="A1781" s="6">
        <v>1777</v>
      </c>
      <c r="B1781" s="1" t="str">
        <f t="shared" si="161"/>
        <v>2021-1832</v>
      </c>
      <c r="C1781" s="1" t="s">
        <v>1580</v>
      </c>
      <c r="D1781" s="1" t="s">
        <v>1583</v>
      </c>
      <c r="E1781" s="1" t="str">
        <f>""</f>
        <v/>
      </c>
      <c r="F1781" s="1" t="s">
        <v>28</v>
      </c>
      <c r="G1781" s="1" t="str">
        <f t="shared" si="162"/>
        <v>GRADITELJSTVO I TRGOVINA PERIĆ D.O.O., NAD LIPOM 12, 10000 ZAGREB, OIB: 43566372258</v>
      </c>
      <c r="H1781" s="7"/>
      <c r="I1781" s="8" t="s">
        <v>374</v>
      </c>
      <c r="J1781" s="8" t="s">
        <v>423</v>
      </c>
      <c r="K1781" s="6" t="str">
        <f>"16.081,20"</f>
        <v>16.081,20</v>
      </c>
      <c r="L1781" s="6" t="str">
        <f t="shared" si="163"/>
        <v>0,00</v>
      </c>
      <c r="M1781" s="6" t="str">
        <f>"16.081,20"</f>
        <v>16.081,20</v>
      </c>
      <c r="N1781" s="8" t="s">
        <v>124</v>
      </c>
      <c r="O1781" s="7"/>
      <c r="P1781" s="2" t="s">
        <v>5614</v>
      </c>
      <c r="Q1781" s="7"/>
      <c r="R1781" s="1"/>
      <c r="S1781" s="1" t="str">
        <f>"14-22/NOS-27/21"</f>
        <v>14-22/NOS-27/21</v>
      </c>
      <c r="T1781" s="1" t="s">
        <v>32</v>
      </c>
    </row>
    <row r="1782" spans="1:20" ht="63.75" x14ac:dyDescent="0.25">
      <c r="A1782" s="6">
        <v>1778</v>
      </c>
      <c r="B1782" s="1" t="str">
        <f t="shared" si="161"/>
        <v>2021-1832</v>
      </c>
      <c r="C1782" s="1" t="s">
        <v>1580</v>
      </c>
      <c r="D1782" s="1" t="s">
        <v>1583</v>
      </c>
      <c r="E1782" s="1" t="str">
        <f>""</f>
        <v/>
      </c>
      <c r="F1782" s="1" t="s">
        <v>28</v>
      </c>
      <c r="G1782" s="1" t="str">
        <f t="shared" si="162"/>
        <v>GRADITELJSTVO I TRGOVINA PERIĆ D.O.O., NAD LIPOM 12, 10000 ZAGREB, OIB: 43566372258</v>
      </c>
      <c r="H1782" s="7"/>
      <c r="I1782" s="8" t="s">
        <v>374</v>
      </c>
      <c r="J1782" s="8" t="s">
        <v>423</v>
      </c>
      <c r="K1782" s="6" t="str">
        <f>"4.625,80"</f>
        <v>4.625,80</v>
      </c>
      <c r="L1782" s="6" t="str">
        <f t="shared" si="163"/>
        <v>0,00</v>
      </c>
      <c r="M1782" s="6" t="str">
        <f>"4.625,80"</f>
        <v>4.625,80</v>
      </c>
      <c r="N1782" s="8" t="s">
        <v>124</v>
      </c>
      <c r="O1782" s="7"/>
      <c r="P1782" s="2" t="s">
        <v>5614</v>
      </c>
      <c r="Q1782" s="7"/>
      <c r="R1782" s="1"/>
      <c r="S1782" s="1" t="str">
        <f>"15-22/NOS-27/21"</f>
        <v>15-22/NOS-27/21</v>
      </c>
      <c r="T1782" s="1" t="s">
        <v>32</v>
      </c>
    </row>
    <row r="1783" spans="1:20" ht="63.75" x14ac:dyDescent="0.25">
      <c r="A1783" s="6">
        <v>1779</v>
      </c>
      <c r="B1783" s="1" t="str">
        <f t="shared" si="161"/>
        <v>2021-1832</v>
      </c>
      <c r="C1783" s="1" t="s">
        <v>1580</v>
      </c>
      <c r="D1783" s="1" t="s">
        <v>1583</v>
      </c>
      <c r="E1783" s="1" t="str">
        <f>""</f>
        <v/>
      </c>
      <c r="F1783" s="1" t="s">
        <v>28</v>
      </c>
      <c r="G1783" s="1" t="str">
        <f t="shared" si="162"/>
        <v>GRADITELJSTVO I TRGOVINA PERIĆ D.O.O., NAD LIPOM 12, 10000 ZAGREB, OIB: 43566372258</v>
      </c>
      <c r="H1783" s="7"/>
      <c r="I1783" s="8" t="s">
        <v>374</v>
      </c>
      <c r="J1783" s="8" t="s">
        <v>231</v>
      </c>
      <c r="K1783" s="6" t="str">
        <f>"179.479,74"</f>
        <v>179.479,74</v>
      </c>
      <c r="L1783" s="6" t="str">
        <f t="shared" si="163"/>
        <v>0,00</v>
      </c>
      <c r="M1783" s="6" t="str">
        <f>"179.479,74"</f>
        <v>179.479,74</v>
      </c>
      <c r="N1783" s="8" t="s">
        <v>124</v>
      </c>
      <c r="O1783" s="7"/>
      <c r="P1783" s="2" t="s">
        <v>5614</v>
      </c>
      <c r="Q1783" s="7"/>
      <c r="R1783" s="1"/>
      <c r="S1783" s="1" t="str">
        <f>"13-22/NOS-27/21"</f>
        <v>13-22/NOS-27/21</v>
      </c>
      <c r="T1783" s="1" t="s">
        <v>32</v>
      </c>
    </row>
    <row r="1784" spans="1:20" ht="63.75" x14ac:dyDescent="0.25">
      <c r="A1784" s="6">
        <v>1780</v>
      </c>
      <c r="B1784" s="1" t="str">
        <f t="shared" si="161"/>
        <v>2021-1832</v>
      </c>
      <c r="C1784" s="1" t="s">
        <v>1580</v>
      </c>
      <c r="D1784" s="1" t="s">
        <v>1583</v>
      </c>
      <c r="E1784" s="1" t="str">
        <f>""</f>
        <v/>
      </c>
      <c r="F1784" s="1" t="s">
        <v>28</v>
      </c>
      <c r="G1784" s="1" t="str">
        <f t="shared" si="162"/>
        <v>GRADITELJSTVO I TRGOVINA PERIĆ D.O.O., NAD LIPOM 12, 10000 ZAGREB, OIB: 43566372258</v>
      </c>
      <c r="H1784" s="7"/>
      <c r="I1784" s="8" t="s">
        <v>102</v>
      </c>
      <c r="J1784" s="8" t="s">
        <v>231</v>
      </c>
      <c r="K1784" s="6" t="str">
        <f>"17.311,95"</f>
        <v>17.311,95</v>
      </c>
      <c r="L1784" s="6" t="str">
        <f t="shared" si="163"/>
        <v>0,00</v>
      </c>
      <c r="M1784" s="6" t="str">
        <f>"17.311,95"</f>
        <v>17.311,95</v>
      </c>
      <c r="N1784" s="8" t="s">
        <v>207</v>
      </c>
      <c r="O1784" s="7"/>
      <c r="P1784" s="2" t="s">
        <v>6705</v>
      </c>
      <c r="Q1784" s="7"/>
      <c r="R1784" s="1"/>
      <c r="S1784" s="1" t="str">
        <f>"16-22/NOS-27/21"</f>
        <v>16-22/NOS-27/21</v>
      </c>
      <c r="T1784" s="1" t="s">
        <v>32</v>
      </c>
    </row>
    <row r="1785" spans="1:20" ht="63.75" x14ac:dyDescent="0.25">
      <c r="A1785" s="6">
        <v>1781</v>
      </c>
      <c r="B1785" s="1" t="str">
        <f t="shared" si="161"/>
        <v>2021-1832</v>
      </c>
      <c r="C1785" s="1" t="s">
        <v>1580</v>
      </c>
      <c r="D1785" s="1" t="s">
        <v>1583</v>
      </c>
      <c r="E1785" s="1" t="str">
        <f>""</f>
        <v/>
      </c>
      <c r="F1785" s="1" t="s">
        <v>28</v>
      </c>
      <c r="G1785" s="1" t="str">
        <f t="shared" si="162"/>
        <v>GRADITELJSTVO I TRGOVINA PERIĆ D.O.O., NAD LIPOM 12, 10000 ZAGREB, OIB: 43566372258</v>
      </c>
      <c r="H1785" s="7"/>
      <c r="I1785" s="8" t="s">
        <v>567</v>
      </c>
      <c r="J1785" s="8" t="s">
        <v>231</v>
      </c>
      <c r="K1785" s="6" t="str">
        <f>"10.638,50"</f>
        <v>10.638,50</v>
      </c>
      <c r="L1785" s="6" t="str">
        <f t="shared" si="163"/>
        <v>0,00</v>
      </c>
      <c r="M1785" s="6" t="str">
        <f>"10.638,50"</f>
        <v>10.638,50</v>
      </c>
      <c r="N1785" s="8" t="s">
        <v>124</v>
      </c>
      <c r="O1785" s="7"/>
      <c r="P1785" s="2" t="s">
        <v>5614</v>
      </c>
      <c r="Q1785" s="7"/>
      <c r="R1785" s="1"/>
      <c r="S1785" s="1" t="str">
        <f>"17-22/NOS-27/21"</f>
        <v>17-22/NOS-27/21</v>
      </c>
      <c r="T1785" s="1" t="s">
        <v>32</v>
      </c>
    </row>
    <row r="1786" spans="1:20" ht="63.75" x14ac:dyDescent="0.25">
      <c r="A1786" s="6">
        <v>1782</v>
      </c>
      <c r="B1786" s="1" t="str">
        <f t="shared" si="161"/>
        <v>2021-1832</v>
      </c>
      <c r="C1786" s="1" t="s">
        <v>1580</v>
      </c>
      <c r="D1786" s="1" t="s">
        <v>1583</v>
      </c>
      <c r="E1786" s="1" t="str">
        <f>""</f>
        <v/>
      </c>
      <c r="F1786" s="1" t="s">
        <v>28</v>
      </c>
      <c r="G1786" s="1" t="str">
        <f t="shared" si="162"/>
        <v>GRADITELJSTVO I TRGOVINA PERIĆ D.O.O., NAD LIPOM 12, 10000 ZAGREB, OIB: 43566372258</v>
      </c>
      <c r="H1786" s="7"/>
      <c r="I1786" s="8" t="s">
        <v>432</v>
      </c>
      <c r="J1786" s="8" t="s">
        <v>423</v>
      </c>
      <c r="K1786" s="6" t="str">
        <f>"44.153,49"</f>
        <v>44.153,49</v>
      </c>
      <c r="L1786" s="6" t="str">
        <f t="shared" si="163"/>
        <v>0,00</v>
      </c>
      <c r="M1786" s="6" t="str">
        <f>"44.153,49"</f>
        <v>44.153,49</v>
      </c>
      <c r="N1786" s="8" t="s">
        <v>124</v>
      </c>
      <c r="O1786" s="7"/>
      <c r="P1786" s="2" t="s">
        <v>5614</v>
      </c>
      <c r="Q1786" s="7"/>
      <c r="R1786" s="1"/>
      <c r="S1786" s="1" t="str">
        <f>"20-22/NOS-27/21"</f>
        <v>20-22/NOS-27/21</v>
      </c>
      <c r="T1786" s="1" t="s">
        <v>32</v>
      </c>
    </row>
    <row r="1787" spans="1:20" ht="63.75" x14ac:dyDescent="0.25">
      <c r="A1787" s="6">
        <v>1783</v>
      </c>
      <c r="B1787" s="1" t="str">
        <f t="shared" si="161"/>
        <v>2021-1832</v>
      </c>
      <c r="C1787" s="1" t="s">
        <v>1580</v>
      </c>
      <c r="D1787" s="1" t="s">
        <v>1583</v>
      </c>
      <c r="E1787" s="1" t="str">
        <f>""</f>
        <v/>
      </c>
      <c r="F1787" s="1" t="s">
        <v>28</v>
      </c>
      <c r="G1787" s="1" t="str">
        <f t="shared" si="162"/>
        <v>GRADITELJSTVO I TRGOVINA PERIĆ D.O.O., NAD LIPOM 12, 10000 ZAGREB, OIB: 43566372258</v>
      </c>
      <c r="H1787" s="7"/>
      <c r="I1787" s="8" t="s">
        <v>947</v>
      </c>
      <c r="J1787" s="8" t="s">
        <v>231</v>
      </c>
      <c r="K1787" s="6" t="str">
        <f>"135.880,07"</f>
        <v>135.880,07</v>
      </c>
      <c r="L1787" s="6" t="str">
        <f t="shared" si="163"/>
        <v>0,00</v>
      </c>
      <c r="M1787" s="6" t="str">
        <f>"135.880,07"</f>
        <v>135.880,07</v>
      </c>
      <c r="N1787" s="8" t="s">
        <v>227</v>
      </c>
      <c r="O1787" s="7"/>
      <c r="P1787" s="2" t="s">
        <v>6706</v>
      </c>
      <c r="Q1787" s="7"/>
      <c r="R1787" s="1"/>
      <c r="S1787" s="1" t="str">
        <f>"19-22/NOS-27/21"</f>
        <v>19-22/NOS-27/21</v>
      </c>
      <c r="T1787" s="1" t="s">
        <v>32</v>
      </c>
    </row>
    <row r="1788" spans="1:20" ht="63.75" x14ac:dyDescent="0.25">
      <c r="A1788" s="6">
        <v>1784</v>
      </c>
      <c r="B1788" s="1" t="str">
        <f t="shared" si="161"/>
        <v>2021-1832</v>
      </c>
      <c r="C1788" s="1" t="s">
        <v>1580</v>
      </c>
      <c r="D1788" s="1" t="s">
        <v>1583</v>
      </c>
      <c r="E1788" s="1" t="str">
        <f>""</f>
        <v/>
      </c>
      <c r="F1788" s="1" t="s">
        <v>28</v>
      </c>
      <c r="G1788" s="1" t="str">
        <f t="shared" si="162"/>
        <v>GRADITELJSTVO I TRGOVINA PERIĆ D.O.O., NAD LIPOM 12, 10000 ZAGREB, OIB: 43566372258</v>
      </c>
      <c r="H1788" s="7"/>
      <c r="I1788" s="8" t="s">
        <v>409</v>
      </c>
      <c r="J1788" s="8" t="s">
        <v>241</v>
      </c>
      <c r="K1788" s="6" t="str">
        <f>"213.924,08"</f>
        <v>213.924,08</v>
      </c>
      <c r="L1788" s="6" t="str">
        <f t="shared" si="163"/>
        <v>0,00</v>
      </c>
      <c r="M1788" s="6" t="str">
        <f>"213.924,08"</f>
        <v>213.924,08</v>
      </c>
      <c r="N1788" s="8" t="s">
        <v>124</v>
      </c>
      <c r="O1788" s="7"/>
      <c r="P1788" s="2" t="s">
        <v>5614</v>
      </c>
      <c r="Q1788" s="7"/>
      <c r="R1788" s="1"/>
      <c r="S1788" s="1" t="str">
        <f>"9-22/NOS-27/21"</f>
        <v>9-22/NOS-27/21</v>
      </c>
      <c r="T1788" s="1" t="s">
        <v>55</v>
      </c>
    </row>
    <row r="1789" spans="1:20" ht="63.75" x14ac:dyDescent="0.25">
      <c r="A1789" s="6">
        <v>1785</v>
      </c>
      <c r="B1789" s="1" t="str">
        <f t="shared" si="161"/>
        <v>2021-1832</v>
      </c>
      <c r="C1789" s="1" t="s">
        <v>1580</v>
      </c>
      <c r="D1789" s="1" t="s">
        <v>1583</v>
      </c>
      <c r="E1789" s="1" t="str">
        <f>""</f>
        <v/>
      </c>
      <c r="F1789" s="1" t="s">
        <v>28</v>
      </c>
      <c r="G1789" s="1" t="str">
        <f t="shared" si="162"/>
        <v>GRADITELJSTVO I TRGOVINA PERIĆ D.O.O., NAD LIPOM 12, 10000 ZAGREB, OIB: 43566372258</v>
      </c>
      <c r="H1789" s="7"/>
      <c r="I1789" s="8" t="s">
        <v>1123</v>
      </c>
      <c r="J1789" s="8" t="s">
        <v>256</v>
      </c>
      <c r="K1789" s="6" t="str">
        <f>"4.696,35"</f>
        <v>4.696,35</v>
      </c>
      <c r="L1789" s="6" t="str">
        <f t="shared" si="163"/>
        <v>0,00</v>
      </c>
      <c r="M1789" s="6" t="str">
        <f>"4.696,35"</f>
        <v>4.696,35</v>
      </c>
      <c r="N1789" s="8" t="s">
        <v>124</v>
      </c>
      <c r="O1789" s="7"/>
      <c r="P1789" s="2" t="s">
        <v>5614</v>
      </c>
      <c r="Q1789" s="7"/>
      <c r="R1789" s="1"/>
      <c r="S1789" s="1" t="str">
        <f>"21-22/NOS-27/21"</f>
        <v>21-22/NOS-27/21</v>
      </c>
      <c r="T1789" s="1" t="s">
        <v>55</v>
      </c>
    </row>
    <row r="1790" spans="1:20" ht="63.75" x14ac:dyDescent="0.25">
      <c r="A1790" s="6">
        <v>1786</v>
      </c>
      <c r="B1790" s="1" t="str">
        <f>"2021-1902"</f>
        <v>2021-1902</v>
      </c>
      <c r="C1790" s="1" t="s">
        <v>760</v>
      </c>
      <c r="D1790" s="1" t="s">
        <v>761</v>
      </c>
      <c r="E1790" s="1" t="str">
        <f>"2021/S 0F2-0041922"</f>
        <v>2021/S 0F2-0041922</v>
      </c>
      <c r="F1790" s="1" t="s">
        <v>22</v>
      </c>
      <c r="G1790" s="1" t="str">
        <f>CONCATENATE("MALI GRM D.O.O.,"," GRANČARSKA ULICA II. ODVOJAK 4,"," 10000 ZAGREB,"," OIB: 91276298719")</f>
        <v>MALI GRM D.O.O., GRANČARSKA ULICA II. ODVOJAK 4, 10000 ZAGREB, OIB: 91276298719</v>
      </c>
      <c r="H1790" s="7"/>
      <c r="I1790" s="8" t="s">
        <v>93</v>
      </c>
      <c r="J1790" s="8" t="s">
        <v>1584</v>
      </c>
      <c r="K1790" s="6" t="str">
        <f>"2.000.000,00"</f>
        <v>2.000.000,00</v>
      </c>
      <c r="L1790" s="6" t="str">
        <f>"500.000,00"</f>
        <v>500.000,00</v>
      </c>
      <c r="M1790" s="6" t="str">
        <f>"2.500.000,00"</f>
        <v>2.500.000,00</v>
      </c>
      <c r="N1790" s="8" t="s">
        <v>124</v>
      </c>
      <c r="O1790" s="7"/>
      <c r="P1790" s="2" t="s">
        <v>5614</v>
      </c>
      <c r="Q1790" s="7"/>
      <c r="R1790" s="1"/>
      <c r="S1790" s="1" t="str">
        <f>"NOS-28/21"</f>
        <v>NOS-28/21</v>
      </c>
      <c r="T1790" s="1" t="s">
        <v>32</v>
      </c>
    </row>
    <row r="1791" spans="1:20" ht="63.75" x14ac:dyDescent="0.25">
      <c r="A1791" s="6">
        <v>1787</v>
      </c>
      <c r="B1791" s="1" t="str">
        <f>"2021-1902"</f>
        <v>2021-1902</v>
      </c>
      <c r="C1791" s="1" t="s">
        <v>760</v>
      </c>
      <c r="D1791" s="1" t="s">
        <v>174</v>
      </c>
      <c r="E1791" s="1" t="str">
        <f>""</f>
        <v/>
      </c>
      <c r="F1791" s="1" t="s">
        <v>28</v>
      </c>
      <c r="G1791" s="1" t="str">
        <f>CONCATENATE("MALI GRM D.O.O.,"," GRANČARSKA ULICA II. ODVOJAK 4,"," 10000 ZAGREB,"," OIB: 91276298719")</f>
        <v>MALI GRM D.O.O., GRANČARSKA ULICA II. ODVOJAK 4, 10000 ZAGREB, OIB: 91276298719</v>
      </c>
      <c r="H1791" s="7"/>
      <c r="I1791" s="8" t="s">
        <v>506</v>
      </c>
      <c r="J1791" s="8" t="s">
        <v>231</v>
      </c>
      <c r="K1791" s="6" t="str">
        <f>"101.440,00"</f>
        <v>101.440,00</v>
      </c>
      <c r="L1791" s="6" t="str">
        <f>"25.360,00"</f>
        <v>25.360,00</v>
      </c>
      <c r="M1791" s="6" t="str">
        <f>"126.800,00"</f>
        <v>126.800,00</v>
      </c>
      <c r="N1791" s="8" t="s">
        <v>565</v>
      </c>
      <c r="O1791" s="7"/>
      <c r="P1791" s="2" t="s">
        <v>6707</v>
      </c>
      <c r="Q1791" s="7"/>
      <c r="R1791" s="1"/>
      <c r="S1791" s="1" t="str">
        <f>"1-22/NOS-28/21"</f>
        <v>1-22/NOS-28/21</v>
      </c>
      <c r="T1791" s="1" t="s">
        <v>32</v>
      </c>
    </row>
    <row r="1792" spans="1:20" ht="51" x14ac:dyDescent="0.25">
      <c r="A1792" s="6">
        <v>1788</v>
      </c>
      <c r="B1792" s="1" t="str">
        <f>"2021-1858"</f>
        <v>2021-1858</v>
      </c>
      <c r="C1792" s="1" t="s">
        <v>1585</v>
      </c>
      <c r="D1792" s="1" t="s">
        <v>1586</v>
      </c>
      <c r="E1792" s="1" t="str">
        <f>"2021/S 0F2-0041995"</f>
        <v>2021/S 0F2-0041995</v>
      </c>
      <c r="F1792" s="1" t="s">
        <v>22</v>
      </c>
      <c r="G1792" s="1" t="str">
        <f>CONCATENATE("INSTITUT IGH D.D.,"," JANKA RAKUŠE 1,"," 10000 ZAGREB,"," OIB: 79766124714")</f>
        <v>INSTITUT IGH D.D., JANKA RAKUŠE 1, 10000 ZAGREB, OIB: 79766124714</v>
      </c>
      <c r="H1792" s="7"/>
      <c r="I1792" s="8" t="s">
        <v>93</v>
      </c>
      <c r="J1792" s="8" t="s">
        <v>1587</v>
      </c>
      <c r="K1792" s="6" t="str">
        <f>"500.000,00"</f>
        <v>500.000,00</v>
      </c>
      <c r="L1792" s="6" t="str">
        <f>"125.000,00"</f>
        <v>125.000,00</v>
      </c>
      <c r="M1792" s="6" t="str">
        <f>"625.000,00"</f>
        <v>625.000,00</v>
      </c>
      <c r="N1792" s="8" t="s">
        <v>124</v>
      </c>
      <c r="O1792" s="7"/>
      <c r="P1792" s="2" t="s">
        <v>5614</v>
      </c>
      <c r="Q1792" s="7"/>
      <c r="R1792" s="1"/>
      <c r="S1792" s="1" t="str">
        <f>"NOS-29/21"</f>
        <v>NOS-29/21</v>
      </c>
      <c r="T1792" s="1" t="s">
        <v>32</v>
      </c>
    </row>
    <row r="1793" spans="1:20" ht="51" x14ac:dyDescent="0.25">
      <c r="A1793" s="6">
        <v>1789</v>
      </c>
      <c r="B1793" s="1" t="str">
        <f>"2021-1858"</f>
        <v>2021-1858</v>
      </c>
      <c r="C1793" s="1" t="s">
        <v>1585</v>
      </c>
      <c r="D1793" s="1" t="s">
        <v>1588</v>
      </c>
      <c r="E1793" s="1" t="str">
        <f>""</f>
        <v/>
      </c>
      <c r="F1793" s="1" t="s">
        <v>28</v>
      </c>
      <c r="G1793" s="1" t="str">
        <f>CONCATENATE("INSTITUT IGH D.D.,"," JANKA RAKUŠE 1,"," 10000 ZAGREB,"," OIB: 79766124714")</f>
        <v>INSTITUT IGH D.D., JANKA RAKUŠE 1, 10000 ZAGREB, OIB: 79766124714</v>
      </c>
      <c r="H1793" s="7"/>
      <c r="I1793" s="8" t="s">
        <v>203</v>
      </c>
      <c r="J1793" s="8" t="s">
        <v>292</v>
      </c>
      <c r="K1793" s="6" t="str">
        <f>"89.700,00"</f>
        <v>89.700,00</v>
      </c>
      <c r="L1793" s="6" t="str">
        <f>"0,00"</f>
        <v>0,00</v>
      </c>
      <c r="M1793" s="6" t="str">
        <f>"89.700,00"</f>
        <v>89.700,00</v>
      </c>
      <c r="N1793" s="8" t="s">
        <v>124</v>
      </c>
      <c r="O1793" s="7"/>
      <c r="P1793" s="2" t="s">
        <v>5614</v>
      </c>
      <c r="Q1793" s="7"/>
      <c r="R1793" s="1"/>
      <c r="S1793" s="1" t="str">
        <f>"1-22/NOS-29/21"</f>
        <v>1-22/NOS-29/21</v>
      </c>
      <c r="T1793" s="1" t="s">
        <v>32</v>
      </c>
    </row>
    <row r="1794" spans="1:20" ht="51" x14ac:dyDescent="0.25">
      <c r="A1794" s="6">
        <v>1790</v>
      </c>
      <c r="B1794" s="1" t="str">
        <f>"2021-1858"</f>
        <v>2021-1858</v>
      </c>
      <c r="C1794" s="1" t="s">
        <v>1585</v>
      </c>
      <c r="D1794" s="1" t="s">
        <v>1588</v>
      </c>
      <c r="E1794" s="1" t="str">
        <f>""</f>
        <v/>
      </c>
      <c r="F1794" s="1" t="s">
        <v>28</v>
      </c>
      <c r="G1794" s="1" t="str">
        <f>CONCATENATE("INSTITUT IGH D.D.,"," JANKA RAKUŠE 1,"," 10000 ZAGREB,"," OIB: 79766124714")</f>
        <v>INSTITUT IGH D.D., JANKA RAKUŠE 1, 10000 ZAGREB, OIB: 79766124714</v>
      </c>
      <c r="H1794" s="7"/>
      <c r="I1794" s="8" t="s">
        <v>310</v>
      </c>
      <c r="J1794" s="8" t="s">
        <v>292</v>
      </c>
      <c r="K1794" s="6" t="str">
        <f>"102.930,00"</f>
        <v>102.930,00</v>
      </c>
      <c r="L1794" s="6" t="str">
        <f>"0,00"</f>
        <v>0,00</v>
      </c>
      <c r="M1794" s="6" t="str">
        <f>"102.930,00"</f>
        <v>102.930,00</v>
      </c>
      <c r="N1794" s="8" t="s">
        <v>124</v>
      </c>
      <c r="O1794" s="7"/>
      <c r="P1794" s="2" t="s">
        <v>5614</v>
      </c>
      <c r="Q1794" s="7"/>
      <c r="R1794" s="1"/>
      <c r="S1794" s="1" t="str">
        <f>"2-22/NOS-29/21"</f>
        <v>2-22/NOS-29/21</v>
      </c>
      <c r="T1794" s="1" t="s">
        <v>32</v>
      </c>
    </row>
    <row r="1795" spans="1:20" ht="140.25" x14ac:dyDescent="0.25">
      <c r="A1795" s="6">
        <v>1791</v>
      </c>
      <c r="B1795" s="1" t="str">
        <f>"2021-1862"</f>
        <v>2021-1862</v>
      </c>
      <c r="C1795" s="1" t="s">
        <v>1589</v>
      </c>
      <c r="D1795" s="1" t="s">
        <v>1438</v>
      </c>
      <c r="E1795" s="1" t="str">
        <f>"2021/S 0F2-0041181"</f>
        <v>2021/S 0F2-0041181</v>
      </c>
      <c r="F1795" s="1" t="s">
        <v>22</v>
      </c>
      <c r="G1795" s="1" t="str">
        <f>CONCATENATE("POLJO-PROM,"," VL. ZLATKO KRIŽANIĆ,"," HRAŠĆE TUROPOLJSKO,"," KRIŽANIĆI 27,"," 10020 ZAGREB-NOVI ZAGREB,"," OIB: 22277452223",CHAR(10),"",CHAR(10),"BINĐO D.O.O.,"," MAJDEKOVA 17,"," 10310 IVANIĆ-GRAD,"," OIB: 49733628869")</f>
        <v>POLJO-PROM, VL. ZLATKO KRIŽANIĆ, HRAŠĆE TUROPOLJSKO, KRIŽANIĆI 27, 10020 ZAGREB-NOVI ZAGREB, OIB: 22277452223
BINĐO D.O.O., MAJDEKOVA 17, 10310 IVANIĆ-GRAD, OIB: 49733628869</v>
      </c>
      <c r="H1795" s="7"/>
      <c r="I1795" s="8" t="s">
        <v>598</v>
      </c>
      <c r="J1795" s="8" t="s">
        <v>1587</v>
      </c>
      <c r="K1795" s="6" t="str">
        <f>"600.000,00"</f>
        <v>600.000,00</v>
      </c>
      <c r="L1795" s="6" t="str">
        <f>"150.000,00"</f>
        <v>150.000,00</v>
      </c>
      <c r="M1795" s="6" t="str">
        <f>"750.000,00"</f>
        <v>750.000,00</v>
      </c>
      <c r="N1795" s="8" t="s">
        <v>124</v>
      </c>
      <c r="O1795" s="7"/>
      <c r="P1795" s="2" t="s">
        <v>5614</v>
      </c>
      <c r="Q1795" s="7"/>
      <c r="R1795" s="1"/>
      <c r="S1795" s="1" t="str">
        <f>"NOS-32/21"</f>
        <v>NOS-32/21</v>
      </c>
      <c r="T1795" s="1" t="s">
        <v>32</v>
      </c>
    </row>
    <row r="1796" spans="1:20" ht="76.5" x14ac:dyDescent="0.25">
      <c r="A1796" s="6">
        <v>1792</v>
      </c>
      <c r="B1796" s="1" t="str">
        <f>"2021-1862"</f>
        <v>2021-1862</v>
      </c>
      <c r="C1796" s="1" t="s">
        <v>1589</v>
      </c>
      <c r="D1796" s="1" t="s">
        <v>1438</v>
      </c>
      <c r="E1796" s="1" t="str">
        <f>""</f>
        <v/>
      </c>
      <c r="F1796" s="1" t="s">
        <v>28</v>
      </c>
      <c r="G1796" s="1" t="str">
        <f>CONCATENATE("POLJO-PROM,"," VL. ZLATKO KRIŽANIĆ,"," HRAŠĆE TUROPOLJSKO,"," KRIŽANIĆI 27,"," 10020 ZAGREB-NOVI ZAGREB,"," OIB: 22277452223")</f>
        <v>POLJO-PROM, VL. ZLATKO KRIŽANIĆ, HRAŠĆE TUROPOLJSKO, KRIŽANIĆI 27, 10020 ZAGREB-NOVI ZAGREB, OIB: 22277452223</v>
      </c>
      <c r="H1796" s="7"/>
      <c r="I1796" s="8" t="s">
        <v>258</v>
      </c>
      <c r="J1796" s="8" t="s">
        <v>393</v>
      </c>
      <c r="K1796" s="6" t="str">
        <f>"230.300,00"</f>
        <v>230.300,00</v>
      </c>
      <c r="L1796" s="6" t="str">
        <f>"5.512,50"</f>
        <v>5.512,50</v>
      </c>
      <c r="M1796" s="6" t="str">
        <f>"235.812,50"</f>
        <v>235.812,50</v>
      </c>
      <c r="N1796" s="8" t="s">
        <v>458</v>
      </c>
      <c r="O1796" s="7"/>
      <c r="P1796" s="2" t="s">
        <v>6708</v>
      </c>
      <c r="Q1796" s="7"/>
      <c r="R1796" s="1"/>
      <c r="S1796" s="1" t="str">
        <f>"1-22/NOS-32/21"</f>
        <v>1-22/NOS-32/21</v>
      </c>
      <c r="T1796" s="1" t="s">
        <v>32</v>
      </c>
    </row>
    <row r="1797" spans="1:20" ht="127.5" x14ac:dyDescent="0.25">
      <c r="A1797" s="6">
        <v>1793</v>
      </c>
      <c r="B1797" s="1" t="str">
        <f>"2021-1873"</f>
        <v>2021-1873</v>
      </c>
      <c r="C1797" s="1" t="s">
        <v>1590</v>
      </c>
      <c r="D1797" s="1" t="s">
        <v>1236</v>
      </c>
      <c r="E1797" s="1" t="str">
        <f>"2021/S 0F2-0042100"</f>
        <v>2021/S 0F2-0042100</v>
      </c>
      <c r="F1797" s="1" t="s">
        <v>22</v>
      </c>
      <c r="G1797" s="1" t="str">
        <f>CONCATENATE("VEPEL D.O.O.,"," VELINCI 19/A,"," 49295 KUMROVEC,"," OIB: 26012844053",CHAR(10),"",CHAR(10),"PISMORAD D.O.O.,"," INDUSTRIJSKA 5,"," 10431 SVETA NEDELJA-NOVAKI,"," OIB: 33260306505")</f>
        <v>VEPEL D.O.O., VELINCI 19/A, 49295 KUMROVEC, OIB: 26012844053
PISMORAD D.O.O., INDUSTRIJSKA 5, 10431 SVETA NEDELJA-NOVAKI, OIB: 33260306505</v>
      </c>
      <c r="H1797" s="7"/>
      <c r="I1797" s="8" t="s">
        <v>744</v>
      </c>
      <c r="J1797" s="8" t="s">
        <v>1591</v>
      </c>
      <c r="K1797" s="6" t="str">
        <f>"500.000,00"</f>
        <v>500.000,00</v>
      </c>
      <c r="L1797" s="6" t="str">
        <f>"125.000,00"</f>
        <v>125.000,00</v>
      </c>
      <c r="M1797" s="6" t="str">
        <f>"625.000,00"</f>
        <v>625.000,00</v>
      </c>
      <c r="N1797" s="8" t="s">
        <v>124</v>
      </c>
      <c r="O1797" s="7"/>
      <c r="P1797" s="2" t="s">
        <v>5614</v>
      </c>
      <c r="Q1797" s="7"/>
      <c r="R1797" s="1"/>
      <c r="S1797" s="1" t="str">
        <f>"NOS-33/21"</f>
        <v>NOS-33/21</v>
      </c>
      <c r="T1797" s="1" t="s">
        <v>32</v>
      </c>
    </row>
    <row r="1798" spans="1:20" ht="51" x14ac:dyDescent="0.25">
      <c r="A1798" s="6">
        <v>1794</v>
      </c>
      <c r="B1798" s="1" t="str">
        <f>"2021-1873"</f>
        <v>2021-1873</v>
      </c>
      <c r="C1798" s="1" t="s">
        <v>1590</v>
      </c>
      <c r="D1798" s="1" t="s">
        <v>1239</v>
      </c>
      <c r="E1798" s="1" t="str">
        <f>""</f>
        <v/>
      </c>
      <c r="F1798" s="1" t="s">
        <v>28</v>
      </c>
      <c r="G1798" s="1" t="str">
        <f>CONCATENATE("VEPEL D.O.O.,"," VELINCI 19/A,"," 49295 KUMROVEC,"," OIB: 26012844053")</f>
        <v>VEPEL D.O.O., VELINCI 19/A, 49295 KUMROVEC, OIB: 26012844053</v>
      </c>
      <c r="H1798" s="7"/>
      <c r="I1798" s="8" t="s">
        <v>918</v>
      </c>
      <c r="J1798" s="8" t="s">
        <v>393</v>
      </c>
      <c r="K1798" s="6" t="str">
        <f>"16.980,00"</f>
        <v>16.980,00</v>
      </c>
      <c r="L1798" s="6" t="str">
        <f>"4.245,00"</f>
        <v>4.245,00</v>
      </c>
      <c r="M1798" s="6" t="str">
        <f>"21.225,00"</f>
        <v>21.225,00</v>
      </c>
      <c r="N1798" s="8" t="s">
        <v>371</v>
      </c>
      <c r="O1798" s="7"/>
      <c r="P1798" s="2" t="s">
        <v>6709</v>
      </c>
      <c r="Q1798" s="7"/>
      <c r="R1798" s="1"/>
      <c r="S1798" s="1" t="str">
        <f>"1-22/NOS-33/21"</f>
        <v>1-22/NOS-33/21</v>
      </c>
      <c r="T1798" s="1" t="s">
        <v>32</v>
      </c>
    </row>
    <row r="1799" spans="1:20" ht="63.75" x14ac:dyDescent="0.25">
      <c r="A1799" s="6">
        <v>1795</v>
      </c>
      <c r="B1799" s="1" t="str">
        <f>"2021-1873"</f>
        <v>2021-1873</v>
      </c>
      <c r="C1799" s="1" t="s">
        <v>1590</v>
      </c>
      <c r="D1799" s="1" t="s">
        <v>1239</v>
      </c>
      <c r="E1799" s="1" t="str">
        <f>""</f>
        <v/>
      </c>
      <c r="F1799" s="1" t="s">
        <v>28</v>
      </c>
      <c r="G1799" s="1" t="str">
        <f>CONCATENATE("PISMORAD D.O.O.,"," INDUSTRIJSKA 5,"," 10431 SVETA NEDELJA-NOVAKI,"," OIB: 33260306505")</f>
        <v>PISMORAD D.O.O., INDUSTRIJSKA 5, 10431 SVETA NEDELJA-NOVAKI, OIB: 33260306505</v>
      </c>
      <c r="H1799" s="7"/>
      <c r="I1799" s="8" t="s">
        <v>939</v>
      </c>
      <c r="J1799" s="8" t="s">
        <v>393</v>
      </c>
      <c r="K1799" s="6" t="str">
        <f>"73.500,00"</f>
        <v>73.500,00</v>
      </c>
      <c r="L1799" s="6" t="str">
        <f>"18.375,00"</f>
        <v>18.375,00</v>
      </c>
      <c r="M1799" s="6" t="str">
        <f>"91.875,00"</f>
        <v>91.875,00</v>
      </c>
      <c r="N1799" s="8" t="s">
        <v>732</v>
      </c>
      <c r="O1799" s="7"/>
      <c r="P1799" s="2" t="s">
        <v>6710</v>
      </c>
      <c r="Q1799" s="7"/>
      <c r="R1799" s="1"/>
      <c r="S1799" s="1" t="str">
        <f>"2-22/NOS-33/21"</f>
        <v>2-22/NOS-33/21</v>
      </c>
      <c r="T1799" s="1" t="s">
        <v>32</v>
      </c>
    </row>
    <row r="1800" spans="1:20" ht="63.75" x14ac:dyDescent="0.25">
      <c r="A1800" s="6">
        <v>1796</v>
      </c>
      <c r="B1800" s="1" t="str">
        <f>"2021-1873"</f>
        <v>2021-1873</v>
      </c>
      <c r="C1800" s="1" t="s">
        <v>1590</v>
      </c>
      <c r="D1800" s="1" t="s">
        <v>1239</v>
      </c>
      <c r="E1800" s="1" t="str">
        <f>""</f>
        <v/>
      </c>
      <c r="F1800" s="1" t="s">
        <v>28</v>
      </c>
      <c r="G1800" s="1" t="str">
        <f>CONCATENATE("PISMORAD D.O.O.,"," INDUSTRIJSKA 5,"," 10431 SVETA NEDELJA-NOVAKI,"," OIB: 33260306505")</f>
        <v>PISMORAD D.O.O., INDUSTRIJSKA 5, 10431 SVETA NEDELJA-NOVAKI, OIB: 33260306505</v>
      </c>
      <c r="H1800" s="7"/>
      <c r="I1800" s="8" t="s">
        <v>112</v>
      </c>
      <c r="J1800" s="8" t="s">
        <v>393</v>
      </c>
      <c r="K1800" s="6" t="str">
        <f>"25.290,00"</f>
        <v>25.290,00</v>
      </c>
      <c r="L1800" s="6" t="str">
        <f>"0,00"</f>
        <v>0,00</v>
      </c>
      <c r="M1800" s="6" t="str">
        <f>"25.290,00"</f>
        <v>25.290,00</v>
      </c>
      <c r="N1800" s="8" t="s">
        <v>124</v>
      </c>
      <c r="O1800" s="7"/>
      <c r="P1800" s="2" t="s">
        <v>5614</v>
      </c>
      <c r="Q1800" s="7"/>
      <c r="R1800" s="1"/>
      <c r="S1800" s="1" t="str">
        <f>"4-22/NOS-33/21"</f>
        <v>4-22/NOS-33/21</v>
      </c>
      <c r="T1800" s="1" t="s">
        <v>32</v>
      </c>
    </row>
    <row r="1801" spans="1:20" ht="51" x14ac:dyDescent="0.25">
      <c r="A1801" s="6">
        <v>1797</v>
      </c>
      <c r="B1801" s="1" t="str">
        <f>"2021-339"</f>
        <v>2021-339</v>
      </c>
      <c r="C1801" s="1" t="s">
        <v>536</v>
      </c>
      <c r="D1801" s="1" t="s">
        <v>537</v>
      </c>
      <c r="E1801" s="1" t="str">
        <f>"2021/S 0F2-0038290"</f>
        <v>2021/S 0F2-0038290</v>
      </c>
      <c r="F1801" s="1" t="s">
        <v>22</v>
      </c>
      <c r="G1801" s="1" t="str">
        <f>CONCATENATE("BMD  STIL D.O.O.,"," BEDENICA 45/A,"," 10381 BEDENICA,"," OIB: 96086822394")</f>
        <v>BMD  STIL D.O.O., BEDENICA 45/A, 10381 BEDENICA, OIB: 96086822394</v>
      </c>
      <c r="H1801" s="7"/>
      <c r="I1801" s="8" t="s">
        <v>779</v>
      </c>
      <c r="J1801" s="8" t="s">
        <v>1592</v>
      </c>
      <c r="K1801" s="6" t="str">
        <f>"1.650.000,00"</f>
        <v>1.650.000,00</v>
      </c>
      <c r="L1801" s="6" t="str">
        <f>"412.500,00"</f>
        <v>412.500,00</v>
      </c>
      <c r="M1801" s="6" t="str">
        <f>"2.062.500,00"</f>
        <v>2.062.500,00</v>
      </c>
      <c r="N1801" s="8" t="s">
        <v>124</v>
      </c>
      <c r="O1801" s="7"/>
      <c r="P1801" s="2" t="s">
        <v>5614</v>
      </c>
      <c r="Q1801" s="7"/>
      <c r="R1801" s="1"/>
      <c r="S1801" s="1" t="str">
        <f>"NOS-30/21"</f>
        <v>NOS-30/21</v>
      </c>
      <c r="T1801" s="1" t="s">
        <v>27</v>
      </c>
    </row>
    <row r="1802" spans="1:20" ht="51" x14ac:dyDescent="0.25">
      <c r="A1802" s="6">
        <v>1798</v>
      </c>
      <c r="B1802" s="1" t="str">
        <f>"2021-339"</f>
        <v>2021-339</v>
      </c>
      <c r="C1802" s="1" t="s">
        <v>536</v>
      </c>
      <c r="D1802" s="1" t="s">
        <v>541</v>
      </c>
      <c r="E1802" s="1" t="str">
        <f>""</f>
        <v/>
      </c>
      <c r="F1802" s="1" t="s">
        <v>28</v>
      </c>
      <c r="G1802" s="1" t="str">
        <f>CONCATENATE("BMD  STIL D.O.O.,"," BEDENICA 45/A,"," 10381 BEDENICA,"," OIB: 96086822394")</f>
        <v>BMD  STIL D.O.O., BEDENICA 45/A, 10381 BEDENICA, OIB: 96086822394</v>
      </c>
      <c r="H1802" s="7"/>
      <c r="I1802" s="8" t="s">
        <v>994</v>
      </c>
      <c r="J1802" s="8" t="s">
        <v>123</v>
      </c>
      <c r="K1802" s="6" t="str">
        <f>"239.904,00"</f>
        <v>239.904,00</v>
      </c>
      <c r="L1802" s="6" t="str">
        <f>"59.976,00"</f>
        <v>59.976,00</v>
      </c>
      <c r="M1802" s="6" t="str">
        <f>"299.880,00"</f>
        <v>299.880,00</v>
      </c>
      <c r="N1802" s="8" t="s">
        <v>124</v>
      </c>
      <c r="O1802" s="7"/>
      <c r="P1802" s="2" t="s">
        <v>6711</v>
      </c>
      <c r="Q1802" s="1"/>
      <c r="R1802" s="1"/>
      <c r="S1802" s="1" t="str">
        <f>"3-22/NOS-30/21"</f>
        <v>3-22/NOS-30/21</v>
      </c>
      <c r="T1802" s="1" t="s">
        <v>32</v>
      </c>
    </row>
    <row r="1803" spans="1:20" ht="51" x14ac:dyDescent="0.25">
      <c r="A1803" s="6">
        <v>1799</v>
      </c>
      <c r="B1803" s="1" t="str">
        <f>"2021-339"</f>
        <v>2021-339</v>
      </c>
      <c r="C1803" s="1" t="s">
        <v>536</v>
      </c>
      <c r="D1803" s="1" t="s">
        <v>541</v>
      </c>
      <c r="E1803" s="1" t="str">
        <f>""</f>
        <v/>
      </c>
      <c r="F1803" s="1" t="s">
        <v>28</v>
      </c>
      <c r="G1803" s="1" t="str">
        <f>CONCATENATE("BMD  STIL D.O.O.,"," BEDENICA 45/A,"," 10381 BEDENICA,"," OIB: 96086822394")</f>
        <v>BMD  STIL D.O.O., BEDENICA 45/A, 10381 BEDENICA, OIB: 96086822394</v>
      </c>
      <c r="H1803" s="7"/>
      <c r="I1803" s="8" t="s">
        <v>146</v>
      </c>
      <c r="J1803" s="8" t="s">
        <v>411</v>
      </c>
      <c r="K1803" s="6" t="str">
        <f>"238.672,00"</f>
        <v>238.672,00</v>
      </c>
      <c r="L1803" s="6" t="str">
        <f>"59.668,00"</f>
        <v>59.668,00</v>
      </c>
      <c r="M1803" s="6" t="str">
        <f>"298.340,00"</f>
        <v>298.340,00</v>
      </c>
      <c r="N1803" s="8" t="s">
        <v>124</v>
      </c>
      <c r="O1803" s="7"/>
      <c r="P1803" s="2" t="s">
        <v>5614</v>
      </c>
      <c r="Q1803" s="7"/>
      <c r="R1803" s="1"/>
      <c r="S1803" s="1" t="str">
        <f>"1-22/NOS-30/21"</f>
        <v>1-22/NOS-30/21</v>
      </c>
      <c r="T1803" s="1" t="s">
        <v>32</v>
      </c>
    </row>
    <row r="1804" spans="1:20" ht="102" x14ac:dyDescent="0.25">
      <c r="A1804" s="6">
        <v>1800</v>
      </c>
      <c r="B1804" s="1" t="str">
        <f t="shared" ref="B1804:B1811" si="164">"2021-161"</f>
        <v>2021-161</v>
      </c>
      <c r="C1804" s="1" t="s">
        <v>63</v>
      </c>
      <c r="D1804" s="1" t="s">
        <v>64</v>
      </c>
      <c r="E1804" s="1" t="str">
        <f>" 2021/S 0F2-0039472"</f>
        <v xml:space="preserve"> 2021/S 0F2-0039472</v>
      </c>
      <c r="F1804" s="1" t="s">
        <v>22</v>
      </c>
      <c r="G1804" s="1" t="str">
        <f t="shared" ref="G1804:G1811" si="165">CONCATENATE("TOI TOI D.O.O.,"," KVINTIČKA 16,"," 10000 ZAGREB,"," OIB: 73497369534")</f>
        <v>TOI TOI D.O.O., KVINTIČKA 16, 10000 ZAGREB, OIB: 73497369534</v>
      </c>
      <c r="H1804" s="7"/>
      <c r="I1804" s="8" t="s">
        <v>744</v>
      </c>
      <c r="J1804" s="8" t="s">
        <v>1593</v>
      </c>
      <c r="K1804" s="6" t="str">
        <f>"2.600.000,00"</f>
        <v>2.600.000,00</v>
      </c>
      <c r="L1804" s="6" t="str">
        <f>"650.000,00"</f>
        <v>650.000,00</v>
      </c>
      <c r="M1804" s="6" t="str">
        <f>"3.250.000,00"</f>
        <v>3.250.000,00</v>
      </c>
      <c r="N1804" s="8" t="s">
        <v>124</v>
      </c>
      <c r="O1804" s="7"/>
      <c r="P1804" s="2" t="s">
        <v>5614</v>
      </c>
      <c r="Q1804" s="7"/>
      <c r="R1804" s="1"/>
      <c r="S1804" s="1" t="str">
        <f>"NOS-35/21"</f>
        <v>NOS-35/21</v>
      </c>
      <c r="T1804" s="1" t="s">
        <v>661</v>
      </c>
    </row>
    <row r="1805" spans="1:20" ht="51" x14ac:dyDescent="0.25">
      <c r="A1805" s="6">
        <v>1801</v>
      </c>
      <c r="B1805" s="1" t="str">
        <f t="shared" si="164"/>
        <v>2021-161</v>
      </c>
      <c r="C1805" s="1" t="s">
        <v>63</v>
      </c>
      <c r="D1805" s="1" t="s">
        <v>69</v>
      </c>
      <c r="E1805" s="1" t="str">
        <f>""</f>
        <v/>
      </c>
      <c r="F1805" s="1" t="s">
        <v>28</v>
      </c>
      <c r="G1805" s="1" t="str">
        <f t="shared" si="165"/>
        <v>TOI TOI D.O.O., KVINTIČKA 16, 10000 ZAGREB, OIB: 73497369534</v>
      </c>
      <c r="H1805" s="7"/>
      <c r="I1805" s="8" t="s">
        <v>345</v>
      </c>
      <c r="J1805" s="8" t="s">
        <v>875</v>
      </c>
      <c r="K1805" s="6" t="str">
        <f>"186.000,00"</f>
        <v>186.000,00</v>
      </c>
      <c r="L1805" s="6" t="str">
        <f>"46.500,00"</f>
        <v>46.500,00</v>
      </c>
      <c r="M1805" s="6" t="str">
        <f>"232.500,00"</f>
        <v>232.500,00</v>
      </c>
      <c r="N1805" s="8" t="s">
        <v>31</v>
      </c>
      <c r="O1805" s="7"/>
      <c r="P1805" s="2" t="s">
        <v>6712</v>
      </c>
      <c r="Q1805" s="1" t="s">
        <v>488</v>
      </c>
      <c r="R1805" s="1"/>
      <c r="S1805" s="1" t="str">
        <f>"2-22/NOS-35/21"</f>
        <v>2-22/NOS-35/21</v>
      </c>
      <c r="T1805" s="1" t="s">
        <v>86</v>
      </c>
    </row>
    <row r="1806" spans="1:20" ht="51" x14ac:dyDescent="0.25">
      <c r="A1806" s="6">
        <v>1802</v>
      </c>
      <c r="B1806" s="1" t="str">
        <f t="shared" si="164"/>
        <v>2021-161</v>
      </c>
      <c r="C1806" s="1" t="s">
        <v>63</v>
      </c>
      <c r="D1806" s="1" t="s">
        <v>69</v>
      </c>
      <c r="E1806" s="1" t="str">
        <f>""</f>
        <v/>
      </c>
      <c r="F1806" s="1" t="s">
        <v>28</v>
      </c>
      <c r="G1806" s="1" t="str">
        <f t="shared" si="165"/>
        <v>TOI TOI D.O.O., KVINTIČKA 16, 10000 ZAGREB, OIB: 73497369534</v>
      </c>
      <c r="H1806" s="7"/>
      <c r="I1806" s="8" t="s">
        <v>922</v>
      </c>
      <c r="J1806" s="8" t="s">
        <v>1220</v>
      </c>
      <c r="K1806" s="6" t="str">
        <f>"181.500,00"</f>
        <v>181.500,00</v>
      </c>
      <c r="L1806" s="6" t="str">
        <f>"45.375,00"</f>
        <v>45.375,00</v>
      </c>
      <c r="M1806" s="6" t="str">
        <f>"226.875,00"</f>
        <v>226.875,00</v>
      </c>
      <c r="N1806" s="8" t="s">
        <v>146</v>
      </c>
      <c r="O1806" s="7"/>
      <c r="P1806" s="2" t="s">
        <v>6713</v>
      </c>
      <c r="Q1806" s="1"/>
      <c r="R1806" s="1"/>
      <c r="S1806" s="1" t="str">
        <f>"4-22/NOS-35/21"</f>
        <v>4-22/NOS-35/21</v>
      </c>
      <c r="T1806" s="1" t="s">
        <v>32</v>
      </c>
    </row>
    <row r="1807" spans="1:20" ht="51" x14ac:dyDescent="0.25">
      <c r="A1807" s="6">
        <v>1803</v>
      </c>
      <c r="B1807" s="1" t="str">
        <f t="shared" si="164"/>
        <v>2021-161</v>
      </c>
      <c r="C1807" s="1" t="s">
        <v>63</v>
      </c>
      <c r="D1807" s="1" t="s">
        <v>69</v>
      </c>
      <c r="E1807" s="1" t="str">
        <f>""</f>
        <v/>
      </c>
      <c r="F1807" s="1" t="s">
        <v>28</v>
      </c>
      <c r="G1807" s="1" t="str">
        <f t="shared" si="165"/>
        <v>TOI TOI D.O.O., KVINTIČKA 16, 10000 ZAGREB, OIB: 73497369534</v>
      </c>
      <c r="H1807" s="7"/>
      <c r="I1807" s="8" t="s">
        <v>317</v>
      </c>
      <c r="J1807" s="8" t="s">
        <v>961</v>
      </c>
      <c r="K1807" s="6" t="str">
        <f>"111.600,00"</f>
        <v>111.600,00</v>
      </c>
      <c r="L1807" s="6" t="str">
        <f>"27.900,00"</f>
        <v>27.900,00</v>
      </c>
      <c r="M1807" s="6" t="str">
        <f>"139.500,00"</f>
        <v>139.500,00</v>
      </c>
      <c r="N1807" s="8" t="s">
        <v>124</v>
      </c>
      <c r="O1807" s="7"/>
      <c r="P1807" s="2" t="s">
        <v>6714</v>
      </c>
      <c r="Q1807" s="7"/>
      <c r="R1807" s="1"/>
      <c r="S1807" s="1" t="str">
        <f>"7-22/NOS-35/21"</f>
        <v>7-22/NOS-35/21</v>
      </c>
      <c r="T1807" s="1" t="s">
        <v>86</v>
      </c>
    </row>
    <row r="1808" spans="1:20" ht="51" x14ac:dyDescent="0.25">
      <c r="A1808" s="6">
        <v>1804</v>
      </c>
      <c r="B1808" s="1" t="str">
        <f t="shared" si="164"/>
        <v>2021-161</v>
      </c>
      <c r="C1808" s="1" t="s">
        <v>63</v>
      </c>
      <c r="D1808" s="1" t="s">
        <v>69</v>
      </c>
      <c r="E1808" s="1" t="str">
        <f>""</f>
        <v/>
      </c>
      <c r="F1808" s="1" t="s">
        <v>28</v>
      </c>
      <c r="G1808" s="1" t="str">
        <f t="shared" si="165"/>
        <v>TOI TOI D.O.O., KVINTIČKA 16, 10000 ZAGREB, OIB: 73497369534</v>
      </c>
      <c r="H1808" s="7"/>
      <c r="I1808" s="8" t="s">
        <v>1147</v>
      </c>
      <c r="J1808" s="8" t="s">
        <v>1594</v>
      </c>
      <c r="K1808" s="6" t="str">
        <f>"149.950,00"</f>
        <v>149.950,00</v>
      </c>
      <c r="L1808" s="6" t="str">
        <f>"37.487,50"</f>
        <v>37.487,50</v>
      </c>
      <c r="M1808" s="6" t="str">
        <f>"187.437,50"</f>
        <v>187.437,50</v>
      </c>
      <c r="N1808" s="8" t="s">
        <v>124</v>
      </c>
      <c r="O1808" s="7"/>
      <c r="P1808" s="2" t="s">
        <v>5614</v>
      </c>
      <c r="Q1808" s="7"/>
      <c r="R1808" s="1"/>
      <c r="S1808" s="1" t="str">
        <f>"8-22/NOS-35/21"</f>
        <v>8-22/NOS-35/21</v>
      </c>
      <c r="T1808" s="1" t="s">
        <v>32</v>
      </c>
    </row>
    <row r="1809" spans="1:20" ht="51" x14ac:dyDescent="0.25">
      <c r="A1809" s="6">
        <v>1805</v>
      </c>
      <c r="B1809" s="1" t="str">
        <f t="shared" si="164"/>
        <v>2021-161</v>
      </c>
      <c r="C1809" s="1" t="s">
        <v>63</v>
      </c>
      <c r="D1809" s="1" t="s">
        <v>69</v>
      </c>
      <c r="E1809" s="1" t="str">
        <f>""</f>
        <v/>
      </c>
      <c r="F1809" s="1" t="s">
        <v>28</v>
      </c>
      <c r="G1809" s="1" t="str">
        <f t="shared" si="165"/>
        <v>TOI TOI D.O.O., KVINTIČKA 16, 10000 ZAGREB, OIB: 73497369534</v>
      </c>
      <c r="H1809" s="7"/>
      <c r="I1809" s="8" t="s">
        <v>955</v>
      </c>
      <c r="J1809" s="8" t="s">
        <v>555</v>
      </c>
      <c r="K1809" s="6" t="str">
        <f>"1.500,00"</f>
        <v>1.500,00</v>
      </c>
      <c r="L1809" s="6" t="str">
        <f>"0,00"</f>
        <v>0,00</v>
      </c>
      <c r="M1809" s="6" t="str">
        <f>"1.500,00"</f>
        <v>1.500,00</v>
      </c>
      <c r="N1809" s="8" t="s">
        <v>124</v>
      </c>
      <c r="O1809" s="7"/>
      <c r="P1809" s="2" t="s">
        <v>5614</v>
      </c>
      <c r="Q1809" s="7"/>
      <c r="R1809" s="1"/>
      <c r="S1809" s="1" t="str">
        <f>"6-22/NOS-35/21"</f>
        <v>6-22/NOS-35/21</v>
      </c>
      <c r="T1809" s="1" t="s">
        <v>55</v>
      </c>
    </row>
    <row r="1810" spans="1:20" ht="51" x14ac:dyDescent="0.25">
      <c r="A1810" s="6">
        <v>1806</v>
      </c>
      <c r="B1810" s="1" t="str">
        <f t="shared" si="164"/>
        <v>2021-161</v>
      </c>
      <c r="C1810" s="1" t="s">
        <v>63</v>
      </c>
      <c r="D1810" s="1" t="s">
        <v>69</v>
      </c>
      <c r="E1810" s="1" t="str">
        <f>""</f>
        <v/>
      </c>
      <c r="F1810" s="1" t="s">
        <v>28</v>
      </c>
      <c r="G1810" s="1" t="str">
        <f t="shared" si="165"/>
        <v>TOI TOI D.O.O., KVINTIČKA 16, 10000 ZAGREB, OIB: 73497369534</v>
      </c>
      <c r="H1810" s="7"/>
      <c r="I1810" s="8" t="s">
        <v>400</v>
      </c>
      <c r="J1810" s="8" t="s">
        <v>401</v>
      </c>
      <c r="K1810" s="6" t="str">
        <f>"99.750,00"</f>
        <v>99.750,00</v>
      </c>
      <c r="L1810" s="6" t="str">
        <f>"24.937,50"</f>
        <v>24.937,50</v>
      </c>
      <c r="M1810" s="6" t="str">
        <f>"124.687,50"</f>
        <v>124.687,50</v>
      </c>
      <c r="N1810" s="8" t="s">
        <v>207</v>
      </c>
      <c r="O1810" s="7"/>
      <c r="P1810" s="2" t="s">
        <v>6715</v>
      </c>
      <c r="Q1810" s="7"/>
      <c r="R1810" s="1"/>
      <c r="S1810" s="1" t="str">
        <f>"1-22/NOS-35/21"</f>
        <v>1-22/NOS-35/21</v>
      </c>
      <c r="T1810" s="1" t="s">
        <v>32</v>
      </c>
    </row>
    <row r="1811" spans="1:20" ht="51" x14ac:dyDescent="0.25">
      <c r="A1811" s="6">
        <v>1807</v>
      </c>
      <c r="B1811" s="1" t="str">
        <f t="shared" si="164"/>
        <v>2021-161</v>
      </c>
      <c r="C1811" s="1" t="s">
        <v>63</v>
      </c>
      <c r="D1811" s="1" t="s">
        <v>69</v>
      </c>
      <c r="E1811" s="1" t="str">
        <f>""</f>
        <v/>
      </c>
      <c r="F1811" s="1" t="s">
        <v>28</v>
      </c>
      <c r="G1811" s="1" t="str">
        <f t="shared" si="165"/>
        <v>TOI TOI D.O.O., KVINTIČKA 16, 10000 ZAGREB, OIB: 73497369534</v>
      </c>
      <c r="H1811" s="7"/>
      <c r="I1811" s="8" t="s">
        <v>487</v>
      </c>
      <c r="J1811" s="8" t="s">
        <v>869</v>
      </c>
      <c r="K1811" s="6" t="str">
        <f>"7.600,00"</f>
        <v>7.600,00</v>
      </c>
      <c r="L1811" s="6" t="str">
        <f>"1.900,00"</f>
        <v>1.900,00</v>
      </c>
      <c r="M1811" s="6" t="str">
        <f>"9.500,00"</f>
        <v>9.500,00</v>
      </c>
      <c r="N1811" s="8" t="s">
        <v>272</v>
      </c>
      <c r="O1811" s="7"/>
      <c r="P1811" s="2" t="s">
        <v>6716</v>
      </c>
      <c r="Q1811" s="7"/>
      <c r="R1811" s="1"/>
      <c r="S1811" s="1" t="str">
        <f>"3-22/NOS-35/21"</f>
        <v>3-22/NOS-35/21</v>
      </c>
      <c r="T1811" s="1" t="s">
        <v>32</v>
      </c>
    </row>
    <row r="1812" spans="1:20" ht="51" x14ac:dyDescent="0.25">
      <c r="A1812" s="6">
        <v>1808</v>
      </c>
      <c r="B1812" s="1" t="str">
        <f t="shared" ref="B1812:B1824" si="166">"2021-1807"</f>
        <v>2021-1807</v>
      </c>
      <c r="C1812" s="1" t="s">
        <v>82</v>
      </c>
      <c r="D1812" s="1" t="s">
        <v>83</v>
      </c>
      <c r="E1812" s="1" t="str">
        <f>" 2021/S 0F2-0037088"</f>
        <v xml:space="preserve"> 2021/S 0F2-0037088</v>
      </c>
      <c r="F1812" s="1" t="s">
        <v>22</v>
      </c>
      <c r="G1812" s="1" t="str">
        <f t="shared" ref="G1812:G1824" si="167">CONCATENATE("M-COM USLUGE D.O.O.,"," TRG KREŠIMIRA ĆOSIĆA 10,"," 10000 ZAGREB,"," OIB: 85546467214")</f>
        <v>M-COM USLUGE D.O.O., TRG KREŠIMIRA ĆOSIĆA 10, 10000 ZAGREB, OIB: 85546467214</v>
      </c>
      <c r="H1812" s="7"/>
      <c r="I1812" s="8" t="s">
        <v>613</v>
      </c>
      <c r="J1812" s="8" t="s">
        <v>1565</v>
      </c>
      <c r="K1812" s="6" t="str">
        <f>"11.000.000,00"</f>
        <v>11.000.000,00</v>
      </c>
      <c r="L1812" s="6" t="str">
        <f>"2.750.000,00"</f>
        <v>2.750.000,00</v>
      </c>
      <c r="M1812" s="6" t="str">
        <f>"13.750.000,00"</f>
        <v>13.750.000,00</v>
      </c>
      <c r="N1812" s="8" t="s">
        <v>124</v>
      </c>
      <c r="O1812" s="7"/>
      <c r="P1812" s="2" t="s">
        <v>5614</v>
      </c>
      <c r="Q1812" s="7"/>
      <c r="R1812" s="1"/>
      <c r="S1812" s="1" t="str">
        <f>"NOS-31/21"</f>
        <v>NOS-31/21</v>
      </c>
      <c r="T1812" s="1" t="s">
        <v>86</v>
      </c>
    </row>
    <row r="1813" spans="1:20" ht="51" x14ac:dyDescent="0.25">
      <c r="A1813" s="6">
        <v>1809</v>
      </c>
      <c r="B1813" s="1" t="str">
        <f t="shared" si="166"/>
        <v>2021-1807</v>
      </c>
      <c r="C1813" s="1" t="s">
        <v>82</v>
      </c>
      <c r="D1813" s="1" t="s">
        <v>87</v>
      </c>
      <c r="E1813" s="1" t="str">
        <f>""</f>
        <v/>
      </c>
      <c r="F1813" s="1" t="s">
        <v>28</v>
      </c>
      <c r="G1813" s="1" t="str">
        <f t="shared" si="167"/>
        <v>M-COM USLUGE D.O.O., TRG KREŠIMIRA ĆOSIĆA 10, 10000 ZAGREB, OIB: 85546467214</v>
      </c>
      <c r="H1813" s="7"/>
      <c r="I1813" s="8" t="s">
        <v>396</v>
      </c>
      <c r="J1813" s="8" t="s">
        <v>169</v>
      </c>
      <c r="K1813" s="6" t="str">
        <f>"2.530.257,72"</f>
        <v>2.530.257,72</v>
      </c>
      <c r="L1813" s="6" t="str">
        <f>"632.564,43"</f>
        <v>632.564,43</v>
      </c>
      <c r="M1813" s="6" t="str">
        <f>"3.162.822,15"</f>
        <v>3.162.822,15</v>
      </c>
      <c r="N1813" s="8" t="s">
        <v>955</v>
      </c>
      <c r="O1813" s="7"/>
      <c r="P1813" s="2" t="s">
        <v>6717</v>
      </c>
      <c r="Q1813" s="1" t="s">
        <v>5599</v>
      </c>
      <c r="R1813" s="1"/>
      <c r="S1813" s="1" t="str">
        <f>"1-22/NOS-31/21"</f>
        <v>1-22/NOS-31/21</v>
      </c>
      <c r="T1813" s="1" t="s">
        <v>86</v>
      </c>
    </row>
    <row r="1814" spans="1:20" ht="51" x14ac:dyDescent="0.25">
      <c r="A1814" s="6">
        <v>1810</v>
      </c>
      <c r="B1814" s="1" t="str">
        <f t="shared" si="166"/>
        <v>2021-1807</v>
      </c>
      <c r="C1814" s="1" t="s">
        <v>82</v>
      </c>
      <c r="D1814" s="1" t="s">
        <v>87</v>
      </c>
      <c r="E1814" s="1" t="str">
        <f>""</f>
        <v/>
      </c>
      <c r="F1814" s="1" t="s">
        <v>28</v>
      </c>
      <c r="G1814" s="1" t="str">
        <f t="shared" si="167"/>
        <v>M-COM USLUGE D.O.O., TRG KREŠIMIRA ĆOSIĆA 10, 10000 ZAGREB, OIB: 85546467214</v>
      </c>
      <c r="H1814" s="7"/>
      <c r="I1814" s="8" t="s">
        <v>429</v>
      </c>
      <c r="J1814" s="8" t="s">
        <v>917</v>
      </c>
      <c r="K1814" s="6" t="str">
        <f>"2.396.577,54"</f>
        <v>2.396.577,54</v>
      </c>
      <c r="L1814" s="6" t="str">
        <f>"599.144,39"</f>
        <v>599.144,39</v>
      </c>
      <c r="M1814" s="6" t="str">
        <f>"2.995.721,93"</f>
        <v>2.995.721,93</v>
      </c>
      <c r="N1814" s="8" t="s">
        <v>124</v>
      </c>
      <c r="O1814" s="7"/>
      <c r="P1814" s="2" t="s">
        <v>6718</v>
      </c>
      <c r="Q1814" s="7"/>
      <c r="R1814" s="1"/>
      <c r="S1814" s="1" t="str">
        <f>"8-22/NOS-31/21"</f>
        <v>8-22/NOS-31/21</v>
      </c>
      <c r="T1814" s="1" t="s">
        <v>86</v>
      </c>
    </row>
    <row r="1815" spans="1:20" ht="51" x14ac:dyDescent="0.25">
      <c r="A1815" s="6">
        <v>1811</v>
      </c>
      <c r="B1815" s="1" t="str">
        <f t="shared" si="166"/>
        <v>2021-1807</v>
      </c>
      <c r="C1815" s="1" t="s">
        <v>82</v>
      </c>
      <c r="D1815" s="1" t="s">
        <v>87</v>
      </c>
      <c r="E1815" s="1" t="str">
        <f>""</f>
        <v/>
      </c>
      <c r="F1815" s="1" t="s">
        <v>28</v>
      </c>
      <c r="G1815" s="1" t="str">
        <f t="shared" si="167"/>
        <v>M-COM USLUGE D.O.O., TRG KREŠIMIRA ĆOSIĆA 10, 10000 ZAGREB, OIB: 85546467214</v>
      </c>
      <c r="H1815" s="7"/>
      <c r="I1815" s="8" t="s">
        <v>127</v>
      </c>
      <c r="J1815" s="8" t="s">
        <v>1148</v>
      </c>
      <c r="K1815" s="6" t="str">
        <f>"29.260,00"</f>
        <v>29.260,00</v>
      </c>
      <c r="L1815" s="6" t="str">
        <f>"7.315,00"</f>
        <v>7.315,00</v>
      </c>
      <c r="M1815" s="6" t="str">
        <f>"36.575,00"</f>
        <v>36.575,00</v>
      </c>
      <c r="N1815" s="8" t="s">
        <v>242</v>
      </c>
      <c r="O1815" s="7"/>
      <c r="P1815" s="2" t="s">
        <v>6719</v>
      </c>
      <c r="Q1815" s="7"/>
      <c r="R1815" s="1"/>
      <c r="S1815" s="1" t="str">
        <f>"2-22/NOS-31/21"</f>
        <v>2-22/NOS-31/21</v>
      </c>
      <c r="T1815" s="1" t="s">
        <v>86</v>
      </c>
    </row>
    <row r="1816" spans="1:20" ht="51" x14ac:dyDescent="0.25">
      <c r="A1816" s="6">
        <v>1812</v>
      </c>
      <c r="B1816" s="1" t="str">
        <f t="shared" si="166"/>
        <v>2021-1807</v>
      </c>
      <c r="C1816" s="1" t="s">
        <v>82</v>
      </c>
      <c r="D1816" s="1" t="s">
        <v>87</v>
      </c>
      <c r="E1816" s="1" t="str">
        <f>""</f>
        <v/>
      </c>
      <c r="F1816" s="1" t="s">
        <v>28</v>
      </c>
      <c r="G1816" s="1" t="str">
        <f t="shared" si="167"/>
        <v>M-COM USLUGE D.O.O., TRG KREŠIMIRA ĆOSIĆA 10, 10000 ZAGREB, OIB: 85546467214</v>
      </c>
      <c r="H1816" s="7"/>
      <c r="I1816" s="8" t="s">
        <v>94</v>
      </c>
      <c r="J1816" s="8" t="s">
        <v>423</v>
      </c>
      <c r="K1816" s="6" t="str">
        <f>"24.765,00"</f>
        <v>24.765,00</v>
      </c>
      <c r="L1816" s="6" t="str">
        <f>"6.191,25"</f>
        <v>6.191,25</v>
      </c>
      <c r="M1816" s="6" t="str">
        <f>"30.956,25"</f>
        <v>30.956,25</v>
      </c>
      <c r="N1816" s="8" t="s">
        <v>72</v>
      </c>
      <c r="O1816" s="7"/>
      <c r="P1816" s="2" t="s">
        <v>6720</v>
      </c>
      <c r="Q1816" s="7"/>
      <c r="R1816" s="1"/>
      <c r="S1816" s="1" t="str">
        <f>"3-22/NOS-31/21"</f>
        <v>3-22/NOS-31/21</v>
      </c>
      <c r="T1816" s="1" t="s">
        <v>86</v>
      </c>
    </row>
    <row r="1817" spans="1:20" ht="51" x14ac:dyDescent="0.25">
      <c r="A1817" s="6">
        <v>1813</v>
      </c>
      <c r="B1817" s="1" t="str">
        <f t="shared" si="166"/>
        <v>2021-1807</v>
      </c>
      <c r="C1817" s="1" t="s">
        <v>82</v>
      </c>
      <c r="D1817" s="1" t="s">
        <v>87</v>
      </c>
      <c r="E1817" s="1" t="str">
        <f>""</f>
        <v/>
      </c>
      <c r="F1817" s="1" t="s">
        <v>28</v>
      </c>
      <c r="G1817" s="1" t="str">
        <f t="shared" si="167"/>
        <v>M-COM USLUGE D.O.O., TRG KREŠIMIRA ĆOSIĆA 10, 10000 ZAGREB, OIB: 85546467214</v>
      </c>
      <c r="H1817" s="7"/>
      <c r="I1817" s="8" t="s">
        <v>350</v>
      </c>
      <c r="J1817" s="8" t="s">
        <v>423</v>
      </c>
      <c r="K1817" s="6" t="str">
        <f>"34.602,00"</f>
        <v>34.602,00</v>
      </c>
      <c r="L1817" s="6" t="str">
        <f>"8.650,50"</f>
        <v>8.650,50</v>
      </c>
      <c r="M1817" s="6" t="str">
        <f>"43.252,50"</f>
        <v>43.252,50</v>
      </c>
      <c r="N1817" s="8" t="s">
        <v>240</v>
      </c>
      <c r="O1817" s="7"/>
      <c r="P1817" s="2" t="s">
        <v>6721</v>
      </c>
      <c r="Q1817" s="7"/>
      <c r="R1817" s="1"/>
      <c r="S1817" s="1" t="str">
        <f>"4-22/NOS-31/21"</f>
        <v>4-22/NOS-31/21</v>
      </c>
      <c r="T1817" s="1" t="s">
        <v>86</v>
      </c>
    </row>
    <row r="1818" spans="1:20" ht="51" x14ac:dyDescent="0.25">
      <c r="A1818" s="6">
        <v>1814</v>
      </c>
      <c r="B1818" s="1" t="str">
        <f t="shared" si="166"/>
        <v>2021-1807</v>
      </c>
      <c r="C1818" s="1" t="s">
        <v>82</v>
      </c>
      <c r="D1818" s="1" t="s">
        <v>87</v>
      </c>
      <c r="E1818" s="1" t="str">
        <f>""</f>
        <v/>
      </c>
      <c r="F1818" s="1" t="s">
        <v>28</v>
      </c>
      <c r="G1818" s="1" t="str">
        <f t="shared" si="167"/>
        <v>M-COM USLUGE D.O.O., TRG KREŠIMIRA ĆOSIĆA 10, 10000 ZAGREB, OIB: 85546467214</v>
      </c>
      <c r="H1818" s="7"/>
      <c r="I1818" s="8" t="s">
        <v>172</v>
      </c>
      <c r="J1818" s="8" t="s">
        <v>423</v>
      </c>
      <c r="K1818" s="6" t="str">
        <f>"27.570,00"</f>
        <v>27.570,00</v>
      </c>
      <c r="L1818" s="6" t="str">
        <f>"6.892,50"</f>
        <v>6.892,50</v>
      </c>
      <c r="M1818" s="6" t="str">
        <f>"34.462,50"</f>
        <v>34.462,50</v>
      </c>
      <c r="N1818" s="8" t="s">
        <v>406</v>
      </c>
      <c r="O1818" s="7"/>
      <c r="P1818" s="2" t="s">
        <v>6722</v>
      </c>
      <c r="Q1818" s="7"/>
      <c r="R1818" s="1"/>
      <c r="S1818" s="1" t="str">
        <f>"6-22/NOS-31/21"</f>
        <v>6-22/NOS-31/21</v>
      </c>
      <c r="T1818" s="1" t="s">
        <v>86</v>
      </c>
    </row>
    <row r="1819" spans="1:20" ht="51" x14ac:dyDescent="0.25">
      <c r="A1819" s="6">
        <v>1815</v>
      </c>
      <c r="B1819" s="1" t="str">
        <f t="shared" si="166"/>
        <v>2021-1807</v>
      </c>
      <c r="C1819" s="1" t="s">
        <v>82</v>
      </c>
      <c r="D1819" s="1" t="s">
        <v>87</v>
      </c>
      <c r="E1819" s="1" t="str">
        <f>""</f>
        <v/>
      </c>
      <c r="F1819" s="1" t="s">
        <v>28</v>
      </c>
      <c r="G1819" s="1" t="str">
        <f t="shared" si="167"/>
        <v>M-COM USLUGE D.O.O., TRG KREŠIMIRA ĆOSIĆA 10, 10000 ZAGREB, OIB: 85546467214</v>
      </c>
      <c r="H1819" s="7"/>
      <c r="I1819" s="8" t="s">
        <v>897</v>
      </c>
      <c r="J1819" s="8" t="s">
        <v>423</v>
      </c>
      <c r="K1819" s="6" t="str">
        <f>"15.228,50"</f>
        <v>15.228,50</v>
      </c>
      <c r="L1819" s="6" t="str">
        <f>"3.807,13"</f>
        <v>3.807,13</v>
      </c>
      <c r="M1819" s="6" t="str">
        <f>"19.035,63"</f>
        <v>19.035,63</v>
      </c>
      <c r="N1819" s="8" t="s">
        <v>406</v>
      </c>
      <c r="O1819" s="7"/>
      <c r="P1819" s="2" t="s">
        <v>6723</v>
      </c>
      <c r="Q1819" s="7"/>
      <c r="R1819" s="1"/>
      <c r="S1819" s="1" t="str">
        <f>"5-22/NOS-31/21"</f>
        <v>5-22/NOS-31/21</v>
      </c>
      <c r="T1819" s="1" t="s">
        <v>86</v>
      </c>
    </row>
    <row r="1820" spans="1:20" ht="51" x14ac:dyDescent="0.25">
      <c r="A1820" s="6">
        <v>1816</v>
      </c>
      <c r="B1820" s="1" t="str">
        <f t="shared" si="166"/>
        <v>2021-1807</v>
      </c>
      <c r="C1820" s="1" t="s">
        <v>82</v>
      </c>
      <c r="D1820" s="1" t="s">
        <v>87</v>
      </c>
      <c r="E1820" s="1" t="str">
        <f>""</f>
        <v/>
      </c>
      <c r="F1820" s="1" t="s">
        <v>28</v>
      </c>
      <c r="G1820" s="1" t="str">
        <f t="shared" si="167"/>
        <v>M-COM USLUGE D.O.O., TRG KREŠIMIRA ĆOSIĆA 10, 10000 ZAGREB, OIB: 85546467214</v>
      </c>
      <c r="H1820" s="7"/>
      <c r="I1820" s="8" t="s">
        <v>203</v>
      </c>
      <c r="J1820" s="8" t="s">
        <v>423</v>
      </c>
      <c r="K1820" s="6" t="str">
        <f>"28.118,00"</f>
        <v>28.118,00</v>
      </c>
      <c r="L1820" s="6" t="str">
        <f>"7.029,50"</f>
        <v>7.029,50</v>
      </c>
      <c r="M1820" s="6" t="str">
        <f>"35.147,50"</f>
        <v>35.147,50</v>
      </c>
      <c r="N1820" s="8" t="s">
        <v>169</v>
      </c>
      <c r="O1820" s="7"/>
      <c r="P1820" s="2" t="s">
        <v>6724</v>
      </c>
      <c r="Q1820" s="7"/>
      <c r="R1820" s="1"/>
      <c r="S1820" s="1" t="str">
        <f>"7-22/NOS-31/21"</f>
        <v>7-22/NOS-31/21</v>
      </c>
      <c r="T1820" s="1" t="s">
        <v>86</v>
      </c>
    </row>
    <row r="1821" spans="1:20" ht="51" x14ac:dyDescent="0.25">
      <c r="A1821" s="6">
        <v>1817</v>
      </c>
      <c r="B1821" s="1" t="str">
        <f t="shared" si="166"/>
        <v>2021-1807</v>
      </c>
      <c r="C1821" s="1" t="s">
        <v>82</v>
      </c>
      <c r="D1821" s="1" t="s">
        <v>87</v>
      </c>
      <c r="E1821" s="1" t="str">
        <f>""</f>
        <v/>
      </c>
      <c r="F1821" s="1" t="s">
        <v>28</v>
      </c>
      <c r="G1821" s="1" t="str">
        <f t="shared" si="167"/>
        <v>M-COM USLUGE D.O.O., TRG KREŠIMIRA ĆOSIĆA 10, 10000 ZAGREB, OIB: 85546467214</v>
      </c>
      <c r="H1821" s="7"/>
      <c r="I1821" s="8" t="s">
        <v>281</v>
      </c>
      <c r="J1821" s="8" t="s">
        <v>1148</v>
      </c>
      <c r="K1821" s="6" t="str">
        <f>"23.303,00"</f>
        <v>23.303,00</v>
      </c>
      <c r="L1821" s="6" t="str">
        <f>"5.825,75"</f>
        <v>5.825,75</v>
      </c>
      <c r="M1821" s="6" t="str">
        <f>"29.128,75"</f>
        <v>29.128,75</v>
      </c>
      <c r="N1821" s="8" t="s">
        <v>215</v>
      </c>
      <c r="O1821" s="7"/>
      <c r="P1821" s="2" t="s">
        <v>6725</v>
      </c>
      <c r="Q1821" s="7"/>
      <c r="R1821" s="1"/>
      <c r="S1821" s="1" t="str">
        <f>"9-22/NOS-31/21"</f>
        <v>9-22/NOS-31/21</v>
      </c>
      <c r="T1821" s="1" t="s">
        <v>86</v>
      </c>
    </row>
    <row r="1822" spans="1:20" ht="51" x14ac:dyDescent="0.25">
      <c r="A1822" s="6">
        <v>1818</v>
      </c>
      <c r="B1822" s="1" t="str">
        <f t="shared" si="166"/>
        <v>2021-1807</v>
      </c>
      <c r="C1822" s="1" t="s">
        <v>82</v>
      </c>
      <c r="D1822" s="1" t="s">
        <v>87</v>
      </c>
      <c r="E1822" s="1" t="str">
        <f>""</f>
        <v/>
      </c>
      <c r="F1822" s="1" t="s">
        <v>28</v>
      </c>
      <c r="G1822" s="1" t="str">
        <f t="shared" si="167"/>
        <v>M-COM USLUGE D.O.O., TRG KREŠIMIRA ĆOSIĆA 10, 10000 ZAGREB, OIB: 85546467214</v>
      </c>
      <c r="H1822" s="7"/>
      <c r="I1822" s="8" t="s">
        <v>54</v>
      </c>
      <c r="J1822" s="8" t="s">
        <v>423</v>
      </c>
      <c r="K1822" s="6" t="str">
        <f>"25.409,00"</f>
        <v>25.409,00</v>
      </c>
      <c r="L1822" s="6" t="str">
        <f>"6.352,25"</f>
        <v>6.352,25</v>
      </c>
      <c r="M1822" s="6" t="str">
        <f>"31.761,25"</f>
        <v>31.761,25</v>
      </c>
      <c r="N1822" s="8" t="s">
        <v>317</v>
      </c>
      <c r="O1822" s="7"/>
      <c r="P1822" s="2" t="s">
        <v>6726</v>
      </c>
      <c r="Q1822" s="7"/>
      <c r="R1822" s="1"/>
      <c r="S1822" s="1" t="str">
        <f>"10-22/NOS-31/21"</f>
        <v>10-22/NOS-31/21</v>
      </c>
      <c r="T1822" s="1" t="s">
        <v>86</v>
      </c>
    </row>
    <row r="1823" spans="1:20" ht="51" x14ac:dyDescent="0.25">
      <c r="A1823" s="6">
        <v>1819</v>
      </c>
      <c r="B1823" s="1" t="str">
        <f t="shared" si="166"/>
        <v>2021-1807</v>
      </c>
      <c r="C1823" s="1" t="s">
        <v>82</v>
      </c>
      <c r="D1823" s="1" t="s">
        <v>87</v>
      </c>
      <c r="E1823" s="1" t="str">
        <f>""</f>
        <v/>
      </c>
      <c r="F1823" s="1" t="s">
        <v>28</v>
      </c>
      <c r="G1823" s="1" t="str">
        <f t="shared" si="167"/>
        <v>M-COM USLUGE D.O.O., TRG KREŠIMIRA ĆOSIĆA 10, 10000 ZAGREB, OIB: 85546467214</v>
      </c>
      <c r="H1823" s="7"/>
      <c r="I1823" s="8" t="s">
        <v>409</v>
      </c>
      <c r="J1823" s="8" t="s">
        <v>423</v>
      </c>
      <c r="K1823" s="6" t="str">
        <f>"23.616,00"</f>
        <v>23.616,00</v>
      </c>
      <c r="L1823" s="6" t="str">
        <f>"5.904,00"</f>
        <v>5.904,00</v>
      </c>
      <c r="M1823" s="6" t="str">
        <f>"29.520,00"</f>
        <v>29.520,00</v>
      </c>
      <c r="N1823" s="8" t="s">
        <v>1099</v>
      </c>
      <c r="O1823" s="7"/>
      <c r="P1823" s="2" t="s">
        <v>6727</v>
      </c>
      <c r="Q1823" s="7"/>
      <c r="R1823" s="1"/>
      <c r="S1823" s="1" t="str">
        <f>"11-22/NOS-31/21"</f>
        <v>11-22/NOS-31/21</v>
      </c>
      <c r="T1823" s="1" t="s">
        <v>86</v>
      </c>
    </row>
    <row r="1824" spans="1:20" ht="51" x14ac:dyDescent="0.25">
      <c r="A1824" s="6">
        <v>1820</v>
      </c>
      <c r="B1824" s="1" t="str">
        <f t="shared" si="166"/>
        <v>2021-1807</v>
      </c>
      <c r="C1824" s="1" t="s">
        <v>82</v>
      </c>
      <c r="D1824" s="1" t="s">
        <v>87</v>
      </c>
      <c r="E1824" s="1" t="str">
        <f>""</f>
        <v/>
      </c>
      <c r="F1824" s="1" t="s">
        <v>28</v>
      </c>
      <c r="G1824" s="1" t="str">
        <f t="shared" si="167"/>
        <v>M-COM USLUGE D.O.O., TRG KREŠIMIRA ĆOSIĆA 10, 10000 ZAGREB, OIB: 85546467214</v>
      </c>
      <c r="H1824" s="7"/>
      <c r="I1824" s="8" t="s">
        <v>384</v>
      </c>
      <c r="J1824" s="8" t="s">
        <v>231</v>
      </c>
      <c r="K1824" s="6" t="str">
        <f>"29.798,75"</f>
        <v>29.798,75</v>
      </c>
      <c r="L1824" s="6" t="str">
        <f>"7.449,69"</f>
        <v>7.449,69</v>
      </c>
      <c r="M1824" s="6" t="str">
        <f>"37.248,44"</f>
        <v>37.248,44</v>
      </c>
      <c r="N1824" s="8" t="s">
        <v>170</v>
      </c>
      <c r="O1824" s="7"/>
      <c r="P1824" s="2" t="s">
        <v>6728</v>
      </c>
      <c r="Q1824" s="7"/>
      <c r="R1824" s="1"/>
      <c r="S1824" s="1" t="str">
        <f>"12-22/NOS-31/21"</f>
        <v>12-22/NOS-31/21</v>
      </c>
      <c r="T1824" s="1" t="s">
        <v>86</v>
      </c>
    </row>
    <row r="1825" spans="1:20" ht="114.75" x14ac:dyDescent="0.25">
      <c r="A1825" s="6">
        <v>1821</v>
      </c>
      <c r="B1825" s="1" t="str">
        <f>"2021-1875"</f>
        <v>2021-1875</v>
      </c>
      <c r="C1825" s="1" t="s">
        <v>1595</v>
      </c>
      <c r="D1825" s="1" t="s">
        <v>1596</v>
      </c>
      <c r="E1825" s="1" t="str">
        <f>"2021/S 0F2-0041903"</f>
        <v>2021/S 0F2-0041903</v>
      </c>
      <c r="F1825" s="1" t="s">
        <v>22</v>
      </c>
      <c r="G1825" s="1" t="str">
        <f>CONCATENATE("INDUSTROOPREMA D.O.O.,"," RIMSKI PUT 11K,"," 10360 SESVETE,"," OIB: 01291306683",CHAR(10),"",CHAR(10),"TOM SIGNAL D.O.O.,"," OGRIZOVIĆEVA 40/C,"," 10000 ZAGREB,"," OIB: 175866104")</f>
        <v>INDUSTROOPREMA D.O.O., RIMSKI PUT 11K, 10360 SESVETE, OIB: 01291306683
TOM SIGNAL D.O.O., OGRIZOVIĆEVA 40/C, 10000 ZAGREB, OIB: 175866104</v>
      </c>
      <c r="H1825" s="7"/>
      <c r="I1825" s="8" t="s">
        <v>226</v>
      </c>
      <c r="J1825" s="8" t="s">
        <v>1597</v>
      </c>
      <c r="K1825" s="6" t="str">
        <f>"700.000,00"</f>
        <v>700.000,00</v>
      </c>
      <c r="L1825" s="6" t="str">
        <f>"175.000,00"</f>
        <v>175.000,00</v>
      </c>
      <c r="M1825" s="6" t="str">
        <f>"875.000,00"</f>
        <v>875.000,00</v>
      </c>
      <c r="N1825" s="8" t="s">
        <v>124</v>
      </c>
      <c r="O1825" s="7"/>
      <c r="P1825" s="2" t="s">
        <v>5614</v>
      </c>
      <c r="Q1825" s="7"/>
      <c r="R1825" s="1"/>
      <c r="S1825" s="1" t="str">
        <f>"NOS-36/21"</f>
        <v>NOS-36/21</v>
      </c>
      <c r="T1825" s="1" t="s">
        <v>32</v>
      </c>
    </row>
    <row r="1826" spans="1:20" ht="51" x14ac:dyDescent="0.25">
      <c r="A1826" s="6">
        <v>1822</v>
      </c>
      <c r="B1826" s="1" t="str">
        <f>"2021-1875"</f>
        <v>2021-1875</v>
      </c>
      <c r="C1826" s="1" t="s">
        <v>1595</v>
      </c>
      <c r="D1826" s="1" t="s">
        <v>1598</v>
      </c>
      <c r="E1826" s="1" t="str">
        <f>""</f>
        <v/>
      </c>
      <c r="F1826" s="1" t="s">
        <v>28</v>
      </c>
      <c r="G1826" s="1" t="str">
        <f>CONCATENATE("TOM SIGNAL D.O.O.,"," OGRIZOVIĆEVA 40/C,"," 10000 ZAGREB,"," OIB: 175866104")</f>
        <v>TOM SIGNAL D.O.O., OGRIZOVIĆEVA 40/C, 10000 ZAGREB, OIB: 175866104</v>
      </c>
      <c r="H1826" s="7"/>
      <c r="I1826" s="8" t="s">
        <v>507</v>
      </c>
      <c r="J1826" s="8" t="s">
        <v>519</v>
      </c>
      <c r="K1826" s="6" t="str">
        <f>"36.683,92"</f>
        <v>36.683,92</v>
      </c>
      <c r="L1826" s="6" t="str">
        <f>"9.170,98"</f>
        <v>9.170,98</v>
      </c>
      <c r="M1826" s="6" t="str">
        <f>"45.854,90"</f>
        <v>45.854,90</v>
      </c>
      <c r="N1826" s="8" t="s">
        <v>563</v>
      </c>
      <c r="O1826" s="7"/>
      <c r="P1826" s="2" t="s">
        <v>6729</v>
      </c>
      <c r="Q1826" s="7"/>
      <c r="R1826" s="1"/>
      <c r="S1826" s="1" t="str">
        <f>"2-22/NOS-36/21"</f>
        <v>2-22/NOS-36/21</v>
      </c>
      <c r="T1826" s="1" t="s">
        <v>32</v>
      </c>
    </row>
    <row r="1827" spans="1:20" ht="216.75" x14ac:dyDescent="0.25">
      <c r="A1827" s="6">
        <v>1823</v>
      </c>
      <c r="B1827" s="1" t="str">
        <f>"2021-1912"</f>
        <v>2021-1912</v>
      </c>
      <c r="C1827" s="1" t="s">
        <v>1599</v>
      </c>
      <c r="D1827" s="1" t="s">
        <v>1600</v>
      </c>
      <c r="E1827" s="1" t="str">
        <f>"2021/S 0F2-0041287"</f>
        <v>2021/S 0F2-0041287</v>
      </c>
      <c r="F1827" s="1" t="s">
        <v>22</v>
      </c>
      <c r="G1827" s="1" t="str">
        <f>CONCATENATE("Zajednica ponuditelja",CHAR(10),"TEMPORIUM GRADNJA D.O.O.,"," LJUTOMERSKA ULICA 33A,"," 10000 ZAGREB,"," OIB: 62850482681AMB GRADNJA D.O.O. PRILAZ BARUNA FILIPOVIĆA 15,"," 10000 ZAGREB,"," OIB: 85272651470KINDER GRADNJA D.O.O. SELSKA 57,"," 10360 SESVETE,"," OIB: 71001411174GEORAD D.O.O. KORNATSKA 1,"," 10000 ZAGREB,"," OIB: 49756748234")</f>
        <v>Zajednica ponuditelja
TEMPORIUM GRADNJA D.O.O., LJUTOMERSKA ULICA 33A, 10000 ZAGREB, OIB: 62850482681AMB GRADNJA D.O.O. PRILAZ BARUNA FILIPOVIĆA 15, 10000 ZAGREB, OIB: 85272651470KINDER GRADNJA D.O.O. SELSKA 57, 10360 SESVETE, OIB: 71001411174GEORAD D.O.O. KORNATSKA 1, 10000 ZAGREB, OIB: 49756748234</v>
      </c>
      <c r="H1827" s="1" t="str">
        <f>CONCATENATE("PRODUKT BASTAL D.O.O.,"," OIB: 30410104412")</f>
        <v>PRODUKT BASTAL D.O.O., OIB: 30410104412</v>
      </c>
      <c r="I1827" s="8" t="s">
        <v>219</v>
      </c>
      <c r="J1827" s="8" t="s">
        <v>1587</v>
      </c>
      <c r="K1827" s="6" t="str">
        <f>"5.000.000,00"</f>
        <v>5.000.000,00</v>
      </c>
      <c r="L1827" s="6" t="str">
        <f>"1.250.000,00"</f>
        <v>1.250.000,00</v>
      </c>
      <c r="M1827" s="6" t="str">
        <f>"6.250.000,00"</f>
        <v>6.250.000,00</v>
      </c>
      <c r="N1827" s="8" t="s">
        <v>124</v>
      </c>
      <c r="O1827" s="7"/>
      <c r="P1827" s="2" t="s">
        <v>5614</v>
      </c>
      <c r="Q1827" s="7"/>
      <c r="R1827" s="1"/>
      <c r="S1827" s="1" t="str">
        <f>"NOS-34/21"</f>
        <v>NOS-34/21</v>
      </c>
      <c r="T1827" s="1" t="s">
        <v>55</v>
      </c>
    </row>
    <row r="1828" spans="1:20" ht="242.25" x14ac:dyDescent="0.25">
      <c r="A1828" s="6">
        <v>1824</v>
      </c>
      <c r="B1828" s="1" t="str">
        <f>"2021-1912"</f>
        <v>2021-1912</v>
      </c>
      <c r="C1828" s="1" t="s">
        <v>1599</v>
      </c>
      <c r="D1828" s="1" t="s">
        <v>1111</v>
      </c>
      <c r="E1828" s="1" t="str">
        <f>""</f>
        <v/>
      </c>
      <c r="F1828" s="1" t="s">
        <v>28</v>
      </c>
      <c r="G1828" s="1" t="str">
        <f>CONCATENATE("Zajednica ponuditelja:",CHAR(10),"TEMPORIUM GRADNJA D.O.O.,"," LJUTOMERSKA ULICA 33A,"," 10000 ZAGREB,"," OIB: 62850482681",CHAR(10),"KINDER GRADNJA D.O.O.,"," SELSKA 57,"," 10360 SESVETE,"," OIB: 71001411174",CHAR(10),"AMB GRADNJA D.O.O.,"," PRILAZ BARUNA FILIPOVIĆA 15,"," 10000 ZAGREB,"," OIB: 85272651470",CHAR(10),"GEORAD D.O.O.,"," KORNATSKA 1,"," 10000 ZAGREB,"," OIB: 49756748234")</f>
        <v>Zajednica ponuditelja:
TEMPORIUM GRADNJA D.O.O., LJUTOMERSKA ULICA 33A, 10000 ZAGREB, OIB: 62850482681
KINDER GRADNJA D.O.O., SELSKA 57, 10360 SESVETE, OIB: 71001411174
AMB GRADNJA D.O.O., PRILAZ BARUNA FILIPOVIĆA 15, 10000 ZAGREB, OIB: 85272651470
GEORAD D.O.O., KORNATSKA 1, 10000 ZAGREB, OIB: 49756748234</v>
      </c>
      <c r="H1828" s="1" t="str">
        <f>CONCATENATE("PRODUKT BASTAL D.O.O.,"," OIB: 30410104412")</f>
        <v>PRODUKT BASTAL D.O.O., OIB: 30410104412</v>
      </c>
      <c r="I1828" s="8" t="s">
        <v>405</v>
      </c>
      <c r="J1828" s="8" t="s">
        <v>231</v>
      </c>
      <c r="K1828" s="6" t="str">
        <f>"55.640,00"</f>
        <v>55.640,00</v>
      </c>
      <c r="L1828" s="6" t="str">
        <f>"0,00"</f>
        <v>0,00</v>
      </c>
      <c r="M1828" s="6" t="str">
        <f>"55.640,00"</f>
        <v>55.640,00</v>
      </c>
      <c r="N1828" s="8" t="s">
        <v>172</v>
      </c>
      <c r="O1828" s="7"/>
      <c r="P1828" s="2" t="s">
        <v>6730</v>
      </c>
      <c r="Q1828" s="7"/>
      <c r="R1828" s="1"/>
      <c r="S1828" s="1" t="str">
        <f>"1-22/NOS-34/21"</f>
        <v>1-22/NOS-34/21</v>
      </c>
      <c r="T1828" s="1" t="s">
        <v>55</v>
      </c>
    </row>
    <row r="1829" spans="1:20" ht="267.75" x14ac:dyDescent="0.25">
      <c r="A1829" s="6">
        <v>1825</v>
      </c>
      <c r="B1829" s="1" t="str">
        <f t="shared" ref="B1829:B1842" si="168">"2021-92"</f>
        <v>2021-92</v>
      </c>
      <c r="C1829" s="1" t="s">
        <v>1601</v>
      </c>
      <c r="D1829" s="1" t="s">
        <v>1322</v>
      </c>
      <c r="E1829" s="1" t="str">
        <f>"2021/S 0F2-0041877"</f>
        <v>2021/S 0F2-0041877</v>
      </c>
      <c r="F1829" s="1" t="s">
        <v>22</v>
      </c>
      <c r="G1829" s="1" t="str">
        <f>CONCATENATE("SMIT-COMMERCE D.O.O.,"," GORNJOSTUPNIČKA 9B,"," 10255 GORNJI STUPNIK,"," OIB: 95243482140",CHAR(10),"",CHAR(10),"VODOSKOK D.D.,"," ČULINEČKA CESTA 221/C,"," 10040 ZAGREB,"," OIB: 34134218058",CHAR(10),"",CHAR(10),"CONFESTIM D.O.O.,"," FRANJE WOLFA 4,"," 10000 ZAGREB,"," OIB: 08953264659",CHAR(10),"",CHAR(10),"BILAĆ COLOR D.O.O.,"," VODIĆKA 24,"," 10000 ZAGREB,"," OIB: 54294753")</f>
        <v>SMIT-COMMERCE D.O.O., GORNJOSTUPNIČKA 9B, 10255 GORNJI STUPNIK, OIB: 95243482140
VODOSKOK D.D., ČULINEČKA CESTA 221/C, 10040 ZAGREB, OIB: 34134218058
CONFESTIM D.O.O., FRANJE WOLFA 4, 10000 ZAGREB, OIB: 08953264659
BILAĆ COLOR D.O.O., VODIĆKA 24, 10000 ZAGREB, OIB: 54294753</v>
      </c>
      <c r="H1829" s="7"/>
      <c r="I1829" s="8" t="s">
        <v>804</v>
      </c>
      <c r="J1829" s="8" t="s">
        <v>1602</v>
      </c>
      <c r="K1829" s="6" t="str">
        <f>"2.010.000,00"</f>
        <v>2.010.000,00</v>
      </c>
      <c r="L1829" s="6" t="str">
        <f>"502.500,00"</f>
        <v>502.500,00</v>
      </c>
      <c r="M1829" s="6" t="str">
        <f>"2.512.500,00"</f>
        <v>2.512.500,00</v>
      </c>
      <c r="N1829" s="8" t="s">
        <v>124</v>
      </c>
      <c r="O1829" s="7"/>
      <c r="P1829" s="2" t="s">
        <v>5614</v>
      </c>
      <c r="Q1829" s="7"/>
      <c r="R1829" s="1"/>
      <c r="S1829" s="1" t="str">
        <f>"NOS-39-1/21"</f>
        <v>NOS-39-1/21</v>
      </c>
      <c r="T1829" s="1" t="s">
        <v>32</v>
      </c>
    </row>
    <row r="1830" spans="1:20" ht="51" x14ac:dyDescent="0.25">
      <c r="A1830" s="6">
        <v>1826</v>
      </c>
      <c r="B1830" s="1" t="str">
        <f t="shared" si="168"/>
        <v>2021-92</v>
      </c>
      <c r="C1830" s="1" t="s">
        <v>1601</v>
      </c>
      <c r="D1830" s="1" t="s">
        <v>1324</v>
      </c>
      <c r="E1830" s="1" t="str">
        <f>""</f>
        <v/>
      </c>
      <c r="F1830" s="1" t="s">
        <v>28</v>
      </c>
      <c r="G1830" s="1" t="str">
        <f>CONCATENATE("VODOSKOK D.D.,"," ČULINEČKA CESTA 221/C,"," 10040 ZAGREB,"," OIB: 34134218058")</f>
        <v>VODOSKOK D.D., ČULINEČKA CESTA 221/C, 10040 ZAGREB, OIB: 34134218058</v>
      </c>
      <c r="H1830" s="7"/>
      <c r="I1830" s="8" t="s">
        <v>260</v>
      </c>
      <c r="J1830" s="8" t="s">
        <v>423</v>
      </c>
      <c r="K1830" s="6" t="str">
        <f>"69.900,00"</f>
        <v>69.900,00</v>
      </c>
      <c r="L1830" s="6" t="str">
        <f>"10.425,00"</f>
        <v>10.425,00</v>
      </c>
      <c r="M1830" s="6" t="str">
        <f>"80.325,00"</f>
        <v>80.325,00</v>
      </c>
      <c r="N1830" s="8" t="s">
        <v>562</v>
      </c>
      <c r="O1830" s="7"/>
      <c r="P1830" s="2" t="s">
        <v>6731</v>
      </c>
      <c r="Q1830" s="7"/>
      <c r="R1830" s="1"/>
      <c r="S1830" s="1" t="str">
        <f>"2-22/NOS-39-1/21"</f>
        <v>2-22/NOS-39-1/21</v>
      </c>
      <c r="T1830" s="1" t="s">
        <v>32</v>
      </c>
    </row>
    <row r="1831" spans="1:20" ht="51" x14ac:dyDescent="0.25">
      <c r="A1831" s="6">
        <v>1827</v>
      </c>
      <c r="B1831" s="1" t="str">
        <f t="shared" si="168"/>
        <v>2021-92</v>
      </c>
      <c r="C1831" s="1" t="s">
        <v>1603</v>
      </c>
      <c r="D1831" s="1" t="s">
        <v>1324</v>
      </c>
      <c r="E1831" s="1" t="str">
        <f>""</f>
        <v/>
      </c>
      <c r="F1831" s="1" t="s">
        <v>28</v>
      </c>
      <c r="G1831" s="1" t="str">
        <f>CONCATENATE("VODOSKOK D.D.,"," ČULINEČKA CESTA 221/C,"," 10040 ZAGREB,"," OIB: 34134218058")</f>
        <v>VODOSKOK D.D., ČULINEČKA CESTA 221/C, 10040 ZAGREB, OIB: 34134218058</v>
      </c>
      <c r="H1831" s="7"/>
      <c r="I1831" s="8" t="s">
        <v>247</v>
      </c>
      <c r="J1831" s="8" t="s">
        <v>404</v>
      </c>
      <c r="K1831" s="6" t="str">
        <f>"48.830,00"</f>
        <v>48.830,00</v>
      </c>
      <c r="L1831" s="6" t="str">
        <f>"12.207,50"</f>
        <v>12.207,50</v>
      </c>
      <c r="M1831" s="6" t="str">
        <f>"61.037,50"</f>
        <v>61.037,50</v>
      </c>
      <c r="N1831" s="8" t="s">
        <v>898</v>
      </c>
      <c r="O1831" s="7"/>
      <c r="P1831" s="2" t="s">
        <v>6732</v>
      </c>
      <c r="Q1831" s="7"/>
      <c r="R1831" s="1"/>
      <c r="S1831" s="1" t="str">
        <f>"1-22/NOS-39-1/21"</f>
        <v>1-22/NOS-39-1/21</v>
      </c>
      <c r="T1831" s="1" t="s">
        <v>32</v>
      </c>
    </row>
    <row r="1832" spans="1:20" ht="51" x14ac:dyDescent="0.25">
      <c r="A1832" s="6">
        <v>1828</v>
      </c>
      <c r="B1832" s="1" t="str">
        <f t="shared" si="168"/>
        <v>2021-92</v>
      </c>
      <c r="C1832" s="1" t="s">
        <v>1603</v>
      </c>
      <c r="D1832" s="1" t="s">
        <v>1324</v>
      </c>
      <c r="E1832" s="1" t="str">
        <f>""</f>
        <v/>
      </c>
      <c r="F1832" s="1" t="s">
        <v>28</v>
      </c>
      <c r="G1832" s="1" t="str">
        <f>CONCATENATE("VODOSKOK D.D.,"," ČULINEČKA CESTA 221/C,"," 10040 ZAGREB,"," OIB: 34134218058")</f>
        <v>VODOSKOK D.D., ČULINEČKA CESTA 221/C, 10040 ZAGREB, OIB: 34134218058</v>
      </c>
      <c r="H1832" s="7"/>
      <c r="I1832" s="8" t="s">
        <v>238</v>
      </c>
      <c r="J1832" s="8" t="s">
        <v>905</v>
      </c>
      <c r="K1832" s="6" t="str">
        <f>"126.126,00"</f>
        <v>126.126,00</v>
      </c>
      <c r="L1832" s="6" t="str">
        <f>"31.531,50"</f>
        <v>31.531,50</v>
      </c>
      <c r="M1832" s="6" t="str">
        <f>"157.657,50"</f>
        <v>157.657,50</v>
      </c>
      <c r="N1832" s="8" t="s">
        <v>893</v>
      </c>
      <c r="O1832" s="7"/>
      <c r="P1832" s="2" t="s">
        <v>6733</v>
      </c>
      <c r="Q1832" s="1" t="s">
        <v>5599</v>
      </c>
      <c r="R1832" s="1"/>
      <c r="S1832" s="1" t="str">
        <f>"3-22/NOS-39-1/21"</f>
        <v>3-22/NOS-39-1/21</v>
      </c>
      <c r="T1832" s="1" t="s">
        <v>32</v>
      </c>
    </row>
    <row r="1833" spans="1:20" ht="76.5" x14ac:dyDescent="0.25">
      <c r="A1833" s="6">
        <v>1829</v>
      </c>
      <c r="B1833" s="1" t="str">
        <f t="shared" si="168"/>
        <v>2021-92</v>
      </c>
      <c r="C1833" s="1" t="s">
        <v>1603</v>
      </c>
      <c r="D1833" s="1" t="s">
        <v>1324</v>
      </c>
      <c r="E1833" s="1" t="str">
        <f>""</f>
        <v/>
      </c>
      <c r="F1833" s="1" t="s">
        <v>28</v>
      </c>
      <c r="G1833" s="1" t="str">
        <f>CONCATENATE("SMIT-COMMERCE D.O.O.,"," GORNJOSTUPNIČKA 9B,"," 10255 GORNJI STUPNIK,"," OIB: 9524348214")</f>
        <v>SMIT-COMMERCE D.O.O., GORNJOSTUPNIČKA 9B, 10255 GORNJI STUPNIK, OIB: 9524348214</v>
      </c>
      <c r="H1833" s="7"/>
      <c r="I1833" s="8" t="s">
        <v>522</v>
      </c>
      <c r="J1833" s="8" t="s">
        <v>407</v>
      </c>
      <c r="K1833" s="6" t="str">
        <f>"36.510,00"</f>
        <v>36.510,00</v>
      </c>
      <c r="L1833" s="6" t="str">
        <f>"9.127,50"</f>
        <v>9.127,50</v>
      </c>
      <c r="M1833" s="6" t="str">
        <f>"45.637,50"</f>
        <v>45.637,50</v>
      </c>
      <c r="N1833" s="8" t="s">
        <v>427</v>
      </c>
      <c r="O1833" s="7"/>
      <c r="P1833" s="2" t="s">
        <v>6734</v>
      </c>
      <c r="Q1833" s="7"/>
      <c r="R1833" s="1"/>
      <c r="S1833" s="1" t="str">
        <f>"4-22/NOS-39-1/21"</f>
        <v>4-22/NOS-39-1/21</v>
      </c>
      <c r="T1833" s="1" t="s">
        <v>32</v>
      </c>
    </row>
    <row r="1834" spans="1:20" ht="76.5" x14ac:dyDescent="0.25">
      <c r="A1834" s="6">
        <v>1830</v>
      </c>
      <c r="B1834" s="1" t="str">
        <f t="shared" si="168"/>
        <v>2021-92</v>
      </c>
      <c r="C1834" s="1" t="s">
        <v>1603</v>
      </c>
      <c r="D1834" s="1" t="s">
        <v>1324</v>
      </c>
      <c r="E1834" s="1" t="str">
        <f>""</f>
        <v/>
      </c>
      <c r="F1834" s="1" t="s">
        <v>28</v>
      </c>
      <c r="G1834" s="1" t="str">
        <f>CONCATENATE("SMIT-COMMERCE D.O.O.,"," GORNJOSTUPNIČKA 9B,"," 10255 GORNJI STUPNIK,"," OIB: 9524348214")</f>
        <v>SMIT-COMMERCE D.O.O., GORNJOSTUPNIČKA 9B, 10255 GORNJI STUPNIK, OIB: 9524348214</v>
      </c>
      <c r="H1834" s="7"/>
      <c r="I1834" s="8" t="s">
        <v>429</v>
      </c>
      <c r="J1834" s="8" t="s">
        <v>214</v>
      </c>
      <c r="K1834" s="6" t="str">
        <f>"164.040,00"</f>
        <v>164.040,00</v>
      </c>
      <c r="L1834" s="6" t="str">
        <f>"41.010,00"</f>
        <v>41.010,00</v>
      </c>
      <c r="M1834" s="6" t="str">
        <f>"205.050,00"</f>
        <v>205.050,00</v>
      </c>
      <c r="N1834" s="8" t="s">
        <v>399</v>
      </c>
      <c r="O1834" s="7"/>
      <c r="P1834" s="2" t="s">
        <v>6735</v>
      </c>
      <c r="Q1834" s="7"/>
      <c r="R1834" s="1"/>
      <c r="S1834" s="1" t="str">
        <f>"5-22/NOS-39-1/21"</f>
        <v>5-22/NOS-39-1/21</v>
      </c>
      <c r="T1834" s="1" t="s">
        <v>32</v>
      </c>
    </row>
    <row r="1835" spans="1:20" ht="76.5" x14ac:dyDescent="0.25">
      <c r="A1835" s="6">
        <v>1831</v>
      </c>
      <c r="B1835" s="1" t="str">
        <f t="shared" si="168"/>
        <v>2021-92</v>
      </c>
      <c r="C1835" s="1" t="s">
        <v>1603</v>
      </c>
      <c r="D1835" s="1" t="s">
        <v>1324</v>
      </c>
      <c r="E1835" s="1" t="str">
        <f>""</f>
        <v/>
      </c>
      <c r="F1835" s="1" t="s">
        <v>28</v>
      </c>
      <c r="G1835" s="1" t="str">
        <f>CONCATENATE("SMIT-COMMERCE D.O.O.,"," GORNJOSTUPNIČKA 9B,"," 10255 GORNJI STUPNIK,"," OIB: 9524348214")</f>
        <v>SMIT-COMMERCE D.O.O., GORNJOSTUPNIČKA 9B, 10255 GORNJI STUPNIK, OIB: 9524348214</v>
      </c>
      <c r="H1835" s="7"/>
      <c r="I1835" s="8" t="s">
        <v>408</v>
      </c>
      <c r="J1835" s="8" t="s">
        <v>54</v>
      </c>
      <c r="K1835" s="6" t="str">
        <f>"32.100,00"</f>
        <v>32.100,00</v>
      </c>
      <c r="L1835" s="6" t="str">
        <f>"8.025,00"</f>
        <v>8.025,00</v>
      </c>
      <c r="M1835" s="6" t="str">
        <f>"40.125,00"</f>
        <v>40.125,00</v>
      </c>
      <c r="N1835" s="8" t="s">
        <v>124</v>
      </c>
      <c r="O1835" s="7"/>
      <c r="P1835" s="2" t="s">
        <v>5614</v>
      </c>
      <c r="Q1835" s="7"/>
      <c r="R1835" s="1"/>
      <c r="S1835" s="1" t="str">
        <f>"6-22/NOS-39-1/21"</f>
        <v>6-22/NOS-39-1/21</v>
      </c>
      <c r="T1835" s="1" t="s">
        <v>32</v>
      </c>
    </row>
    <row r="1836" spans="1:20" ht="51" x14ac:dyDescent="0.25">
      <c r="A1836" s="6">
        <v>1832</v>
      </c>
      <c r="B1836" s="1" t="str">
        <f t="shared" si="168"/>
        <v>2021-92</v>
      </c>
      <c r="C1836" s="1" t="s">
        <v>1603</v>
      </c>
      <c r="D1836" s="1" t="s">
        <v>1324</v>
      </c>
      <c r="E1836" s="1" t="str">
        <f>""</f>
        <v/>
      </c>
      <c r="F1836" s="1" t="s">
        <v>28</v>
      </c>
      <c r="G1836" s="1" t="str">
        <f>CONCATENATE("CONFESTIM D.O.O.,"," FRANJE WOLFA 4,"," 10000 ZAGREB,"," OIB: 08953264659")</f>
        <v>CONFESTIM D.O.O., FRANJE WOLFA 4, 10000 ZAGREB, OIB: 08953264659</v>
      </c>
      <c r="H1836" s="7"/>
      <c r="I1836" s="8" t="s">
        <v>383</v>
      </c>
      <c r="J1836" s="8" t="s">
        <v>1400</v>
      </c>
      <c r="K1836" s="6" t="str">
        <f>"153.400,00"</f>
        <v>153.400,00</v>
      </c>
      <c r="L1836" s="6" t="str">
        <f>"38.350,00"</f>
        <v>38.350,00</v>
      </c>
      <c r="M1836" s="6" t="str">
        <f>"191.750,00"</f>
        <v>191.750,00</v>
      </c>
      <c r="N1836" s="8" t="s">
        <v>124</v>
      </c>
      <c r="O1836" s="7"/>
      <c r="P1836" s="2" t="s">
        <v>5614</v>
      </c>
      <c r="Q1836" s="7"/>
      <c r="R1836" s="1"/>
      <c r="S1836" s="1" t="str">
        <f>"10-22/NOS-39-1/21"</f>
        <v>10-22/NOS-39-1/21</v>
      </c>
      <c r="T1836" s="1" t="s">
        <v>32</v>
      </c>
    </row>
    <row r="1837" spans="1:20" ht="51" x14ac:dyDescent="0.25">
      <c r="A1837" s="6">
        <v>1833</v>
      </c>
      <c r="B1837" s="1" t="str">
        <f t="shared" si="168"/>
        <v>2021-92</v>
      </c>
      <c r="C1837" s="1" t="s">
        <v>1603</v>
      </c>
      <c r="D1837" s="1" t="s">
        <v>1324</v>
      </c>
      <c r="E1837" s="1" t="str">
        <f>""</f>
        <v/>
      </c>
      <c r="F1837" s="1" t="s">
        <v>28</v>
      </c>
      <c r="G1837" s="1" t="str">
        <f>CONCATENATE("CONFESTIM D.O.O.,"," FRANJE WOLFA 4,"," 10000 ZAGREB,"," OIB: 08953264659")</f>
        <v>CONFESTIM D.O.O., FRANJE WOLFA 4, 10000 ZAGREB, OIB: 08953264659</v>
      </c>
      <c r="H1837" s="7"/>
      <c r="I1837" s="8" t="s">
        <v>384</v>
      </c>
      <c r="J1837" s="8" t="s">
        <v>170</v>
      </c>
      <c r="K1837" s="6" t="str">
        <f>"38.500,00"</f>
        <v>38.500,00</v>
      </c>
      <c r="L1837" s="6" t="str">
        <f>"9.625,00"</f>
        <v>9.625,00</v>
      </c>
      <c r="M1837" s="6" t="str">
        <f>"48.125,00"</f>
        <v>48.125,00</v>
      </c>
      <c r="N1837" s="8" t="s">
        <v>124</v>
      </c>
      <c r="O1837" s="7"/>
      <c r="P1837" s="2" t="s">
        <v>5614</v>
      </c>
      <c r="Q1837" s="7"/>
      <c r="R1837" s="1"/>
      <c r="S1837" s="1" t="str">
        <f>"7-22/NOS-39-1/21"</f>
        <v>7-22/NOS-39-1/21</v>
      </c>
      <c r="T1837" s="1" t="s">
        <v>32</v>
      </c>
    </row>
    <row r="1838" spans="1:20" ht="51" x14ac:dyDescent="0.25">
      <c r="A1838" s="6">
        <v>1834</v>
      </c>
      <c r="B1838" s="1" t="str">
        <f t="shared" si="168"/>
        <v>2021-92</v>
      </c>
      <c r="C1838" s="1" t="s">
        <v>1603</v>
      </c>
      <c r="D1838" s="1" t="s">
        <v>1324</v>
      </c>
      <c r="E1838" s="1" t="str">
        <f>""</f>
        <v/>
      </c>
      <c r="F1838" s="1" t="s">
        <v>28</v>
      </c>
      <c r="G1838" s="1" t="str">
        <f>CONCATENATE("BILAĆ COLOR D.O.O.,"," VODIĆKA 24,"," 10000 ZAGREB,"," OIB: 54294753")</f>
        <v>BILAĆ COLOR D.O.O., VODIĆKA 24, 10000 ZAGREB, OIB: 54294753</v>
      </c>
      <c r="H1838" s="7"/>
      <c r="I1838" s="8" t="s">
        <v>170</v>
      </c>
      <c r="J1838" s="8" t="s">
        <v>1400</v>
      </c>
      <c r="K1838" s="6" t="str">
        <f>"13.475,00"</f>
        <v>13.475,00</v>
      </c>
      <c r="L1838" s="6" t="str">
        <f>"3.368,75"</f>
        <v>3.368,75</v>
      </c>
      <c r="M1838" s="6" t="str">
        <f>"16.843,75"</f>
        <v>16.843,75</v>
      </c>
      <c r="N1838" s="8" t="s">
        <v>124</v>
      </c>
      <c r="O1838" s="7"/>
      <c r="P1838" s="2" t="s">
        <v>5614</v>
      </c>
      <c r="Q1838" s="7"/>
      <c r="R1838" s="1"/>
      <c r="S1838" s="1" t="str">
        <f>"9-22/NOS-39-1/21"</f>
        <v>9-22/NOS-39-1/21</v>
      </c>
      <c r="T1838" s="1" t="s">
        <v>32</v>
      </c>
    </row>
    <row r="1839" spans="1:20" ht="204" x14ac:dyDescent="0.25">
      <c r="A1839" s="6">
        <v>1835</v>
      </c>
      <c r="B1839" s="1" t="str">
        <f t="shared" si="168"/>
        <v>2021-92</v>
      </c>
      <c r="C1839" s="1" t="s">
        <v>1604</v>
      </c>
      <c r="D1839" s="1" t="s">
        <v>1322</v>
      </c>
      <c r="E1839" s="1" t="str">
        <f>"2021/S 0F2-0041877"</f>
        <v>2021/S 0F2-0041877</v>
      </c>
      <c r="F1839" s="1" t="s">
        <v>22</v>
      </c>
      <c r="G1839" s="1" t="str">
        <f>CONCATENATE("SMIT-COMMERCE D.O.O.,"," GORNJOSTUPNIČKA 9B,"," 10255 GORNJI STUPNIK,"," OIB: 95243482140",CHAR(10),"",CHAR(10),"VODOSKOK D.D.,"," ČULINEČKA CESTA 221/C,"," 10040 ZAGREB,"," OIB: 34134218058",CHAR(10),"",CHAR(10),"CONFESTIM D.O.O.,"," FRANJE WOLFA 4,"," 10000 ZAGREB,"," OIB: 08953264659")</f>
        <v>SMIT-COMMERCE D.O.O., GORNJOSTUPNIČKA 9B, 10255 GORNJI STUPNIK, OIB: 95243482140
VODOSKOK D.D., ČULINEČKA CESTA 221/C, 10040 ZAGREB, OIB: 34134218058
CONFESTIM D.O.O., FRANJE WOLFA 4, 10000 ZAGREB, OIB: 08953264659</v>
      </c>
      <c r="H1839" s="7"/>
      <c r="I1839" s="8" t="s">
        <v>804</v>
      </c>
      <c r="J1839" s="8" t="s">
        <v>1605</v>
      </c>
      <c r="K1839" s="6" t="str">
        <f>"600.000,00"</f>
        <v>600.000,00</v>
      </c>
      <c r="L1839" s="6" t="str">
        <f>"150.000,00"</f>
        <v>150.000,00</v>
      </c>
      <c r="M1839" s="6" t="str">
        <f>"750.000,00"</f>
        <v>750.000,00</v>
      </c>
      <c r="N1839" s="8" t="s">
        <v>124</v>
      </c>
      <c r="O1839" s="7"/>
      <c r="P1839" s="2" t="s">
        <v>5614</v>
      </c>
      <c r="Q1839" s="7"/>
      <c r="R1839" s="1"/>
      <c r="S1839" s="1" t="str">
        <f>"NOS-39-2/21"</f>
        <v>NOS-39-2/21</v>
      </c>
      <c r="T1839" s="1" t="s">
        <v>32</v>
      </c>
    </row>
    <row r="1840" spans="1:20" ht="51" x14ac:dyDescent="0.25">
      <c r="A1840" s="6">
        <v>1836</v>
      </c>
      <c r="B1840" s="1" t="str">
        <f t="shared" si="168"/>
        <v>2021-92</v>
      </c>
      <c r="C1840" s="1" t="s">
        <v>1603</v>
      </c>
      <c r="D1840" s="1" t="s">
        <v>1324</v>
      </c>
      <c r="E1840" s="1" t="str">
        <f>""</f>
        <v/>
      </c>
      <c r="F1840" s="1" t="s">
        <v>28</v>
      </c>
      <c r="G1840" s="1" t="str">
        <f>CONCATENATE("VODOSKOK D.D.,"," ČULINEČKA CESTA 221/C,"," 10040 ZAGREB,"," OIB: 34134218058")</f>
        <v>VODOSKOK D.D., ČULINEČKA CESTA 221/C, 10040 ZAGREB, OIB: 34134218058</v>
      </c>
      <c r="H1840" s="7"/>
      <c r="I1840" s="8" t="s">
        <v>429</v>
      </c>
      <c r="J1840" s="8" t="s">
        <v>214</v>
      </c>
      <c r="K1840" s="6" t="str">
        <f>"5.000,00"</f>
        <v>5.000,00</v>
      </c>
      <c r="L1840" s="6" t="str">
        <f>"1.250,00"</f>
        <v>1.250,00</v>
      </c>
      <c r="M1840" s="6" t="str">
        <f>"6.250,00"</f>
        <v>6.250,00</v>
      </c>
      <c r="N1840" s="8" t="s">
        <v>625</v>
      </c>
      <c r="O1840" s="7"/>
      <c r="P1840" s="2" t="s">
        <v>6736</v>
      </c>
      <c r="Q1840" s="7"/>
      <c r="R1840" s="1"/>
      <c r="S1840" s="1" t="str">
        <f>"1-22/NOS-39-2/21"</f>
        <v>1-22/NOS-39-2/21</v>
      </c>
      <c r="T1840" s="1" t="s">
        <v>32</v>
      </c>
    </row>
    <row r="1841" spans="1:20" ht="280.5" x14ac:dyDescent="0.25">
      <c r="A1841" s="6">
        <v>1837</v>
      </c>
      <c r="B1841" s="1" t="str">
        <f t="shared" si="168"/>
        <v>2021-92</v>
      </c>
      <c r="C1841" s="1" t="s">
        <v>1606</v>
      </c>
      <c r="D1841" s="1" t="s">
        <v>1322</v>
      </c>
      <c r="E1841" s="1" t="str">
        <f>"2021/S 0F2-0041877"</f>
        <v>2021/S 0F2-0041877</v>
      </c>
      <c r="F1841" s="1" t="s">
        <v>22</v>
      </c>
      <c r="G1841" s="1" t="str">
        <f>CONCATENATE("SMIT-COMMERCE D.O.O.,"," GORNJOSTUPNIČKA 9B,"," 10255 GORNJI STUPNIK,"," OIB: 95243482140",CHAR(10),"",CHAR(10),"VODOSKOK D.D.,"," ČULINEČKA CESTA 221/C,"," 10040 ZAGREB,"," OIB: 34134218058",CHAR(10),"",CHAR(10),"AGROTUROPOLJE D.O.O.,"," VELIKOGORIČKA 43,"," 10415 NOVO ČIČE,"," OIB: 66493270332",CHAR(10),"",CHAR(10),"CONFESTIM D.O.O.,"," FRANJE WOLFA 4,"," 10000 ZAGREB,"," OIB: 08953264659")</f>
        <v>SMIT-COMMERCE D.O.O., GORNJOSTUPNIČKA 9B, 10255 GORNJI STUPNIK, OIB: 95243482140
VODOSKOK D.D., ČULINEČKA CESTA 221/C, 10040 ZAGREB, OIB: 34134218058
AGROTUROPOLJE D.O.O., VELIKOGORIČKA 43, 10415 NOVO ČIČE, OIB: 66493270332
CONFESTIM D.O.O., FRANJE WOLFA 4, 10000 ZAGREB, OIB: 08953264659</v>
      </c>
      <c r="H1841" s="7"/>
      <c r="I1841" s="8" t="s">
        <v>804</v>
      </c>
      <c r="J1841" s="8" t="s">
        <v>1602</v>
      </c>
      <c r="K1841" s="6" t="str">
        <f>"450.000,00"</f>
        <v>450.000,00</v>
      </c>
      <c r="L1841" s="6" t="str">
        <f>"112.500,00"</f>
        <v>112.500,00</v>
      </c>
      <c r="M1841" s="6" t="str">
        <f>"562.500,00"</f>
        <v>562.500,00</v>
      </c>
      <c r="N1841" s="8" t="s">
        <v>124</v>
      </c>
      <c r="O1841" s="7"/>
      <c r="P1841" s="2" t="s">
        <v>5614</v>
      </c>
      <c r="Q1841" s="7"/>
      <c r="R1841" s="1"/>
      <c r="S1841" s="1" t="str">
        <f>"NOS-39-3/21"</f>
        <v>NOS-39-3/21</v>
      </c>
      <c r="T1841" s="1" t="s">
        <v>32</v>
      </c>
    </row>
    <row r="1842" spans="1:20" ht="51" x14ac:dyDescent="0.25">
      <c r="A1842" s="6">
        <v>1838</v>
      </c>
      <c r="B1842" s="1" t="str">
        <f t="shared" si="168"/>
        <v>2021-92</v>
      </c>
      <c r="C1842" s="1" t="s">
        <v>1603</v>
      </c>
      <c r="D1842" s="1" t="s">
        <v>1324</v>
      </c>
      <c r="E1842" s="1" t="str">
        <f>""</f>
        <v/>
      </c>
      <c r="F1842" s="1" t="s">
        <v>28</v>
      </c>
      <c r="G1842" s="1" t="str">
        <f>CONCATENATE("VODOSKOK D.D.,"," ČULINEČKA CESTA 221/C,"," 10040 ZAGREB,"," OIB: 34134218058")</f>
        <v>VODOSKOK D.D., ČULINEČKA CESTA 221/C, 10040 ZAGREB, OIB: 34134218058</v>
      </c>
      <c r="H1842" s="7"/>
      <c r="I1842" s="8" t="s">
        <v>247</v>
      </c>
      <c r="J1842" s="8" t="s">
        <v>404</v>
      </c>
      <c r="K1842" s="6" t="str">
        <f>"104.850,00"</f>
        <v>104.850,00</v>
      </c>
      <c r="L1842" s="6" t="str">
        <f>"26.212,50"</f>
        <v>26.212,50</v>
      </c>
      <c r="M1842" s="6" t="str">
        <f>"131.062,50"</f>
        <v>131.062,50</v>
      </c>
      <c r="N1842" s="8" t="s">
        <v>124</v>
      </c>
      <c r="O1842" s="7"/>
      <c r="P1842" s="2" t="s">
        <v>5614</v>
      </c>
      <c r="Q1842" s="7"/>
      <c r="R1842" s="1"/>
      <c r="S1842" s="1" t="str">
        <f>"1-22/NOS-39-3/21"</f>
        <v>1-22/NOS-39-3/21</v>
      </c>
      <c r="T1842" s="1" t="s">
        <v>32</v>
      </c>
    </row>
    <row r="1843" spans="1:20" ht="408" x14ac:dyDescent="0.25">
      <c r="A1843" s="6">
        <v>1839</v>
      </c>
      <c r="B1843" s="1" t="str">
        <f t="shared" ref="B1843:B1851" si="169">"2021-1828"</f>
        <v>2021-1828</v>
      </c>
      <c r="C1843" s="1" t="s">
        <v>1607</v>
      </c>
      <c r="D1843" s="1" t="s">
        <v>45</v>
      </c>
      <c r="E1843" s="1" t="str">
        <f>"2022/S 0F2-0000710"</f>
        <v>2022/S 0F2-0000710</v>
      </c>
      <c r="F1843" s="1" t="s">
        <v>22</v>
      </c>
      <c r="G1843" s="1" t="str">
        <f t="shared" ref="G1843:G1848" si="170">CONCATENATE("Zajednica ponuditelja",CHAR(10),"CENTAR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f>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3" s="7"/>
      <c r="I1843" s="8" t="s">
        <v>242</v>
      </c>
      <c r="J1843" s="8" t="s">
        <v>1608</v>
      </c>
      <c r="K1843" s="6" t="str">
        <f>"5.150.000,00"</f>
        <v>5.150.000,00</v>
      </c>
      <c r="L1843" s="6" t="str">
        <f>"1.287.500,00"</f>
        <v>1.287.500,00</v>
      </c>
      <c r="M1843" s="6" t="str">
        <f>"6.437.500,00"</f>
        <v>6.437.500,00</v>
      </c>
      <c r="N1843" s="8" t="s">
        <v>124</v>
      </c>
      <c r="O1843" s="7"/>
      <c r="P1843" s="2" t="s">
        <v>6737</v>
      </c>
      <c r="Q1843" s="7"/>
      <c r="R1843" s="1"/>
      <c r="S1843" s="1" t="str">
        <f>"NOS-42/21"</f>
        <v>NOS-42/21</v>
      </c>
      <c r="T1843" s="1" t="s">
        <v>1609</v>
      </c>
    </row>
    <row r="1844" spans="1:20" ht="408" x14ac:dyDescent="0.25">
      <c r="A1844" s="6">
        <v>1840</v>
      </c>
      <c r="B1844" s="1" t="str">
        <f t="shared" si="169"/>
        <v>2021-1828</v>
      </c>
      <c r="C1844" s="1" t="s">
        <v>1607</v>
      </c>
      <c r="D1844" s="1" t="s">
        <v>51</v>
      </c>
      <c r="E1844" s="1" t="str">
        <f>""</f>
        <v/>
      </c>
      <c r="F1844" s="1" t="s">
        <v>28</v>
      </c>
      <c r="G1844" s="1" t="str">
        <f t="shared" si="170"/>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4" s="7"/>
      <c r="I1844" s="8" t="s">
        <v>424</v>
      </c>
      <c r="J1844" s="8" t="s">
        <v>417</v>
      </c>
      <c r="K1844" s="6" t="str">
        <f>"99.224,99"</f>
        <v>99.224,99</v>
      </c>
      <c r="L1844" s="6" t="str">
        <f>"24.806,25"</f>
        <v>24.806,25</v>
      </c>
      <c r="M1844" s="6" t="str">
        <f>"124.031,24"</f>
        <v>124.031,24</v>
      </c>
      <c r="N1844" s="8" t="s">
        <v>384</v>
      </c>
      <c r="O1844" s="7"/>
      <c r="P1844" s="2" t="s">
        <v>6738</v>
      </c>
      <c r="Q1844" s="7"/>
      <c r="R1844" s="1"/>
      <c r="S1844" s="1" t="str">
        <f>"5-22/NOS-42/21"</f>
        <v>5-22/NOS-42/21</v>
      </c>
      <c r="T1844" s="1" t="s">
        <v>32</v>
      </c>
    </row>
    <row r="1845" spans="1:20" ht="408" x14ac:dyDescent="0.25">
      <c r="A1845" s="6">
        <v>1841</v>
      </c>
      <c r="B1845" s="1" t="str">
        <f t="shared" si="169"/>
        <v>2021-1828</v>
      </c>
      <c r="C1845" s="1" t="s">
        <v>1607</v>
      </c>
      <c r="D1845" s="1" t="s">
        <v>51</v>
      </c>
      <c r="E1845" s="1" t="str">
        <f>""</f>
        <v/>
      </c>
      <c r="F1845" s="1" t="s">
        <v>28</v>
      </c>
      <c r="G1845" s="1" t="str">
        <f t="shared" si="170"/>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5" s="7"/>
      <c r="I1845" s="8" t="s">
        <v>1433</v>
      </c>
      <c r="J1845" s="8" t="s">
        <v>123</v>
      </c>
      <c r="K1845" s="6" t="str">
        <f>"432.151,23"</f>
        <v>432.151,23</v>
      </c>
      <c r="L1845" s="6" t="str">
        <f>"108.037,81"</f>
        <v>108.037,81</v>
      </c>
      <c r="M1845" s="6" t="str">
        <f>"540.189,04"</f>
        <v>540.189,04</v>
      </c>
      <c r="N1845" s="8" t="s">
        <v>124</v>
      </c>
      <c r="O1845" s="7"/>
      <c r="P1845" s="2" t="s">
        <v>6739</v>
      </c>
      <c r="Q1845" s="7"/>
      <c r="R1845" s="1"/>
      <c r="S1845" s="1" t="str">
        <f>"10-22/NOS-42/21"</f>
        <v>10-22/NOS-42/21</v>
      </c>
      <c r="T1845" s="1" t="s">
        <v>32</v>
      </c>
    </row>
    <row r="1846" spans="1:20" ht="408" x14ac:dyDescent="0.25">
      <c r="A1846" s="6">
        <v>1842</v>
      </c>
      <c r="B1846" s="1" t="str">
        <f t="shared" si="169"/>
        <v>2021-1828</v>
      </c>
      <c r="C1846" s="1" t="s">
        <v>1607</v>
      </c>
      <c r="D1846" s="1" t="s">
        <v>51</v>
      </c>
      <c r="E1846" s="1" t="str">
        <f>""</f>
        <v/>
      </c>
      <c r="F1846" s="1" t="s">
        <v>28</v>
      </c>
      <c r="G1846" s="1" t="str">
        <f t="shared" si="170"/>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6" s="7"/>
      <c r="I1846" s="8" t="s">
        <v>442</v>
      </c>
      <c r="J1846" s="8" t="s">
        <v>850</v>
      </c>
      <c r="K1846" s="6" t="str">
        <f>"18.639,55"</f>
        <v>18.639,55</v>
      </c>
      <c r="L1846" s="6" t="str">
        <f>"4.659,89"</f>
        <v>4.659,89</v>
      </c>
      <c r="M1846" s="6" t="str">
        <f>"23.299,44"</f>
        <v>23.299,44</v>
      </c>
      <c r="N1846" s="8" t="s">
        <v>124</v>
      </c>
      <c r="O1846" s="7"/>
      <c r="P1846" s="2" t="s">
        <v>5614</v>
      </c>
      <c r="Q1846" s="7"/>
      <c r="R1846" s="1"/>
      <c r="S1846" s="1" t="str">
        <f>"11-22/NOS-42/21"</f>
        <v>11-22/NOS-42/21</v>
      </c>
      <c r="T1846" s="1" t="s">
        <v>32</v>
      </c>
    </row>
    <row r="1847" spans="1:20" ht="408" x14ac:dyDescent="0.25">
      <c r="A1847" s="6">
        <v>1843</v>
      </c>
      <c r="B1847" s="1" t="str">
        <f t="shared" si="169"/>
        <v>2021-1828</v>
      </c>
      <c r="C1847" s="1" t="s">
        <v>1607</v>
      </c>
      <c r="D1847" s="1" t="s">
        <v>51</v>
      </c>
      <c r="E1847" s="1" t="str">
        <f>""</f>
        <v/>
      </c>
      <c r="F1847" s="1" t="s">
        <v>28</v>
      </c>
      <c r="G1847" s="1" t="str">
        <f t="shared" si="170"/>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7" s="7"/>
      <c r="I1847" s="8" t="s">
        <v>278</v>
      </c>
      <c r="J1847" s="8" t="s">
        <v>417</v>
      </c>
      <c r="K1847" s="6" t="str">
        <f>"367.643,12"</f>
        <v>367.643,12</v>
      </c>
      <c r="L1847" s="6" t="str">
        <f>"91.910,78"</f>
        <v>91.910,78</v>
      </c>
      <c r="M1847" s="6" t="str">
        <f>"459.553,90"</f>
        <v>459.553,90</v>
      </c>
      <c r="N1847" s="8" t="s">
        <v>124</v>
      </c>
      <c r="O1847" s="7"/>
      <c r="P1847" s="2" t="s">
        <v>6740</v>
      </c>
      <c r="Q1847" s="7"/>
      <c r="R1847" s="1"/>
      <c r="S1847" s="1" t="str">
        <f>"9-22/NOS-42/21"</f>
        <v>9-22/NOS-42/21</v>
      </c>
      <c r="T1847" s="1" t="s">
        <v>32</v>
      </c>
    </row>
    <row r="1848" spans="1:20" ht="408" x14ac:dyDescent="0.25">
      <c r="A1848" s="6">
        <v>1844</v>
      </c>
      <c r="B1848" s="1" t="str">
        <f t="shared" si="169"/>
        <v>2021-1828</v>
      </c>
      <c r="C1848" s="1" t="s">
        <v>1607</v>
      </c>
      <c r="D1848" s="1" t="s">
        <v>51</v>
      </c>
      <c r="E1848" s="1" t="str">
        <f>""</f>
        <v/>
      </c>
      <c r="F1848" s="1" t="s">
        <v>28</v>
      </c>
      <c r="G1848" s="1" t="str">
        <f t="shared" si="170"/>
        <v>Zajednica ponuditelja
CENTAR ZA VOZILA HRVATSKE D.D., CAPRAŠKA 6, 10000 ZAGREB, OIB: 73294314024AUTOMEHANIKA D.D. KOVINSKA 4, 10000 ZAGREB, OIB: 52233171260BAOTIĆ D.D. MAKSIMIRSKA CESTA 282, 10000 ZAGREB, OIB: 64453957424AUTOCENTAR AGRAM D.D. LOPAŠIĆEVA 12, 10000 ZAGREB, OIB: 03785720358EURO DAUS D.D. PUT MOSTINA 1, 21000 SPLIT, OIB: 19212513210AUTO-REMETINEC D.D. REMETINEC 5/F, 10000 ZAGREB, OIB: 12933687795AK SIGET SIGET 17, 10000 ZAGREB, OIB: 30716520726AGRAM TIS D.O.O. ULICA GRADA VUKOVARA 282, 10000 ZAGREB, OIB: 99681708224</v>
      </c>
      <c r="H1848" s="7"/>
      <c r="I1848" s="8" t="s">
        <v>426</v>
      </c>
      <c r="J1848" s="8" t="s">
        <v>961</v>
      </c>
      <c r="K1848" s="6" t="str">
        <f>"400.803,50"</f>
        <v>400.803,50</v>
      </c>
      <c r="L1848" s="6" t="str">
        <f>"100.200,88"</f>
        <v>100.200,88</v>
      </c>
      <c r="M1848" s="6" t="str">
        <f>"501.004,38"</f>
        <v>501.004,38</v>
      </c>
      <c r="N1848" s="8" t="s">
        <v>124</v>
      </c>
      <c r="O1848" s="7"/>
      <c r="P1848" s="2" t="s">
        <v>5614</v>
      </c>
      <c r="Q1848" s="7"/>
      <c r="R1848" s="1"/>
      <c r="S1848" s="1" t="str">
        <f>"6-22/NOS-42/21"</f>
        <v>6-22/NOS-42/21</v>
      </c>
      <c r="T1848" s="1" t="s">
        <v>55</v>
      </c>
    </row>
    <row r="1849" spans="1:20" ht="409.5" x14ac:dyDescent="0.25">
      <c r="A1849" s="6">
        <v>1845</v>
      </c>
      <c r="B1849" s="1" t="str">
        <f t="shared" si="169"/>
        <v>2021-1828</v>
      </c>
      <c r="C1849" s="1" t="s">
        <v>1607</v>
      </c>
      <c r="D1849" s="1" t="s">
        <v>51</v>
      </c>
      <c r="E1849" s="1" t="str">
        <f>""</f>
        <v/>
      </c>
      <c r="F1849" s="1" t="s">
        <v>28</v>
      </c>
      <c r="G1849" s="1"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1849" s="7"/>
      <c r="I1849" s="8" t="s">
        <v>425</v>
      </c>
      <c r="J1849" s="8" t="s">
        <v>231</v>
      </c>
      <c r="K1849" s="6" t="str">
        <f>"5.938,76"</f>
        <v>5.938,76</v>
      </c>
      <c r="L1849" s="6" t="str">
        <f>"0,00"</f>
        <v>0,00</v>
      </c>
      <c r="M1849" s="6" t="str">
        <f>"5.938,76"</f>
        <v>5.938,76</v>
      </c>
      <c r="N1849" s="8" t="s">
        <v>124</v>
      </c>
      <c r="O1849" s="7"/>
      <c r="P1849" s="2" t="s">
        <v>5614</v>
      </c>
      <c r="Q1849" s="7"/>
      <c r="R1849" s="1"/>
      <c r="S1849" s="1" t="str">
        <f>"7-22/NOS-42/21"</f>
        <v>7-22/NOS-42/21</v>
      </c>
      <c r="T1849" s="1" t="s">
        <v>32</v>
      </c>
    </row>
    <row r="1850" spans="1:20" ht="409.5" x14ac:dyDescent="0.25">
      <c r="A1850" s="6">
        <v>1846</v>
      </c>
      <c r="B1850" s="1" t="str">
        <f t="shared" si="169"/>
        <v>2021-1828</v>
      </c>
      <c r="C1850" s="1" t="s">
        <v>1607</v>
      </c>
      <c r="D1850" s="1" t="s">
        <v>51</v>
      </c>
      <c r="E1850" s="1" t="str">
        <f>""</f>
        <v/>
      </c>
      <c r="F1850" s="1" t="s">
        <v>28</v>
      </c>
      <c r="G1850" s="1"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1850" s="7"/>
      <c r="I1850" s="8" t="s">
        <v>388</v>
      </c>
      <c r="J1850" s="8" t="s">
        <v>1194</v>
      </c>
      <c r="K1850" s="6" t="str">
        <f>"5.754,61"</f>
        <v>5.754,61</v>
      </c>
      <c r="L1850" s="6" t="str">
        <f>"0,00"</f>
        <v>0,00</v>
      </c>
      <c r="M1850" s="6" t="str">
        <f>"5.754,61"</f>
        <v>5.754,61</v>
      </c>
      <c r="N1850" s="8" t="s">
        <v>124</v>
      </c>
      <c r="O1850" s="7"/>
      <c r="P1850" s="2" t="s">
        <v>5614</v>
      </c>
      <c r="Q1850" s="7"/>
      <c r="R1850" s="1"/>
      <c r="S1850" s="1" t="str">
        <f>"12-22/NOS-42/21"</f>
        <v>12-22/NOS-42/21</v>
      </c>
      <c r="T1850" s="1" t="s">
        <v>32</v>
      </c>
    </row>
    <row r="1851" spans="1:20" ht="409.5" x14ac:dyDescent="0.25">
      <c r="A1851" s="6">
        <v>1847</v>
      </c>
      <c r="B1851" s="1" t="str">
        <f t="shared" si="169"/>
        <v>2021-1828</v>
      </c>
      <c r="C1851" s="1" t="s">
        <v>1607</v>
      </c>
      <c r="D1851" s="1" t="s">
        <v>51</v>
      </c>
      <c r="E1851" s="1" t="str">
        <f>""</f>
        <v/>
      </c>
      <c r="F1851" s="1" t="s">
        <v>28</v>
      </c>
      <c r="G1851" s="1" t="str">
        <f>CONCATENATE("Zajednica ponuditelja:",CHAR(10),"CENTAR ZA VOZILA HRVATSKE D.D.,"," CAPRAŠKA 6,"," 10000 ZAGREB,"," OIB: 73294314024",CHAR(10),"AUTOMEHANIKA D.D.,"," KOVINSKA 4,"," 10000 ZAGREB,"," OIB: 52233171260",CHAR(10),"BAOTIĆ D.D.,"," MAKSIMIRSKA CESTA 282,"," 10000 ZAGREB,"," OIB: 64453957424",CHAR(10),"AUTOCENTAR AGRAM D.D.,"," LOPAŠIĆEVA 12,"," 10000 ZAGREB,"," OIB: 03785720358",CHAR(10),"EURO DAUS D.D.,"," PUT MOSTINA 1,"," 21000 SPLIT,"," OIB: 19212513210",CHAR(10),"AUTO-REMETINEC D.D.,"," REMETINEC 5/F,"," 10000 ZAGREB,"," OIB: 12933687795",CHAR(10),"AK SIGET,"," SIGET 17,"," 10000 ZAGREB,"," OIB: 30716520726",CHAR(10),"AGRAM TIS D.O.O.,"," ULICA GRADA VUKOVARA 282,"," 10000 ZAGREB,"," OIB: 99681708224")</f>
        <v>Zajednica ponuditelja:
CENTAR ZA VOZILA HRVATSKE D.D., CAPRAŠKA 6, 10000 ZAGREB, OIB: 73294314024
AUTOMEHANIKA D.D., KOVINSKA 4, 10000 ZAGREB, OIB: 52233171260
BAOTIĆ D.D., MAKSIMIRSKA CESTA 282, 10000 ZAGREB, OIB: 64453957424
AUTOCENTAR AGRAM D.D., LOPAŠIĆEVA 12, 10000 ZAGREB, OIB: 03785720358
EURO DAUS D.D., PUT MOSTINA 1, 21000 SPLIT, OIB: 19212513210
AUTO-REMETINEC D.D., REMETINEC 5/F, 10000 ZAGREB, OIB: 12933687795
AK SIGET, SIGET 17, 10000 ZAGREB, OIB: 30716520726
AGRAM TIS D.O.O., ULICA GRADA VUKOVARA 282, 10000 ZAGREB, OIB: 99681708224</v>
      </c>
      <c r="H1851" s="7"/>
      <c r="I1851" s="8" t="s">
        <v>121</v>
      </c>
      <c r="J1851" s="8" t="s">
        <v>241</v>
      </c>
      <c r="K1851" s="6" t="str">
        <f>"373,97"</f>
        <v>373,97</v>
      </c>
      <c r="L1851" s="6" t="str">
        <f>"0,00"</f>
        <v>0,00</v>
      </c>
      <c r="M1851" s="6" t="str">
        <f>"373,97"</f>
        <v>373,97</v>
      </c>
      <c r="N1851" s="8" t="s">
        <v>124</v>
      </c>
      <c r="O1851" s="7"/>
      <c r="P1851" s="2" t="s">
        <v>5614</v>
      </c>
      <c r="Q1851" s="7"/>
      <c r="R1851" s="1"/>
      <c r="S1851" s="1" t="str">
        <f>"13-22/NOS-42/21"</f>
        <v>13-22/NOS-42/21</v>
      </c>
      <c r="T1851" s="1" t="s">
        <v>32</v>
      </c>
    </row>
    <row r="1852" spans="1:20" ht="408" x14ac:dyDescent="0.25">
      <c r="A1852" s="6">
        <v>1848</v>
      </c>
      <c r="B1852" s="1" t="str">
        <f>"2021-1883"</f>
        <v>2021-1883</v>
      </c>
      <c r="C1852" s="1" t="s">
        <v>1610</v>
      </c>
      <c r="D1852" s="1" t="s">
        <v>702</v>
      </c>
      <c r="E1852" s="1" t="str">
        <f>"2021/S 0F2-0040143"</f>
        <v>2021/S 0F2-0040143</v>
      </c>
      <c r="F1852" s="1" t="s">
        <v>22</v>
      </c>
      <c r="G1852" s="1" t="str">
        <f>CONCATENATE("Zajednica ponuditelja",CHAR(10),"AGROPLAN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f>
        <v>Zajednica ponuditelja
AGROPLAN D.O.O., UGLJANSKA 14, 10000 ZAGREB, OIB: 13652531417TERRA PLIN D.O.O. DINARSKI PUT 1C, 10000 ZAGREB, OIB: 67127777349BOLČEVIĆ-GRADNJA D.O.O. DUGOSELSKA CESTA 56, 10361 SESVETSKI KRALJEVEC, OIB: 52098670500TEMPORIUM GRADNJA D.O.O. LJUTOMERSKA ULICA 33A, 10000 ZAGREB, OIB: 62850482681MULTIGRAD D.O.O. LUKAVEČKA 7, 10412 DONJA LOMNICA, OIB: 33615517007TEMEX D.O.O. LABINSKA 6A, 10000 ZAGREB, OIB: 89610149986KINDER OBRT ZA GRADNJU I USLUGE VL. TOMISLAV KINDER VINKA KINDERA 10, 10361 SESVETE-KRALJEVEC, OIB: 36605135183</v>
      </c>
      <c r="H1852" s="1" t="str">
        <f>CONCATENATE("GEO GRID D.O.O.,"," OIB: 4316936535")</f>
        <v>GEO GRID D.O.O., OIB: 4316936535</v>
      </c>
      <c r="I1852" s="8" t="s">
        <v>918</v>
      </c>
      <c r="J1852" s="8" t="s">
        <v>1255</v>
      </c>
      <c r="K1852" s="6" t="str">
        <f>"3.000.000,00"</f>
        <v>3.000.000,00</v>
      </c>
      <c r="L1852" s="6" t="str">
        <f>"750.000,00"</f>
        <v>750.000,00</v>
      </c>
      <c r="M1852" s="6" t="str">
        <f>"3.750.000,00"</f>
        <v>3.750.000,00</v>
      </c>
      <c r="N1852" s="8" t="s">
        <v>124</v>
      </c>
      <c r="O1852" s="7"/>
      <c r="P1852" s="2" t="s">
        <v>6741</v>
      </c>
      <c r="Q1852" s="7"/>
      <c r="R1852" s="1"/>
      <c r="S1852" s="1" t="str">
        <f>"NOS-37/21"</f>
        <v>NOS-37/21</v>
      </c>
      <c r="T1852" s="1" t="s">
        <v>452</v>
      </c>
    </row>
    <row r="1853" spans="1:20" ht="51" x14ac:dyDescent="0.25">
      <c r="A1853" s="6">
        <v>1849</v>
      </c>
      <c r="B1853" s="1" t="str">
        <f t="shared" ref="B1853:B1862" si="171">"2021-1887"</f>
        <v>2021-1887</v>
      </c>
      <c r="C1853" s="1" t="s">
        <v>583</v>
      </c>
      <c r="D1853" s="1" t="s">
        <v>78</v>
      </c>
      <c r="E1853" s="1" t="str">
        <f>" 2021/S 0F2-0044452"</f>
        <v xml:space="preserve"> 2021/S 0F2-0044452</v>
      </c>
      <c r="F1853" s="1" t="s">
        <v>22</v>
      </c>
      <c r="G1853" s="1" t="str">
        <f t="shared" ref="G1853:G1862" si="172">CONCATENATE("RIS D.O.O.,"," PILEPČIĆ 10,"," 51215 KASTAV,"," OIB: 77917801452")</f>
        <v>RIS D.O.O., PILEPČIĆ 10, 51215 KASTAV, OIB: 77917801452</v>
      </c>
      <c r="H1853" s="7"/>
      <c r="I1853" s="8" t="s">
        <v>242</v>
      </c>
      <c r="J1853" s="8" t="s">
        <v>1611</v>
      </c>
      <c r="K1853" s="6" t="str">
        <f>"3.100.000,00"</f>
        <v>3.100.000,00</v>
      </c>
      <c r="L1853" s="6" t="str">
        <f>"775.000,00"</f>
        <v>775.000,00</v>
      </c>
      <c r="M1853" s="6" t="str">
        <f>"3.875.000,00"</f>
        <v>3.875.000,00</v>
      </c>
      <c r="N1853" s="8" t="s">
        <v>124</v>
      </c>
      <c r="O1853" s="7"/>
      <c r="P1853" s="2" t="s">
        <v>5614</v>
      </c>
      <c r="Q1853" s="7"/>
      <c r="R1853" s="1"/>
      <c r="S1853" s="1" t="str">
        <f>"NOS-41/21"</f>
        <v>NOS-41/21</v>
      </c>
      <c r="T1853" s="1" t="s">
        <v>43</v>
      </c>
    </row>
    <row r="1854" spans="1:20" ht="51" x14ac:dyDescent="0.25">
      <c r="A1854" s="6">
        <v>1850</v>
      </c>
      <c r="B1854" s="1" t="str">
        <f t="shared" si="171"/>
        <v>2021-1887</v>
      </c>
      <c r="C1854" s="1" t="s">
        <v>583</v>
      </c>
      <c r="D1854" s="1" t="s">
        <v>78</v>
      </c>
      <c r="E1854" s="1" t="str">
        <f>""</f>
        <v/>
      </c>
      <c r="F1854" s="1" t="s">
        <v>28</v>
      </c>
      <c r="G1854" s="1" t="str">
        <f t="shared" si="172"/>
        <v>RIS D.O.O., PILEPČIĆ 10, 51215 KASTAV, OIB: 77917801452</v>
      </c>
      <c r="H1854" s="7"/>
      <c r="I1854" s="8" t="s">
        <v>252</v>
      </c>
      <c r="J1854" s="8" t="s">
        <v>207</v>
      </c>
      <c r="K1854" s="6" t="str">
        <f>"542.500,00"</f>
        <v>542.500,00</v>
      </c>
      <c r="L1854" s="6" t="str">
        <f>"135.625,00"</f>
        <v>135.625,00</v>
      </c>
      <c r="M1854" s="6" t="str">
        <f>"678.125,00"</f>
        <v>678.125,00</v>
      </c>
      <c r="N1854" s="8" t="s">
        <v>1612</v>
      </c>
      <c r="O1854" s="7"/>
      <c r="P1854" s="2" t="s">
        <v>6742</v>
      </c>
      <c r="Q1854" s="7"/>
      <c r="R1854" s="1"/>
      <c r="S1854" s="1" t="str">
        <f>"5-22/NOS-41/21"</f>
        <v>5-22/NOS-41/21</v>
      </c>
      <c r="T1854" s="1" t="s">
        <v>43</v>
      </c>
    </row>
    <row r="1855" spans="1:20" ht="51" x14ac:dyDescent="0.25">
      <c r="A1855" s="6">
        <v>1851</v>
      </c>
      <c r="B1855" s="1" t="str">
        <f t="shared" si="171"/>
        <v>2021-1887</v>
      </c>
      <c r="C1855" s="1" t="s">
        <v>583</v>
      </c>
      <c r="D1855" s="1" t="s">
        <v>78</v>
      </c>
      <c r="E1855" s="1" t="str">
        <f>""</f>
        <v/>
      </c>
      <c r="F1855" s="1" t="s">
        <v>28</v>
      </c>
      <c r="G1855" s="1" t="str">
        <f t="shared" si="172"/>
        <v>RIS D.O.O., PILEPČIĆ 10, 51215 KASTAV, OIB: 77917801452</v>
      </c>
      <c r="H1855" s="7"/>
      <c r="I1855" s="8" t="s">
        <v>1099</v>
      </c>
      <c r="J1855" s="8" t="s">
        <v>389</v>
      </c>
      <c r="K1855" s="6" t="str">
        <f>"651.000,00"</f>
        <v>651.000,00</v>
      </c>
      <c r="L1855" s="6" t="str">
        <f>"162.750,00"</f>
        <v>162.750,00</v>
      </c>
      <c r="M1855" s="6" t="str">
        <f>"813.750,00"</f>
        <v>813.750,00</v>
      </c>
      <c r="N1855" s="8" t="s">
        <v>124</v>
      </c>
      <c r="O1855" s="7"/>
      <c r="P1855" s="2" t="s">
        <v>5614</v>
      </c>
      <c r="Q1855" s="7"/>
      <c r="R1855" s="1"/>
      <c r="S1855" s="1" t="str">
        <f>"8-22/NOS-41/21"</f>
        <v>8-22/NOS-41/21</v>
      </c>
      <c r="T1855" s="1" t="s">
        <v>43</v>
      </c>
    </row>
    <row r="1856" spans="1:20" ht="51" x14ac:dyDescent="0.25">
      <c r="A1856" s="6">
        <v>1852</v>
      </c>
      <c r="B1856" s="1" t="str">
        <f t="shared" si="171"/>
        <v>2021-1887</v>
      </c>
      <c r="C1856" s="1" t="s">
        <v>583</v>
      </c>
      <c r="D1856" s="1" t="s">
        <v>78</v>
      </c>
      <c r="E1856" s="1" t="str">
        <f>""</f>
        <v/>
      </c>
      <c r="F1856" s="1" t="s">
        <v>28</v>
      </c>
      <c r="G1856" s="1" t="str">
        <f t="shared" si="172"/>
        <v>RIS D.O.O., PILEPČIĆ 10, 51215 KASTAV, OIB: 77917801452</v>
      </c>
      <c r="H1856" s="7"/>
      <c r="I1856" s="8" t="s">
        <v>354</v>
      </c>
      <c r="J1856" s="8" t="s">
        <v>231</v>
      </c>
      <c r="K1856" s="6" t="str">
        <f>"108.500,00"</f>
        <v>108.500,00</v>
      </c>
      <c r="L1856" s="6" t="str">
        <f>"27.125,00"</f>
        <v>27.125,00</v>
      </c>
      <c r="M1856" s="6" t="str">
        <f>"135.625,00"</f>
        <v>135.625,00</v>
      </c>
      <c r="N1856" s="8" t="s">
        <v>607</v>
      </c>
      <c r="O1856" s="7"/>
      <c r="P1856" s="2" t="s">
        <v>6743</v>
      </c>
      <c r="Q1856" s="7"/>
      <c r="R1856" s="1"/>
      <c r="S1856" s="1" t="str">
        <f>"1-22/NOS-41/21"</f>
        <v>1-22/NOS-41/21</v>
      </c>
      <c r="T1856" s="1" t="s">
        <v>43</v>
      </c>
    </row>
    <row r="1857" spans="1:20" ht="51" x14ac:dyDescent="0.25">
      <c r="A1857" s="6">
        <v>1853</v>
      </c>
      <c r="B1857" s="1" t="str">
        <f t="shared" si="171"/>
        <v>2021-1887</v>
      </c>
      <c r="C1857" s="1" t="s">
        <v>583</v>
      </c>
      <c r="D1857" s="1" t="s">
        <v>78</v>
      </c>
      <c r="E1857" s="1" t="str">
        <f>""</f>
        <v/>
      </c>
      <c r="F1857" s="1" t="s">
        <v>28</v>
      </c>
      <c r="G1857" s="1" t="str">
        <f t="shared" si="172"/>
        <v>RIS D.O.O., PILEPČIĆ 10, 51215 KASTAV, OIB: 77917801452</v>
      </c>
      <c r="H1857" s="7"/>
      <c r="I1857" s="8" t="s">
        <v>354</v>
      </c>
      <c r="J1857" s="8" t="s">
        <v>1148</v>
      </c>
      <c r="K1857" s="6" t="str">
        <f>"108.500,00"</f>
        <v>108.500,00</v>
      </c>
      <c r="L1857" s="6" t="str">
        <f>"27.125,00"</f>
        <v>27.125,00</v>
      </c>
      <c r="M1857" s="6" t="str">
        <f>"135.625,00"</f>
        <v>135.625,00</v>
      </c>
      <c r="N1857" s="8" t="s">
        <v>835</v>
      </c>
      <c r="O1857" s="7"/>
      <c r="P1857" s="2" t="s">
        <v>6743</v>
      </c>
      <c r="Q1857" s="7"/>
      <c r="R1857" s="1"/>
      <c r="S1857" s="1" t="str">
        <f>"2-22/NOS-41/21"</f>
        <v>2-22/NOS-41/21</v>
      </c>
      <c r="T1857" s="1" t="s">
        <v>43</v>
      </c>
    </row>
    <row r="1858" spans="1:20" ht="51" x14ac:dyDescent="0.25">
      <c r="A1858" s="6">
        <v>1854</v>
      </c>
      <c r="B1858" s="1" t="str">
        <f t="shared" si="171"/>
        <v>2021-1887</v>
      </c>
      <c r="C1858" s="1" t="s">
        <v>583</v>
      </c>
      <c r="D1858" s="1" t="s">
        <v>78</v>
      </c>
      <c r="E1858" s="1" t="str">
        <f>""</f>
        <v/>
      </c>
      <c r="F1858" s="1" t="s">
        <v>28</v>
      </c>
      <c r="G1858" s="1" t="str">
        <f t="shared" si="172"/>
        <v>RIS D.O.O., PILEPČIĆ 10, 51215 KASTAV, OIB: 77917801452</v>
      </c>
      <c r="H1858" s="7"/>
      <c r="I1858" s="8" t="s">
        <v>635</v>
      </c>
      <c r="J1858" s="8" t="s">
        <v>241</v>
      </c>
      <c r="K1858" s="6" t="str">
        <f>"166.320,00"</f>
        <v>166.320,00</v>
      </c>
      <c r="L1858" s="6" t="str">
        <f>"41.580,00"</f>
        <v>41.580,00</v>
      </c>
      <c r="M1858" s="6" t="str">
        <f>"207.900,00"</f>
        <v>207.900,00</v>
      </c>
      <c r="N1858" s="8" t="s">
        <v>862</v>
      </c>
      <c r="O1858" s="7"/>
      <c r="P1858" s="2" t="s">
        <v>6744</v>
      </c>
      <c r="Q1858" s="7"/>
      <c r="R1858" s="1"/>
      <c r="S1858" s="1" t="str">
        <f>"3-22/NOS-41/21"</f>
        <v>3-22/NOS-41/21</v>
      </c>
      <c r="T1858" s="1" t="s">
        <v>43</v>
      </c>
    </row>
    <row r="1859" spans="1:20" ht="51" x14ac:dyDescent="0.25">
      <c r="A1859" s="6">
        <v>1855</v>
      </c>
      <c r="B1859" s="1" t="str">
        <f t="shared" si="171"/>
        <v>2021-1887</v>
      </c>
      <c r="C1859" s="1" t="s">
        <v>583</v>
      </c>
      <c r="D1859" s="1" t="s">
        <v>78</v>
      </c>
      <c r="E1859" s="1" t="str">
        <f>""</f>
        <v/>
      </c>
      <c r="F1859" s="1" t="s">
        <v>28</v>
      </c>
      <c r="G1859" s="1" t="str">
        <f t="shared" si="172"/>
        <v>RIS D.O.O., PILEPČIĆ 10, 51215 KASTAV, OIB: 77917801452</v>
      </c>
      <c r="H1859" s="7"/>
      <c r="I1859" s="8" t="s">
        <v>487</v>
      </c>
      <c r="J1859" s="8" t="s">
        <v>231</v>
      </c>
      <c r="K1859" s="6" t="str">
        <f>"108.500,00"</f>
        <v>108.500,00</v>
      </c>
      <c r="L1859" s="6" t="str">
        <f>"27.125,00"</f>
        <v>27.125,00</v>
      </c>
      <c r="M1859" s="6" t="str">
        <f>"135.625,00"</f>
        <v>135.625,00</v>
      </c>
      <c r="N1859" s="8" t="s">
        <v>425</v>
      </c>
      <c r="O1859" s="7"/>
      <c r="P1859" s="2" t="s">
        <v>6743</v>
      </c>
      <c r="Q1859" s="7"/>
      <c r="R1859" s="1"/>
      <c r="S1859" s="1" t="str">
        <f>"4-22/NOS-41/21"</f>
        <v>4-22/NOS-41/21</v>
      </c>
      <c r="T1859" s="1" t="s">
        <v>43</v>
      </c>
    </row>
    <row r="1860" spans="1:20" ht="51" x14ac:dyDescent="0.25">
      <c r="A1860" s="6">
        <v>1856</v>
      </c>
      <c r="B1860" s="1" t="str">
        <f t="shared" si="171"/>
        <v>2021-1887</v>
      </c>
      <c r="C1860" s="1" t="s">
        <v>583</v>
      </c>
      <c r="D1860" s="1" t="s">
        <v>78</v>
      </c>
      <c r="E1860" s="1" t="str">
        <f>""</f>
        <v/>
      </c>
      <c r="F1860" s="1" t="s">
        <v>28</v>
      </c>
      <c r="G1860" s="1" t="str">
        <f t="shared" si="172"/>
        <v>RIS D.O.O., PILEPČIĆ 10, 51215 KASTAV, OIB: 77917801452</v>
      </c>
      <c r="H1860" s="7"/>
      <c r="I1860" s="8" t="s">
        <v>427</v>
      </c>
      <c r="J1860" s="8" t="s">
        <v>241</v>
      </c>
      <c r="K1860" s="6" t="str">
        <f>"136.950,00"</f>
        <v>136.950,00</v>
      </c>
      <c r="L1860" s="6" t="str">
        <f>"34.237,50"</f>
        <v>34.237,50</v>
      </c>
      <c r="M1860" s="6" t="str">
        <f>"171.187,50"</f>
        <v>171.187,50</v>
      </c>
      <c r="N1860" s="8" t="s">
        <v>524</v>
      </c>
      <c r="O1860" s="7"/>
      <c r="P1860" s="2" t="s">
        <v>6745</v>
      </c>
      <c r="Q1860" s="7"/>
      <c r="R1860" s="1"/>
      <c r="S1860" s="1" t="str">
        <f>"6-22/NOS-41/21"</f>
        <v>6-22/NOS-41/21</v>
      </c>
      <c r="T1860" s="1" t="s">
        <v>43</v>
      </c>
    </row>
    <row r="1861" spans="1:20" ht="51" x14ac:dyDescent="0.25">
      <c r="A1861" s="6">
        <v>1857</v>
      </c>
      <c r="B1861" s="1" t="str">
        <f t="shared" si="171"/>
        <v>2021-1887</v>
      </c>
      <c r="C1861" s="1" t="s">
        <v>583</v>
      </c>
      <c r="D1861" s="1" t="s">
        <v>78</v>
      </c>
      <c r="E1861" s="1" t="str">
        <f>""</f>
        <v/>
      </c>
      <c r="F1861" s="1" t="s">
        <v>28</v>
      </c>
      <c r="G1861" s="1" t="str">
        <f t="shared" si="172"/>
        <v>RIS D.O.O., PILEPČIĆ 10, 51215 KASTAV, OIB: 77917801452</v>
      </c>
      <c r="H1861" s="7"/>
      <c r="I1861" s="8" t="s">
        <v>365</v>
      </c>
      <c r="J1861" s="8" t="s">
        <v>292</v>
      </c>
      <c r="K1861" s="6" t="str">
        <f>"31.350,00"</f>
        <v>31.350,00</v>
      </c>
      <c r="L1861" s="6" t="str">
        <f>"7.837,50"</f>
        <v>7.837,50</v>
      </c>
      <c r="M1861" s="6" t="str">
        <f>"39.187,50"</f>
        <v>39.187,50</v>
      </c>
      <c r="N1861" s="8" t="s">
        <v>1157</v>
      </c>
      <c r="O1861" s="7"/>
      <c r="P1861" s="2" t="s">
        <v>6746</v>
      </c>
      <c r="Q1861" s="7"/>
      <c r="R1861" s="1"/>
      <c r="S1861" s="1" t="str">
        <f>"7-22/NOS-41/21"</f>
        <v>7-22/NOS-41/21</v>
      </c>
      <c r="T1861" s="1" t="s">
        <v>43</v>
      </c>
    </row>
    <row r="1862" spans="1:20" ht="51" x14ac:dyDescent="0.25">
      <c r="A1862" s="6">
        <v>1858</v>
      </c>
      <c r="B1862" s="1" t="str">
        <f t="shared" si="171"/>
        <v>2021-1887</v>
      </c>
      <c r="C1862" s="1" t="s">
        <v>583</v>
      </c>
      <c r="D1862" s="1" t="s">
        <v>78</v>
      </c>
      <c r="E1862" s="1" t="str">
        <f>""</f>
        <v/>
      </c>
      <c r="F1862" s="1" t="s">
        <v>28</v>
      </c>
      <c r="G1862" s="1" t="str">
        <f t="shared" si="172"/>
        <v>RIS D.O.O., PILEPČIĆ 10, 51215 KASTAV, OIB: 77917801452</v>
      </c>
      <c r="H1862" s="7"/>
      <c r="I1862" s="8" t="s">
        <v>508</v>
      </c>
      <c r="J1862" s="8" t="s">
        <v>241</v>
      </c>
      <c r="K1862" s="6" t="str">
        <f>"46.200,00"</f>
        <v>46.200,00</v>
      </c>
      <c r="L1862" s="6" t="str">
        <f>"11.550,00"</f>
        <v>11.550,00</v>
      </c>
      <c r="M1862" s="6" t="str">
        <f>"57.750,00"</f>
        <v>57.750,00</v>
      </c>
      <c r="N1862" s="8" t="s">
        <v>525</v>
      </c>
      <c r="O1862" s="7"/>
      <c r="P1862" s="2" t="s">
        <v>6747</v>
      </c>
      <c r="Q1862" s="7"/>
      <c r="R1862" s="1"/>
      <c r="S1862" s="1" t="str">
        <f>"9-22/NOS-41/21"</f>
        <v>9-22/NOS-41/21</v>
      </c>
      <c r="T1862" s="1" t="s">
        <v>43</v>
      </c>
    </row>
    <row r="1863" spans="1:20" ht="63.75" x14ac:dyDescent="0.25">
      <c r="A1863" s="6">
        <v>1859</v>
      </c>
      <c r="B1863" s="1" t="str">
        <f>"2021-1894"</f>
        <v>2021-1894</v>
      </c>
      <c r="C1863" s="1" t="s">
        <v>1613</v>
      </c>
      <c r="D1863" s="1" t="s">
        <v>74</v>
      </c>
      <c r="E1863" s="1" t="str">
        <f>" 2021/S 0F2-0045370"</f>
        <v xml:space="preserve"> 2021/S 0F2-0045370</v>
      </c>
      <c r="F1863" s="1" t="s">
        <v>22</v>
      </c>
      <c r="G1863" s="1" t="str">
        <f>CONCATENATE("INFODATA,"," VL. DRŽISLAV DLESK,"," CMP SAVICA ŠANCI 111,"," 10000 ZAGREB,"," OIB: 5950645445")</f>
        <v>INFODATA, VL. DRŽISLAV DLESK, CMP SAVICA ŠANCI 111, 10000 ZAGREB, OIB: 5950645445</v>
      </c>
      <c r="H1863" s="7"/>
      <c r="I1863" s="8" t="s">
        <v>242</v>
      </c>
      <c r="J1863" s="8" t="s">
        <v>1611</v>
      </c>
      <c r="K1863" s="6" t="str">
        <f>"800.000,00"</f>
        <v>800.000,00</v>
      </c>
      <c r="L1863" s="6" t="str">
        <f>"200.000,00"</f>
        <v>200.000,00</v>
      </c>
      <c r="M1863" s="6" t="str">
        <f>"1.000.000,00"</f>
        <v>1.000.000,00</v>
      </c>
      <c r="N1863" s="8" t="s">
        <v>124</v>
      </c>
      <c r="O1863" s="7"/>
      <c r="P1863" s="2" t="s">
        <v>5614</v>
      </c>
      <c r="Q1863" s="7"/>
      <c r="R1863" s="1"/>
      <c r="S1863" s="1" t="str">
        <f>"NOS-43/21"</f>
        <v>NOS-43/21</v>
      </c>
      <c r="T1863" s="1" t="s">
        <v>32</v>
      </c>
    </row>
    <row r="1864" spans="1:20" ht="63.75" x14ac:dyDescent="0.25">
      <c r="A1864" s="6">
        <v>1860</v>
      </c>
      <c r="B1864" s="1" t="str">
        <f>"2021-1894"</f>
        <v>2021-1894</v>
      </c>
      <c r="C1864" s="1" t="s">
        <v>1613</v>
      </c>
      <c r="D1864" s="1" t="s">
        <v>78</v>
      </c>
      <c r="E1864" s="1" t="str">
        <f>""</f>
        <v/>
      </c>
      <c r="F1864" s="1" t="s">
        <v>28</v>
      </c>
      <c r="G1864" s="1" t="str">
        <f>CONCATENATE("INFODATA,"," VL. DRŽISLAV DLESK,"," CMP SAVICA ŠANCI 111,"," 10000 ZAGREB,"," OIB: 5950645445")</f>
        <v>INFODATA, VL. DRŽISLAV DLESK, CMP SAVICA ŠANCI 111, 10000 ZAGREB, OIB: 5950645445</v>
      </c>
      <c r="H1864" s="7"/>
      <c r="I1864" s="8" t="s">
        <v>133</v>
      </c>
      <c r="J1864" s="8" t="s">
        <v>123</v>
      </c>
      <c r="K1864" s="6" t="str">
        <f>"449.800,00"</f>
        <v>449.800,00</v>
      </c>
      <c r="L1864" s="6" t="str">
        <f>"112.450,00"</f>
        <v>112.450,00</v>
      </c>
      <c r="M1864" s="6" t="str">
        <f>"562.250,00"</f>
        <v>562.250,00</v>
      </c>
      <c r="N1864" s="8" t="s">
        <v>124</v>
      </c>
      <c r="O1864" s="7"/>
      <c r="P1864" s="2" t="s">
        <v>6748</v>
      </c>
      <c r="Q1864" s="7"/>
      <c r="R1864" s="1"/>
      <c r="S1864" s="1" t="str">
        <f>"1-22/NOS-43/21"</f>
        <v>1-22/NOS-43/21</v>
      </c>
      <c r="T1864" s="1" t="s">
        <v>32</v>
      </c>
    </row>
    <row r="1865" spans="1:20" ht="153" x14ac:dyDescent="0.25">
      <c r="A1865" s="6">
        <v>1861</v>
      </c>
      <c r="B1865" s="1" t="str">
        <f t="shared" ref="B1865:B1877" si="173">"2021-1945"</f>
        <v>2021-1945</v>
      </c>
      <c r="C1865" s="1" t="s">
        <v>1614</v>
      </c>
      <c r="D1865" s="1" t="s">
        <v>515</v>
      </c>
      <c r="E1865" s="1" t="str">
        <f>"2021/S 0F2-0032504"</f>
        <v>2021/S 0F2-0032504</v>
      </c>
      <c r="F1865" s="1" t="s">
        <v>22</v>
      </c>
      <c r="G1865" s="1"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865" s="7"/>
      <c r="I1865" s="8" t="s">
        <v>499</v>
      </c>
      <c r="J1865" s="8" t="s">
        <v>1615</v>
      </c>
      <c r="K1865" s="6" t="str">
        <f>"900.000,00"</f>
        <v>900.000,00</v>
      </c>
      <c r="L1865" s="6" t="str">
        <f>"225.000,00"</f>
        <v>225.000,00</v>
      </c>
      <c r="M1865" s="6" t="str">
        <f>"1.125.000,00"</f>
        <v>1.125.000,00</v>
      </c>
      <c r="N1865" s="8" t="s">
        <v>124</v>
      </c>
      <c r="O1865" s="7"/>
      <c r="P1865" s="2" t="s">
        <v>5614</v>
      </c>
      <c r="Q1865" s="7"/>
      <c r="R1865" s="1"/>
      <c r="S1865" s="1" t="str">
        <f>"NOS-45/21"</f>
        <v>NOS-45/21</v>
      </c>
      <c r="T1865" s="1" t="s">
        <v>27</v>
      </c>
    </row>
    <row r="1866" spans="1:20" ht="153" x14ac:dyDescent="0.25">
      <c r="A1866" s="6">
        <v>1862</v>
      </c>
      <c r="B1866" s="1" t="str">
        <f t="shared" si="173"/>
        <v>2021-1945</v>
      </c>
      <c r="C1866" s="1" t="s">
        <v>1614</v>
      </c>
      <c r="D1866" s="1" t="s">
        <v>518</v>
      </c>
      <c r="E1866" s="1" t="str">
        <f>""</f>
        <v/>
      </c>
      <c r="F1866" s="1" t="s">
        <v>28</v>
      </c>
      <c r="G1866" s="1" t="str">
        <f t="shared" ref="G1866:G1877" si="174">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1866" s="7"/>
      <c r="I1866" s="8" t="s">
        <v>862</v>
      </c>
      <c r="J1866" s="8" t="s">
        <v>851</v>
      </c>
      <c r="K1866" s="6" t="str">
        <f>"5.632,20"</f>
        <v>5.632,20</v>
      </c>
      <c r="L1866" s="6" t="str">
        <f>"1.408,05"</f>
        <v>1.408,05</v>
      </c>
      <c r="M1866" s="6" t="str">
        <f>"7.040,25"</f>
        <v>7.040,25</v>
      </c>
      <c r="N1866" s="8" t="s">
        <v>81</v>
      </c>
      <c r="O1866" s="7"/>
      <c r="P1866" s="2" t="s">
        <v>6749</v>
      </c>
      <c r="Q1866" s="7"/>
      <c r="R1866" s="1"/>
      <c r="S1866" s="1" t="str">
        <f>"1-22/NOS-45/21"</f>
        <v>1-22/NOS-45/21</v>
      </c>
      <c r="T1866" s="1" t="s">
        <v>32</v>
      </c>
    </row>
    <row r="1867" spans="1:20" ht="153" x14ac:dyDescent="0.25">
      <c r="A1867" s="6">
        <v>1863</v>
      </c>
      <c r="B1867" s="1" t="str">
        <f t="shared" si="173"/>
        <v>2021-1945</v>
      </c>
      <c r="C1867" s="1" t="s">
        <v>1614</v>
      </c>
      <c r="D1867" s="1" t="s">
        <v>518</v>
      </c>
      <c r="E1867" s="1" t="str">
        <f>""</f>
        <v/>
      </c>
      <c r="F1867" s="1" t="s">
        <v>28</v>
      </c>
      <c r="G1867" s="1" t="str">
        <f t="shared" si="174"/>
        <v>Zajednica ponuditelja:
NASTAVNI ZAVOD ZA JAVNO ZDRAVSTVO DR. ANDRIJA ŠTAMPAR, MIROGOJSKA CESTA 16, 10000 ZAGREB, OIB: 33392005961
BIOINSTITUT D.O.O., IND.ZONA ISTOK, RUDOLFA STEINERA 7, 40000 ČAKOVEC, OIB: 42588898414</v>
      </c>
      <c r="H1867" s="7"/>
      <c r="I1867" s="8" t="s">
        <v>862</v>
      </c>
      <c r="J1867" s="8" t="s">
        <v>851</v>
      </c>
      <c r="K1867" s="6" t="str">
        <f>"8.035,20"</f>
        <v>8.035,20</v>
      </c>
      <c r="L1867" s="6" t="str">
        <f>"1.668,50"</f>
        <v>1.668,50</v>
      </c>
      <c r="M1867" s="6" t="str">
        <f>"9.703,70"</f>
        <v>9.703,70</v>
      </c>
      <c r="N1867" s="8" t="s">
        <v>415</v>
      </c>
      <c r="O1867" s="7"/>
      <c r="P1867" s="2" t="s">
        <v>6750</v>
      </c>
      <c r="Q1867" s="7"/>
      <c r="R1867" s="1"/>
      <c r="S1867" s="1" t="str">
        <f>"3-22/NOS-45/21"</f>
        <v>3-22/NOS-45/21</v>
      </c>
      <c r="T1867" s="1" t="s">
        <v>32</v>
      </c>
    </row>
    <row r="1868" spans="1:20" ht="153" x14ac:dyDescent="0.25">
      <c r="A1868" s="6">
        <v>1864</v>
      </c>
      <c r="B1868" s="1" t="str">
        <f t="shared" si="173"/>
        <v>2021-1945</v>
      </c>
      <c r="C1868" s="1" t="s">
        <v>1614</v>
      </c>
      <c r="D1868" s="1" t="s">
        <v>518</v>
      </c>
      <c r="E1868" s="1" t="str">
        <f>""</f>
        <v/>
      </c>
      <c r="F1868" s="1" t="s">
        <v>28</v>
      </c>
      <c r="G1868" s="1" t="str">
        <f t="shared" si="174"/>
        <v>Zajednica ponuditelja:
NASTAVNI ZAVOD ZA JAVNO ZDRAVSTVO DR. ANDRIJA ŠTAMPAR, MIROGOJSKA CESTA 16, 10000 ZAGREB, OIB: 33392005961
BIOINSTITUT D.O.O., IND.ZONA ISTOK, RUDOLFA STEINERA 7, 40000 ČAKOVEC, OIB: 42588898414</v>
      </c>
      <c r="H1868" s="7"/>
      <c r="I1868" s="8" t="s">
        <v>505</v>
      </c>
      <c r="J1868" s="8" t="s">
        <v>851</v>
      </c>
      <c r="K1868" s="6" t="str">
        <f>"39.648,00"</f>
        <v>39.648,00</v>
      </c>
      <c r="L1868" s="6" t="str">
        <f>"5.085,00"</f>
        <v>5.085,00</v>
      </c>
      <c r="M1868" s="6" t="str">
        <f>"44.733,00"</f>
        <v>44.733,00</v>
      </c>
      <c r="N1868" s="8" t="s">
        <v>415</v>
      </c>
      <c r="O1868" s="7"/>
      <c r="P1868" s="2" t="s">
        <v>6751</v>
      </c>
      <c r="Q1868" s="7"/>
      <c r="R1868" s="1"/>
      <c r="S1868" s="1" t="str">
        <f>"4-22/NOS-45/21"</f>
        <v>4-22/NOS-45/21</v>
      </c>
      <c r="T1868" s="1" t="s">
        <v>32</v>
      </c>
    </row>
    <row r="1869" spans="1:20" ht="153" x14ac:dyDescent="0.25">
      <c r="A1869" s="6">
        <v>1865</v>
      </c>
      <c r="B1869" s="1" t="str">
        <f t="shared" si="173"/>
        <v>2021-1945</v>
      </c>
      <c r="C1869" s="1" t="s">
        <v>1614</v>
      </c>
      <c r="D1869" s="1" t="s">
        <v>518</v>
      </c>
      <c r="E1869" s="1" t="str">
        <f>""</f>
        <v/>
      </c>
      <c r="F1869" s="1" t="s">
        <v>28</v>
      </c>
      <c r="G1869" s="1" t="str">
        <f t="shared" si="174"/>
        <v>Zajednica ponuditelja:
NASTAVNI ZAVOD ZA JAVNO ZDRAVSTVO DR. ANDRIJA ŠTAMPAR, MIROGOJSKA CESTA 16, 10000 ZAGREB, OIB: 33392005961
BIOINSTITUT D.O.O., IND.ZONA ISTOK, RUDOLFA STEINERA 7, 40000 ČAKOVEC, OIB: 42588898414</v>
      </c>
      <c r="H1869" s="7"/>
      <c r="I1869" s="8" t="s">
        <v>1399</v>
      </c>
      <c r="J1869" s="8" t="s">
        <v>851</v>
      </c>
      <c r="K1869" s="6" t="str">
        <f>"120.374,55"</f>
        <v>120.374,55</v>
      </c>
      <c r="L1869" s="6" t="str">
        <f>"4.290,09"</f>
        <v>4.290,09</v>
      </c>
      <c r="M1869" s="6" t="str">
        <f>"124.664,64"</f>
        <v>124.664,64</v>
      </c>
      <c r="N1869" s="8" t="s">
        <v>509</v>
      </c>
      <c r="O1869" s="7"/>
      <c r="P1869" s="2" t="s">
        <v>6752</v>
      </c>
      <c r="Q1869" s="7"/>
      <c r="R1869" s="1"/>
      <c r="S1869" s="1" t="str">
        <f>"2-22/NOS-45/21"</f>
        <v>2-22/NOS-45/21</v>
      </c>
      <c r="T1869" s="1" t="s">
        <v>55</v>
      </c>
    </row>
    <row r="1870" spans="1:20" ht="153" x14ac:dyDescent="0.25">
      <c r="A1870" s="6">
        <v>1866</v>
      </c>
      <c r="B1870" s="1" t="str">
        <f t="shared" si="173"/>
        <v>2021-1945</v>
      </c>
      <c r="C1870" s="1" t="s">
        <v>1614</v>
      </c>
      <c r="D1870" s="1" t="s">
        <v>518</v>
      </c>
      <c r="E1870" s="1" t="str">
        <f>""</f>
        <v/>
      </c>
      <c r="F1870" s="1" t="s">
        <v>28</v>
      </c>
      <c r="G1870" s="1" t="str">
        <f t="shared" si="174"/>
        <v>Zajednica ponuditelja:
NASTAVNI ZAVOD ZA JAVNO ZDRAVSTVO DR. ANDRIJA ŠTAMPAR, MIROGOJSKA CESTA 16, 10000 ZAGREB, OIB: 33392005961
BIOINSTITUT D.O.O., IND.ZONA ISTOK, RUDOLFA STEINERA 7, 40000 ČAKOVEC, OIB: 42588898414</v>
      </c>
      <c r="H1870" s="7"/>
      <c r="I1870" s="8" t="s">
        <v>507</v>
      </c>
      <c r="J1870" s="8" t="s">
        <v>851</v>
      </c>
      <c r="K1870" s="6" t="str">
        <f>"21.567,40"</f>
        <v>21.567,40</v>
      </c>
      <c r="L1870" s="6" t="str">
        <f>"2.695,93"</f>
        <v>2.695,93</v>
      </c>
      <c r="M1870" s="6" t="str">
        <f>"24.263,33"</f>
        <v>24.263,33</v>
      </c>
      <c r="N1870" s="8" t="s">
        <v>317</v>
      </c>
      <c r="O1870" s="7"/>
      <c r="P1870" s="2" t="s">
        <v>6753</v>
      </c>
      <c r="Q1870" s="7"/>
      <c r="R1870" s="1"/>
      <c r="S1870" s="1" t="str">
        <f>"5-22/NOS-45/21"</f>
        <v>5-22/NOS-45/21</v>
      </c>
      <c r="T1870" s="1" t="s">
        <v>32</v>
      </c>
    </row>
    <row r="1871" spans="1:20" ht="153" x14ac:dyDescent="0.25">
      <c r="A1871" s="6">
        <v>1867</v>
      </c>
      <c r="B1871" s="1" t="str">
        <f t="shared" si="173"/>
        <v>2021-1945</v>
      </c>
      <c r="C1871" s="1" t="s">
        <v>1614</v>
      </c>
      <c r="D1871" s="1" t="s">
        <v>518</v>
      </c>
      <c r="E1871" s="1" t="str">
        <f>""</f>
        <v/>
      </c>
      <c r="F1871" s="1" t="s">
        <v>28</v>
      </c>
      <c r="G1871" s="1" t="str">
        <f t="shared" si="174"/>
        <v>Zajednica ponuditelja:
NASTAVNI ZAVOD ZA JAVNO ZDRAVSTVO DR. ANDRIJA ŠTAMPAR, MIROGOJSKA CESTA 16, 10000 ZAGREB, OIB: 33392005961
BIOINSTITUT D.O.O., IND.ZONA ISTOK, RUDOLFA STEINERA 7, 40000 ČAKOVEC, OIB: 42588898414</v>
      </c>
      <c r="H1871" s="7"/>
      <c r="I1871" s="8" t="s">
        <v>252</v>
      </c>
      <c r="J1871" s="8" t="s">
        <v>851</v>
      </c>
      <c r="K1871" s="6" t="str">
        <f>"1.359,00"</f>
        <v>1.359,00</v>
      </c>
      <c r="L1871" s="6" t="str">
        <f>"339,75"</f>
        <v>339,75</v>
      </c>
      <c r="M1871" s="6" t="str">
        <f>"1.698,75"</f>
        <v>1.698,75</v>
      </c>
      <c r="N1871" s="8" t="s">
        <v>566</v>
      </c>
      <c r="O1871" s="7"/>
      <c r="P1871" s="2" t="s">
        <v>6754</v>
      </c>
      <c r="Q1871" s="7"/>
      <c r="R1871" s="1"/>
      <c r="S1871" s="1" t="str">
        <f>"6-22/NOS-45/21"</f>
        <v>6-22/NOS-45/21</v>
      </c>
      <c r="T1871" s="1" t="s">
        <v>32</v>
      </c>
    </row>
    <row r="1872" spans="1:20" ht="153" x14ac:dyDescent="0.25">
      <c r="A1872" s="6">
        <v>1868</v>
      </c>
      <c r="B1872" s="1" t="str">
        <f t="shared" si="173"/>
        <v>2021-1945</v>
      </c>
      <c r="C1872" s="1" t="s">
        <v>1614</v>
      </c>
      <c r="D1872" s="1" t="s">
        <v>518</v>
      </c>
      <c r="E1872" s="1" t="str">
        <f>""</f>
        <v/>
      </c>
      <c r="F1872" s="1" t="s">
        <v>28</v>
      </c>
      <c r="G1872" s="1" t="str">
        <f t="shared" si="174"/>
        <v>Zajednica ponuditelja:
NASTAVNI ZAVOD ZA JAVNO ZDRAVSTVO DR. ANDRIJA ŠTAMPAR, MIROGOJSKA CESTA 16, 10000 ZAGREB, OIB: 33392005961
BIOINSTITUT D.O.O., IND.ZONA ISTOK, RUDOLFA STEINERA 7, 40000 ČAKOVEC, OIB: 42588898414</v>
      </c>
      <c r="H1872" s="7"/>
      <c r="I1872" s="8" t="s">
        <v>524</v>
      </c>
      <c r="J1872" s="8" t="s">
        <v>851</v>
      </c>
      <c r="K1872" s="6" t="str">
        <f>"6.733,20"</f>
        <v>6.733,20</v>
      </c>
      <c r="L1872" s="6" t="str">
        <f>"0,00"</f>
        <v>0,00</v>
      </c>
      <c r="M1872" s="6" t="str">
        <f>"6.733,20"</f>
        <v>6.733,20</v>
      </c>
      <c r="N1872" s="8" t="s">
        <v>124</v>
      </c>
      <c r="O1872" s="7"/>
      <c r="P1872" s="2" t="s">
        <v>5614</v>
      </c>
      <c r="Q1872" s="7"/>
      <c r="R1872" s="1"/>
      <c r="S1872" s="1" t="str">
        <f>"7-22/NOS-45/21"</f>
        <v>7-22/NOS-45/21</v>
      </c>
      <c r="T1872" s="1" t="s">
        <v>32</v>
      </c>
    </row>
    <row r="1873" spans="1:20" ht="153" x14ac:dyDescent="0.25">
      <c r="A1873" s="6">
        <v>1869</v>
      </c>
      <c r="B1873" s="1" t="str">
        <f t="shared" si="173"/>
        <v>2021-1945</v>
      </c>
      <c r="C1873" s="1" t="s">
        <v>1614</v>
      </c>
      <c r="D1873" s="1" t="s">
        <v>518</v>
      </c>
      <c r="E1873" s="1" t="str">
        <f>""</f>
        <v/>
      </c>
      <c r="F1873" s="1" t="s">
        <v>28</v>
      </c>
      <c r="G1873" s="1" t="str">
        <f t="shared" si="174"/>
        <v>Zajednica ponuditelja:
NASTAVNI ZAVOD ZA JAVNO ZDRAVSTVO DR. ANDRIJA ŠTAMPAR, MIROGOJSKA CESTA 16, 10000 ZAGREB, OIB: 33392005961
BIOINSTITUT D.O.O., IND.ZONA ISTOK, RUDOLFA STEINERA 7, 40000 ČAKOVEC, OIB: 42588898414</v>
      </c>
      <c r="H1873" s="7"/>
      <c r="I1873" s="8" t="s">
        <v>430</v>
      </c>
      <c r="J1873" s="8" t="s">
        <v>851</v>
      </c>
      <c r="K1873" s="6" t="str">
        <f>"5.083,00"</f>
        <v>5.083,00</v>
      </c>
      <c r="L1873" s="6" t="str">
        <f>"1.408,05"</f>
        <v>1.408,05</v>
      </c>
      <c r="M1873" s="6" t="str">
        <f>"6.491,05"</f>
        <v>6.491,05</v>
      </c>
      <c r="N1873" s="8" t="s">
        <v>146</v>
      </c>
      <c r="O1873" s="7"/>
      <c r="P1873" s="2" t="s">
        <v>6749</v>
      </c>
      <c r="Q1873" s="1" t="s">
        <v>488</v>
      </c>
      <c r="R1873" s="1"/>
      <c r="S1873" s="1" t="str">
        <f>"8-22/NOS-45/21"</f>
        <v>8-22/NOS-45/21</v>
      </c>
      <c r="T1873" s="1" t="s">
        <v>32</v>
      </c>
    </row>
    <row r="1874" spans="1:20" ht="153" x14ac:dyDescent="0.25">
      <c r="A1874" s="6">
        <v>1870</v>
      </c>
      <c r="B1874" s="1" t="str">
        <f t="shared" si="173"/>
        <v>2021-1945</v>
      </c>
      <c r="C1874" s="1" t="s">
        <v>1614</v>
      </c>
      <c r="D1874" s="1" t="s">
        <v>518</v>
      </c>
      <c r="E1874" s="1" t="str">
        <f>""</f>
        <v/>
      </c>
      <c r="F1874" s="1" t="s">
        <v>28</v>
      </c>
      <c r="G1874" s="1" t="str">
        <f t="shared" si="174"/>
        <v>Zajednica ponuditelja:
NASTAVNI ZAVOD ZA JAVNO ZDRAVSTVO DR. ANDRIJA ŠTAMPAR, MIROGOJSKA CESTA 16, 10000 ZAGREB, OIB: 33392005961
BIOINSTITUT D.O.O., IND.ZONA ISTOK, RUDOLFA STEINERA 7, 40000 ČAKOVEC, OIB: 42588898414</v>
      </c>
      <c r="H1874" s="7"/>
      <c r="I1874" s="8" t="s">
        <v>567</v>
      </c>
      <c r="J1874" s="8" t="s">
        <v>851</v>
      </c>
      <c r="K1874" s="6" t="str">
        <f>"9.963,40"</f>
        <v>9.963,40</v>
      </c>
      <c r="L1874" s="6" t="str">
        <f>"1.245,43"</f>
        <v>1.245,43</v>
      </c>
      <c r="M1874" s="6" t="str">
        <f>"11.208,83"</f>
        <v>11.208,83</v>
      </c>
      <c r="N1874" s="8" t="s">
        <v>146</v>
      </c>
      <c r="O1874" s="7"/>
      <c r="P1874" s="2" t="s">
        <v>6755</v>
      </c>
      <c r="Q1874" s="7"/>
      <c r="R1874" s="1"/>
      <c r="S1874" s="1" t="str">
        <f>"11-22/NOS-45/21"</f>
        <v>11-22/NOS-45/21</v>
      </c>
      <c r="T1874" s="1" t="s">
        <v>32</v>
      </c>
    </row>
    <row r="1875" spans="1:20" ht="153" x14ac:dyDescent="0.25">
      <c r="A1875" s="6">
        <v>1871</v>
      </c>
      <c r="B1875" s="1" t="str">
        <f t="shared" si="173"/>
        <v>2021-1945</v>
      </c>
      <c r="C1875" s="1" t="s">
        <v>1614</v>
      </c>
      <c r="D1875" s="1" t="s">
        <v>518</v>
      </c>
      <c r="E1875" s="1" t="str">
        <f>""</f>
        <v/>
      </c>
      <c r="F1875" s="1" t="s">
        <v>28</v>
      </c>
      <c r="G1875" s="1" t="str">
        <f t="shared" si="174"/>
        <v>Zajednica ponuditelja:
NASTAVNI ZAVOD ZA JAVNO ZDRAVSTVO DR. ANDRIJA ŠTAMPAR, MIROGOJSKA CESTA 16, 10000 ZAGREB, OIB: 33392005961
BIOINSTITUT D.O.O., IND.ZONA ISTOK, RUDOLFA STEINERA 7, 40000 ČAKOVEC, OIB: 42588898414</v>
      </c>
      <c r="H1875" s="7"/>
      <c r="I1875" s="8" t="s">
        <v>947</v>
      </c>
      <c r="J1875" s="8" t="s">
        <v>1188</v>
      </c>
      <c r="K1875" s="6" t="str">
        <f>"1.706,00"</f>
        <v>1.706,00</v>
      </c>
      <c r="L1875" s="6" t="str">
        <f>"0,00"</f>
        <v>0,00</v>
      </c>
      <c r="M1875" s="6" t="str">
        <f>"1.706,00"</f>
        <v>1.706,00</v>
      </c>
      <c r="N1875" s="8" t="s">
        <v>124</v>
      </c>
      <c r="O1875" s="7"/>
      <c r="P1875" s="2" t="s">
        <v>5614</v>
      </c>
      <c r="Q1875" s="7"/>
      <c r="R1875" s="1"/>
      <c r="S1875" s="1" t="str">
        <f>"9-22/NOS-45/21"</f>
        <v>9-22/NOS-45/21</v>
      </c>
      <c r="T1875" s="1" t="s">
        <v>32</v>
      </c>
    </row>
    <row r="1876" spans="1:20" ht="153" x14ac:dyDescent="0.25">
      <c r="A1876" s="6">
        <v>1872</v>
      </c>
      <c r="B1876" s="1" t="str">
        <f t="shared" si="173"/>
        <v>2021-1945</v>
      </c>
      <c r="C1876" s="1" t="s">
        <v>1614</v>
      </c>
      <c r="D1876" s="1" t="s">
        <v>518</v>
      </c>
      <c r="E1876" s="1" t="str">
        <f>""</f>
        <v/>
      </c>
      <c r="F1876" s="1" t="s">
        <v>28</v>
      </c>
      <c r="G1876" s="1" t="str">
        <f t="shared" si="174"/>
        <v>Zajednica ponuditelja:
NASTAVNI ZAVOD ZA JAVNO ZDRAVSTVO DR. ANDRIJA ŠTAMPAR, MIROGOJSKA CESTA 16, 10000 ZAGREB, OIB: 33392005961
BIOINSTITUT D.O.O., IND.ZONA ISTOK, RUDOLFA STEINERA 7, 40000 ČAKOVEC, OIB: 42588898414</v>
      </c>
      <c r="H1876" s="7"/>
      <c r="I1876" s="8" t="s">
        <v>388</v>
      </c>
      <c r="J1876" s="8" t="s">
        <v>292</v>
      </c>
      <c r="K1876" s="6" t="str">
        <f>"6.733,20"</f>
        <v>6.733,20</v>
      </c>
      <c r="L1876" s="6" t="str">
        <f>"0,00"</f>
        <v>0,00</v>
      </c>
      <c r="M1876" s="6" t="str">
        <f>"6.733,20"</f>
        <v>6.733,20</v>
      </c>
      <c r="N1876" s="8" t="s">
        <v>124</v>
      </c>
      <c r="O1876" s="7"/>
      <c r="P1876" s="2" t="s">
        <v>5614</v>
      </c>
      <c r="Q1876" s="7"/>
      <c r="R1876" s="1"/>
      <c r="S1876" s="1" t="str">
        <f>"10-22/NOS-45/21"</f>
        <v>10-22/NOS-45/21</v>
      </c>
      <c r="T1876" s="1" t="s">
        <v>32</v>
      </c>
    </row>
    <row r="1877" spans="1:20" ht="153" x14ac:dyDescent="0.25">
      <c r="A1877" s="6">
        <v>1873</v>
      </c>
      <c r="B1877" s="1" t="str">
        <f t="shared" si="173"/>
        <v>2021-1945</v>
      </c>
      <c r="C1877" s="1" t="s">
        <v>1614</v>
      </c>
      <c r="D1877" s="1" t="s">
        <v>518</v>
      </c>
      <c r="E1877" s="1" t="str">
        <f>""</f>
        <v/>
      </c>
      <c r="F1877" s="1" t="s">
        <v>28</v>
      </c>
      <c r="G1877" s="1" t="str">
        <f t="shared" si="174"/>
        <v>Zajednica ponuditelja:
NASTAVNI ZAVOD ZA JAVNO ZDRAVSTVO DR. ANDRIJA ŠTAMPAR, MIROGOJSKA CESTA 16, 10000 ZAGREB, OIB: 33392005961
BIOINSTITUT D.O.O., IND.ZONA ISTOK, RUDOLFA STEINERA 7, 40000 ČAKOVEC, OIB: 42588898414</v>
      </c>
      <c r="H1877" s="7"/>
      <c r="I1877" s="8" t="s">
        <v>399</v>
      </c>
      <c r="J1877" s="8" t="s">
        <v>851</v>
      </c>
      <c r="K1877" s="6" t="str">
        <f>"3.613,50"</f>
        <v>3.613,50</v>
      </c>
      <c r="L1877" s="6" t="str">
        <f>"0,00"</f>
        <v>0,00</v>
      </c>
      <c r="M1877" s="6" t="str">
        <f>"3.613,50"</f>
        <v>3.613,50</v>
      </c>
      <c r="N1877" s="8" t="s">
        <v>124</v>
      </c>
      <c r="O1877" s="7"/>
      <c r="P1877" s="2" t="s">
        <v>5614</v>
      </c>
      <c r="Q1877" s="7"/>
      <c r="R1877" s="1"/>
      <c r="S1877" s="1" t="str">
        <f>"13-22/NOS-45/21"</f>
        <v>13-22/NOS-45/21</v>
      </c>
      <c r="T1877" s="1" t="s">
        <v>32</v>
      </c>
    </row>
    <row r="1878" spans="1:20" ht="63.75" x14ac:dyDescent="0.25">
      <c r="A1878" s="6">
        <v>1874</v>
      </c>
      <c r="B1878" s="1" t="str">
        <f>"2021-1913"</f>
        <v>2021-1913</v>
      </c>
      <c r="C1878" s="1" t="s">
        <v>1616</v>
      </c>
      <c r="D1878" s="1" t="s">
        <v>1373</v>
      </c>
      <c r="E1878" s="1" t="str">
        <f>"2022/S 0F2-0002000"</f>
        <v>2022/S 0F2-0002000</v>
      </c>
      <c r="F1878" s="1" t="s">
        <v>22</v>
      </c>
      <c r="G1878" s="1" t="str">
        <f>CONCATENATE("ZAGREL RITTMEYER D.O.O.,"," LJUDEVITA POSAVSKOG 29,"," 10360 SESVETE,"," OIB: 00100837674")</f>
        <v>ZAGREL RITTMEYER D.O.O., LJUDEVITA POSAVSKOG 29, 10360 SESVETE, OIB: 00100837674</v>
      </c>
      <c r="H1878" s="7"/>
      <c r="I1878" s="8" t="s">
        <v>273</v>
      </c>
      <c r="J1878" s="8" t="s">
        <v>1617</v>
      </c>
      <c r="K1878" s="6" t="str">
        <f>"500.000,00"</f>
        <v>500.000,00</v>
      </c>
      <c r="L1878" s="6" t="str">
        <f>"125.000,00"</f>
        <v>125.000,00</v>
      </c>
      <c r="M1878" s="6" t="str">
        <f>"625.000,00"</f>
        <v>625.000,00</v>
      </c>
      <c r="N1878" s="8" t="s">
        <v>124</v>
      </c>
      <c r="O1878" s="7"/>
      <c r="P1878" s="2" t="s">
        <v>5614</v>
      </c>
      <c r="Q1878" s="7"/>
      <c r="R1878" s="1"/>
      <c r="S1878" s="1" t="str">
        <f>"NOS-44/21"</f>
        <v>NOS-44/21</v>
      </c>
      <c r="T1878" s="1" t="s">
        <v>55</v>
      </c>
    </row>
    <row r="1879" spans="1:20" ht="63.75" x14ac:dyDescent="0.25">
      <c r="A1879" s="6">
        <v>1875</v>
      </c>
      <c r="B1879" s="1" t="str">
        <f>"2021-1913"</f>
        <v>2021-1913</v>
      </c>
      <c r="C1879" s="1" t="s">
        <v>1616</v>
      </c>
      <c r="D1879" s="1" t="s">
        <v>1373</v>
      </c>
      <c r="E1879" s="1" t="str">
        <f>""</f>
        <v/>
      </c>
      <c r="F1879" s="1" t="s">
        <v>28</v>
      </c>
      <c r="G1879" s="1" t="str">
        <f>CONCATENATE("ZAGREL RITTMEYER D.O.O.,"," LJUDEVITA POSAVSKOG 29,"," 10360 SESVETE,"," OIB: 00100837674")</f>
        <v>ZAGREL RITTMEYER D.O.O., LJUDEVITA POSAVSKOG 29, 10360 SESVETE, OIB: 00100837674</v>
      </c>
      <c r="H1879" s="7"/>
      <c r="I1879" s="8" t="s">
        <v>238</v>
      </c>
      <c r="J1879" s="8" t="s">
        <v>231</v>
      </c>
      <c r="K1879" s="6" t="str">
        <f>"63.073,00"</f>
        <v>63.073,00</v>
      </c>
      <c r="L1879" s="6" t="str">
        <f>"15.768,25"</f>
        <v>15.768,25</v>
      </c>
      <c r="M1879" s="6" t="str">
        <f>"78.841,25"</f>
        <v>78.841,25</v>
      </c>
      <c r="N1879" s="8" t="s">
        <v>506</v>
      </c>
      <c r="O1879" s="7"/>
      <c r="P1879" s="2" t="s">
        <v>6756</v>
      </c>
      <c r="Q1879" s="7"/>
      <c r="R1879" s="1"/>
      <c r="S1879" s="1" t="str">
        <f>"1-22/NOS-44/21"</f>
        <v>1-22/NOS-44/21</v>
      </c>
      <c r="T1879" s="1" t="s">
        <v>55</v>
      </c>
    </row>
    <row r="1880" spans="1:20" ht="63.75" x14ac:dyDescent="0.25">
      <c r="A1880" s="6">
        <v>1876</v>
      </c>
      <c r="B1880" s="1" t="str">
        <f>"2021-1913"</f>
        <v>2021-1913</v>
      </c>
      <c r="C1880" s="1" t="s">
        <v>1616</v>
      </c>
      <c r="D1880" s="1" t="s">
        <v>1373</v>
      </c>
      <c r="E1880" s="1" t="str">
        <f>""</f>
        <v/>
      </c>
      <c r="F1880" s="1" t="s">
        <v>28</v>
      </c>
      <c r="G1880" s="1" t="str">
        <f>CONCATENATE("ZAGREL RITTMEYER D.O.O.,"," LJUDEVITA POSAVSKOG 29,"," 10360 SESVETE,"," OIB: 00100837674")</f>
        <v>ZAGREL RITTMEYER D.O.O., LJUDEVITA POSAVSKOG 29, 10360 SESVETE, OIB: 00100837674</v>
      </c>
      <c r="H1880" s="7"/>
      <c r="I1880" s="8" t="s">
        <v>263</v>
      </c>
      <c r="J1880" s="8" t="s">
        <v>231</v>
      </c>
      <c r="K1880" s="6" t="str">
        <f>"88.603,00"</f>
        <v>88.603,00</v>
      </c>
      <c r="L1880" s="6" t="str">
        <f>"22.150,75"</f>
        <v>22.150,75</v>
      </c>
      <c r="M1880" s="6" t="str">
        <f>"110.753,75"</f>
        <v>110.753,75</v>
      </c>
      <c r="N1880" s="8" t="s">
        <v>931</v>
      </c>
      <c r="O1880" s="7"/>
      <c r="P1880" s="2" t="s">
        <v>6757</v>
      </c>
      <c r="Q1880" s="7"/>
      <c r="R1880" s="1"/>
      <c r="S1880" s="1" t="str">
        <f>"2-22/NOS-44/21"</f>
        <v>2-22/NOS-44/21</v>
      </c>
      <c r="T1880" s="1" t="s">
        <v>55</v>
      </c>
    </row>
    <row r="1881" spans="1:20" ht="63.75" x14ac:dyDescent="0.25">
      <c r="A1881" s="6">
        <v>1877</v>
      </c>
      <c r="B1881" s="1" t="str">
        <f>"2021-1913"</f>
        <v>2021-1913</v>
      </c>
      <c r="C1881" s="1" t="s">
        <v>1616</v>
      </c>
      <c r="D1881" s="1" t="s">
        <v>1373</v>
      </c>
      <c r="E1881" s="1" t="str">
        <f>""</f>
        <v/>
      </c>
      <c r="F1881" s="1" t="s">
        <v>28</v>
      </c>
      <c r="G1881" s="1" t="str">
        <f>CONCATENATE("ZAGREL RITTMEYER D.O.O.,"," LJUDEVITA POSAVSKOG 29,"," 10360 SESVETE,"," OIB: 00100837674")</f>
        <v>ZAGREL RITTMEYER D.O.O., LJUDEVITA POSAVSKOG 29, 10360 SESVETE, OIB: 00100837674</v>
      </c>
      <c r="H1881" s="7"/>
      <c r="I1881" s="8" t="s">
        <v>553</v>
      </c>
      <c r="J1881" s="8" t="s">
        <v>231</v>
      </c>
      <c r="K1881" s="6" t="str">
        <f>"62.926,00"</f>
        <v>62.926,00</v>
      </c>
      <c r="L1881" s="6" t="str">
        <f>"0,00"</f>
        <v>0,00</v>
      </c>
      <c r="M1881" s="6" t="str">
        <f>"62.926,00"</f>
        <v>62.926,00</v>
      </c>
      <c r="N1881" s="8" t="s">
        <v>124</v>
      </c>
      <c r="O1881" s="7"/>
      <c r="P1881" s="2" t="s">
        <v>5614</v>
      </c>
      <c r="Q1881" s="7"/>
      <c r="R1881" s="1"/>
      <c r="S1881" s="1" t="str">
        <f>"3-22/NOS-44/21"</f>
        <v>3-22/NOS-44/21</v>
      </c>
      <c r="T1881" s="1" t="s">
        <v>55</v>
      </c>
    </row>
    <row r="1882" spans="1:20" ht="89.25" x14ac:dyDescent="0.25">
      <c r="A1882" s="6">
        <v>1878</v>
      </c>
      <c r="B1882" s="1" t="str">
        <f t="shared" ref="B1882:B1888" si="175">"2020-2936"</f>
        <v>2020-2936</v>
      </c>
      <c r="C1882" s="1" t="s">
        <v>1618</v>
      </c>
      <c r="D1882" s="1" t="s">
        <v>1619</v>
      </c>
      <c r="E1882" s="1" t="str">
        <f>"2020/S 0F2-0046462"</f>
        <v>2020/S 0F2-0046462</v>
      </c>
      <c r="F1882" s="1" t="s">
        <v>22</v>
      </c>
      <c r="G1882" s="1" t="str">
        <f t="shared" ref="G1882:G1888" si="176">CONCATENATE("HONGOLDONIA D.O.O.,"," RUJANSKA 4,"," 10000 ZAGREB,"," OIB: 7925585026")</f>
        <v>HONGOLDONIA D.O.O., RUJANSKA 4, 10000 ZAGREB, OIB: 7925585026</v>
      </c>
      <c r="H1882" s="7"/>
      <c r="I1882" s="8" t="s">
        <v>499</v>
      </c>
      <c r="J1882" s="8" t="s">
        <v>1617</v>
      </c>
      <c r="K1882" s="6" t="str">
        <f>"2.000.000,00"</f>
        <v>2.000.000,00</v>
      </c>
      <c r="L1882" s="6" t="str">
        <f>"500.000,00"</f>
        <v>500.000,00</v>
      </c>
      <c r="M1882" s="6" t="str">
        <f>"2.500.000,00"</f>
        <v>2.500.000,00</v>
      </c>
      <c r="N1882" s="8" t="s">
        <v>124</v>
      </c>
      <c r="O1882" s="7"/>
      <c r="P1882" s="2" t="s">
        <v>5614</v>
      </c>
      <c r="Q1882" s="7"/>
      <c r="R1882" s="1"/>
      <c r="S1882" s="1" t="str">
        <f>"NOS-125-2/20"</f>
        <v>NOS-125-2/20</v>
      </c>
      <c r="T1882" s="1" t="s">
        <v>32</v>
      </c>
    </row>
    <row r="1883" spans="1:20" ht="51" x14ac:dyDescent="0.25">
      <c r="A1883" s="6">
        <v>1879</v>
      </c>
      <c r="B1883" s="1" t="str">
        <f t="shared" si="175"/>
        <v>2020-2936</v>
      </c>
      <c r="C1883" s="1" t="s">
        <v>1620</v>
      </c>
      <c r="D1883" s="1" t="s">
        <v>1621</v>
      </c>
      <c r="E1883" s="1" t="str">
        <f>""</f>
        <v/>
      </c>
      <c r="F1883" s="1" t="s">
        <v>28</v>
      </c>
      <c r="G1883" s="1" t="str">
        <f t="shared" si="176"/>
        <v>HONGOLDONIA D.O.O., RUJANSKA 4, 10000 ZAGREB, OIB: 7925585026</v>
      </c>
      <c r="H1883" s="7"/>
      <c r="I1883" s="8" t="s">
        <v>1112</v>
      </c>
      <c r="J1883" s="8" t="s">
        <v>57</v>
      </c>
      <c r="K1883" s="6" t="str">
        <f>"241.327,00"</f>
        <v>241.327,00</v>
      </c>
      <c r="L1883" s="6" t="str">
        <f>"60.331,75"</f>
        <v>60.331,75</v>
      </c>
      <c r="M1883" s="6" t="str">
        <f>"301.658,75"</f>
        <v>301.658,75</v>
      </c>
      <c r="N1883" s="8" t="s">
        <v>317</v>
      </c>
      <c r="O1883" s="7"/>
      <c r="P1883" s="2" t="s">
        <v>6758</v>
      </c>
      <c r="Q1883" s="1" t="s">
        <v>488</v>
      </c>
      <c r="R1883" s="1"/>
      <c r="S1883" s="1" t="str">
        <f>"1-22/NOS-125-2/20"</f>
        <v>1-22/NOS-125-2/20</v>
      </c>
      <c r="T1883" s="1" t="s">
        <v>32</v>
      </c>
    </row>
    <row r="1884" spans="1:20" ht="51" x14ac:dyDescent="0.25">
      <c r="A1884" s="6">
        <v>1880</v>
      </c>
      <c r="B1884" s="1" t="str">
        <f t="shared" si="175"/>
        <v>2020-2936</v>
      </c>
      <c r="C1884" s="1" t="s">
        <v>1620</v>
      </c>
      <c r="D1884" s="1" t="s">
        <v>1621</v>
      </c>
      <c r="E1884" s="1" t="str">
        <f>""</f>
        <v/>
      </c>
      <c r="F1884" s="1" t="s">
        <v>28</v>
      </c>
      <c r="G1884" s="1" t="str">
        <f t="shared" si="176"/>
        <v>HONGOLDONIA D.O.O., RUJANSKA 4, 10000 ZAGREB, OIB: 7925585026</v>
      </c>
      <c r="H1884" s="7"/>
      <c r="I1884" s="8" t="s">
        <v>852</v>
      </c>
      <c r="J1884" s="8" t="s">
        <v>240</v>
      </c>
      <c r="K1884" s="6" t="str">
        <f>"58.055,00"</f>
        <v>58.055,00</v>
      </c>
      <c r="L1884" s="6" t="str">
        <f>"14.513,75"</f>
        <v>14.513,75</v>
      </c>
      <c r="M1884" s="6" t="str">
        <f>"72.568,75"</f>
        <v>72.568,75</v>
      </c>
      <c r="N1884" s="8" t="s">
        <v>222</v>
      </c>
      <c r="O1884" s="7"/>
      <c r="P1884" s="2" t="s">
        <v>6759</v>
      </c>
      <c r="Q1884" s="7"/>
      <c r="R1884" s="1"/>
      <c r="S1884" s="1" t="str">
        <f>"2-22/NOS-125-2/20"</f>
        <v>2-22/NOS-125-2/20</v>
      </c>
      <c r="T1884" s="1" t="s">
        <v>32</v>
      </c>
    </row>
    <row r="1885" spans="1:20" ht="51" x14ac:dyDescent="0.25">
      <c r="A1885" s="6">
        <v>1881</v>
      </c>
      <c r="B1885" s="1" t="str">
        <f t="shared" si="175"/>
        <v>2020-2936</v>
      </c>
      <c r="C1885" s="1" t="s">
        <v>1620</v>
      </c>
      <c r="D1885" s="1" t="s">
        <v>1621</v>
      </c>
      <c r="E1885" s="1" t="str">
        <f>""</f>
        <v/>
      </c>
      <c r="F1885" s="1" t="s">
        <v>28</v>
      </c>
      <c r="G1885" s="1" t="str">
        <f t="shared" si="176"/>
        <v>HONGOLDONIA D.O.O., RUJANSKA 4, 10000 ZAGREB, OIB: 7925585026</v>
      </c>
      <c r="H1885" s="7"/>
      <c r="I1885" s="8" t="s">
        <v>1025</v>
      </c>
      <c r="J1885" s="8" t="s">
        <v>916</v>
      </c>
      <c r="K1885" s="6" t="str">
        <f>"121.670,00"</f>
        <v>121.670,00</v>
      </c>
      <c r="L1885" s="6" t="str">
        <f>"30.417,50"</f>
        <v>30.417,50</v>
      </c>
      <c r="M1885" s="6" t="str">
        <f>"152.087,50"</f>
        <v>152.087,50</v>
      </c>
      <c r="N1885" s="8" t="s">
        <v>222</v>
      </c>
      <c r="O1885" s="7"/>
      <c r="P1885" s="2" t="s">
        <v>6760</v>
      </c>
      <c r="Q1885" s="7"/>
      <c r="R1885" s="1"/>
      <c r="S1885" s="1" t="str">
        <f>"3-22/NOS-125-2/20"</f>
        <v>3-22/NOS-125-2/20</v>
      </c>
      <c r="T1885" s="1" t="s">
        <v>32</v>
      </c>
    </row>
    <row r="1886" spans="1:20" ht="51" x14ac:dyDescent="0.25">
      <c r="A1886" s="6">
        <v>1882</v>
      </c>
      <c r="B1886" s="1" t="str">
        <f t="shared" si="175"/>
        <v>2020-2936</v>
      </c>
      <c r="C1886" s="1" t="s">
        <v>1620</v>
      </c>
      <c r="D1886" s="1" t="s">
        <v>1621</v>
      </c>
      <c r="E1886" s="1" t="str">
        <f>""</f>
        <v/>
      </c>
      <c r="F1886" s="1" t="s">
        <v>28</v>
      </c>
      <c r="G1886" s="1" t="str">
        <f t="shared" si="176"/>
        <v>HONGOLDONIA D.O.O., RUJANSKA 4, 10000 ZAGREB, OIB: 7925585026</v>
      </c>
      <c r="H1886" s="7"/>
      <c r="I1886" s="8" t="s">
        <v>669</v>
      </c>
      <c r="J1886" s="8" t="s">
        <v>54</v>
      </c>
      <c r="K1886" s="6" t="str">
        <f>"37.269,00"</f>
        <v>37.269,00</v>
      </c>
      <c r="L1886" s="6" t="str">
        <f>"9.317,25"</f>
        <v>9.317,25</v>
      </c>
      <c r="M1886" s="6" t="str">
        <f>"46.586,25"</f>
        <v>46.586,25</v>
      </c>
      <c r="N1886" s="8" t="s">
        <v>374</v>
      </c>
      <c r="O1886" s="7"/>
      <c r="P1886" s="2" t="s">
        <v>6761</v>
      </c>
      <c r="Q1886" s="7"/>
      <c r="R1886" s="1"/>
      <c r="S1886" s="1" t="str">
        <f>"4-22/NOS-125-2/20"</f>
        <v>4-22/NOS-125-2/20</v>
      </c>
      <c r="T1886" s="1" t="s">
        <v>32</v>
      </c>
    </row>
    <row r="1887" spans="1:20" ht="51" x14ac:dyDescent="0.25">
      <c r="A1887" s="6">
        <v>1883</v>
      </c>
      <c r="B1887" s="1" t="str">
        <f t="shared" si="175"/>
        <v>2020-2936</v>
      </c>
      <c r="C1887" s="1" t="s">
        <v>1620</v>
      </c>
      <c r="D1887" s="1" t="s">
        <v>1621</v>
      </c>
      <c r="E1887" s="1" t="str">
        <f>""</f>
        <v/>
      </c>
      <c r="F1887" s="1" t="s">
        <v>28</v>
      </c>
      <c r="G1887" s="1" t="str">
        <f t="shared" si="176"/>
        <v>HONGOLDONIA D.O.O., RUJANSKA 4, 10000 ZAGREB, OIB: 7925585026</v>
      </c>
      <c r="H1887" s="7"/>
      <c r="I1887" s="8" t="s">
        <v>508</v>
      </c>
      <c r="J1887" s="8" t="s">
        <v>207</v>
      </c>
      <c r="K1887" s="6" t="str">
        <f>"22.673,00"</f>
        <v>22.673,00</v>
      </c>
      <c r="L1887" s="6" t="str">
        <f>"5.668,25"</f>
        <v>5.668,25</v>
      </c>
      <c r="M1887" s="6" t="str">
        <f>"28.341,25"</f>
        <v>28.341,25</v>
      </c>
      <c r="N1887" s="8" t="s">
        <v>509</v>
      </c>
      <c r="O1887" s="7"/>
      <c r="P1887" s="2" t="s">
        <v>6762</v>
      </c>
      <c r="Q1887" s="7"/>
      <c r="R1887" s="1"/>
      <c r="S1887" s="1" t="str">
        <f>"5-22/NOS-125-2/20"</f>
        <v>5-22/NOS-125-2/20</v>
      </c>
      <c r="T1887" s="1" t="s">
        <v>32</v>
      </c>
    </row>
    <row r="1888" spans="1:20" ht="51" x14ac:dyDescent="0.25">
      <c r="A1888" s="6">
        <v>1884</v>
      </c>
      <c r="B1888" s="1" t="str">
        <f t="shared" si="175"/>
        <v>2020-2936</v>
      </c>
      <c r="C1888" s="1" t="s">
        <v>1620</v>
      </c>
      <c r="D1888" s="1" t="s">
        <v>1621</v>
      </c>
      <c r="E1888" s="1" t="str">
        <f>""</f>
        <v/>
      </c>
      <c r="F1888" s="1" t="s">
        <v>28</v>
      </c>
      <c r="G1888" s="1" t="str">
        <f t="shared" si="176"/>
        <v>HONGOLDONIA D.O.O., RUJANSKA 4, 10000 ZAGREB, OIB: 7925585026</v>
      </c>
      <c r="H1888" s="7"/>
      <c r="I1888" s="8" t="s">
        <v>553</v>
      </c>
      <c r="J1888" s="8" t="s">
        <v>489</v>
      </c>
      <c r="K1888" s="6" t="str">
        <f>"21.549,00"</f>
        <v>21.549,00</v>
      </c>
      <c r="L1888" s="6" t="str">
        <f>"5.387,25"</f>
        <v>5.387,25</v>
      </c>
      <c r="M1888" s="6" t="str">
        <f>"26.936,25"</f>
        <v>26.936,25</v>
      </c>
      <c r="N1888" s="8" t="s">
        <v>124</v>
      </c>
      <c r="O1888" s="7"/>
      <c r="P1888" s="2" t="s">
        <v>5614</v>
      </c>
      <c r="Q1888" s="7"/>
      <c r="R1888" s="1"/>
      <c r="S1888" s="1" t="str">
        <f>"6-22/NOS-125-2/20"</f>
        <v>6-22/NOS-125-2/20</v>
      </c>
      <c r="T1888" s="1" t="s">
        <v>32</v>
      </c>
    </row>
    <row r="1889" spans="1:20" ht="102" x14ac:dyDescent="0.25">
      <c r="A1889" s="6">
        <v>1885</v>
      </c>
      <c r="B1889" s="1" t="str">
        <f t="shared" ref="B1889:B1920" si="177">"2021-1812"</f>
        <v>2021-1812</v>
      </c>
      <c r="C1889" s="1" t="s">
        <v>1622</v>
      </c>
      <c r="D1889" s="1" t="s">
        <v>1623</v>
      </c>
      <c r="E1889" s="1" t="str">
        <f>"2021/S 0F2-0040178"</f>
        <v>2021/S 0F2-0040178</v>
      </c>
      <c r="F1889" s="1" t="s">
        <v>22</v>
      </c>
      <c r="G1889" s="1" t="str">
        <f t="shared" ref="G1889:G1920" si="178">CONCATENATE("PAMAJO D.O.O.,"," VRANIČKA 7/A,"," 10000 ZAGREB,"," OIB: 46401136513")</f>
        <v>PAMAJO D.O.O., VRANIČKA 7/A, 10000 ZAGREB, OIB: 46401136513</v>
      </c>
      <c r="H1889" s="7"/>
      <c r="I1889" s="8" t="s">
        <v>401</v>
      </c>
      <c r="J1889" s="8" t="s">
        <v>1624</v>
      </c>
      <c r="K1889" s="6" t="str">
        <f>"1.150.000,00"</f>
        <v>1.150.000,00</v>
      </c>
      <c r="L1889" s="6" t="str">
        <f>"287.500,00"</f>
        <v>287.500,00</v>
      </c>
      <c r="M1889" s="6" t="str">
        <f>"1.437.500,00"</f>
        <v>1.437.500,00</v>
      </c>
      <c r="N1889" s="8" t="s">
        <v>124</v>
      </c>
      <c r="O1889" s="7"/>
      <c r="P1889" s="2" t="s">
        <v>5614</v>
      </c>
      <c r="Q1889" s="7"/>
      <c r="R1889" s="1"/>
      <c r="S1889" s="1" t="str">
        <f>"NOS-48-1/21"</f>
        <v>NOS-48-1/21</v>
      </c>
      <c r="T1889" s="1" t="s">
        <v>661</v>
      </c>
    </row>
    <row r="1890" spans="1:20" ht="51" x14ac:dyDescent="0.25">
      <c r="A1890" s="6">
        <v>1886</v>
      </c>
      <c r="B1890" s="1" t="str">
        <f t="shared" si="177"/>
        <v>2021-1812</v>
      </c>
      <c r="C1890" s="1" t="s">
        <v>1622</v>
      </c>
      <c r="D1890" s="1" t="s">
        <v>1623</v>
      </c>
      <c r="E1890" s="1" t="str">
        <f>""</f>
        <v/>
      </c>
      <c r="F1890" s="1" t="s">
        <v>28</v>
      </c>
      <c r="G1890" s="1" t="str">
        <f t="shared" si="178"/>
        <v>PAMAJO D.O.O., VRANIČKA 7/A, 10000 ZAGREB, OIB: 46401136513</v>
      </c>
      <c r="H1890" s="7"/>
      <c r="I1890" s="8" t="s">
        <v>600</v>
      </c>
      <c r="J1890" s="8" t="s">
        <v>423</v>
      </c>
      <c r="K1890" s="6" t="str">
        <f>"400,00"</f>
        <v>400,00</v>
      </c>
      <c r="L1890" s="6" t="str">
        <f>"100,00"</f>
        <v>100,00</v>
      </c>
      <c r="M1890" s="6" t="str">
        <f>"500,00"</f>
        <v>500,00</v>
      </c>
      <c r="N1890" s="8" t="s">
        <v>508</v>
      </c>
      <c r="O1890" s="7"/>
      <c r="P1890" s="2" t="s">
        <v>5789</v>
      </c>
      <c r="Q1890" s="7"/>
      <c r="R1890" s="1"/>
      <c r="S1890" s="1" t="str">
        <f>"1-22/NOS-48-1/21"</f>
        <v>1-22/NOS-48-1/21</v>
      </c>
      <c r="T1890" s="1" t="s">
        <v>32</v>
      </c>
    </row>
    <row r="1891" spans="1:20" ht="51" x14ac:dyDescent="0.25">
      <c r="A1891" s="6">
        <v>1887</v>
      </c>
      <c r="B1891" s="1" t="str">
        <f t="shared" si="177"/>
        <v>2021-1812</v>
      </c>
      <c r="C1891" s="1" t="s">
        <v>1622</v>
      </c>
      <c r="D1891" s="1" t="s">
        <v>1623</v>
      </c>
      <c r="E1891" s="1" t="str">
        <f>""</f>
        <v/>
      </c>
      <c r="F1891" s="1" t="s">
        <v>28</v>
      </c>
      <c r="G1891" s="1" t="str">
        <f t="shared" si="178"/>
        <v>PAMAJO D.O.O., VRANIČKA 7/A, 10000 ZAGREB, OIB: 46401136513</v>
      </c>
      <c r="H1891" s="7"/>
      <c r="I1891" s="8" t="s">
        <v>431</v>
      </c>
      <c r="J1891" s="8" t="s">
        <v>423</v>
      </c>
      <c r="K1891" s="6" t="str">
        <f>"500,00"</f>
        <v>500,00</v>
      </c>
      <c r="L1891" s="6" t="str">
        <f>"0,00"</f>
        <v>0,00</v>
      </c>
      <c r="M1891" s="6" t="str">
        <f>"500,00"</f>
        <v>500,00</v>
      </c>
      <c r="N1891" s="8" t="s">
        <v>124</v>
      </c>
      <c r="O1891" s="7"/>
      <c r="P1891" s="2" t="s">
        <v>5614</v>
      </c>
      <c r="Q1891" s="7"/>
      <c r="R1891" s="1"/>
      <c r="S1891" s="1" t="str">
        <f>"3-22/NOS-48-1/21"</f>
        <v>3-22/NOS-48-1/21</v>
      </c>
      <c r="T1891" s="1" t="s">
        <v>32</v>
      </c>
    </row>
    <row r="1892" spans="1:20" ht="51" x14ac:dyDescent="0.25">
      <c r="A1892" s="6">
        <v>1888</v>
      </c>
      <c r="B1892" s="1" t="str">
        <f t="shared" si="177"/>
        <v>2021-1812</v>
      </c>
      <c r="C1892" s="1" t="s">
        <v>1622</v>
      </c>
      <c r="D1892" s="1" t="s">
        <v>1623</v>
      </c>
      <c r="E1892" s="1" t="str">
        <f>""</f>
        <v/>
      </c>
      <c r="F1892" s="1" t="s">
        <v>28</v>
      </c>
      <c r="G1892" s="1" t="str">
        <f t="shared" si="178"/>
        <v>PAMAJO D.O.O., VRANIČKA 7/A, 10000 ZAGREB, OIB: 46401136513</v>
      </c>
      <c r="H1892" s="7"/>
      <c r="I1892" s="8" t="s">
        <v>565</v>
      </c>
      <c r="J1892" s="8" t="s">
        <v>1187</v>
      </c>
      <c r="K1892" s="6" t="str">
        <f>"94.200,00"</f>
        <v>94.200,00</v>
      </c>
      <c r="L1892" s="6" t="str">
        <f>"0,00"</f>
        <v>0,00</v>
      </c>
      <c r="M1892" s="6" t="str">
        <f>"94.200,00"</f>
        <v>94.200,00</v>
      </c>
      <c r="N1892" s="8" t="s">
        <v>124</v>
      </c>
      <c r="O1892" s="7"/>
      <c r="P1892" s="2" t="s">
        <v>5614</v>
      </c>
      <c r="Q1892" s="7"/>
      <c r="R1892" s="1"/>
      <c r="S1892" s="1" t="str">
        <f>"2-22/NOS-48-1/21"</f>
        <v>2-22/NOS-48-1/21</v>
      </c>
      <c r="T1892" s="1" t="s">
        <v>86</v>
      </c>
    </row>
    <row r="1893" spans="1:20" ht="51" x14ac:dyDescent="0.25">
      <c r="A1893" s="6">
        <v>1889</v>
      </c>
      <c r="B1893" s="1" t="str">
        <f t="shared" si="177"/>
        <v>2021-1812</v>
      </c>
      <c r="C1893" s="1" t="s">
        <v>1622</v>
      </c>
      <c r="D1893" s="1" t="s">
        <v>1623</v>
      </c>
      <c r="E1893" s="1" t="str">
        <f>""</f>
        <v/>
      </c>
      <c r="F1893" s="1" t="s">
        <v>28</v>
      </c>
      <c r="G1893" s="1" t="str">
        <f t="shared" si="178"/>
        <v>PAMAJO D.O.O., VRANIČKA 7/A, 10000 ZAGREB, OIB: 46401136513</v>
      </c>
      <c r="H1893" s="7"/>
      <c r="I1893" s="8" t="s">
        <v>564</v>
      </c>
      <c r="J1893" s="8" t="s">
        <v>423</v>
      </c>
      <c r="K1893" s="6" t="str">
        <f>"2.800,00"</f>
        <v>2.800,00</v>
      </c>
      <c r="L1893" s="6" t="str">
        <f>"0,00"</f>
        <v>0,00</v>
      </c>
      <c r="M1893" s="6" t="str">
        <f>"2.800,00"</f>
        <v>2.800,00</v>
      </c>
      <c r="N1893" s="8" t="s">
        <v>124</v>
      </c>
      <c r="O1893" s="7"/>
      <c r="P1893" s="2" t="s">
        <v>5614</v>
      </c>
      <c r="Q1893" s="7"/>
      <c r="R1893" s="1"/>
      <c r="S1893" s="1" t="str">
        <f>"4-22/NOS-48-1/21"</f>
        <v>4-22/NOS-48-1/21</v>
      </c>
      <c r="T1893" s="1" t="s">
        <v>32</v>
      </c>
    </row>
    <row r="1894" spans="1:20" ht="51" x14ac:dyDescent="0.25">
      <c r="A1894" s="6">
        <v>1890</v>
      </c>
      <c r="B1894" s="1" t="str">
        <f t="shared" si="177"/>
        <v>2021-1812</v>
      </c>
      <c r="C1894" s="1" t="s">
        <v>1622</v>
      </c>
      <c r="D1894" s="1" t="s">
        <v>1623</v>
      </c>
      <c r="E1894" s="1" t="str">
        <f>""</f>
        <v/>
      </c>
      <c r="F1894" s="1" t="s">
        <v>28</v>
      </c>
      <c r="G1894" s="1" t="str">
        <f t="shared" si="178"/>
        <v>PAMAJO D.O.O., VRANIČKA 7/A, 10000 ZAGREB, OIB: 46401136513</v>
      </c>
      <c r="H1894" s="7"/>
      <c r="I1894" s="8" t="s">
        <v>374</v>
      </c>
      <c r="J1894" s="8" t="s">
        <v>231</v>
      </c>
      <c r="K1894" s="6" t="str">
        <f>"1.046,50"</f>
        <v>1.046,50</v>
      </c>
      <c r="L1894" s="6" t="str">
        <f>"261,63"</f>
        <v>261,63</v>
      </c>
      <c r="M1894" s="6" t="str">
        <f>"1.308,13"</f>
        <v>1.308,13</v>
      </c>
      <c r="N1894" s="8" t="s">
        <v>414</v>
      </c>
      <c r="O1894" s="7"/>
      <c r="P1894" s="2" t="s">
        <v>6763</v>
      </c>
      <c r="Q1894" s="7"/>
      <c r="R1894" s="1"/>
      <c r="S1894" s="1" t="str">
        <f>"5-22/NOS-48-1/21"</f>
        <v>5-22/NOS-48-1/21</v>
      </c>
      <c r="T1894" s="1" t="s">
        <v>32</v>
      </c>
    </row>
    <row r="1895" spans="1:20" ht="51" x14ac:dyDescent="0.25">
      <c r="A1895" s="6">
        <v>1891</v>
      </c>
      <c r="B1895" s="1" t="str">
        <f t="shared" si="177"/>
        <v>2021-1812</v>
      </c>
      <c r="C1895" s="1" t="s">
        <v>1622</v>
      </c>
      <c r="D1895" s="1" t="s">
        <v>1623</v>
      </c>
      <c r="E1895" s="1" t="str">
        <f>""</f>
        <v/>
      </c>
      <c r="F1895" s="1" t="s">
        <v>28</v>
      </c>
      <c r="G1895" s="1" t="str">
        <f t="shared" si="178"/>
        <v>PAMAJO D.O.O., VRANIČKA 7/A, 10000 ZAGREB, OIB: 46401136513</v>
      </c>
      <c r="H1895" s="7"/>
      <c r="I1895" s="8" t="s">
        <v>227</v>
      </c>
      <c r="J1895" s="8" t="s">
        <v>423</v>
      </c>
      <c r="K1895" s="6" t="str">
        <f>"2.000,00"</f>
        <v>2.000,00</v>
      </c>
      <c r="L1895" s="6" t="str">
        <f>"0,00"</f>
        <v>0,00</v>
      </c>
      <c r="M1895" s="6" t="str">
        <f>"2.000,00"</f>
        <v>2.000,00</v>
      </c>
      <c r="N1895" s="8" t="s">
        <v>124</v>
      </c>
      <c r="O1895" s="7"/>
      <c r="P1895" s="2" t="s">
        <v>5614</v>
      </c>
      <c r="Q1895" s="7"/>
      <c r="R1895" s="1"/>
      <c r="S1895" s="1" t="str">
        <f>"6-22/NOS-48-1/21"</f>
        <v>6-22/NOS-48-1/21</v>
      </c>
      <c r="T1895" s="1" t="s">
        <v>32</v>
      </c>
    </row>
    <row r="1896" spans="1:20" ht="51" x14ac:dyDescent="0.25">
      <c r="A1896" s="6">
        <v>1892</v>
      </c>
      <c r="B1896" s="1" t="str">
        <f t="shared" si="177"/>
        <v>2021-1812</v>
      </c>
      <c r="C1896" s="1" t="s">
        <v>1622</v>
      </c>
      <c r="D1896" s="1" t="s">
        <v>1623</v>
      </c>
      <c r="E1896" s="1" t="str">
        <f>""</f>
        <v/>
      </c>
      <c r="F1896" s="1" t="s">
        <v>28</v>
      </c>
      <c r="G1896" s="1" t="str">
        <f t="shared" si="178"/>
        <v>PAMAJO D.O.O., VRANIČKA 7/A, 10000 ZAGREB, OIB: 46401136513</v>
      </c>
      <c r="H1896" s="7"/>
      <c r="I1896" s="8" t="s">
        <v>399</v>
      </c>
      <c r="J1896" s="8" t="s">
        <v>393</v>
      </c>
      <c r="K1896" s="6" t="str">
        <f>"1.200,00"</f>
        <v>1.200,00</v>
      </c>
      <c r="L1896" s="6" t="str">
        <f>"300,00"</f>
        <v>300,00</v>
      </c>
      <c r="M1896" s="6" t="str">
        <f>"1.500,00"</f>
        <v>1.500,00</v>
      </c>
      <c r="N1896" s="8" t="s">
        <v>146</v>
      </c>
      <c r="O1896" s="7"/>
      <c r="P1896" s="2" t="s">
        <v>6384</v>
      </c>
      <c r="Q1896" s="7"/>
      <c r="R1896" s="1"/>
      <c r="S1896" s="1" t="str">
        <f>"7-22/NOS-48-1/21"</f>
        <v>7-22/NOS-48-1/21</v>
      </c>
      <c r="T1896" s="1" t="s">
        <v>32</v>
      </c>
    </row>
    <row r="1897" spans="1:20" ht="51" x14ac:dyDescent="0.25">
      <c r="A1897" s="6">
        <v>1893</v>
      </c>
      <c r="B1897" s="1" t="str">
        <f t="shared" si="177"/>
        <v>2021-1812</v>
      </c>
      <c r="C1897" s="1" t="s">
        <v>1622</v>
      </c>
      <c r="D1897" s="1" t="s">
        <v>1623</v>
      </c>
      <c r="E1897" s="1" t="str">
        <f>""</f>
        <v/>
      </c>
      <c r="F1897" s="1" t="s">
        <v>28</v>
      </c>
      <c r="G1897" s="1" t="str">
        <f t="shared" si="178"/>
        <v>PAMAJO D.O.O., VRANIČKA 7/A, 10000 ZAGREB, OIB: 46401136513</v>
      </c>
      <c r="H1897" s="7"/>
      <c r="I1897" s="8" t="s">
        <v>384</v>
      </c>
      <c r="J1897" s="8" t="s">
        <v>555</v>
      </c>
      <c r="K1897" s="6" t="str">
        <f>"4.395,20"</f>
        <v>4.395,20</v>
      </c>
      <c r="L1897" s="6" t="str">
        <f>"0,00"</f>
        <v>0,00</v>
      </c>
      <c r="M1897" s="6" t="str">
        <f>"4.395,20"</f>
        <v>4.395,20</v>
      </c>
      <c r="N1897" s="8" t="s">
        <v>124</v>
      </c>
      <c r="O1897" s="7"/>
      <c r="P1897" s="2" t="s">
        <v>5614</v>
      </c>
      <c r="Q1897" s="7"/>
      <c r="R1897" s="1"/>
      <c r="S1897" s="1" t="str">
        <f>"8-22/NOS-48-1/21"</f>
        <v>8-22/NOS-48-1/21</v>
      </c>
      <c r="T1897" s="1" t="s">
        <v>32</v>
      </c>
    </row>
    <row r="1898" spans="1:20" ht="51" x14ac:dyDescent="0.25">
      <c r="A1898" s="6">
        <v>1894</v>
      </c>
      <c r="B1898" s="1" t="str">
        <f t="shared" si="177"/>
        <v>2021-1812</v>
      </c>
      <c r="C1898" s="1" t="s">
        <v>1622</v>
      </c>
      <c r="D1898" s="1" t="s">
        <v>1623</v>
      </c>
      <c r="E1898" s="1" t="str">
        <f>""</f>
        <v/>
      </c>
      <c r="F1898" s="1" t="s">
        <v>28</v>
      </c>
      <c r="G1898" s="1" t="str">
        <f t="shared" si="178"/>
        <v>PAMAJO D.O.O., VRANIČKA 7/A, 10000 ZAGREB, OIB: 46401136513</v>
      </c>
      <c r="H1898" s="7"/>
      <c r="I1898" s="8" t="s">
        <v>146</v>
      </c>
      <c r="J1898" s="8" t="s">
        <v>1188</v>
      </c>
      <c r="K1898" s="6" t="str">
        <f>"5.700,00"</f>
        <v>5.700,00</v>
      </c>
      <c r="L1898" s="6" t="str">
        <f>"0,00"</f>
        <v>0,00</v>
      </c>
      <c r="M1898" s="6" t="str">
        <f>"5.700,00"</f>
        <v>5.700,00</v>
      </c>
      <c r="N1898" s="8" t="s">
        <v>124</v>
      </c>
      <c r="O1898" s="7"/>
      <c r="P1898" s="2" t="s">
        <v>5614</v>
      </c>
      <c r="Q1898" s="7"/>
      <c r="R1898" s="1"/>
      <c r="S1898" s="1" t="str">
        <f>"9-22/NOS-48-1/21"</f>
        <v>9-22/NOS-48-1/21</v>
      </c>
      <c r="T1898" s="1" t="s">
        <v>32</v>
      </c>
    </row>
    <row r="1899" spans="1:20" ht="51" x14ac:dyDescent="0.25">
      <c r="A1899" s="6">
        <v>1895</v>
      </c>
      <c r="B1899" s="1" t="str">
        <f t="shared" si="177"/>
        <v>2021-1812</v>
      </c>
      <c r="C1899" s="1" t="s">
        <v>1622</v>
      </c>
      <c r="D1899" s="1" t="s">
        <v>1623</v>
      </c>
      <c r="E1899" s="1" t="str">
        <f>""</f>
        <v/>
      </c>
      <c r="F1899" s="1" t="s">
        <v>28</v>
      </c>
      <c r="G1899" s="1" t="str">
        <f t="shared" si="178"/>
        <v>PAMAJO D.O.O., VRANIČKA 7/A, 10000 ZAGREB, OIB: 46401136513</v>
      </c>
      <c r="H1899" s="7"/>
      <c r="I1899" s="8" t="s">
        <v>433</v>
      </c>
      <c r="J1899" s="8" t="s">
        <v>231</v>
      </c>
      <c r="K1899" s="6" t="str">
        <f>"13.545,00"</f>
        <v>13.545,00</v>
      </c>
      <c r="L1899" s="6" t="str">
        <f>"0,00"</f>
        <v>0,00</v>
      </c>
      <c r="M1899" s="6" t="str">
        <f>"13.545,00"</f>
        <v>13.545,00</v>
      </c>
      <c r="N1899" s="8" t="s">
        <v>124</v>
      </c>
      <c r="O1899" s="7"/>
      <c r="P1899" s="2" t="s">
        <v>5614</v>
      </c>
      <c r="Q1899" s="7"/>
      <c r="R1899" s="1"/>
      <c r="S1899" s="1" t="str">
        <f>"10-22/NOS-48-1/21"</f>
        <v>10-22/NOS-48-1/21</v>
      </c>
      <c r="T1899" s="1" t="s">
        <v>86</v>
      </c>
    </row>
    <row r="1900" spans="1:20" ht="102" x14ac:dyDescent="0.25">
      <c r="A1900" s="6">
        <v>1896</v>
      </c>
      <c r="B1900" s="1" t="str">
        <f t="shared" si="177"/>
        <v>2021-1812</v>
      </c>
      <c r="C1900" s="1" t="s">
        <v>1625</v>
      </c>
      <c r="D1900" s="1" t="s">
        <v>1623</v>
      </c>
      <c r="E1900" s="1" t="str">
        <f>"2021/S 0F2-0040178"</f>
        <v>2021/S 0F2-0040178</v>
      </c>
      <c r="F1900" s="1" t="s">
        <v>22</v>
      </c>
      <c r="G1900" s="1" t="str">
        <f t="shared" si="178"/>
        <v>PAMAJO D.O.O., VRANIČKA 7/A, 10000 ZAGREB, OIB: 46401136513</v>
      </c>
      <c r="H1900" s="7"/>
      <c r="I1900" s="8" t="s">
        <v>401</v>
      </c>
      <c r="J1900" s="8" t="s">
        <v>1624</v>
      </c>
      <c r="K1900" s="6" t="str">
        <f>"1.150.000,00"</f>
        <v>1.150.000,00</v>
      </c>
      <c r="L1900" s="6" t="str">
        <f>"287.500,00"</f>
        <v>287.500,00</v>
      </c>
      <c r="M1900" s="6" t="str">
        <f>"1.437.500,00"</f>
        <v>1.437.500,00</v>
      </c>
      <c r="N1900" s="8" t="s">
        <v>124</v>
      </c>
      <c r="O1900" s="7"/>
      <c r="P1900" s="2" t="s">
        <v>6764</v>
      </c>
      <c r="Q1900" s="7"/>
      <c r="R1900" s="1"/>
      <c r="S1900" s="1" t="str">
        <f>"NOS-48-2/21"</f>
        <v>NOS-48-2/21</v>
      </c>
      <c r="T1900" s="1" t="s">
        <v>661</v>
      </c>
    </row>
    <row r="1901" spans="1:20" ht="51" x14ac:dyDescent="0.25">
      <c r="A1901" s="6">
        <v>1897</v>
      </c>
      <c r="B1901" s="1" t="str">
        <f t="shared" si="177"/>
        <v>2021-1812</v>
      </c>
      <c r="C1901" s="1" t="s">
        <v>1625</v>
      </c>
      <c r="D1901" s="1" t="s">
        <v>1623</v>
      </c>
      <c r="E1901" s="1" t="str">
        <f>""</f>
        <v/>
      </c>
      <c r="F1901" s="1" t="s">
        <v>28</v>
      </c>
      <c r="G1901" s="1" t="str">
        <f t="shared" si="178"/>
        <v>PAMAJO D.O.O., VRANIČKA 7/A, 10000 ZAGREB, OIB: 46401136513</v>
      </c>
      <c r="H1901" s="7"/>
      <c r="I1901" s="8" t="s">
        <v>898</v>
      </c>
      <c r="J1901" s="8" t="s">
        <v>423</v>
      </c>
      <c r="K1901" s="6" t="str">
        <f>"450,00"</f>
        <v>450,00</v>
      </c>
      <c r="L1901" s="6" t="str">
        <f>"0,00"</f>
        <v>0,00</v>
      </c>
      <c r="M1901" s="6" t="str">
        <f>"450,00"</f>
        <v>450,00</v>
      </c>
      <c r="N1901" s="8" t="s">
        <v>124</v>
      </c>
      <c r="O1901" s="7"/>
      <c r="P1901" s="2" t="s">
        <v>5614</v>
      </c>
      <c r="Q1901" s="7"/>
      <c r="R1901" s="1"/>
      <c r="S1901" s="1" t="str">
        <f>"1-22/NOS-48-2/21"</f>
        <v>1-22/NOS-48-2/21</v>
      </c>
      <c r="T1901" s="1" t="s">
        <v>32</v>
      </c>
    </row>
    <row r="1902" spans="1:20" ht="51" x14ac:dyDescent="0.25">
      <c r="A1902" s="6">
        <v>1898</v>
      </c>
      <c r="B1902" s="1" t="str">
        <f t="shared" si="177"/>
        <v>2021-1812</v>
      </c>
      <c r="C1902" s="1" t="s">
        <v>1625</v>
      </c>
      <c r="D1902" s="1" t="s">
        <v>1623</v>
      </c>
      <c r="E1902" s="1" t="str">
        <f>""</f>
        <v/>
      </c>
      <c r="F1902" s="1" t="s">
        <v>28</v>
      </c>
      <c r="G1902" s="1" t="str">
        <f t="shared" si="178"/>
        <v>PAMAJO D.O.O., VRANIČKA 7/A, 10000 ZAGREB, OIB: 46401136513</v>
      </c>
      <c r="H1902" s="7"/>
      <c r="I1902" s="8" t="s">
        <v>428</v>
      </c>
      <c r="J1902" s="8" t="s">
        <v>292</v>
      </c>
      <c r="K1902" s="6" t="str">
        <f>"5.450,00"</f>
        <v>5.450,00</v>
      </c>
      <c r="L1902" s="6" t="str">
        <f>"1.300,00"</f>
        <v>1.300,00</v>
      </c>
      <c r="M1902" s="6" t="str">
        <f>"6.750,00"</f>
        <v>6.750,00</v>
      </c>
      <c r="N1902" s="8" t="s">
        <v>508</v>
      </c>
      <c r="O1902" s="7"/>
      <c r="P1902" s="2" t="s">
        <v>6355</v>
      </c>
      <c r="Q1902" s="7"/>
      <c r="R1902" s="1"/>
      <c r="S1902" s="1" t="str">
        <f>"5-22/NOS-48-2/21"</f>
        <v>5-22/NOS-48-2/21</v>
      </c>
      <c r="T1902" s="1" t="s">
        <v>32</v>
      </c>
    </row>
    <row r="1903" spans="1:20" ht="51" x14ac:dyDescent="0.25">
      <c r="A1903" s="6">
        <v>1899</v>
      </c>
      <c r="B1903" s="1" t="str">
        <f t="shared" si="177"/>
        <v>2021-1812</v>
      </c>
      <c r="C1903" s="1" t="s">
        <v>1625</v>
      </c>
      <c r="D1903" s="1" t="s">
        <v>1623</v>
      </c>
      <c r="E1903" s="1" t="str">
        <f>""</f>
        <v/>
      </c>
      <c r="F1903" s="1" t="s">
        <v>28</v>
      </c>
      <c r="G1903" s="1" t="str">
        <f t="shared" si="178"/>
        <v>PAMAJO D.O.O., VRANIČKA 7/A, 10000 ZAGREB, OIB: 46401136513</v>
      </c>
      <c r="H1903" s="7"/>
      <c r="I1903" s="8" t="s">
        <v>600</v>
      </c>
      <c r="J1903" s="8" t="s">
        <v>423</v>
      </c>
      <c r="K1903" s="6" t="str">
        <f>"21.325,00"</f>
        <v>21.325,00</v>
      </c>
      <c r="L1903" s="6" t="str">
        <f>"5.331,25"</f>
        <v>5.331,25</v>
      </c>
      <c r="M1903" s="6" t="str">
        <f>"26.656,25"</f>
        <v>26.656,25</v>
      </c>
      <c r="N1903" s="8" t="s">
        <v>415</v>
      </c>
      <c r="O1903" s="7"/>
      <c r="P1903" s="2" t="s">
        <v>6765</v>
      </c>
      <c r="Q1903" s="7"/>
      <c r="R1903" s="1"/>
      <c r="S1903" s="1" t="str">
        <f>"3-22/NOS-48-2/21"</f>
        <v>3-22/NOS-48-2/21</v>
      </c>
      <c r="T1903" s="1" t="s">
        <v>32</v>
      </c>
    </row>
    <row r="1904" spans="1:20" ht="51" x14ac:dyDescent="0.25">
      <c r="A1904" s="6">
        <v>1900</v>
      </c>
      <c r="B1904" s="1" t="str">
        <f t="shared" si="177"/>
        <v>2021-1812</v>
      </c>
      <c r="C1904" s="1" t="s">
        <v>1625</v>
      </c>
      <c r="D1904" s="1" t="s">
        <v>1623</v>
      </c>
      <c r="E1904" s="1" t="str">
        <f>""</f>
        <v/>
      </c>
      <c r="F1904" s="1" t="s">
        <v>28</v>
      </c>
      <c r="G1904" s="1" t="str">
        <f t="shared" si="178"/>
        <v>PAMAJO D.O.O., VRANIČKA 7/A, 10000 ZAGREB, OIB: 46401136513</v>
      </c>
      <c r="H1904" s="7"/>
      <c r="I1904" s="8" t="s">
        <v>923</v>
      </c>
      <c r="J1904" s="8" t="s">
        <v>231</v>
      </c>
      <c r="K1904" s="6" t="str">
        <f>"3.050,00"</f>
        <v>3.050,00</v>
      </c>
      <c r="L1904" s="6" t="str">
        <f>"762,50"</f>
        <v>762,50</v>
      </c>
      <c r="M1904" s="6" t="str">
        <f>"3.812,50"</f>
        <v>3.812,50</v>
      </c>
      <c r="N1904" s="8" t="s">
        <v>408</v>
      </c>
      <c r="O1904" s="7"/>
      <c r="P1904" s="2" t="s">
        <v>6766</v>
      </c>
      <c r="Q1904" s="7"/>
      <c r="R1904" s="1"/>
      <c r="S1904" s="1" t="str">
        <f>"4-22/NOS-48-2/21"</f>
        <v>4-22/NOS-48-2/21</v>
      </c>
      <c r="T1904" s="1" t="s">
        <v>32</v>
      </c>
    </row>
    <row r="1905" spans="1:20" ht="51" x14ac:dyDescent="0.25">
      <c r="A1905" s="6">
        <v>1901</v>
      </c>
      <c r="B1905" s="1" t="str">
        <f t="shared" si="177"/>
        <v>2021-1812</v>
      </c>
      <c r="C1905" s="1" t="s">
        <v>1625</v>
      </c>
      <c r="D1905" s="1" t="s">
        <v>1623</v>
      </c>
      <c r="E1905" s="1" t="str">
        <f>""</f>
        <v/>
      </c>
      <c r="F1905" s="1" t="s">
        <v>28</v>
      </c>
      <c r="G1905" s="1" t="str">
        <f t="shared" si="178"/>
        <v>PAMAJO D.O.O., VRANIČKA 7/A, 10000 ZAGREB, OIB: 46401136513</v>
      </c>
      <c r="H1905" s="7"/>
      <c r="I1905" s="8" t="s">
        <v>563</v>
      </c>
      <c r="J1905" s="8" t="s">
        <v>393</v>
      </c>
      <c r="K1905" s="6" t="str">
        <f>"6.020,00"</f>
        <v>6.020,00</v>
      </c>
      <c r="L1905" s="6" t="str">
        <f>"1.505,00"</f>
        <v>1.505,00</v>
      </c>
      <c r="M1905" s="6" t="str">
        <f>"7.525,00"</f>
        <v>7.525,00</v>
      </c>
      <c r="N1905" s="8" t="s">
        <v>431</v>
      </c>
      <c r="O1905" s="7"/>
      <c r="P1905" s="2" t="s">
        <v>6767</v>
      </c>
      <c r="Q1905" s="7"/>
      <c r="R1905" s="1"/>
      <c r="S1905" s="1" t="str">
        <f>"6-22/NOS-48-2/21"</f>
        <v>6-22/NOS-48-2/21</v>
      </c>
      <c r="T1905" s="1" t="s">
        <v>32</v>
      </c>
    </row>
    <row r="1906" spans="1:20" ht="51" x14ac:dyDescent="0.25">
      <c r="A1906" s="6">
        <v>1902</v>
      </c>
      <c r="B1906" s="1" t="str">
        <f t="shared" si="177"/>
        <v>2021-1812</v>
      </c>
      <c r="C1906" s="1" t="s">
        <v>1625</v>
      </c>
      <c r="D1906" s="1" t="s">
        <v>1623</v>
      </c>
      <c r="E1906" s="1" t="str">
        <f>""</f>
        <v/>
      </c>
      <c r="F1906" s="1" t="s">
        <v>28</v>
      </c>
      <c r="G1906" s="1" t="str">
        <f t="shared" si="178"/>
        <v>PAMAJO D.O.O., VRANIČKA 7/A, 10000 ZAGREB, OIB: 46401136513</v>
      </c>
      <c r="H1906" s="7"/>
      <c r="I1906" s="8" t="s">
        <v>564</v>
      </c>
      <c r="J1906" s="8" t="s">
        <v>423</v>
      </c>
      <c r="K1906" s="6" t="str">
        <f>"6.800,00"</f>
        <v>6.800,00</v>
      </c>
      <c r="L1906" s="6" t="str">
        <f>"0,00"</f>
        <v>0,00</v>
      </c>
      <c r="M1906" s="6" t="str">
        <f>"6.800,00"</f>
        <v>6.800,00</v>
      </c>
      <c r="N1906" s="8" t="s">
        <v>124</v>
      </c>
      <c r="O1906" s="7"/>
      <c r="P1906" s="2" t="s">
        <v>5614</v>
      </c>
      <c r="Q1906" s="7"/>
      <c r="R1906" s="1"/>
      <c r="S1906" s="1" t="str">
        <f>"7-22/NOS-48-2/21"</f>
        <v>7-22/NOS-48-2/21</v>
      </c>
      <c r="T1906" s="1" t="s">
        <v>32</v>
      </c>
    </row>
    <row r="1907" spans="1:20" ht="51" x14ac:dyDescent="0.25">
      <c r="A1907" s="6">
        <v>1903</v>
      </c>
      <c r="B1907" s="1" t="str">
        <f t="shared" si="177"/>
        <v>2021-1812</v>
      </c>
      <c r="C1907" s="1" t="s">
        <v>1625</v>
      </c>
      <c r="D1907" s="1" t="s">
        <v>1623</v>
      </c>
      <c r="E1907" s="1" t="str">
        <f>""</f>
        <v/>
      </c>
      <c r="F1907" s="1" t="s">
        <v>28</v>
      </c>
      <c r="G1907" s="1" t="str">
        <f t="shared" si="178"/>
        <v>PAMAJO D.O.O., VRANIČKA 7/A, 10000 ZAGREB, OIB: 46401136513</v>
      </c>
      <c r="H1907" s="7"/>
      <c r="I1907" s="8" t="s">
        <v>102</v>
      </c>
      <c r="J1907" s="8" t="s">
        <v>241</v>
      </c>
      <c r="K1907" s="6" t="str">
        <f>"10.900,00"</f>
        <v>10.900,00</v>
      </c>
      <c r="L1907" s="6" t="str">
        <f>"2.725,00"</f>
        <v>2.725,00</v>
      </c>
      <c r="M1907" s="6" t="str">
        <f>"13.625,00"</f>
        <v>13.625,00</v>
      </c>
      <c r="N1907" s="8" t="s">
        <v>409</v>
      </c>
      <c r="O1907" s="7"/>
      <c r="P1907" s="2" t="s">
        <v>6768</v>
      </c>
      <c r="Q1907" s="7"/>
      <c r="R1907" s="1"/>
      <c r="S1907" s="1" t="str">
        <f>"8-22/NOS-48-2/21"</f>
        <v>8-22/NOS-48-2/21</v>
      </c>
      <c r="T1907" s="1" t="s">
        <v>32</v>
      </c>
    </row>
    <row r="1908" spans="1:20" ht="51" x14ac:dyDescent="0.25">
      <c r="A1908" s="6">
        <v>1904</v>
      </c>
      <c r="B1908" s="1" t="str">
        <f t="shared" si="177"/>
        <v>2021-1812</v>
      </c>
      <c r="C1908" s="1" t="s">
        <v>1625</v>
      </c>
      <c r="D1908" s="1" t="s">
        <v>1623</v>
      </c>
      <c r="E1908" s="1" t="str">
        <f>""</f>
        <v/>
      </c>
      <c r="F1908" s="1" t="s">
        <v>28</v>
      </c>
      <c r="G1908" s="1" t="str">
        <f t="shared" si="178"/>
        <v>PAMAJO D.O.O., VRANIČKA 7/A, 10000 ZAGREB, OIB: 46401136513</v>
      </c>
      <c r="H1908" s="7"/>
      <c r="I1908" s="8" t="s">
        <v>102</v>
      </c>
      <c r="J1908" s="8" t="s">
        <v>292</v>
      </c>
      <c r="K1908" s="6" t="str">
        <f>"4.350,00"</f>
        <v>4.350,00</v>
      </c>
      <c r="L1908" s="6" t="str">
        <f>"1.087,50"</f>
        <v>1.087,50</v>
      </c>
      <c r="M1908" s="6" t="str">
        <f>"5.437,50"</f>
        <v>5.437,50</v>
      </c>
      <c r="N1908" s="8" t="s">
        <v>409</v>
      </c>
      <c r="O1908" s="7"/>
      <c r="P1908" s="2" t="s">
        <v>6386</v>
      </c>
      <c r="Q1908" s="7"/>
      <c r="R1908" s="1"/>
      <c r="S1908" s="1" t="str">
        <f>"9-22/NOS-48-2/21"</f>
        <v>9-22/NOS-48-2/21</v>
      </c>
      <c r="T1908" s="1" t="s">
        <v>32</v>
      </c>
    </row>
    <row r="1909" spans="1:20" ht="51" x14ac:dyDescent="0.25">
      <c r="A1909" s="6">
        <v>1905</v>
      </c>
      <c r="B1909" s="1" t="str">
        <f t="shared" si="177"/>
        <v>2021-1812</v>
      </c>
      <c r="C1909" s="1" t="s">
        <v>1625</v>
      </c>
      <c r="D1909" s="1" t="s">
        <v>1623</v>
      </c>
      <c r="E1909" s="1" t="str">
        <f>""</f>
        <v/>
      </c>
      <c r="F1909" s="1" t="s">
        <v>28</v>
      </c>
      <c r="G1909" s="1" t="str">
        <f t="shared" si="178"/>
        <v>PAMAJO D.O.O., VRANIČKA 7/A, 10000 ZAGREB, OIB: 46401136513</v>
      </c>
      <c r="H1909" s="7"/>
      <c r="I1909" s="8" t="s">
        <v>964</v>
      </c>
      <c r="J1909" s="8" t="s">
        <v>423</v>
      </c>
      <c r="K1909" s="6" t="str">
        <f>"800,00"</f>
        <v>800,00</v>
      </c>
      <c r="L1909" s="6" t="str">
        <f>"0,00"</f>
        <v>0,00</v>
      </c>
      <c r="M1909" s="6" t="str">
        <f>"800,00"</f>
        <v>800,00</v>
      </c>
      <c r="N1909" s="8" t="s">
        <v>124</v>
      </c>
      <c r="O1909" s="7"/>
      <c r="P1909" s="2" t="s">
        <v>5614</v>
      </c>
      <c r="Q1909" s="7"/>
      <c r="R1909" s="1"/>
      <c r="S1909" s="1" t="str">
        <f>"10-22/NOS-48-2/21"</f>
        <v>10-22/NOS-48-2/21</v>
      </c>
      <c r="T1909" s="1" t="s">
        <v>32</v>
      </c>
    </row>
    <row r="1910" spans="1:20" ht="51" x14ac:dyDescent="0.25">
      <c r="A1910" s="6">
        <v>1906</v>
      </c>
      <c r="B1910" s="1" t="str">
        <f t="shared" si="177"/>
        <v>2021-1812</v>
      </c>
      <c r="C1910" s="1" t="s">
        <v>1625</v>
      </c>
      <c r="D1910" s="1" t="s">
        <v>1623</v>
      </c>
      <c r="E1910" s="1" t="str">
        <f>""</f>
        <v/>
      </c>
      <c r="F1910" s="1" t="s">
        <v>28</v>
      </c>
      <c r="G1910" s="1" t="str">
        <f t="shared" si="178"/>
        <v>PAMAJO D.O.O., VRANIČKA 7/A, 10000 ZAGREB, OIB: 46401136513</v>
      </c>
      <c r="H1910" s="7"/>
      <c r="I1910" s="8" t="s">
        <v>227</v>
      </c>
      <c r="J1910" s="8" t="s">
        <v>393</v>
      </c>
      <c r="K1910" s="6" t="str">
        <f>"900,00"</f>
        <v>900,00</v>
      </c>
      <c r="L1910" s="6" t="str">
        <f>"225,00"</f>
        <v>225,00</v>
      </c>
      <c r="M1910" s="6" t="str">
        <f>"1.125,00"</f>
        <v>1.125,00</v>
      </c>
      <c r="N1910" s="8" t="s">
        <v>170</v>
      </c>
      <c r="O1910" s="7"/>
      <c r="P1910" s="2" t="s">
        <v>6769</v>
      </c>
      <c r="Q1910" s="7"/>
      <c r="R1910" s="1"/>
      <c r="S1910" s="1" t="str">
        <f>"11-22/NOS-48-2/21"</f>
        <v>11-22/NOS-48-2/21</v>
      </c>
      <c r="T1910" s="1" t="s">
        <v>32</v>
      </c>
    </row>
    <row r="1911" spans="1:20" ht="51" x14ac:dyDescent="0.25">
      <c r="A1911" s="6">
        <v>1907</v>
      </c>
      <c r="B1911" s="1" t="str">
        <f t="shared" si="177"/>
        <v>2021-1812</v>
      </c>
      <c r="C1911" s="1" t="s">
        <v>1625</v>
      </c>
      <c r="D1911" s="1" t="s">
        <v>1623</v>
      </c>
      <c r="E1911" s="1" t="str">
        <f>""</f>
        <v/>
      </c>
      <c r="F1911" s="1" t="s">
        <v>28</v>
      </c>
      <c r="G1911" s="1" t="str">
        <f t="shared" si="178"/>
        <v>PAMAJO D.O.O., VRANIČKA 7/A, 10000 ZAGREB, OIB: 46401136513</v>
      </c>
      <c r="H1911" s="7"/>
      <c r="I1911" s="8" t="s">
        <v>525</v>
      </c>
      <c r="J1911" s="8" t="s">
        <v>519</v>
      </c>
      <c r="K1911" s="6" t="str">
        <f>"1.650,00"</f>
        <v>1.650,00</v>
      </c>
      <c r="L1911" s="6" t="str">
        <f>"0,00"</f>
        <v>0,00</v>
      </c>
      <c r="M1911" s="6" t="str">
        <f>"1.650,00"</f>
        <v>1.650,00</v>
      </c>
      <c r="N1911" s="8" t="s">
        <v>124</v>
      </c>
      <c r="O1911" s="7"/>
      <c r="P1911" s="2" t="s">
        <v>5614</v>
      </c>
      <c r="Q1911" s="7"/>
      <c r="R1911" s="1"/>
      <c r="S1911" s="1" t="str">
        <f>"13-22/NOS-48-2/21"</f>
        <v>13-22/NOS-48-2/21</v>
      </c>
      <c r="T1911" s="1" t="s">
        <v>32</v>
      </c>
    </row>
    <row r="1912" spans="1:20" ht="51" x14ac:dyDescent="0.25">
      <c r="A1912" s="6">
        <v>1908</v>
      </c>
      <c r="B1912" s="1" t="str">
        <f t="shared" si="177"/>
        <v>2021-1812</v>
      </c>
      <c r="C1912" s="1" t="s">
        <v>1625</v>
      </c>
      <c r="D1912" s="1" t="s">
        <v>1623</v>
      </c>
      <c r="E1912" s="1" t="str">
        <f>""</f>
        <v/>
      </c>
      <c r="F1912" s="1" t="s">
        <v>28</v>
      </c>
      <c r="G1912" s="1" t="str">
        <f t="shared" si="178"/>
        <v>PAMAJO D.O.O., VRANIČKA 7/A, 10000 ZAGREB, OIB: 46401136513</v>
      </c>
      <c r="H1912" s="7"/>
      <c r="I1912" s="8" t="s">
        <v>399</v>
      </c>
      <c r="J1912" s="8" t="s">
        <v>555</v>
      </c>
      <c r="K1912" s="6" t="str">
        <f>"1.950,00"</f>
        <v>1.950,00</v>
      </c>
      <c r="L1912" s="6" t="str">
        <f>"412,50"</f>
        <v>412,50</v>
      </c>
      <c r="M1912" s="6" t="str">
        <f>"2.362,50"</f>
        <v>2.362,50</v>
      </c>
      <c r="N1912" s="8" t="s">
        <v>553</v>
      </c>
      <c r="O1912" s="7"/>
      <c r="P1912" s="2" t="s">
        <v>6770</v>
      </c>
      <c r="Q1912" s="7"/>
      <c r="R1912" s="1"/>
      <c r="S1912" s="1" t="str">
        <f>"12-22/NOS-48-2/21"</f>
        <v>12-22/NOS-48-2/21</v>
      </c>
      <c r="T1912" s="1" t="s">
        <v>32</v>
      </c>
    </row>
    <row r="1913" spans="1:20" ht="51" x14ac:dyDescent="0.25">
      <c r="A1913" s="6">
        <v>1909</v>
      </c>
      <c r="B1913" s="1" t="str">
        <f t="shared" si="177"/>
        <v>2021-1812</v>
      </c>
      <c r="C1913" s="1" t="s">
        <v>1625</v>
      </c>
      <c r="D1913" s="1" t="s">
        <v>1623</v>
      </c>
      <c r="E1913" s="1" t="str">
        <f>""</f>
        <v/>
      </c>
      <c r="F1913" s="1" t="s">
        <v>28</v>
      </c>
      <c r="G1913" s="1" t="str">
        <f t="shared" si="178"/>
        <v>PAMAJO D.O.O., VRANIČKA 7/A, 10000 ZAGREB, OIB: 46401136513</v>
      </c>
      <c r="H1913" s="7"/>
      <c r="I1913" s="8" t="s">
        <v>399</v>
      </c>
      <c r="J1913" s="8" t="s">
        <v>256</v>
      </c>
      <c r="K1913" s="6" t="str">
        <f>"600,00"</f>
        <v>600,00</v>
      </c>
      <c r="L1913" s="6" t="str">
        <f>"150,00"</f>
        <v>150,00</v>
      </c>
      <c r="M1913" s="6" t="str">
        <f>"750,00"</f>
        <v>750,00</v>
      </c>
      <c r="N1913" s="8" t="s">
        <v>146</v>
      </c>
      <c r="O1913" s="7"/>
      <c r="P1913" s="2" t="s">
        <v>6376</v>
      </c>
      <c r="Q1913" s="7"/>
      <c r="R1913" s="1"/>
      <c r="S1913" s="1" t="str">
        <f>"18-22/NOS-48-2/21"</f>
        <v>18-22/NOS-48-2/21</v>
      </c>
      <c r="T1913" s="1" t="s">
        <v>32</v>
      </c>
    </row>
    <row r="1914" spans="1:20" ht="51" x14ac:dyDescent="0.25">
      <c r="A1914" s="6">
        <v>1910</v>
      </c>
      <c r="B1914" s="1" t="str">
        <f t="shared" si="177"/>
        <v>2021-1812</v>
      </c>
      <c r="C1914" s="1" t="s">
        <v>1625</v>
      </c>
      <c r="D1914" s="1" t="s">
        <v>1623</v>
      </c>
      <c r="E1914" s="1" t="str">
        <f>""</f>
        <v/>
      </c>
      <c r="F1914" s="1" t="s">
        <v>28</v>
      </c>
      <c r="G1914" s="1" t="str">
        <f t="shared" si="178"/>
        <v>PAMAJO D.O.O., VRANIČKA 7/A, 10000 ZAGREB, OIB: 46401136513</v>
      </c>
      <c r="H1914" s="7"/>
      <c r="I1914" s="8" t="s">
        <v>399</v>
      </c>
      <c r="J1914" s="8" t="s">
        <v>393</v>
      </c>
      <c r="K1914" s="6" t="str">
        <f>"1.200,00"</f>
        <v>1.200,00</v>
      </c>
      <c r="L1914" s="6" t="str">
        <f>"300,00"</f>
        <v>300,00</v>
      </c>
      <c r="M1914" s="6" t="str">
        <f>"1.500,00"</f>
        <v>1.500,00</v>
      </c>
      <c r="N1914" s="8" t="s">
        <v>146</v>
      </c>
      <c r="O1914" s="7"/>
      <c r="P1914" s="2" t="s">
        <v>6384</v>
      </c>
      <c r="Q1914" s="7"/>
      <c r="R1914" s="1"/>
      <c r="S1914" s="1" t="str">
        <f>"19-22/NOS-48-2/21"</f>
        <v>19-22/NOS-48-2/21</v>
      </c>
      <c r="T1914" s="1" t="s">
        <v>32</v>
      </c>
    </row>
    <row r="1915" spans="1:20" ht="51" x14ac:dyDescent="0.25">
      <c r="A1915" s="6">
        <v>1911</v>
      </c>
      <c r="B1915" s="1" t="str">
        <f t="shared" si="177"/>
        <v>2021-1812</v>
      </c>
      <c r="C1915" s="1" t="s">
        <v>1625</v>
      </c>
      <c r="D1915" s="1" t="s">
        <v>1623</v>
      </c>
      <c r="E1915" s="1" t="str">
        <f>""</f>
        <v/>
      </c>
      <c r="F1915" s="1" t="s">
        <v>28</v>
      </c>
      <c r="G1915" s="1" t="str">
        <f t="shared" si="178"/>
        <v>PAMAJO D.O.O., VRANIČKA 7/A, 10000 ZAGREB, OIB: 46401136513</v>
      </c>
      <c r="H1915" s="7"/>
      <c r="I1915" s="8" t="s">
        <v>399</v>
      </c>
      <c r="J1915" s="8" t="s">
        <v>393</v>
      </c>
      <c r="K1915" s="6" t="str">
        <f>"24.300,00"</f>
        <v>24.300,00</v>
      </c>
      <c r="L1915" s="6" t="str">
        <f t="shared" ref="L1915:L1920" si="179">"0,00"</f>
        <v>0,00</v>
      </c>
      <c r="M1915" s="6" t="str">
        <f>"24.300,00"</f>
        <v>24.300,00</v>
      </c>
      <c r="N1915" s="8" t="s">
        <v>124</v>
      </c>
      <c r="O1915" s="7"/>
      <c r="P1915" s="2" t="s">
        <v>5614</v>
      </c>
      <c r="Q1915" s="7"/>
      <c r="R1915" s="1"/>
      <c r="S1915" s="1" t="str">
        <f>"15-22/NOS-48-2/21"</f>
        <v>15-22/NOS-48-2/21</v>
      </c>
      <c r="T1915" s="1" t="s">
        <v>32</v>
      </c>
    </row>
    <row r="1916" spans="1:20" ht="51" x14ac:dyDescent="0.25">
      <c r="A1916" s="6">
        <v>1912</v>
      </c>
      <c r="B1916" s="1" t="str">
        <f t="shared" si="177"/>
        <v>2021-1812</v>
      </c>
      <c r="C1916" s="1" t="s">
        <v>1625</v>
      </c>
      <c r="D1916" s="1" t="s">
        <v>1623</v>
      </c>
      <c r="E1916" s="1" t="str">
        <f>""</f>
        <v/>
      </c>
      <c r="F1916" s="1" t="s">
        <v>28</v>
      </c>
      <c r="G1916" s="1" t="str">
        <f t="shared" si="178"/>
        <v>PAMAJO D.O.O., VRANIČKA 7/A, 10000 ZAGREB, OIB: 46401136513</v>
      </c>
      <c r="H1916" s="7"/>
      <c r="I1916" s="8" t="s">
        <v>399</v>
      </c>
      <c r="J1916" s="8" t="s">
        <v>393</v>
      </c>
      <c r="K1916" s="6" t="str">
        <f>"60.680,00"</f>
        <v>60.680,00</v>
      </c>
      <c r="L1916" s="6" t="str">
        <f t="shared" si="179"/>
        <v>0,00</v>
      </c>
      <c r="M1916" s="6" t="str">
        <f>"60.680,00"</f>
        <v>60.680,00</v>
      </c>
      <c r="N1916" s="8" t="s">
        <v>124</v>
      </c>
      <c r="O1916" s="7"/>
      <c r="P1916" s="2" t="s">
        <v>5614</v>
      </c>
      <c r="Q1916" s="7"/>
      <c r="R1916" s="1"/>
      <c r="S1916" s="1" t="str">
        <f>"16-22/NOS-48-2/21"</f>
        <v>16-22/NOS-48-2/21</v>
      </c>
      <c r="T1916" s="1" t="s">
        <v>32</v>
      </c>
    </row>
    <row r="1917" spans="1:20" ht="51" x14ac:dyDescent="0.25">
      <c r="A1917" s="6">
        <v>1913</v>
      </c>
      <c r="B1917" s="1" t="str">
        <f t="shared" si="177"/>
        <v>2021-1812</v>
      </c>
      <c r="C1917" s="1" t="s">
        <v>1625</v>
      </c>
      <c r="D1917" s="1" t="s">
        <v>1623</v>
      </c>
      <c r="E1917" s="1" t="str">
        <f>""</f>
        <v/>
      </c>
      <c r="F1917" s="1" t="s">
        <v>28</v>
      </c>
      <c r="G1917" s="1" t="str">
        <f t="shared" si="178"/>
        <v>PAMAJO D.O.O., VRANIČKA 7/A, 10000 ZAGREB, OIB: 46401136513</v>
      </c>
      <c r="H1917" s="7"/>
      <c r="I1917" s="8" t="s">
        <v>553</v>
      </c>
      <c r="J1917" s="8" t="s">
        <v>555</v>
      </c>
      <c r="K1917" s="6" t="str">
        <f>"700,00"</f>
        <v>700,00</v>
      </c>
      <c r="L1917" s="6" t="str">
        <f t="shared" si="179"/>
        <v>0,00</v>
      </c>
      <c r="M1917" s="6" t="str">
        <f>"700,00"</f>
        <v>700,00</v>
      </c>
      <c r="N1917" s="8" t="s">
        <v>124</v>
      </c>
      <c r="O1917" s="7"/>
      <c r="P1917" s="2" t="s">
        <v>5614</v>
      </c>
      <c r="Q1917" s="7"/>
      <c r="R1917" s="1"/>
      <c r="S1917" s="1" t="str">
        <f>"14-22/NOS-48-2/21"</f>
        <v>14-22/NOS-48-2/21</v>
      </c>
      <c r="T1917" s="1" t="s">
        <v>32</v>
      </c>
    </row>
    <row r="1918" spans="1:20" ht="51" x14ac:dyDescent="0.25">
      <c r="A1918" s="6">
        <v>1914</v>
      </c>
      <c r="B1918" s="1" t="str">
        <f t="shared" si="177"/>
        <v>2021-1812</v>
      </c>
      <c r="C1918" s="1" t="s">
        <v>1625</v>
      </c>
      <c r="D1918" s="1" t="s">
        <v>1623</v>
      </c>
      <c r="E1918" s="1" t="str">
        <f>""</f>
        <v/>
      </c>
      <c r="F1918" s="1" t="s">
        <v>28</v>
      </c>
      <c r="G1918" s="1" t="str">
        <f t="shared" si="178"/>
        <v>PAMAJO D.O.O., VRANIČKA 7/A, 10000 ZAGREB, OIB: 46401136513</v>
      </c>
      <c r="H1918" s="7"/>
      <c r="I1918" s="8" t="s">
        <v>553</v>
      </c>
      <c r="J1918" s="8" t="s">
        <v>555</v>
      </c>
      <c r="K1918" s="6" t="str">
        <f>"2.100,00"</f>
        <v>2.100,00</v>
      </c>
      <c r="L1918" s="6" t="str">
        <f t="shared" si="179"/>
        <v>0,00</v>
      </c>
      <c r="M1918" s="6" t="str">
        <f>"2.100,00"</f>
        <v>2.100,00</v>
      </c>
      <c r="N1918" s="8" t="s">
        <v>124</v>
      </c>
      <c r="O1918" s="7"/>
      <c r="P1918" s="2" t="s">
        <v>5614</v>
      </c>
      <c r="Q1918" s="7"/>
      <c r="R1918" s="1"/>
      <c r="S1918" s="1" t="str">
        <f>"17-22/NOS-48-2/21"</f>
        <v>17-22/NOS-48-2/21</v>
      </c>
      <c r="T1918" s="1" t="s">
        <v>32</v>
      </c>
    </row>
    <row r="1919" spans="1:20" ht="51" x14ac:dyDescent="0.25">
      <c r="A1919" s="6">
        <v>1915</v>
      </c>
      <c r="B1919" s="1" t="str">
        <f t="shared" si="177"/>
        <v>2021-1812</v>
      </c>
      <c r="C1919" s="1" t="s">
        <v>1625</v>
      </c>
      <c r="D1919" s="1" t="s">
        <v>1623</v>
      </c>
      <c r="E1919" s="1" t="str">
        <f>""</f>
        <v/>
      </c>
      <c r="F1919" s="1" t="s">
        <v>28</v>
      </c>
      <c r="G1919" s="1" t="str">
        <f t="shared" si="178"/>
        <v>PAMAJO D.O.O., VRANIČKA 7/A, 10000 ZAGREB, OIB: 46401136513</v>
      </c>
      <c r="H1919" s="7"/>
      <c r="I1919" s="8" t="s">
        <v>433</v>
      </c>
      <c r="J1919" s="8" t="s">
        <v>256</v>
      </c>
      <c r="K1919" s="6" t="str">
        <f>"2.250,00"</f>
        <v>2.250,00</v>
      </c>
      <c r="L1919" s="6" t="str">
        <f t="shared" si="179"/>
        <v>0,00</v>
      </c>
      <c r="M1919" s="6" t="str">
        <f>"2.250,00"</f>
        <v>2.250,00</v>
      </c>
      <c r="N1919" s="8" t="s">
        <v>124</v>
      </c>
      <c r="O1919" s="7"/>
      <c r="P1919" s="2" t="s">
        <v>5614</v>
      </c>
      <c r="Q1919" s="7"/>
      <c r="R1919" s="1"/>
      <c r="S1919" s="1" t="str">
        <f>"20-22/NOS-48-2/21"</f>
        <v>20-22/NOS-48-2/21</v>
      </c>
      <c r="T1919" s="1" t="s">
        <v>32</v>
      </c>
    </row>
    <row r="1920" spans="1:20" ht="51" x14ac:dyDescent="0.25">
      <c r="A1920" s="6">
        <v>1916</v>
      </c>
      <c r="B1920" s="1" t="str">
        <f t="shared" si="177"/>
        <v>2021-1812</v>
      </c>
      <c r="C1920" s="1" t="s">
        <v>1625</v>
      </c>
      <c r="D1920" s="1" t="s">
        <v>1623</v>
      </c>
      <c r="E1920" s="1" t="str">
        <f>""</f>
        <v/>
      </c>
      <c r="F1920" s="1" t="s">
        <v>28</v>
      </c>
      <c r="G1920" s="1" t="str">
        <f t="shared" si="178"/>
        <v>PAMAJO D.O.O., VRANIČKA 7/A, 10000 ZAGREB, OIB: 46401136513</v>
      </c>
      <c r="H1920" s="7"/>
      <c r="I1920" s="8" t="s">
        <v>121</v>
      </c>
      <c r="J1920" s="8" t="s">
        <v>256</v>
      </c>
      <c r="K1920" s="6" t="str">
        <f>"1.950,00"</f>
        <v>1.950,00</v>
      </c>
      <c r="L1920" s="6" t="str">
        <f t="shared" si="179"/>
        <v>0,00</v>
      </c>
      <c r="M1920" s="6" t="str">
        <f>"1.950,00"</f>
        <v>1.950,00</v>
      </c>
      <c r="N1920" s="8" t="s">
        <v>124</v>
      </c>
      <c r="O1920" s="7"/>
      <c r="P1920" s="2" t="s">
        <v>5614</v>
      </c>
      <c r="Q1920" s="7"/>
      <c r="R1920" s="1"/>
      <c r="S1920" s="1" t="str">
        <f>"22-22/NOS-48-2/21"</f>
        <v>22-22/NOS-48-2/21</v>
      </c>
      <c r="T1920" s="1" t="s">
        <v>32</v>
      </c>
    </row>
    <row r="1921" spans="1:20" ht="51" x14ac:dyDescent="0.25">
      <c r="A1921" s="6">
        <v>1917</v>
      </c>
      <c r="B1921" s="1" t="str">
        <f t="shared" ref="B1921:B1942" si="180">"2021-1958"</f>
        <v>2021-1958</v>
      </c>
      <c r="C1921" s="1" t="s">
        <v>1626</v>
      </c>
      <c r="D1921" s="1" t="s">
        <v>1627</v>
      </c>
      <c r="E1921" s="1" t="str">
        <f>"2021/S 0F2-0015571"</f>
        <v>2021/S 0F2-0015571</v>
      </c>
      <c r="F1921" s="1" t="s">
        <v>22</v>
      </c>
      <c r="G1921" s="1" t="str">
        <f t="shared" ref="G1921:G1942" si="181">CONCATENATE("ELICOM D.O.O.,"," ŠTEFANOVEC 138,"," 10000 ZAGREB,"," OIB: 76370234816")</f>
        <v>ELICOM D.O.O., ŠTEFANOVEC 138, 10000 ZAGREB, OIB: 76370234816</v>
      </c>
      <c r="H1921" s="7"/>
      <c r="I1921" s="8" t="s">
        <v>918</v>
      </c>
      <c r="J1921" s="8" t="s">
        <v>1628</v>
      </c>
      <c r="K1921" s="6" t="str">
        <f>"1.606.300,00"</f>
        <v>1.606.300,00</v>
      </c>
      <c r="L1921" s="6" t="str">
        <f>"401.575,00"</f>
        <v>401.575,00</v>
      </c>
      <c r="M1921" s="6" t="str">
        <f>"2.007.875,00"</f>
        <v>2.007.875,00</v>
      </c>
      <c r="N1921" s="8" t="s">
        <v>124</v>
      </c>
      <c r="O1921" s="7"/>
      <c r="P1921" s="2" t="s">
        <v>6771</v>
      </c>
      <c r="Q1921" s="7"/>
      <c r="R1921" s="1"/>
      <c r="S1921" s="1" t="str">
        <f>"NOS-38/21"</f>
        <v>NOS-38/21</v>
      </c>
      <c r="T1921" s="1" t="s">
        <v>1302</v>
      </c>
    </row>
    <row r="1922" spans="1:20" ht="51" x14ac:dyDescent="0.25">
      <c r="A1922" s="6">
        <v>1918</v>
      </c>
      <c r="B1922" s="1" t="str">
        <f t="shared" si="180"/>
        <v>2021-1958</v>
      </c>
      <c r="C1922" s="1" t="s">
        <v>1626</v>
      </c>
      <c r="D1922" s="1" t="s">
        <v>87</v>
      </c>
      <c r="E1922" s="1" t="str">
        <f>""</f>
        <v/>
      </c>
      <c r="F1922" s="1" t="s">
        <v>28</v>
      </c>
      <c r="G1922" s="1" t="str">
        <f t="shared" si="181"/>
        <v>ELICOM D.O.O., ŠTEFANOVEC 138, 10000 ZAGREB, OIB: 76370234816</v>
      </c>
      <c r="H1922" s="7"/>
      <c r="I1922" s="8" t="s">
        <v>635</v>
      </c>
      <c r="J1922" s="8" t="s">
        <v>231</v>
      </c>
      <c r="K1922" s="6" t="str">
        <f>"2.535,00"</f>
        <v>2.535,00</v>
      </c>
      <c r="L1922" s="6" t="str">
        <f>"633,75"</f>
        <v>633,75</v>
      </c>
      <c r="M1922" s="6" t="str">
        <f>"3.168,75"</f>
        <v>3.168,75</v>
      </c>
      <c r="N1922" s="8" t="s">
        <v>723</v>
      </c>
      <c r="O1922" s="7"/>
      <c r="P1922" s="2" t="s">
        <v>6772</v>
      </c>
      <c r="Q1922" s="7"/>
      <c r="R1922" s="1"/>
      <c r="S1922" s="1" t="str">
        <f>"1-22/NOS-38/21"</f>
        <v>1-22/NOS-38/21</v>
      </c>
      <c r="T1922" s="1" t="s">
        <v>32</v>
      </c>
    </row>
    <row r="1923" spans="1:20" ht="51" x14ac:dyDescent="0.25">
      <c r="A1923" s="6">
        <v>1919</v>
      </c>
      <c r="B1923" s="1" t="str">
        <f t="shared" si="180"/>
        <v>2021-1958</v>
      </c>
      <c r="C1923" s="1" t="s">
        <v>1626</v>
      </c>
      <c r="D1923" s="1" t="s">
        <v>87</v>
      </c>
      <c r="E1923" s="1" t="str">
        <f>""</f>
        <v/>
      </c>
      <c r="F1923" s="1" t="s">
        <v>28</v>
      </c>
      <c r="G1923" s="1" t="str">
        <f t="shared" si="181"/>
        <v>ELICOM D.O.O., ŠTEFANOVEC 138, 10000 ZAGREB, OIB: 76370234816</v>
      </c>
      <c r="H1923" s="7"/>
      <c r="I1923" s="8" t="s">
        <v>350</v>
      </c>
      <c r="J1923" s="8" t="s">
        <v>423</v>
      </c>
      <c r="K1923" s="6" t="str">
        <f>"10.063,82"</f>
        <v>10.063,82</v>
      </c>
      <c r="L1923" s="6" t="str">
        <f>"2.515,96"</f>
        <v>2.515,96</v>
      </c>
      <c r="M1923" s="6" t="str">
        <f>"12.579,78"</f>
        <v>12.579,78</v>
      </c>
      <c r="N1923" s="8" t="s">
        <v>172</v>
      </c>
      <c r="O1923" s="7"/>
      <c r="P1923" s="2" t="s">
        <v>6773</v>
      </c>
      <c r="Q1923" s="7"/>
      <c r="R1923" s="1"/>
      <c r="S1923" s="1" t="str">
        <f>"3-22/NOS-38/21"</f>
        <v>3-22/NOS-38/21</v>
      </c>
      <c r="T1923" s="1" t="s">
        <v>32</v>
      </c>
    </row>
    <row r="1924" spans="1:20" ht="51" x14ac:dyDescent="0.25">
      <c r="A1924" s="6">
        <v>1920</v>
      </c>
      <c r="B1924" s="1" t="str">
        <f t="shared" si="180"/>
        <v>2021-1958</v>
      </c>
      <c r="C1924" s="1" t="s">
        <v>1626</v>
      </c>
      <c r="D1924" s="1" t="s">
        <v>87</v>
      </c>
      <c r="E1924" s="1" t="str">
        <f>""</f>
        <v/>
      </c>
      <c r="F1924" s="1" t="s">
        <v>28</v>
      </c>
      <c r="G1924" s="1" t="str">
        <f t="shared" si="181"/>
        <v>ELICOM D.O.O., ŠTEFANOVEC 138, 10000 ZAGREB, OIB: 76370234816</v>
      </c>
      <c r="H1924" s="7"/>
      <c r="I1924" s="8" t="s">
        <v>505</v>
      </c>
      <c r="J1924" s="8" t="s">
        <v>231</v>
      </c>
      <c r="K1924" s="6" t="str">
        <f>"13.885,09"</f>
        <v>13.885,09</v>
      </c>
      <c r="L1924" s="6" t="str">
        <f>"3.471,27"</f>
        <v>3.471,27</v>
      </c>
      <c r="M1924" s="6" t="str">
        <f>"17.356,36"</f>
        <v>17.356,36</v>
      </c>
      <c r="N1924" s="8" t="s">
        <v>1629</v>
      </c>
      <c r="O1924" s="7"/>
      <c r="P1924" s="2" t="s">
        <v>6774</v>
      </c>
      <c r="Q1924" s="7"/>
      <c r="R1924" s="1"/>
      <c r="S1924" s="1" t="str">
        <f>"2-22/NOS-38/21"</f>
        <v>2-22/NOS-38/21</v>
      </c>
      <c r="T1924" s="1" t="s">
        <v>32</v>
      </c>
    </row>
    <row r="1925" spans="1:20" ht="51" x14ac:dyDescent="0.25">
      <c r="A1925" s="6">
        <v>1921</v>
      </c>
      <c r="B1925" s="1" t="str">
        <f t="shared" si="180"/>
        <v>2021-1958</v>
      </c>
      <c r="C1925" s="1" t="s">
        <v>1626</v>
      </c>
      <c r="D1925" s="1" t="s">
        <v>87</v>
      </c>
      <c r="E1925" s="1" t="str">
        <f>""</f>
        <v/>
      </c>
      <c r="F1925" s="1" t="s">
        <v>28</v>
      </c>
      <c r="G1925" s="1" t="str">
        <f t="shared" si="181"/>
        <v>ELICOM D.O.O., ŠTEFANOVEC 138, 10000 ZAGREB, OIB: 76370234816</v>
      </c>
      <c r="H1925" s="7"/>
      <c r="I1925" s="8" t="s">
        <v>505</v>
      </c>
      <c r="J1925" s="8" t="s">
        <v>231</v>
      </c>
      <c r="K1925" s="6" t="str">
        <f>"10.435,26"</f>
        <v>10.435,26</v>
      </c>
      <c r="L1925" s="6" t="str">
        <f>"2.608,82"</f>
        <v>2.608,82</v>
      </c>
      <c r="M1925" s="6" t="str">
        <f>"13.044,08"</f>
        <v>13.044,08</v>
      </c>
      <c r="N1925" s="8" t="s">
        <v>895</v>
      </c>
      <c r="O1925" s="7"/>
      <c r="P1925" s="2" t="s">
        <v>6775</v>
      </c>
      <c r="Q1925" s="7"/>
      <c r="R1925" s="1"/>
      <c r="S1925" s="1" t="str">
        <f>"4-22/NOS-38/21"</f>
        <v>4-22/NOS-38/21</v>
      </c>
      <c r="T1925" s="1" t="s">
        <v>32</v>
      </c>
    </row>
    <row r="1926" spans="1:20" ht="51" x14ac:dyDescent="0.25">
      <c r="A1926" s="6">
        <v>1922</v>
      </c>
      <c r="B1926" s="1" t="str">
        <f t="shared" si="180"/>
        <v>2021-1958</v>
      </c>
      <c r="C1926" s="1" t="s">
        <v>1626</v>
      </c>
      <c r="D1926" s="1" t="s">
        <v>87</v>
      </c>
      <c r="E1926" s="1" t="str">
        <f>""</f>
        <v/>
      </c>
      <c r="F1926" s="1" t="s">
        <v>28</v>
      </c>
      <c r="G1926" s="1" t="str">
        <f t="shared" si="181"/>
        <v>ELICOM D.O.O., ŠTEFANOVEC 138, 10000 ZAGREB, OIB: 76370234816</v>
      </c>
      <c r="H1926" s="7"/>
      <c r="I1926" s="8" t="s">
        <v>172</v>
      </c>
      <c r="J1926" s="8" t="s">
        <v>423</v>
      </c>
      <c r="K1926" s="6" t="str">
        <f>"6.557,00"</f>
        <v>6.557,00</v>
      </c>
      <c r="L1926" s="6" t="str">
        <f>"1.639,25"</f>
        <v>1.639,25</v>
      </c>
      <c r="M1926" s="6" t="str">
        <f>"8.196,25"</f>
        <v>8.196,25</v>
      </c>
      <c r="N1926" s="8" t="s">
        <v>278</v>
      </c>
      <c r="O1926" s="7"/>
      <c r="P1926" s="2" t="s">
        <v>6776</v>
      </c>
      <c r="Q1926" s="7"/>
      <c r="R1926" s="1"/>
      <c r="S1926" s="1" t="str">
        <f>"5-22/NOS-38/21"</f>
        <v>5-22/NOS-38/21</v>
      </c>
      <c r="T1926" s="1" t="s">
        <v>32</v>
      </c>
    </row>
    <row r="1927" spans="1:20" ht="51" x14ac:dyDescent="0.25">
      <c r="A1927" s="6">
        <v>1923</v>
      </c>
      <c r="B1927" s="1" t="str">
        <f t="shared" si="180"/>
        <v>2021-1958</v>
      </c>
      <c r="C1927" s="1" t="s">
        <v>1626</v>
      </c>
      <c r="D1927" s="1" t="s">
        <v>87</v>
      </c>
      <c r="E1927" s="1" t="str">
        <f>""</f>
        <v/>
      </c>
      <c r="F1927" s="1" t="s">
        <v>28</v>
      </c>
      <c r="G1927" s="1" t="str">
        <f t="shared" si="181"/>
        <v>ELICOM D.O.O., ŠTEFANOVEC 138, 10000 ZAGREB, OIB: 76370234816</v>
      </c>
      <c r="H1927" s="7"/>
      <c r="I1927" s="8" t="s">
        <v>240</v>
      </c>
      <c r="J1927" s="8" t="s">
        <v>393</v>
      </c>
      <c r="K1927" s="6" t="str">
        <f>"7.519,85"</f>
        <v>7.519,85</v>
      </c>
      <c r="L1927" s="6" t="str">
        <f>"1.879,96"</f>
        <v>1.879,96</v>
      </c>
      <c r="M1927" s="6" t="str">
        <f>"9.399,81"</f>
        <v>9.399,81</v>
      </c>
      <c r="N1927" s="8" t="s">
        <v>192</v>
      </c>
      <c r="O1927" s="7"/>
      <c r="P1927" s="2" t="s">
        <v>6777</v>
      </c>
      <c r="Q1927" s="7"/>
      <c r="R1927" s="1"/>
      <c r="S1927" s="1" t="str">
        <f>"8-22/NOS-38/21"</f>
        <v>8-22/NOS-38/21</v>
      </c>
      <c r="T1927" s="1" t="s">
        <v>32</v>
      </c>
    </row>
    <row r="1928" spans="1:20" ht="51" x14ac:dyDescent="0.25">
      <c r="A1928" s="6">
        <v>1924</v>
      </c>
      <c r="B1928" s="1" t="str">
        <f t="shared" si="180"/>
        <v>2021-1958</v>
      </c>
      <c r="C1928" s="1" t="s">
        <v>1626</v>
      </c>
      <c r="D1928" s="1" t="s">
        <v>87</v>
      </c>
      <c r="E1928" s="1" t="str">
        <f>""</f>
        <v/>
      </c>
      <c r="F1928" s="1" t="s">
        <v>28</v>
      </c>
      <c r="G1928" s="1" t="str">
        <f t="shared" si="181"/>
        <v>ELICOM D.O.O., ŠTEFANOVEC 138, 10000 ZAGREB, OIB: 76370234816</v>
      </c>
      <c r="H1928" s="7"/>
      <c r="I1928" s="8" t="s">
        <v>922</v>
      </c>
      <c r="J1928" s="8" t="s">
        <v>1188</v>
      </c>
      <c r="K1928" s="6" t="str">
        <f>"38.543,78"</f>
        <v>38.543,78</v>
      </c>
      <c r="L1928" s="6" t="str">
        <f>"9.635,95"</f>
        <v>9.635,95</v>
      </c>
      <c r="M1928" s="6" t="str">
        <f>"48.179,73"</f>
        <v>48.179,73</v>
      </c>
      <c r="N1928" s="8" t="s">
        <v>430</v>
      </c>
      <c r="O1928" s="7"/>
      <c r="P1928" s="2" t="s">
        <v>6778</v>
      </c>
      <c r="Q1928" s="7"/>
      <c r="R1928" s="1"/>
      <c r="S1928" s="1" t="str">
        <f>"6-22/NOS-38/21"</f>
        <v>6-22/NOS-38/21</v>
      </c>
      <c r="T1928" s="1" t="s">
        <v>32</v>
      </c>
    </row>
    <row r="1929" spans="1:20" ht="51" x14ac:dyDescent="0.25">
      <c r="A1929" s="6">
        <v>1925</v>
      </c>
      <c r="B1929" s="1" t="str">
        <f t="shared" si="180"/>
        <v>2021-1958</v>
      </c>
      <c r="C1929" s="1" t="s">
        <v>1626</v>
      </c>
      <c r="D1929" s="1" t="s">
        <v>87</v>
      </c>
      <c r="E1929" s="1" t="str">
        <f>""</f>
        <v/>
      </c>
      <c r="F1929" s="1" t="s">
        <v>28</v>
      </c>
      <c r="G1929" s="1" t="str">
        <f t="shared" si="181"/>
        <v>ELICOM D.O.O., ŠTEFANOVEC 138, 10000 ZAGREB, OIB: 76370234816</v>
      </c>
      <c r="H1929" s="7"/>
      <c r="I1929" s="8" t="s">
        <v>1155</v>
      </c>
      <c r="J1929" s="8" t="s">
        <v>423</v>
      </c>
      <c r="K1929" s="6" t="str">
        <f>"22.591,15"</f>
        <v>22.591,15</v>
      </c>
      <c r="L1929" s="6" t="str">
        <f>"5.647,79"</f>
        <v>5.647,79</v>
      </c>
      <c r="M1929" s="6" t="str">
        <f>"28.238,94"</f>
        <v>28.238,94</v>
      </c>
      <c r="N1929" s="8" t="s">
        <v>563</v>
      </c>
      <c r="O1929" s="7"/>
      <c r="P1929" s="2" t="s">
        <v>6779</v>
      </c>
      <c r="Q1929" s="7"/>
      <c r="R1929" s="1"/>
      <c r="S1929" s="1" t="str">
        <f>"9-22/NOS-38/21"</f>
        <v>9-22/NOS-38/21</v>
      </c>
      <c r="T1929" s="1" t="s">
        <v>32</v>
      </c>
    </row>
    <row r="1930" spans="1:20" ht="51" x14ac:dyDescent="0.25">
      <c r="A1930" s="6">
        <v>1926</v>
      </c>
      <c r="B1930" s="1" t="str">
        <f t="shared" si="180"/>
        <v>2021-1958</v>
      </c>
      <c r="C1930" s="1" t="s">
        <v>1626</v>
      </c>
      <c r="D1930" s="1" t="s">
        <v>87</v>
      </c>
      <c r="E1930" s="1" t="str">
        <f>""</f>
        <v/>
      </c>
      <c r="F1930" s="1" t="s">
        <v>28</v>
      </c>
      <c r="G1930" s="1" t="str">
        <f t="shared" si="181"/>
        <v>ELICOM D.O.O., ŠTEFANOVEC 138, 10000 ZAGREB, OIB: 76370234816</v>
      </c>
      <c r="H1930" s="7"/>
      <c r="I1930" s="8" t="s">
        <v>438</v>
      </c>
      <c r="J1930" s="8" t="s">
        <v>393</v>
      </c>
      <c r="K1930" s="6" t="str">
        <f>"3.087,96"</f>
        <v>3.087,96</v>
      </c>
      <c r="L1930" s="6" t="str">
        <f>"771,99"</f>
        <v>771,99</v>
      </c>
      <c r="M1930" s="6" t="str">
        <f>"3.859,95"</f>
        <v>3.859,95</v>
      </c>
      <c r="N1930" s="8" t="s">
        <v>893</v>
      </c>
      <c r="O1930" s="7"/>
      <c r="P1930" s="2" t="s">
        <v>6780</v>
      </c>
      <c r="Q1930" s="7"/>
      <c r="R1930" s="1"/>
      <c r="S1930" s="1" t="str">
        <f>"11-22/NOS-38/21"</f>
        <v>11-22/NOS-38/21</v>
      </c>
      <c r="T1930" s="1" t="s">
        <v>32</v>
      </c>
    </row>
    <row r="1931" spans="1:20" ht="51" x14ac:dyDescent="0.25">
      <c r="A1931" s="6">
        <v>1927</v>
      </c>
      <c r="B1931" s="1" t="str">
        <f t="shared" si="180"/>
        <v>2021-1958</v>
      </c>
      <c r="C1931" s="1" t="s">
        <v>1626</v>
      </c>
      <c r="D1931" s="1" t="s">
        <v>87</v>
      </c>
      <c r="E1931" s="1" t="str">
        <f>""</f>
        <v/>
      </c>
      <c r="F1931" s="1" t="s">
        <v>28</v>
      </c>
      <c r="G1931" s="1" t="str">
        <f t="shared" si="181"/>
        <v>ELICOM D.O.O., ŠTEFANOVEC 138, 10000 ZAGREB, OIB: 76370234816</v>
      </c>
      <c r="H1931" s="7"/>
      <c r="I1931" s="8" t="s">
        <v>524</v>
      </c>
      <c r="J1931" s="8" t="s">
        <v>423</v>
      </c>
      <c r="K1931" s="6" t="str">
        <f>"9.779,20"</f>
        <v>9.779,20</v>
      </c>
      <c r="L1931" s="6" t="str">
        <f>"2.444,80"</f>
        <v>2.444,80</v>
      </c>
      <c r="M1931" s="6" t="str">
        <f>"12.224,00"</f>
        <v>12.224,00</v>
      </c>
      <c r="N1931" s="8" t="s">
        <v>1025</v>
      </c>
      <c r="O1931" s="7"/>
      <c r="P1931" s="2" t="s">
        <v>6781</v>
      </c>
      <c r="Q1931" s="7"/>
      <c r="R1931" s="1"/>
      <c r="S1931" s="1" t="str">
        <f>"12-22/NOS-38/21"</f>
        <v>12-22/NOS-38/21</v>
      </c>
      <c r="T1931" s="1" t="s">
        <v>32</v>
      </c>
    </row>
    <row r="1932" spans="1:20" ht="51" x14ac:dyDescent="0.25">
      <c r="A1932" s="6">
        <v>1928</v>
      </c>
      <c r="B1932" s="1" t="str">
        <f t="shared" si="180"/>
        <v>2021-1958</v>
      </c>
      <c r="C1932" s="1" t="s">
        <v>1626</v>
      </c>
      <c r="D1932" s="1" t="s">
        <v>87</v>
      </c>
      <c r="E1932" s="1" t="str">
        <f>""</f>
        <v/>
      </c>
      <c r="F1932" s="1" t="s">
        <v>28</v>
      </c>
      <c r="G1932" s="1" t="str">
        <f t="shared" si="181"/>
        <v>ELICOM D.O.O., ŠTEFANOVEC 138, 10000 ZAGREB, OIB: 76370234816</v>
      </c>
      <c r="H1932" s="7"/>
      <c r="I1932" s="8" t="s">
        <v>939</v>
      </c>
      <c r="J1932" s="8" t="s">
        <v>555</v>
      </c>
      <c r="K1932" s="6" t="str">
        <f>"6.109,16"</f>
        <v>6.109,16</v>
      </c>
      <c r="L1932" s="6" t="str">
        <f>"1.527,29"</f>
        <v>1.527,29</v>
      </c>
      <c r="M1932" s="6" t="str">
        <f>"7.636,45"</f>
        <v>7.636,45</v>
      </c>
      <c r="N1932" s="8" t="s">
        <v>431</v>
      </c>
      <c r="O1932" s="7"/>
      <c r="P1932" s="2" t="s">
        <v>6782</v>
      </c>
      <c r="Q1932" s="7"/>
      <c r="R1932" s="1"/>
      <c r="S1932" s="1" t="str">
        <f>"17-22/NOS-38/21"</f>
        <v>17-22/NOS-38/21</v>
      </c>
      <c r="T1932" s="1" t="s">
        <v>32</v>
      </c>
    </row>
    <row r="1933" spans="1:20" ht="51" x14ac:dyDescent="0.25">
      <c r="A1933" s="6">
        <v>1929</v>
      </c>
      <c r="B1933" s="1" t="str">
        <f t="shared" si="180"/>
        <v>2021-1958</v>
      </c>
      <c r="C1933" s="1" t="s">
        <v>1626</v>
      </c>
      <c r="D1933" s="1" t="s">
        <v>87</v>
      </c>
      <c r="E1933" s="1" t="str">
        <f>""</f>
        <v/>
      </c>
      <c r="F1933" s="1" t="s">
        <v>28</v>
      </c>
      <c r="G1933" s="1" t="str">
        <f t="shared" si="181"/>
        <v>ELICOM D.O.O., ŠTEFANOVEC 138, 10000 ZAGREB, OIB: 76370234816</v>
      </c>
      <c r="H1933" s="7"/>
      <c r="I1933" s="8" t="s">
        <v>923</v>
      </c>
      <c r="J1933" s="8" t="s">
        <v>393</v>
      </c>
      <c r="K1933" s="6" t="str">
        <f>"788,59"</f>
        <v>788,59</v>
      </c>
      <c r="L1933" s="6" t="str">
        <f>"197,15"</f>
        <v>197,15</v>
      </c>
      <c r="M1933" s="6" t="str">
        <f>"985,74"</f>
        <v>985,74</v>
      </c>
      <c r="N1933" s="8" t="s">
        <v>565</v>
      </c>
      <c r="O1933" s="7"/>
      <c r="P1933" s="2" t="s">
        <v>6783</v>
      </c>
      <c r="Q1933" s="7"/>
      <c r="R1933" s="1"/>
      <c r="S1933" s="1" t="str">
        <f>"15-22/NOS-38/21"</f>
        <v>15-22/NOS-38/21</v>
      </c>
      <c r="T1933" s="1" t="s">
        <v>32</v>
      </c>
    </row>
    <row r="1934" spans="1:20" ht="51" x14ac:dyDescent="0.25">
      <c r="A1934" s="6">
        <v>1930</v>
      </c>
      <c r="B1934" s="1" t="str">
        <f t="shared" si="180"/>
        <v>2021-1958</v>
      </c>
      <c r="C1934" s="1" t="s">
        <v>1626</v>
      </c>
      <c r="D1934" s="1" t="s">
        <v>87</v>
      </c>
      <c r="E1934" s="1" t="str">
        <f>""</f>
        <v/>
      </c>
      <c r="F1934" s="1" t="s">
        <v>28</v>
      </c>
      <c r="G1934" s="1" t="str">
        <f t="shared" si="181"/>
        <v>ELICOM D.O.O., ŠTEFANOVEC 138, 10000 ZAGREB, OIB: 76370234816</v>
      </c>
      <c r="H1934" s="7"/>
      <c r="I1934" s="8" t="s">
        <v>923</v>
      </c>
      <c r="J1934" s="8" t="s">
        <v>231</v>
      </c>
      <c r="K1934" s="6" t="str">
        <f>"1.320,00"</f>
        <v>1.320,00</v>
      </c>
      <c r="L1934" s="6" t="str">
        <f>"330,00"</f>
        <v>330,00</v>
      </c>
      <c r="M1934" s="6" t="str">
        <f>"1.650,00"</f>
        <v>1.650,00</v>
      </c>
      <c r="N1934" s="8" t="s">
        <v>102</v>
      </c>
      <c r="O1934" s="7"/>
      <c r="P1934" s="2" t="s">
        <v>6784</v>
      </c>
      <c r="Q1934" s="7"/>
      <c r="R1934" s="1"/>
      <c r="S1934" s="1" t="str">
        <f>"13-22/NOS-38/21"</f>
        <v>13-22/NOS-38/21</v>
      </c>
      <c r="T1934" s="1" t="s">
        <v>32</v>
      </c>
    </row>
    <row r="1935" spans="1:20" ht="51" x14ac:dyDescent="0.25">
      <c r="A1935" s="6">
        <v>1931</v>
      </c>
      <c r="B1935" s="1" t="str">
        <f t="shared" si="180"/>
        <v>2021-1958</v>
      </c>
      <c r="C1935" s="1" t="s">
        <v>1626</v>
      </c>
      <c r="D1935" s="1" t="s">
        <v>87</v>
      </c>
      <c r="E1935" s="1" t="str">
        <f>""</f>
        <v/>
      </c>
      <c r="F1935" s="1" t="s">
        <v>28</v>
      </c>
      <c r="G1935" s="1" t="str">
        <f t="shared" si="181"/>
        <v>ELICOM D.O.O., ŠTEFANOVEC 138, 10000 ZAGREB, OIB: 76370234816</v>
      </c>
      <c r="H1935" s="7"/>
      <c r="I1935" s="8" t="s">
        <v>923</v>
      </c>
      <c r="J1935" s="8" t="s">
        <v>231</v>
      </c>
      <c r="K1935" s="6" t="str">
        <f>"6.120,80"</f>
        <v>6.120,80</v>
      </c>
      <c r="L1935" s="6" t="str">
        <f>"0,00"</f>
        <v>0,00</v>
      </c>
      <c r="M1935" s="6" t="str">
        <f>"6.120,80"</f>
        <v>6.120,80</v>
      </c>
      <c r="N1935" s="8" t="s">
        <v>124</v>
      </c>
      <c r="O1935" s="7"/>
      <c r="P1935" s="2" t="s">
        <v>5614</v>
      </c>
      <c r="Q1935" s="7"/>
      <c r="R1935" s="1"/>
      <c r="S1935" s="1" t="str">
        <f>"14-22/NOS-38/21"</f>
        <v>14-22/NOS-38/21</v>
      </c>
      <c r="T1935" s="1" t="s">
        <v>32</v>
      </c>
    </row>
    <row r="1936" spans="1:20" ht="51" x14ac:dyDescent="0.25">
      <c r="A1936" s="6">
        <v>1932</v>
      </c>
      <c r="B1936" s="1" t="str">
        <f t="shared" si="180"/>
        <v>2021-1958</v>
      </c>
      <c r="C1936" s="1" t="s">
        <v>1626</v>
      </c>
      <c r="D1936" s="1" t="s">
        <v>87</v>
      </c>
      <c r="E1936" s="1" t="str">
        <f>""</f>
        <v/>
      </c>
      <c r="F1936" s="1" t="s">
        <v>28</v>
      </c>
      <c r="G1936" s="1" t="str">
        <f t="shared" si="181"/>
        <v>ELICOM D.O.O., ŠTEFANOVEC 138, 10000 ZAGREB, OIB: 76370234816</v>
      </c>
      <c r="H1936" s="7"/>
      <c r="I1936" s="8" t="s">
        <v>281</v>
      </c>
      <c r="J1936" s="8" t="s">
        <v>423</v>
      </c>
      <c r="K1936" s="6" t="str">
        <f>"1.101,00"</f>
        <v>1.101,00</v>
      </c>
      <c r="L1936" s="6" t="str">
        <f>"0,00"</f>
        <v>0,00</v>
      </c>
      <c r="M1936" s="6" t="str">
        <f>"1.101,00"</f>
        <v>1.101,00</v>
      </c>
      <c r="N1936" s="8" t="s">
        <v>124</v>
      </c>
      <c r="O1936" s="7"/>
      <c r="P1936" s="2" t="s">
        <v>5614</v>
      </c>
      <c r="Q1936" s="7"/>
      <c r="R1936" s="1"/>
      <c r="S1936" s="1" t="str">
        <f>"16-22/NOS-38/21"</f>
        <v>16-22/NOS-38/21</v>
      </c>
      <c r="T1936" s="1" t="s">
        <v>32</v>
      </c>
    </row>
    <row r="1937" spans="1:20" ht="51" x14ac:dyDescent="0.25">
      <c r="A1937" s="6">
        <v>1933</v>
      </c>
      <c r="B1937" s="1" t="str">
        <f t="shared" si="180"/>
        <v>2021-1958</v>
      </c>
      <c r="C1937" s="1" t="s">
        <v>1626</v>
      </c>
      <c r="D1937" s="1" t="s">
        <v>87</v>
      </c>
      <c r="E1937" s="1" t="str">
        <f>""</f>
        <v/>
      </c>
      <c r="F1937" s="1" t="s">
        <v>28</v>
      </c>
      <c r="G1937" s="1" t="str">
        <f t="shared" si="181"/>
        <v>ELICOM D.O.O., ŠTEFANOVEC 138, 10000 ZAGREB, OIB: 76370234816</v>
      </c>
      <c r="H1937" s="7"/>
      <c r="I1937" s="8" t="s">
        <v>520</v>
      </c>
      <c r="J1937" s="8" t="s">
        <v>231</v>
      </c>
      <c r="K1937" s="6" t="str">
        <f>"10.276,27"</f>
        <v>10.276,27</v>
      </c>
      <c r="L1937" s="6" t="str">
        <f>"2.569,07"</f>
        <v>2.569,07</v>
      </c>
      <c r="M1937" s="6" t="str">
        <f>"12.845,34"</f>
        <v>12.845,34</v>
      </c>
      <c r="N1937" s="8" t="s">
        <v>1157</v>
      </c>
      <c r="O1937" s="7"/>
      <c r="P1937" s="2" t="s">
        <v>6785</v>
      </c>
      <c r="Q1937" s="7"/>
      <c r="R1937" s="1"/>
      <c r="S1937" s="1" t="str">
        <f>"20-22/NOS-38/21"</f>
        <v>20-22/NOS-38/21</v>
      </c>
      <c r="T1937" s="1" t="s">
        <v>32</v>
      </c>
    </row>
    <row r="1938" spans="1:20" ht="51" x14ac:dyDescent="0.25">
      <c r="A1938" s="6">
        <v>1934</v>
      </c>
      <c r="B1938" s="1" t="str">
        <f t="shared" si="180"/>
        <v>2021-1958</v>
      </c>
      <c r="C1938" s="1" t="s">
        <v>1626</v>
      </c>
      <c r="D1938" s="1" t="s">
        <v>87</v>
      </c>
      <c r="E1938" s="1" t="str">
        <f>""</f>
        <v/>
      </c>
      <c r="F1938" s="1" t="s">
        <v>28</v>
      </c>
      <c r="G1938" s="1" t="str">
        <f t="shared" si="181"/>
        <v>ELICOM D.O.O., ŠTEFANOVEC 138, 10000 ZAGREB, OIB: 76370234816</v>
      </c>
      <c r="H1938" s="7"/>
      <c r="I1938" s="8" t="s">
        <v>431</v>
      </c>
      <c r="J1938" s="8" t="s">
        <v>423</v>
      </c>
      <c r="K1938" s="6" t="str">
        <f>"9.686,00"</f>
        <v>9.686,00</v>
      </c>
      <c r="L1938" s="6" t="str">
        <f>"0,00"</f>
        <v>0,00</v>
      </c>
      <c r="M1938" s="6" t="str">
        <f>"9.686,00"</f>
        <v>9.686,00</v>
      </c>
      <c r="N1938" s="8" t="s">
        <v>124</v>
      </c>
      <c r="O1938" s="7"/>
      <c r="P1938" s="2" t="s">
        <v>5614</v>
      </c>
      <c r="Q1938" s="7"/>
      <c r="R1938" s="1"/>
      <c r="S1938" s="1" t="str">
        <f>"23-22/NOS-38/21"</f>
        <v>23-22/NOS-38/21</v>
      </c>
      <c r="T1938" s="1" t="s">
        <v>32</v>
      </c>
    </row>
    <row r="1939" spans="1:20" ht="51" x14ac:dyDescent="0.25">
      <c r="A1939" s="6">
        <v>1935</v>
      </c>
      <c r="B1939" s="1" t="str">
        <f t="shared" si="180"/>
        <v>2021-1958</v>
      </c>
      <c r="C1939" s="1" t="s">
        <v>1626</v>
      </c>
      <c r="D1939" s="1" t="s">
        <v>87</v>
      </c>
      <c r="E1939" s="1" t="str">
        <f>""</f>
        <v/>
      </c>
      <c r="F1939" s="1" t="s">
        <v>28</v>
      </c>
      <c r="G1939" s="1" t="str">
        <f t="shared" si="181"/>
        <v>ELICOM D.O.O., ŠTEFANOVEC 138, 10000 ZAGREB, OIB: 76370234816</v>
      </c>
      <c r="H1939" s="7"/>
      <c r="I1939" s="8" t="s">
        <v>285</v>
      </c>
      <c r="J1939" s="8" t="s">
        <v>292</v>
      </c>
      <c r="K1939" s="6" t="str">
        <f>"6.910,41"</f>
        <v>6.910,41</v>
      </c>
      <c r="L1939" s="6" t="str">
        <f>"1.727,60"</f>
        <v>1.727,60</v>
      </c>
      <c r="M1939" s="6" t="str">
        <f>"8.638,01"</f>
        <v>8.638,01</v>
      </c>
      <c r="N1939" s="8" t="s">
        <v>54</v>
      </c>
      <c r="O1939" s="7"/>
      <c r="P1939" s="2" t="s">
        <v>6786</v>
      </c>
      <c r="Q1939" s="7"/>
      <c r="R1939" s="1"/>
      <c r="S1939" s="1" t="str">
        <f>"22-22/NOS-38/21"</f>
        <v>22-22/NOS-38/21</v>
      </c>
      <c r="T1939" s="1" t="s">
        <v>32</v>
      </c>
    </row>
    <row r="1940" spans="1:20" ht="51" x14ac:dyDescent="0.25">
      <c r="A1940" s="6">
        <v>1936</v>
      </c>
      <c r="B1940" s="1" t="str">
        <f t="shared" si="180"/>
        <v>2021-1958</v>
      </c>
      <c r="C1940" s="1" t="s">
        <v>1626</v>
      </c>
      <c r="D1940" s="1" t="s">
        <v>87</v>
      </c>
      <c r="E1940" s="1" t="str">
        <f>""</f>
        <v/>
      </c>
      <c r="F1940" s="1" t="s">
        <v>28</v>
      </c>
      <c r="G1940" s="1" t="str">
        <f t="shared" si="181"/>
        <v>ELICOM D.O.O., ŠTEFANOVEC 138, 10000 ZAGREB, OIB: 76370234816</v>
      </c>
      <c r="H1940" s="7"/>
      <c r="I1940" s="8" t="s">
        <v>947</v>
      </c>
      <c r="J1940" s="8" t="s">
        <v>231</v>
      </c>
      <c r="K1940" s="6" t="str">
        <f>"4.630,00"</f>
        <v>4.630,00</v>
      </c>
      <c r="L1940" s="6" t="str">
        <f>"0,00"</f>
        <v>0,00</v>
      </c>
      <c r="M1940" s="6" t="str">
        <f>"4.630,00"</f>
        <v>4.630,00</v>
      </c>
      <c r="N1940" s="8" t="s">
        <v>124</v>
      </c>
      <c r="O1940" s="7"/>
      <c r="P1940" s="2" t="s">
        <v>5614</v>
      </c>
      <c r="Q1940" s="7"/>
      <c r="R1940" s="1"/>
      <c r="S1940" s="1" t="str">
        <f>"26-22/NOS-38/21"</f>
        <v>26-22/NOS-38/21</v>
      </c>
      <c r="T1940" s="1" t="s">
        <v>32</v>
      </c>
    </row>
    <row r="1941" spans="1:20" ht="51" x14ac:dyDescent="0.25">
      <c r="A1941" s="6">
        <v>1937</v>
      </c>
      <c r="B1941" s="1" t="str">
        <f t="shared" si="180"/>
        <v>2021-1958</v>
      </c>
      <c r="C1941" s="1" t="s">
        <v>1626</v>
      </c>
      <c r="D1941" s="1" t="s">
        <v>87</v>
      </c>
      <c r="E1941" s="1" t="str">
        <f>""</f>
        <v/>
      </c>
      <c r="F1941" s="1" t="s">
        <v>28</v>
      </c>
      <c r="G1941" s="1" t="str">
        <f t="shared" si="181"/>
        <v>ELICOM D.O.O., ŠTEFANOVEC 138, 10000 ZAGREB, OIB: 76370234816</v>
      </c>
      <c r="H1941" s="7"/>
      <c r="I1941" s="8" t="s">
        <v>947</v>
      </c>
      <c r="J1941" s="8" t="s">
        <v>231</v>
      </c>
      <c r="K1941" s="6" t="str">
        <f>"15.271,10"</f>
        <v>15.271,10</v>
      </c>
      <c r="L1941" s="6" t="str">
        <f>"0,00"</f>
        <v>0,00</v>
      </c>
      <c r="M1941" s="6" t="str">
        <f>"15.271,10"</f>
        <v>15.271,10</v>
      </c>
      <c r="N1941" s="8" t="s">
        <v>124</v>
      </c>
      <c r="O1941" s="7"/>
      <c r="P1941" s="2" t="s">
        <v>5614</v>
      </c>
      <c r="Q1941" s="7"/>
      <c r="R1941" s="1"/>
      <c r="S1941" s="1" t="str">
        <f>"25-22/NOS-38/21"</f>
        <v>25-22/NOS-38/21</v>
      </c>
      <c r="T1941" s="1" t="s">
        <v>32</v>
      </c>
    </row>
    <row r="1942" spans="1:20" ht="51" x14ac:dyDescent="0.25">
      <c r="A1942" s="6">
        <v>1938</v>
      </c>
      <c r="B1942" s="1" t="str">
        <f t="shared" si="180"/>
        <v>2021-1958</v>
      </c>
      <c r="C1942" s="1" t="s">
        <v>1626</v>
      </c>
      <c r="D1942" s="1" t="s">
        <v>87</v>
      </c>
      <c r="E1942" s="1" t="str">
        <f>""</f>
        <v/>
      </c>
      <c r="F1942" s="1" t="s">
        <v>28</v>
      </c>
      <c r="G1942" s="1" t="str">
        <f t="shared" si="181"/>
        <v>ELICOM D.O.O., ŠTEFANOVEC 138, 10000 ZAGREB, OIB: 76370234816</v>
      </c>
      <c r="H1942" s="7"/>
      <c r="I1942" s="8" t="s">
        <v>553</v>
      </c>
      <c r="J1942" s="8" t="s">
        <v>256</v>
      </c>
      <c r="K1942" s="6" t="str">
        <f>"15.519,60"</f>
        <v>15.519,60</v>
      </c>
      <c r="L1942" s="6" t="str">
        <f>"0,00"</f>
        <v>0,00</v>
      </c>
      <c r="M1942" s="6" t="str">
        <f>"15.519,60"</f>
        <v>15.519,60</v>
      </c>
      <c r="N1942" s="8" t="s">
        <v>124</v>
      </c>
      <c r="O1942" s="7"/>
      <c r="P1942" s="2" t="s">
        <v>5614</v>
      </c>
      <c r="Q1942" s="7"/>
      <c r="R1942" s="1"/>
      <c r="S1942" s="1" t="str">
        <f>"24-22/NOS-38/21"</f>
        <v>24-22/NOS-38/21</v>
      </c>
      <c r="T1942" s="1" t="s">
        <v>32</v>
      </c>
    </row>
    <row r="1943" spans="1:20" ht="102" x14ac:dyDescent="0.25">
      <c r="A1943" s="6">
        <v>1939</v>
      </c>
      <c r="B1943" s="1" t="str">
        <f>"2021-1812"</f>
        <v>2021-1812</v>
      </c>
      <c r="C1943" s="1" t="s">
        <v>1630</v>
      </c>
      <c r="D1943" s="1" t="s">
        <v>1623</v>
      </c>
      <c r="E1943" s="1" t="str">
        <f>"2021/S 0F2-0040178"</f>
        <v>2021/S 0F2-0040178</v>
      </c>
      <c r="F1943" s="1" t="s">
        <v>22</v>
      </c>
      <c r="G1943" s="1" t="str">
        <f>CONCATENATE("PAMAJO D.O.O.,"," VRANIČKA 7/A,"," 10000 ZAGREB,"," OIB: 46401136513")</f>
        <v>PAMAJO D.O.O., VRANIČKA 7/A, 10000 ZAGREB, OIB: 46401136513</v>
      </c>
      <c r="H1943" s="7"/>
      <c r="I1943" s="8" t="s">
        <v>401</v>
      </c>
      <c r="J1943" s="8" t="s">
        <v>1624</v>
      </c>
      <c r="K1943" s="6" t="str">
        <f>"400.000,00"</f>
        <v>400.000,00</v>
      </c>
      <c r="L1943" s="6" t="str">
        <f>"100.000,00"</f>
        <v>100.000,00</v>
      </c>
      <c r="M1943" s="6" t="str">
        <f>"500.000,00"</f>
        <v>500.000,00</v>
      </c>
      <c r="N1943" s="8" t="s">
        <v>124</v>
      </c>
      <c r="O1943" s="7"/>
      <c r="P1943" s="2" t="s">
        <v>5614</v>
      </c>
      <c r="Q1943" s="7"/>
      <c r="R1943" s="1"/>
      <c r="S1943" s="1" t="str">
        <f>"NOS-48-3/21"</f>
        <v>NOS-48-3/21</v>
      </c>
      <c r="T1943" s="1" t="s">
        <v>661</v>
      </c>
    </row>
    <row r="1944" spans="1:20" ht="51" x14ac:dyDescent="0.25">
      <c r="A1944" s="6">
        <v>1940</v>
      </c>
      <c r="B1944" s="1" t="str">
        <f>"2021-1812"</f>
        <v>2021-1812</v>
      </c>
      <c r="C1944" s="1" t="s">
        <v>1630</v>
      </c>
      <c r="D1944" s="1" t="s">
        <v>1623</v>
      </c>
      <c r="E1944" s="1" t="str">
        <f>""</f>
        <v/>
      </c>
      <c r="F1944" s="1" t="s">
        <v>28</v>
      </c>
      <c r="G1944" s="1" t="str">
        <f>CONCATENATE("PAMAJO D.O.O.,"," VRANIČKA 7/A,"," 10000 ZAGREB,"," OIB: 46401136513")</f>
        <v>PAMAJO D.O.O., VRANIČKA 7/A, 10000 ZAGREB, OIB: 46401136513</v>
      </c>
      <c r="H1944" s="7"/>
      <c r="I1944" s="8" t="s">
        <v>564</v>
      </c>
      <c r="J1944" s="8" t="s">
        <v>423</v>
      </c>
      <c r="K1944" s="6" t="str">
        <f>"4.800,00"</f>
        <v>4.800,00</v>
      </c>
      <c r="L1944" s="6" t="str">
        <f>"0,00"</f>
        <v>0,00</v>
      </c>
      <c r="M1944" s="6" t="str">
        <f>"4.800,00"</f>
        <v>4.800,00</v>
      </c>
      <c r="N1944" s="8" t="s">
        <v>124</v>
      </c>
      <c r="O1944" s="7"/>
      <c r="P1944" s="2" t="s">
        <v>5614</v>
      </c>
      <c r="Q1944" s="7"/>
      <c r="R1944" s="1"/>
      <c r="S1944" s="1" t="str">
        <f>"1-22/NOS-48-3/21"</f>
        <v>1-22/NOS-48-3/21</v>
      </c>
      <c r="T1944" s="1" t="s">
        <v>32</v>
      </c>
    </row>
    <row r="1945" spans="1:20" ht="51" x14ac:dyDescent="0.25">
      <c r="A1945" s="6">
        <v>1941</v>
      </c>
      <c r="B1945" s="1" t="str">
        <f>"2022-50"</f>
        <v>2022-50</v>
      </c>
      <c r="C1945" s="1" t="s">
        <v>1631</v>
      </c>
      <c r="D1945" s="1" t="s">
        <v>1632</v>
      </c>
      <c r="E1945" s="1" t="str">
        <f>"2022/S 0F2-0009344"</f>
        <v>2022/S 0F2-0009344</v>
      </c>
      <c r="F1945" s="1" t="s">
        <v>22</v>
      </c>
      <c r="G1945" s="1" t="str">
        <f>CONCATENATE("KUDUMIJA  D.O.O.,"," VELIKE SREDICE 161/A,"," 43000 BJELOVAR,"," OIB: 94694539623")</f>
        <v>KUDUMIJA  D.O.O., VELIKE SREDICE 161/A, 43000 BJELOVAR, OIB: 94694539623</v>
      </c>
      <c r="H1945" s="7"/>
      <c r="I1945" s="8" t="s">
        <v>403</v>
      </c>
      <c r="J1945" s="8" t="s">
        <v>1633</v>
      </c>
      <c r="K1945" s="6" t="str">
        <f>"750.000,00"</f>
        <v>750.000,00</v>
      </c>
      <c r="L1945" s="6" t="str">
        <f>"187.500,00"</f>
        <v>187.500,00</v>
      </c>
      <c r="M1945" s="6" t="str">
        <f>"937.500,00"</f>
        <v>937.500,00</v>
      </c>
      <c r="N1945" s="8" t="s">
        <v>124</v>
      </c>
      <c r="O1945" s="7"/>
      <c r="P1945" s="2" t="s">
        <v>5614</v>
      </c>
      <c r="Q1945" s="7"/>
      <c r="R1945" s="1"/>
      <c r="S1945" s="1" t="str">
        <f>"NOS-2-1/22"</f>
        <v>NOS-2-1/22</v>
      </c>
      <c r="T1945" s="1" t="s">
        <v>32</v>
      </c>
    </row>
    <row r="1946" spans="1:20" ht="51" x14ac:dyDescent="0.25">
      <c r="A1946" s="6">
        <v>1942</v>
      </c>
      <c r="B1946" s="1" t="str">
        <f>"2022-50"</f>
        <v>2022-50</v>
      </c>
      <c r="C1946" s="1" t="s">
        <v>1631</v>
      </c>
      <c r="D1946" s="1" t="s">
        <v>1566</v>
      </c>
      <c r="E1946" s="1" t="str">
        <f>""</f>
        <v/>
      </c>
      <c r="F1946" s="1" t="s">
        <v>28</v>
      </c>
      <c r="G1946" s="1" t="str">
        <f>CONCATENATE("KUDUMIJA  D.O.O.,"," VELIKE SREDICE 161/A,"," 43000 BJELOVAR,"," OIB: 94694539623")</f>
        <v>KUDUMIJA  D.O.O., VELIKE SREDICE 161/A, 43000 BJELOVAR, OIB: 94694539623</v>
      </c>
      <c r="H1946" s="7"/>
      <c r="I1946" s="8" t="s">
        <v>172</v>
      </c>
      <c r="J1946" s="8" t="s">
        <v>519</v>
      </c>
      <c r="K1946" s="6" t="str">
        <f>"253.355,00"</f>
        <v>253.355,00</v>
      </c>
      <c r="L1946" s="6" t="str">
        <f>"63.338,75"</f>
        <v>63.338,75</v>
      </c>
      <c r="M1946" s="6" t="str">
        <f>"316.693,75"</f>
        <v>316.693,75</v>
      </c>
      <c r="N1946" s="8" t="s">
        <v>263</v>
      </c>
      <c r="O1946" s="7"/>
      <c r="P1946" s="2" t="s">
        <v>6787</v>
      </c>
      <c r="Q1946" s="7"/>
      <c r="R1946" s="1"/>
      <c r="S1946" s="1" t="str">
        <f>"2-22/NOS-2-1/22"</f>
        <v>2-22/NOS-2-1/22</v>
      </c>
      <c r="T1946" s="1" t="s">
        <v>32</v>
      </c>
    </row>
    <row r="1947" spans="1:20" ht="63.75" x14ac:dyDescent="0.25">
      <c r="A1947" s="6">
        <v>1943</v>
      </c>
      <c r="B1947" s="1" t="str">
        <f>"2022-50"</f>
        <v>2022-50</v>
      </c>
      <c r="C1947" s="1" t="s">
        <v>1634</v>
      </c>
      <c r="D1947" s="1" t="s">
        <v>1632</v>
      </c>
      <c r="E1947" s="1" t="str">
        <f>"2022/S 0F2-0009344"</f>
        <v>2022/S 0F2-0009344</v>
      </c>
      <c r="F1947" s="1" t="s">
        <v>22</v>
      </c>
      <c r="G1947" s="1" t="str">
        <f>CONCATENATE("ŠTAND EXPO D.O.O.,"," GORNJOSTUPNIČKI ODVOJAK 7,"," 10255 GORNJI STUPNIK,"," OIB: 29980236683")</f>
        <v>ŠTAND EXPO D.O.O., GORNJOSTUPNIČKI ODVOJAK 7, 10255 GORNJI STUPNIK, OIB: 29980236683</v>
      </c>
      <c r="H1947" s="7"/>
      <c r="I1947" s="8" t="s">
        <v>403</v>
      </c>
      <c r="J1947" s="8" t="s">
        <v>1635</v>
      </c>
      <c r="K1947" s="6" t="str">
        <f>"500.000,00"</f>
        <v>500.000,00</v>
      </c>
      <c r="L1947" s="6" t="str">
        <f>"125.000,00"</f>
        <v>125.000,00</v>
      </c>
      <c r="M1947" s="6" t="str">
        <f>"625.000,00"</f>
        <v>625.000,00</v>
      </c>
      <c r="N1947" s="8" t="s">
        <v>124</v>
      </c>
      <c r="O1947" s="7"/>
      <c r="P1947" s="2" t="s">
        <v>5614</v>
      </c>
      <c r="Q1947" s="7"/>
      <c r="R1947" s="1"/>
      <c r="S1947" s="1" t="str">
        <f>"NOS-2-2/22"</f>
        <v>NOS-2-2/22</v>
      </c>
      <c r="T1947" s="1" t="s">
        <v>32</v>
      </c>
    </row>
    <row r="1948" spans="1:20" ht="63.75" x14ac:dyDescent="0.25">
      <c r="A1948" s="6">
        <v>1944</v>
      </c>
      <c r="B1948" s="1" t="str">
        <f>"2022-50"</f>
        <v>2022-50</v>
      </c>
      <c r="C1948" s="1" t="s">
        <v>1634</v>
      </c>
      <c r="D1948" s="1" t="s">
        <v>1566</v>
      </c>
      <c r="E1948" s="1" t="str">
        <f>""</f>
        <v/>
      </c>
      <c r="F1948" s="1" t="s">
        <v>28</v>
      </c>
      <c r="G1948" s="1" t="str">
        <f>CONCATENATE("ŠTAND EXPO D.O.O.,"," GORNJOSTUPNIČKI ODVOJAK 7,"," 10255 GORNJI STUPNIK,"," OIB: 29980236683")</f>
        <v>ŠTAND EXPO D.O.O., GORNJOSTUPNIČKI ODVOJAK 7, 10255 GORNJI STUPNIK, OIB: 29980236683</v>
      </c>
      <c r="H1948" s="7"/>
      <c r="I1948" s="8" t="s">
        <v>172</v>
      </c>
      <c r="J1948" s="8" t="s">
        <v>519</v>
      </c>
      <c r="K1948" s="6" t="str">
        <f>"29.275,00"</f>
        <v>29.275,00</v>
      </c>
      <c r="L1948" s="6" t="str">
        <f>"7.318,75"</f>
        <v>7.318,75</v>
      </c>
      <c r="M1948" s="6" t="str">
        <f>"36.593,75"</f>
        <v>36.593,75</v>
      </c>
      <c r="N1948" s="8" t="s">
        <v>263</v>
      </c>
      <c r="O1948" s="7"/>
      <c r="P1948" s="2" t="s">
        <v>6788</v>
      </c>
      <c r="Q1948" s="7"/>
      <c r="R1948" s="1"/>
      <c r="S1948" s="1" t="str">
        <f>"1-22/NOS-2-2/22"</f>
        <v>1-22/NOS-2-2/22</v>
      </c>
      <c r="T1948" s="1" t="s">
        <v>32</v>
      </c>
    </row>
    <row r="1949" spans="1:20" ht="51" x14ac:dyDescent="0.25">
      <c r="A1949" s="6">
        <v>1945</v>
      </c>
      <c r="B1949" s="1" t="str">
        <f>"2022-44"</f>
        <v>2022-44</v>
      </c>
      <c r="C1949" s="1" t="s">
        <v>1636</v>
      </c>
      <c r="D1949" s="1" t="s">
        <v>1637</v>
      </c>
      <c r="E1949" s="1" t="str">
        <f>"2022/S 0F2-0009404"</f>
        <v>2022/S 0F2-0009404</v>
      </c>
      <c r="F1949" s="1" t="s">
        <v>22</v>
      </c>
      <c r="G1949" s="1" t="str">
        <f>CONCATENATE("KUPOLE BOLJE OD ŠATORA D.O.O.,"," LUČKO 47B,"," 10000 ZAGREB,"," OIB: 77581043464")</f>
        <v>KUPOLE BOLJE OD ŠATORA D.O.O., LUČKO 47B, 10000 ZAGREB, OIB: 77581043464</v>
      </c>
      <c r="H1949" s="7"/>
      <c r="I1949" s="8" t="s">
        <v>284</v>
      </c>
      <c r="J1949" s="8" t="s">
        <v>1638</v>
      </c>
      <c r="K1949" s="6" t="str">
        <f>"1.000.000,00"</f>
        <v>1.000.000,00</v>
      </c>
      <c r="L1949" s="6" t="str">
        <f>"250.000,00"</f>
        <v>250.000,00</v>
      </c>
      <c r="M1949" s="6" t="str">
        <f>"1.250.000,00"</f>
        <v>1.250.000,00</v>
      </c>
      <c r="N1949" s="8" t="s">
        <v>124</v>
      </c>
      <c r="O1949" s="7"/>
      <c r="P1949" s="2" t="s">
        <v>5614</v>
      </c>
      <c r="Q1949" s="7"/>
      <c r="R1949" s="1"/>
      <c r="S1949" s="1" t="str">
        <f>"NOS-1/22"</f>
        <v>NOS-1/22</v>
      </c>
      <c r="T1949" s="1" t="s">
        <v>32</v>
      </c>
    </row>
    <row r="1950" spans="1:20" ht="51" x14ac:dyDescent="0.25">
      <c r="A1950" s="6">
        <v>1946</v>
      </c>
      <c r="B1950" s="1" t="str">
        <f>"2022-44"</f>
        <v>2022-44</v>
      </c>
      <c r="C1950" s="1" t="s">
        <v>1636</v>
      </c>
      <c r="D1950" s="1" t="s">
        <v>1639</v>
      </c>
      <c r="E1950" s="1" t="str">
        <f>""</f>
        <v/>
      </c>
      <c r="F1950" s="1" t="s">
        <v>28</v>
      </c>
      <c r="G1950" s="1" t="str">
        <f>CONCATENATE("KUPOLE BOLJE OD ŠATORA D.O.O.,"," LUČKO 47B,"," 10000 ZAGREB,"," OIB: 77581043464")</f>
        <v>KUPOLE BOLJE OD ŠATORA D.O.O., LUČKO 47B, 10000 ZAGREB, OIB: 77581043464</v>
      </c>
      <c r="H1950" s="7"/>
      <c r="I1950" s="8" t="s">
        <v>30</v>
      </c>
      <c r="J1950" s="8" t="s">
        <v>519</v>
      </c>
      <c r="K1950" s="6" t="str">
        <f>"350.000,00"</f>
        <v>350.000,00</v>
      </c>
      <c r="L1950" s="6" t="str">
        <f>"88.400,00"</f>
        <v>88.400,00</v>
      </c>
      <c r="M1950" s="6" t="str">
        <f>"438.400,00"</f>
        <v>438.400,00</v>
      </c>
      <c r="N1950" s="8" t="s">
        <v>524</v>
      </c>
      <c r="O1950" s="7"/>
      <c r="P1950" s="2" t="s">
        <v>6789</v>
      </c>
      <c r="Q1950" s="1" t="s">
        <v>488</v>
      </c>
      <c r="R1950" s="1"/>
      <c r="S1950" s="1" t="str">
        <f>"1-22/NOS-1/22"</f>
        <v>1-22/NOS-1/22</v>
      </c>
      <c r="T1950" s="1" t="s">
        <v>32</v>
      </c>
    </row>
    <row r="1951" spans="1:20" ht="306" x14ac:dyDescent="0.25">
      <c r="A1951" s="6">
        <v>1947</v>
      </c>
      <c r="B1951" s="1" t="str">
        <f>"2021-2169"</f>
        <v>2021-2169</v>
      </c>
      <c r="C1951" s="1" t="s">
        <v>1640</v>
      </c>
      <c r="D1951" s="1" t="s">
        <v>1641</v>
      </c>
      <c r="E1951" s="1" t="str">
        <f>"2021/S 0F2-0028988"</f>
        <v>2021/S 0F2-0028988</v>
      </c>
      <c r="F1951" s="1" t="s">
        <v>22</v>
      </c>
      <c r="G1951" s="1" t="str">
        <f>CONCATENATE("INVESTINŽENJERING D.O.O.,"," TUŠKANOVA 41,"," 10000 ZAGREB,"," OIB: 78904416556",CHAR(10),"",CHAR(10),"PGT ŠKUNCA D.O.O.,"," JURJA ŠIŽGORIĆA 19,"," 10000 ZAGREB,"," OIB: 13759281212",CHAR(10),"",CHAR(10),"BOLD D.O.O.,"," KSAVER 26,"," 10000 ZAGREB,"," OIB: 40965066600",CHAR(10),"",CHAR(10),"PROJEKTNI URED MI2A D.O.O.,"," ULICA OTONA IVEKOVIĆA 25,"," 10 360 ZAGREB,"," OIB: 03897450800",CHAR(10),"",CHAR(10),"SOLUM INŽENJERING D.O.O.,"," II JUŽNA OBALA 4,"," 10020 ZAGREB,"," OIB: 0983237019")</f>
        <v>INVESTINŽENJERING D.O.O., TUŠKANOVA 41, 10000 ZAGREB, OIB: 78904416556
PGT ŠKUNCA D.O.O., JURJA ŠIŽGORIĆA 19, 10000 ZAGREB, OIB: 13759281212
BOLD D.O.O., KSAVER 26, 10000 ZAGREB, OIB: 40965066600
PROJEKTNI URED MI2A D.O.O., ULICA OTONA IVEKOVIĆA 25, 10 360 ZAGREB, OIB: 03897450800
SOLUM INŽENJERING D.O.O., II JUŽNA OBALA 4, 10020 ZAGREB, OIB: 0983237019</v>
      </c>
      <c r="H1951" s="7"/>
      <c r="I1951" s="8" t="s">
        <v>284</v>
      </c>
      <c r="J1951" s="8" t="s">
        <v>1638</v>
      </c>
      <c r="K1951" s="6" t="str">
        <f>"400.000,00"</f>
        <v>400.000,00</v>
      </c>
      <c r="L1951" s="6" t="str">
        <f>"100.000,00"</f>
        <v>100.000,00</v>
      </c>
      <c r="M1951" s="6" t="str">
        <f>"500.000,00"</f>
        <v>500.000,00</v>
      </c>
      <c r="N1951" s="8" t="s">
        <v>124</v>
      </c>
      <c r="O1951" s="7"/>
      <c r="P1951" s="2" t="s">
        <v>5614</v>
      </c>
      <c r="Q1951" s="7"/>
      <c r="R1951" s="1"/>
      <c r="S1951" s="1" t="str">
        <f>"NOS-49-1/21"</f>
        <v>NOS-49-1/21</v>
      </c>
      <c r="T1951" s="1" t="s">
        <v>32</v>
      </c>
    </row>
    <row r="1952" spans="1:20" ht="127.5" x14ac:dyDescent="0.25">
      <c r="A1952" s="6">
        <v>1948</v>
      </c>
      <c r="B1952" s="1" t="str">
        <f>"2021-2169"</f>
        <v>2021-2169</v>
      </c>
      <c r="C1952" s="1" t="s">
        <v>1640</v>
      </c>
      <c r="D1952" s="1" t="s">
        <v>1642</v>
      </c>
      <c r="E1952" s="1" t="str">
        <f>""</f>
        <v/>
      </c>
      <c r="F1952" s="1" t="s">
        <v>28</v>
      </c>
      <c r="G1952" s="1" t="str">
        <f>CONCATENATE("SOLUM INŽENJERING D.O.O.,"," II JUŽNA OBALA 4,"," 10020 ZAGREB,"," OIB: 0983237019")</f>
        <v>SOLUM INŽENJERING D.O.O., II JUŽNA OBALA 4, 10020 ZAGREB, OIB: 0983237019</v>
      </c>
      <c r="H1952" s="7"/>
      <c r="I1952" s="8" t="s">
        <v>112</v>
      </c>
      <c r="J1952" s="8" t="s">
        <v>171</v>
      </c>
      <c r="K1952" s="6" t="str">
        <f>"28.800,00"</f>
        <v>28.800,00</v>
      </c>
      <c r="L1952" s="6" t="str">
        <f>"0,00"</f>
        <v>0,00</v>
      </c>
      <c r="M1952" s="6" t="str">
        <f>"28.800,00"</f>
        <v>28.800,00</v>
      </c>
      <c r="N1952" s="8" t="s">
        <v>124</v>
      </c>
      <c r="O1952" s="7"/>
      <c r="P1952" s="2" t="s">
        <v>5614</v>
      </c>
      <c r="Q1952" s="7"/>
      <c r="R1952" s="1"/>
      <c r="S1952" s="1" t="str">
        <f>"1-22/NOS-49-1/21"</f>
        <v>1-22/NOS-49-1/21</v>
      </c>
      <c r="T1952" s="1" t="s">
        <v>32</v>
      </c>
    </row>
    <row r="1953" spans="1:20" ht="318.75" x14ac:dyDescent="0.25">
      <c r="A1953" s="6">
        <v>1949</v>
      </c>
      <c r="B1953" s="1" t="str">
        <f>"2021-2169"</f>
        <v>2021-2169</v>
      </c>
      <c r="C1953" s="1" t="s">
        <v>1643</v>
      </c>
      <c r="D1953" s="1" t="s">
        <v>1641</v>
      </c>
      <c r="E1953" s="1" t="str">
        <f>"2021/S 0F2-0028988"</f>
        <v>2021/S 0F2-0028988</v>
      </c>
      <c r="F1953" s="1" t="s">
        <v>22</v>
      </c>
      <c r="G1953" s="1" t="str">
        <f>CONCATENATE("PGT ŠKUNCA D.O.O.,"," JURJA ŠIŽGORIĆA 19,"," 10000 ZAGREB,"," OIB: 13759281212",CHAR(10),"",CHAR(10),"GIM GRAĐENJE D.O.O.,"," VIKTORA KOVAČIĆA 3,"," 10000 ZAGREB,"," OIB: 96743361297",CHAR(10),"",CHAR(10),"EKO-PLAN D.O.O.,"," 2. JAZBINSKI GAJ 1A,"," 10000 ZAGREB,"," OIB: 55034160084",CHAR(10),"",CHAR(10),"PROJEKTNI URED MI2A D.O.O.,"," ULICA OTONA IVEKOVIĆA 25,"," 10 360 ZAGREB,"," OIB: 03897450800",CHAR(10),"",CHAR(10),"SOLUM INŽENJERING D.O.O.,"," II JUŽNA OBALA 4,"," 10020 ZAGREB,"," OIB: 0983237019")</f>
        <v>PGT ŠKUNCA D.O.O., JURJA ŠIŽGORIĆA 19, 10000 ZAGREB, OIB: 13759281212
GIM GRAĐENJE D.O.O., VIKTORA KOVAČIĆA 3, 10000 ZAGREB, OIB: 96743361297
EKO-PLAN D.O.O., 2. JAZBINSKI GAJ 1A, 10000 ZAGREB, OIB: 55034160084
PROJEKTNI URED MI2A D.O.O., ULICA OTONA IVEKOVIĆA 25, 10 360 ZAGREB, OIB: 03897450800
SOLUM INŽENJERING D.O.O., II JUŽNA OBALA 4, 10020 ZAGREB, OIB: 0983237019</v>
      </c>
      <c r="H1953" s="7"/>
      <c r="I1953" s="8" t="s">
        <v>284</v>
      </c>
      <c r="J1953" s="8" t="s">
        <v>1638</v>
      </c>
      <c r="K1953" s="6" t="str">
        <f>"400.000,00"</f>
        <v>400.000,00</v>
      </c>
      <c r="L1953" s="6" t="str">
        <f>"100.000,00"</f>
        <v>100.000,00</v>
      </c>
      <c r="M1953" s="6" t="str">
        <f>"500.000,00"</f>
        <v>500.000,00</v>
      </c>
      <c r="N1953" s="8" t="s">
        <v>124</v>
      </c>
      <c r="O1953" s="7"/>
      <c r="P1953" s="2" t="s">
        <v>5614</v>
      </c>
      <c r="Q1953" s="7"/>
      <c r="R1953" s="1"/>
      <c r="S1953" s="1" t="str">
        <f>"NOS-49-2/21"</f>
        <v>NOS-49-2/21</v>
      </c>
      <c r="T1953" s="1" t="s">
        <v>32</v>
      </c>
    </row>
    <row r="1954" spans="1:20" ht="127.5" x14ac:dyDescent="0.25">
      <c r="A1954" s="6">
        <v>1950</v>
      </c>
      <c r="B1954" s="1" t="str">
        <f>"2021-2169"</f>
        <v>2021-2169</v>
      </c>
      <c r="C1954" s="1" t="s">
        <v>1643</v>
      </c>
      <c r="D1954" s="1" t="s">
        <v>1642</v>
      </c>
      <c r="E1954" s="1" t="str">
        <f>""</f>
        <v/>
      </c>
      <c r="F1954" s="1" t="s">
        <v>28</v>
      </c>
      <c r="G1954" s="1" t="str">
        <f>CONCATENATE("SOLUM INŽENJERING D.O.O.,"," II JUŽNA OBALA 4,"," 10020 ZAGREB,"," OIB: 0983237019")</f>
        <v>SOLUM INŽENJERING D.O.O., II JUŽNA OBALA 4, 10020 ZAGREB, OIB: 0983237019</v>
      </c>
      <c r="H1954" s="7"/>
      <c r="I1954" s="8" t="s">
        <v>112</v>
      </c>
      <c r="J1954" s="8" t="s">
        <v>1644</v>
      </c>
      <c r="K1954" s="6" t="str">
        <f>"28.800,00"</f>
        <v>28.800,00</v>
      </c>
      <c r="L1954" s="6" t="str">
        <f>"0,00"</f>
        <v>0,00</v>
      </c>
      <c r="M1954" s="6" t="str">
        <f>"28.800,00"</f>
        <v>28.800,00</v>
      </c>
      <c r="N1954" s="8" t="s">
        <v>124</v>
      </c>
      <c r="O1954" s="7"/>
      <c r="P1954" s="2" t="s">
        <v>5614</v>
      </c>
      <c r="Q1954" s="7"/>
      <c r="R1954" s="1"/>
      <c r="S1954" s="1" t="str">
        <f>"1-22/NOS-49-2/21"</f>
        <v>1-22/NOS-49-2/21</v>
      </c>
      <c r="T1954" s="1" t="s">
        <v>32</v>
      </c>
    </row>
    <row r="1955" spans="1:20" ht="89.25" x14ac:dyDescent="0.25">
      <c r="A1955" s="6">
        <v>1951</v>
      </c>
      <c r="B1955" s="1" t="str">
        <f>"2020-2936"</f>
        <v>2020-2936</v>
      </c>
      <c r="C1955" s="1" t="s">
        <v>1645</v>
      </c>
      <c r="D1955" s="1" t="s">
        <v>1619</v>
      </c>
      <c r="E1955" s="1" t="str">
        <f>"2020/S 0F2-0046462"</f>
        <v>2020/S 0F2-0046462</v>
      </c>
      <c r="F1955" s="1" t="s">
        <v>22</v>
      </c>
      <c r="G1955" s="1" t="str">
        <f>CONCATENATE("SCHEDA D.O.O.,"," LJUDEVITA POSAVSKOG 29,"," 10360 SESVETE,"," OIB: 76219817247")</f>
        <v>SCHEDA D.O.O., LJUDEVITA POSAVSKOG 29, 10360 SESVETE, OIB: 76219817247</v>
      </c>
      <c r="H1955" s="7"/>
      <c r="I1955" s="8" t="s">
        <v>1119</v>
      </c>
      <c r="J1955" s="8" t="s">
        <v>1646</v>
      </c>
      <c r="K1955" s="6" t="str">
        <f>"600.000,00"</f>
        <v>600.000,00</v>
      </c>
      <c r="L1955" s="6" t="str">
        <f>"150.000,00"</f>
        <v>150.000,00</v>
      </c>
      <c r="M1955" s="6" t="str">
        <f>"750.000,00"</f>
        <v>750.000,00</v>
      </c>
      <c r="N1955" s="8" t="s">
        <v>124</v>
      </c>
      <c r="O1955" s="7"/>
      <c r="P1955" s="2" t="s">
        <v>5614</v>
      </c>
      <c r="Q1955" s="7"/>
      <c r="R1955" s="1"/>
      <c r="S1955" s="1" t="str">
        <f>"NOS-125-3/20"</f>
        <v>NOS-125-3/20</v>
      </c>
      <c r="T1955" s="1" t="s">
        <v>32</v>
      </c>
    </row>
    <row r="1956" spans="1:20" ht="51" x14ac:dyDescent="0.25">
      <c r="A1956" s="6">
        <v>1952</v>
      </c>
      <c r="B1956" s="1" t="str">
        <f>"2020-2936"</f>
        <v>2020-2936</v>
      </c>
      <c r="C1956" s="1" t="s">
        <v>1620</v>
      </c>
      <c r="D1956" s="1" t="s">
        <v>1621</v>
      </c>
      <c r="E1956" s="1" t="str">
        <f>""</f>
        <v/>
      </c>
      <c r="F1956" s="1" t="s">
        <v>28</v>
      </c>
      <c r="G1956" s="1" t="str">
        <f>CONCATENATE("SCHEDA D.O.O.,"," LJUDEVITA POSAVSKOG 29,"," 10360 SESVETE,"," OIB: 76219817247")</f>
        <v>SCHEDA D.O.O., LJUDEVITA POSAVSKOG 29, 10360 SESVETE, OIB: 76219817247</v>
      </c>
      <c r="H1956" s="7"/>
      <c r="I1956" s="8" t="s">
        <v>508</v>
      </c>
      <c r="J1956" s="8" t="s">
        <v>207</v>
      </c>
      <c r="K1956" s="6" t="str">
        <f>"67.213,65"</f>
        <v>67.213,65</v>
      </c>
      <c r="L1956" s="6" t="str">
        <f>"16.803,41"</f>
        <v>16.803,41</v>
      </c>
      <c r="M1956" s="6" t="str">
        <f>"84.017,06"</f>
        <v>84.017,06</v>
      </c>
      <c r="N1956" s="8" t="s">
        <v>1032</v>
      </c>
      <c r="O1956" s="7"/>
      <c r="P1956" s="2" t="s">
        <v>6790</v>
      </c>
      <c r="Q1956" s="7"/>
      <c r="R1956" s="1"/>
      <c r="S1956" s="1" t="str">
        <f>"1-22/NOS-125-3/20"</f>
        <v>1-22/NOS-125-3/20</v>
      </c>
      <c r="T1956" s="1" t="s">
        <v>32</v>
      </c>
    </row>
    <row r="1957" spans="1:20" ht="89.25" x14ac:dyDescent="0.25">
      <c r="A1957" s="6">
        <v>1953</v>
      </c>
      <c r="B1957" s="1" t="str">
        <f>"2020-2936"</f>
        <v>2020-2936</v>
      </c>
      <c r="C1957" s="1" t="s">
        <v>1647</v>
      </c>
      <c r="D1957" s="1" t="s">
        <v>1619</v>
      </c>
      <c r="E1957" s="1" t="str">
        <f>"2020/S 0F2-0046462"</f>
        <v>2020/S 0F2-0046462</v>
      </c>
      <c r="F1957" s="1" t="s">
        <v>22</v>
      </c>
      <c r="G1957" s="1" t="str">
        <f>CONCATENATE("SCHEDA D.O.O.,"," LJUDEVITA POSAVSKOG 29,"," 10360 SESVETE,"," OIB: 76219817247")</f>
        <v>SCHEDA D.O.O., LJUDEVITA POSAVSKOG 29, 10360 SESVETE, OIB: 76219817247</v>
      </c>
      <c r="H1957" s="7"/>
      <c r="I1957" s="8" t="s">
        <v>1119</v>
      </c>
      <c r="J1957" s="8" t="s">
        <v>1646</v>
      </c>
      <c r="K1957" s="6" t="str">
        <f>"1.800.000,00"</f>
        <v>1.800.000,00</v>
      </c>
      <c r="L1957" s="6" t="str">
        <f>"450.000,00"</f>
        <v>450.000,00</v>
      </c>
      <c r="M1957" s="6" t="str">
        <f>"2.250.000,00"</f>
        <v>2.250.000,00</v>
      </c>
      <c r="N1957" s="8" t="s">
        <v>124</v>
      </c>
      <c r="O1957" s="7"/>
      <c r="P1957" s="2" t="s">
        <v>5614</v>
      </c>
      <c r="Q1957" s="7"/>
      <c r="R1957" s="1"/>
      <c r="S1957" s="1" t="str">
        <f>"NOS-125-4/20"</f>
        <v>NOS-125-4/20</v>
      </c>
      <c r="T1957" s="1" t="s">
        <v>32</v>
      </c>
    </row>
    <row r="1958" spans="1:20" ht="51" x14ac:dyDescent="0.25">
      <c r="A1958" s="6">
        <v>1954</v>
      </c>
      <c r="B1958" s="1" t="str">
        <f>"2020-2936"</f>
        <v>2020-2936</v>
      </c>
      <c r="C1958" s="1" t="s">
        <v>1620</v>
      </c>
      <c r="D1958" s="1" t="s">
        <v>1621</v>
      </c>
      <c r="E1958" s="1" t="str">
        <f>""</f>
        <v/>
      </c>
      <c r="F1958" s="1" t="s">
        <v>28</v>
      </c>
      <c r="G1958" s="1" t="str">
        <f>CONCATENATE("SCHEDA D.O.O.,"," LJUDEVITA POSAVSKOG 29,"," 10360 SESVETE,"," OIB: 76219817247")</f>
        <v>SCHEDA D.O.O., LJUDEVITA POSAVSKOG 29, 10360 SESVETE, OIB: 76219817247</v>
      </c>
      <c r="H1958" s="7"/>
      <c r="I1958" s="8" t="s">
        <v>508</v>
      </c>
      <c r="J1958" s="8" t="s">
        <v>207</v>
      </c>
      <c r="K1958" s="6" t="str">
        <f>"170.959,03"</f>
        <v>170.959,03</v>
      </c>
      <c r="L1958" s="6" t="str">
        <f>"42.739,76"</f>
        <v>42.739,76</v>
      </c>
      <c r="M1958" s="6" t="str">
        <f>"213.698,79"</f>
        <v>213.698,79</v>
      </c>
      <c r="N1958" s="8" t="s">
        <v>1032</v>
      </c>
      <c r="O1958" s="7"/>
      <c r="P1958" s="2" t="s">
        <v>6791</v>
      </c>
      <c r="Q1958" s="7"/>
      <c r="R1958" s="1"/>
      <c r="S1958" s="1" t="str">
        <f>"1-22/NOS-125-4/20"</f>
        <v>1-22/NOS-125-4/20</v>
      </c>
      <c r="T1958" s="1" t="s">
        <v>32</v>
      </c>
    </row>
    <row r="1959" spans="1:20" ht="51" x14ac:dyDescent="0.25">
      <c r="A1959" s="6">
        <v>1955</v>
      </c>
      <c r="B1959" s="1" t="str">
        <f>"2020-2936"</f>
        <v>2020-2936</v>
      </c>
      <c r="C1959" s="1" t="s">
        <v>1620</v>
      </c>
      <c r="D1959" s="1" t="s">
        <v>1621</v>
      </c>
      <c r="E1959" s="1" t="str">
        <f>""</f>
        <v/>
      </c>
      <c r="F1959" s="1" t="s">
        <v>28</v>
      </c>
      <c r="G1959" s="1" t="str">
        <f>CONCATENATE("SCHEDA D.O.O.,"," LJUDEVITA POSAVSKOG 29,"," 10360 SESVETE,"," OIB: 76219817247")</f>
        <v>SCHEDA D.O.O., LJUDEVITA POSAVSKOG 29, 10360 SESVETE, OIB: 76219817247</v>
      </c>
      <c r="H1959" s="7"/>
      <c r="I1959" s="8" t="s">
        <v>112</v>
      </c>
      <c r="J1959" s="8" t="s">
        <v>1400</v>
      </c>
      <c r="K1959" s="6" t="str">
        <f>"1.010,30"</f>
        <v>1.010,30</v>
      </c>
      <c r="L1959" s="6" t="str">
        <f>"252,58"</f>
        <v>252,58</v>
      </c>
      <c r="M1959" s="6" t="str">
        <f>"1.262,88"</f>
        <v>1.262,88</v>
      </c>
      <c r="N1959" s="8" t="s">
        <v>124</v>
      </c>
      <c r="O1959" s="7"/>
      <c r="P1959" s="2" t="s">
        <v>5614</v>
      </c>
      <c r="Q1959" s="7"/>
      <c r="R1959" s="1"/>
      <c r="S1959" s="1" t="str">
        <f>"3-22/NOS-125-4/20"</f>
        <v>3-22/NOS-125-4/20</v>
      </c>
      <c r="T1959" s="1" t="s">
        <v>32</v>
      </c>
    </row>
    <row r="1960" spans="1:20" ht="114.75" x14ac:dyDescent="0.25">
      <c r="A1960" s="6">
        <v>1956</v>
      </c>
      <c r="B1960" s="1" t="str">
        <f>"2021-337"</f>
        <v>2021-337</v>
      </c>
      <c r="C1960" s="1" t="s">
        <v>1648</v>
      </c>
      <c r="D1960" s="1" t="s">
        <v>1649</v>
      </c>
      <c r="E1960" s="1" t="str">
        <f>"2021/S 0F2-0039095"</f>
        <v>2021/S 0F2-0039095</v>
      </c>
      <c r="F1960" s="1" t="s">
        <v>22</v>
      </c>
      <c r="G1960" s="1" t="str">
        <f>CONCATENATE("VODOSKOK D.D.,"," ČULINEČKA CESTA 221/C,"," 10040 ZAGREB,"," OIB: 34134218058",CHAR(10),"",CHAR(10),"TRAFEX D.O.O.,"," ZVONIGRADSKA ULICA 14,"," 10000 ZAGREB,"," OIB: 66711243036")</f>
        <v>VODOSKOK D.D., ČULINEČKA CESTA 221/C, 10040 ZAGREB, OIB: 34134218058
TRAFEX D.O.O., ZVONIGRADSKA ULICA 14, 10000 ZAGREB, OIB: 66711243036</v>
      </c>
      <c r="H1960" s="7"/>
      <c r="I1960" s="8" t="s">
        <v>284</v>
      </c>
      <c r="J1960" s="8" t="s">
        <v>1650</v>
      </c>
      <c r="K1960" s="6" t="str">
        <f>"800.000,00"</f>
        <v>800.000,00</v>
      </c>
      <c r="L1960" s="6" t="str">
        <f>"200.000,00"</f>
        <v>200.000,00</v>
      </c>
      <c r="M1960" s="6" t="str">
        <f>"1.000.000,00"</f>
        <v>1.000.000,00</v>
      </c>
      <c r="N1960" s="8" t="s">
        <v>124</v>
      </c>
      <c r="O1960" s="7"/>
      <c r="P1960" s="2" t="s">
        <v>5614</v>
      </c>
      <c r="Q1960" s="7"/>
      <c r="R1960" s="1"/>
      <c r="S1960" s="1" t="str">
        <f>"NOS-50/21"</f>
        <v>NOS-50/21</v>
      </c>
      <c r="T1960" s="1" t="s">
        <v>32</v>
      </c>
    </row>
    <row r="1961" spans="1:20" ht="51" x14ac:dyDescent="0.25">
      <c r="A1961" s="6">
        <v>1957</v>
      </c>
      <c r="B1961" s="1" t="str">
        <f>"2021-337"</f>
        <v>2021-337</v>
      </c>
      <c r="C1961" s="1" t="s">
        <v>1648</v>
      </c>
      <c r="D1961" s="1" t="s">
        <v>1572</v>
      </c>
      <c r="E1961" s="1" t="str">
        <f>""</f>
        <v/>
      </c>
      <c r="F1961" s="1" t="s">
        <v>28</v>
      </c>
      <c r="G1961" s="1" t="str">
        <f>CONCATENATE("VODOSKOK D.D.,"," ČULINEČKA CESTA 221/C,"," 10040 ZAGREB,"," OIB: 34134218058")</f>
        <v>VODOSKOK D.D., ČULINEČKA CESTA 221/C, 10040 ZAGREB, OIB: 34134218058</v>
      </c>
      <c r="H1961" s="7"/>
      <c r="I1961" s="8" t="s">
        <v>916</v>
      </c>
      <c r="J1961" s="8" t="s">
        <v>256</v>
      </c>
      <c r="K1961" s="6" t="str">
        <f>"101.460,00"</f>
        <v>101.460,00</v>
      </c>
      <c r="L1961" s="6" t="str">
        <f>"0,00"</f>
        <v>0,00</v>
      </c>
      <c r="M1961" s="6" t="str">
        <f>"101.460,00"</f>
        <v>101.460,00</v>
      </c>
      <c r="N1961" s="8" t="s">
        <v>124</v>
      </c>
      <c r="O1961" s="7"/>
      <c r="P1961" s="2" t="s">
        <v>5614</v>
      </c>
      <c r="Q1961" s="7"/>
      <c r="R1961" s="1"/>
      <c r="S1961" s="1" t="str">
        <f>"1-22/NOS-50/21"</f>
        <v>1-22/NOS-50/21</v>
      </c>
      <c r="T1961" s="1" t="s">
        <v>32</v>
      </c>
    </row>
    <row r="1962" spans="1:20" ht="89.25" x14ac:dyDescent="0.25">
      <c r="A1962" s="6">
        <v>1958</v>
      </c>
      <c r="B1962" s="1" t="str">
        <f>"2020-2936"</f>
        <v>2020-2936</v>
      </c>
      <c r="C1962" s="1" t="s">
        <v>1651</v>
      </c>
      <c r="D1962" s="1" t="s">
        <v>1619</v>
      </c>
      <c r="E1962" s="1" t="str">
        <f>"2020/S 0F2-0046462"</f>
        <v>2020/S 0F2-0046462</v>
      </c>
      <c r="F1962" s="1" t="s">
        <v>22</v>
      </c>
      <c r="G1962" s="1" t="str">
        <f>CONCATENATE("VITIS D.O.O.,"," KUSTOŠIJSKI VENEC 48,"," 10090 ZAGREB,"," OIB: 96887244333")</f>
        <v>VITIS D.O.O., KUSTOŠIJSKI VENEC 48, 10090 ZAGREB, OIB: 96887244333</v>
      </c>
      <c r="H1962" s="7"/>
      <c r="I1962" s="8" t="s">
        <v>499</v>
      </c>
      <c r="J1962" s="8" t="s">
        <v>1608</v>
      </c>
      <c r="K1962" s="6" t="str">
        <f>"500.000,00"</f>
        <v>500.000,00</v>
      </c>
      <c r="L1962" s="6" t="str">
        <f>"125.000,00"</f>
        <v>125.000,00</v>
      </c>
      <c r="M1962" s="6" t="str">
        <f>"625.000,00"</f>
        <v>625.000,00</v>
      </c>
      <c r="N1962" s="8" t="s">
        <v>124</v>
      </c>
      <c r="O1962" s="7"/>
      <c r="P1962" s="2" t="s">
        <v>5614</v>
      </c>
      <c r="Q1962" s="7"/>
      <c r="R1962" s="1"/>
      <c r="S1962" s="1" t="str">
        <f>"NOS-125-6/20"</f>
        <v>NOS-125-6/20</v>
      </c>
      <c r="T1962" s="1" t="s">
        <v>32</v>
      </c>
    </row>
    <row r="1963" spans="1:20" ht="51" x14ac:dyDescent="0.25">
      <c r="A1963" s="6">
        <v>1959</v>
      </c>
      <c r="B1963" s="1" t="str">
        <f>"2020-2936"</f>
        <v>2020-2936</v>
      </c>
      <c r="C1963" s="1" t="s">
        <v>1620</v>
      </c>
      <c r="D1963" s="1" t="s">
        <v>1621</v>
      </c>
      <c r="E1963" s="1" t="str">
        <f>""</f>
        <v/>
      </c>
      <c r="F1963" s="1" t="s">
        <v>28</v>
      </c>
      <c r="G1963" s="1" t="str">
        <f>CONCATENATE("VITIS D.O.O.,"," KUSTOŠIJSKI VENEC 48,"," 10090 ZAGREB,"," OIB: 96887244333")</f>
        <v>VITIS D.O.O., KUSTOŠIJSKI VENEC 48, 10090 ZAGREB, OIB: 96887244333</v>
      </c>
      <c r="H1963" s="7"/>
      <c r="I1963" s="8" t="s">
        <v>1025</v>
      </c>
      <c r="J1963" s="8" t="s">
        <v>1556</v>
      </c>
      <c r="K1963" s="6" t="str">
        <f>"58.620,23"</f>
        <v>58.620,23</v>
      </c>
      <c r="L1963" s="6" t="str">
        <f>"14.655,06"</f>
        <v>14.655,06</v>
      </c>
      <c r="M1963" s="6" t="str">
        <f>"73.275,29"</f>
        <v>73.275,29</v>
      </c>
      <c r="N1963" s="8" t="s">
        <v>1314</v>
      </c>
      <c r="O1963" s="7"/>
      <c r="P1963" s="2" t="s">
        <v>6792</v>
      </c>
      <c r="Q1963" s="7"/>
      <c r="R1963" s="1"/>
      <c r="S1963" s="1" t="str">
        <f>"1-22/NOS-125-6/20"</f>
        <v>1-22/NOS-125-6/20</v>
      </c>
      <c r="T1963" s="1" t="s">
        <v>32</v>
      </c>
    </row>
    <row r="1964" spans="1:20" ht="51" x14ac:dyDescent="0.25">
      <c r="A1964" s="6">
        <v>1960</v>
      </c>
      <c r="B1964" s="1" t="str">
        <f>"2020-2936"</f>
        <v>2020-2936</v>
      </c>
      <c r="C1964" s="1" t="s">
        <v>1620</v>
      </c>
      <c r="D1964" s="1" t="s">
        <v>1621</v>
      </c>
      <c r="E1964" s="1" t="str">
        <f>""</f>
        <v/>
      </c>
      <c r="F1964" s="1" t="s">
        <v>28</v>
      </c>
      <c r="G1964" s="1" t="str">
        <f>CONCATENATE("VITIS D.O.O.,"," KUSTOŠIJSKI VENEC 48,"," 10090 ZAGREB,"," OIB: 96887244333")</f>
        <v>VITIS D.O.O., KUSTOŠIJSKI VENEC 48, 10090 ZAGREB, OIB: 96887244333</v>
      </c>
      <c r="H1964" s="7"/>
      <c r="I1964" s="8" t="s">
        <v>669</v>
      </c>
      <c r="J1964" s="8" t="s">
        <v>54</v>
      </c>
      <c r="K1964" s="6" t="str">
        <f>"12.640,00"</f>
        <v>12.640,00</v>
      </c>
      <c r="L1964" s="6" t="str">
        <f>"3.160,00"</f>
        <v>3.160,00</v>
      </c>
      <c r="M1964" s="6" t="str">
        <f>"15.800,00"</f>
        <v>15.800,00</v>
      </c>
      <c r="N1964" s="8" t="s">
        <v>310</v>
      </c>
      <c r="O1964" s="7"/>
      <c r="P1964" s="2" t="s">
        <v>6793</v>
      </c>
      <c r="Q1964" s="7"/>
      <c r="R1964" s="1"/>
      <c r="S1964" s="1" t="str">
        <f>"2-22/NOS-125-6/20"</f>
        <v>2-22/NOS-125-6/20</v>
      </c>
      <c r="T1964" s="1" t="s">
        <v>32</v>
      </c>
    </row>
    <row r="1965" spans="1:20" ht="165.75" x14ac:dyDescent="0.25">
      <c r="A1965" s="6">
        <v>1961</v>
      </c>
      <c r="B1965" s="1" t="str">
        <f t="shared" ref="B1965:B1982" si="182">"2022-6"</f>
        <v>2022-6</v>
      </c>
      <c r="C1965" s="1" t="s">
        <v>1652</v>
      </c>
      <c r="D1965" s="1" t="s">
        <v>1065</v>
      </c>
      <c r="E1965" s="1" t="str">
        <f>"2022/S 0F2-0007700"</f>
        <v>2022/S 0F2-0007700</v>
      </c>
      <c r="F1965" s="1" t="s">
        <v>22</v>
      </c>
      <c r="G1965" s="1" t="str">
        <f t="shared" ref="G1965:G1982" si="183">CONCATENATE("VIATOR D.O.O.,"," KRALJA DRŽISLAVA 6,"," 21000 SPLIT,"," OIB: 6473171712")</f>
        <v>VIATOR D.O.O., KRALJA DRŽISLAVA 6, 21000 SPLIT, OIB: 6473171712</v>
      </c>
      <c r="H1965" s="7"/>
      <c r="I1965" s="8" t="s">
        <v>403</v>
      </c>
      <c r="J1965" s="8" t="s">
        <v>1597</v>
      </c>
      <c r="K1965" s="6" t="str">
        <f>"2.890.800,00"</f>
        <v>2.890.800,00</v>
      </c>
      <c r="L1965" s="6" t="str">
        <f>"722.700,00"</f>
        <v>722.700,00</v>
      </c>
      <c r="M1965" s="6" t="str">
        <f>"3.613.500,00"</f>
        <v>3.613.500,00</v>
      </c>
      <c r="N1965" s="8" t="s">
        <v>124</v>
      </c>
      <c r="O1965" s="7"/>
      <c r="P1965" s="2" t="s">
        <v>5614</v>
      </c>
      <c r="Q1965" s="7"/>
      <c r="R1965" s="1"/>
      <c r="S1965" s="1" t="str">
        <f>"NOS-3-7/22"</f>
        <v>NOS-3-7/22</v>
      </c>
      <c r="T1965" s="1" t="s">
        <v>49</v>
      </c>
    </row>
    <row r="1966" spans="1:20" ht="63.75" x14ac:dyDescent="0.25">
      <c r="A1966" s="6">
        <v>1962</v>
      </c>
      <c r="B1966" s="1" t="str">
        <f t="shared" si="182"/>
        <v>2022-6</v>
      </c>
      <c r="C1966" s="1" t="s">
        <v>1653</v>
      </c>
      <c r="D1966" s="1" t="s">
        <v>1065</v>
      </c>
      <c r="E1966" s="1" t="str">
        <f>""</f>
        <v/>
      </c>
      <c r="F1966" s="1" t="s">
        <v>28</v>
      </c>
      <c r="G1966" s="1" t="str">
        <f t="shared" si="183"/>
        <v>VIATOR D.O.O., KRALJA DRŽISLAVA 6, 21000 SPLIT, OIB: 6473171712</v>
      </c>
      <c r="H1966" s="7"/>
      <c r="I1966" s="8" t="s">
        <v>835</v>
      </c>
      <c r="J1966" s="8" t="s">
        <v>123</v>
      </c>
      <c r="K1966" s="6" t="str">
        <f>"562.320,00"</f>
        <v>562.320,00</v>
      </c>
      <c r="L1966" s="6" t="str">
        <f>"140.580,00"</f>
        <v>140.580,00</v>
      </c>
      <c r="M1966" s="6" t="str">
        <f>"702.900,00"</f>
        <v>702.900,00</v>
      </c>
      <c r="N1966" s="8" t="s">
        <v>124</v>
      </c>
      <c r="O1966" s="7"/>
      <c r="P1966" s="2" t="s">
        <v>6794</v>
      </c>
      <c r="Q1966" s="1"/>
      <c r="R1966" s="1"/>
      <c r="S1966" s="1" t="str">
        <f>"1-22/NOS-3-7/22"</f>
        <v>1-22/NOS-3-7/22</v>
      </c>
      <c r="T1966" s="1" t="s">
        <v>32</v>
      </c>
    </row>
    <row r="1967" spans="1:20" ht="51" x14ac:dyDescent="0.25">
      <c r="A1967" s="6">
        <v>1963</v>
      </c>
      <c r="B1967" s="1" t="str">
        <f t="shared" si="182"/>
        <v>2022-6</v>
      </c>
      <c r="C1967" s="1" t="s">
        <v>1654</v>
      </c>
      <c r="D1967" s="1" t="s">
        <v>1065</v>
      </c>
      <c r="E1967" s="1" t="str">
        <f>""</f>
        <v/>
      </c>
      <c r="F1967" s="1" t="s">
        <v>28</v>
      </c>
      <c r="G1967" s="1" t="str">
        <f t="shared" si="183"/>
        <v>VIATOR D.O.O., KRALJA DRŽISLAVA 6, 21000 SPLIT, OIB: 6473171712</v>
      </c>
      <c r="H1967" s="7"/>
      <c r="I1967" s="8" t="s">
        <v>882</v>
      </c>
      <c r="J1967" s="8" t="s">
        <v>123</v>
      </c>
      <c r="K1967" s="6" t="str">
        <f>"336.000,00"</f>
        <v>336.000,00</v>
      </c>
      <c r="L1967" s="6" t="str">
        <f>"84.000,00"</f>
        <v>84.000,00</v>
      </c>
      <c r="M1967" s="6" t="str">
        <f>"420.000,00"</f>
        <v>420.000,00</v>
      </c>
      <c r="N1967" s="8" t="s">
        <v>124</v>
      </c>
      <c r="O1967" s="7"/>
      <c r="P1967" s="2" t="s">
        <v>6795</v>
      </c>
      <c r="Q1967" s="7"/>
      <c r="R1967" s="1"/>
      <c r="S1967" s="1" t="str">
        <f>"2-22/NOS-3-7/22"</f>
        <v>2-22/NOS-3-7/22</v>
      </c>
      <c r="T1967" s="1" t="s">
        <v>452</v>
      </c>
    </row>
    <row r="1968" spans="1:20" ht="51" x14ac:dyDescent="0.25">
      <c r="A1968" s="6">
        <v>1964</v>
      </c>
      <c r="B1968" s="1" t="str">
        <f t="shared" si="182"/>
        <v>2022-6</v>
      </c>
      <c r="C1968" s="1" t="s">
        <v>1652</v>
      </c>
      <c r="D1968" s="1" t="s">
        <v>1065</v>
      </c>
      <c r="E1968" s="1" t="str">
        <f>""</f>
        <v/>
      </c>
      <c r="F1968" s="1" t="s">
        <v>28</v>
      </c>
      <c r="G1968" s="1" t="str">
        <f t="shared" si="183"/>
        <v>VIATOR D.O.O., KRALJA DRŽISLAVA 6, 21000 SPLIT, OIB: 6473171712</v>
      </c>
      <c r="H1968" s="7"/>
      <c r="I1968" s="8" t="s">
        <v>402</v>
      </c>
      <c r="J1968" s="8" t="s">
        <v>1655</v>
      </c>
      <c r="K1968" s="6" t="str">
        <f>"13.680,00"</f>
        <v>13.680,00</v>
      </c>
      <c r="L1968" s="6" t="str">
        <f>"1.590,00"</f>
        <v>1.590,00</v>
      </c>
      <c r="M1968" s="6" t="str">
        <f>"15.270,00"</f>
        <v>15.270,00</v>
      </c>
      <c r="N1968" s="8" t="s">
        <v>409</v>
      </c>
      <c r="O1968" s="7"/>
      <c r="P1968" s="2" t="s">
        <v>6796</v>
      </c>
      <c r="Q1968" s="7"/>
      <c r="R1968" s="1"/>
      <c r="S1968" s="1" t="str">
        <f>"3-22/NOS-3-7/22"</f>
        <v>3-22/NOS-3-7/22</v>
      </c>
      <c r="T1968" s="1" t="s">
        <v>32</v>
      </c>
    </row>
    <row r="1969" spans="1:20" ht="165.75" x14ac:dyDescent="0.25">
      <c r="A1969" s="6">
        <v>1965</v>
      </c>
      <c r="B1969" s="1" t="str">
        <f t="shared" si="182"/>
        <v>2022-6</v>
      </c>
      <c r="C1969" s="1" t="s">
        <v>1656</v>
      </c>
      <c r="D1969" s="1" t="s">
        <v>1065</v>
      </c>
      <c r="E1969" s="1" t="str">
        <f>"2022/S 0F2-0007700"</f>
        <v>2022/S 0F2-0007700</v>
      </c>
      <c r="F1969" s="1" t="s">
        <v>22</v>
      </c>
      <c r="G1969" s="1" t="str">
        <f t="shared" si="183"/>
        <v>VIATOR D.O.O., KRALJA DRŽISLAVA 6, 21000 SPLIT, OIB: 6473171712</v>
      </c>
      <c r="H1969" s="7"/>
      <c r="I1969" s="8" t="s">
        <v>403</v>
      </c>
      <c r="J1969" s="8" t="s">
        <v>1597</v>
      </c>
      <c r="K1969" s="6" t="str">
        <f>"2.942.000,00"</f>
        <v>2.942.000,00</v>
      </c>
      <c r="L1969" s="6" t="str">
        <f>"735.500,00"</f>
        <v>735.500,00</v>
      </c>
      <c r="M1969" s="6" t="str">
        <f>"3.677.500,00"</f>
        <v>3.677.500,00</v>
      </c>
      <c r="N1969" s="8" t="s">
        <v>124</v>
      </c>
      <c r="O1969" s="7"/>
      <c r="P1969" s="2" t="s">
        <v>5614</v>
      </c>
      <c r="Q1969" s="7"/>
      <c r="R1969" s="1"/>
      <c r="S1969" s="1" t="str">
        <f>"NOS-3-9/22"</f>
        <v>NOS-3-9/22</v>
      </c>
      <c r="T1969" s="1" t="s">
        <v>49</v>
      </c>
    </row>
    <row r="1970" spans="1:20" ht="63.75" x14ac:dyDescent="0.25">
      <c r="A1970" s="6">
        <v>1966</v>
      </c>
      <c r="B1970" s="1" t="str">
        <f t="shared" si="182"/>
        <v>2022-6</v>
      </c>
      <c r="C1970" s="1" t="s">
        <v>1657</v>
      </c>
      <c r="D1970" s="1" t="s">
        <v>1065</v>
      </c>
      <c r="E1970" s="1" t="str">
        <f>""</f>
        <v/>
      </c>
      <c r="F1970" s="1" t="s">
        <v>28</v>
      </c>
      <c r="G1970" s="1" t="str">
        <f t="shared" si="183"/>
        <v>VIATOR D.O.O., KRALJA DRŽISLAVA 6, 21000 SPLIT, OIB: 6473171712</v>
      </c>
      <c r="H1970" s="7"/>
      <c r="I1970" s="8" t="s">
        <v>72</v>
      </c>
      <c r="J1970" s="8" t="s">
        <v>123</v>
      </c>
      <c r="K1970" s="6" t="str">
        <f>"990.450,00"</f>
        <v>990.450,00</v>
      </c>
      <c r="L1970" s="6" t="str">
        <f>"247.612,50"</f>
        <v>247.612,50</v>
      </c>
      <c r="M1970" s="6" t="str">
        <f>"1.238.062,50"</f>
        <v>1.238.062,50</v>
      </c>
      <c r="N1970" s="8" t="s">
        <v>124</v>
      </c>
      <c r="O1970" s="7"/>
      <c r="P1970" s="2" t="s">
        <v>6797</v>
      </c>
      <c r="Q1970" s="1"/>
      <c r="R1970" s="1"/>
      <c r="S1970" s="1" t="str">
        <f>"1-22/NOS-3-9/22"</f>
        <v>1-22/NOS-3-9/22</v>
      </c>
      <c r="T1970" s="1" t="s">
        <v>32</v>
      </c>
    </row>
    <row r="1971" spans="1:20" ht="165.75" x14ac:dyDescent="0.25">
      <c r="A1971" s="6">
        <v>1967</v>
      </c>
      <c r="B1971" s="1" t="str">
        <f t="shared" si="182"/>
        <v>2022-6</v>
      </c>
      <c r="C1971" s="1" t="s">
        <v>1658</v>
      </c>
      <c r="D1971" s="1" t="s">
        <v>1065</v>
      </c>
      <c r="E1971" s="1" t="str">
        <f>"2022/S 0F2-0007700"</f>
        <v>2022/S 0F2-0007700</v>
      </c>
      <c r="F1971" s="1" t="s">
        <v>22</v>
      </c>
      <c r="G1971" s="1" t="str">
        <f t="shared" si="183"/>
        <v>VIATOR D.O.O., KRALJA DRŽISLAVA 6, 21000 SPLIT, OIB: 6473171712</v>
      </c>
      <c r="H1971" s="7"/>
      <c r="I1971" s="8" t="s">
        <v>403</v>
      </c>
      <c r="J1971" s="8" t="s">
        <v>1597</v>
      </c>
      <c r="K1971" s="6" t="str">
        <f>"219.000,00"</f>
        <v>219.000,00</v>
      </c>
      <c r="L1971" s="6" t="str">
        <f>"54.750,00"</f>
        <v>54.750,00</v>
      </c>
      <c r="M1971" s="6" t="str">
        <f>"273.750,00"</f>
        <v>273.750,00</v>
      </c>
      <c r="N1971" s="8" t="s">
        <v>124</v>
      </c>
      <c r="O1971" s="7"/>
      <c r="P1971" s="2" t="s">
        <v>5614</v>
      </c>
      <c r="Q1971" s="7"/>
      <c r="R1971" s="1"/>
      <c r="S1971" s="1" t="str">
        <f>"NOS-3-12/22"</f>
        <v>NOS-3-12/22</v>
      </c>
      <c r="T1971" s="1" t="s">
        <v>49</v>
      </c>
    </row>
    <row r="1972" spans="1:20" ht="63.75" x14ac:dyDescent="0.25">
      <c r="A1972" s="6">
        <v>1968</v>
      </c>
      <c r="B1972" s="1" t="str">
        <f t="shared" si="182"/>
        <v>2022-6</v>
      </c>
      <c r="C1972" s="1" t="s">
        <v>1659</v>
      </c>
      <c r="D1972" s="1" t="s">
        <v>1065</v>
      </c>
      <c r="E1972" s="1" t="str">
        <f>""</f>
        <v/>
      </c>
      <c r="F1972" s="1" t="s">
        <v>28</v>
      </c>
      <c r="G1972" s="1" t="str">
        <f t="shared" si="183"/>
        <v>VIATOR D.O.O., KRALJA DRŽISLAVA 6, 21000 SPLIT, OIB: 6473171712</v>
      </c>
      <c r="H1972" s="7"/>
      <c r="I1972" s="8" t="s">
        <v>72</v>
      </c>
      <c r="J1972" s="8" t="s">
        <v>123</v>
      </c>
      <c r="K1972" s="6" t="str">
        <f>"95.400,00"</f>
        <v>95.400,00</v>
      </c>
      <c r="L1972" s="6" t="str">
        <f>"23.850,00"</f>
        <v>23.850,00</v>
      </c>
      <c r="M1972" s="6" t="str">
        <f>"119.250,00"</f>
        <v>119.250,00</v>
      </c>
      <c r="N1972" s="8" t="s">
        <v>124</v>
      </c>
      <c r="O1972" s="7"/>
      <c r="P1972" s="2" t="s">
        <v>6798</v>
      </c>
      <c r="Q1972" s="7"/>
      <c r="R1972" s="1"/>
      <c r="S1972" s="1" t="str">
        <f>"1-22/NOS-3-12/22"</f>
        <v>1-22/NOS-3-12/22</v>
      </c>
      <c r="T1972" s="1" t="s">
        <v>32</v>
      </c>
    </row>
    <row r="1973" spans="1:20" ht="51" x14ac:dyDescent="0.25">
      <c r="A1973" s="6">
        <v>1969</v>
      </c>
      <c r="B1973" s="1" t="str">
        <f t="shared" si="182"/>
        <v>2022-6</v>
      </c>
      <c r="C1973" s="1" t="s">
        <v>1658</v>
      </c>
      <c r="D1973" s="1" t="s">
        <v>1065</v>
      </c>
      <c r="E1973" s="1" t="str">
        <f>""</f>
        <v/>
      </c>
      <c r="F1973" s="1" t="s">
        <v>28</v>
      </c>
      <c r="G1973" s="1" t="str">
        <f t="shared" si="183"/>
        <v>VIATOR D.O.O., KRALJA DRŽISLAVA 6, 21000 SPLIT, OIB: 6473171712</v>
      </c>
      <c r="H1973" s="7"/>
      <c r="I1973" s="8" t="s">
        <v>487</v>
      </c>
      <c r="J1973" s="8" t="s">
        <v>373</v>
      </c>
      <c r="K1973" s="6" t="str">
        <f>"27.600,00"</f>
        <v>27.600,00</v>
      </c>
      <c r="L1973" s="6" t="str">
        <f>"5.957,50"</f>
        <v>5.957,50</v>
      </c>
      <c r="M1973" s="6" t="str">
        <f>"33.557,50"</f>
        <v>33.557,50</v>
      </c>
      <c r="N1973" s="8" t="s">
        <v>388</v>
      </c>
      <c r="O1973" s="7"/>
      <c r="P1973" s="2" t="s">
        <v>6799</v>
      </c>
      <c r="Q1973" s="7"/>
      <c r="R1973" s="1"/>
      <c r="S1973" s="1" t="str">
        <f>"2-22/NOS-3-12/22"</f>
        <v>2-22/NOS-3-12/22</v>
      </c>
      <c r="T1973" s="1" t="s">
        <v>32</v>
      </c>
    </row>
    <row r="1974" spans="1:20" ht="51" x14ac:dyDescent="0.25">
      <c r="A1974" s="6">
        <v>1970</v>
      </c>
      <c r="B1974" s="1" t="str">
        <f t="shared" si="182"/>
        <v>2022-6</v>
      </c>
      <c r="C1974" s="1" t="s">
        <v>1658</v>
      </c>
      <c r="D1974" s="1" t="s">
        <v>1065</v>
      </c>
      <c r="E1974" s="1" t="str">
        <f>""</f>
        <v/>
      </c>
      <c r="F1974" s="1" t="s">
        <v>28</v>
      </c>
      <c r="G1974" s="1" t="str">
        <f t="shared" si="183"/>
        <v>VIATOR D.O.O., KRALJA DRŽISLAVA 6, 21000 SPLIT, OIB: 6473171712</v>
      </c>
      <c r="H1974" s="7"/>
      <c r="I1974" s="8" t="s">
        <v>1122</v>
      </c>
      <c r="J1974" s="8" t="s">
        <v>1660</v>
      </c>
      <c r="K1974" s="6" t="str">
        <f>"7.800,00"</f>
        <v>7.800,00</v>
      </c>
      <c r="L1974" s="6" t="str">
        <f>"0,00"</f>
        <v>0,00</v>
      </c>
      <c r="M1974" s="6" t="str">
        <f>"7.800,00"</f>
        <v>7.800,00</v>
      </c>
      <c r="N1974" s="8" t="s">
        <v>124</v>
      </c>
      <c r="O1974" s="7"/>
      <c r="P1974" s="2" t="s">
        <v>5614</v>
      </c>
      <c r="Q1974" s="7"/>
      <c r="R1974" s="1"/>
      <c r="S1974" s="1" t="str">
        <f>"3-22/NOS-3-12/22"</f>
        <v>3-22/NOS-3-12/22</v>
      </c>
      <c r="T1974" s="1" t="s">
        <v>32</v>
      </c>
    </row>
    <row r="1975" spans="1:20" ht="165.75" x14ac:dyDescent="0.25">
      <c r="A1975" s="6">
        <v>1971</v>
      </c>
      <c r="B1975" s="1" t="str">
        <f t="shared" si="182"/>
        <v>2022-6</v>
      </c>
      <c r="C1975" s="1" t="s">
        <v>1661</v>
      </c>
      <c r="D1975" s="1" t="s">
        <v>1065</v>
      </c>
      <c r="E1975" s="1" t="str">
        <f>"2022/S 0F2-0007700"</f>
        <v>2022/S 0F2-0007700</v>
      </c>
      <c r="F1975" s="1" t="s">
        <v>22</v>
      </c>
      <c r="G1975" s="1" t="str">
        <f t="shared" si="183"/>
        <v>VIATOR D.O.O., KRALJA DRŽISLAVA 6, 21000 SPLIT, OIB: 6473171712</v>
      </c>
      <c r="H1975" s="7"/>
      <c r="I1975" s="8" t="s">
        <v>403</v>
      </c>
      <c r="J1975" s="8" t="s">
        <v>1597</v>
      </c>
      <c r="K1975" s="6" t="str">
        <f>"730.000,00"</f>
        <v>730.000,00</v>
      </c>
      <c r="L1975" s="6" t="str">
        <f>"182.500,00"</f>
        <v>182.500,00</v>
      </c>
      <c r="M1975" s="6" t="str">
        <f>"912.500,00"</f>
        <v>912.500,00</v>
      </c>
      <c r="N1975" s="8" t="s">
        <v>124</v>
      </c>
      <c r="O1975" s="7"/>
      <c r="P1975" s="2" t="s">
        <v>5614</v>
      </c>
      <c r="Q1975" s="7"/>
      <c r="R1975" s="1"/>
      <c r="S1975" s="1" t="str">
        <f>"NOS-3-13/22"</f>
        <v>NOS-3-13/22</v>
      </c>
      <c r="T1975" s="1" t="s">
        <v>49</v>
      </c>
    </row>
    <row r="1976" spans="1:20" ht="63.75" x14ac:dyDescent="0.25">
      <c r="A1976" s="6">
        <v>1972</v>
      </c>
      <c r="B1976" s="1" t="str">
        <f t="shared" si="182"/>
        <v>2022-6</v>
      </c>
      <c r="C1976" s="1" t="s">
        <v>1662</v>
      </c>
      <c r="D1976" s="1" t="s">
        <v>1065</v>
      </c>
      <c r="E1976" s="1" t="str">
        <f>""</f>
        <v/>
      </c>
      <c r="F1976" s="1" t="s">
        <v>28</v>
      </c>
      <c r="G1976" s="1" t="str">
        <f t="shared" si="183"/>
        <v>VIATOR D.O.O., KRALJA DRŽISLAVA 6, 21000 SPLIT, OIB: 6473171712</v>
      </c>
      <c r="H1976" s="7"/>
      <c r="I1976" s="8" t="s">
        <v>835</v>
      </c>
      <c r="J1976" s="8" t="s">
        <v>123</v>
      </c>
      <c r="K1976" s="6" t="str">
        <f>"187.440,00"</f>
        <v>187.440,00</v>
      </c>
      <c r="L1976" s="6" t="str">
        <f>"46.860,00"</f>
        <v>46.860,00</v>
      </c>
      <c r="M1976" s="6" t="str">
        <f>"234.300,00"</f>
        <v>234.300,00</v>
      </c>
      <c r="N1976" s="8" t="s">
        <v>383</v>
      </c>
      <c r="O1976" s="7"/>
      <c r="P1976" s="2" t="s">
        <v>6800</v>
      </c>
      <c r="Q1976" s="1"/>
      <c r="R1976" s="1"/>
      <c r="S1976" s="1" t="str">
        <f>"1-22/NOS-3-13/22"</f>
        <v>1-22/NOS-3-13/22</v>
      </c>
      <c r="T1976" s="1" t="s">
        <v>32</v>
      </c>
    </row>
    <row r="1977" spans="1:20" ht="63.75" x14ac:dyDescent="0.25">
      <c r="A1977" s="6">
        <v>1973</v>
      </c>
      <c r="B1977" s="1" t="str">
        <f t="shared" si="182"/>
        <v>2022-6</v>
      </c>
      <c r="C1977" s="1" t="s">
        <v>1663</v>
      </c>
      <c r="D1977" s="1" t="s">
        <v>1065</v>
      </c>
      <c r="E1977" s="1" t="str">
        <f>""</f>
        <v/>
      </c>
      <c r="F1977" s="1" t="s">
        <v>28</v>
      </c>
      <c r="G1977" s="1" t="str">
        <f t="shared" si="183"/>
        <v>VIATOR D.O.O., KRALJA DRŽISLAVA 6, 21000 SPLIT, OIB: 6473171712</v>
      </c>
      <c r="H1977" s="7"/>
      <c r="I1977" s="8" t="s">
        <v>308</v>
      </c>
      <c r="J1977" s="8" t="s">
        <v>123</v>
      </c>
      <c r="K1977" s="6" t="str">
        <f>"90.640,00"</f>
        <v>90.640,00</v>
      </c>
      <c r="L1977" s="6" t="str">
        <f>"22.660,00"</f>
        <v>22.660,00</v>
      </c>
      <c r="M1977" s="6" t="str">
        <f>"113.300,00"</f>
        <v>113.300,00</v>
      </c>
      <c r="N1977" s="8" t="s">
        <v>124</v>
      </c>
      <c r="O1977" s="7"/>
      <c r="P1977" s="2" t="s">
        <v>6801</v>
      </c>
      <c r="Q1977" s="7"/>
      <c r="R1977" s="1"/>
      <c r="S1977" s="1" t="str">
        <f>"3-22/NOS-3-13/22"</f>
        <v>3-22/NOS-3-13/22</v>
      </c>
      <c r="T1977" s="1" t="s">
        <v>32</v>
      </c>
    </row>
    <row r="1978" spans="1:20" ht="51" x14ac:dyDescent="0.25">
      <c r="A1978" s="6">
        <v>1974</v>
      </c>
      <c r="B1978" s="1" t="str">
        <f t="shared" si="182"/>
        <v>2022-6</v>
      </c>
      <c r="C1978" s="1" t="s">
        <v>1661</v>
      </c>
      <c r="D1978" s="1" t="s">
        <v>1065</v>
      </c>
      <c r="E1978" s="1" t="str">
        <f>""</f>
        <v/>
      </c>
      <c r="F1978" s="1" t="s">
        <v>28</v>
      </c>
      <c r="G1978" s="1" t="str">
        <f t="shared" si="183"/>
        <v>VIATOR D.O.O., KRALJA DRŽISLAVA 6, 21000 SPLIT, OIB: 6473171712</v>
      </c>
      <c r="H1978" s="7"/>
      <c r="I1978" s="8" t="s">
        <v>994</v>
      </c>
      <c r="J1978" s="8" t="s">
        <v>375</v>
      </c>
      <c r="K1978" s="6" t="str">
        <f>"80.300,00"</f>
        <v>80.300,00</v>
      </c>
      <c r="L1978" s="6" t="str">
        <f>"8.195,00"</f>
        <v>8.195,00</v>
      </c>
      <c r="M1978" s="6" t="str">
        <f>"88.495,00"</f>
        <v>88.495,00</v>
      </c>
      <c r="N1978" s="8" t="s">
        <v>892</v>
      </c>
      <c r="O1978" s="7"/>
      <c r="P1978" s="2" t="s">
        <v>6802</v>
      </c>
      <c r="Q1978" s="7"/>
      <c r="R1978" s="1"/>
      <c r="S1978" s="1" t="str">
        <f>"7-22/NOS-3-13/22"</f>
        <v>7-22/NOS-3-13/22</v>
      </c>
      <c r="T1978" s="1" t="s">
        <v>43</v>
      </c>
    </row>
    <row r="1979" spans="1:20" ht="51" x14ac:dyDescent="0.25">
      <c r="A1979" s="6">
        <v>1975</v>
      </c>
      <c r="B1979" s="1" t="str">
        <f t="shared" si="182"/>
        <v>2022-6</v>
      </c>
      <c r="C1979" s="1" t="s">
        <v>1661</v>
      </c>
      <c r="D1979" s="1" t="s">
        <v>1065</v>
      </c>
      <c r="E1979" s="1" t="str">
        <f>""</f>
        <v/>
      </c>
      <c r="F1979" s="1" t="s">
        <v>28</v>
      </c>
      <c r="G1979" s="1" t="str">
        <f t="shared" si="183"/>
        <v>VIATOR D.O.O., KRALJA DRŽISLAVA 6, 21000 SPLIT, OIB: 6473171712</v>
      </c>
      <c r="H1979" s="7"/>
      <c r="I1979" s="8" t="s">
        <v>238</v>
      </c>
      <c r="J1979" s="8" t="s">
        <v>375</v>
      </c>
      <c r="K1979" s="6" t="str">
        <f>"80.300,00"</f>
        <v>80.300,00</v>
      </c>
      <c r="L1979" s="6" t="str">
        <f>"0,00"</f>
        <v>0,00</v>
      </c>
      <c r="M1979" s="6" t="str">
        <f>"80.300,00"</f>
        <v>80.300,00</v>
      </c>
      <c r="N1979" s="8" t="s">
        <v>124</v>
      </c>
      <c r="O1979" s="7"/>
      <c r="P1979" s="2" t="s">
        <v>5614</v>
      </c>
      <c r="Q1979" s="7"/>
      <c r="R1979" s="1"/>
      <c r="S1979" s="1" t="str">
        <f>"4-22/NOS-3-13/22"</f>
        <v>4-22/NOS-3-13/22</v>
      </c>
      <c r="T1979" s="1" t="s">
        <v>55</v>
      </c>
    </row>
    <row r="1980" spans="1:20" ht="51" x14ac:dyDescent="0.25">
      <c r="A1980" s="6">
        <v>1976</v>
      </c>
      <c r="B1980" s="1" t="str">
        <f t="shared" si="182"/>
        <v>2022-6</v>
      </c>
      <c r="C1980" s="1" t="s">
        <v>1661</v>
      </c>
      <c r="D1980" s="1" t="s">
        <v>1065</v>
      </c>
      <c r="E1980" s="1" t="str">
        <f>""</f>
        <v/>
      </c>
      <c r="F1980" s="1" t="s">
        <v>28</v>
      </c>
      <c r="G1980" s="1" t="str">
        <f t="shared" si="183"/>
        <v>VIATOR D.O.O., KRALJA DRŽISLAVA 6, 21000 SPLIT, OIB: 6473171712</v>
      </c>
      <c r="H1980" s="7"/>
      <c r="I1980" s="8" t="s">
        <v>160</v>
      </c>
      <c r="J1980" s="8" t="s">
        <v>1664</v>
      </c>
      <c r="K1980" s="6" t="str">
        <f>"39.160,00"</f>
        <v>39.160,00</v>
      </c>
      <c r="L1980" s="6" t="str">
        <f>"6.435,00"</f>
        <v>6.435,00</v>
      </c>
      <c r="M1980" s="6" t="str">
        <f>"45.595,00"</f>
        <v>45.595,00</v>
      </c>
      <c r="N1980" s="8" t="s">
        <v>1009</v>
      </c>
      <c r="O1980" s="7"/>
      <c r="P1980" s="2" t="s">
        <v>6803</v>
      </c>
      <c r="Q1980" s="7"/>
      <c r="R1980" s="1"/>
      <c r="S1980" s="1" t="str">
        <f>"8-22/NOS-3-13/22"</f>
        <v>8-22/NOS-3-13/22</v>
      </c>
      <c r="T1980" s="1" t="s">
        <v>32</v>
      </c>
    </row>
    <row r="1981" spans="1:20" ht="51" x14ac:dyDescent="0.25">
      <c r="A1981" s="6">
        <v>1977</v>
      </c>
      <c r="B1981" s="1" t="str">
        <f t="shared" si="182"/>
        <v>2022-6</v>
      </c>
      <c r="C1981" s="1" t="s">
        <v>1661</v>
      </c>
      <c r="D1981" s="1" t="s">
        <v>1065</v>
      </c>
      <c r="E1981" s="1" t="str">
        <f>""</f>
        <v/>
      </c>
      <c r="F1981" s="1" t="s">
        <v>28</v>
      </c>
      <c r="G1981" s="1" t="str">
        <f t="shared" si="183"/>
        <v>VIATOR D.O.O., KRALJA DRŽISLAVA 6, 21000 SPLIT, OIB: 6473171712</v>
      </c>
      <c r="H1981" s="7"/>
      <c r="I1981" s="8" t="s">
        <v>252</v>
      </c>
      <c r="J1981" s="8" t="s">
        <v>1665</v>
      </c>
      <c r="K1981" s="6" t="str">
        <f>"31.900,00"</f>
        <v>31.900,00</v>
      </c>
      <c r="L1981" s="6" t="str">
        <f>"2.420,00"</f>
        <v>2.420,00</v>
      </c>
      <c r="M1981" s="6" t="str">
        <f>"34.320,00"</f>
        <v>34.320,00</v>
      </c>
      <c r="N1981" s="8" t="s">
        <v>567</v>
      </c>
      <c r="O1981" s="7"/>
      <c r="P1981" s="2" t="s">
        <v>6804</v>
      </c>
      <c r="Q1981" s="7"/>
      <c r="R1981" s="1"/>
      <c r="S1981" s="1" t="str">
        <f>"9-22/NOS-3-13/22"</f>
        <v>9-22/NOS-3-13/22</v>
      </c>
      <c r="T1981" s="1" t="s">
        <v>32</v>
      </c>
    </row>
    <row r="1982" spans="1:20" ht="51" x14ac:dyDescent="0.25">
      <c r="A1982" s="6">
        <v>1978</v>
      </c>
      <c r="B1982" s="1" t="str">
        <f t="shared" si="182"/>
        <v>2022-6</v>
      </c>
      <c r="C1982" s="1" t="s">
        <v>1661</v>
      </c>
      <c r="D1982" s="1" t="s">
        <v>1065</v>
      </c>
      <c r="E1982" s="1" t="str">
        <f>""</f>
        <v/>
      </c>
      <c r="F1982" s="1" t="s">
        <v>28</v>
      </c>
      <c r="G1982" s="1" t="str">
        <f t="shared" si="183"/>
        <v>VIATOR D.O.O., KRALJA DRŽISLAVA 6, 21000 SPLIT, OIB: 6473171712</v>
      </c>
      <c r="H1982" s="7"/>
      <c r="I1982" s="8" t="s">
        <v>215</v>
      </c>
      <c r="J1982" s="8" t="s">
        <v>1194</v>
      </c>
      <c r="K1982" s="6" t="str">
        <f>"19.800,00"</f>
        <v>19.800,00</v>
      </c>
      <c r="L1982" s="6" t="str">
        <f>"0,00"</f>
        <v>0,00</v>
      </c>
      <c r="M1982" s="6" t="str">
        <f>"19.800,00"</f>
        <v>19.800,00</v>
      </c>
      <c r="N1982" s="8" t="s">
        <v>124</v>
      </c>
      <c r="O1982" s="7"/>
      <c r="P1982" s="2" t="s">
        <v>5614</v>
      </c>
      <c r="Q1982" s="7"/>
      <c r="R1982" s="1"/>
      <c r="S1982" s="1" t="str">
        <f>"10-22/NOS-3-13/22"</f>
        <v>10-22/NOS-3-13/22</v>
      </c>
      <c r="T1982" s="1" t="s">
        <v>452</v>
      </c>
    </row>
    <row r="1983" spans="1:20" ht="306" x14ac:dyDescent="0.25">
      <c r="A1983" s="6">
        <v>1979</v>
      </c>
      <c r="B1983" s="1" t="str">
        <f>"2021-1846"</f>
        <v>2021-1846</v>
      </c>
      <c r="C1983" s="1" t="s">
        <v>1666</v>
      </c>
      <c r="D1983" s="1" t="s">
        <v>515</v>
      </c>
      <c r="E1983" s="1" t="str">
        <f>"2021/S 0F2-0038706"</f>
        <v>2021/S 0F2-0038706</v>
      </c>
      <c r="F1983" s="1" t="s">
        <v>22</v>
      </c>
      <c r="G1983" s="1" t="str">
        <f>CONCATENATE("Zajednica ponuditelja",CHAR(10),"NASTAVNI ZAVOD ZA JAVNO ZDRAVSTVO DR. ANDRIJA ŠTAMPAR,"," MIROGOJSKA CESTA 16,"," 10000 ZAGREB,"," OIB: 33392005961BIOINSTITUT D.O.O. IND.ZONA ISTOK,"," RUDOLFA STEINERA 7,"," 40000 ČAKOVEC,"," OIB: 42588898414",CHAR(10),"",CHAR(10),"EUROFINS CROATIAKONTROLA D.O.O.,"," KARLOVAČKA CESTA 4L,"," 10000 ZAGREB,"," OIB: 50024748563",CHAR(10),"",CHAR(10),"HIDRO.LAB. D.O.O.,"," KOLAVIĆI 5,"," 51414 IČIĆI,"," OIB: 7130460263")</f>
        <v>Zajednica ponuditelja
NASTAVNI ZAVOD ZA JAVNO ZDRAVSTVO DR. ANDRIJA ŠTAMPAR, MIROGOJSKA CESTA 16, 10000 ZAGREB, OIB: 33392005961BIOINSTITUT D.O.O. IND.ZONA ISTOK, RUDOLFA STEINERA 7, 40000 ČAKOVEC, OIB: 42588898414
EUROFINS CROATIAKONTROLA D.O.O., KARLOVAČKA CESTA 4L, 10000 ZAGREB, OIB: 50024748563
HIDRO.LAB. D.O.O., KOLAVIĆI 5, 51414 IČIĆI, OIB: 7130460263</v>
      </c>
      <c r="H1983" s="7"/>
      <c r="I1983" s="8" t="s">
        <v>856</v>
      </c>
      <c r="J1983" s="8" t="s">
        <v>1667</v>
      </c>
      <c r="K1983" s="6" t="str">
        <f>"400.000,00"</f>
        <v>400.000,00</v>
      </c>
      <c r="L1983" s="6" t="str">
        <f>"100.000,00"</f>
        <v>100.000,00</v>
      </c>
      <c r="M1983" s="6" t="str">
        <f>"500.000,00"</f>
        <v>500.000,00</v>
      </c>
      <c r="N1983" s="8" t="s">
        <v>124</v>
      </c>
      <c r="O1983" s="7"/>
      <c r="P1983" s="2" t="s">
        <v>5614</v>
      </c>
      <c r="Q1983" s="7"/>
      <c r="R1983" s="1"/>
      <c r="S1983" s="1" t="str">
        <f>"NOS-56-1/21"</f>
        <v>NOS-56-1/21</v>
      </c>
      <c r="T1983" s="1" t="s">
        <v>32</v>
      </c>
    </row>
    <row r="1984" spans="1:20" ht="153" x14ac:dyDescent="0.25">
      <c r="A1984" s="6">
        <v>1980</v>
      </c>
      <c r="B1984" s="1" t="str">
        <f>"2021-1846"</f>
        <v>2021-1846</v>
      </c>
      <c r="C1984" s="1" t="s">
        <v>1668</v>
      </c>
      <c r="D1984" s="1" t="s">
        <v>518</v>
      </c>
      <c r="E1984" s="1" t="str">
        <f>""</f>
        <v/>
      </c>
      <c r="F1984" s="1" t="s">
        <v>28</v>
      </c>
      <c r="G1984" s="1" t="str">
        <f>CONCATENATE("HIDRO.LAB. D.O.O.,"," KOLAVIĆI 5,"," 51414 IČIĆI,"," OIB: 7130460263")</f>
        <v>HIDRO.LAB. D.O.O., KOLAVIĆI 5, 51414 IČIĆI, OIB: 7130460263</v>
      </c>
      <c r="H1984" s="7"/>
      <c r="I1984" s="8" t="s">
        <v>54</v>
      </c>
      <c r="J1984" s="8" t="s">
        <v>490</v>
      </c>
      <c r="K1984" s="6" t="str">
        <f>"52.740,00"</f>
        <v>52.740,00</v>
      </c>
      <c r="L1984" s="6" t="str">
        <f>"13.185,00"</f>
        <v>13.185,00</v>
      </c>
      <c r="M1984" s="6" t="str">
        <f>"65.925,00"</f>
        <v>65.925,00</v>
      </c>
      <c r="N1984" s="8" t="s">
        <v>124</v>
      </c>
      <c r="O1984" s="7"/>
      <c r="P1984" s="2" t="s">
        <v>5614</v>
      </c>
      <c r="Q1984" s="7"/>
      <c r="R1984" s="1"/>
      <c r="S1984" s="1" t="str">
        <f>"1-22/NOS-56-1/21"</f>
        <v>1-22/NOS-56-1/21</v>
      </c>
      <c r="T1984" s="1" t="s">
        <v>32</v>
      </c>
    </row>
    <row r="1985" spans="1:20" ht="153" x14ac:dyDescent="0.25">
      <c r="A1985" s="6">
        <v>1981</v>
      </c>
      <c r="B1985" s="1" t="str">
        <f>"2021-1846"</f>
        <v>2021-1846</v>
      </c>
      <c r="C1985" s="1" t="s">
        <v>1669</v>
      </c>
      <c r="D1985" s="1" t="s">
        <v>515</v>
      </c>
      <c r="E1985" s="1" t="str">
        <f>"2021/S 0F2-0038706"</f>
        <v>2021/S 0F2-0038706</v>
      </c>
      <c r="F1985" s="1" t="s">
        <v>22</v>
      </c>
      <c r="G1985" s="1"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985" s="7"/>
      <c r="I1985" s="8" t="s">
        <v>856</v>
      </c>
      <c r="J1985" s="8" t="s">
        <v>1615</v>
      </c>
      <c r="K1985" s="6" t="str">
        <f>"250.000,00"</f>
        <v>250.000,00</v>
      </c>
      <c r="L1985" s="6" t="str">
        <f>"62.500,00"</f>
        <v>62.500,00</v>
      </c>
      <c r="M1985" s="6" t="str">
        <f>"312.500,00"</f>
        <v>312.500,00</v>
      </c>
      <c r="N1985" s="8" t="s">
        <v>124</v>
      </c>
      <c r="O1985" s="7"/>
      <c r="P1985" s="2" t="s">
        <v>5614</v>
      </c>
      <c r="Q1985" s="7"/>
      <c r="R1985" s="1"/>
      <c r="S1985" s="1" t="str">
        <f>"NOS-56-2/21"</f>
        <v>NOS-56-2/21</v>
      </c>
      <c r="T1985" s="1" t="s">
        <v>32</v>
      </c>
    </row>
    <row r="1986" spans="1:20" ht="153" x14ac:dyDescent="0.25">
      <c r="A1986" s="6">
        <v>1982</v>
      </c>
      <c r="B1986" s="1" t="str">
        <f>"2021-1846"</f>
        <v>2021-1846</v>
      </c>
      <c r="C1986" s="1" t="s">
        <v>1670</v>
      </c>
      <c r="D1986" s="1" t="s">
        <v>518</v>
      </c>
      <c r="E1986" s="1" t="str">
        <f>""</f>
        <v/>
      </c>
      <c r="F1986" s="1" t="s">
        <v>28</v>
      </c>
      <c r="G1986" s="1"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1986" s="7"/>
      <c r="I1986" s="8" t="s">
        <v>438</v>
      </c>
      <c r="J1986" s="8" t="s">
        <v>1220</v>
      </c>
      <c r="K1986" s="6" t="str">
        <f>"82.137,80"</f>
        <v>82.137,80</v>
      </c>
      <c r="L1986" s="6" t="str">
        <f>"20.534,45"</f>
        <v>20.534,45</v>
      </c>
      <c r="M1986" s="6" t="str">
        <f>"102.672,25"</f>
        <v>102.672,25</v>
      </c>
      <c r="N1986" s="8" t="s">
        <v>124</v>
      </c>
      <c r="O1986" s="7"/>
      <c r="P1986" s="2" t="s">
        <v>5614</v>
      </c>
      <c r="Q1986" s="7"/>
      <c r="R1986" s="1"/>
      <c r="S1986" s="1" t="str">
        <f>"1-22/NOS-56-2/21"</f>
        <v>1-22/NOS-56-2/21</v>
      </c>
      <c r="T1986" s="1" t="s">
        <v>32</v>
      </c>
    </row>
    <row r="1987" spans="1:20" ht="51" x14ac:dyDescent="0.25">
      <c r="A1987" s="6">
        <v>1983</v>
      </c>
      <c r="B1987" s="1" t="str">
        <f>"2021-1845"</f>
        <v>2021-1845</v>
      </c>
      <c r="C1987" s="1" t="s">
        <v>1671</v>
      </c>
      <c r="D1987" s="1" t="s">
        <v>1672</v>
      </c>
      <c r="E1987" s="1" t="str">
        <f>"2021/S 0F2-0031455"</f>
        <v>2021/S 0F2-0031455</v>
      </c>
      <c r="F1987" s="1" t="s">
        <v>22</v>
      </c>
      <c r="G1987" s="1" t="str">
        <f>CONCATENATE("DRVNA BIOMASA D.O.O.,"," LOVAČKA 22,"," 53260 BRINJE,"," OIB: 64425469834")</f>
        <v>DRVNA BIOMASA D.O.O., LOVAČKA 22, 53260 BRINJE, OIB: 64425469834</v>
      </c>
      <c r="H1987" s="7"/>
      <c r="I1987" s="8" t="s">
        <v>856</v>
      </c>
      <c r="J1987" s="8" t="s">
        <v>1650</v>
      </c>
      <c r="K1987" s="6" t="str">
        <f>"800.000,00"</f>
        <v>800.000,00</v>
      </c>
      <c r="L1987" s="6" t="str">
        <f>"200.000,00"</f>
        <v>200.000,00</v>
      </c>
      <c r="M1987" s="6" t="str">
        <f>"1.000.000,00"</f>
        <v>1.000.000,00</v>
      </c>
      <c r="N1987" s="8" t="s">
        <v>124</v>
      </c>
      <c r="O1987" s="7"/>
      <c r="P1987" s="2" t="s">
        <v>5614</v>
      </c>
      <c r="Q1987" s="7"/>
      <c r="R1987" s="1"/>
      <c r="S1987" s="1" t="str">
        <f>"NOS-47/21"</f>
        <v>NOS-47/21</v>
      </c>
      <c r="T1987" s="1" t="s">
        <v>32</v>
      </c>
    </row>
    <row r="1988" spans="1:20" ht="51" x14ac:dyDescent="0.25">
      <c r="A1988" s="6">
        <v>1984</v>
      </c>
      <c r="B1988" s="1" t="str">
        <f>"2021-1845"</f>
        <v>2021-1845</v>
      </c>
      <c r="C1988" s="1" t="s">
        <v>1671</v>
      </c>
      <c r="D1988" s="1" t="s">
        <v>1672</v>
      </c>
      <c r="E1988" s="1" t="str">
        <f>""</f>
        <v/>
      </c>
      <c r="F1988" s="1" t="s">
        <v>28</v>
      </c>
      <c r="G1988" s="1" t="str">
        <f>CONCATENATE("DRVNA BIOMASA D.O.O.,"," LOVAČKA 22,"," 53260 BRINJE,"," OIB: 64425469834")</f>
        <v>DRVNA BIOMASA D.O.O., LOVAČKA 22, 53260 BRINJE, OIB: 64425469834</v>
      </c>
      <c r="H1988" s="7"/>
      <c r="I1988" s="8" t="s">
        <v>893</v>
      </c>
      <c r="J1988" s="8" t="s">
        <v>231</v>
      </c>
      <c r="K1988" s="6" t="str">
        <f>"204.000,00"</f>
        <v>204.000,00</v>
      </c>
      <c r="L1988" s="6" t="str">
        <f>"0,00"</f>
        <v>0,00</v>
      </c>
      <c r="M1988" s="6" t="str">
        <f>"204.000,00"</f>
        <v>204.000,00</v>
      </c>
      <c r="N1988" s="8" t="s">
        <v>124</v>
      </c>
      <c r="O1988" s="7"/>
      <c r="P1988" s="2" t="s">
        <v>5614</v>
      </c>
      <c r="Q1988" s="7"/>
      <c r="R1988" s="1"/>
      <c r="S1988" s="1" t="str">
        <f>"1-22/NOS-47/21"</f>
        <v>1-22/NOS-47/21</v>
      </c>
      <c r="T1988" s="1" t="s">
        <v>32</v>
      </c>
    </row>
    <row r="1989" spans="1:20" ht="191.25" x14ac:dyDescent="0.25">
      <c r="A1989" s="6">
        <v>1985</v>
      </c>
      <c r="B1989" s="1" t="str">
        <f>"2021-1863"</f>
        <v>2021-1863</v>
      </c>
      <c r="C1989" s="1" t="s">
        <v>1673</v>
      </c>
      <c r="D1989" s="1" t="s">
        <v>575</v>
      </c>
      <c r="E1989" s="1" t="str">
        <f>"2022/S 0F2-0006813"</f>
        <v>2022/S 0F2-0006813</v>
      </c>
      <c r="F1989" s="1" t="s">
        <v>22</v>
      </c>
      <c r="G1989" s="1"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H1989" s="7"/>
      <c r="I1989" s="8" t="s">
        <v>284</v>
      </c>
      <c r="J1989" s="8" t="s">
        <v>1650</v>
      </c>
      <c r="K1989" s="6" t="str">
        <f>"400.000,00"</f>
        <v>400.000,00</v>
      </c>
      <c r="L1989" s="6" t="str">
        <f>"100.000,00"</f>
        <v>100.000,00</v>
      </c>
      <c r="M1989" s="6" t="str">
        <f>"500.000,00"</f>
        <v>500.000,00</v>
      </c>
      <c r="N1989" s="8" t="s">
        <v>124</v>
      </c>
      <c r="O1989" s="7"/>
      <c r="P1989" s="2" t="s">
        <v>5614</v>
      </c>
      <c r="Q1989" s="7"/>
      <c r="R1989" s="1"/>
      <c r="S1989" s="1" t="str">
        <f>"NOS-51-2/21"</f>
        <v>NOS-51-2/21</v>
      </c>
      <c r="T1989" s="1" t="s">
        <v>32</v>
      </c>
    </row>
    <row r="1990" spans="1:20" ht="63.75" x14ac:dyDescent="0.25">
      <c r="A1990" s="6">
        <v>1986</v>
      </c>
      <c r="B1990" s="1" t="str">
        <f>"2021-1863"</f>
        <v>2021-1863</v>
      </c>
      <c r="C1990" s="1" t="s">
        <v>1674</v>
      </c>
      <c r="D1990" s="1" t="s">
        <v>580</v>
      </c>
      <c r="E1990" s="1" t="str">
        <f>""</f>
        <v/>
      </c>
      <c r="F1990" s="1" t="s">
        <v>28</v>
      </c>
      <c r="G1990" s="1" t="str">
        <f>CONCATENATE("FRAGARIA PLANTA D.O.O.,"," KUPINEČKI KRALJEVEC,"," MRAKOV BREG 3,"," 10000 ZAGREB,"," OIB: 2633455166")</f>
        <v>FRAGARIA PLANTA D.O.O., KUPINEČKI KRALJEVEC, MRAKOV BREG 3, 10000 ZAGREB, OIB: 2633455166</v>
      </c>
      <c r="H1990" s="7"/>
      <c r="I1990" s="8" t="s">
        <v>1159</v>
      </c>
      <c r="J1990" s="8" t="s">
        <v>509</v>
      </c>
      <c r="K1990" s="6" t="str">
        <f>"60.540,00"</f>
        <v>60.540,00</v>
      </c>
      <c r="L1990" s="6" t="str">
        <f>"15.135,00"</f>
        <v>15.135,00</v>
      </c>
      <c r="M1990" s="6" t="str">
        <f>"75.675,00"</f>
        <v>75.675,00</v>
      </c>
      <c r="N1990" s="8" t="s">
        <v>124</v>
      </c>
      <c r="O1990" s="7"/>
      <c r="P1990" s="2" t="s">
        <v>5614</v>
      </c>
      <c r="Q1990" s="7"/>
      <c r="R1990" s="1"/>
      <c r="S1990" s="1" t="str">
        <f>"2-22/NOS-51-2/21"</f>
        <v>2-22/NOS-51-2/21</v>
      </c>
      <c r="T1990" s="1" t="s">
        <v>32</v>
      </c>
    </row>
    <row r="1991" spans="1:20" ht="63.75" x14ac:dyDescent="0.25">
      <c r="A1991" s="6">
        <v>1987</v>
      </c>
      <c r="B1991" s="1" t="str">
        <f>"2021-1863"</f>
        <v>2021-1863</v>
      </c>
      <c r="C1991" s="1" t="s">
        <v>1674</v>
      </c>
      <c r="D1991" s="1" t="s">
        <v>580</v>
      </c>
      <c r="E1991" s="1" t="str">
        <f>""</f>
        <v/>
      </c>
      <c r="F1991" s="1" t="s">
        <v>28</v>
      </c>
      <c r="G1991" s="1" t="str">
        <f>CONCATENATE("FRAGARIA PLANTA D.O.O.,"," KUPINEČKI KRALJEVEC,"," MRAKOV BREG 3,"," 10000 ZAGREB,"," OIB: 2633455166")</f>
        <v>FRAGARIA PLANTA D.O.O., KUPINEČKI KRALJEVEC, MRAKOV BREG 3, 10000 ZAGREB, OIB: 2633455166</v>
      </c>
      <c r="H1991" s="7"/>
      <c r="I1991" s="8" t="s">
        <v>207</v>
      </c>
      <c r="J1991" s="8" t="s">
        <v>489</v>
      </c>
      <c r="K1991" s="6" t="str">
        <f>"30.639,58"</f>
        <v>30.639,58</v>
      </c>
      <c r="L1991" s="6" t="str">
        <f>"7.659,90"</f>
        <v>7.659,90</v>
      </c>
      <c r="M1991" s="6" t="str">
        <f>"38.299,48"</f>
        <v>38.299,48</v>
      </c>
      <c r="N1991" s="8" t="s">
        <v>124</v>
      </c>
      <c r="O1991" s="7"/>
      <c r="P1991" s="2" t="s">
        <v>5614</v>
      </c>
      <c r="Q1991" s="7"/>
      <c r="R1991" s="1"/>
      <c r="S1991" s="1" t="str">
        <f>"4-22/NOS-51-2/21"</f>
        <v>4-22/NOS-51-2/21</v>
      </c>
      <c r="T1991" s="1" t="s">
        <v>32</v>
      </c>
    </row>
    <row r="1992" spans="1:20" ht="191.25" x14ac:dyDescent="0.25">
      <c r="A1992" s="6">
        <v>1988</v>
      </c>
      <c r="B1992" s="1" t="str">
        <f>"2021-1863"</f>
        <v>2021-1863</v>
      </c>
      <c r="C1992" s="1" t="s">
        <v>1675</v>
      </c>
      <c r="D1992" s="1" t="s">
        <v>575</v>
      </c>
      <c r="E1992" s="1" t="str">
        <f>"2022/S 0F2-0006813"</f>
        <v>2022/S 0F2-0006813</v>
      </c>
      <c r="F1992" s="1" t="s">
        <v>22</v>
      </c>
      <c r="G1992" s="1" t="str">
        <f>CONCATENATE("FRAGARIA PLANTA D.O.O.,"," KUPINEČKI KRALJEVEC,"," MRAKOV BREG 3,"," 10000 ZAGREB,"," OIB: 26334551660",CHAR(10),"",CHAR(10),"DOBRO RJEŠENJE D.O.O.,"," ZAVRTNICA 3,"," 10000 ZAGREB,"," OIB: 33104804103",CHAR(10),"",CHAR(10),"HOLUS D.O.O.,"," SLAVONSKA AVENIJA 7,"," 10000 ZAGREB,"," OIB: 19957278502")</f>
        <v>FRAGARIA PLANTA D.O.O., KUPINEČKI KRALJEVEC, MRAKOV BREG 3, 10000 ZAGREB, OIB: 26334551660
DOBRO RJEŠENJE D.O.O., ZAVRTNICA 3, 10000 ZAGREB, OIB: 33104804103
HOLUS D.O.O., SLAVONSKA AVENIJA 7, 10000 ZAGREB, OIB: 19957278502</v>
      </c>
      <c r="H1992" s="7"/>
      <c r="I1992" s="8" t="s">
        <v>284</v>
      </c>
      <c r="J1992" s="8" t="s">
        <v>1650</v>
      </c>
      <c r="K1992" s="6" t="str">
        <f>"400.000,00"</f>
        <v>400.000,00</v>
      </c>
      <c r="L1992" s="6" t="str">
        <f>"100.000,00"</f>
        <v>100.000,00</v>
      </c>
      <c r="M1992" s="6" t="str">
        <f>"500.000,00"</f>
        <v>500.000,00</v>
      </c>
      <c r="N1992" s="8" t="s">
        <v>124</v>
      </c>
      <c r="O1992" s="7"/>
      <c r="P1992" s="2" t="s">
        <v>5614</v>
      </c>
      <c r="Q1992" s="7"/>
      <c r="R1992" s="1"/>
      <c r="S1992" s="1" t="str">
        <f>"NOS-51-3/21"</f>
        <v>NOS-51-3/21</v>
      </c>
      <c r="T1992" s="1" t="s">
        <v>32</v>
      </c>
    </row>
    <row r="1993" spans="1:20" ht="63.75" x14ac:dyDescent="0.25">
      <c r="A1993" s="6">
        <v>1989</v>
      </c>
      <c r="B1993" s="1" t="str">
        <f>"2021-1863"</f>
        <v>2021-1863</v>
      </c>
      <c r="C1993" s="1" t="s">
        <v>1674</v>
      </c>
      <c r="D1993" s="1" t="s">
        <v>580</v>
      </c>
      <c r="E1993" s="1" t="str">
        <f>""</f>
        <v/>
      </c>
      <c r="F1993" s="1" t="s">
        <v>28</v>
      </c>
      <c r="G1993" s="1" t="str">
        <f>CONCATENATE("FRAGARIA PLANTA D.O.O.,"," KUPINEČKI KRALJEVEC,"," MRAKOV BREG 3,"," 10000 ZAGREB,"," OIB: 2633455166")</f>
        <v>FRAGARIA PLANTA D.O.O., KUPINEČKI KRALJEVEC, MRAKOV BREG 3, 10000 ZAGREB, OIB: 2633455166</v>
      </c>
      <c r="H1993" s="7"/>
      <c r="I1993" s="8" t="s">
        <v>563</v>
      </c>
      <c r="J1993" s="8" t="s">
        <v>214</v>
      </c>
      <c r="K1993" s="6" t="str">
        <f>"82.850,00"</f>
        <v>82.850,00</v>
      </c>
      <c r="L1993" s="6" t="str">
        <f>"20.712,50"</f>
        <v>20.712,50</v>
      </c>
      <c r="M1993" s="6" t="str">
        <f>"103.562,50"</f>
        <v>103.562,50</v>
      </c>
      <c r="N1993" s="8" t="s">
        <v>1032</v>
      </c>
      <c r="O1993" s="7"/>
      <c r="P1993" s="2" t="s">
        <v>6805</v>
      </c>
      <c r="Q1993" s="7"/>
      <c r="R1993" s="1"/>
      <c r="S1993" s="1" t="str">
        <f>"1-22/NOS-51-3/21"</f>
        <v>1-22/NOS-51-3/21</v>
      </c>
      <c r="T1993" s="1" t="s">
        <v>32</v>
      </c>
    </row>
    <row r="1994" spans="1:20" ht="63.75" x14ac:dyDescent="0.25">
      <c r="A1994" s="6">
        <v>1990</v>
      </c>
      <c r="B1994" s="1" t="str">
        <f>"2021-1221"</f>
        <v>2021-1221</v>
      </c>
      <c r="C1994" s="1" t="s">
        <v>1676</v>
      </c>
      <c r="D1994" s="1" t="s">
        <v>267</v>
      </c>
      <c r="E1994" s="1" t="str">
        <f>"2022/S 0F2-0008069"</f>
        <v>2022/S 0F2-0008069</v>
      </c>
      <c r="F1994" s="1" t="s">
        <v>22</v>
      </c>
      <c r="G1994" s="1" t="str">
        <f>CONCATENATE("TK ELEVATOR EASTERN EUROPE GMBH,"," FALLEROVO ŠETALIŠTE 22,"," 10000 ZAGREB,"," OIB: 94505281348")</f>
        <v>TK ELEVATOR EASTERN EUROPE GMBH, FALLEROVO ŠETALIŠTE 22, 10000 ZAGREB, OIB: 94505281348</v>
      </c>
      <c r="H1994" s="7"/>
      <c r="I1994" s="8" t="s">
        <v>284</v>
      </c>
      <c r="J1994" s="8" t="s">
        <v>1617</v>
      </c>
      <c r="K1994" s="6" t="str">
        <f>"300.000,00"</f>
        <v>300.000,00</v>
      </c>
      <c r="L1994" s="6" t="str">
        <f>"75.000,00"</f>
        <v>75.000,00</v>
      </c>
      <c r="M1994" s="6" t="str">
        <f>"375.000,00"</f>
        <v>375.000,00</v>
      </c>
      <c r="N1994" s="8" t="s">
        <v>124</v>
      </c>
      <c r="O1994" s="7"/>
      <c r="P1994" s="2" t="s">
        <v>5614</v>
      </c>
      <c r="Q1994" s="7"/>
      <c r="R1994" s="1"/>
      <c r="S1994" s="1" t="str">
        <f>"NOS-46/21"</f>
        <v>NOS-46/21</v>
      </c>
      <c r="T1994" s="1" t="s">
        <v>86</v>
      </c>
    </row>
    <row r="1995" spans="1:20" ht="63.75" x14ac:dyDescent="0.25">
      <c r="A1995" s="6">
        <v>1991</v>
      </c>
      <c r="B1995" s="1" t="str">
        <f>"2021-1221"</f>
        <v>2021-1221</v>
      </c>
      <c r="C1995" s="1" t="s">
        <v>1676</v>
      </c>
      <c r="D1995" s="1" t="s">
        <v>267</v>
      </c>
      <c r="E1995" s="1" t="str">
        <f>""</f>
        <v/>
      </c>
      <c r="F1995" s="1" t="s">
        <v>28</v>
      </c>
      <c r="G1995" s="1" t="str">
        <f>CONCATENATE("TK ELEVATOR EASTERN EUROPE GMBH,"," FALLEROVO ŠETALIŠTE 22,"," 10000 ZAGREB,"," OIB: 94505281348")</f>
        <v>TK ELEVATOR EASTERN EUROPE GMBH, FALLEROVO ŠETALIŠTE 22, 10000 ZAGREB, OIB: 94505281348</v>
      </c>
      <c r="H1995" s="7"/>
      <c r="I1995" s="8" t="s">
        <v>31</v>
      </c>
      <c r="J1995" s="8" t="s">
        <v>1677</v>
      </c>
      <c r="K1995" s="6" t="str">
        <f>"10.600,00"</f>
        <v>10.600,00</v>
      </c>
      <c r="L1995" s="6" t="str">
        <f>"2.650,00"</f>
        <v>2.650,00</v>
      </c>
      <c r="M1995" s="6" t="str">
        <f>"13.250,00"</f>
        <v>13.250,00</v>
      </c>
      <c r="N1995" s="8" t="s">
        <v>124</v>
      </c>
      <c r="O1995" s="7"/>
      <c r="P1995" s="2" t="s">
        <v>5614</v>
      </c>
      <c r="Q1995" s="7"/>
      <c r="R1995" s="1"/>
      <c r="S1995" s="1" t="str">
        <f>"1-22/NOS-46/21"</f>
        <v>1-22/NOS-46/21</v>
      </c>
      <c r="T1995" s="1" t="s">
        <v>86</v>
      </c>
    </row>
    <row r="1996" spans="1:20" ht="114.75" x14ac:dyDescent="0.25">
      <c r="A1996" s="6">
        <v>1992</v>
      </c>
      <c r="B1996" s="1" t="str">
        <f t="shared" ref="B1996:B2005" si="184">"2021-1878"</f>
        <v>2021-1878</v>
      </c>
      <c r="C1996" s="1" t="s">
        <v>1678</v>
      </c>
      <c r="D1996" s="1" t="s">
        <v>609</v>
      </c>
      <c r="E1996" s="1" t="str">
        <f>"2021/S 0F2-0046454"</f>
        <v>2021/S 0F2-0046454</v>
      </c>
      <c r="F1996" s="1" t="s">
        <v>22</v>
      </c>
      <c r="G1996" s="1"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1996" s="7"/>
      <c r="I1996" s="8" t="s">
        <v>30</v>
      </c>
      <c r="J1996" s="8" t="s">
        <v>1624</v>
      </c>
      <c r="K1996" s="6" t="str">
        <f>"5.000.000,00"</f>
        <v>5.000.000,00</v>
      </c>
      <c r="L1996" s="6" t="str">
        <f>"1.250.000,00"</f>
        <v>1.250.000,00</v>
      </c>
      <c r="M1996" s="6" t="str">
        <f>"6.250.000,00"</f>
        <v>6.250.000,00</v>
      </c>
      <c r="N1996" s="8" t="s">
        <v>124</v>
      </c>
      <c r="O1996" s="7"/>
      <c r="P1996" s="2" t="s">
        <v>5614</v>
      </c>
      <c r="Q1996" s="7"/>
      <c r="R1996" s="1"/>
      <c r="S1996" s="1" t="str">
        <f>"NOS-52-1/21"</f>
        <v>NOS-52-1/21</v>
      </c>
      <c r="T1996" s="1" t="s">
        <v>32</v>
      </c>
    </row>
    <row r="1997" spans="1:20" ht="51" x14ac:dyDescent="0.25">
      <c r="A1997" s="6">
        <v>1993</v>
      </c>
      <c r="B1997" s="1" t="str">
        <f t="shared" si="184"/>
        <v>2021-1878</v>
      </c>
      <c r="C1997" s="1" t="s">
        <v>1679</v>
      </c>
      <c r="D1997" s="1" t="s">
        <v>611</v>
      </c>
      <c r="E1997" s="1" t="str">
        <f>""</f>
        <v/>
      </c>
      <c r="F1997" s="1" t="s">
        <v>28</v>
      </c>
      <c r="G1997" s="1" t="str">
        <f>CONCATENATE("INA D.D.,"," AVENIJA VEĆESLAVA HOLJEVCA 10,"," 10000 ZAGREB,"," OIB: 27759560625")</f>
        <v>INA D.D., AVENIJA VEĆESLAVA HOLJEVCA 10, 10000 ZAGREB, OIB: 27759560625</v>
      </c>
      <c r="H1997" s="7"/>
      <c r="I1997" s="8" t="s">
        <v>404</v>
      </c>
      <c r="J1997" s="8" t="s">
        <v>252</v>
      </c>
      <c r="K1997" s="6" t="str">
        <f>"263.350,00"</f>
        <v>263.350,00</v>
      </c>
      <c r="L1997" s="6" t="str">
        <f>"65.837,50"</f>
        <v>65.837,50</v>
      </c>
      <c r="M1997" s="6" t="str">
        <f>"329.187,50"</f>
        <v>329.187,50</v>
      </c>
      <c r="N1997" s="8" t="s">
        <v>54</v>
      </c>
      <c r="O1997" s="7"/>
      <c r="P1997" s="2" t="s">
        <v>6806</v>
      </c>
      <c r="Q1997" s="1" t="s">
        <v>488</v>
      </c>
      <c r="R1997" s="1"/>
      <c r="S1997" s="1" t="str">
        <f>"1-22/NOS-52-1/21"</f>
        <v>1-22/NOS-52-1/21</v>
      </c>
      <c r="T1997" s="1" t="s">
        <v>32</v>
      </c>
    </row>
    <row r="1998" spans="1:20" ht="114.75" x14ac:dyDescent="0.25">
      <c r="A1998" s="6">
        <v>1994</v>
      </c>
      <c r="B1998" s="1" t="str">
        <f t="shared" si="184"/>
        <v>2021-1878</v>
      </c>
      <c r="C1998" s="1" t="s">
        <v>1680</v>
      </c>
      <c r="D1998" s="1" t="s">
        <v>609</v>
      </c>
      <c r="E1998" s="1" t="str">
        <f>"2021/S 0F2-0046454"</f>
        <v>2021/S 0F2-0046454</v>
      </c>
      <c r="F1998" s="1" t="s">
        <v>22</v>
      </c>
      <c r="G1998" s="1"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1998" s="7"/>
      <c r="I1998" s="8" t="s">
        <v>30</v>
      </c>
      <c r="J1998" s="8" t="s">
        <v>1624</v>
      </c>
      <c r="K1998" s="6" t="str">
        <f>"75.000.000,00"</f>
        <v>75.000.000,00</v>
      </c>
      <c r="L1998" s="6" t="str">
        <f>"18.750.000,00"</f>
        <v>18.750.000,00</v>
      </c>
      <c r="M1998" s="6" t="str">
        <f>"93.750.000,00"</f>
        <v>93.750.000,00</v>
      </c>
      <c r="N1998" s="8" t="s">
        <v>124</v>
      </c>
      <c r="O1998" s="7"/>
      <c r="P1998" s="2" t="s">
        <v>5614</v>
      </c>
      <c r="Q1998" s="7"/>
      <c r="R1998" s="1"/>
      <c r="S1998" s="1" t="str">
        <f>"NOS-52-2/21"</f>
        <v>NOS-52-2/21</v>
      </c>
      <c r="T1998" s="1" t="s">
        <v>32</v>
      </c>
    </row>
    <row r="1999" spans="1:20" ht="51" x14ac:dyDescent="0.25">
      <c r="A1999" s="6">
        <v>1995</v>
      </c>
      <c r="B1999" s="1" t="str">
        <f t="shared" si="184"/>
        <v>2021-1878</v>
      </c>
      <c r="C1999" s="1" t="s">
        <v>1681</v>
      </c>
      <c r="D1999" s="1" t="s">
        <v>611</v>
      </c>
      <c r="E1999" s="1" t="str">
        <f>""</f>
        <v/>
      </c>
      <c r="F1999" s="1" t="s">
        <v>28</v>
      </c>
      <c r="G1999" s="1" t="str">
        <f>CONCATENATE("INA D.D.,"," AVENIJA VEĆESLAVA HOLJEVCA 10,"," 10000 ZAGREB,"," OIB: 27759560625")</f>
        <v>INA D.D., AVENIJA VEĆESLAVA HOLJEVCA 10, 10000 ZAGREB, OIB: 27759560625</v>
      </c>
      <c r="H1999" s="7"/>
      <c r="I1999" s="8" t="s">
        <v>404</v>
      </c>
      <c r="J1999" s="8" t="s">
        <v>252</v>
      </c>
      <c r="K1999" s="6" t="str">
        <f>"7.789.500,00"</f>
        <v>7.789.500,00</v>
      </c>
      <c r="L1999" s="6" t="str">
        <f>"1.947.375,00"</f>
        <v>1.947.375,00</v>
      </c>
      <c r="M1999" s="6" t="str">
        <f>"9.736.875,00"</f>
        <v>9.736.875,00</v>
      </c>
      <c r="N1999" s="8" t="s">
        <v>520</v>
      </c>
      <c r="O1999" s="7"/>
      <c r="P1999" s="2" t="s">
        <v>6807</v>
      </c>
      <c r="Q1999" s="7"/>
      <c r="R1999" s="1"/>
      <c r="S1999" s="1" t="str">
        <f>"1-22/NOS-52-2/21"</f>
        <v>1-22/NOS-52-2/21</v>
      </c>
      <c r="T1999" s="1" t="s">
        <v>32</v>
      </c>
    </row>
    <row r="2000" spans="1:20" ht="51" x14ac:dyDescent="0.25">
      <c r="A2000" s="6">
        <v>1996</v>
      </c>
      <c r="B2000" s="1" t="str">
        <f t="shared" si="184"/>
        <v>2021-1878</v>
      </c>
      <c r="C2000" s="1" t="s">
        <v>1682</v>
      </c>
      <c r="D2000" s="1" t="s">
        <v>611</v>
      </c>
      <c r="E2000" s="1" t="str">
        <f>""</f>
        <v/>
      </c>
      <c r="F2000" s="1" t="s">
        <v>28</v>
      </c>
      <c r="G2000" s="1" t="str">
        <f>CONCATENATE("AGS HRVATSKA D.O.O.,"," ZAGREBAČKA AVENIJA 100A,"," 10090 ZAGREB,"," OIB: 47227514767")</f>
        <v>AGS HRVATSKA D.O.O., ZAGREBAČKA AVENIJA 100A, 10090 ZAGREB, OIB: 47227514767</v>
      </c>
      <c r="H2000" s="7"/>
      <c r="I2000" s="8" t="s">
        <v>192</v>
      </c>
      <c r="J2000" s="8" t="s">
        <v>669</v>
      </c>
      <c r="K2000" s="6" t="str">
        <f>"4.436.300,00"</f>
        <v>4.436.300,00</v>
      </c>
      <c r="L2000" s="6" t="str">
        <f>"1.109.075,00"</f>
        <v>1.109.075,00</v>
      </c>
      <c r="M2000" s="6" t="str">
        <f>"5.545.375,00"</f>
        <v>5.545.375,00</v>
      </c>
      <c r="N2000" s="8" t="s">
        <v>1123</v>
      </c>
      <c r="O2000" s="7"/>
      <c r="P2000" s="2" t="s">
        <v>6808</v>
      </c>
      <c r="Q2000" s="7"/>
      <c r="R2000" s="1"/>
      <c r="S2000" s="1" t="str">
        <f>"2-22/NOS-52-2/21"</f>
        <v>2-22/NOS-52-2/21</v>
      </c>
      <c r="T2000" s="1" t="s">
        <v>32</v>
      </c>
    </row>
    <row r="2001" spans="1:20" ht="51" x14ac:dyDescent="0.25">
      <c r="A2001" s="6">
        <v>1997</v>
      </c>
      <c r="B2001" s="1" t="str">
        <f t="shared" si="184"/>
        <v>2021-1878</v>
      </c>
      <c r="C2001" s="1" t="s">
        <v>1681</v>
      </c>
      <c r="D2001" s="1" t="s">
        <v>611</v>
      </c>
      <c r="E2001" s="1" t="str">
        <f>""</f>
        <v/>
      </c>
      <c r="F2001" s="1" t="s">
        <v>28</v>
      </c>
      <c r="G2001" s="1" t="str">
        <f>CONCATENATE("INA D.D.,"," AVENIJA VEĆESLAVA HOLJEVCA 10,"," 10000 ZAGREB,"," OIB: 27759560625")</f>
        <v>INA D.D., AVENIJA VEĆESLAVA HOLJEVCA 10, 10000 ZAGREB, OIB: 27759560625</v>
      </c>
      <c r="H2001" s="7"/>
      <c r="I2001" s="8" t="s">
        <v>1122</v>
      </c>
      <c r="J2001" s="8" t="s">
        <v>1683</v>
      </c>
      <c r="K2001" s="6" t="str">
        <f>"3.012.000,00"</f>
        <v>3.012.000,00</v>
      </c>
      <c r="L2001" s="6" t="str">
        <f>"753.000,00"</f>
        <v>753.000,00</v>
      </c>
      <c r="M2001" s="6" t="str">
        <f>"3.765.000,00"</f>
        <v>3.765.000,00</v>
      </c>
      <c r="N2001" s="8" t="s">
        <v>146</v>
      </c>
      <c r="O2001" s="7"/>
      <c r="P2001" s="2" t="s">
        <v>6809</v>
      </c>
      <c r="Q2001" s="7"/>
      <c r="R2001" s="1"/>
      <c r="S2001" s="1" t="str">
        <f>"4-22/NOS-52-2/21"</f>
        <v>4-22/NOS-52-2/21</v>
      </c>
      <c r="T2001" s="1" t="s">
        <v>32</v>
      </c>
    </row>
    <row r="2002" spans="1:20" ht="114.75" x14ac:dyDescent="0.25">
      <c r="A2002" s="6">
        <v>1998</v>
      </c>
      <c r="B2002" s="1" t="str">
        <f t="shared" si="184"/>
        <v>2021-1878</v>
      </c>
      <c r="C2002" s="1" t="s">
        <v>1684</v>
      </c>
      <c r="D2002" s="1" t="s">
        <v>609</v>
      </c>
      <c r="E2002" s="1" t="str">
        <f>"2021/S 0F2-0046454"</f>
        <v>2021/S 0F2-0046454</v>
      </c>
      <c r="F2002" s="1" t="s">
        <v>22</v>
      </c>
      <c r="G2002" s="1"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002" s="7"/>
      <c r="I2002" s="8" t="s">
        <v>30</v>
      </c>
      <c r="J2002" s="8" t="s">
        <v>1624</v>
      </c>
      <c r="K2002" s="6" t="str">
        <f>"9.000.000,00"</f>
        <v>9.000.000,00</v>
      </c>
      <c r="L2002" s="6" t="str">
        <f>"2.250.000,00"</f>
        <v>2.250.000,00</v>
      </c>
      <c r="M2002" s="6" t="str">
        <f>"11.250.000,00"</f>
        <v>11.250.000,00</v>
      </c>
      <c r="N2002" s="8" t="s">
        <v>124</v>
      </c>
      <c r="O2002" s="7"/>
      <c r="P2002" s="2" t="s">
        <v>5614</v>
      </c>
      <c r="Q2002" s="7"/>
      <c r="R2002" s="1"/>
      <c r="S2002" s="1" t="str">
        <f>"NOS-52-3/21"</f>
        <v>NOS-52-3/21</v>
      </c>
      <c r="T2002" s="1" t="s">
        <v>32</v>
      </c>
    </row>
    <row r="2003" spans="1:20" ht="51" x14ac:dyDescent="0.25">
      <c r="A2003" s="6">
        <v>1999</v>
      </c>
      <c r="B2003" s="1" t="str">
        <f t="shared" si="184"/>
        <v>2021-1878</v>
      </c>
      <c r="C2003" s="1" t="s">
        <v>1685</v>
      </c>
      <c r="D2003" s="1" t="s">
        <v>611</v>
      </c>
      <c r="E2003" s="1" t="str">
        <f>""</f>
        <v/>
      </c>
      <c r="F2003" s="1" t="s">
        <v>28</v>
      </c>
      <c r="G2003" s="1" t="str">
        <f>CONCATENATE("INA D.D.,"," AVENIJA VEĆESLAVA HOLJEVCA 10,"," 10000 ZAGREB,"," OIB: 27759560625")</f>
        <v>INA D.D., AVENIJA VEĆESLAVA HOLJEVCA 10, 10000 ZAGREB, OIB: 27759560625</v>
      </c>
      <c r="H2003" s="7"/>
      <c r="I2003" s="8" t="s">
        <v>404</v>
      </c>
      <c r="J2003" s="8" t="s">
        <v>252</v>
      </c>
      <c r="K2003" s="6" t="str">
        <f>"1.038.600,00"</f>
        <v>1.038.600,00</v>
      </c>
      <c r="L2003" s="6" t="str">
        <f>"259.650,00"</f>
        <v>259.650,00</v>
      </c>
      <c r="M2003" s="6" t="str">
        <f>"1.298.250,00"</f>
        <v>1.298.250,00</v>
      </c>
      <c r="N2003" s="8" t="s">
        <v>214</v>
      </c>
      <c r="O2003" s="7"/>
      <c r="P2003" s="2" t="s">
        <v>6810</v>
      </c>
      <c r="Q2003" s="1" t="s">
        <v>488</v>
      </c>
      <c r="R2003" s="1"/>
      <c r="S2003" s="1" t="str">
        <f>"1-22/NOS-52-3/21"</f>
        <v>1-22/NOS-52-3/21</v>
      </c>
      <c r="T2003" s="1" t="s">
        <v>32</v>
      </c>
    </row>
    <row r="2004" spans="1:20" ht="51" x14ac:dyDescent="0.25">
      <c r="A2004" s="6">
        <v>2000</v>
      </c>
      <c r="B2004" s="1" t="str">
        <f t="shared" si="184"/>
        <v>2021-1878</v>
      </c>
      <c r="C2004" s="1" t="s">
        <v>1686</v>
      </c>
      <c r="D2004" s="1" t="s">
        <v>611</v>
      </c>
      <c r="E2004" s="1" t="str">
        <f>""</f>
        <v/>
      </c>
      <c r="F2004" s="1" t="s">
        <v>28</v>
      </c>
      <c r="G2004" s="1" t="str">
        <f>CONCATENATE("INA D.D.,"," AVENIJA VEĆESLAVA HOLJEVCA 10,"," 10000 ZAGREB,"," OIB: 27759560625")</f>
        <v>INA D.D., AVENIJA VEĆESLAVA HOLJEVCA 10, 10000 ZAGREB, OIB: 27759560625</v>
      </c>
      <c r="H2004" s="7"/>
      <c r="I2004" s="8" t="s">
        <v>252</v>
      </c>
      <c r="J2004" s="8" t="s">
        <v>1687</v>
      </c>
      <c r="K2004" s="6" t="str">
        <f>"454.500,00"</f>
        <v>454.500,00</v>
      </c>
      <c r="L2004" s="6" t="str">
        <f>"113.625,00"</f>
        <v>113.625,00</v>
      </c>
      <c r="M2004" s="6" t="str">
        <f>"568.125,00"</f>
        <v>568.125,00</v>
      </c>
      <c r="N2004" s="8" t="s">
        <v>58</v>
      </c>
      <c r="O2004" s="7"/>
      <c r="P2004" s="2" t="s">
        <v>6811</v>
      </c>
      <c r="Q2004" s="1" t="s">
        <v>582</v>
      </c>
      <c r="R2004" s="1"/>
      <c r="S2004" s="1" t="str">
        <f>"2-22/NOS-52-3/21"</f>
        <v>2-22/NOS-52-3/21</v>
      </c>
      <c r="T2004" s="1" t="s">
        <v>32</v>
      </c>
    </row>
    <row r="2005" spans="1:20" ht="51" x14ac:dyDescent="0.25">
      <c r="A2005" s="6">
        <v>2001</v>
      </c>
      <c r="B2005" s="1" t="str">
        <f t="shared" si="184"/>
        <v>2021-1878</v>
      </c>
      <c r="C2005" s="1" t="s">
        <v>1685</v>
      </c>
      <c r="D2005" s="1" t="s">
        <v>611</v>
      </c>
      <c r="E2005" s="1" t="str">
        <f>""</f>
        <v/>
      </c>
      <c r="F2005" s="1" t="s">
        <v>28</v>
      </c>
      <c r="G2005" s="1" t="str">
        <f>CONCATENATE("INA D.D.,"," AVENIJA VEĆESLAVA HOLJEVCA 10,"," 10000 ZAGREB,"," OIB: 27759560625")</f>
        <v>INA D.D., AVENIJA VEĆESLAVA HOLJEVCA 10, 10000 ZAGREB, OIB: 27759560625</v>
      </c>
      <c r="H2005" s="7"/>
      <c r="I2005" s="8" t="s">
        <v>1122</v>
      </c>
      <c r="J2005" s="8" t="s">
        <v>1683</v>
      </c>
      <c r="K2005" s="6" t="str">
        <f>"564.750,00"</f>
        <v>564.750,00</v>
      </c>
      <c r="L2005" s="6" t="str">
        <f>"141.187,50"</f>
        <v>141.187,50</v>
      </c>
      <c r="M2005" s="6" t="str">
        <f>"705.937,50"</f>
        <v>705.937,50</v>
      </c>
      <c r="N2005" s="8" t="s">
        <v>146</v>
      </c>
      <c r="O2005" s="7"/>
      <c r="P2005" s="2" t="s">
        <v>6812</v>
      </c>
      <c r="Q2005" s="7"/>
      <c r="R2005" s="1"/>
      <c r="S2005" s="1" t="str">
        <f>"3-22/NOS-52-3/21"</f>
        <v>3-22/NOS-52-3/21</v>
      </c>
      <c r="T2005" s="1" t="s">
        <v>32</v>
      </c>
    </row>
    <row r="2006" spans="1:20" ht="76.5" x14ac:dyDescent="0.25">
      <c r="A2006" s="6">
        <v>2002</v>
      </c>
      <c r="B2006" s="1" t="str">
        <f t="shared" ref="B2006:B2021" si="185">"2021-234"</f>
        <v>2021-234</v>
      </c>
      <c r="C2006" s="1" t="s">
        <v>1688</v>
      </c>
      <c r="D2006" s="1" t="s">
        <v>1689</v>
      </c>
      <c r="E2006" s="1" t="str">
        <f>"2021/S 0F2-0041860"</f>
        <v>2021/S 0F2-0041860</v>
      </c>
      <c r="F2006" s="1" t="s">
        <v>22</v>
      </c>
      <c r="G2006" s="1" t="str">
        <f t="shared" ref="G2006:G2017" si="186">CONCATENATE("SMIT-COMMERCE D.O.O.,"," GORNJOSTUPNIČKA 9B,"," 10255 GORNJI STUPNIK,"," OIB: 9524348214")</f>
        <v>SMIT-COMMERCE D.O.O., GORNJOSTUPNIČKA 9B, 10255 GORNJI STUPNIK, OIB: 9524348214</v>
      </c>
      <c r="H2006" s="7"/>
      <c r="I2006" s="8" t="s">
        <v>72</v>
      </c>
      <c r="J2006" s="8" t="s">
        <v>1690</v>
      </c>
      <c r="K2006" s="6" t="str">
        <f>"1.800.000,00"</f>
        <v>1.800.000,00</v>
      </c>
      <c r="L2006" s="6" t="str">
        <f>"450.000,00"</f>
        <v>450.000,00</v>
      </c>
      <c r="M2006" s="6" t="str">
        <f>"2.250.000,00"</f>
        <v>2.250.000,00</v>
      </c>
      <c r="N2006" s="8" t="s">
        <v>146</v>
      </c>
      <c r="O2006" s="7"/>
      <c r="P2006" s="2" t="s">
        <v>5614</v>
      </c>
      <c r="Q2006" s="7"/>
      <c r="R2006" s="1"/>
      <c r="S2006" s="1" t="str">
        <f>"NOS-57-2/21"</f>
        <v>NOS-57-2/21</v>
      </c>
      <c r="T2006" s="1" t="s">
        <v>32</v>
      </c>
    </row>
    <row r="2007" spans="1:20" ht="76.5" x14ac:dyDescent="0.25">
      <c r="A2007" s="6">
        <v>2003</v>
      </c>
      <c r="B2007" s="1" t="str">
        <f t="shared" si="185"/>
        <v>2021-234</v>
      </c>
      <c r="C2007" s="1" t="s">
        <v>1691</v>
      </c>
      <c r="D2007" s="1" t="s">
        <v>1544</v>
      </c>
      <c r="E2007" s="1" t="str">
        <f>""</f>
        <v/>
      </c>
      <c r="F2007" s="1" t="s">
        <v>28</v>
      </c>
      <c r="G2007" s="1" t="str">
        <f t="shared" si="186"/>
        <v>SMIT-COMMERCE D.O.O., GORNJOSTUPNIČKA 9B, 10255 GORNJI STUPNIK, OIB: 9524348214</v>
      </c>
      <c r="H2007" s="7"/>
      <c r="I2007" s="8" t="s">
        <v>895</v>
      </c>
      <c r="J2007" s="8" t="s">
        <v>123</v>
      </c>
      <c r="K2007" s="6" t="str">
        <f>"523.981,59"</f>
        <v>523.981,59</v>
      </c>
      <c r="L2007" s="6" t="str">
        <f>"130.995,40"</f>
        <v>130.995,40</v>
      </c>
      <c r="M2007" s="6" t="str">
        <f>"654.976,99"</f>
        <v>654.976,99</v>
      </c>
      <c r="N2007" s="8" t="s">
        <v>124</v>
      </c>
      <c r="O2007" s="7"/>
      <c r="P2007" s="2" t="s">
        <v>6813</v>
      </c>
      <c r="Q2007" s="7"/>
      <c r="R2007" s="1"/>
      <c r="S2007" s="1" t="str">
        <f>"2-22/NOS-57-2/21"</f>
        <v>2-22/NOS-57-2/21</v>
      </c>
      <c r="T2007" s="1" t="s">
        <v>32</v>
      </c>
    </row>
    <row r="2008" spans="1:20" ht="76.5" x14ac:dyDescent="0.25">
      <c r="A2008" s="6">
        <v>2004</v>
      </c>
      <c r="B2008" s="1" t="str">
        <f t="shared" si="185"/>
        <v>2021-234</v>
      </c>
      <c r="C2008" s="1" t="s">
        <v>1688</v>
      </c>
      <c r="D2008" s="1" t="s">
        <v>1544</v>
      </c>
      <c r="E2008" s="1" t="str">
        <f>""</f>
        <v/>
      </c>
      <c r="F2008" s="1" t="s">
        <v>28</v>
      </c>
      <c r="G2008" s="1" t="str">
        <f t="shared" si="186"/>
        <v>SMIT-COMMERCE D.O.O., GORNJOSTUPNIČKA 9B, 10255 GORNJI STUPNIK, OIB: 9524348214</v>
      </c>
      <c r="H2008" s="7"/>
      <c r="I2008" s="8" t="s">
        <v>430</v>
      </c>
      <c r="J2008" s="8" t="s">
        <v>423</v>
      </c>
      <c r="K2008" s="6" t="str">
        <f>"10.048,01"</f>
        <v>10.048,01</v>
      </c>
      <c r="L2008" s="6" t="str">
        <f>"2.487,79"</f>
        <v>2.487,79</v>
      </c>
      <c r="M2008" s="6" t="str">
        <f>"12.535,80"</f>
        <v>12.535,80</v>
      </c>
      <c r="N2008" s="8" t="s">
        <v>31</v>
      </c>
      <c r="O2008" s="7"/>
      <c r="P2008" s="2" t="s">
        <v>6814</v>
      </c>
      <c r="Q2008" s="7"/>
      <c r="R2008" s="1"/>
      <c r="S2008" s="1" t="str">
        <f>"6-22/NOS-57-2/21"</f>
        <v>6-22/NOS-57-2/21</v>
      </c>
      <c r="T2008" s="1" t="s">
        <v>32</v>
      </c>
    </row>
    <row r="2009" spans="1:20" ht="76.5" x14ac:dyDescent="0.25">
      <c r="A2009" s="6">
        <v>2005</v>
      </c>
      <c r="B2009" s="1" t="str">
        <f t="shared" si="185"/>
        <v>2021-234</v>
      </c>
      <c r="C2009" s="1" t="s">
        <v>1688</v>
      </c>
      <c r="D2009" s="1" t="s">
        <v>1544</v>
      </c>
      <c r="E2009" s="1" t="str">
        <f>""</f>
        <v/>
      </c>
      <c r="F2009" s="1" t="s">
        <v>28</v>
      </c>
      <c r="G2009" s="1" t="str">
        <f t="shared" si="186"/>
        <v>SMIT-COMMERCE D.O.O., GORNJOSTUPNIČKA 9B, 10255 GORNJI STUPNIK, OIB: 9524348214</v>
      </c>
      <c r="H2009" s="7"/>
      <c r="I2009" s="8" t="s">
        <v>374</v>
      </c>
      <c r="J2009" s="8" t="s">
        <v>393</v>
      </c>
      <c r="K2009" s="6" t="str">
        <f>"1.094,89"</f>
        <v>1.094,89</v>
      </c>
      <c r="L2009" s="6" t="str">
        <f>"273,72"</f>
        <v>273,72</v>
      </c>
      <c r="M2009" s="6" t="str">
        <f>"1.368,61"</f>
        <v>1.368,61</v>
      </c>
      <c r="N2009" s="8" t="s">
        <v>207</v>
      </c>
      <c r="O2009" s="7"/>
      <c r="P2009" s="2" t="s">
        <v>6815</v>
      </c>
      <c r="Q2009" s="7"/>
      <c r="R2009" s="1"/>
      <c r="S2009" s="1" t="str">
        <f>"8-22/NOS-57-2/21"</f>
        <v>8-22/NOS-57-2/21</v>
      </c>
      <c r="T2009" s="1" t="s">
        <v>32</v>
      </c>
    </row>
    <row r="2010" spans="1:20" ht="76.5" x14ac:dyDescent="0.25">
      <c r="A2010" s="6">
        <v>2006</v>
      </c>
      <c r="B2010" s="1" t="str">
        <f t="shared" si="185"/>
        <v>2021-234</v>
      </c>
      <c r="C2010" s="1" t="s">
        <v>1688</v>
      </c>
      <c r="D2010" s="1" t="s">
        <v>1544</v>
      </c>
      <c r="E2010" s="1" t="str">
        <f>""</f>
        <v/>
      </c>
      <c r="F2010" s="1" t="s">
        <v>28</v>
      </c>
      <c r="G2010" s="1" t="str">
        <f t="shared" si="186"/>
        <v>SMIT-COMMERCE D.O.O., GORNJOSTUPNIČKA 9B, 10255 GORNJI STUPNIK, OIB: 9524348214</v>
      </c>
      <c r="H2010" s="7"/>
      <c r="I2010" s="8" t="s">
        <v>146</v>
      </c>
      <c r="J2010" s="8" t="s">
        <v>393</v>
      </c>
      <c r="K2010" s="6" t="str">
        <f>"198.656,28"</f>
        <v>198.656,28</v>
      </c>
      <c r="L2010" s="6" t="str">
        <f>"0,00"</f>
        <v>0,00</v>
      </c>
      <c r="M2010" s="6" t="str">
        <f>"198.656,28"</f>
        <v>198.656,28</v>
      </c>
      <c r="N2010" s="8" t="s">
        <v>124</v>
      </c>
      <c r="O2010" s="7"/>
      <c r="P2010" s="2" t="s">
        <v>5614</v>
      </c>
      <c r="Q2010" s="7"/>
      <c r="R2010" s="1"/>
      <c r="S2010" s="1" t="str">
        <f>"9-22/NOS-57-2/21"</f>
        <v>9-22/NOS-57-2/21</v>
      </c>
      <c r="T2010" s="1" t="s">
        <v>32</v>
      </c>
    </row>
    <row r="2011" spans="1:20" ht="76.5" x14ac:dyDescent="0.25">
      <c r="A2011" s="6">
        <v>2007</v>
      </c>
      <c r="B2011" s="1" t="str">
        <f t="shared" si="185"/>
        <v>2021-234</v>
      </c>
      <c r="C2011" s="1" t="s">
        <v>1692</v>
      </c>
      <c r="D2011" s="1" t="s">
        <v>1544</v>
      </c>
      <c r="E2011" s="1" t="str">
        <f>""</f>
        <v/>
      </c>
      <c r="F2011" s="1" t="s">
        <v>28</v>
      </c>
      <c r="G2011" s="1" t="str">
        <f t="shared" si="186"/>
        <v>SMIT-COMMERCE D.O.O., GORNJOSTUPNIČKA 9B, 10255 GORNJI STUPNIK, OIB: 9524348214</v>
      </c>
      <c r="H2011" s="7"/>
      <c r="I2011" s="8" t="s">
        <v>862</v>
      </c>
      <c r="J2011" s="8" t="s">
        <v>869</v>
      </c>
      <c r="K2011" s="6" t="str">
        <f>"232.794,30"</f>
        <v>232.794,30</v>
      </c>
      <c r="L2011" s="6" t="str">
        <f>"58.198,58"</f>
        <v>58.198,58</v>
      </c>
      <c r="M2011" s="6" t="str">
        <f>"290.992,88"</f>
        <v>290.992,88</v>
      </c>
      <c r="N2011" s="8" t="s">
        <v>506</v>
      </c>
      <c r="O2011" s="7"/>
      <c r="P2011" s="2" t="s">
        <v>6816</v>
      </c>
      <c r="Q2011" s="7"/>
      <c r="R2011" s="1"/>
      <c r="S2011" s="1" t="str">
        <f>"1-22/NOS-57-2/21"</f>
        <v>1-22/NOS-57-2/21</v>
      </c>
      <c r="T2011" s="1" t="s">
        <v>32</v>
      </c>
    </row>
    <row r="2012" spans="1:20" ht="76.5" x14ac:dyDescent="0.25">
      <c r="A2012" s="6">
        <v>2008</v>
      </c>
      <c r="B2012" s="1" t="str">
        <f t="shared" si="185"/>
        <v>2021-234</v>
      </c>
      <c r="C2012" s="1" t="s">
        <v>1692</v>
      </c>
      <c r="D2012" s="1" t="s">
        <v>1544</v>
      </c>
      <c r="E2012" s="1" t="str">
        <f>""</f>
        <v/>
      </c>
      <c r="F2012" s="1" t="s">
        <v>28</v>
      </c>
      <c r="G2012" s="1" t="str">
        <f t="shared" si="186"/>
        <v>SMIT-COMMERCE D.O.O., GORNJOSTUPNIČKA 9B, 10255 GORNJI STUPNIK, OIB: 9524348214</v>
      </c>
      <c r="H2012" s="7"/>
      <c r="I2012" s="8" t="s">
        <v>406</v>
      </c>
      <c r="J2012" s="8" t="s">
        <v>407</v>
      </c>
      <c r="K2012" s="6" t="str">
        <f>"16.913,69"</f>
        <v>16.913,69</v>
      </c>
      <c r="L2012" s="6" t="str">
        <f>"4.228,42"</f>
        <v>4.228,42</v>
      </c>
      <c r="M2012" s="6" t="str">
        <f>"21.142,11"</f>
        <v>21.142,11</v>
      </c>
      <c r="N2012" s="8" t="s">
        <v>438</v>
      </c>
      <c r="O2012" s="7"/>
      <c r="P2012" s="2" t="s">
        <v>6817</v>
      </c>
      <c r="Q2012" s="7"/>
      <c r="R2012" s="1"/>
      <c r="S2012" s="1" t="str">
        <f>"3-22/NOS-57-2/21"</f>
        <v>3-22/NOS-57-2/21</v>
      </c>
      <c r="T2012" s="1" t="s">
        <v>32</v>
      </c>
    </row>
    <row r="2013" spans="1:20" ht="76.5" x14ac:dyDescent="0.25">
      <c r="A2013" s="6">
        <v>2009</v>
      </c>
      <c r="B2013" s="1" t="str">
        <f t="shared" si="185"/>
        <v>2021-234</v>
      </c>
      <c r="C2013" s="1" t="s">
        <v>1692</v>
      </c>
      <c r="D2013" s="1" t="s">
        <v>1544</v>
      </c>
      <c r="E2013" s="1" t="str">
        <f>""</f>
        <v/>
      </c>
      <c r="F2013" s="1" t="s">
        <v>28</v>
      </c>
      <c r="G2013" s="1" t="str">
        <f t="shared" si="186"/>
        <v>SMIT-COMMERCE D.O.O., GORNJOSTUPNIČKA 9B, 10255 GORNJI STUPNIK, OIB: 9524348214</v>
      </c>
      <c r="H2013" s="7"/>
      <c r="I2013" s="8" t="s">
        <v>252</v>
      </c>
      <c r="J2013" s="8" t="s">
        <v>1550</v>
      </c>
      <c r="K2013" s="6" t="str">
        <f>"222.467,09"</f>
        <v>222.467,09</v>
      </c>
      <c r="L2013" s="6" t="str">
        <f>"55.616,77"</f>
        <v>55.616,77</v>
      </c>
      <c r="M2013" s="6" t="str">
        <f>"278.083,86"</f>
        <v>278.083,86</v>
      </c>
      <c r="N2013" s="8" t="s">
        <v>208</v>
      </c>
      <c r="O2013" s="7"/>
      <c r="P2013" s="2" t="s">
        <v>6818</v>
      </c>
      <c r="Q2013" s="7"/>
      <c r="R2013" s="1"/>
      <c r="S2013" s="1" t="str">
        <f>"4-22/NOS-57-2/21"</f>
        <v>4-22/NOS-57-2/21</v>
      </c>
      <c r="T2013" s="1" t="s">
        <v>32</v>
      </c>
    </row>
    <row r="2014" spans="1:20" ht="76.5" x14ac:dyDescent="0.25">
      <c r="A2014" s="6">
        <v>2010</v>
      </c>
      <c r="B2014" s="1" t="str">
        <f t="shared" si="185"/>
        <v>2021-234</v>
      </c>
      <c r="C2014" s="1" t="s">
        <v>1692</v>
      </c>
      <c r="D2014" s="1" t="s">
        <v>1544</v>
      </c>
      <c r="E2014" s="1" t="str">
        <f>""</f>
        <v/>
      </c>
      <c r="F2014" s="1" t="s">
        <v>28</v>
      </c>
      <c r="G2014" s="1" t="str">
        <f t="shared" si="186"/>
        <v>SMIT-COMMERCE D.O.O., GORNJOSTUPNIČKA 9B, 10255 GORNJI STUPNIK, OIB: 9524348214</v>
      </c>
      <c r="H2014" s="7"/>
      <c r="I2014" s="8" t="s">
        <v>431</v>
      </c>
      <c r="J2014" s="8" t="s">
        <v>1339</v>
      </c>
      <c r="K2014" s="6" t="str">
        <f>"448.083,58"</f>
        <v>448.083,58</v>
      </c>
      <c r="L2014" s="6" t="str">
        <f>"112.020,90"</f>
        <v>112.020,90</v>
      </c>
      <c r="M2014" s="6" t="str">
        <f>"560.104,48"</f>
        <v>560.104,48</v>
      </c>
      <c r="N2014" s="8" t="s">
        <v>1612</v>
      </c>
      <c r="O2014" s="7"/>
      <c r="P2014" s="2" t="s">
        <v>6819</v>
      </c>
      <c r="Q2014" s="7"/>
      <c r="R2014" s="1"/>
      <c r="S2014" s="1" t="str">
        <f>"5-22/NOS-57-2/21"</f>
        <v>5-22/NOS-57-2/21</v>
      </c>
      <c r="T2014" s="1" t="s">
        <v>32</v>
      </c>
    </row>
    <row r="2015" spans="1:20" ht="76.5" x14ac:dyDescent="0.25">
      <c r="A2015" s="6">
        <v>2011</v>
      </c>
      <c r="B2015" s="1" t="str">
        <f t="shared" si="185"/>
        <v>2021-234</v>
      </c>
      <c r="C2015" s="1" t="s">
        <v>1692</v>
      </c>
      <c r="D2015" s="1" t="s">
        <v>1544</v>
      </c>
      <c r="E2015" s="1" t="str">
        <f>""</f>
        <v/>
      </c>
      <c r="F2015" s="1" t="s">
        <v>28</v>
      </c>
      <c r="G2015" s="1" t="str">
        <f t="shared" si="186"/>
        <v>SMIT-COMMERCE D.O.O., GORNJOSTUPNIČKA 9B, 10255 GORNJI STUPNIK, OIB: 9524348214</v>
      </c>
      <c r="H2015" s="7"/>
      <c r="I2015" s="8" t="s">
        <v>508</v>
      </c>
      <c r="J2015" s="8" t="s">
        <v>207</v>
      </c>
      <c r="K2015" s="6" t="str">
        <f>"124.214,10"</f>
        <v>124.214,10</v>
      </c>
      <c r="L2015" s="6" t="str">
        <f>"31.053,53"</f>
        <v>31.053,53</v>
      </c>
      <c r="M2015" s="6" t="str">
        <f>"155.267,63"</f>
        <v>155.267,63</v>
      </c>
      <c r="N2015" s="8" t="s">
        <v>1009</v>
      </c>
      <c r="O2015" s="7"/>
      <c r="P2015" s="2" t="s">
        <v>6820</v>
      </c>
      <c r="Q2015" s="7"/>
      <c r="R2015" s="1"/>
      <c r="S2015" s="1" t="str">
        <f>"7-22/NOS-57-2/21"</f>
        <v>7-22/NOS-57-2/21</v>
      </c>
      <c r="T2015" s="1" t="s">
        <v>32</v>
      </c>
    </row>
    <row r="2016" spans="1:20" ht="76.5" x14ac:dyDescent="0.25">
      <c r="A2016" s="6">
        <v>2012</v>
      </c>
      <c r="B2016" s="1" t="str">
        <f t="shared" si="185"/>
        <v>2021-234</v>
      </c>
      <c r="C2016" s="1" t="s">
        <v>1692</v>
      </c>
      <c r="D2016" s="1" t="s">
        <v>1544</v>
      </c>
      <c r="E2016" s="1" t="str">
        <f>""</f>
        <v/>
      </c>
      <c r="F2016" s="1" t="s">
        <v>28</v>
      </c>
      <c r="G2016" s="1" t="str">
        <f t="shared" si="186"/>
        <v>SMIT-COMMERCE D.O.O., GORNJOSTUPNIČKA 9B, 10255 GORNJI STUPNIK, OIB: 9524348214</v>
      </c>
      <c r="H2016" s="7"/>
      <c r="I2016" s="8" t="s">
        <v>383</v>
      </c>
      <c r="J2016" s="8" t="s">
        <v>123</v>
      </c>
      <c r="K2016" s="6" t="str">
        <f>"20.656,58"</f>
        <v>20.656,58</v>
      </c>
      <c r="L2016" s="6" t="str">
        <f>"5.164,15"</f>
        <v>5.164,15</v>
      </c>
      <c r="M2016" s="6" t="str">
        <f>"25.820,73"</f>
        <v>25.820,73</v>
      </c>
      <c r="N2016" s="8" t="s">
        <v>124</v>
      </c>
      <c r="O2016" s="7"/>
      <c r="P2016" s="2" t="s">
        <v>5614</v>
      </c>
      <c r="Q2016" s="7"/>
      <c r="R2016" s="1"/>
      <c r="S2016" s="1" t="str">
        <f>"10-22/NOS-57-2/21"</f>
        <v>10-22/NOS-57-2/21</v>
      </c>
      <c r="T2016" s="1" t="s">
        <v>32</v>
      </c>
    </row>
    <row r="2017" spans="1:20" ht="76.5" x14ac:dyDescent="0.25">
      <c r="A2017" s="6">
        <v>2013</v>
      </c>
      <c r="B2017" s="1" t="str">
        <f t="shared" si="185"/>
        <v>2021-234</v>
      </c>
      <c r="C2017" s="1" t="s">
        <v>1692</v>
      </c>
      <c r="D2017" s="1" t="s">
        <v>1544</v>
      </c>
      <c r="E2017" s="1" t="str">
        <f>""</f>
        <v/>
      </c>
      <c r="F2017" s="1" t="s">
        <v>28</v>
      </c>
      <c r="G2017" s="1" t="str">
        <f t="shared" si="186"/>
        <v>SMIT-COMMERCE D.O.O., GORNJOSTUPNIČKA 9B, 10255 GORNJI STUPNIK, OIB: 9524348214</v>
      </c>
      <c r="H2017" s="7"/>
      <c r="I2017" s="8" t="s">
        <v>121</v>
      </c>
      <c r="J2017" s="8" t="s">
        <v>1400</v>
      </c>
      <c r="K2017" s="6" t="str">
        <f>"983,88"</f>
        <v>983,88</v>
      </c>
      <c r="L2017" s="6" t="str">
        <f>"245,97"</f>
        <v>245,97</v>
      </c>
      <c r="M2017" s="6" t="str">
        <f>"1.229,85"</f>
        <v>1.229,85</v>
      </c>
      <c r="N2017" s="8" t="s">
        <v>124</v>
      </c>
      <c r="O2017" s="7"/>
      <c r="P2017" s="2" t="s">
        <v>5614</v>
      </c>
      <c r="Q2017" s="7"/>
      <c r="R2017" s="1"/>
      <c r="S2017" s="1" t="str">
        <f>"11-22/NOS-57-2/21"</f>
        <v>11-22/NOS-57-2/21</v>
      </c>
      <c r="T2017" s="1" t="s">
        <v>32</v>
      </c>
    </row>
    <row r="2018" spans="1:20" ht="140.25" x14ac:dyDescent="0.25">
      <c r="A2018" s="6">
        <v>2014</v>
      </c>
      <c r="B2018" s="1" t="str">
        <f t="shared" si="185"/>
        <v>2021-234</v>
      </c>
      <c r="C2018" s="1" t="s">
        <v>1693</v>
      </c>
      <c r="D2018" s="1" t="s">
        <v>1689</v>
      </c>
      <c r="E2018" s="1" t="str">
        <f>"2021/S 0F2-0041860"</f>
        <v>2021/S 0F2-0041860</v>
      </c>
      <c r="F2018" s="1" t="s">
        <v>22</v>
      </c>
      <c r="G2018" s="1" t="str">
        <f>CONCATENATE("SMIT-COMMERCE D.O.O.,"," GORNJOSTUPNIČKA 9B,"," 10255 GORNJI STUPNIK,"," OIB: 95243482140",CHAR(10),"",CHAR(10),"RETA D.O.O.,"," ZAGREBAČKA 37,"," 47000 KARLOVAC,"," OIB: 01201898816")</f>
        <v>SMIT-COMMERCE D.O.O., GORNJOSTUPNIČKA 9B, 10255 GORNJI STUPNIK, OIB: 95243482140
RETA D.O.O., ZAGREBAČKA 37, 47000 KARLOVAC, OIB: 01201898816</v>
      </c>
      <c r="H2018" s="7"/>
      <c r="I2018" s="8" t="s">
        <v>72</v>
      </c>
      <c r="J2018" s="8" t="s">
        <v>1694</v>
      </c>
      <c r="K2018" s="6" t="str">
        <f>"1.300.000,00"</f>
        <v>1.300.000,00</v>
      </c>
      <c r="L2018" s="6" t="str">
        <f>"325.000,00"</f>
        <v>325.000,00</v>
      </c>
      <c r="M2018" s="6" t="str">
        <f>"1.625.000,00"</f>
        <v>1.625.000,00</v>
      </c>
      <c r="N2018" s="8" t="s">
        <v>124</v>
      </c>
      <c r="O2018" s="7"/>
      <c r="P2018" s="2" t="s">
        <v>5614</v>
      </c>
      <c r="Q2018" s="7"/>
      <c r="R2018" s="1"/>
      <c r="S2018" s="1" t="str">
        <f>"NOS-57-1/21"</f>
        <v>NOS-57-1/21</v>
      </c>
      <c r="T2018" s="1" t="s">
        <v>32</v>
      </c>
    </row>
    <row r="2019" spans="1:20" ht="76.5" x14ac:dyDescent="0.25">
      <c r="A2019" s="6">
        <v>2015</v>
      </c>
      <c r="B2019" s="1" t="str">
        <f t="shared" si="185"/>
        <v>2021-234</v>
      </c>
      <c r="C2019" s="1" t="s">
        <v>1693</v>
      </c>
      <c r="D2019" s="1" t="s">
        <v>1544</v>
      </c>
      <c r="E2019" s="1" t="str">
        <f>""</f>
        <v/>
      </c>
      <c r="F2019" s="1" t="s">
        <v>28</v>
      </c>
      <c r="G2019" s="1" t="str">
        <f>CONCATENATE("SMIT-COMMERCE D.O.O.,"," GORNJOSTUPNIČKA 9B,"," 10255 GORNJI STUPNIK,"," OIB: 9524348214")</f>
        <v>SMIT-COMMERCE D.O.O., GORNJOSTUPNIČKA 9B, 10255 GORNJI STUPNIK, OIB: 9524348214</v>
      </c>
      <c r="H2019" s="7"/>
      <c r="I2019" s="8" t="s">
        <v>487</v>
      </c>
      <c r="J2019" s="8" t="s">
        <v>393</v>
      </c>
      <c r="K2019" s="6" t="str">
        <f>"66.179,62"</f>
        <v>66.179,62</v>
      </c>
      <c r="L2019" s="6" t="str">
        <f>"4.993,93"</f>
        <v>4.993,93</v>
      </c>
      <c r="M2019" s="6" t="str">
        <f>"71.173,55"</f>
        <v>71.173,55</v>
      </c>
      <c r="N2019" s="8" t="s">
        <v>566</v>
      </c>
      <c r="O2019" s="7"/>
      <c r="P2019" s="2" t="s">
        <v>6821</v>
      </c>
      <c r="Q2019" s="1"/>
      <c r="R2019" s="1"/>
      <c r="S2019" s="1" t="str">
        <f>"2-22/NOS-57-1/21"</f>
        <v>2-22/NOS-57-1/21</v>
      </c>
      <c r="T2019" s="1" t="s">
        <v>32</v>
      </c>
    </row>
    <row r="2020" spans="1:20" ht="76.5" x14ac:dyDescent="0.25">
      <c r="A2020" s="6">
        <v>2016</v>
      </c>
      <c r="B2020" s="1" t="str">
        <f t="shared" si="185"/>
        <v>2021-234</v>
      </c>
      <c r="C2020" s="1" t="s">
        <v>1692</v>
      </c>
      <c r="D2020" s="1" t="s">
        <v>1544</v>
      </c>
      <c r="E2020" s="1" t="str">
        <f>""</f>
        <v/>
      </c>
      <c r="F2020" s="1" t="s">
        <v>28</v>
      </c>
      <c r="G2020" s="1" t="str">
        <f>CONCATENATE("SMIT-COMMERCE D.O.O.,"," GORNJOSTUPNIČKA 9B,"," 10255 GORNJI STUPNIK,"," OIB: 9524348214")</f>
        <v>SMIT-COMMERCE D.O.O., GORNJOSTUPNIČKA 9B, 10255 GORNJI STUPNIK, OIB: 9524348214</v>
      </c>
      <c r="H2020" s="7"/>
      <c r="I2020" s="8" t="s">
        <v>521</v>
      </c>
      <c r="J2020" s="8" t="s">
        <v>869</v>
      </c>
      <c r="K2020" s="6" t="str">
        <f>"65.709,00"</f>
        <v>65.709,00</v>
      </c>
      <c r="L2020" s="6" t="str">
        <f>"16.427,25"</f>
        <v>16.427,25</v>
      </c>
      <c r="M2020" s="6" t="str">
        <f>"82.136,25"</f>
        <v>82.136,25</v>
      </c>
      <c r="N2020" s="8" t="s">
        <v>425</v>
      </c>
      <c r="O2020" s="7"/>
      <c r="P2020" s="2" t="s">
        <v>6822</v>
      </c>
      <c r="Q2020" s="7"/>
      <c r="R2020" s="1"/>
      <c r="S2020" s="1" t="str">
        <f>"1-22/NOS-57-1/21"</f>
        <v>1-22/NOS-57-1/21</v>
      </c>
      <c r="T2020" s="1" t="s">
        <v>32</v>
      </c>
    </row>
    <row r="2021" spans="1:20" ht="76.5" x14ac:dyDescent="0.25">
      <c r="A2021" s="6">
        <v>2017</v>
      </c>
      <c r="B2021" s="1" t="str">
        <f t="shared" si="185"/>
        <v>2021-234</v>
      </c>
      <c r="C2021" s="1" t="s">
        <v>1692</v>
      </c>
      <c r="D2021" s="1" t="s">
        <v>1544</v>
      </c>
      <c r="E2021" s="1" t="str">
        <f>""</f>
        <v/>
      </c>
      <c r="F2021" s="1" t="s">
        <v>28</v>
      </c>
      <c r="G2021" s="1" t="str">
        <f>CONCATENATE("SMIT-COMMERCE D.O.O.,"," GORNJOSTUPNIČKA 9B,"," 10255 GORNJI STUPNIK,"," OIB: 9524348214")</f>
        <v>SMIT-COMMERCE D.O.O., GORNJOSTUPNIČKA 9B, 10255 GORNJI STUPNIK, OIB: 9524348214</v>
      </c>
      <c r="H2021" s="7"/>
      <c r="I2021" s="8" t="s">
        <v>406</v>
      </c>
      <c r="J2021" s="8" t="s">
        <v>407</v>
      </c>
      <c r="K2021" s="6" t="str">
        <f>"5.946,48"</f>
        <v>5.946,48</v>
      </c>
      <c r="L2021" s="6" t="str">
        <f>"1.486,62"</f>
        <v>1.486,62</v>
      </c>
      <c r="M2021" s="6" t="str">
        <f>"7.433,10"</f>
        <v>7.433,10</v>
      </c>
      <c r="N2021" s="8" t="s">
        <v>438</v>
      </c>
      <c r="O2021" s="7"/>
      <c r="P2021" s="2" t="s">
        <v>6823</v>
      </c>
      <c r="Q2021" s="7"/>
      <c r="R2021" s="1"/>
      <c r="S2021" s="1" t="str">
        <f>"3-22/NOS-57-1/21"</f>
        <v>3-22/NOS-57-1/21</v>
      </c>
      <c r="T2021" s="1" t="s">
        <v>32</v>
      </c>
    </row>
    <row r="2022" spans="1:20" ht="89.25" x14ac:dyDescent="0.25">
      <c r="A2022" s="6">
        <v>2018</v>
      </c>
      <c r="B2022" s="1" t="str">
        <f>"2020-2936"</f>
        <v>2020-2936</v>
      </c>
      <c r="C2022" s="1" t="s">
        <v>1695</v>
      </c>
      <c r="D2022" s="1" t="s">
        <v>1619</v>
      </c>
      <c r="E2022" s="1" t="str">
        <f>"2020/S 0F2-0046462"</f>
        <v>2020/S 0F2-0046462</v>
      </c>
      <c r="F2022" s="1" t="s">
        <v>22</v>
      </c>
      <c r="G2022" s="1" t="str">
        <f>CONCATENATE("IDM ČOTIĆ D.O.O.,"," SLAVKA KOVAČIĆA 26,"," 10360 SESVETE,"," OIB: 82413844944")</f>
        <v>IDM ČOTIĆ D.O.O., SLAVKA KOVAČIĆA 26, 10360 SESVETE, OIB: 82413844944</v>
      </c>
      <c r="H2022" s="7"/>
      <c r="I2022" s="8" t="s">
        <v>1119</v>
      </c>
      <c r="J2022" s="8" t="s">
        <v>1696</v>
      </c>
      <c r="K2022" s="6" t="str">
        <f>"100.000,00"</f>
        <v>100.000,00</v>
      </c>
      <c r="L2022" s="6" t="str">
        <f>"25.000,00"</f>
        <v>25.000,00</v>
      </c>
      <c r="M2022" s="6" t="str">
        <f>"125.000,00"</f>
        <v>125.000,00</v>
      </c>
      <c r="N2022" s="8" t="s">
        <v>124</v>
      </c>
      <c r="O2022" s="7"/>
      <c r="P2022" s="2" t="s">
        <v>5614</v>
      </c>
      <c r="Q2022" s="7"/>
      <c r="R2022" s="1"/>
      <c r="S2022" s="1" t="str">
        <f>"NOS-125-11/20"</f>
        <v>NOS-125-11/20</v>
      </c>
      <c r="T2022" s="1" t="s">
        <v>32</v>
      </c>
    </row>
    <row r="2023" spans="1:20" ht="89.25" x14ac:dyDescent="0.25">
      <c r="A2023" s="6">
        <v>2019</v>
      </c>
      <c r="B2023" s="1" t="str">
        <f>"2020-2936"</f>
        <v>2020-2936</v>
      </c>
      <c r="C2023" s="1" t="s">
        <v>1695</v>
      </c>
      <c r="D2023" s="1" t="s">
        <v>1621</v>
      </c>
      <c r="E2023" s="1" t="str">
        <f>""</f>
        <v/>
      </c>
      <c r="F2023" s="1" t="s">
        <v>28</v>
      </c>
      <c r="G2023" s="1" t="str">
        <f>CONCATENATE("IDM ČOTIĆ D.O.O.,"," SLAVKA KOVAČIĆA 26,"," 10360 SESVETE,"," OIB: 82413844944")</f>
        <v>IDM ČOTIĆ D.O.O., SLAVKA KOVAČIĆA 26, 10360 SESVETE, OIB: 82413844944</v>
      </c>
      <c r="H2023" s="7"/>
      <c r="I2023" s="8" t="s">
        <v>525</v>
      </c>
      <c r="J2023" s="8" t="s">
        <v>519</v>
      </c>
      <c r="K2023" s="6" t="str">
        <f>"18.963,50"</f>
        <v>18.963,50</v>
      </c>
      <c r="L2023" s="6" t="str">
        <f>"4.740,88"</f>
        <v>4.740,88</v>
      </c>
      <c r="M2023" s="6" t="str">
        <f>"23.704,38"</f>
        <v>23.704,38</v>
      </c>
      <c r="N2023" s="8" t="s">
        <v>383</v>
      </c>
      <c r="O2023" s="7"/>
      <c r="P2023" s="2" t="s">
        <v>6824</v>
      </c>
      <c r="Q2023" s="7"/>
      <c r="R2023" s="1"/>
      <c r="S2023" s="1" t="str">
        <f>"1-22/NOS-125-11/20"</f>
        <v>1-22/NOS-125-11/20</v>
      </c>
      <c r="T2023" s="1" t="s">
        <v>32</v>
      </c>
    </row>
    <row r="2024" spans="1:20" ht="165.75" x14ac:dyDescent="0.25">
      <c r="A2024" s="6">
        <v>2020</v>
      </c>
      <c r="B2024" s="1" t="str">
        <f>"2021-36"</f>
        <v>2021-36</v>
      </c>
      <c r="C2024" s="1" t="s">
        <v>1697</v>
      </c>
      <c r="D2024" s="1" t="s">
        <v>642</v>
      </c>
      <c r="E2024" s="1" t="str">
        <f>"2021/S 0F2-0045473"</f>
        <v>2021/S 0F2-0045473</v>
      </c>
      <c r="F2024" s="1" t="s">
        <v>22</v>
      </c>
      <c r="G2024" s="1" t="str">
        <f>CONCATENATE("A1 HRVATSKA D.O.O.,"," VRTNI PUT 1,"," 10000 ZAGREB,"," OIB: 29524210204")</f>
        <v>A1 HRVATSKA D.O.O., VRTNI PUT 1, 10000 ZAGREB, OIB: 29524210204</v>
      </c>
      <c r="H2024" s="7"/>
      <c r="I2024" s="8" t="s">
        <v>345</v>
      </c>
      <c r="J2024" s="8" t="s">
        <v>1617</v>
      </c>
      <c r="K2024" s="6" t="str">
        <f>"5.076.000,00"</f>
        <v>5.076.000,00</v>
      </c>
      <c r="L2024" s="6" t="str">
        <f>"1.269.000,00"</f>
        <v>1.269.000,00</v>
      </c>
      <c r="M2024" s="6" t="str">
        <f>"6.345.000,00"</f>
        <v>6.345.000,00</v>
      </c>
      <c r="N2024" s="8" t="s">
        <v>124</v>
      </c>
      <c r="O2024" s="7"/>
      <c r="P2024" s="2" t="s">
        <v>5614</v>
      </c>
      <c r="Q2024" s="7"/>
      <c r="R2024" s="1"/>
      <c r="S2024" s="1" t="str">
        <f>"NOS-54-2-ZGH/21"</f>
        <v>NOS-54-2-ZGH/21</v>
      </c>
      <c r="T2024" s="1" t="s">
        <v>49</v>
      </c>
    </row>
    <row r="2025" spans="1:20" ht="51" x14ac:dyDescent="0.25">
      <c r="A2025" s="6">
        <v>2021</v>
      </c>
      <c r="B2025" s="1" t="str">
        <f>"2021-36"</f>
        <v>2021-36</v>
      </c>
      <c r="C2025" s="1" t="s">
        <v>1697</v>
      </c>
      <c r="D2025" s="1" t="s">
        <v>642</v>
      </c>
      <c r="E2025" s="1" t="str">
        <f>""</f>
        <v/>
      </c>
      <c r="F2025" s="1" t="s">
        <v>28</v>
      </c>
      <c r="G2025" s="1" t="str">
        <f>CONCATENATE("A1 HRVATSKA D.O.O.,"," VRTNI PUT 1,"," 10000 ZAGREB,"," OIB: 29524210204")</f>
        <v>A1 HRVATSKA D.O.O., VRTNI PUT 1, 10000 ZAGREB, OIB: 29524210204</v>
      </c>
      <c r="H2025" s="7"/>
      <c r="I2025" s="8" t="s">
        <v>192</v>
      </c>
      <c r="J2025" s="8" t="s">
        <v>1220</v>
      </c>
      <c r="K2025" s="6" t="str">
        <f>"1.312.540,31"</f>
        <v>1.312.540,31</v>
      </c>
      <c r="L2025" s="6" t="str">
        <f>"328.135,08"</f>
        <v>328.135,08</v>
      </c>
      <c r="M2025" s="6" t="str">
        <f>"1.640.675,39"</f>
        <v>1.640.675,39</v>
      </c>
      <c r="N2025" s="8" t="s">
        <v>124</v>
      </c>
      <c r="O2025" s="7"/>
      <c r="P2025" s="2" t="s">
        <v>6825</v>
      </c>
      <c r="Q2025" s="7"/>
      <c r="R2025" s="1"/>
      <c r="S2025" s="1" t="str">
        <f>"2-22/NOS-54-2-ZGH/21"</f>
        <v>2-22/NOS-54-2-ZGH/21</v>
      </c>
      <c r="T2025" s="1" t="s">
        <v>32</v>
      </c>
    </row>
    <row r="2026" spans="1:20" ht="51" x14ac:dyDescent="0.25">
      <c r="A2026" s="6">
        <v>2022</v>
      </c>
      <c r="B2026" s="1" t="str">
        <f>"2021-36"</f>
        <v>2021-36</v>
      </c>
      <c r="C2026" s="1" t="s">
        <v>1697</v>
      </c>
      <c r="D2026" s="1" t="s">
        <v>642</v>
      </c>
      <c r="E2026" s="1" t="str">
        <f>""</f>
        <v/>
      </c>
      <c r="F2026" s="1" t="s">
        <v>28</v>
      </c>
      <c r="G2026" s="1" t="str">
        <f>CONCATENATE("A1 HRVATSKA D.O.O.,"," VRTNI PUT 1,"," 10000 ZAGREB,"," OIB: 29524210204")</f>
        <v>A1 HRVATSKA D.O.O., VRTNI PUT 1, 10000 ZAGREB, OIB: 29524210204</v>
      </c>
      <c r="H2026" s="7"/>
      <c r="I2026" s="8" t="s">
        <v>252</v>
      </c>
      <c r="J2026" s="8" t="s">
        <v>417</v>
      </c>
      <c r="K2026" s="6" t="str">
        <f>"230.202,60"</f>
        <v>230.202,60</v>
      </c>
      <c r="L2026" s="6" t="str">
        <f>"57.550,65"</f>
        <v>57.550,65</v>
      </c>
      <c r="M2026" s="6" t="str">
        <f>"287.753,25"</f>
        <v>287.753,25</v>
      </c>
      <c r="N2026" s="8" t="s">
        <v>124</v>
      </c>
      <c r="O2026" s="7"/>
      <c r="P2026" s="2" t="s">
        <v>5614</v>
      </c>
      <c r="Q2026" s="7"/>
      <c r="R2026" s="1"/>
      <c r="S2026" s="1" t="str">
        <f>"1-22/NOS-54-2-ZGH/21"</f>
        <v>1-22/NOS-54-2-ZGH/21</v>
      </c>
      <c r="T2026" s="1" t="s">
        <v>452</v>
      </c>
    </row>
    <row r="2027" spans="1:20" ht="51" x14ac:dyDescent="0.25">
      <c r="A2027" s="6">
        <v>2023</v>
      </c>
      <c r="B2027" s="1" t="str">
        <f>"2020-2762"</f>
        <v>2020-2762</v>
      </c>
      <c r="C2027" s="1" t="s">
        <v>1698</v>
      </c>
      <c r="D2027" s="1" t="s">
        <v>1699</v>
      </c>
      <c r="E2027" s="1" t="str">
        <f>" 2020/S 0F2-0045958"</f>
        <v xml:space="preserve"> 2020/S 0F2-0045958</v>
      </c>
      <c r="F2027" s="1" t="s">
        <v>22</v>
      </c>
      <c r="G2027" s="1" t="str">
        <f>CONCATENATE("GRADATIN D.O.O.,"," LIVADARSKI PUT 19,"," 10360 SESVETE,"," OIB: 79147056526")</f>
        <v>GRADATIN D.O.O., LIVADARSKI PUT 19, 10360 SESVETE, OIB: 79147056526</v>
      </c>
      <c r="H2027" s="7"/>
      <c r="I2027" s="8" t="s">
        <v>354</v>
      </c>
      <c r="J2027" s="8" t="s">
        <v>1615</v>
      </c>
      <c r="K2027" s="6" t="str">
        <f>"6.600.000,00"</f>
        <v>6.600.000,00</v>
      </c>
      <c r="L2027" s="6" t="str">
        <f>"1.650.000,00"</f>
        <v>1.650.000,00</v>
      </c>
      <c r="M2027" s="6" t="str">
        <f>"8.250.000,00"</f>
        <v>8.250.000,00</v>
      </c>
      <c r="N2027" s="8" t="s">
        <v>124</v>
      </c>
      <c r="O2027" s="7"/>
      <c r="P2027" s="2" t="s">
        <v>5614</v>
      </c>
      <c r="Q2027" s="7"/>
      <c r="R2027" s="1"/>
      <c r="S2027" s="1" t="str">
        <f>"NOS-126-1/20"</f>
        <v>NOS-126-1/20</v>
      </c>
      <c r="T2027" s="1" t="s">
        <v>32</v>
      </c>
    </row>
    <row r="2028" spans="1:20" ht="51" x14ac:dyDescent="0.25">
      <c r="A2028" s="6">
        <v>2024</v>
      </c>
      <c r="B2028" s="1" t="str">
        <f>"2020-2762"</f>
        <v>2020-2762</v>
      </c>
      <c r="C2028" s="1" t="s">
        <v>1700</v>
      </c>
      <c r="D2028" s="1" t="s">
        <v>101</v>
      </c>
      <c r="E2028" s="1" t="str">
        <f>""</f>
        <v/>
      </c>
      <c r="F2028" s="1" t="s">
        <v>28</v>
      </c>
      <c r="G2028" s="1" t="str">
        <f>CONCATENATE("GRADATIN D.O.O.,"," LIVADARSKI PUT 19,"," 10360 SESVETE,"," OIB: 79147056526")</f>
        <v>GRADATIN D.O.O., LIVADARSKI PUT 19, 10360 SESVETE, OIB: 79147056526</v>
      </c>
      <c r="H2028" s="7"/>
      <c r="I2028" s="8" t="s">
        <v>963</v>
      </c>
      <c r="J2028" s="8" t="s">
        <v>123</v>
      </c>
      <c r="K2028" s="6" t="str">
        <f>"2.408.000,00"</f>
        <v>2.408.000,00</v>
      </c>
      <c r="L2028" s="6" t="str">
        <f>"602.000,00"</f>
        <v>602.000,00</v>
      </c>
      <c r="M2028" s="6" t="str">
        <f>"3.010.000,00"</f>
        <v>3.010.000,00</v>
      </c>
      <c r="N2028" s="8" t="s">
        <v>124</v>
      </c>
      <c r="O2028" s="7"/>
      <c r="P2028" s="2" t="s">
        <v>6826</v>
      </c>
      <c r="Q2028" s="7"/>
      <c r="R2028" s="1"/>
      <c r="S2028" s="1" t="str">
        <f>"1-22/NOS-126-1/20"</f>
        <v>1-22/NOS-126-1/20</v>
      </c>
      <c r="T2028" s="1" t="s">
        <v>32</v>
      </c>
    </row>
    <row r="2029" spans="1:20" ht="63.75" x14ac:dyDescent="0.25">
      <c r="A2029" s="6">
        <v>2025</v>
      </c>
      <c r="B2029" s="1" t="str">
        <f t="shared" ref="B2029:B2041" si="187">"2021-141"</f>
        <v>2021-141</v>
      </c>
      <c r="C2029" s="1" t="s">
        <v>1701</v>
      </c>
      <c r="D2029" s="1" t="s">
        <v>1702</v>
      </c>
      <c r="E2029" s="1" t="str">
        <f>"2021/S 0F2-0042144"</f>
        <v>2021/S 0F2-0042144</v>
      </c>
      <c r="F2029" s="1" t="s">
        <v>22</v>
      </c>
      <c r="G2029" s="1" t="str">
        <f t="shared" ref="G2029:G2037" si="188">CONCATENATE("KEMOBOJA-DUBRAVA D.O.O.,"," AVENIJA DUBRAVA 37,"," 10000 ZAGREB,"," OIB: 6402157427")</f>
        <v>KEMOBOJA-DUBRAVA D.O.O., AVENIJA DUBRAVA 37, 10000 ZAGREB, OIB: 6402157427</v>
      </c>
      <c r="H2029" s="7"/>
      <c r="I2029" s="8" t="s">
        <v>607</v>
      </c>
      <c r="J2029" s="8" t="s">
        <v>1703</v>
      </c>
      <c r="K2029" s="6" t="str">
        <f>"1.100.000,00"</f>
        <v>1.100.000,00</v>
      </c>
      <c r="L2029" s="6" t="str">
        <f>"275.000,00"</f>
        <v>275.000,00</v>
      </c>
      <c r="M2029" s="6" t="str">
        <f>"1.375.000,00"</f>
        <v>1.375.000,00</v>
      </c>
      <c r="N2029" s="8" t="s">
        <v>124</v>
      </c>
      <c r="O2029" s="7"/>
      <c r="P2029" s="2" t="s">
        <v>5614</v>
      </c>
      <c r="Q2029" s="7"/>
      <c r="R2029" s="1"/>
      <c r="S2029" s="1" t="str">
        <f>"NOS-61-1/21"</f>
        <v>NOS-61-1/21</v>
      </c>
      <c r="T2029" s="1" t="s">
        <v>27</v>
      </c>
    </row>
    <row r="2030" spans="1:20" ht="63.75" x14ac:dyDescent="0.25">
      <c r="A2030" s="6">
        <v>2026</v>
      </c>
      <c r="B2030" s="1" t="str">
        <f t="shared" si="187"/>
        <v>2021-141</v>
      </c>
      <c r="C2030" s="1" t="s">
        <v>1701</v>
      </c>
      <c r="D2030" s="1" t="s">
        <v>745</v>
      </c>
      <c r="E2030" s="1" t="str">
        <f>""</f>
        <v/>
      </c>
      <c r="F2030" s="1" t="s">
        <v>28</v>
      </c>
      <c r="G2030" s="1" t="str">
        <f t="shared" si="188"/>
        <v>KEMOBOJA-DUBRAVA D.O.O., AVENIJA DUBRAVA 37, 10000 ZAGREB, OIB: 6402157427</v>
      </c>
      <c r="H2030" s="7"/>
      <c r="I2030" s="8" t="s">
        <v>1314</v>
      </c>
      <c r="J2030" s="8" t="s">
        <v>423</v>
      </c>
      <c r="K2030" s="6" t="str">
        <f>"1.681,00"</f>
        <v>1.681,00</v>
      </c>
      <c r="L2030" s="6" t="str">
        <f>"420,25"</f>
        <v>420,25</v>
      </c>
      <c r="M2030" s="6" t="str">
        <f>"2.101,25"</f>
        <v>2.101,25</v>
      </c>
      <c r="N2030" s="8" t="s">
        <v>565</v>
      </c>
      <c r="O2030" s="7"/>
      <c r="P2030" s="2" t="s">
        <v>6827</v>
      </c>
      <c r="Q2030" s="7"/>
      <c r="R2030" s="1"/>
      <c r="S2030" s="1" t="str">
        <f>"4-22/NOS-61-1/21"</f>
        <v>4-22/NOS-61-1/21</v>
      </c>
      <c r="T2030" s="1" t="s">
        <v>55</v>
      </c>
    </row>
    <row r="2031" spans="1:20" ht="63.75" x14ac:dyDescent="0.25">
      <c r="A2031" s="6">
        <v>2027</v>
      </c>
      <c r="B2031" s="1" t="str">
        <f t="shared" si="187"/>
        <v>2021-141</v>
      </c>
      <c r="C2031" s="1" t="s">
        <v>1701</v>
      </c>
      <c r="D2031" s="1" t="s">
        <v>745</v>
      </c>
      <c r="E2031" s="1" t="str">
        <f>""</f>
        <v/>
      </c>
      <c r="F2031" s="1" t="s">
        <v>28</v>
      </c>
      <c r="G2031" s="1" t="str">
        <f t="shared" si="188"/>
        <v>KEMOBOJA-DUBRAVA D.O.O., AVENIJA DUBRAVA 37, 10000 ZAGREB, OIB: 6402157427</v>
      </c>
      <c r="H2031" s="7"/>
      <c r="I2031" s="8" t="s">
        <v>420</v>
      </c>
      <c r="J2031" s="7"/>
      <c r="K2031" s="6" t="str">
        <f>"817,50"</f>
        <v>817,50</v>
      </c>
      <c r="L2031" s="6" t="str">
        <f>"204,38"</f>
        <v>204,38</v>
      </c>
      <c r="M2031" s="6" t="str">
        <f>"1.021,88"</f>
        <v>1.021,88</v>
      </c>
      <c r="N2031" s="8" t="s">
        <v>509</v>
      </c>
      <c r="O2031" s="7"/>
      <c r="P2031" s="2" t="s">
        <v>6828</v>
      </c>
      <c r="Q2031" s="7"/>
      <c r="R2031" s="1"/>
      <c r="S2031" s="1" t="str">
        <f>"6-22/NOS-61-1/21"</f>
        <v>6-22/NOS-61-1/21</v>
      </c>
      <c r="T2031" s="1" t="s">
        <v>55</v>
      </c>
    </row>
    <row r="2032" spans="1:20" ht="63.75" x14ac:dyDescent="0.25">
      <c r="A2032" s="6">
        <v>2028</v>
      </c>
      <c r="B2032" s="1" t="str">
        <f t="shared" si="187"/>
        <v>2021-141</v>
      </c>
      <c r="C2032" s="1" t="s">
        <v>1704</v>
      </c>
      <c r="D2032" s="1" t="s">
        <v>745</v>
      </c>
      <c r="E2032" s="1" t="str">
        <f>""</f>
        <v/>
      </c>
      <c r="F2032" s="1" t="s">
        <v>28</v>
      </c>
      <c r="G2032" s="1" t="str">
        <f t="shared" si="188"/>
        <v>KEMOBOJA-DUBRAVA D.O.O., AVENIJA DUBRAVA 37, 10000 ZAGREB, OIB: 6402157427</v>
      </c>
      <c r="H2032" s="7"/>
      <c r="I2032" s="8" t="s">
        <v>469</v>
      </c>
      <c r="J2032" s="8" t="s">
        <v>407</v>
      </c>
      <c r="K2032" s="6" t="str">
        <f>"45.242,00"</f>
        <v>45.242,00</v>
      </c>
      <c r="L2032" s="6" t="str">
        <f>"11.310,50"</f>
        <v>11.310,50</v>
      </c>
      <c r="M2032" s="6" t="str">
        <f>"56.552,50"</f>
        <v>56.552,50</v>
      </c>
      <c r="N2032" s="8" t="s">
        <v>1122</v>
      </c>
      <c r="O2032" s="7"/>
      <c r="P2032" s="2" t="s">
        <v>6829</v>
      </c>
      <c r="Q2032" s="7"/>
      <c r="R2032" s="1"/>
      <c r="S2032" s="1" t="str">
        <f>"1-22/NOS-61-1/21"</f>
        <v>1-22/NOS-61-1/21</v>
      </c>
      <c r="T2032" s="1" t="s">
        <v>32</v>
      </c>
    </row>
    <row r="2033" spans="1:20" ht="63.75" x14ac:dyDescent="0.25">
      <c r="A2033" s="6">
        <v>2029</v>
      </c>
      <c r="B2033" s="1" t="str">
        <f t="shared" si="187"/>
        <v>2021-141</v>
      </c>
      <c r="C2033" s="1" t="s">
        <v>1704</v>
      </c>
      <c r="D2033" s="1" t="s">
        <v>745</v>
      </c>
      <c r="E2033" s="1" t="str">
        <f>""</f>
        <v/>
      </c>
      <c r="F2033" s="1" t="s">
        <v>28</v>
      </c>
      <c r="G2033" s="1" t="str">
        <f t="shared" si="188"/>
        <v>KEMOBOJA-DUBRAVA D.O.O., AVENIJA DUBRAVA 37, 10000 ZAGREB, OIB: 6402157427</v>
      </c>
      <c r="H2033" s="7"/>
      <c r="I2033" s="8" t="s">
        <v>252</v>
      </c>
      <c r="J2033" s="8" t="s">
        <v>402</v>
      </c>
      <c r="K2033" s="6" t="str">
        <f>"37.320,24"</f>
        <v>37.320,24</v>
      </c>
      <c r="L2033" s="6" t="str">
        <f>"9.330,06"</f>
        <v>9.330,06</v>
      </c>
      <c r="M2033" s="6" t="str">
        <f>"46.650,30"</f>
        <v>46.650,30</v>
      </c>
      <c r="N2033" s="8" t="s">
        <v>893</v>
      </c>
      <c r="O2033" s="7"/>
      <c r="P2033" s="2" t="s">
        <v>6830</v>
      </c>
      <c r="Q2033" s="1"/>
      <c r="R2033" s="1"/>
      <c r="S2033" s="1" t="str">
        <f>"2-22/NOS-61-1/21"</f>
        <v>2-22/NOS-61-1/21</v>
      </c>
      <c r="T2033" s="1" t="s">
        <v>32</v>
      </c>
    </row>
    <row r="2034" spans="1:20" ht="63.75" x14ac:dyDescent="0.25">
      <c r="A2034" s="6">
        <v>2030</v>
      </c>
      <c r="B2034" s="1" t="str">
        <f t="shared" si="187"/>
        <v>2021-141</v>
      </c>
      <c r="C2034" s="1" t="s">
        <v>1704</v>
      </c>
      <c r="D2034" s="1" t="s">
        <v>745</v>
      </c>
      <c r="E2034" s="1" t="str">
        <f>""</f>
        <v/>
      </c>
      <c r="F2034" s="1" t="s">
        <v>28</v>
      </c>
      <c r="G2034" s="1" t="str">
        <f t="shared" si="188"/>
        <v>KEMOBOJA-DUBRAVA D.O.O., AVENIJA DUBRAVA 37, 10000 ZAGREB, OIB: 6402157427</v>
      </c>
      <c r="H2034" s="7"/>
      <c r="I2034" s="8" t="s">
        <v>301</v>
      </c>
      <c r="J2034" s="8" t="s">
        <v>1339</v>
      </c>
      <c r="K2034" s="6" t="str">
        <f>"38.337,20"</f>
        <v>38.337,20</v>
      </c>
      <c r="L2034" s="6" t="str">
        <f>"9.584,30"</f>
        <v>9.584,30</v>
      </c>
      <c r="M2034" s="6" t="str">
        <f>"47.921,50"</f>
        <v>47.921,50</v>
      </c>
      <c r="N2034" s="8" t="s">
        <v>964</v>
      </c>
      <c r="O2034" s="7"/>
      <c r="P2034" s="2" t="s">
        <v>6831</v>
      </c>
      <c r="Q2034" s="7"/>
      <c r="R2034" s="1"/>
      <c r="S2034" s="1" t="str">
        <f>"5-22/NOS-61-1/21"</f>
        <v>5-22/NOS-61-1/21</v>
      </c>
      <c r="T2034" s="1" t="s">
        <v>32</v>
      </c>
    </row>
    <row r="2035" spans="1:20" ht="63.75" x14ac:dyDescent="0.25">
      <c r="A2035" s="6">
        <v>2031</v>
      </c>
      <c r="B2035" s="1" t="str">
        <f t="shared" si="187"/>
        <v>2021-141</v>
      </c>
      <c r="C2035" s="1" t="s">
        <v>1704</v>
      </c>
      <c r="D2035" s="1" t="s">
        <v>745</v>
      </c>
      <c r="E2035" s="1" t="str">
        <f>""</f>
        <v/>
      </c>
      <c r="F2035" s="1" t="s">
        <v>28</v>
      </c>
      <c r="G2035" s="1" t="str">
        <f t="shared" si="188"/>
        <v>KEMOBOJA-DUBRAVA D.O.O., AVENIJA DUBRAVA 37, 10000 ZAGREB, OIB: 6402157427</v>
      </c>
      <c r="H2035" s="7"/>
      <c r="I2035" s="8" t="s">
        <v>1191</v>
      </c>
      <c r="J2035" s="8" t="s">
        <v>1200</v>
      </c>
      <c r="K2035" s="6" t="str">
        <f>"80.280,00"</f>
        <v>80.280,00</v>
      </c>
      <c r="L2035" s="6" t="str">
        <f>"20.070,00"</f>
        <v>20.070,00</v>
      </c>
      <c r="M2035" s="6" t="str">
        <f>"100.350,00"</f>
        <v>100.350,00</v>
      </c>
      <c r="N2035" s="8" t="s">
        <v>124</v>
      </c>
      <c r="O2035" s="7"/>
      <c r="P2035" s="2" t="s">
        <v>5614</v>
      </c>
      <c r="Q2035" s="7"/>
      <c r="R2035" s="1"/>
      <c r="S2035" s="1" t="str">
        <f>"7-22/NOS-61-1/21"</f>
        <v>7-22/NOS-61-1/21</v>
      </c>
      <c r="T2035" s="1" t="s">
        <v>32</v>
      </c>
    </row>
    <row r="2036" spans="1:20" ht="63.75" x14ac:dyDescent="0.25">
      <c r="A2036" s="6">
        <v>2032</v>
      </c>
      <c r="B2036" s="1" t="str">
        <f t="shared" si="187"/>
        <v>2021-141</v>
      </c>
      <c r="C2036" s="1" t="s">
        <v>1704</v>
      </c>
      <c r="D2036" s="1" t="s">
        <v>745</v>
      </c>
      <c r="E2036" s="1" t="str">
        <f>""</f>
        <v/>
      </c>
      <c r="F2036" s="1" t="s">
        <v>28</v>
      </c>
      <c r="G2036" s="1" t="str">
        <f t="shared" si="188"/>
        <v>KEMOBOJA-DUBRAVA D.O.O., AVENIJA DUBRAVA 37, 10000 ZAGREB, OIB: 6402157427</v>
      </c>
      <c r="H2036" s="7"/>
      <c r="I2036" s="8" t="s">
        <v>553</v>
      </c>
      <c r="J2036" s="8" t="s">
        <v>411</v>
      </c>
      <c r="K2036" s="6" t="str">
        <f>"12.989,70"</f>
        <v>12.989,70</v>
      </c>
      <c r="L2036" s="6" t="str">
        <f>"3.247,43"</f>
        <v>3.247,43</v>
      </c>
      <c r="M2036" s="6" t="str">
        <f>"16.237,13"</f>
        <v>16.237,13</v>
      </c>
      <c r="N2036" s="8" t="s">
        <v>124</v>
      </c>
      <c r="O2036" s="7"/>
      <c r="P2036" s="2" t="s">
        <v>5614</v>
      </c>
      <c r="Q2036" s="7"/>
      <c r="R2036" s="1"/>
      <c r="S2036" s="1" t="str">
        <f>"3-22/NOS-61-1/21"</f>
        <v>3-22/NOS-61-1/21</v>
      </c>
      <c r="T2036" s="1" t="s">
        <v>32</v>
      </c>
    </row>
    <row r="2037" spans="1:20" ht="63.75" x14ac:dyDescent="0.25">
      <c r="A2037" s="6">
        <v>2033</v>
      </c>
      <c r="B2037" s="1" t="str">
        <f t="shared" si="187"/>
        <v>2021-141</v>
      </c>
      <c r="C2037" s="1" t="s">
        <v>1704</v>
      </c>
      <c r="D2037" s="1" t="s">
        <v>745</v>
      </c>
      <c r="E2037" s="1" t="str">
        <f>""</f>
        <v/>
      </c>
      <c r="F2037" s="1" t="s">
        <v>28</v>
      </c>
      <c r="G2037" s="1" t="str">
        <f t="shared" si="188"/>
        <v>KEMOBOJA-DUBRAVA D.O.O., AVENIJA DUBRAVA 37, 10000 ZAGREB, OIB: 6402157427</v>
      </c>
      <c r="H2037" s="7"/>
      <c r="I2037" s="8" t="s">
        <v>121</v>
      </c>
      <c r="J2037" s="8" t="s">
        <v>1400</v>
      </c>
      <c r="K2037" s="6" t="str">
        <f>"1.154,63"</f>
        <v>1.154,63</v>
      </c>
      <c r="L2037" s="6" t="str">
        <f>"288,66"</f>
        <v>288,66</v>
      </c>
      <c r="M2037" s="6" t="str">
        <f>"1.443,29"</f>
        <v>1.443,29</v>
      </c>
      <c r="N2037" s="8" t="s">
        <v>124</v>
      </c>
      <c r="O2037" s="7"/>
      <c r="P2037" s="2" t="s">
        <v>5614</v>
      </c>
      <c r="Q2037" s="7"/>
      <c r="R2037" s="1"/>
      <c r="S2037" s="1" t="str">
        <f>"8-22/NOS-61-1/21"</f>
        <v>8-22/NOS-61-1/21</v>
      </c>
      <c r="T2037" s="1" t="s">
        <v>32</v>
      </c>
    </row>
    <row r="2038" spans="1:20" ht="127.5" x14ac:dyDescent="0.25">
      <c r="A2038" s="6">
        <v>2034</v>
      </c>
      <c r="B2038" s="1" t="str">
        <f t="shared" si="187"/>
        <v>2021-141</v>
      </c>
      <c r="C2038" s="1" t="s">
        <v>1705</v>
      </c>
      <c r="D2038" s="1" t="s">
        <v>1702</v>
      </c>
      <c r="E2038" s="1" t="str">
        <f>"2021/S 0F2-0042144"</f>
        <v>2021/S 0F2-0042144</v>
      </c>
      <c r="F2038" s="1" t="s">
        <v>22</v>
      </c>
      <c r="G2038" s="1" t="str">
        <f>CONCATENATE("KEMOBOJA-DUBRAVA D.O.O.,"," AVENIJA DUBRAVA 37,"," 10000 ZAGREB,"," OIB: 64021574271",CHAR(10),"",CHAR(10),"BASIC MODEL D.O.O.,"," TRAVANJSKA 19,"," 10000 ZAGREB,"," OIB: 64150104602")</f>
        <v>KEMOBOJA-DUBRAVA D.O.O., AVENIJA DUBRAVA 37, 10000 ZAGREB, OIB: 64021574271
BASIC MODEL D.O.O., TRAVANJSKA 19, 10000 ZAGREB, OIB: 64150104602</v>
      </c>
      <c r="H2038" s="7"/>
      <c r="I2038" s="8" t="s">
        <v>607</v>
      </c>
      <c r="J2038" s="8" t="s">
        <v>1703</v>
      </c>
      <c r="K2038" s="6" t="str">
        <f>"100.000,00"</f>
        <v>100.000,00</v>
      </c>
      <c r="L2038" s="6" t="str">
        <f>"25.000,00"</f>
        <v>25.000,00</v>
      </c>
      <c r="M2038" s="6" t="str">
        <f>"125.000,00"</f>
        <v>125.000,00</v>
      </c>
      <c r="N2038" s="8" t="s">
        <v>124</v>
      </c>
      <c r="O2038" s="7"/>
      <c r="P2038" s="2" t="s">
        <v>5614</v>
      </c>
      <c r="Q2038" s="7"/>
      <c r="R2038" s="1"/>
      <c r="S2038" s="1" t="str">
        <f>"NOS-61-2/21"</f>
        <v>NOS-61-2/21</v>
      </c>
      <c r="T2038" s="1" t="s">
        <v>27</v>
      </c>
    </row>
    <row r="2039" spans="1:20" ht="51" x14ac:dyDescent="0.25">
      <c r="A2039" s="6">
        <v>2035</v>
      </c>
      <c r="B2039" s="1" t="str">
        <f t="shared" si="187"/>
        <v>2021-141</v>
      </c>
      <c r="C2039" s="1" t="s">
        <v>1704</v>
      </c>
      <c r="D2039" s="1" t="s">
        <v>745</v>
      </c>
      <c r="E2039" s="1" t="str">
        <f>""</f>
        <v/>
      </c>
      <c r="F2039" s="1" t="s">
        <v>28</v>
      </c>
      <c r="G2039" s="1" t="str">
        <f>CONCATENATE("BASIC MODEL D.O.O.,"," TRAVANJSKA 19,"," 10000 ZAGREB,"," OIB: 64150104602")</f>
        <v>BASIC MODEL D.O.O., TRAVANJSKA 19, 10000 ZAGREB, OIB: 64150104602</v>
      </c>
      <c r="H2039" s="7"/>
      <c r="I2039" s="8" t="s">
        <v>507</v>
      </c>
      <c r="J2039" s="8" t="s">
        <v>402</v>
      </c>
      <c r="K2039" s="6" t="str">
        <f>"38.460,00"</f>
        <v>38.460,00</v>
      </c>
      <c r="L2039" s="6" t="str">
        <f>"9.615,00"</f>
        <v>9.615,00</v>
      </c>
      <c r="M2039" s="6" t="str">
        <f>"48.075,00"</f>
        <v>48.075,00</v>
      </c>
      <c r="N2039" s="8" t="s">
        <v>263</v>
      </c>
      <c r="O2039" s="7"/>
      <c r="P2039" s="2" t="s">
        <v>6832</v>
      </c>
      <c r="Q2039" s="7"/>
      <c r="R2039" s="1"/>
      <c r="S2039" s="1" t="str">
        <f>"1-22/NOS-61-2/21"</f>
        <v>1-22/NOS-61-2/21</v>
      </c>
      <c r="T2039" s="1" t="s">
        <v>32</v>
      </c>
    </row>
    <row r="2040" spans="1:20" ht="63.75" x14ac:dyDescent="0.25">
      <c r="A2040" s="6">
        <v>2036</v>
      </c>
      <c r="B2040" s="1" t="str">
        <f t="shared" si="187"/>
        <v>2021-141</v>
      </c>
      <c r="C2040" s="1" t="s">
        <v>1704</v>
      </c>
      <c r="D2040" s="1" t="s">
        <v>745</v>
      </c>
      <c r="E2040" s="1" t="str">
        <f>""</f>
        <v/>
      </c>
      <c r="F2040" s="1" t="s">
        <v>28</v>
      </c>
      <c r="G2040" s="1" t="str">
        <f>CONCATENATE("KEMOBOJA-DUBRAVA D.O.O.,"," AVENIJA DUBRAVA 37,"," 10000 ZAGREB,"," OIB: 6402157427")</f>
        <v>KEMOBOJA-DUBRAVA D.O.O., AVENIJA DUBRAVA 37, 10000 ZAGREB, OIB: 6402157427</v>
      </c>
      <c r="H2040" s="7"/>
      <c r="I2040" s="8" t="s">
        <v>1157</v>
      </c>
      <c r="J2040" s="8" t="s">
        <v>54</v>
      </c>
      <c r="K2040" s="6" t="str">
        <f>"3.820,44"</f>
        <v>3.820,44</v>
      </c>
      <c r="L2040" s="6" t="str">
        <f>"955,11"</f>
        <v>955,11</v>
      </c>
      <c r="M2040" s="6" t="str">
        <f>"4.775,55"</f>
        <v>4.775,55</v>
      </c>
      <c r="N2040" s="8" t="s">
        <v>301</v>
      </c>
      <c r="O2040" s="7"/>
      <c r="P2040" s="2" t="s">
        <v>6833</v>
      </c>
      <c r="Q2040" s="7"/>
      <c r="R2040" s="1"/>
      <c r="S2040" s="1" t="str">
        <f>"2-22/NOS-61-2/21"</f>
        <v>2-22/NOS-61-2/21</v>
      </c>
      <c r="T2040" s="1" t="s">
        <v>32</v>
      </c>
    </row>
    <row r="2041" spans="1:20" ht="63.75" x14ac:dyDescent="0.25">
      <c r="A2041" s="6">
        <v>2037</v>
      </c>
      <c r="B2041" s="1" t="str">
        <f t="shared" si="187"/>
        <v>2021-141</v>
      </c>
      <c r="C2041" s="1" t="s">
        <v>1704</v>
      </c>
      <c r="D2041" s="1" t="s">
        <v>745</v>
      </c>
      <c r="E2041" s="1" t="str">
        <f>""</f>
        <v/>
      </c>
      <c r="F2041" s="1" t="s">
        <v>28</v>
      </c>
      <c r="G2041" s="1" t="str">
        <f>CONCATENATE("KEMOBOJA-DUBRAVA D.O.O.,"," AVENIJA DUBRAVA 37,"," 10000 ZAGREB,"," OIB: 6402157427")</f>
        <v>KEMOBOJA-DUBRAVA D.O.O., AVENIJA DUBRAVA 37, 10000 ZAGREB, OIB: 6402157427</v>
      </c>
      <c r="H2041" s="7"/>
      <c r="I2041" s="8" t="s">
        <v>121</v>
      </c>
      <c r="J2041" s="8" t="s">
        <v>1400</v>
      </c>
      <c r="K2041" s="6" t="str">
        <f>"4.380,00"</f>
        <v>4.380,00</v>
      </c>
      <c r="L2041" s="6" t="str">
        <f>"1.095,00"</f>
        <v>1.095,00</v>
      </c>
      <c r="M2041" s="6" t="str">
        <f>"5.475,00"</f>
        <v>5.475,00</v>
      </c>
      <c r="N2041" s="8" t="s">
        <v>124</v>
      </c>
      <c r="O2041" s="7"/>
      <c r="P2041" s="2" t="s">
        <v>5614</v>
      </c>
      <c r="Q2041" s="7"/>
      <c r="R2041" s="1"/>
      <c r="S2041" s="1" t="str">
        <f>"3-22/NOS-61-2/21"</f>
        <v>3-22/NOS-61-2/21</v>
      </c>
      <c r="T2041" s="1" t="s">
        <v>32</v>
      </c>
    </row>
    <row r="2042" spans="1:20" ht="204" x14ac:dyDescent="0.25">
      <c r="A2042" s="6">
        <v>2038</v>
      </c>
      <c r="B2042" s="1" t="str">
        <f t="shared" ref="B2042:B2067" si="189">"2020-1408"</f>
        <v>2020-1408</v>
      </c>
      <c r="C2042" s="1" t="s">
        <v>1706</v>
      </c>
      <c r="D2042" s="1" t="s">
        <v>1326</v>
      </c>
      <c r="E2042" s="1" t="str">
        <f>"2020/S 0F2-0018701"</f>
        <v>2020/S 0F2-0018701</v>
      </c>
      <c r="F2042" s="1" t="s">
        <v>22</v>
      </c>
      <c r="G2042" s="1"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2042" s="7"/>
      <c r="I2042" s="8" t="s">
        <v>1119</v>
      </c>
      <c r="J2042" s="8" t="s">
        <v>1707</v>
      </c>
      <c r="K2042" s="6" t="str">
        <f>"6.570.000,00"</f>
        <v>6.570.000,00</v>
      </c>
      <c r="L2042" s="6" t="str">
        <f>"1.642.500,00"</f>
        <v>1.642.500,00</v>
      </c>
      <c r="M2042" s="6" t="str">
        <f>"8.212.500,00"</f>
        <v>8.212.500,00</v>
      </c>
      <c r="N2042" s="8" t="s">
        <v>124</v>
      </c>
      <c r="O2042" s="7"/>
      <c r="P2042" s="2" t="s">
        <v>5614</v>
      </c>
      <c r="Q2042" s="7"/>
      <c r="R2042" s="1"/>
      <c r="S2042" s="1" t="str">
        <f>"NOS-86-1/20"</f>
        <v>NOS-86-1/20</v>
      </c>
      <c r="T2042" s="1" t="s">
        <v>68</v>
      </c>
    </row>
    <row r="2043" spans="1:20" ht="216.75" x14ac:dyDescent="0.25">
      <c r="A2043" s="6">
        <v>2039</v>
      </c>
      <c r="B2043" s="1" t="str">
        <f t="shared" si="189"/>
        <v>2020-1408</v>
      </c>
      <c r="C2043" s="1" t="s">
        <v>1706</v>
      </c>
      <c r="D2043" s="1" t="s">
        <v>1328</v>
      </c>
      <c r="E2043" s="1" t="str">
        <f>""</f>
        <v/>
      </c>
      <c r="F2043" s="1" t="s">
        <v>28</v>
      </c>
      <c r="G2043" s="1" t="str">
        <f t="shared" ref="G2043:G2067" si="190">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2043" s="7"/>
      <c r="I2043" s="8" t="s">
        <v>506</v>
      </c>
      <c r="J2043" s="8" t="s">
        <v>393</v>
      </c>
      <c r="K2043" s="6" t="str">
        <f>"28.000,00"</f>
        <v>28.000,00</v>
      </c>
      <c r="L2043" s="6" t="str">
        <f>"7.000,00"</f>
        <v>7.000,00</v>
      </c>
      <c r="M2043" s="6" t="str">
        <f>"35.000,00"</f>
        <v>35.000,00</v>
      </c>
      <c r="N2043" s="8" t="s">
        <v>852</v>
      </c>
      <c r="O2043" s="7"/>
      <c r="P2043" s="2" t="s">
        <v>6834</v>
      </c>
      <c r="Q2043" s="7"/>
      <c r="R2043" s="1"/>
      <c r="S2043" s="1" t="str">
        <f>"1-22/NOS-86-1/20"</f>
        <v>1-22/NOS-86-1/20</v>
      </c>
      <c r="T2043" s="1" t="s">
        <v>32</v>
      </c>
    </row>
    <row r="2044" spans="1:20" ht="216.75" x14ac:dyDescent="0.25">
      <c r="A2044" s="6">
        <v>2040</v>
      </c>
      <c r="B2044" s="1" t="str">
        <f t="shared" si="189"/>
        <v>2020-1408</v>
      </c>
      <c r="C2044" s="1" t="s">
        <v>1706</v>
      </c>
      <c r="D2044" s="1" t="s">
        <v>1328</v>
      </c>
      <c r="E2044" s="1" t="str">
        <f>""</f>
        <v/>
      </c>
      <c r="F2044" s="1" t="s">
        <v>28</v>
      </c>
      <c r="G2044"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4" s="7"/>
      <c r="I2044" s="8" t="s">
        <v>506</v>
      </c>
      <c r="J2044" s="8" t="s">
        <v>393</v>
      </c>
      <c r="K2044" s="6" t="str">
        <f>"12.400,00"</f>
        <v>12.400,00</v>
      </c>
      <c r="L2044" s="6" t="str">
        <f>"3.100,00"</f>
        <v>3.100,00</v>
      </c>
      <c r="M2044" s="6" t="str">
        <f>"15.500,00"</f>
        <v>15.500,00</v>
      </c>
      <c r="N2044" s="8" t="s">
        <v>852</v>
      </c>
      <c r="O2044" s="7"/>
      <c r="P2044" s="2" t="s">
        <v>6314</v>
      </c>
      <c r="Q2044" s="7"/>
      <c r="R2044" s="1"/>
      <c r="S2044" s="1" t="str">
        <f>"2-22/NOS-86-1/20"</f>
        <v>2-22/NOS-86-1/20</v>
      </c>
      <c r="T2044" s="1" t="s">
        <v>32</v>
      </c>
    </row>
    <row r="2045" spans="1:20" ht="216.75" x14ac:dyDescent="0.25">
      <c r="A2045" s="6">
        <v>2041</v>
      </c>
      <c r="B2045" s="1" t="str">
        <f t="shared" si="189"/>
        <v>2020-1408</v>
      </c>
      <c r="C2045" s="1" t="s">
        <v>1706</v>
      </c>
      <c r="D2045" s="1" t="s">
        <v>1328</v>
      </c>
      <c r="E2045" s="1" t="str">
        <f>""</f>
        <v/>
      </c>
      <c r="F2045" s="1" t="s">
        <v>28</v>
      </c>
      <c r="G2045"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5" s="7"/>
      <c r="I2045" s="8" t="s">
        <v>1155</v>
      </c>
      <c r="J2045" s="8" t="s">
        <v>393</v>
      </c>
      <c r="K2045" s="6" t="str">
        <f>"9.000,00"</f>
        <v>9.000,00</v>
      </c>
      <c r="L2045" s="6" t="str">
        <f>"2.250,00"</f>
        <v>2.250,00</v>
      </c>
      <c r="M2045" s="6" t="str">
        <f>"11.250,00"</f>
        <v>11.250,00</v>
      </c>
      <c r="N2045" s="8" t="s">
        <v>281</v>
      </c>
      <c r="O2045" s="7"/>
      <c r="P2045" s="2" t="s">
        <v>6835</v>
      </c>
      <c r="Q2045" s="7"/>
      <c r="R2045" s="1"/>
      <c r="S2045" s="1" t="str">
        <f>"3-22/NOS-86-1/20"</f>
        <v>3-22/NOS-86-1/20</v>
      </c>
      <c r="T2045" s="1" t="s">
        <v>32</v>
      </c>
    </row>
    <row r="2046" spans="1:20" ht="216.75" x14ac:dyDescent="0.25">
      <c r="A2046" s="6">
        <v>2042</v>
      </c>
      <c r="B2046" s="1" t="str">
        <f t="shared" si="189"/>
        <v>2020-1408</v>
      </c>
      <c r="C2046" s="1" t="s">
        <v>1706</v>
      </c>
      <c r="D2046" s="1" t="s">
        <v>1328</v>
      </c>
      <c r="E2046" s="1" t="str">
        <f>""</f>
        <v/>
      </c>
      <c r="F2046" s="1" t="s">
        <v>28</v>
      </c>
      <c r="G2046"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6" s="7"/>
      <c r="I2046" s="8" t="s">
        <v>252</v>
      </c>
      <c r="J2046" s="8" t="s">
        <v>393</v>
      </c>
      <c r="K2046" s="6" t="str">
        <f>"24.536,30"</f>
        <v>24.536,30</v>
      </c>
      <c r="L2046" s="6" t="str">
        <f>"0,00"</f>
        <v>0,00</v>
      </c>
      <c r="M2046" s="6" t="str">
        <f>"24.536,30"</f>
        <v>24.536,30</v>
      </c>
      <c r="N2046" s="8" t="s">
        <v>124</v>
      </c>
      <c r="O2046" s="7"/>
      <c r="P2046" s="2" t="s">
        <v>5614</v>
      </c>
      <c r="Q2046" s="7"/>
      <c r="R2046" s="1"/>
      <c r="S2046" s="1" t="str">
        <f>"4-22/NOS-86-1/20"</f>
        <v>4-22/NOS-86-1/20</v>
      </c>
      <c r="T2046" s="1" t="s">
        <v>32</v>
      </c>
    </row>
    <row r="2047" spans="1:20" ht="216.75" x14ac:dyDescent="0.25">
      <c r="A2047" s="6">
        <v>2043</v>
      </c>
      <c r="B2047" s="1" t="str">
        <f t="shared" si="189"/>
        <v>2020-1408</v>
      </c>
      <c r="C2047" s="1" t="s">
        <v>1706</v>
      </c>
      <c r="D2047" s="1" t="s">
        <v>1328</v>
      </c>
      <c r="E2047" s="1" t="str">
        <f>""</f>
        <v/>
      </c>
      <c r="F2047" s="1" t="s">
        <v>28</v>
      </c>
      <c r="G2047"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7" s="7"/>
      <c r="I2047" s="8" t="s">
        <v>563</v>
      </c>
      <c r="J2047" s="8" t="s">
        <v>393</v>
      </c>
      <c r="K2047" s="6" t="str">
        <f>"24.536,30"</f>
        <v>24.536,30</v>
      </c>
      <c r="L2047" s="6" t="str">
        <f>"0,00"</f>
        <v>0,00</v>
      </c>
      <c r="M2047" s="6" t="str">
        <f>"24.536,30"</f>
        <v>24.536,30</v>
      </c>
      <c r="N2047" s="8" t="s">
        <v>124</v>
      </c>
      <c r="O2047" s="7"/>
      <c r="P2047" s="2" t="s">
        <v>5614</v>
      </c>
      <c r="Q2047" s="7"/>
      <c r="R2047" s="1"/>
      <c r="S2047" s="1" t="str">
        <f>"5-22/NOS-86-1/20"</f>
        <v>5-22/NOS-86-1/20</v>
      </c>
      <c r="T2047" s="1" t="s">
        <v>32</v>
      </c>
    </row>
    <row r="2048" spans="1:20" ht="216.75" x14ac:dyDescent="0.25">
      <c r="A2048" s="6">
        <v>2044</v>
      </c>
      <c r="B2048" s="1" t="str">
        <f t="shared" si="189"/>
        <v>2020-1408</v>
      </c>
      <c r="C2048" s="1" t="s">
        <v>1706</v>
      </c>
      <c r="D2048" s="1" t="s">
        <v>1328</v>
      </c>
      <c r="E2048" s="1" t="str">
        <f>""</f>
        <v/>
      </c>
      <c r="F2048" s="1" t="s">
        <v>28</v>
      </c>
      <c r="G2048"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8" s="7"/>
      <c r="I2048" s="8" t="s">
        <v>563</v>
      </c>
      <c r="J2048" s="8" t="s">
        <v>393</v>
      </c>
      <c r="K2048" s="6" t="str">
        <f>"2.500,00"</f>
        <v>2.500,00</v>
      </c>
      <c r="L2048" s="6" t="str">
        <f>"625,00"</f>
        <v>625,00</v>
      </c>
      <c r="M2048" s="6" t="str">
        <f>"3.125,00"</f>
        <v>3.125,00</v>
      </c>
      <c r="N2048" s="8" t="s">
        <v>564</v>
      </c>
      <c r="O2048" s="7"/>
      <c r="P2048" s="2" t="s">
        <v>6399</v>
      </c>
      <c r="Q2048" s="7"/>
      <c r="R2048" s="1"/>
      <c r="S2048" s="1" t="str">
        <f>"10-22/NOS-86-1/20"</f>
        <v>10-22/NOS-86-1/20</v>
      </c>
      <c r="T2048" s="1" t="s">
        <v>32</v>
      </c>
    </row>
    <row r="2049" spans="1:20" ht="216.75" x14ac:dyDescent="0.25">
      <c r="A2049" s="6">
        <v>2045</v>
      </c>
      <c r="B2049" s="1" t="str">
        <f t="shared" si="189"/>
        <v>2020-1408</v>
      </c>
      <c r="C2049" s="1" t="s">
        <v>1706</v>
      </c>
      <c r="D2049" s="1" t="s">
        <v>1328</v>
      </c>
      <c r="E2049" s="1" t="str">
        <f>""</f>
        <v/>
      </c>
      <c r="F2049" s="1" t="s">
        <v>28</v>
      </c>
      <c r="G2049"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49" s="7"/>
      <c r="I2049" s="8" t="s">
        <v>563</v>
      </c>
      <c r="J2049" s="8" t="s">
        <v>393</v>
      </c>
      <c r="K2049" s="6" t="str">
        <f>"523,50"</f>
        <v>523,50</v>
      </c>
      <c r="L2049" s="6" t="str">
        <f>"0,00"</f>
        <v>0,00</v>
      </c>
      <c r="M2049" s="6" t="str">
        <f>"523,50"</f>
        <v>523,50</v>
      </c>
      <c r="N2049" s="8" t="s">
        <v>124</v>
      </c>
      <c r="O2049" s="7"/>
      <c r="P2049" s="2" t="s">
        <v>5614</v>
      </c>
      <c r="Q2049" s="7"/>
      <c r="R2049" s="1"/>
      <c r="S2049" s="1" t="str">
        <f>"8-22/NOS-86-1/20"</f>
        <v>8-22/NOS-86-1/20</v>
      </c>
      <c r="T2049" s="1" t="s">
        <v>32</v>
      </c>
    </row>
    <row r="2050" spans="1:20" ht="216.75" x14ac:dyDescent="0.25">
      <c r="A2050" s="6">
        <v>2046</v>
      </c>
      <c r="B2050" s="1" t="str">
        <f t="shared" si="189"/>
        <v>2020-1408</v>
      </c>
      <c r="C2050" s="1" t="s">
        <v>1706</v>
      </c>
      <c r="D2050" s="1" t="s">
        <v>1328</v>
      </c>
      <c r="E2050" s="1" t="str">
        <f>""</f>
        <v/>
      </c>
      <c r="F2050" s="1" t="s">
        <v>28</v>
      </c>
      <c r="G2050"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0" s="7"/>
      <c r="I2050" s="8" t="s">
        <v>563</v>
      </c>
      <c r="J2050" s="8" t="s">
        <v>393</v>
      </c>
      <c r="K2050" s="6" t="str">
        <f>"44.492,30"</f>
        <v>44.492,30</v>
      </c>
      <c r="L2050" s="6" t="str">
        <f>"11.123,08"</f>
        <v>11.123,08</v>
      </c>
      <c r="M2050" s="6" t="str">
        <f>"55.615,38"</f>
        <v>55.615,38</v>
      </c>
      <c r="N2050" s="8" t="s">
        <v>566</v>
      </c>
      <c r="O2050" s="7"/>
      <c r="P2050" s="2" t="s">
        <v>6836</v>
      </c>
      <c r="Q2050" s="7"/>
      <c r="R2050" s="1"/>
      <c r="S2050" s="1" t="str">
        <f>"7-22/NOS-86-1/20"</f>
        <v>7-22/NOS-86-1/20</v>
      </c>
      <c r="T2050" s="1" t="s">
        <v>32</v>
      </c>
    </row>
    <row r="2051" spans="1:20" ht="216.75" x14ac:dyDescent="0.25">
      <c r="A2051" s="6">
        <v>2047</v>
      </c>
      <c r="B2051" s="1" t="str">
        <f t="shared" si="189"/>
        <v>2020-1408</v>
      </c>
      <c r="C2051" s="1" t="s">
        <v>1706</v>
      </c>
      <c r="D2051" s="1" t="s">
        <v>1328</v>
      </c>
      <c r="E2051" s="1" t="str">
        <f>""</f>
        <v/>
      </c>
      <c r="F2051" s="1" t="s">
        <v>28</v>
      </c>
      <c r="G2051"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1" s="7"/>
      <c r="I2051" s="8" t="s">
        <v>222</v>
      </c>
      <c r="J2051" s="8" t="s">
        <v>423</v>
      </c>
      <c r="K2051" s="6" t="str">
        <f>"600,00"</f>
        <v>600,00</v>
      </c>
      <c r="L2051" s="6" t="str">
        <f>"0,00"</f>
        <v>0,00</v>
      </c>
      <c r="M2051" s="6" t="str">
        <f>"600,00"</f>
        <v>600,00</v>
      </c>
      <c r="N2051" s="8" t="s">
        <v>124</v>
      </c>
      <c r="O2051" s="7"/>
      <c r="P2051" s="2" t="s">
        <v>5614</v>
      </c>
      <c r="Q2051" s="7"/>
      <c r="R2051" s="1"/>
      <c r="S2051" s="1" t="str">
        <f>"9-22/NOS-86-1/20"</f>
        <v>9-22/NOS-86-1/20</v>
      </c>
      <c r="T2051" s="1" t="s">
        <v>32</v>
      </c>
    </row>
    <row r="2052" spans="1:20" ht="216.75" x14ac:dyDescent="0.25">
      <c r="A2052" s="6">
        <v>2048</v>
      </c>
      <c r="B2052" s="1" t="str">
        <f t="shared" si="189"/>
        <v>2020-1408</v>
      </c>
      <c r="C2052" s="1" t="s">
        <v>1706</v>
      </c>
      <c r="D2052" s="1" t="s">
        <v>1328</v>
      </c>
      <c r="E2052" s="1" t="str">
        <f>""</f>
        <v/>
      </c>
      <c r="F2052" s="1" t="s">
        <v>28</v>
      </c>
      <c r="G2052"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2" s="7"/>
      <c r="I2052" s="8" t="s">
        <v>564</v>
      </c>
      <c r="J2052" s="8" t="s">
        <v>393</v>
      </c>
      <c r="K2052" s="6" t="str">
        <f>"65.335,00"</f>
        <v>65.335,00</v>
      </c>
      <c r="L2052" s="6" t="str">
        <f>"16.333,75"</f>
        <v>16.333,75</v>
      </c>
      <c r="M2052" s="6" t="str">
        <f>"81.668,75"</f>
        <v>81.668,75</v>
      </c>
      <c r="N2052" s="8" t="s">
        <v>31</v>
      </c>
      <c r="O2052" s="7"/>
      <c r="P2052" s="2" t="s">
        <v>6837</v>
      </c>
      <c r="Q2052" s="7"/>
      <c r="R2052" s="1"/>
      <c r="S2052" s="1" t="str">
        <f>"11-22/NOS-86-1/20"</f>
        <v>11-22/NOS-86-1/20</v>
      </c>
      <c r="T2052" s="1" t="s">
        <v>32</v>
      </c>
    </row>
    <row r="2053" spans="1:20" ht="216.75" x14ac:dyDescent="0.25">
      <c r="A2053" s="6">
        <v>2049</v>
      </c>
      <c r="B2053" s="1" t="str">
        <f t="shared" si="189"/>
        <v>2020-1408</v>
      </c>
      <c r="C2053" s="1" t="s">
        <v>1706</v>
      </c>
      <c r="D2053" s="1" t="s">
        <v>1328</v>
      </c>
      <c r="E2053" s="1" t="str">
        <f>""</f>
        <v/>
      </c>
      <c r="F2053" s="1" t="s">
        <v>28</v>
      </c>
      <c r="G2053"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3" s="7"/>
      <c r="I2053" s="8" t="s">
        <v>669</v>
      </c>
      <c r="J2053" s="8" t="s">
        <v>393</v>
      </c>
      <c r="K2053" s="6" t="str">
        <f>"4.500,00"</f>
        <v>4.500,00</v>
      </c>
      <c r="L2053" s="6" t="str">
        <f>"832,50"</f>
        <v>832,50</v>
      </c>
      <c r="M2053" s="6" t="str">
        <f>"5.332,50"</f>
        <v>5.332,50</v>
      </c>
      <c r="N2053" s="8" t="s">
        <v>508</v>
      </c>
      <c r="O2053" s="7"/>
      <c r="P2053" s="2" t="s">
        <v>6838</v>
      </c>
      <c r="Q2053" s="7"/>
      <c r="R2053" s="1"/>
      <c r="S2053" s="1" t="str">
        <f>"12-22/NOS-86-1/20"</f>
        <v>12-22/NOS-86-1/20</v>
      </c>
      <c r="T2053" s="1" t="s">
        <v>32</v>
      </c>
    </row>
    <row r="2054" spans="1:20" ht="216.75" x14ac:dyDescent="0.25">
      <c r="A2054" s="6">
        <v>2050</v>
      </c>
      <c r="B2054" s="1" t="str">
        <f t="shared" si="189"/>
        <v>2020-1408</v>
      </c>
      <c r="C2054" s="1" t="s">
        <v>1706</v>
      </c>
      <c r="D2054" s="1" t="s">
        <v>1328</v>
      </c>
      <c r="E2054" s="1" t="str">
        <f>""</f>
        <v/>
      </c>
      <c r="F2054" s="1" t="s">
        <v>28</v>
      </c>
      <c r="G2054"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4" s="7"/>
      <c r="I2054" s="8" t="s">
        <v>310</v>
      </c>
      <c r="J2054" s="8" t="s">
        <v>393</v>
      </c>
      <c r="K2054" s="6" t="str">
        <f>"44.492,30"</f>
        <v>44.492,30</v>
      </c>
      <c r="L2054" s="6" t="str">
        <f>"0,00"</f>
        <v>0,00</v>
      </c>
      <c r="M2054" s="6" t="str">
        <f>"44.492,30"</f>
        <v>44.492,30</v>
      </c>
      <c r="N2054" s="8" t="s">
        <v>124</v>
      </c>
      <c r="O2054" s="7"/>
      <c r="P2054" s="2" t="s">
        <v>5614</v>
      </c>
      <c r="Q2054" s="7"/>
      <c r="R2054" s="1"/>
      <c r="S2054" s="1" t="str">
        <f>"13-22/NOS-86-1/20"</f>
        <v>13-22/NOS-86-1/20</v>
      </c>
      <c r="T2054" s="1" t="s">
        <v>32</v>
      </c>
    </row>
    <row r="2055" spans="1:20" ht="216.75" x14ac:dyDescent="0.25">
      <c r="A2055" s="6">
        <v>2051</v>
      </c>
      <c r="B2055" s="1" t="str">
        <f t="shared" si="189"/>
        <v>2020-1408</v>
      </c>
      <c r="C2055" s="1" t="s">
        <v>1706</v>
      </c>
      <c r="D2055" s="1" t="s">
        <v>1328</v>
      </c>
      <c r="E2055" s="1" t="str">
        <f>""</f>
        <v/>
      </c>
      <c r="F2055" s="1" t="s">
        <v>28</v>
      </c>
      <c r="G2055"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5" s="7"/>
      <c r="I2055" s="8" t="s">
        <v>310</v>
      </c>
      <c r="J2055" s="8" t="s">
        <v>393</v>
      </c>
      <c r="K2055" s="6" t="str">
        <f>"5.000,00"</f>
        <v>5.000,00</v>
      </c>
      <c r="L2055" s="6" t="str">
        <f>"1.250,00"</f>
        <v>1.250,00</v>
      </c>
      <c r="M2055" s="6" t="str">
        <f>"6.250,00"</f>
        <v>6.250,00</v>
      </c>
      <c r="N2055" s="8" t="s">
        <v>1159</v>
      </c>
      <c r="O2055" s="7"/>
      <c r="P2055" s="2" t="s">
        <v>6736</v>
      </c>
      <c r="Q2055" s="7"/>
      <c r="R2055" s="1"/>
      <c r="S2055" s="1" t="str">
        <f>"15-22/NOS-86-1/20"</f>
        <v>15-22/NOS-86-1/20</v>
      </c>
      <c r="T2055" s="1" t="s">
        <v>32</v>
      </c>
    </row>
    <row r="2056" spans="1:20" ht="216.75" x14ac:dyDescent="0.25">
      <c r="A2056" s="6">
        <v>2052</v>
      </c>
      <c r="B2056" s="1" t="str">
        <f t="shared" si="189"/>
        <v>2020-1408</v>
      </c>
      <c r="C2056" s="1" t="s">
        <v>1706</v>
      </c>
      <c r="D2056" s="1" t="s">
        <v>1328</v>
      </c>
      <c r="E2056" s="1" t="str">
        <f>""</f>
        <v/>
      </c>
      <c r="F2056" s="1" t="s">
        <v>28</v>
      </c>
      <c r="G2056"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6" s="7"/>
      <c r="I2056" s="8" t="s">
        <v>54</v>
      </c>
      <c r="J2056" s="8" t="s">
        <v>393</v>
      </c>
      <c r="K2056" s="6" t="str">
        <f>"27.613,00"</f>
        <v>27.613,00</v>
      </c>
      <c r="L2056" s="6" t="str">
        <f>"0,00"</f>
        <v>0,00</v>
      </c>
      <c r="M2056" s="6" t="str">
        <f>"27.613,00"</f>
        <v>27.613,00</v>
      </c>
      <c r="N2056" s="8" t="s">
        <v>124</v>
      </c>
      <c r="O2056" s="7"/>
      <c r="P2056" s="2" t="s">
        <v>5614</v>
      </c>
      <c r="Q2056" s="7"/>
      <c r="R2056" s="1"/>
      <c r="S2056" s="1" t="str">
        <f>"14-22/NOS-86-1/20"</f>
        <v>14-22/NOS-86-1/20</v>
      </c>
      <c r="T2056" s="1" t="s">
        <v>32</v>
      </c>
    </row>
    <row r="2057" spans="1:20" ht="216.75" x14ac:dyDescent="0.25">
      <c r="A2057" s="6">
        <v>2053</v>
      </c>
      <c r="B2057" s="1" t="str">
        <f t="shared" si="189"/>
        <v>2020-1408</v>
      </c>
      <c r="C2057" s="1" t="s">
        <v>1706</v>
      </c>
      <c r="D2057" s="1" t="s">
        <v>1328</v>
      </c>
      <c r="E2057" s="1" t="str">
        <f>""</f>
        <v/>
      </c>
      <c r="F2057" s="1" t="s">
        <v>28</v>
      </c>
      <c r="G2057"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7" s="7"/>
      <c r="I2057" s="8" t="s">
        <v>54</v>
      </c>
      <c r="J2057" s="8" t="s">
        <v>393</v>
      </c>
      <c r="K2057" s="6" t="str">
        <f>"39.912,00"</f>
        <v>39.912,00</v>
      </c>
      <c r="L2057" s="6" t="str">
        <f>"9.978,00"</f>
        <v>9.978,00</v>
      </c>
      <c r="M2057" s="6" t="str">
        <f>"49.890,00"</f>
        <v>49.890,00</v>
      </c>
      <c r="N2057" s="8" t="s">
        <v>566</v>
      </c>
      <c r="O2057" s="7"/>
      <c r="P2057" s="2" t="s">
        <v>6839</v>
      </c>
      <c r="Q2057" s="7"/>
      <c r="R2057" s="1"/>
      <c r="S2057" s="1" t="str">
        <f>"6-22/NOS-86-1/20"</f>
        <v>6-22/NOS-86-1/20</v>
      </c>
      <c r="T2057" s="1" t="s">
        <v>32</v>
      </c>
    </row>
    <row r="2058" spans="1:20" ht="216.75" x14ac:dyDescent="0.25">
      <c r="A2058" s="6">
        <v>2054</v>
      </c>
      <c r="B2058" s="1" t="str">
        <f t="shared" si="189"/>
        <v>2020-1408</v>
      </c>
      <c r="C2058" s="1" t="s">
        <v>1706</v>
      </c>
      <c r="D2058" s="1" t="s">
        <v>1328</v>
      </c>
      <c r="E2058" s="1" t="str">
        <f>""</f>
        <v/>
      </c>
      <c r="F2058" s="1" t="s">
        <v>28</v>
      </c>
      <c r="G2058"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8" s="7"/>
      <c r="I2058" s="8" t="s">
        <v>432</v>
      </c>
      <c r="J2058" s="8" t="s">
        <v>393</v>
      </c>
      <c r="K2058" s="6" t="str">
        <f>"1.700,00"</f>
        <v>1.700,00</v>
      </c>
      <c r="L2058" s="6" t="str">
        <f>"0,00"</f>
        <v>0,00</v>
      </c>
      <c r="M2058" s="6" t="str">
        <f>"1.700,00"</f>
        <v>1.700,00</v>
      </c>
      <c r="N2058" s="8" t="s">
        <v>124</v>
      </c>
      <c r="O2058" s="7"/>
      <c r="P2058" s="2" t="s">
        <v>5614</v>
      </c>
      <c r="Q2058" s="7"/>
      <c r="R2058" s="1"/>
      <c r="S2058" s="1" t="str">
        <f>"17-22/NOS-86-1/20"</f>
        <v>17-22/NOS-86-1/20</v>
      </c>
      <c r="T2058" s="1" t="s">
        <v>32</v>
      </c>
    </row>
    <row r="2059" spans="1:20" ht="216.75" x14ac:dyDescent="0.25">
      <c r="A2059" s="6">
        <v>2055</v>
      </c>
      <c r="B2059" s="1" t="str">
        <f t="shared" si="189"/>
        <v>2020-1408</v>
      </c>
      <c r="C2059" s="1" t="s">
        <v>1706</v>
      </c>
      <c r="D2059" s="1" t="s">
        <v>1328</v>
      </c>
      <c r="E2059" s="1" t="str">
        <f>""</f>
        <v/>
      </c>
      <c r="F2059" s="1" t="s">
        <v>28</v>
      </c>
      <c r="G2059"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59" s="7"/>
      <c r="I2059" s="8" t="s">
        <v>947</v>
      </c>
      <c r="J2059" s="8" t="s">
        <v>1148</v>
      </c>
      <c r="K2059" s="6" t="str">
        <f>"1.754,20"</f>
        <v>1.754,20</v>
      </c>
      <c r="L2059" s="6" t="str">
        <f>"438,55"</f>
        <v>438,55</v>
      </c>
      <c r="M2059" s="6" t="str">
        <f>"2.192,75"</f>
        <v>2.192,75</v>
      </c>
      <c r="N2059" s="8" t="s">
        <v>146</v>
      </c>
      <c r="O2059" s="7"/>
      <c r="P2059" s="2" t="s">
        <v>6840</v>
      </c>
      <c r="Q2059" s="7"/>
      <c r="R2059" s="1"/>
      <c r="S2059" s="1" t="str">
        <f>"16-22/NOS-86-1/20"</f>
        <v>16-22/NOS-86-1/20</v>
      </c>
      <c r="T2059" s="1" t="s">
        <v>32</v>
      </c>
    </row>
    <row r="2060" spans="1:20" ht="216.75" x14ac:dyDescent="0.25">
      <c r="A2060" s="6">
        <v>2056</v>
      </c>
      <c r="B2060" s="1" t="str">
        <f t="shared" si="189"/>
        <v>2020-1408</v>
      </c>
      <c r="C2060" s="1" t="s">
        <v>1706</v>
      </c>
      <c r="D2060" s="1" t="s">
        <v>1328</v>
      </c>
      <c r="E2060" s="1" t="str">
        <f>""</f>
        <v/>
      </c>
      <c r="F2060" s="1" t="s">
        <v>28</v>
      </c>
      <c r="G2060"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0" s="7"/>
      <c r="I2060" s="8" t="s">
        <v>964</v>
      </c>
      <c r="J2060" s="8" t="s">
        <v>393</v>
      </c>
      <c r="K2060" s="6" t="str">
        <f>"750,00"</f>
        <v>750,00</v>
      </c>
      <c r="L2060" s="6" t="str">
        <f>"187,50"</f>
        <v>187,50</v>
      </c>
      <c r="M2060" s="6" t="str">
        <f>"937,50"</f>
        <v>937,50</v>
      </c>
      <c r="N2060" s="8" t="s">
        <v>1147</v>
      </c>
      <c r="O2060" s="7"/>
      <c r="P2060" s="2" t="s">
        <v>6841</v>
      </c>
      <c r="Q2060" s="7"/>
      <c r="R2060" s="1"/>
      <c r="S2060" s="1" t="str">
        <f>"18-22/NOS-86-1/20"</f>
        <v>18-22/NOS-86-1/20</v>
      </c>
      <c r="T2060" s="1" t="s">
        <v>32</v>
      </c>
    </row>
    <row r="2061" spans="1:20" ht="216.75" x14ac:dyDescent="0.25">
      <c r="A2061" s="6">
        <v>2057</v>
      </c>
      <c r="B2061" s="1" t="str">
        <f t="shared" si="189"/>
        <v>2020-1408</v>
      </c>
      <c r="C2061" s="1" t="s">
        <v>1706</v>
      </c>
      <c r="D2061" s="1" t="s">
        <v>1328</v>
      </c>
      <c r="E2061" s="1" t="str">
        <f>""</f>
        <v/>
      </c>
      <c r="F2061" s="1" t="s">
        <v>28</v>
      </c>
      <c r="G2061"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1" s="7"/>
      <c r="I2061" s="8" t="s">
        <v>409</v>
      </c>
      <c r="J2061" s="8" t="s">
        <v>393</v>
      </c>
      <c r="K2061" s="6" t="str">
        <f>"1.200,00"</f>
        <v>1.200,00</v>
      </c>
      <c r="L2061" s="6" t="str">
        <f t="shared" ref="L2061:L2067" si="191">"0,00"</f>
        <v>0,00</v>
      </c>
      <c r="M2061" s="6" t="str">
        <f>"1.200,00"</f>
        <v>1.200,00</v>
      </c>
      <c r="N2061" s="8" t="s">
        <v>124</v>
      </c>
      <c r="O2061" s="7"/>
      <c r="P2061" s="2" t="s">
        <v>5614</v>
      </c>
      <c r="Q2061" s="7"/>
      <c r="R2061" s="1"/>
      <c r="S2061" s="1" t="str">
        <f>"19-22/NOS-86-1/20"</f>
        <v>19-22/NOS-86-1/20</v>
      </c>
      <c r="T2061" s="1" t="s">
        <v>32</v>
      </c>
    </row>
    <row r="2062" spans="1:20" ht="216.75" x14ac:dyDescent="0.25">
      <c r="A2062" s="6">
        <v>2058</v>
      </c>
      <c r="B2062" s="1" t="str">
        <f t="shared" si="189"/>
        <v>2020-1408</v>
      </c>
      <c r="C2062" s="1" t="s">
        <v>1706</v>
      </c>
      <c r="D2062" s="1" t="s">
        <v>1328</v>
      </c>
      <c r="E2062" s="1" t="str">
        <f>""</f>
        <v/>
      </c>
      <c r="F2062" s="1" t="s">
        <v>28</v>
      </c>
      <c r="G2062"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2" s="7"/>
      <c r="I2062" s="8" t="s">
        <v>1147</v>
      </c>
      <c r="J2062" s="8" t="s">
        <v>393</v>
      </c>
      <c r="K2062" s="6" t="str">
        <f>"44.692,30"</f>
        <v>44.692,30</v>
      </c>
      <c r="L2062" s="6" t="str">
        <f t="shared" si="191"/>
        <v>0,00</v>
      </c>
      <c r="M2062" s="6" t="str">
        <f>"44.692,30"</f>
        <v>44.692,30</v>
      </c>
      <c r="N2062" s="8" t="s">
        <v>124</v>
      </c>
      <c r="O2062" s="7"/>
      <c r="P2062" s="2" t="s">
        <v>5614</v>
      </c>
      <c r="Q2062" s="7"/>
      <c r="R2062" s="1"/>
      <c r="S2062" s="1" t="str">
        <f>"20-22/NOS-86-1/20"</f>
        <v>20-22/NOS-86-1/20</v>
      </c>
      <c r="T2062" s="1" t="s">
        <v>32</v>
      </c>
    </row>
    <row r="2063" spans="1:20" ht="216.75" x14ac:dyDescent="0.25">
      <c r="A2063" s="6">
        <v>2059</v>
      </c>
      <c r="B2063" s="1" t="str">
        <f t="shared" si="189"/>
        <v>2020-1408</v>
      </c>
      <c r="C2063" s="1" t="s">
        <v>1706</v>
      </c>
      <c r="D2063" s="1" t="s">
        <v>1328</v>
      </c>
      <c r="E2063" s="1" t="str">
        <f>""</f>
        <v/>
      </c>
      <c r="F2063" s="1" t="s">
        <v>28</v>
      </c>
      <c r="G2063"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3" s="7"/>
      <c r="I2063" s="8" t="s">
        <v>1147</v>
      </c>
      <c r="J2063" s="8" t="s">
        <v>393</v>
      </c>
      <c r="K2063" s="6" t="str">
        <f>"64.640,00"</f>
        <v>64.640,00</v>
      </c>
      <c r="L2063" s="6" t="str">
        <f t="shared" si="191"/>
        <v>0,00</v>
      </c>
      <c r="M2063" s="6" t="str">
        <f>"64.640,00"</f>
        <v>64.640,00</v>
      </c>
      <c r="N2063" s="8" t="s">
        <v>124</v>
      </c>
      <c r="O2063" s="7"/>
      <c r="P2063" s="2" t="s">
        <v>5614</v>
      </c>
      <c r="Q2063" s="7"/>
      <c r="R2063" s="1"/>
      <c r="S2063" s="1" t="str">
        <f>"21-22/NOS-86-1/20"</f>
        <v>21-22/NOS-86-1/20</v>
      </c>
      <c r="T2063" s="1" t="s">
        <v>32</v>
      </c>
    </row>
    <row r="2064" spans="1:20" ht="216.75" x14ac:dyDescent="0.25">
      <c r="A2064" s="6">
        <v>2060</v>
      </c>
      <c r="B2064" s="1" t="str">
        <f t="shared" si="189"/>
        <v>2020-1408</v>
      </c>
      <c r="C2064" s="1" t="s">
        <v>1706</v>
      </c>
      <c r="D2064" s="1" t="s">
        <v>1328</v>
      </c>
      <c r="E2064" s="1" t="str">
        <f>""</f>
        <v/>
      </c>
      <c r="F2064" s="1" t="s">
        <v>28</v>
      </c>
      <c r="G2064"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4" s="7"/>
      <c r="I2064" s="8" t="s">
        <v>433</v>
      </c>
      <c r="J2064" s="8" t="s">
        <v>393</v>
      </c>
      <c r="K2064" s="6" t="str">
        <f>"6.250,00"</f>
        <v>6.250,00</v>
      </c>
      <c r="L2064" s="6" t="str">
        <f t="shared" si="191"/>
        <v>0,00</v>
      </c>
      <c r="M2064" s="6" t="str">
        <f>"6.250,00"</f>
        <v>6.250,00</v>
      </c>
      <c r="N2064" s="8" t="s">
        <v>124</v>
      </c>
      <c r="O2064" s="7"/>
      <c r="P2064" s="2" t="s">
        <v>5614</v>
      </c>
      <c r="Q2064" s="7"/>
      <c r="R2064" s="1"/>
      <c r="S2064" s="1" t="str">
        <f>"23-22/NOS-86-1/20"</f>
        <v>23-22/NOS-86-1/20</v>
      </c>
      <c r="T2064" s="1" t="s">
        <v>32</v>
      </c>
    </row>
    <row r="2065" spans="1:20" ht="216.75" x14ac:dyDescent="0.25">
      <c r="A2065" s="6">
        <v>2061</v>
      </c>
      <c r="B2065" s="1" t="str">
        <f t="shared" si="189"/>
        <v>2020-1408</v>
      </c>
      <c r="C2065" s="1" t="s">
        <v>1706</v>
      </c>
      <c r="D2065" s="1" t="s">
        <v>1328</v>
      </c>
      <c r="E2065" s="1" t="str">
        <f>""</f>
        <v/>
      </c>
      <c r="F2065" s="1" t="s">
        <v>28</v>
      </c>
      <c r="G2065"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5" s="7"/>
      <c r="I2065" s="8" t="s">
        <v>170</v>
      </c>
      <c r="J2065" s="8" t="s">
        <v>393</v>
      </c>
      <c r="K2065" s="6" t="str">
        <f>"17.352,00"</f>
        <v>17.352,00</v>
      </c>
      <c r="L2065" s="6" t="str">
        <f t="shared" si="191"/>
        <v>0,00</v>
      </c>
      <c r="M2065" s="6" t="str">
        <f>"17.352,00"</f>
        <v>17.352,00</v>
      </c>
      <c r="N2065" s="8" t="s">
        <v>124</v>
      </c>
      <c r="O2065" s="7"/>
      <c r="P2065" s="2" t="s">
        <v>5614</v>
      </c>
      <c r="Q2065" s="7"/>
      <c r="R2065" s="1"/>
      <c r="S2065" s="1" t="str">
        <f>"25-22/NOS-86-1/20"</f>
        <v>25-22/NOS-86-1/20</v>
      </c>
      <c r="T2065" s="1" t="s">
        <v>32</v>
      </c>
    </row>
    <row r="2066" spans="1:20" ht="216.75" x14ac:dyDescent="0.25">
      <c r="A2066" s="6">
        <v>2062</v>
      </c>
      <c r="B2066" s="1" t="str">
        <f t="shared" si="189"/>
        <v>2020-1408</v>
      </c>
      <c r="C2066" s="1" t="s">
        <v>1706</v>
      </c>
      <c r="D2066" s="1" t="s">
        <v>1328</v>
      </c>
      <c r="E2066" s="1" t="str">
        <f>""</f>
        <v/>
      </c>
      <c r="F2066" s="1" t="s">
        <v>28</v>
      </c>
      <c r="G2066"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6" s="7"/>
      <c r="I2066" s="8" t="s">
        <v>170</v>
      </c>
      <c r="J2066" s="8" t="s">
        <v>393</v>
      </c>
      <c r="K2066" s="6" t="str">
        <f>"7.500,00"</f>
        <v>7.500,00</v>
      </c>
      <c r="L2066" s="6" t="str">
        <f t="shared" si="191"/>
        <v>0,00</v>
      </c>
      <c r="M2066" s="6" t="str">
        <f>"7.500,00"</f>
        <v>7.500,00</v>
      </c>
      <c r="N2066" s="8" t="s">
        <v>124</v>
      </c>
      <c r="O2066" s="7"/>
      <c r="P2066" s="2" t="s">
        <v>5614</v>
      </c>
      <c r="Q2066" s="7"/>
      <c r="R2066" s="1"/>
      <c r="S2066" s="1" t="str">
        <f>"26-22/NOS-86-1/20"</f>
        <v>26-22/NOS-86-1/20</v>
      </c>
      <c r="T2066" s="1" t="s">
        <v>32</v>
      </c>
    </row>
    <row r="2067" spans="1:20" ht="216.75" x14ac:dyDescent="0.25">
      <c r="A2067" s="6">
        <v>2063</v>
      </c>
      <c r="B2067" s="1" t="str">
        <f t="shared" si="189"/>
        <v>2020-1408</v>
      </c>
      <c r="C2067" s="1" t="s">
        <v>1706</v>
      </c>
      <c r="D2067" s="1" t="s">
        <v>1328</v>
      </c>
      <c r="E2067" s="1" t="str">
        <f>""</f>
        <v/>
      </c>
      <c r="F2067" s="1" t="s">
        <v>28</v>
      </c>
      <c r="G2067" s="1" t="str">
        <f t="shared" si="190"/>
        <v>Zajednica ponuditelja:
ID EKO D.O.O., POREČKA 11, 10000 ZAGREB, OIB: 72667678548
EKO-DERATIZACIJA d.o.o., ČRNKOVEČKA 9a, 10000 ZAGREB, OIB: 38001831721
ADRIA GRUPA D.O.O., HEINZELOVA 53/A, 10000 ZAGREB, OIB: 06637660960
ID 90 D.O.O., OGRIZOVIĆEVA 34/1, 10000 ZAGREB, OIB: 67813285523</v>
      </c>
      <c r="H2067" s="7"/>
      <c r="I2067" s="8" t="s">
        <v>170</v>
      </c>
      <c r="J2067" s="8" t="s">
        <v>393</v>
      </c>
      <c r="K2067" s="6" t="str">
        <f>"10.700,00"</f>
        <v>10.700,00</v>
      </c>
      <c r="L2067" s="6" t="str">
        <f t="shared" si="191"/>
        <v>0,00</v>
      </c>
      <c r="M2067" s="6" t="str">
        <f>"10.700,00"</f>
        <v>10.700,00</v>
      </c>
      <c r="N2067" s="8" t="s">
        <v>124</v>
      </c>
      <c r="O2067" s="7"/>
      <c r="P2067" s="2" t="s">
        <v>5614</v>
      </c>
      <c r="Q2067" s="7"/>
      <c r="R2067" s="1"/>
      <c r="S2067" s="1" t="str">
        <f>"27-22/NOS-86-1/20"</f>
        <v>27-22/NOS-86-1/20</v>
      </c>
      <c r="T2067" s="1" t="s">
        <v>32</v>
      </c>
    </row>
    <row r="2068" spans="1:20" ht="127.5" x14ac:dyDescent="0.25">
      <c r="A2068" s="6">
        <v>2064</v>
      </c>
      <c r="B2068" s="1" t="str">
        <f>"2021-1880"</f>
        <v>2021-1880</v>
      </c>
      <c r="C2068" s="1" t="s">
        <v>1708</v>
      </c>
      <c r="D2068" s="1" t="s">
        <v>1261</v>
      </c>
      <c r="E2068" s="1" t="str">
        <f>" 2022/S 0F2-0004583"</f>
        <v xml:space="preserve"> 2022/S 0F2-0004583</v>
      </c>
      <c r="F2068" s="1" t="s">
        <v>22</v>
      </c>
      <c r="G2068" s="1"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2068" s="7"/>
      <c r="I2068" s="8" t="s">
        <v>835</v>
      </c>
      <c r="J2068" s="8" t="s">
        <v>1709</v>
      </c>
      <c r="K2068" s="6" t="str">
        <f>"1.700.000,00"</f>
        <v>1.700.000,00</v>
      </c>
      <c r="L2068" s="6" t="str">
        <f>"425.000,00"</f>
        <v>425.000,00</v>
      </c>
      <c r="M2068" s="6" t="str">
        <f>"2.125.000,00"</f>
        <v>2.125.000,00</v>
      </c>
      <c r="N2068" s="8" t="s">
        <v>124</v>
      </c>
      <c r="O2068" s="7"/>
      <c r="P2068" s="2" t="s">
        <v>5614</v>
      </c>
      <c r="Q2068" s="7"/>
      <c r="R2068" s="1"/>
      <c r="S2068" s="1" t="str">
        <f>"NOS-58-1/21"</f>
        <v>NOS-58-1/21</v>
      </c>
      <c r="T2068" s="1" t="s">
        <v>32</v>
      </c>
    </row>
    <row r="2069" spans="1:20" ht="63.75" x14ac:dyDescent="0.25">
      <c r="A2069" s="6">
        <v>2065</v>
      </c>
      <c r="B2069" s="1" t="str">
        <f>"2021-1880"</f>
        <v>2021-1880</v>
      </c>
      <c r="C2069" s="1" t="s">
        <v>1708</v>
      </c>
      <c r="D2069" s="1" t="s">
        <v>1262</v>
      </c>
      <c r="E2069" s="1" t="str">
        <f>""</f>
        <v/>
      </c>
      <c r="F2069" s="1" t="s">
        <v>28</v>
      </c>
      <c r="G2069" s="1" t="str">
        <f>CONCATENATE("GABRIJELA D.O.O.,"," PETRA PRERADOVIĆA 57,"," 48363 PODRAVSKE SESVETE,"," OIB: 00497899419")</f>
        <v>GABRIJELA D.O.O., PETRA PRERADOVIĆA 57, 48363 PODRAVSKE SESVETE, OIB: 00497899419</v>
      </c>
      <c r="H2069" s="7"/>
      <c r="I2069" s="8" t="s">
        <v>102</v>
      </c>
      <c r="J2069" s="8" t="s">
        <v>292</v>
      </c>
      <c r="K2069" s="6" t="str">
        <f>"212.470,68"</f>
        <v>212.470,68</v>
      </c>
      <c r="L2069" s="6" t="str">
        <f>"0,00"</f>
        <v>0,00</v>
      </c>
      <c r="M2069" s="6" t="str">
        <f>"212.470,68"</f>
        <v>212.470,68</v>
      </c>
      <c r="N2069" s="8" t="s">
        <v>124</v>
      </c>
      <c r="O2069" s="7"/>
      <c r="P2069" s="2" t="s">
        <v>5614</v>
      </c>
      <c r="Q2069" s="7"/>
      <c r="R2069" s="1"/>
      <c r="S2069" s="1" t="str">
        <f>"1-22/NOS-58-1/21"</f>
        <v>1-22/NOS-58-1/21</v>
      </c>
      <c r="T2069" s="1" t="s">
        <v>32</v>
      </c>
    </row>
    <row r="2070" spans="1:20" ht="63.75" x14ac:dyDescent="0.25">
      <c r="A2070" s="6">
        <v>2066</v>
      </c>
      <c r="B2070" s="1" t="str">
        <f>"2021-1880"</f>
        <v>2021-1880</v>
      </c>
      <c r="C2070" s="1" t="s">
        <v>1708</v>
      </c>
      <c r="D2070" s="1" t="s">
        <v>1262</v>
      </c>
      <c r="E2070" s="1" t="str">
        <f>""</f>
        <v/>
      </c>
      <c r="F2070" s="1" t="s">
        <v>28</v>
      </c>
      <c r="G2070" s="1" t="str">
        <f>CONCATENATE("GABRIJELA D.O.O.,"," PETRA PRERADOVIĆA 57,"," 48363 PODRAVSKE SESVETE,"," OIB: 00497899419")</f>
        <v>GABRIJELA D.O.O., PETRA PRERADOVIĆA 57, 48363 PODRAVSKE SESVETE, OIB: 00497899419</v>
      </c>
      <c r="H2070" s="7"/>
      <c r="I2070" s="8" t="s">
        <v>207</v>
      </c>
      <c r="J2070" s="8" t="s">
        <v>292</v>
      </c>
      <c r="K2070" s="6" t="str">
        <f>"113.970,00"</f>
        <v>113.970,00</v>
      </c>
      <c r="L2070" s="6" t="str">
        <f>"0,00"</f>
        <v>0,00</v>
      </c>
      <c r="M2070" s="6" t="str">
        <f>"113.970,00"</f>
        <v>113.970,00</v>
      </c>
      <c r="N2070" s="8" t="s">
        <v>124</v>
      </c>
      <c r="O2070" s="7"/>
      <c r="P2070" s="2" t="s">
        <v>5614</v>
      </c>
      <c r="Q2070" s="7"/>
      <c r="R2070" s="1"/>
      <c r="S2070" s="1" t="str">
        <f>"2-22/NOS-58-1/21"</f>
        <v>2-22/NOS-58-1/21</v>
      </c>
      <c r="T2070" s="1" t="s">
        <v>32</v>
      </c>
    </row>
    <row r="2071" spans="1:20" ht="127.5" x14ac:dyDescent="0.25">
      <c r="A2071" s="6">
        <v>2067</v>
      </c>
      <c r="B2071" s="1" t="str">
        <f>"2021-1880"</f>
        <v>2021-1880</v>
      </c>
      <c r="C2071" s="1" t="s">
        <v>1710</v>
      </c>
      <c r="D2071" s="1" t="s">
        <v>1261</v>
      </c>
      <c r="E2071" s="1" t="str">
        <f>" 2022/S 0F2-0004583"</f>
        <v xml:space="preserve"> 2022/S 0F2-0004583</v>
      </c>
      <c r="F2071" s="1" t="s">
        <v>22</v>
      </c>
      <c r="G2071" s="1" t="str">
        <f>CONCATENATE("GABRIJELA D.O.O.,"," PETRA PRERADOVIĆA 57,"," 48363 PODRAVSKE SESVETE,"," OIB: 00497899419",CHAR(10),"",CHAR(10),"DOBRO RJEŠENJE D.O.O.,"," ZAVRTNICA 3,"," 10000 ZAGREB,"," OIB: 33104804103")</f>
        <v>GABRIJELA D.O.O., PETRA PRERADOVIĆA 57, 48363 PODRAVSKE SESVETE, OIB: 00497899419
DOBRO RJEŠENJE D.O.O., ZAVRTNICA 3, 10000 ZAGREB, OIB: 33104804103</v>
      </c>
      <c r="H2071" s="7"/>
      <c r="I2071" s="8" t="s">
        <v>835</v>
      </c>
      <c r="J2071" s="8" t="s">
        <v>1709</v>
      </c>
      <c r="K2071" s="6" t="str">
        <f>"200.000,00"</f>
        <v>200.000,00</v>
      </c>
      <c r="L2071" s="6" t="str">
        <f>"50.000,00"</f>
        <v>50.000,00</v>
      </c>
      <c r="M2071" s="6" t="str">
        <f>"250.000,00"</f>
        <v>250.000,00</v>
      </c>
      <c r="N2071" s="8" t="s">
        <v>124</v>
      </c>
      <c r="O2071" s="7"/>
      <c r="P2071" s="2" t="s">
        <v>5614</v>
      </c>
      <c r="Q2071" s="7"/>
      <c r="R2071" s="1"/>
      <c r="S2071" s="1" t="str">
        <f>"NOS-58-4/21"</f>
        <v>NOS-58-4/21</v>
      </c>
      <c r="T2071" s="1" t="s">
        <v>32</v>
      </c>
    </row>
    <row r="2072" spans="1:20" ht="63.75" x14ac:dyDescent="0.25">
      <c r="A2072" s="6">
        <v>2068</v>
      </c>
      <c r="B2072" s="1" t="str">
        <f>"2021-1880"</f>
        <v>2021-1880</v>
      </c>
      <c r="C2072" s="1" t="s">
        <v>1710</v>
      </c>
      <c r="D2072" s="1" t="s">
        <v>1262</v>
      </c>
      <c r="E2072" s="1" t="str">
        <f>""</f>
        <v/>
      </c>
      <c r="F2072" s="1" t="s">
        <v>28</v>
      </c>
      <c r="G2072" s="1" t="str">
        <f>CONCATENATE("GABRIJELA D.O.O.,"," PETRA PRERADOVIĆA 57,"," 48363 PODRAVSKE SESVETE,"," OIB: 00497899419")</f>
        <v>GABRIJELA D.O.O., PETRA PRERADOVIĆA 57, 48363 PODRAVSKE SESVETE, OIB: 00497899419</v>
      </c>
      <c r="H2072" s="7"/>
      <c r="I2072" s="8" t="s">
        <v>852</v>
      </c>
      <c r="J2072" s="8" t="s">
        <v>1113</v>
      </c>
      <c r="K2072" s="6" t="str">
        <f>"25.740,00"</f>
        <v>25.740,00</v>
      </c>
      <c r="L2072" s="6" t="str">
        <f>"1.287,00"</f>
        <v>1.287,00</v>
      </c>
      <c r="M2072" s="6" t="str">
        <f>"27.027,00"</f>
        <v>27.027,00</v>
      </c>
      <c r="N2072" s="8" t="s">
        <v>732</v>
      </c>
      <c r="O2072" s="7"/>
      <c r="P2072" s="2" t="s">
        <v>6842</v>
      </c>
      <c r="Q2072" s="7"/>
      <c r="R2072" s="1"/>
      <c r="S2072" s="1" t="str">
        <f>"1-22/NOS-58-4/21"</f>
        <v>1-22/NOS-58-4/21</v>
      </c>
      <c r="T2072" s="1" t="s">
        <v>32</v>
      </c>
    </row>
    <row r="2073" spans="1:20" ht="165.75" x14ac:dyDescent="0.25">
      <c r="A2073" s="6">
        <v>2069</v>
      </c>
      <c r="B2073" s="1" t="str">
        <f t="shared" ref="B2073:B2094" si="192">"2022-6"</f>
        <v>2022-6</v>
      </c>
      <c r="C2073" s="1" t="s">
        <v>1711</v>
      </c>
      <c r="D2073" s="1" t="s">
        <v>1065</v>
      </c>
      <c r="E2073" s="1" t="str">
        <f>"2022/S 0F2-0007700"</f>
        <v>2022/S 0F2-0007700</v>
      </c>
      <c r="F2073" s="1" t="s">
        <v>22</v>
      </c>
      <c r="G2073" s="1" t="str">
        <f>CONCATENATE("AUTO BENUSSI D.O.O.,"," INDUSTRIJSKA 2D,"," 52100 PULA,"," OIB: 96262119913",CHAR(10),"",CHAR(10),"VIATOR D.O.O.,"," KRALJA DRŽISLAVA 6,"," 21000 SPLIT,"," OIB: 6473171712")</f>
        <v>AUTO BENUSSI D.O.O., INDUSTRIJSKA 2D, 52100 PULA, OIB: 96262119913
VIATOR D.O.O., KRALJA DRŽISLAVA 6, 21000 SPLIT, OIB: 6473171712</v>
      </c>
      <c r="H2073" s="7"/>
      <c r="I2073" s="8" t="s">
        <v>848</v>
      </c>
      <c r="J2073" s="8" t="s">
        <v>1712</v>
      </c>
      <c r="K2073" s="6" t="str">
        <f>"5.709.200,00"</f>
        <v>5.709.200,00</v>
      </c>
      <c r="L2073" s="6" t="str">
        <f>"1.427.300,00"</f>
        <v>1.427.300,00</v>
      </c>
      <c r="M2073" s="6" t="str">
        <f>"7.136.500,00"</f>
        <v>7.136.500,00</v>
      </c>
      <c r="N2073" s="8" t="s">
        <v>124</v>
      </c>
      <c r="O2073" s="7"/>
      <c r="P2073" s="2" t="s">
        <v>5614</v>
      </c>
      <c r="Q2073" s="7"/>
      <c r="R2073" s="1"/>
      <c r="S2073" s="1" t="str">
        <f>"NOS-3-1/22"</f>
        <v>NOS-3-1/22</v>
      </c>
      <c r="T2073" s="1" t="s">
        <v>49</v>
      </c>
    </row>
    <row r="2074" spans="1:20" ht="51" x14ac:dyDescent="0.25">
      <c r="A2074" s="6">
        <v>2070</v>
      </c>
      <c r="B2074" s="1" t="str">
        <f t="shared" si="192"/>
        <v>2022-6</v>
      </c>
      <c r="C2074" s="1" t="s">
        <v>1713</v>
      </c>
      <c r="D2074" s="1" t="s">
        <v>1065</v>
      </c>
      <c r="E2074" s="1" t="str">
        <f>""</f>
        <v/>
      </c>
      <c r="F2074" s="1" t="s">
        <v>28</v>
      </c>
      <c r="G2074" s="1" t="str">
        <f t="shared" ref="G2074:G2082" si="193">CONCATENATE("VIATOR D.O.O.,"," KRALJA DRŽISLAVA 6,"," 21000 SPLIT,"," OIB: 6473171712")</f>
        <v>VIATOR D.O.O., KRALJA DRŽISLAVA 6, 21000 SPLIT, OIB: 6473171712</v>
      </c>
      <c r="H2074" s="7"/>
      <c r="I2074" s="8" t="s">
        <v>238</v>
      </c>
      <c r="J2074" s="8" t="s">
        <v>123</v>
      </c>
      <c r="K2074" s="6" t="str">
        <f>"960.480,00"</f>
        <v>960.480,00</v>
      </c>
      <c r="L2074" s="6" t="str">
        <f>"240.120,00"</f>
        <v>240.120,00</v>
      </c>
      <c r="M2074" s="6" t="str">
        <f>"1.200.600,00"</f>
        <v>1.200.600,00</v>
      </c>
      <c r="N2074" s="8" t="s">
        <v>124</v>
      </c>
      <c r="O2074" s="7"/>
      <c r="P2074" s="2" t="s">
        <v>6843</v>
      </c>
      <c r="Q2074" s="1"/>
      <c r="R2074" s="1"/>
      <c r="S2074" s="1" t="str">
        <f>"3-22/NOS-3-1/22"</f>
        <v>3-22/NOS-3-1/22</v>
      </c>
      <c r="T2074" s="1" t="s">
        <v>32</v>
      </c>
    </row>
    <row r="2075" spans="1:20" ht="51" x14ac:dyDescent="0.25">
      <c r="A2075" s="6">
        <v>2071</v>
      </c>
      <c r="B2075" s="1" t="str">
        <f t="shared" si="192"/>
        <v>2022-6</v>
      </c>
      <c r="C2075" s="1" t="s">
        <v>1711</v>
      </c>
      <c r="D2075" s="1" t="s">
        <v>1065</v>
      </c>
      <c r="E2075" s="1" t="str">
        <f>""</f>
        <v/>
      </c>
      <c r="F2075" s="1" t="s">
        <v>28</v>
      </c>
      <c r="G2075" s="1" t="str">
        <f t="shared" si="193"/>
        <v>VIATOR D.O.O., KRALJA DRŽISLAVA 6, 21000 SPLIT, OIB: 6473171712</v>
      </c>
      <c r="H2075" s="7"/>
      <c r="I2075" s="8" t="s">
        <v>160</v>
      </c>
      <c r="J2075" s="8" t="s">
        <v>254</v>
      </c>
      <c r="K2075" s="6" t="str">
        <f>"6.300,00"</f>
        <v>6.300,00</v>
      </c>
      <c r="L2075" s="6" t="str">
        <f>"1.327,50"</f>
        <v>1.327,50</v>
      </c>
      <c r="M2075" s="6" t="str">
        <f>"7.627,50"</f>
        <v>7.627,50</v>
      </c>
      <c r="N2075" s="8" t="s">
        <v>408</v>
      </c>
      <c r="O2075" s="7"/>
      <c r="P2075" s="2" t="s">
        <v>6844</v>
      </c>
      <c r="Q2075" s="7"/>
      <c r="R2075" s="1"/>
      <c r="S2075" s="1" t="str">
        <f>"5-22/NOS-3-1/22"</f>
        <v>5-22/NOS-3-1/22</v>
      </c>
      <c r="T2075" s="1" t="s">
        <v>32</v>
      </c>
    </row>
    <row r="2076" spans="1:20" ht="51" x14ac:dyDescent="0.25">
      <c r="A2076" s="6">
        <v>2072</v>
      </c>
      <c r="B2076" s="1" t="str">
        <f t="shared" si="192"/>
        <v>2022-6</v>
      </c>
      <c r="C2076" s="1" t="s">
        <v>1711</v>
      </c>
      <c r="D2076" s="1" t="s">
        <v>1065</v>
      </c>
      <c r="E2076" s="1" t="str">
        <f>""</f>
        <v/>
      </c>
      <c r="F2076" s="1" t="s">
        <v>28</v>
      </c>
      <c r="G2076" s="1" t="str">
        <f t="shared" si="193"/>
        <v>VIATOR D.O.O., KRALJA DRŽISLAVA 6, 21000 SPLIT, OIB: 6473171712</v>
      </c>
      <c r="H2076" s="7"/>
      <c r="I2076" s="8" t="s">
        <v>272</v>
      </c>
      <c r="J2076" s="8" t="s">
        <v>1664</v>
      </c>
      <c r="K2076" s="6" t="str">
        <f>"32.040,00"</f>
        <v>32.040,00</v>
      </c>
      <c r="L2076" s="6" t="str">
        <f>"6.367,50"</f>
        <v>6.367,50</v>
      </c>
      <c r="M2076" s="6" t="str">
        <f>"38.407,50"</f>
        <v>38.407,50</v>
      </c>
      <c r="N2076" s="8" t="s">
        <v>1123</v>
      </c>
      <c r="O2076" s="7"/>
      <c r="P2076" s="2" t="s">
        <v>6845</v>
      </c>
      <c r="Q2076" s="7"/>
      <c r="R2076" s="1"/>
      <c r="S2076" s="1" t="str">
        <f>"6-22/NOS-3-1/22"</f>
        <v>6-22/NOS-3-1/22</v>
      </c>
      <c r="T2076" s="1" t="s">
        <v>32</v>
      </c>
    </row>
    <row r="2077" spans="1:20" ht="51" x14ac:dyDescent="0.25">
      <c r="A2077" s="6">
        <v>2073</v>
      </c>
      <c r="B2077" s="1" t="str">
        <f t="shared" si="192"/>
        <v>2022-6</v>
      </c>
      <c r="C2077" s="1" t="s">
        <v>1711</v>
      </c>
      <c r="D2077" s="1" t="s">
        <v>1065</v>
      </c>
      <c r="E2077" s="1" t="str">
        <f>""</f>
        <v/>
      </c>
      <c r="F2077" s="1" t="s">
        <v>28</v>
      </c>
      <c r="G2077" s="1" t="str">
        <f t="shared" si="193"/>
        <v>VIATOR D.O.O., KRALJA DRŽISLAVA 6, 21000 SPLIT, OIB: 6473171712</v>
      </c>
      <c r="H2077" s="7"/>
      <c r="I2077" s="8" t="s">
        <v>272</v>
      </c>
      <c r="J2077" s="8" t="s">
        <v>1714</v>
      </c>
      <c r="K2077" s="6" t="str">
        <f>"45.900,00"</f>
        <v>45.900,00</v>
      </c>
      <c r="L2077" s="6" t="str">
        <f>"1.755,00"</f>
        <v>1.755,00</v>
      </c>
      <c r="M2077" s="6" t="str">
        <f>"47.655,00"</f>
        <v>47.655,00</v>
      </c>
      <c r="N2077" s="8" t="s">
        <v>124</v>
      </c>
      <c r="O2077" s="7"/>
      <c r="P2077" s="2" t="s">
        <v>6846</v>
      </c>
      <c r="Q2077" s="7"/>
      <c r="R2077" s="1"/>
      <c r="S2077" s="1" t="str">
        <f>"7-22/NOS-3-1/22"</f>
        <v>7-22/NOS-3-1/22</v>
      </c>
      <c r="T2077" s="1" t="s">
        <v>452</v>
      </c>
    </row>
    <row r="2078" spans="1:20" ht="51" x14ac:dyDescent="0.25">
      <c r="A2078" s="6">
        <v>2074</v>
      </c>
      <c r="B2078" s="1" t="str">
        <f t="shared" si="192"/>
        <v>2022-6</v>
      </c>
      <c r="C2078" s="1" t="s">
        <v>1711</v>
      </c>
      <c r="D2078" s="1" t="s">
        <v>1065</v>
      </c>
      <c r="E2078" s="1" t="str">
        <f>""</f>
        <v/>
      </c>
      <c r="F2078" s="1" t="s">
        <v>28</v>
      </c>
      <c r="G2078" s="1" t="str">
        <f t="shared" si="193"/>
        <v>VIATOR D.O.O., KRALJA DRŽISLAVA 6, 21000 SPLIT, OIB: 6473171712</v>
      </c>
      <c r="H2078" s="7"/>
      <c r="I2078" s="8" t="s">
        <v>469</v>
      </c>
      <c r="J2078" s="8" t="s">
        <v>373</v>
      </c>
      <c r="K2078" s="6" t="str">
        <f>"364.320,00"</f>
        <v>364.320,00</v>
      </c>
      <c r="L2078" s="6" t="str">
        <f>"63.270,00"</f>
        <v>63.270,00</v>
      </c>
      <c r="M2078" s="6" t="str">
        <f>"427.590,00"</f>
        <v>427.590,00</v>
      </c>
      <c r="N2078" s="8" t="s">
        <v>892</v>
      </c>
      <c r="O2078" s="7"/>
      <c r="P2078" s="2" t="s">
        <v>6847</v>
      </c>
      <c r="Q2078" s="7"/>
      <c r="R2078" s="1"/>
      <c r="S2078" s="1" t="str">
        <f>"4-22/NOS-3-1/22"</f>
        <v>4-22/NOS-3-1/22</v>
      </c>
      <c r="T2078" s="1" t="s">
        <v>32</v>
      </c>
    </row>
    <row r="2079" spans="1:20" ht="51" x14ac:dyDescent="0.25">
      <c r="A2079" s="6">
        <v>2075</v>
      </c>
      <c r="B2079" s="1" t="str">
        <f t="shared" si="192"/>
        <v>2022-6</v>
      </c>
      <c r="C2079" s="1" t="s">
        <v>1711</v>
      </c>
      <c r="D2079" s="1" t="s">
        <v>1065</v>
      </c>
      <c r="E2079" s="1" t="str">
        <f>""</f>
        <v/>
      </c>
      <c r="F2079" s="1" t="s">
        <v>28</v>
      </c>
      <c r="G2079" s="1" t="str">
        <f t="shared" si="193"/>
        <v>VIATOR D.O.O., KRALJA DRŽISLAVA 6, 21000 SPLIT, OIB: 6473171712</v>
      </c>
      <c r="H2079" s="7"/>
      <c r="I2079" s="8" t="s">
        <v>402</v>
      </c>
      <c r="J2079" s="8" t="s">
        <v>1655</v>
      </c>
      <c r="K2079" s="6" t="str">
        <f>"10.260,00"</f>
        <v>10.260,00</v>
      </c>
      <c r="L2079" s="6" t="str">
        <f>"1.192,50"</f>
        <v>1.192,50</v>
      </c>
      <c r="M2079" s="6" t="str">
        <f>"11.452,50"</f>
        <v>11.452,50</v>
      </c>
      <c r="N2079" s="8" t="s">
        <v>409</v>
      </c>
      <c r="O2079" s="7"/>
      <c r="P2079" s="2" t="s">
        <v>6848</v>
      </c>
      <c r="Q2079" s="7"/>
      <c r="R2079" s="1"/>
      <c r="S2079" s="1" t="str">
        <f>"8-22/NOS-3-1/22"</f>
        <v>8-22/NOS-3-1/22</v>
      </c>
      <c r="T2079" s="1" t="s">
        <v>32</v>
      </c>
    </row>
    <row r="2080" spans="1:20" ht="51" x14ac:dyDescent="0.25">
      <c r="A2080" s="6">
        <v>2076</v>
      </c>
      <c r="B2080" s="1" t="str">
        <f t="shared" si="192"/>
        <v>2022-6</v>
      </c>
      <c r="C2080" s="1" t="s">
        <v>1711</v>
      </c>
      <c r="D2080" s="1" t="s">
        <v>1065</v>
      </c>
      <c r="E2080" s="1" t="str">
        <f>""</f>
        <v/>
      </c>
      <c r="F2080" s="1" t="s">
        <v>28</v>
      </c>
      <c r="G2080" s="1" t="str">
        <f t="shared" si="193"/>
        <v>VIATOR D.O.O., KRALJA DRŽISLAVA 6, 21000 SPLIT, OIB: 6473171712</v>
      </c>
      <c r="H2080" s="7"/>
      <c r="I2080" s="8" t="s">
        <v>939</v>
      </c>
      <c r="J2080" s="8" t="s">
        <v>375</v>
      </c>
      <c r="K2080" s="6" t="str">
        <f>"32.850,00"</f>
        <v>32.850,00</v>
      </c>
      <c r="L2080" s="6" t="str">
        <f>"1.867,50"</f>
        <v>1.867,50</v>
      </c>
      <c r="M2080" s="6" t="str">
        <f>"34.717,50"</f>
        <v>34.717,50</v>
      </c>
      <c r="N2080" s="8" t="s">
        <v>892</v>
      </c>
      <c r="O2080" s="7"/>
      <c r="P2080" s="2" t="s">
        <v>6849</v>
      </c>
      <c r="Q2080" s="7"/>
      <c r="R2080" s="1"/>
      <c r="S2080" s="1" t="str">
        <f>"9-22/NOS-3-1/22"</f>
        <v>9-22/NOS-3-1/22</v>
      </c>
      <c r="T2080" s="1" t="s">
        <v>43</v>
      </c>
    </row>
    <row r="2081" spans="1:20" ht="51" x14ac:dyDescent="0.25">
      <c r="A2081" s="6">
        <v>2077</v>
      </c>
      <c r="B2081" s="1" t="str">
        <f t="shared" si="192"/>
        <v>2022-6</v>
      </c>
      <c r="C2081" s="1" t="s">
        <v>1711</v>
      </c>
      <c r="D2081" s="1" t="s">
        <v>1065</v>
      </c>
      <c r="E2081" s="1" t="str">
        <f>""</f>
        <v/>
      </c>
      <c r="F2081" s="1" t="s">
        <v>28</v>
      </c>
      <c r="G2081" s="1" t="str">
        <f t="shared" si="193"/>
        <v>VIATOR D.O.O., KRALJA DRŽISLAVA 6, 21000 SPLIT, OIB: 6473171712</v>
      </c>
      <c r="H2081" s="7"/>
      <c r="I2081" s="8" t="s">
        <v>388</v>
      </c>
      <c r="J2081" s="8" t="s">
        <v>231</v>
      </c>
      <c r="K2081" s="6" t="str">
        <f>"2.700,00"</f>
        <v>2.700,00</v>
      </c>
      <c r="L2081" s="6" t="str">
        <f>"0,00"</f>
        <v>0,00</v>
      </c>
      <c r="M2081" s="6" t="str">
        <f>"2.700,00"</f>
        <v>2.700,00</v>
      </c>
      <c r="N2081" s="8" t="s">
        <v>124</v>
      </c>
      <c r="O2081" s="7"/>
      <c r="P2081" s="2" t="s">
        <v>5614</v>
      </c>
      <c r="Q2081" s="7"/>
      <c r="R2081" s="1"/>
      <c r="S2081" s="1" t="str">
        <f>"10-22/NOS-3-1/22"</f>
        <v>10-22/NOS-3-1/22</v>
      </c>
      <c r="T2081" s="1" t="s">
        <v>32</v>
      </c>
    </row>
    <row r="2082" spans="1:20" ht="51" x14ac:dyDescent="0.25">
      <c r="A2082" s="6">
        <v>2078</v>
      </c>
      <c r="B2082" s="1" t="str">
        <f t="shared" si="192"/>
        <v>2022-6</v>
      </c>
      <c r="C2082" s="1" t="s">
        <v>1711</v>
      </c>
      <c r="D2082" s="1" t="s">
        <v>1065</v>
      </c>
      <c r="E2082" s="1" t="str">
        <f>""</f>
        <v/>
      </c>
      <c r="F2082" s="1" t="s">
        <v>28</v>
      </c>
      <c r="G2082" s="1" t="str">
        <f t="shared" si="193"/>
        <v>VIATOR D.O.O., KRALJA DRŽISLAVA 6, 21000 SPLIT, OIB: 6473171712</v>
      </c>
      <c r="H2082" s="7"/>
      <c r="I2082" s="8" t="s">
        <v>121</v>
      </c>
      <c r="J2082" s="8" t="s">
        <v>375</v>
      </c>
      <c r="K2082" s="6" t="str">
        <f>"98.550,00"</f>
        <v>98.550,00</v>
      </c>
      <c r="L2082" s="6" t="str">
        <f>"0,00"</f>
        <v>0,00</v>
      </c>
      <c r="M2082" s="6" t="str">
        <f>"98.550,00"</f>
        <v>98.550,00</v>
      </c>
      <c r="N2082" s="8" t="s">
        <v>124</v>
      </c>
      <c r="O2082" s="7"/>
      <c r="P2082" s="2" t="s">
        <v>5614</v>
      </c>
      <c r="Q2082" s="7"/>
      <c r="R2082" s="1"/>
      <c r="S2082" s="1" t="str">
        <f>"11-22/NOS-3-1/22"</f>
        <v>11-22/NOS-3-1/22</v>
      </c>
      <c r="T2082" s="1" t="s">
        <v>86</v>
      </c>
    </row>
    <row r="2083" spans="1:20" ht="165.75" x14ac:dyDescent="0.25">
      <c r="A2083" s="6">
        <v>2079</v>
      </c>
      <c r="B2083" s="1" t="str">
        <f t="shared" si="192"/>
        <v>2022-6</v>
      </c>
      <c r="C2083" s="1" t="s">
        <v>1715</v>
      </c>
      <c r="D2083" s="1" t="s">
        <v>1065</v>
      </c>
      <c r="E2083" s="1" t="str">
        <f>"2022/S 0F2-0007700"</f>
        <v>2022/S 0F2-0007700</v>
      </c>
      <c r="F2083" s="1" t="s">
        <v>22</v>
      </c>
      <c r="G2083" s="1" t="str">
        <f>CONCATENATE("AUTO BENUSSI D.O.O.,"," INDUSTRIJSKA 2D,"," 52100 PULA,"," OIB: 96262119913",CHAR(10),"",CHAR(10),"VIATOR D.O.O.,"," KRALJA DRŽISLAVA 6,"," 21000 SPLIT,"," OIB: 6473171712")</f>
        <v>AUTO BENUSSI D.O.O., INDUSTRIJSKA 2D, 52100 PULA, OIB: 96262119913
VIATOR D.O.O., KRALJA DRŽISLAVA 6, 21000 SPLIT, OIB: 6473171712</v>
      </c>
      <c r="H2083" s="7"/>
      <c r="I2083" s="8" t="s">
        <v>848</v>
      </c>
      <c r="J2083" s="8" t="s">
        <v>1712</v>
      </c>
      <c r="K2083" s="6" t="str">
        <f>"190.000,00"</f>
        <v>190.000,00</v>
      </c>
      <c r="L2083" s="6" t="str">
        <f>"47.500,00"</f>
        <v>47.500,00</v>
      </c>
      <c r="M2083" s="6" t="str">
        <f>"237.500,00"</f>
        <v>237.500,00</v>
      </c>
      <c r="N2083" s="8" t="s">
        <v>124</v>
      </c>
      <c r="O2083" s="7"/>
      <c r="P2083" s="2" t="s">
        <v>6850</v>
      </c>
      <c r="Q2083" s="7"/>
      <c r="R2083" s="1"/>
      <c r="S2083" s="1" t="str">
        <f>"NOS-3-2/22"</f>
        <v>NOS-3-2/22</v>
      </c>
      <c r="T2083" s="1" t="s">
        <v>49</v>
      </c>
    </row>
    <row r="2084" spans="1:20" ht="51" x14ac:dyDescent="0.25">
      <c r="A2084" s="6">
        <v>2080</v>
      </c>
      <c r="B2084" s="1" t="str">
        <f t="shared" si="192"/>
        <v>2022-6</v>
      </c>
      <c r="C2084" s="1" t="s">
        <v>1715</v>
      </c>
      <c r="D2084" s="1" t="s">
        <v>1065</v>
      </c>
      <c r="E2084" s="1" t="str">
        <f>""</f>
        <v/>
      </c>
      <c r="F2084" s="1" t="s">
        <v>28</v>
      </c>
      <c r="G2084" s="1" t="str">
        <f>CONCATENATE("VIATOR D.O.O.,"," KRALJA DRŽISLAVA 6,"," 21000 SPLIT,"," OIB: 6473171712")</f>
        <v>VIATOR D.O.O., KRALJA DRŽISLAVA 6, 21000 SPLIT, OIB: 6473171712</v>
      </c>
      <c r="H2084" s="7"/>
      <c r="I2084" s="8" t="s">
        <v>238</v>
      </c>
      <c r="J2084" s="8" t="s">
        <v>171</v>
      </c>
      <c r="K2084" s="6" t="str">
        <f>"23.400,00"</f>
        <v>23.400,00</v>
      </c>
      <c r="L2084" s="6" t="str">
        <f>"9.722,50"</f>
        <v>9.722,50</v>
      </c>
      <c r="M2084" s="6" t="str">
        <f>"33.122,50"</f>
        <v>33.122,50</v>
      </c>
      <c r="N2084" s="8" t="s">
        <v>1123</v>
      </c>
      <c r="O2084" s="7"/>
      <c r="P2084" s="2" t="s">
        <v>6851</v>
      </c>
      <c r="Q2084" s="1" t="s">
        <v>1017</v>
      </c>
      <c r="R2084" s="1"/>
      <c r="S2084" s="1" t="str">
        <f>"2-22/NOS-3-2/22"</f>
        <v>2-22/NOS-3-2/22</v>
      </c>
      <c r="T2084" s="1" t="s">
        <v>32</v>
      </c>
    </row>
    <row r="2085" spans="1:20" ht="51" x14ac:dyDescent="0.25">
      <c r="A2085" s="6">
        <v>2081</v>
      </c>
      <c r="B2085" s="1" t="str">
        <f t="shared" si="192"/>
        <v>2022-6</v>
      </c>
      <c r="C2085" s="1" t="s">
        <v>1715</v>
      </c>
      <c r="D2085" s="1" t="s">
        <v>1065</v>
      </c>
      <c r="E2085" s="1" t="str">
        <f>""</f>
        <v/>
      </c>
      <c r="F2085" s="1" t="s">
        <v>28</v>
      </c>
      <c r="G2085" s="1" t="str">
        <f>CONCATENATE("VIATOR D.O.O.,"," KRALJA DRŽISLAVA 6,"," 21000 SPLIT,"," OIB: 6473171712")</f>
        <v>VIATOR D.O.O., KRALJA DRŽISLAVA 6, 21000 SPLIT, OIB: 6473171712</v>
      </c>
      <c r="H2085" s="7"/>
      <c r="I2085" s="8" t="s">
        <v>207</v>
      </c>
      <c r="J2085" s="8" t="s">
        <v>1716</v>
      </c>
      <c r="K2085" s="6" t="str">
        <f>"4.160,00"</f>
        <v>4.160,00</v>
      </c>
      <c r="L2085" s="6" t="str">
        <f>"0,00"</f>
        <v>0,00</v>
      </c>
      <c r="M2085" s="6" t="str">
        <f>"4.160,00"</f>
        <v>4.160,00</v>
      </c>
      <c r="N2085" s="8" t="s">
        <v>124</v>
      </c>
      <c r="O2085" s="7"/>
      <c r="P2085" s="2" t="s">
        <v>5614</v>
      </c>
      <c r="Q2085" s="7"/>
      <c r="R2085" s="1"/>
      <c r="S2085" s="1" t="str">
        <f>"3-22/NOS-3-2/22"</f>
        <v>3-22/NOS-3-2/22</v>
      </c>
      <c r="T2085" s="7"/>
    </row>
    <row r="2086" spans="1:20" ht="165.75" x14ac:dyDescent="0.25">
      <c r="A2086" s="6">
        <v>2082</v>
      </c>
      <c r="B2086" s="1" t="str">
        <f t="shared" si="192"/>
        <v>2022-6</v>
      </c>
      <c r="C2086" s="1" t="s">
        <v>1717</v>
      </c>
      <c r="D2086" s="1" t="s">
        <v>1065</v>
      </c>
      <c r="E2086" s="1" t="str">
        <f>"2022/S 0F2-0007700"</f>
        <v>2022/S 0F2-0007700</v>
      </c>
      <c r="F2086" s="1" t="s">
        <v>22</v>
      </c>
      <c r="G2086" s="1" t="str">
        <f>CONCATENATE("AUTO BENUSSI D.O.O.,"," INDUSTRIJSKA 2D,"," 52100 PULA,"," OIB: 96262119913",CHAR(10),"",CHAR(10),"VIATOR D.O.O.,"," KRALJA DRŽISLAVA 6,"," 21000 SPLIT,"," OIB: 6473171712")</f>
        <v>AUTO BENUSSI D.O.O., INDUSTRIJSKA 2D, 52100 PULA, OIB: 96262119913
VIATOR D.O.O., KRALJA DRŽISLAVA 6, 21000 SPLIT, OIB: 6473171712</v>
      </c>
      <c r="H2086" s="7"/>
      <c r="I2086" s="8" t="s">
        <v>848</v>
      </c>
      <c r="J2086" s="8" t="s">
        <v>1712</v>
      </c>
      <c r="K2086" s="6" t="str">
        <f>"132.000,00"</f>
        <v>132.000,00</v>
      </c>
      <c r="L2086" s="6" t="str">
        <f>"33.000,00"</f>
        <v>33.000,00</v>
      </c>
      <c r="M2086" s="6" t="str">
        <f>"165.000,00"</f>
        <v>165.000,00</v>
      </c>
      <c r="N2086" s="8" t="s">
        <v>124</v>
      </c>
      <c r="O2086" s="7"/>
      <c r="P2086" s="2" t="s">
        <v>5614</v>
      </c>
      <c r="Q2086" s="7"/>
      <c r="R2086" s="1"/>
      <c r="S2086" s="1" t="str">
        <f>"NOS-3-3/22"</f>
        <v>NOS-3-3/22</v>
      </c>
      <c r="T2086" s="1" t="s">
        <v>49</v>
      </c>
    </row>
    <row r="2087" spans="1:20" ht="51" x14ac:dyDescent="0.25">
      <c r="A2087" s="6">
        <v>2083</v>
      </c>
      <c r="B2087" s="1" t="str">
        <f t="shared" si="192"/>
        <v>2022-6</v>
      </c>
      <c r="C2087" s="1" t="s">
        <v>1717</v>
      </c>
      <c r="D2087" s="1" t="s">
        <v>1065</v>
      </c>
      <c r="E2087" s="1" t="str">
        <f>""</f>
        <v/>
      </c>
      <c r="F2087" s="1" t="s">
        <v>28</v>
      </c>
      <c r="G2087" s="1" t="str">
        <f>CONCATENATE("VIATOR D.O.O.,"," KRALJA DRŽISLAVA 6,"," 21000 SPLIT,"," OIB: 6473171712")</f>
        <v>VIATOR D.O.O., KRALJA DRŽISLAVA 6, 21000 SPLIT, OIB: 6473171712</v>
      </c>
      <c r="H2087" s="7"/>
      <c r="I2087" s="8" t="s">
        <v>372</v>
      </c>
      <c r="J2087" s="8" t="s">
        <v>1718</v>
      </c>
      <c r="K2087" s="6" t="str">
        <f>"70.800,00"</f>
        <v>70.800,00</v>
      </c>
      <c r="L2087" s="6" t="str">
        <f>"12.300,00"</f>
        <v>12.300,00</v>
      </c>
      <c r="M2087" s="6" t="str">
        <f>"83.100,00"</f>
        <v>83.100,00</v>
      </c>
      <c r="N2087" s="8" t="s">
        <v>409</v>
      </c>
      <c r="O2087" s="7"/>
      <c r="P2087" s="2" t="s">
        <v>6316</v>
      </c>
      <c r="Q2087" s="7"/>
      <c r="R2087" s="1"/>
      <c r="S2087" s="1" t="str">
        <f>"2-22/NOS-3-3/22"</f>
        <v>2-22/NOS-3-3/22</v>
      </c>
      <c r="T2087" s="1" t="s">
        <v>32</v>
      </c>
    </row>
    <row r="2088" spans="1:20" ht="165.75" x14ac:dyDescent="0.25">
      <c r="A2088" s="6">
        <v>2084</v>
      </c>
      <c r="B2088" s="1" t="str">
        <f t="shared" si="192"/>
        <v>2022-6</v>
      </c>
      <c r="C2088" s="1" t="s">
        <v>1719</v>
      </c>
      <c r="D2088" s="1" t="s">
        <v>1065</v>
      </c>
      <c r="E2088" s="1" t="str">
        <f>"2022/S 0F2-0007700"</f>
        <v>2022/S 0F2-0007700</v>
      </c>
      <c r="F2088" s="1" t="s">
        <v>22</v>
      </c>
      <c r="G2088" s="1" t="str">
        <f>CONCATENATE("AUTO BENUSSI D.O.O.,"," INDUSTRIJSKA 2D,"," 52100 PULA,"," OIB: 96262119913",CHAR(10),"",CHAR(10),"VIATOR D.O.O.,"," KRALJA DRŽISLAVA 6,"," 21000 SPLIT,"," OIB: 6473171712")</f>
        <v>AUTO BENUSSI D.O.O., INDUSTRIJSKA 2D, 52100 PULA, OIB: 96262119913
VIATOR D.O.O., KRALJA DRŽISLAVA 6, 21000 SPLIT, OIB: 6473171712</v>
      </c>
      <c r="H2088" s="7"/>
      <c r="I2088" s="8" t="s">
        <v>848</v>
      </c>
      <c r="J2088" s="8" t="s">
        <v>1712</v>
      </c>
      <c r="K2088" s="6" t="str">
        <f>"176.000,00"</f>
        <v>176.000,00</v>
      </c>
      <c r="L2088" s="6" t="str">
        <f>"44.000,00"</f>
        <v>44.000,00</v>
      </c>
      <c r="M2088" s="6" t="str">
        <f>"220.000,00"</f>
        <v>220.000,00</v>
      </c>
      <c r="N2088" s="8" t="s">
        <v>124</v>
      </c>
      <c r="O2088" s="7"/>
      <c r="P2088" s="2" t="s">
        <v>5614</v>
      </c>
      <c r="Q2088" s="7"/>
      <c r="R2088" s="1"/>
      <c r="S2088" s="1" t="str">
        <f>"NOS-3-4/22"</f>
        <v>NOS-3-4/22</v>
      </c>
      <c r="T2088" s="1" t="s">
        <v>49</v>
      </c>
    </row>
    <row r="2089" spans="1:20" ht="51" x14ac:dyDescent="0.25">
      <c r="A2089" s="6">
        <v>2085</v>
      </c>
      <c r="B2089" s="1" t="str">
        <f t="shared" si="192"/>
        <v>2022-6</v>
      </c>
      <c r="C2089" s="1" t="s">
        <v>1719</v>
      </c>
      <c r="D2089" s="1" t="s">
        <v>1065</v>
      </c>
      <c r="E2089" s="1" t="str">
        <f>""</f>
        <v/>
      </c>
      <c r="F2089" s="1" t="s">
        <v>28</v>
      </c>
      <c r="G2089" s="1" t="str">
        <f>CONCATENATE("AUTO BENUSSI D.O.O.,"," INDUSTRIJSKA 2D,"," 52100 PULA,"," OIB: 96262119913")</f>
        <v>AUTO BENUSSI D.O.O., INDUSTRIJSKA 2D, 52100 PULA, OIB: 96262119913</v>
      </c>
      <c r="H2089" s="7"/>
      <c r="I2089" s="8" t="s">
        <v>922</v>
      </c>
      <c r="J2089" s="8" t="s">
        <v>1720</v>
      </c>
      <c r="K2089" s="6" t="str">
        <f>"44.700,00"</f>
        <v>44.700,00</v>
      </c>
      <c r="L2089" s="6" t="str">
        <f>"0,00"</f>
        <v>0,00</v>
      </c>
      <c r="M2089" s="6" t="str">
        <f>"44.700,00"</f>
        <v>44.700,00</v>
      </c>
      <c r="N2089" s="8" t="s">
        <v>124</v>
      </c>
      <c r="O2089" s="7"/>
      <c r="P2089" s="2" t="s">
        <v>5614</v>
      </c>
      <c r="Q2089" s="7"/>
      <c r="R2089" s="1"/>
      <c r="S2089" s="1" t="str">
        <f>"1-22/NOS-3-4/22"</f>
        <v>1-22/NOS-3-4/22</v>
      </c>
      <c r="T2089" s="1" t="s">
        <v>32</v>
      </c>
    </row>
    <row r="2090" spans="1:20" ht="165.75" x14ac:dyDescent="0.25">
      <c r="A2090" s="6">
        <v>2086</v>
      </c>
      <c r="B2090" s="1" t="str">
        <f t="shared" si="192"/>
        <v>2022-6</v>
      </c>
      <c r="C2090" s="1" t="s">
        <v>1721</v>
      </c>
      <c r="D2090" s="1" t="s">
        <v>1065</v>
      </c>
      <c r="E2090" s="1" t="str">
        <f>"2022/S 0F2-0007700"</f>
        <v>2022/S 0F2-0007700</v>
      </c>
      <c r="F2090" s="1" t="s">
        <v>22</v>
      </c>
      <c r="G2090" s="1" t="str">
        <f>CONCATENATE("AUTO BENUSSI D.O.O.,"," INDUSTRIJSKA 2D,"," 52100 PULA,"," OIB: 96262119913",CHAR(10),"",CHAR(10),"VIATOR D.O.O.,"," KRALJA DRŽISLAVA 6,"," 21000 SPLIT,"," OIB: 6473171712")</f>
        <v>AUTO BENUSSI D.O.O., INDUSTRIJSKA 2D, 52100 PULA, OIB: 96262119913
VIATOR D.O.O., KRALJA DRŽISLAVA 6, 21000 SPLIT, OIB: 6473171712</v>
      </c>
      <c r="H2090" s="7"/>
      <c r="I2090" s="8" t="s">
        <v>848</v>
      </c>
      <c r="J2090" s="8" t="s">
        <v>1712</v>
      </c>
      <c r="K2090" s="6" t="str">
        <f>"701.000,00"</f>
        <v>701.000,00</v>
      </c>
      <c r="L2090" s="6" t="str">
        <f>"175.250,00"</f>
        <v>175.250,00</v>
      </c>
      <c r="M2090" s="6" t="str">
        <f>"876.250,00"</f>
        <v>876.250,00</v>
      </c>
      <c r="N2090" s="8" t="s">
        <v>124</v>
      </c>
      <c r="O2090" s="7"/>
      <c r="P2090" s="2" t="s">
        <v>5614</v>
      </c>
      <c r="Q2090" s="7"/>
      <c r="R2090" s="1"/>
      <c r="S2090" s="1" t="str">
        <f>"NOS-3-5/22"</f>
        <v>NOS-3-5/22</v>
      </c>
      <c r="T2090" s="1" t="s">
        <v>49</v>
      </c>
    </row>
    <row r="2091" spans="1:20" ht="51" x14ac:dyDescent="0.25">
      <c r="A2091" s="6">
        <v>2087</v>
      </c>
      <c r="B2091" s="1" t="str">
        <f t="shared" si="192"/>
        <v>2022-6</v>
      </c>
      <c r="C2091" s="1" t="s">
        <v>1722</v>
      </c>
      <c r="D2091" s="1" t="s">
        <v>1065</v>
      </c>
      <c r="E2091" s="1" t="str">
        <f>""</f>
        <v/>
      </c>
      <c r="F2091" s="1" t="s">
        <v>28</v>
      </c>
      <c r="G2091" s="1" t="str">
        <f>CONCATENATE("AUTO BENUSSI D.O.O.,"," INDUSTRIJSKA 2D,"," 52100 PULA,"," OIB: 96262119913")</f>
        <v>AUTO BENUSSI D.O.O., INDUSTRIJSKA 2D, 52100 PULA, OIB: 96262119913</v>
      </c>
      <c r="H2091" s="7"/>
      <c r="I2091" s="8" t="s">
        <v>160</v>
      </c>
      <c r="J2091" s="8" t="s">
        <v>123</v>
      </c>
      <c r="K2091" s="6" t="str">
        <f>"218.592,00"</f>
        <v>218.592,00</v>
      </c>
      <c r="L2091" s="6" t="str">
        <f>"54.648,00"</f>
        <v>54.648,00</v>
      </c>
      <c r="M2091" s="6" t="str">
        <f>"273.240,00"</f>
        <v>273.240,00</v>
      </c>
      <c r="N2091" s="8" t="s">
        <v>124</v>
      </c>
      <c r="O2091" s="7"/>
      <c r="P2091" s="2" t="s">
        <v>5614</v>
      </c>
      <c r="Q2091" s="7"/>
      <c r="R2091" s="1"/>
      <c r="S2091" s="1" t="str">
        <f>"1-22/NOS-3-5/22"</f>
        <v>1-22/NOS-3-5/22</v>
      </c>
      <c r="T2091" s="1" t="s">
        <v>32</v>
      </c>
    </row>
    <row r="2092" spans="1:20" ht="165.75" x14ac:dyDescent="0.25">
      <c r="A2092" s="6">
        <v>2088</v>
      </c>
      <c r="B2092" s="1" t="str">
        <f t="shared" si="192"/>
        <v>2022-6</v>
      </c>
      <c r="C2092" s="1" t="s">
        <v>1723</v>
      </c>
      <c r="D2092" s="1" t="s">
        <v>1065</v>
      </c>
      <c r="E2092" s="1" t="str">
        <f>"2022/S 0F2-0007700"</f>
        <v>2022/S 0F2-0007700</v>
      </c>
      <c r="F2092" s="1" t="s">
        <v>22</v>
      </c>
      <c r="G2092" s="1" t="str">
        <f>CONCATENATE("AUTO BENUSSI D.O.O.,"," INDUSTRIJSKA 2D,"," 52100 PULA,"," OIB: 96262119913",CHAR(10),"",CHAR(10),"VIATOR D.O.O.,"," KRALJA DRŽISLAVA 6,"," 21000 SPLIT,"," OIB: 6473171712")</f>
        <v>AUTO BENUSSI D.O.O., INDUSTRIJSKA 2D, 52100 PULA, OIB: 96262119913
VIATOR D.O.O., KRALJA DRŽISLAVA 6, 21000 SPLIT, OIB: 6473171712</v>
      </c>
      <c r="H2092" s="7"/>
      <c r="I2092" s="8" t="s">
        <v>848</v>
      </c>
      <c r="J2092" s="8" t="s">
        <v>1712</v>
      </c>
      <c r="K2092" s="6" t="str">
        <f>"1.140.000,00"</f>
        <v>1.140.000,00</v>
      </c>
      <c r="L2092" s="6" t="str">
        <f>"285.000,00"</f>
        <v>285.000,00</v>
      </c>
      <c r="M2092" s="6" t="str">
        <f>"1.425.000,00"</f>
        <v>1.425.000,00</v>
      </c>
      <c r="N2092" s="8" t="s">
        <v>124</v>
      </c>
      <c r="O2092" s="7"/>
      <c r="P2092" s="2" t="s">
        <v>5614</v>
      </c>
      <c r="Q2092" s="7"/>
      <c r="R2092" s="1"/>
      <c r="S2092" s="1" t="str">
        <f>"NOS-3-8/22"</f>
        <v>NOS-3-8/22</v>
      </c>
      <c r="T2092" s="1" t="s">
        <v>49</v>
      </c>
    </row>
    <row r="2093" spans="1:20" ht="63.75" x14ac:dyDescent="0.25">
      <c r="A2093" s="6">
        <v>2089</v>
      </c>
      <c r="B2093" s="1" t="str">
        <f t="shared" si="192"/>
        <v>2022-6</v>
      </c>
      <c r="C2093" s="1" t="s">
        <v>1724</v>
      </c>
      <c r="D2093" s="1" t="s">
        <v>1065</v>
      </c>
      <c r="E2093" s="1" t="str">
        <f>""</f>
        <v/>
      </c>
      <c r="F2093" s="1" t="s">
        <v>28</v>
      </c>
      <c r="G2093" s="1" t="str">
        <f>CONCATENATE("VIATOR D.O.O.,"," KRALJA DRŽISLAVA 6,"," 21000 SPLIT,"," OIB: 6473171712")</f>
        <v>VIATOR D.O.O., KRALJA DRŽISLAVA 6, 21000 SPLIT, OIB: 6473171712</v>
      </c>
      <c r="H2093" s="7"/>
      <c r="I2093" s="8" t="s">
        <v>372</v>
      </c>
      <c r="J2093" s="8" t="s">
        <v>123</v>
      </c>
      <c r="K2093" s="6" t="str">
        <f>"108.000,00"</f>
        <v>108.000,00</v>
      </c>
      <c r="L2093" s="6" t="str">
        <f>"27.000,00"</f>
        <v>27.000,00</v>
      </c>
      <c r="M2093" s="6" t="str">
        <f>"135.000,00"</f>
        <v>135.000,00</v>
      </c>
      <c r="N2093" s="8" t="s">
        <v>1123</v>
      </c>
      <c r="O2093" s="7"/>
      <c r="P2093" s="2" t="s">
        <v>6852</v>
      </c>
      <c r="Q2093" s="7"/>
      <c r="R2093" s="1"/>
      <c r="S2093" s="1" t="str">
        <f>"1-22/NOS-3-8/22"</f>
        <v>1-22/NOS-3-8/22</v>
      </c>
      <c r="T2093" s="1" t="s">
        <v>32</v>
      </c>
    </row>
    <row r="2094" spans="1:20" ht="51" x14ac:dyDescent="0.25">
      <c r="A2094" s="6">
        <v>2090</v>
      </c>
      <c r="B2094" s="1" t="str">
        <f t="shared" si="192"/>
        <v>2022-6</v>
      </c>
      <c r="C2094" s="1" t="s">
        <v>1723</v>
      </c>
      <c r="D2094" s="1" t="s">
        <v>1065</v>
      </c>
      <c r="E2094" s="1" t="str">
        <f>""</f>
        <v/>
      </c>
      <c r="F2094" s="1" t="s">
        <v>28</v>
      </c>
      <c r="G2094" s="1" t="str">
        <f>CONCATENATE("VIATOR D.O.O.,"," KRALJA DRŽISLAVA 6,"," 21000 SPLIT,"," OIB: 6473171712")</f>
        <v>VIATOR D.O.O., KRALJA DRŽISLAVA 6, 21000 SPLIT, OIB: 6473171712</v>
      </c>
      <c r="H2094" s="7"/>
      <c r="I2094" s="8" t="s">
        <v>469</v>
      </c>
      <c r="J2094" s="8" t="s">
        <v>373</v>
      </c>
      <c r="K2094" s="6" t="str">
        <f>"55.200,00"</f>
        <v>55.200,00</v>
      </c>
      <c r="L2094" s="6" t="str">
        <f>"13.112,50"</f>
        <v>13.112,50</v>
      </c>
      <c r="M2094" s="6" t="str">
        <f>"68.312,50"</f>
        <v>68.312,50</v>
      </c>
      <c r="N2094" s="8" t="s">
        <v>525</v>
      </c>
      <c r="O2094" s="7"/>
      <c r="P2094" s="2" t="s">
        <v>6853</v>
      </c>
      <c r="Q2094" s="7"/>
      <c r="R2094" s="1"/>
      <c r="S2094" s="1" t="str">
        <f>"3-22/NOS-3-8/22"</f>
        <v>3-22/NOS-3-8/22</v>
      </c>
      <c r="T2094" s="1" t="s">
        <v>32</v>
      </c>
    </row>
    <row r="2095" spans="1:20" ht="51" x14ac:dyDescent="0.25">
      <c r="A2095" s="6">
        <v>2091</v>
      </c>
      <c r="B2095" s="1" t="str">
        <f t="shared" ref="B2095:B2101" si="194">"2021-1847"</f>
        <v>2021-1847</v>
      </c>
      <c r="C2095" s="1" t="s">
        <v>1725</v>
      </c>
      <c r="D2095" s="1" t="s">
        <v>1726</v>
      </c>
      <c r="E2095" s="1" t="str">
        <f>"2022/S 0F2-0007409"</f>
        <v>2022/S 0F2-0007409</v>
      </c>
      <c r="F2095" s="1" t="s">
        <v>22</v>
      </c>
      <c r="G2095" s="1" t="str">
        <f t="shared" ref="G2095:G2101" si="195">CONCATENATE("BOXES D.O.O.,"," GUSTAVA KRKLECA 11,"," 10000 ZAGREB,"," OIB: 41791523272")</f>
        <v>BOXES D.O.O., GUSTAVA KRKLECA 11, 10000 ZAGREB, OIB: 41791523272</v>
      </c>
      <c r="H2095" s="7"/>
      <c r="I2095" s="8" t="s">
        <v>848</v>
      </c>
      <c r="J2095" s="8" t="s">
        <v>1633</v>
      </c>
      <c r="K2095" s="6" t="str">
        <f>"300.000,00"</f>
        <v>300.000,00</v>
      </c>
      <c r="L2095" s="6" t="str">
        <f>"75.000,00"</f>
        <v>75.000,00</v>
      </c>
      <c r="M2095" s="6" t="str">
        <f>"375.000,00"</f>
        <v>375.000,00</v>
      </c>
      <c r="N2095" s="8" t="s">
        <v>124</v>
      </c>
      <c r="O2095" s="7"/>
      <c r="P2095" s="2" t="s">
        <v>5614</v>
      </c>
      <c r="Q2095" s="7"/>
      <c r="R2095" s="1"/>
      <c r="S2095" s="1" t="str">
        <f>"NOS-55-1/21"</f>
        <v>NOS-55-1/21</v>
      </c>
      <c r="T2095" s="1" t="s">
        <v>32</v>
      </c>
    </row>
    <row r="2096" spans="1:20" ht="51" x14ac:dyDescent="0.25">
      <c r="A2096" s="6">
        <v>2092</v>
      </c>
      <c r="B2096" s="1" t="str">
        <f t="shared" si="194"/>
        <v>2021-1847</v>
      </c>
      <c r="C2096" s="1" t="s">
        <v>1725</v>
      </c>
      <c r="D2096" s="1" t="s">
        <v>1727</v>
      </c>
      <c r="E2096" s="1" t="str">
        <f>""</f>
        <v/>
      </c>
      <c r="F2096" s="1" t="s">
        <v>28</v>
      </c>
      <c r="G2096" s="1" t="str">
        <f t="shared" si="195"/>
        <v>BOXES D.O.O., GUSTAVA KRKLECA 11, 10000 ZAGREB, OIB: 41791523272</v>
      </c>
      <c r="H2096" s="7"/>
      <c r="I2096" s="8" t="s">
        <v>553</v>
      </c>
      <c r="J2096" s="8" t="s">
        <v>256</v>
      </c>
      <c r="K2096" s="6" t="str">
        <f>"38.545,30"</f>
        <v>38.545,30</v>
      </c>
      <c r="L2096" s="6" t="str">
        <f>"0,00"</f>
        <v>0,00</v>
      </c>
      <c r="M2096" s="6" t="str">
        <f>"38.545,30"</f>
        <v>38.545,30</v>
      </c>
      <c r="N2096" s="8" t="s">
        <v>124</v>
      </c>
      <c r="O2096" s="7"/>
      <c r="P2096" s="2" t="s">
        <v>5614</v>
      </c>
      <c r="Q2096" s="7"/>
      <c r="R2096" s="1"/>
      <c r="S2096" s="1" t="str">
        <f>"1-22/NOS-55-1/21"</f>
        <v>1-22/NOS-55-1/21</v>
      </c>
      <c r="T2096" s="1" t="s">
        <v>32</v>
      </c>
    </row>
    <row r="2097" spans="1:20" ht="51" x14ac:dyDescent="0.25">
      <c r="A2097" s="6">
        <v>2093</v>
      </c>
      <c r="B2097" s="1" t="str">
        <f t="shared" si="194"/>
        <v>2021-1847</v>
      </c>
      <c r="C2097" s="1" t="s">
        <v>1728</v>
      </c>
      <c r="D2097" s="1" t="s">
        <v>1726</v>
      </c>
      <c r="E2097" s="1" t="str">
        <f>"2022/S 0F2-0007409"</f>
        <v>2022/S 0F2-0007409</v>
      </c>
      <c r="F2097" s="1" t="s">
        <v>22</v>
      </c>
      <c r="G2097" s="1" t="str">
        <f t="shared" si="195"/>
        <v>BOXES D.O.O., GUSTAVA KRKLECA 11, 10000 ZAGREB, OIB: 41791523272</v>
      </c>
      <c r="H2097" s="7"/>
      <c r="I2097" s="8" t="s">
        <v>848</v>
      </c>
      <c r="J2097" s="8" t="s">
        <v>1633</v>
      </c>
      <c r="K2097" s="6" t="str">
        <f>"1.000.000,00"</f>
        <v>1.000.000,00</v>
      </c>
      <c r="L2097" s="6" t="str">
        <f>"250.000,00"</f>
        <v>250.000,00</v>
      </c>
      <c r="M2097" s="6" t="str">
        <f>"1.250.000,00"</f>
        <v>1.250.000,00</v>
      </c>
      <c r="N2097" s="8" t="s">
        <v>124</v>
      </c>
      <c r="O2097" s="7"/>
      <c r="P2097" s="2" t="s">
        <v>6854</v>
      </c>
      <c r="Q2097" s="7"/>
      <c r="R2097" s="1"/>
      <c r="S2097" s="1" t="str">
        <f>"NOS-55-3/21"</f>
        <v>NOS-55-3/21</v>
      </c>
      <c r="T2097" s="1" t="s">
        <v>32</v>
      </c>
    </row>
    <row r="2098" spans="1:20" ht="51" x14ac:dyDescent="0.25">
      <c r="A2098" s="6">
        <v>2094</v>
      </c>
      <c r="B2098" s="1" t="str">
        <f t="shared" si="194"/>
        <v>2021-1847</v>
      </c>
      <c r="C2098" s="1" t="s">
        <v>1728</v>
      </c>
      <c r="D2098" s="1" t="s">
        <v>1727</v>
      </c>
      <c r="E2098" s="1" t="str">
        <f>""</f>
        <v/>
      </c>
      <c r="F2098" s="1" t="s">
        <v>28</v>
      </c>
      <c r="G2098" s="1" t="str">
        <f t="shared" si="195"/>
        <v>BOXES D.O.O., GUSTAVA KRKLECA 11, 10000 ZAGREB, OIB: 41791523272</v>
      </c>
      <c r="H2098" s="7"/>
      <c r="I2098" s="8" t="s">
        <v>426</v>
      </c>
      <c r="J2098" s="8" t="s">
        <v>256</v>
      </c>
      <c r="K2098" s="6" t="str">
        <f>"31.883,82"</f>
        <v>31.883,82</v>
      </c>
      <c r="L2098" s="6" t="str">
        <f>"6.789,03"</f>
        <v>6.789,03</v>
      </c>
      <c r="M2098" s="6" t="str">
        <f>"38.672,85"</f>
        <v>38.672,85</v>
      </c>
      <c r="N2098" s="8" t="s">
        <v>964</v>
      </c>
      <c r="O2098" s="7"/>
      <c r="P2098" s="2" t="s">
        <v>6855</v>
      </c>
      <c r="Q2098" s="7"/>
      <c r="R2098" s="1"/>
      <c r="S2098" s="1" t="str">
        <f>"1-22/NOS-55-3/21"</f>
        <v>1-22/NOS-55-3/21</v>
      </c>
      <c r="T2098" s="1" t="s">
        <v>32</v>
      </c>
    </row>
    <row r="2099" spans="1:20" ht="51" x14ac:dyDescent="0.25">
      <c r="A2099" s="6">
        <v>2095</v>
      </c>
      <c r="B2099" s="1" t="str">
        <f t="shared" si="194"/>
        <v>2021-1847</v>
      </c>
      <c r="C2099" s="1" t="s">
        <v>1728</v>
      </c>
      <c r="D2099" s="1" t="s">
        <v>1727</v>
      </c>
      <c r="E2099" s="1" t="str">
        <f>""</f>
        <v/>
      </c>
      <c r="F2099" s="1" t="s">
        <v>28</v>
      </c>
      <c r="G2099" s="1" t="str">
        <f t="shared" si="195"/>
        <v>BOXES D.O.O., GUSTAVA KRKLECA 11, 10000 ZAGREB, OIB: 41791523272</v>
      </c>
      <c r="H2099" s="7"/>
      <c r="I2099" s="8" t="s">
        <v>81</v>
      </c>
      <c r="J2099" s="8" t="s">
        <v>256</v>
      </c>
      <c r="K2099" s="6" t="str">
        <f>"48.761,23"</f>
        <v>48.761,23</v>
      </c>
      <c r="L2099" s="6" t="str">
        <f>"0,00"</f>
        <v>0,00</v>
      </c>
      <c r="M2099" s="6" t="str">
        <f>"48.761,23"</f>
        <v>48.761,23</v>
      </c>
      <c r="N2099" s="8" t="s">
        <v>124</v>
      </c>
      <c r="O2099" s="7"/>
      <c r="P2099" s="2" t="s">
        <v>5614</v>
      </c>
      <c r="Q2099" s="7"/>
      <c r="R2099" s="1"/>
      <c r="S2099" s="1" t="str">
        <f>"3-22/NOS-55-3/21"</f>
        <v>3-22/NOS-55-3/21</v>
      </c>
      <c r="T2099" s="1" t="s">
        <v>32</v>
      </c>
    </row>
    <row r="2100" spans="1:20" ht="51" x14ac:dyDescent="0.25">
      <c r="A2100" s="6">
        <v>2096</v>
      </c>
      <c r="B2100" s="1" t="str">
        <f t="shared" si="194"/>
        <v>2021-1847</v>
      </c>
      <c r="C2100" s="1" t="s">
        <v>1728</v>
      </c>
      <c r="D2100" s="1" t="s">
        <v>1727</v>
      </c>
      <c r="E2100" s="1" t="str">
        <f>""</f>
        <v/>
      </c>
      <c r="F2100" s="1" t="s">
        <v>28</v>
      </c>
      <c r="G2100" s="1" t="str">
        <f t="shared" si="195"/>
        <v>BOXES D.O.O., GUSTAVA KRKLECA 11, 10000 ZAGREB, OIB: 41791523272</v>
      </c>
      <c r="H2100" s="7"/>
      <c r="I2100" s="8" t="s">
        <v>1099</v>
      </c>
      <c r="J2100" s="8" t="s">
        <v>256</v>
      </c>
      <c r="K2100" s="6" t="str">
        <f>"8.510,17"</f>
        <v>8.510,17</v>
      </c>
      <c r="L2100" s="6" t="str">
        <f>"0,00"</f>
        <v>0,00</v>
      </c>
      <c r="M2100" s="6" t="str">
        <f>"8.510,17"</f>
        <v>8.510,17</v>
      </c>
      <c r="N2100" s="8" t="s">
        <v>124</v>
      </c>
      <c r="O2100" s="7"/>
      <c r="P2100" s="2" t="s">
        <v>5614</v>
      </c>
      <c r="Q2100" s="7"/>
      <c r="R2100" s="1"/>
      <c r="S2100" s="1" t="str">
        <f>"4-22/NOS-55-3/21"</f>
        <v>4-22/NOS-55-3/21</v>
      </c>
      <c r="T2100" s="1" t="s">
        <v>32</v>
      </c>
    </row>
    <row r="2101" spans="1:20" ht="51" x14ac:dyDescent="0.25">
      <c r="A2101" s="6">
        <v>2097</v>
      </c>
      <c r="B2101" s="1" t="str">
        <f t="shared" si="194"/>
        <v>2021-1847</v>
      </c>
      <c r="C2101" s="1" t="s">
        <v>1728</v>
      </c>
      <c r="D2101" s="1" t="s">
        <v>1727</v>
      </c>
      <c r="E2101" s="1" t="str">
        <f>""</f>
        <v/>
      </c>
      <c r="F2101" s="1" t="s">
        <v>28</v>
      </c>
      <c r="G2101" s="1" t="str">
        <f t="shared" si="195"/>
        <v>BOXES D.O.O., GUSTAVA KRKLECA 11, 10000 ZAGREB, OIB: 41791523272</v>
      </c>
      <c r="H2101" s="7"/>
      <c r="I2101" s="8" t="s">
        <v>553</v>
      </c>
      <c r="J2101" s="8" t="s">
        <v>256</v>
      </c>
      <c r="K2101" s="6" t="str">
        <f>"129.566,89"</f>
        <v>129.566,89</v>
      </c>
      <c r="L2101" s="6" t="str">
        <f>"0,00"</f>
        <v>0,00</v>
      </c>
      <c r="M2101" s="6" t="str">
        <f>"129.566,89"</f>
        <v>129.566,89</v>
      </c>
      <c r="N2101" s="8" t="s">
        <v>124</v>
      </c>
      <c r="O2101" s="7"/>
      <c r="P2101" s="2" t="s">
        <v>5614</v>
      </c>
      <c r="Q2101" s="7"/>
      <c r="R2101" s="1"/>
      <c r="S2101" s="1" t="str">
        <f>"5-22/NOS-55-3/21"</f>
        <v>5-22/NOS-55-3/21</v>
      </c>
      <c r="T2101" s="1" t="s">
        <v>32</v>
      </c>
    </row>
    <row r="2102" spans="1:20" ht="165.75" x14ac:dyDescent="0.25">
      <c r="A2102" s="6">
        <v>2098</v>
      </c>
      <c r="B2102" s="1" t="str">
        <f t="shared" ref="B2102:B2109" si="196">"2022-6"</f>
        <v>2022-6</v>
      </c>
      <c r="C2102" s="1" t="s">
        <v>1729</v>
      </c>
      <c r="D2102" s="1" t="s">
        <v>1065</v>
      </c>
      <c r="E2102" s="1" t="str">
        <f>"2022/S 0F2-0007700"</f>
        <v>2022/S 0F2-0007700</v>
      </c>
      <c r="F2102" s="1" t="s">
        <v>22</v>
      </c>
      <c r="G2102" s="1"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2102" s="7"/>
      <c r="I2102" s="8" t="s">
        <v>405</v>
      </c>
      <c r="J2102" s="8" t="s">
        <v>1730</v>
      </c>
      <c r="K2102" s="6" t="str">
        <f>"526.000,00"</f>
        <v>526.000,00</v>
      </c>
      <c r="L2102" s="6" t="str">
        <f>"131.500,00"</f>
        <v>131.500,00</v>
      </c>
      <c r="M2102" s="6" t="str">
        <f>"657.500,00"</f>
        <v>657.500,00</v>
      </c>
      <c r="N2102" s="8" t="s">
        <v>124</v>
      </c>
      <c r="O2102" s="7"/>
      <c r="P2102" s="2" t="s">
        <v>5614</v>
      </c>
      <c r="Q2102" s="7"/>
      <c r="R2102" s="1"/>
      <c r="S2102" s="1" t="str">
        <f>"NOS-3-14/22"</f>
        <v>NOS-3-14/22</v>
      </c>
      <c r="T2102" s="1" t="s">
        <v>49</v>
      </c>
    </row>
    <row r="2103" spans="1:20" ht="51" x14ac:dyDescent="0.25">
      <c r="A2103" s="6">
        <v>2099</v>
      </c>
      <c r="B2103" s="1" t="str">
        <f t="shared" si="196"/>
        <v>2022-6</v>
      </c>
      <c r="C2103" s="1" t="s">
        <v>1729</v>
      </c>
      <c r="D2103" s="1" t="s">
        <v>1065</v>
      </c>
      <c r="E2103" s="1" t="str">
        <f>""</f>
        <v/>
      </c>
      <c r="F2103" s="1" t="s">
        <v>28</v>
      </c>
      <c r="G2103" s="1" t="str">
        <f>CONCATENATE("VIATOR D.O.O.,"," KRALJA DRŽISLAVA 6,"," 21000 SPLIT,"," OIB: 6473171712")</f>
        <v>VIATOR D.O.O., KRALJA DRŽISLAVA 6, 21000 SPLIT, OIB: 6473171712</v>
      </c>
      <c r="H2103" s="7"/>
      <c r="I2103" s="8" t="s">
        <v>238</v>
      </c>
      <c r="J2103" s="8" t="s">
        <v>1731</v>
      </c>
      <c r="K2103" s="6" t="str">
        <f>"96.660,00"</f>
        <v>96.660,00</v>
      </c>
      <c r="L2103" s="6" t="str">
        <f>"0,00"</f>
        <v>0,00</v>
      </c>
      <c r="M2103" s="6" t="str">
        <f>"96.660,00"</f>
        <v>96.660,00</v>
      </c>
      <c r="N2103" s="7"/>
      <c r="O2103" s="9">
        <v>44774</v>
      </c>
      <c r="P2103" s="2" t="s">
        <v>5614</v>
      </c>
      <c r="Q2103" s="7"/>
      <c r="R2103" s="1"/>
      <c r="S2103" s="1" t="str">
        <f>"1-22/NOS-3-14/22"</f>
        <v>1-22/NOS-3-14/22</v>
      </c>
      <c r="T2103" s="7"/>
    </row>
    <row r="2104" spans="1:20" ht="51" x14ac:dyDescent="0.25">
      <c r="A2104" s="6">
        <v>2100</v>
      </c>
      <c r="B2104" s="1" t="str">
        <f t="shared" si="196"/>
        <v>2022-6</v>
      </c>
      <c r="C2104" s="1" t="s">
        <v>1729</v>
      </c>
      <c r="D2104" s="1" t="s">
        <v>1065</v>
      </c>
      <c r="E2104" s="1" t="str">
        <f>""</f>
        <v/>
      </c>
      <c r="F2104" s="1" t="s">
        <v>28</v>
      </c>
      <c r="G2104" s="1" t="str">
        <f>CONCATENATE("VIATOR D.O.O.,"," KRALJA DRŽISLAVA 6,"," 21000 SPLIT,"," OIB: 6473171712")</f>
        <v>VIATOR D.O.O., KRALJA DRŽISLAVA 6, 21000 SPLIT, OIB: 6473171712</v>
      </c>
      <c r="H2104" s="7"/>
      <c r="I2104" s="8" t="s">
        <v>372</v>
      </c>
      <c r="J2104" s="8" t="s">
        <v>1718</v>
      </c>
      <c r="K2104" s="6" t="str">
        <f>"31.860,00"</f>
        <v>31.860,00</v>
      </c>
      <c r="L2104" s="6" t="str">
        <f>"4.725,00"</f>
        <v>4.725,00</v>
      </c>
      <c r="M2104" s="6" t="str">
        <f>"36.585,00"</f>
        <v>36.585,00</v>
      </c>
      <c r="N2104" s="8" t="s">
        <v>409</v>
      </c>
      <c r="O2104" s="7"/>
      <c r="P2104" s="2" t="s">
        <v>6856</v>
      </c>
      <c r="Q2104" s="7"/>
      <c r="R2104" s="1"/>
      <c r="S2104" s="1" t="str">
        <f>"2-22/NOS-3-14/22"</f>
        <v>2-22/NOS-3-14/22</v>
      </c>
      <c r="T2104" s="1" t="s">
        <v>32</v>
      </c>
    </row>
    <row r="2105" spans="1:20" ht="51" x14ac:dyDescent="0.25">
      <c r="A2105" s="6">
        <v>2101</v>
      </c>
      <c r="B2105" s="1" t="str">
        <f t="shared" si="196"/>
        <v>2022-6</v>
      </c>
      <c r="C2105" s="1" t="s">
        <v>1729</v>
      </c>
      <c r="D2105" s="1" t="s">
        <v>1065</v>
      </c>
      <c r="E2105" s="1" t="str">
        <f>""</f>
        <v/>
      </c>
      <c r="F2105" s="1" t="s">
        <v>28</v>
      </c>
      <c r="G2105" s="1" t="str">
        <f>CONCATENATE("VIATOR D.O.O.,"," KRALJA DRŽISLAVA 6,"," 21000 SPLIT,"," OIB: 6473171712")</f>
        <v>VIATOR D.O.O., KRALJA DRŽISLAVA 6, 21000 SPLIT, OIB: 6473171712</v>
      </c>
      <c r="H2105" s="7"/>
      <c r="I2105" s="8" t="s">
        <v>240</v>
      </c>
      <c r="J2105" s="8" t="s">
        <v>1732</v>
      </c>
      <c r="K2105" s="6" t="str">
        <f>"26.280,00"</f>
        <v>26.280,00</v>
      </c>
      <c r="L2105" s="6" t="str">
        <f>"990,00"</f>
        <v>990,00</v>
      </c>
      <c r="M2105" s="6" t="str">
        <f>"27.270,00"</f>
        <v>27.270,00</v>
      </c>
      <c r="N2105" s="8" t="s">
        <v>430</v>
      </c>
      <c r="O2105" s="7"/>
      <c r="P2105" s="2" t="s">
        <v>6857</v>
      </c>
      <c r="Q2105" s="7"/>
      <c r="R2105" s="1"/>
      <c r="S2105" s="1" t="str">
        <f>"3-22/NOS-3-14/22"</f>
        <v>3-22/NOS-3-14/22</v>
      </c>
      <c r="T2105" s="1" t="s">
        <v>32</v>
      </c>
    </row>
    <row r="2106" spans="1:20" ht="165.75" x14ac:dyDescent="0.25">
      <c r="A2106" s="6">
        <v>2102</v>
      </c>
      <c r="B2106" s="1" t="str">
        <f t="shared" si="196"/>
        <v>2022-6</v>
      </c>
      <c r="C2106" s="1" t="s">
        <v>1733</v>
      </c>
      <c r="D2106" s="1" t="s">
        <v>1065</v>
      </c>
      <c r="E2106" s="1" t="str">
        <f>"2022/S 0F2-0007700"</f>
        <v>2022/S 0F2-0007700</v>
      </c>
      <c r="F2106" s="1" t="s">
        <v>22</v>
      </c>
      <c r="G2106" s="1" t="str">
        <f>CONCATENATE("AUTO HRVATSKA AUTOMOBILI d.o.o.,"," RADNIČKA CESTA 182,"," 10000 ZAGREB,"," OIB: 23035642859",CHAR(10),"",CHAR(10),"VIATOR D.O.O.,"," KRALJA DRŽISLAVA 6,"," 21000 SPLIT,"," OIB: 6473171712")</f>
        <v>AUTO HRVATSKA AUTOMOBILI d.o.o., RADNIČKA CESTA 182, 10000 ZAGREB, OIB: 23035642859
VIATOR D.O.O., KRALJA DRŽISLAVA 6, 21000 SPLIT, OIB: 6473171712</v>
      </c>
      <c r="H2106" s="7"/>
      <c r="I2106" s="8" t="s">
        <v>405</v>
      </c>
      <c r="J2106" s="8" t="s">
        <v>1730</v>
      </c>
      <c r="K2106" s="6" t="str">
        <f>"438.000,00"</f>
        <v>438.000,00</v>
      </c>
      <c r="L2106" s="6" t="str">
        <f>"109.500,00"</f>
        <v>109.500,00</v>
      </c>
      <c r="M2106" s="6" t="str">
        <f>"547.500,00"</f>
        <v>547.500,00</v>
      </c>
      <c r="N2106" s="8" t="s">
        <v>124</v>
      </c>
      <c r="O2106" s="7"/>
      <c r="P2106" s="2" t="s">
        <v>5614</v>
      </c>
      <c r="Q2106" s="7"/>
      <c r="R2106" s="1"/>
      <c r="S2106" s="1" t="str">
        <f>"NOS-3-15/22"</f>
        <v>NOS-3-15/22</v>
      </c>
      <c r="T2106" s="1" t="s">
        <v>49</v>
      </c>
    </row>
    <row r="2107" spans="1:20" ht="51" x14ac:dyDescent="0.25">
      <c r="A2107" s="6">
        <v>2103</v>
      </c>
      <c r="B2107" s="1" t="str">
        <f t="shared" si="196"/>
        <v>2022-6</v>
      </c>
      <c r="C2107" s="1" t="s">
        <v>1733</v>
      </c>
      <c r="D2107" s="1" t="s">
        <v>1065</v>
      </c>
      <c r="E2107" s="1" t="str">
        <f>""</f>
        <v/>
      </c>
      <c r="F2107" s="1" t="s">
        <v>28</v>
      </c>
      <c r="G2107" s="1" t="str">
        <f>CONCATENATE("VIATOR D.O.O.,"," KRALJA DRŽISLAVA 6,"," 21000 SPLIT,"," OIB: 6473171712")</f>
        <v>VIATOR D.O.O., KRALJA DRŽISLAVA 6, 21000 SPLIT, OIB: 6473171712</v>
      </c>
      <c r="H2107" s="7"/>
      <c r="I2107" s="8" t="s">
        <v>372</v>
      </c>
      <c r="J2107" s="8" t="s">
        <v>1718</v>
      </c>
      <c r="K2107" s="6" t="str">
        <f>"26.550,00"</f>
        <v>26.550,00</v>
      </c>
      <c r="L2107" s="6" t="str">
        <f>"4.350,00"</f>
        <v>4.350,00</v>
      </c>
      <c r="M2107" s="6" t="str">
        <f>"30.900,00"</f>
        <v>30.900,00</v>
      </c>
      <c r="N2107" s="8" t="s">
        <v>409</v>
      </c>
      <c r="O2107" s="7"/>
      <c r="P2107" s="2" t="s">
        <v>6858</v>
      </c>
      <c r="Q2107" s="7"/>
      <c r="R2107" s="1"/>
      <c r="S2107" s="1" t="str">
        <f>"1-22/NOS-3-15/22"</f>
        <v>1-22/NOS-3-15/22</v>
      </c>
      <c r="T2107" s="1" t="s">
        <v>32</v>
      </c>
    </row>
    <row r="2108" spans="1:20" ht="51" x14ac:dyDescent="0.25">
      <c r="A2108" s="6">
        <v>2104</v>
      </c>
      <c r="B2108" s="1" t="str">
        <f t="shared" si="196"/>
        <v>2022-6</v>
      </c>
      <c r="C2108" s="1" t="s">
        <v>1733</v>
      </c>
      <c r="D2108" s="1" t="s">
        <v>1065</v>
      </c>
      <c r="E2108" s="1" t="str">
        <f>""</f>
        <v/>
      </c>
      <c r="F2108" s="1" t="s">
        <v>28</v>
      </c>
      <c r="G2108" s="1" t="str">
        <f>CONCATENATE("VIATOR D.O.O.,"," KRALJA DRŽISLAVA 6,"," 21000 SPLIT,"," OIB: 6473171712")</f>
        <v>VIATOR D.O.O., KRALJA DRŽISLAVA 6, 21000 SPLIT, OIB: 6473171712</v>
      </c>
      <c r="H2108" s="7"/>
      <c r="I2108" s="8" t="s">
        <v>522</v>
      </c>
      <c r="J2108" s="8" t="s">
        <v>1731</v>
      </c>
      <c r="K2108" s="6" t="str">
        <f>"80.550,00"</f>
        <v>80.550,00</v>
      </c>
      <c r="L2108" s="6" t="str">
        <f>"16.725,00"</f>
        <v>16.725,00</v>
      </c>
      <c r="M2108" s="6" t="str">
        <f>"97.275,00"</f>
        <v>97.275,00</v>
      </c>
      <c r="N2108" s="8" t="s">
        <v>1123</v>
      </c>
      <c r="O2108" s="7"/>
      <c r="P2108" s="2" t="s">
        <v>6859</v>
      </c>
      <c r="Q2108" s="7"/>
      <c r="R2108" s="1"/>
      <c r="S2108" s="1" t="str">
        <f>"2-22/NOS-3-15/22"</f>
        <v>2-22/NOS-3-15/22</v>
      </c>
      <c r="T2108" s="1" t="s">
        <v>32</v>
      </c>
    </row>
    <row r="2109" spans="1:20" ht="51" x14ac:dyDescent="0.25">
      <c r="A2109" s="6">
        <v>2105</v>
      </c>
      <c r="B2109" s="1" t="str">
        <f t="shared" si="196"/>
        <v>2022-6</v>
      </c>
      <c r="C2109" s="1" t="s">
        <v>1733</v>
      </c>
      <c r="D2109" s="1" t="s">
        <v>1065</v>
      </c>
      <c r="E2109" s="1" t="str">
        <f>""</f>
        <v/>
      </c>
      <c r="F2109" s="1" t="s">
        <v>28</v>
      </c>
      <c r="G2109" s="1" t="str">
        <f>CONCATENATE("VIATOR D.O.O.,"," KRALJA DRŽISLAVA 6,"," 21000 SPLIT,"," OIB: 6473171712")</f>
        <v>VIATOR D.O.O., KRALJA DRŽISLAVA 6, 21000 SPLIT, OIB: 6473171712</v>
      </c>
      <c r="H2109" s="7"/>
      <c r="I2109" s="8" t="s">
        <v>227</v>
      </c>
      <c r="J2109" s="8" t="s">
        <v>1734</v>
      </c>
      <c r="K2109" s="6" t="str">
        <f>"6.000,00"</f>
        <v>6.000,00</v>
      </c>
      <c r="L2109" s="6" t="str">
        <f>"0,00"</f>
        <v>0,00</v>
      </c>
      <c r="M2109" s="6" t="str">
        <f>"6.000,00"</f>
        <v>6.000,00</v>
      </c>
      <c r="N2109" s="8" t="s">
        <v>124</v>
      </c>
      <c r="O2109" s="7"/>
      <c r="P2109" s="2" t="s">
        <v>5614</v>
      </c>
      <c r="Q2109" s="7"/>
      <c r="R2109" s="1"/>
      <c r="S2109" s="1" t="str">
        <f>"3-22/NOS-3-15/22"</f>
        <v>3-22/NOS-3-15/22</v>
      </c>
      <c r="T2109" s="1" t="s">
        <v>32</v>
      </c>
    </row>
    <row r="2110" spans="1:20" ht="51" x14ac:dyDescent="0.25">
      <c r="A2110" s="6">
        <v>2106</v>
      </c>
      <c r="B2110" s="1" t="str">
        <f>"2021-1847"</f>
        <v>2021-1847</v>
      </c>
      <c r="C2110" s="1" t="s">
        <v>1735</v>
      </c>
      <c r="D2110" s="1" t="s">
        <v>1726</v>
      </c>
      <c r="E2110" s="1" t="str">
        <f>"2022/S 0F2-0007409"</f>
        <v>2022/S 0F2-0007409</v>
      </c>
      <c r="F2110" s="1" t="s">
        <v>22</v>
      </c>
      <c r="G2110" s="1" t="str">
        <f>CONCATENATE("BOXES D.O.O.,"," GUSTAVA KRKLECA 11,"," 10000 ZAGREB,"," OIB: 41791523272")</f>
        <v>BOXES D.O.O., GUSTAVA KRKLECA 11, 10000 ZAGREB, OIB: 41791523272</v>
      </c>
      <c r="H2110" s="7"/>
      <c r="I2110" s="8" t="s">
        <v>848</v>
      </c>
      <c r="J2110" s="8" t="s">
        <v>1736</v>
      </c>
      <c r="K2110" s="6" t="str">
        <f>"100.000,00"</f>
        <v>100.000,00</v>
      </c>
      <c r="L2110" s="6" t="str">
        <f>"25.000,00"</f>
        <v>25.000,00</v>
      </c>
      <c r="M2110" s="6" t="str">
        <f>"125.000,00"</f>
        <v>125.000,00</v>
      </c>
      <c r="N2110" s="8" t="s">
        <v>124</v>
      </c>
      <c r="O2110" s="7"/>
      <c r="P2110" s="2" t="s">
        <v>5614</v>
      </c>
      <c r="Q2110" s="7"/>
      <c r="R2110" s="1"/>
      <c r="S2110" s="1" t="str">
        <f>"NOS-55-4/21"</f>
        <v>NOS-55-4/21</v>
      </c>
      <c r="T2110" s="1" t="s">
        <v>32</v>
      </c>
    </row>
    <row r="2111" spans="1:20" ht="51" x14ac:dyDescent="0.25">
      <c r="A2111" s="6">
        <v>2107</v>
      </c>
      <c r="B2111" s="1" t="str">
        <f>"2021-1847"</f>
        <v>2021-1847</v>
      </c>
      <c r="C2111" s="1" t="s">
        <v>1735</v>
      </c>
      <c r="D2111" s="1" t="s">
        <v>1727</v>
      </c>
      <c r="E2111" s="1" t="str">
        <f>""</f>
        <v/>
      </c>
      <c r="F2111" s="1" t="s">
        <v>28</v>
      </c>
      <c r="G2111" s="1" t="str">
        <f>CONCATENATE("BOXES D.O.O.,"," GUSTAVA KRKLECA 11,"," 10000 ZAGREB,"," OIB: 41791523272")</f>
        <v>BOXES D.O.O., GUSTAVA KRKLECA 11, 10000 ZAGREB, OIB: 41791523272</v>
      </c>
      <c r="H2111" s="7"/>
      <c r="I2111" s="8" t="s">
        <v>1099</v>
      </c>
      <c r="J2111" s="8" t="s">
        <v>256</v>
      </c>
      <c r="K2111" s="6" t="str">
        <f>"13.180,65"</f>
        <v>13.180,65</v>
      </c>
      <c r="L2111" s="6" t="str">
        <f>"0,00"</f>
        <v>0,00</v>
      </c>
      <c r="M2111" s="6" t="str">
        <f>"13.180,65"</f>
        <v>13.180,65</v>
      </c>
      <c r="N2111" s="8" t="s">
        <v>124</v>
      </c>
      <c r="O2111" s="7"/>
      <c r="P2111" s="2" t="s">
        <v>5614</v>
      </c>
      <c r="Q2111" s="7"/>
      <c r="R2111" s="1"/>
      <c r="S2111" s="1" t="str">
        <f>"1-22/NOS-55-4/21"</f>
        <v>1-22/NOS-55-4/21</v>
      </c>
      <c r="T2111" s="1" t="s">
        <v>32</v>
      </c>
    </row>
    <row r="2112" spans="1:20" ht="178.5" x14ac:dyDescent="0.25">
      <c r="A2112" s="6">
        <v>2108</v>
      </c>
      <c r="B2112" s="1" t="str">
        <f>"2022-1661"</f>
        <v>2022-1661</v>
      </c>
      <c r="C2112" s="1" t="s">
        <v>1737</v>
      </c>
      <c r="D2112" s="1" t="s">
        <v>1428</v>
      </c>
      <c r="E2112" s="1" t="str">
        <f>"2022/S 0F2-0013423"</f>
        <v>2022/S 0F2-0013423</v>
      </c>
      <c r="F2112" s="1" t="s">
        <v>22</v>
      </c>
      <c r="G2112" s="1" t="str">
        <f>CONCATENATE("OPTIPLAST  D.O.O.,"," ODRA SISAČKA 46,"," 44000 SISAK,"," OIB: 22399381390",CHAR(10),"",CHAR(10),"WELTPLAST,"," D.O.O.,"," VELIKA CESTA 33,"," 10000 ZAGREB,"," OIB: 83776585213",CHAR(10),"",CHAR(10),"QUICKPACK CROATIA D.O.O.,"," ŽBANJICA 4,"," 21323 PROMAJNA,"," OIB: 98177602106")</f>
        <v>OPTIPLAST  D.O.O., ODRA SISAČKA 46, 44000 SISAK, OIB: 22399381390
WELTPLAST, D.O.O., VELIKA CESTA 33, 10000 ZAGREB, OIB: 83776585213
QUICKPACK CROATIA D.O.O., ŽBANJICA 4, 21323 PROMAJNA, OIB: 98177602106</v>
      </c>
      <c r="H2112" s="7"/>
      <c r="I2112" s="8" t="s">
        <v>877</v>
      </c>
      <c r="J2112" s="8" t="s">
        <v>1738</v>
      </c>
      <c r="K2112" s="6" t="str">
        <f>"49.920.000,00"</f>
        <v>49.920.000,00</v>
      </c>
      <c r="L2112" s="6" t="str">
        <f>"12.480.000,00"</f>
        <v>12.480.000,00</v>
      </c>
      <c r="M2112" s="6" t="str">
        <f>"62.400.000,00"</f>
        <v>62.400.000,00</v>
      </c>
      <c r="N2112" s="8" t="s">
        <v>124</v>
      </c>
      <c r="O2112" s="7"/>
      <c r="P2112" s="2" t="s">
        <v>5614</v>
      </c>
      <c r="Q2112" s="7"/>
      <c r="R2112" s="1"/>
      <c r="S2112" s="1" t="str">
        <f>"NOS-4/22"</f>
        <v>NOS-4/22</v>
      </c>
      <c r="T2112" s="1" t="s">
        <v>32</v>
      </c>
    </row>
    <row r="2113" spans="1:20" ht="51" x14ac:dyDescent="0.25">
      <c r="A2113" s="6">
        <v>2109</v>
      </c>
      <c r="B2113" s="1" t="str">
        <f>"2022-1661"</f>
        <v>2022-1661</v>
      </c>
      <c r="C2113" s="1" t="s">
        <v>1737</v>
      </c>
      <c r="D2113" s="1" t="s">
        <v>1431</v>
      </c>
      <c r="E2113" s="1" t="str">
        <f>""</f>
        <v/>
      </c>
      <c r="F2113" s="1" t="s">
        <v>28</v>
      </c>
      <c r="G2113" s="1" t="str">
        <f>CONCATENATE("WELTPLAST,"," D.O.O.,"," VELIKA CESTA 33,"," 10000 ZAGREB,"," OIB: 83776585213")</f>
        <v>WELTPLAST, D.O.O., VELIKA CESTA 33, 10000 ZAGREB, OIB: 83776585213</v>
      </c>
      <c r="H2113" s="7"/>
      <c r="I2113" s="8" t="s">
        <v>562</v>
      </c>
      <c r="J2113" s="8" t="s">
        <v>123</v>
      </c>
      <c r="K2113" s="6" t="str">
        <f>"10.980.000,00"</f>
        <v>10.980.000,00</v>
      </c>
      <c r="L2113" s="6" t="str">
        <f>"2.745.000,00"</f>
        <v>2.745.000,00</v>
      </c>
      <c r="M2113" s="6" t="str">
        <f>"13.725.000,00"</f>
        <v>13.725.000,00</v>
      </c>
      <c r="N2113" s="8" t="s">
        <v>124</v>
      </c>
      <c r="O2113" s="7"/>
      <c r="P2113" s="2" t="s">
        <v>6860</v>
      </c>
      <c r="Q2113" s="1"/>
      <c r="R2113" s="1"/>
      <c r="S2113" s="1" t="str">
        <f>"1-22/NOS-4/22"</f>
        <v>1-22/NOS-4/22</v>
      </c>
      <c r="T2113" s="1" t="s">
        <v>32</v>
      </c>
    </row>
    <row r="2114" spans="1:20" ht="369.75" x14ac:dyDescent="0.25">
      <c r="A2114" s="6">
        <v>2110</v>
      </c>
      <c r="B2114" s="1" t="str">
        <f>"2021-1922"</f>
        <v>2021-1922</v>
      </c>
      <c r="C2114" s="1" t="s">
        <v>940</v>
      </c>
      <c r="D2114" s="1" t="s">
        <v>941</v>
      </c>
      <c r="E2114" s="1" t="str">
        <f>"2022/S 0F2-0004915"</f>
        <v>2022/S 0F2-0004915</v>
      </c>
      <c r="F2114" s="1" t="s">
        <v>22</v>
      </c>
      <c r="G2114" s="1"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2114" s="7"/>
      <c r="I2114" s="8" t="s">
        <v>607</v>
      </c>
      <c r="J2114" s="8" t="s">
        <v>1650</v>
      </c>
      <c r="K2114" s="6" t="str">
        <f>"28.000.000,00"</f>
        <v>28.000.000,00</v>
      </c>
      <c r="L2114" s="6" t="str">
        <f>"7.000.000,00"</f>
        <v>7.000.000,00</v>
      </c>
      <c r="M2114" s="6" t="str">
        <f>"35.000.000,00"</f>
        <v>35.000.000,00</v>
      </c>
      <c r="N2114" s="8" t="s">
        <v>124</v>
      </c>
      <c r="O2114" s="7"/>
      <c r="P2114" s="2" t="s">
        <v>5614</v>
      </c>
      <c r="Q2114" s="7"/>
      <c r="R2114" s="1"/>
      <c r="S2114" s="1" t="str">
        <f>"NOS-66/21"</f>
        <v>NOS-66/21</v>
      </c>
      <c r="T2114" s="1" t="s">
        <v>55</v>
      </c>
    </row>
    <row r="2115" spans="1:20" ht="369.75" x14ac:dyDescent="0.25">
      <c r="A2115" s="6">
        <v>2111</v>
      </c>
      <c r="B2115" s="1" t="str">
        <f>"2021-1922"</f>
        <v>2021-1922</v>
      </c>
      <c r="C2115" s="1" t="s">
        <v>940</v>
      </c>
      <c r="D2115" s="1" t="s">
        <v>486</v>
      </c>
      <c r="E2115" s="1" t="str">
        <f>""</f>
        <v/>
      </c>
      <c r="F2115" s="1" t="s">
        <v>28</v>
      </c>
      <c r="G2115" s="1"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2115" s="7"/>
      <c r="I2115" s="8" t="s">
        <v>203</v>
      </c>
      <c r="J2115" s="8" t="s">
        <v>214</v>
      </c>
      <c r="K2115" s="6" t="str">
        <f>"2.498.687,25"</f>
        <v>2.498.687,25</v>
      </c>
      <c r="L2115" s="6" t="str">
        <f>"624.671,81"</f>
        <v>624.671,81</v>
      </c>
      <c r="M2115" s="6" t="str">
        <f>"3.123.359,06"</f>
        <v>3.123.359,06</v>
      </c>
      <c r="N2115" s="8" t="s">
        <v>124</v>
      </c>
      <c r="O2115" s="7"/>
      <c r="P2115" s="2" t="s">
        <v>5614</v>
      </c>
      <c r="Q2115" s="7"/>
      <c r="R2115" s="1"/>
      <c r="S2115" s="1" t="str">
        <f>"1-22/NOS-66/21"</f>
        <v>1-22/NOS-66/21</v>
      </c>
      <c r="T2115" s="1" t="s">
        <v>55</v>
      </c>
    </row>
    <row r="2116" spans="1:20" ht="369.75" x14ac:dyDescent="0.25">
      <c r="A2116" s="6">
        <v>2112</v>
      </c>
      <c r="B2116" s="1" t="str">
        <f>"2021-1922"</f>
        <v>2021-1922</v>
      </c>
      <c r="C2116" s="1" t="s">
        <v>940</v>
      </c>
      <c r="D2116" s="1" t="s">
        <v>486</v>
      </c>
      <c r="E2116" s="1" t="str">
        <f>""</f>
        <v/>
      </c>
      <c r="F2116" s="1" t="s">
        <v>28</v>
      </c>
      <c r="G2116" s="1" t="str">
        <f>CONCATENATE("Zajednica ponuditelja",CHAR(10),"GUT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f>
        <v>Zajednica ponuditelja
GUT D.O.O., SISAČKA 37, 10000 ZAGREB, OIB: 95017105221BOLČEVIĆ-GRADNJA D.O.O. DUGOSELSKA CESTA 56, 10361 SESVETSKI KRALJEVEC, OIB: 52098670500ZG MARINE D.O.O. MEDARSKA 69, 10000 ZAGREB, OIB: 98182061008NERING D.O.O. LIVADARSKI PUT 24, 10360 SESVETE, OIB: 85965934616TIGRA D.O.O. IVANIĆGRADSKA 22, 10000 ZAGREB, OIB: 29830060230TEMEX D.O.O. LABINSKA 6A, 10000 ZAGREB, OIB: 89610149986BUBANJ - NISKOGRADNJA D.O.O. KRUGE 7, 10000 ZAGREB, OIB: 29539944583</v>
      </c>
      <c r="H2116" s="7"/>
      <c r="I2116" s="8" t="s">
        <v>58</v>
      </c>
      <c r="J2116" s="8" t="s">
        <v>123</v>
      </c>
      <c r="K2116" s="6" t="str">
        <f>"1.999.994,95"</f>
        <v>1.999.994,95</v>
      </c>
      <c r="L2116" s="6" t="str">
        <f>"499.998,74"</f>
        <v>499.998,74</v>
      </c>
      <c r="M2116" s="6" t="str">
        <f>"2.499.993,69"</f>
        <v>2.499.993,69</v>
      </c>
      <c r="N2116" s="8" t="s">
        <v>124</v>
      </c>
      <c r="O2116" s="7"/>
      <c r="P2116" s="2" t="s">
        <v>5614</v>
      </c>
      <c r="Q2116" s="7"/>
      <c r="R2116" s="1"/>
      <c r="S2116" s="1" t="str">
        <f>"2-22/NOS-66/21"</f>
        <v>2-22/NOS-66/21</v>
      </c>
      <c r="T2116" s="1" t="s">
        <v>55</v>
      </c>
    </row>
    <row r="2117" spans="1:20" ht="51" x14ac:dyDescent="0.25">
      <c r="A2117" s="6">
        <v>2113</v>
      </c>
      <c r="B2117" s="1" t="str">
        <f>"2021-1389"</f>
        <v>2021-1389</v>
      </c>
      <c r="C2117" s="1" t="s">
        <v>1739</v>
      </c>
      <c r="D2117" s="1" t="s">
        <v>74</v>
      </c>
      <c r="E2117" s="1" t="str">
        <f>"2021/S 0F2-0040397"</f>
        <v>2021/S 0F2-0040397</v>
      </c>
      <c r="F2117" s="1" t="s">
        <v>22</v>
      </c>
      <c r="G2117" s="1" t="str">
        <f>CONCATENATE("EURO-TERA D.O.O.,"," TRG SENJSKIH USKOKA 8,"," 10000 ZAGREB,"," OIB: 86966588514")</f>
        <v>EURO-TERA D.O.O., TRG SENJSKIH USKOKA 8, 10000 ZAGREB, OIB: 86966588514</v>
      </c>
      <c r="H2117" s="7"/>
      <c r="I2117" s="8" t="s">
        <v>238</v>
      </c>
      <c r="J2117" s="8" t="s">
        <v>1740</v>
      </c>
      <c r="K2117" s="6" t="str">
        <f>"1.500.000,00"</f>
        <v>1.500.000,00</v>
      </c>
      <c r="L2117" s="6" t="str">
        <f>"375.000,00"</f>
        <v>375.000,00</v>
      </c>
      <c r="M2117" s="6" t="str">
        <f>"1.875.000,00"</f>
        <v>1.875.000,00</v>
      </c>
      <c r="N2117" s="8" t="s">
        <v>124</v>
      </c>
      <c r="O2117" s="7"/>
      <c r="P2117" s="2" t="s">
        <v>6861</v>
      </c>
      <c r="Q2117" s="7"/>
      <c r="R2117" s="1"/>
      <c r="S2117" s="1" t="str">
        <f>"NOS-68/21"</f>
        <v>NOS-68/21</v>
      </c>
      <c r="T2117" s="1" t="s">
        <v>32</v>
      </c>
    </row>
    <row r="2118" spans="1:20" ht="51" x14ac:dyDescent="0.25">
      <c r="A2118" s="6">
        <v>2114</v>
      </c>
      <c r="B2118" s="1" t="str">
        <f>"2021-1389"</f>
        <v>2021-1389</v>
      </c>
      <c r="C2118" s="1" t="s">
        <v>1739</v>
      </c>
      <c r="D2118" s="1" t="s">
        <v>78</v>
      </c>
      <c r="E2118" s="1" t="str">
        <f>""</f>
        <v/>
      </c>
      <c r="F2118" s="1" t="s">
        <v>28</v>
      </c>
      <c r="G2118" s="1" t="str">
        <f>CONCATENATE("EURO-TERA D.O.O.,"," TRG SENJSKIH USKOKA 8,"," 10000 ZAGREB,"," OIB: 86966588514")</f>
        <v>EURO-TERA D.O.O., TRG SENJSKIH USKOKA 8, 10000 ZAGREB, OIB: 86966588514</v>
      </c>
      <c r="H2118" s="7"/>
      <c r="I2118" s="8" t="s">
        <v>281</v>
      </c>
      <c r="J2118" s="8" t="s">
        <v>231</v>
      </c>
      <c r="K2118" s="6" t="str">
        <f>"26.400,00"</f>
        <v>26.400,00</v>
      </c>
      <c r="L2118" s="6" t="str">
        <f>"0,00"</f>
        <v>0,00</v>
      </c>
      <c r="M2118" s="6" t="str">
        <f>"26.400,00"</f>
        <v>26.400,00</v>
      </c>
      <c r="N2118" s="8" t="s">
        <v>124</v>
      </c>
      <c r="O2118" s="7"/>
      <c r="P2118" s="2" t="s">
        <v>5614</v>
      </c>
      <c r="Q2118" s="7"/>
      <c r="R2118" s="1"/>
      <c r="S2118" s="1" t="str">
        <f>"2-22/NOS-68/21"</f>
        <v>2-22/NOS-68/21</v>
      </c>
      <c r="T2118" s="1" t="s">
        <v>32</v>
      </c>
    </row>
    <row r="2119" spans="1:20" ht="51" x14ac:dyDescent="0.25">
      <c r="A2119" s="6">
        <v>2115</v>
      </c>
      <c r="B2119" s="1" t="str">
        <f>"2021-1389"</f>
        <v>2021-1389</v>
      </c>
      <c r="C2119" s="1" t="s">
        <v>1739</v>
      </c>
      <c r="D2119" s="1" t="s">
        <v>78</v>
      </c>
      <c r="E2119" s="1" t="str">
        <f>""</f>
        <v/>
      </c>
      <c r="F2119" s="1" t="s">
        <v>28</v>
      </c>
      <c r="G2119" s="1" t="str">
        <f>CONCATENATE("EURO-TERA D.O.O.,"," TRG SENJSKIH USKOKA 8,"," 10000 ZAGREB,"," OIB: 86966588514")</f>
        <v>EURO-TERA D.O.O., TRG SENJSKIH USKOKA 8, 10000 ZAGREB, OIB: 86966588514</v>
      </c>
      <c r="H2119" s="7"/>
      <c r="I2119" s="8" t="s">
        <v>525</v>
      </c>
      <c r="J2119" s="8" t="s">
        <v>1148</v>
      </c>
      <c r="K2119" s="6" t="str">
        <f>"18.400,00"</f>
        <v>18.400,00</v>
      </c>
      <c r="L2119" s="6" t="str">
        <f>"4.600,00"</f>
        <v>4.600,00</v>
      </c>
      <c r="M2119" s="6" t="str">
        <f>"23.000,00"</f>
        <v>23.000,00</v>
      </c>
      <c r="N2119" s="8" t="s">
        <v>1009</v>
      </c>
      <c r="O2119" s="7"/>
      <c r="P2119" s="2" t="s">
        <v>6861</v>
      </c>
      <c r="Q2119" s="7"/>
      <c r="R2119" s="1"/>
      <c r="S2119" s="1" t="str">
        <f>"4-22/NOS-68/21"</f>
        <v>4-22/NOS-68/21</v>
      </c>
      <c r="T2119" s="1" t="s">
        <v>32</v>
      </c>
    </row>
    <row r="2120" spans="1:20" ht="51" x14ac:dyDescent="0.25">
      <c r="A2120" s="6">
        <v>2116</v>
      </c>
      <c r="B2120" s="1" t="str">
        <f>"2021-1389"</f>
        <v>2021-1389</v>
      </c>
      <c r="C2120" s="1" t="s">
        <v>1739</v>
      </c>
      <c r="D2120" s="1" t="s">
        <v>78</v>
      </c>
      <c r="E2120" s="1" t="str">
        <f>""</f>
        <v/>
      </c>
      <c r="F2120" s="1" t="s">
        <v>28</v>
      </c>
      <c r="G2120" s="1" t="str">
        <f>CONCATENATE("EURO-TERA D.O.O.,"," TRG SENJSKIH USKOKA 8,"," 10000 ZAGREB,"," OIB: 86966588514")</f>
        <v>EURO-TERA D.O.O., TRG SENJSKIH USKOKA 8, 10000 ZAGREB, OIB: 86966588514</v>
      </c>
      <c r="H2120" s="7"/>
      <c r="I2120" s="8" t="s">
        <v>525</v>
      </c>
      <c r="J2120" s="8" t="s">
        <v>1148</v>
      </c>
      <c r="K2120" s="6" t="str">
        <f>"9.600,00"</f>
        <v>9.600,00</v>
      </c>
      <c r="L2120" s="6" t="str">
        <f>"0,00"</f>
        <v>0,00</v>
      </c>
      <c r="M2120" s="6" t="str">
        <f>"9.600,00"</f>
        <v>9.600,00</v>
      </c>
      <c r="N2120" s="8" t="s">
        <v>124</v>
      </c>
      <c r="O2120" s="7"/>
      <c r="P2120" s="2" t="s">
        <v>5614</v>
      </c>
      <c r="Q2120" s="7"/>
      <c r="R2120" s="1"/>
      <c r="S2120" s="1" t="str">
        <f>"5-22/NOS-68/21"</f>
        <v>5-22/NOS-68/21</v>
      </c>
      <c r="T2120" s="1" t="s">
        <v>32</v>
      </c>
    </row>
    <row r="2121" spans="1:20" ht="76.5" x14ac:dyDescent="0.25">
      <c r="A2121" s="6">
        <v>2117</v>
      </c>
      <c r="B2121" s="1" t="str">
        <f t="shared" ref="B2121:B2126" si="197">"2021-1898"</f>
        <v>2021-1898</v>
      </c>
      <c r="C2121" s="1" t="s">
        <v>1741</v>
      </c>
      <c r="D2121" s="1" t="s">
        <v>229</v>
      </c>
      <c r="E2121" s="1" t="str">
        <f>"2021/S 0F2-0044504"</f>
        <v>2021/S 0F2-0044504</v>
      </c>
      <c r="F2121" s="1" t="s">
        <v>22</v>
      </c>
      <c r="G2121" s="1" t="str">
        <f>CONCATENATE("HIDROTERM-SD D.O.O.,"," ,"," OIB: 929030013")</f>
        <v>HIDROTERM-SD D.O.O., , OIB: 929030013</v>
      </c>
      <c r="H2121" s="7"/>
      <c r="I2121" s="8" t="s">
        <v>350</v>
      </c>
      <c r="J2121" s="8" t="s">
        <v>1742</v>
      </c>
      <c r="K2121" s="6" t="str">
        <f>"360.000,00"</f>
        <v>360.000,00</v>
      </c>
      <c r="L2121" s="6" t="str">
        <f>"90.000,00"</f>
        <v>90.000,00</v>
      </c>
      <c r="M2121" s="6" t="str">
        <f>"450.000,00"</f>
        <v>450.000,00</v>
      </c>
      <c r="N2121" s="8" t="s">
        <v>124</v>
      </c>
      <c r="O2121" s="7"/>
      <c r="P2121" s="2" t="s">
        <v>5614</v>
      </c>
      <c r="Q2121" s="7"/>
      <c r="R2121" s="1"/>
      <c r="S2121" s="1" t="str">
        <f>"NOS-60-1/21"</f>
        <v>NOS-60-1/21</v>
      </c>
      <c r="T2121" s="1" t="s">
        <v>32</v>
      </c>
    </row>
    <row r="2122" spans="1:20" ht="76.5" x14ac:dyDescent="0.25">
      <c r="A2122" s="6">
        <v>2118</v>
      </c>
      <c r="B2122" s="1" t="str">
        <f t="shared" si="197"/>
        <v>2021-1898</v>
      </c>
      <c r="C2122" s="1" t="s">
        <v>1741</v>
      </c>
      <c r="D2122" s="1" t="s">
        <v>229</v>
      </c>
      <c r="E2122" s="1" t="str">
        <f>""</f>
        <v/>
      </c>
      <c r="F2122" s="1" t="s">
        <v>28</v>
      </c>
      <c r="G2122" s="1" t="str">
        <f>CONCATENATE("HIDROTERM-SD D.O.O.,"," OIB: 929030013")</f>
        <v>HIDROTERM-SD D.O.O., OIB: 929030013</v>
      </c>
      <c r="H2122" s="7"/>
      <c r="I2122" s="8" t="s">
        <v>1155</v>
      </c>
      <c r="J2122" s="8" t="s">
        <v>423</v>
      </c>
      <c r="K2122" s="6" t="str">
        <f>"108.546,88"</f>
        <v>108.546,88</v>
      </c>
      <c r="L2122" s="6" t="str">
        <f>"27.136,72"</f>
        <v>27.136,72</v>
      </c>
      <c r="M2122" s="6" t="str">
        <f>"135.683,60"</f>
        <v>135.683,60</v>
      </c>
      <c r="N2122" s="8" t="s">
        <v>383</v>
      </c>
      <c r="O2122" s="7"/>
      <c r="P2122" s="2" t="s">
        <v>6862</v>
      </c>
      <c r="Q2122" s="7"/>
      <c r="R2122" s="1"/>
      <c r="S2122" s="1" t="str">
        <f>"1-22/NOS-60-1/21"</f>
        <v>1-22/NOS-60-1/21</v>
      </c>
      <c r="T2122" s="1" t="s">
        <v>32</v>
      </c>
    </row>
    <row r="2123" spans="1:20" ht="76.5" x14ac:dyDescent="0.25">
      <c r="A2123" s="6">
        <v>2119</v>
      </c>
      <c r="B2123" s="1" t="str">
        <f t="shared" si="197"/>
        <v>2021-1898</v>
      </c>
      <c r="C2123" s="1" t="s">
        <v>1741</v>
      </c>
      <c r="D2123" s="1" t="s">
        <v>229</v>
      </c>
      <c r="E2123" s="1" t="str">
        <f>""</f>
        <v/>
      </c>
      <c r="F2123" s="1" t="s">
        <v>28</v>
      </c>
      <c r="G2123" s="1" t="str">
        <f>CONCATENATE("HIDROTERM-SD D.O.O.,"," SAVSKA CESTA 41,"," 10000 ZAGREB,"," OIB: 929030013")</f>
        <v>HIDROTERM-SD D.O.O., SAVSKA CESTA 41, 10000 ZAGREB, OIB: 929030013</v>
      </c>
      <c r="H2123" s="7"/>
      <c r="I2123" s="8" t="s">
        <v>433</v>
      </c>
      <c r="J2123" s="8" t="s">
        <v>292</v>
      </c>
      <c r="K2123" s="6" t="str">
        <f>"46.839,71"</f>
        <v>46.839,71</v>
      </c>
      <c r="L2123" s="6" t="str">
        <f>"0,00"</f>
        <v>0,00</v>
      </c>
      <c r="M2123" s="6" t="str">
        <f>"46.839,71"</f>
        <v>46.839,71</v>
      </c>
      <c r="N2123" s="8" t="s">
        <v>124</v>
      </c>
      <c r="O2123" s="7"/>
      <c r="P2123" s="2" t="s">
        <v>5614</v>
      </c>
      <c r="Q2123" s="7"/>
      <c r="R2123" s="1"/>
      <c r="S2123" s="1" t="str">
        <f>"2-22/NOS-60-1/21"</f>
        <v>2-22/NOS-60-1/21</v>
      </c>
      <c r="T2123" s="1" t="s">
        <v>32</v>
      </c>
    </row>
    <row r="2124" spans="1:20" ht="76.5" x14ac:dyDescent="0.25">
      <c r="A2124" s="6">
        <v>2120</v>
      </c>
      <c r="B2124" s="1" t="str">
        <f t="shared" si="197"/>
        <v>2021-1898</v>
      </c>
      <c r="C2124" s="1" t="s">
        <v>1741</v>
      </c>
      <c r="D2124" s="1" t="s">
        <v>229</v>
      </c>
      <c r="E2124" s="1" t="str">
        <f>""</f>
        <v/>
      </c>
      <c r="F2124" s="1" t="s">
        <v>28</v>
      </c>
      <c r="G2124" s="1" t="str">
        <f>CONCATENATE("HIDROTERM-SD D.O.O.,"," SAVSKA CESTA 41,"," 10000 ZAGREB,"," OIB: 929030013")</f>
        <v>HIDROTERM-SD D.O.O., SAVSKA CESTA 41, 10000 ZAGREB, OIB: 929030013</v>
      </c>
      <c r="H2124" s="7"/>
      <c r="I2124" s="8" t="s">
        <v>170</v>
      </c>
      <c r="J2124" s="8" t="s">
        <v>423</v>
      </c>
      <c r="K2124" s="6" t="str">
        <f>"12.000,00"</f>
        <v>12.000,00</v>
      </c>
      <c r="L2124" s="6" t="str">
        <f>"0,00"</f>
        <v>0,00</v>
      </c>
      <c r="M2124" s="6" t="str">
        <f>"12.000,00"</f>
        <v>12.000,00</v>
      </c>
      <c r="N2124" s="8" t="s">
        <v>124</v>
      </c>
      <c r="O2124" s="7"/>
      <c r="P2124" s="2" t="s">
        <v>5614</v>
      </c>
      <c r="Q2124" s="7"/>
      <c r="R2124" s="1"/>
      <c r="S2124" s="1" t="str">
        <f>"3-22/NOS-60-1/21"</f>
        <v>3-22/NOS-60-1/21</v>
      </c>
      <c r="T2124" s="1" t="s">
        <v>32</v>
      </c>
    </row>
    <row r="2125" spans="1:20" ht="76.5" x14ac:dyDescent="0.25">
      <c r="A2125" s="6">
        <v>2121</v>
      </c>
      <c r="B2125" s="1" t="str">
        <f t="shared" si="197"/>
        <v>2021-1898</v>
      </c>
      <c r="C2125" s="1" t="s">
        <v>1743</v>
      </c>
      <c r="D2125" s="1" t="s">
        <v>229</v>
      </c>
      <c r="E2125" s="1" t="str">
        <f>"2021/S 0F2-0044504"</f>
        <v>2021/S 0F2-0044504</v>
      </c>
      <c r="F2125" s="1" t="s">
        <v>22</v>
      </c>
      <c r="G2125" s="1" t="str">
        <f>CONCATENATE("HIDROTERM-SD D.O.O.,"," ,"," OIB: 929030013")</f>
        <v>HIDROTERM-SD D.O.O., , OIB: 929030013</v>
      </c>
      <c r="H2125" s="7"/>
      <c r="I2125" s="8" t="s">
        <v>350</v>
      </c>
      <c r="J2125" s="8" t="s">
        <v>1742</v>
      </c>
      <c r="K2125" s="6" t="str">
        <f>"800.000,00"</f>
        <v>800.000,00</v>
      </c>
      <c r="L2125" s="6" t="str">
        <f>"200.000,00"</f>
        <v>200.000,00</v>
      </c>
      <c r="M2125" s="6" t="str">
        <f>"1.000.000,00"</f>
        <v>1.000.000,00</v>
      </c>
      <c r="N2125" s="8" t="s">
        <v>124</v>
      </c>
      <c r="O2125" s="7"/>
      <c r="P2125" s="2" t="s">
        <v>5614</v>
      </c>
      <c r="Q2125" s="7"/>
      <c r="R2125" s="1"/>
      <c r="S2125" s="1" t="str">
        <f>"NOS-60-2/21"</f>
        <v>NOS-60-2/21</v>
      </c>
      <c r="T2125" s="1" t="s">
        <v>32</v>
      </c>
    </row>
    <row r="2126" spans="1:20" ht="76.5" x14ac:dyDescent="0.25">
      <c r="A2126" s="6">
        <v>2122</v>
      </c>
      <c r="B2126" s="1" t="str">
        <f t="shared" si="197"/>
        <v>2021-1898</v>
      </c>
      <c r="C2126" s="1" t="s">
        <v>1743</v>
      </c>
      <c r="D2126" s="1" t="s">
        <v>229</v>
      </c>
      <c r="E2126" s="1" t="str">
        <f>""</f>
        <v/>
      </c>
      <c r="F2126" s="1" t="s">
        <v>28</v>
      </c>
      <c r="G2126" s="1" t="str">
        <f>CONCATENATE("HIDROTERM-SD D.O.O.,"," OIB: 929030013")</f>
        <v>HIDROTERM-SD D.O.O., OIB: 929030013</v>
      </c>
      <c r="H2126" s="7"/>
      <c r="I2126" s="8" t="s">
        <v>1155</v>
      </c>
      <c r="J2126" s="8" t="s">
        <v>423</v>
      </c>
      <c r="K2126" s="6" t="str">
        <f>"78.038,40"</f>
        <v>78.038,40</v>
      </c>
      <c r="L2126" s="6" t="str">
        <f>"19.509,60"</f>
        <v>19.509,60</v>
      </c>
      <c r="M2126" s="6" t="str">
        <f>"97.548,00"</f>
        <v>97.548,00</v>
      </c>
      <c r="N2126" s="8" t="s">
        <v>383</v>
      </c>
      <c r="O2126" s="7"/>
      <c r="P2126" s="2" t="s">
        <v>6863</v>
      </c>
      <c r="Q2126" s="7"/>
      <c r="R2126" s="1"/>
      <c r="S2126" s="1" t="str">
        <f>"1-22/NOS-60-2/21"</f>
        <v>1-22/NOS-60-2/21</v>
      </c>
      <c r="T2126" s="1" t="s">
        <v>32</v>
      </c>
    </row>
    <row r="2127" spans="1:20" ht="51" x14ac:dyDescent="0.25">
      <c r="A2127" s="6">
        <v>2123</v>
      </c>
      <c r="B2127" s="1" t="str">
        <f>"2021-1915"</f>
        <v>2021-1915</v>
      </c>
      <c r="C2127" s="1" t="s">
        <v>1744</v>
      </c>
      <c r="D2127" s="1" t="s">
        <v>1150</v>
      </c>
      <c r="E2127" s="1" t="str">
        <f>"2022/S 0F2-0006113"</f>
        <v>2022/S 0F2-0006113</v>
      </c>
      <c r="F2127" s="1" t="s">
        <v>22</v>
      </c>
      <c r="G2127" s="1" t="str">
        <f>CONCATENATE("CIJAN D.O.O.,"," PUKLAVČEVA 9,"," 10000 ZAGREB,"," OIB: 17613720695")</f>
        <v>CIJAN D.O.O., PUKLAVČEVA 9, 10000 ZAGREB, OIB: 17613720695</v>
      </c>
      <c r="H2127" s="7"/>
      <c r="I2127" s="8" t="s">
        <v>521</v>
      </c>
      <c r="J2127" s="8" t="s">
        <v>1694</v>
      </c>
      <c r="K2127" s="6" t="str">
        <f>"600.000,00"</f>
        <v>600.000,00</v>
      </c>
      <c r="L2127" s="6" t="str">
        <f>"150.000,00"</f>
        <v>150.000,00</v>
      </c>
      <c r="M2127" s="6" t="str">
        <f>"750.000,00"</f>
        <v>750.000,00</v>
      </c>
      <c r="N2127" s="8" t="s">
        <v>124</v>
      </c>
      <c r="O2127" s="7"/>
      <c r="P2127" s="2" t="s">
        <v>5614</v>
      </c>
      <c r="Q2127" s="7"/>
      <c r="R2127" s="1"/>
      <c r="S2127" s="1" t="str">
        <f>"NOS-62/21"</f>
        <v>NOS-62/21</v>
      </c>
      <c r="T2127" s="1" t="s">
        <v>55</v>
      </c>
    </row>
    <row r="2128" spans="1:20" ht="51" x14ac:dyDescent="0.25">
      <c r="A2128" s="6">
        <v>2124</v>
      </c>
      <c r="B2128" s="1" t="str">
        <f>"2021-1915"</f>
        <v>2021-1915</v>
      </c>
      <c r="C2128" s="1" t="s">
        <v>1744</v>
      </c>
      <c r="D2128" s="1" t="s">
        <v>1150</v>
      </c>
      <c r="E2128" s="1" t="str">
        <f>""</f>
        <v/>
      </c>
      <c r="F2128" s="1" t="s">
        <v>28</v>
      </c>
      <c r="G2128" s="1" t="str">
        <f>CONCATENATE("CIJAN D.O.O.,"," PUKLAVČEVA 9,"," 10000 ZAGREB,"," OIB: 17613720695")</f>
        <v>CIJAN D.O.O., PUKLAVČEVA 9, 10000 ZAGREB, OIB: 17613720695</v>
      </c>
      <c r="H2128" s="7"/>
      <c r="I2128" s="8" t="s">
        <v>402</v>
      </c>
      <c r="J2128" s="8" t="s">
        <v>519</v>
      </c>
      <c r="K2128" s="6" t="str">
        <f>"85.640,00"</f>
        <v>85.640,00</v>
      </c>
      <c r="L2128" s="6" t="str">
        <f>"21.410,00"</f>
        <v>21.410,00</v>
      </c>
      <c r="M2128" s="6" t="str">
        <f>"107.050,00"</f>
        <v>107.050,00</v>
      </c>
      <c r="N2128" s="8" t="s">
        <v>931</v>
      </c>
      <c r="O2128" s="7"/>
      <c r="P2128" s="2" t="s">
        <v>6864</v>
      </c>
      <c r="Q2128" s="7"/>
      <c r="R2128" s="1"/>
      <c r="S2128" s="1" t="str">
        <f>"1-22/NOS-62/21"</f>
        <v>1-22/NOS-62/21</v>
      </c>
      <c r="T2128" s="1" t="s">
        <v>55</v>
      </c>
    </row>
    <row r="2129" spans="1:20" ht="51" x14ac:dyDescent="0.25">
      <c r="A2129" s="6">
        <v>2125</v>
      </c>
      <c r="B2129" s="1" t="str">
        <f>"2021-1915"</f>
        <v>2021-1915</v>
      </c>
      <c r="C2129" s="1" t="s">
        <v>1744</v>
      </c>
      <c r="D2129" s="1" t="s">
        <v>1150</v>
      </c>
      <c r="E2129" s="1" t="str">
        <f>""</f>
        <v/>
      </c>
      <c r="F2129" s="1" t="s">
        <v>28</v>
      </c>
      <c r="G2129" s="1" t="str">
        <f>CONCATENATE("CIJAN D.O.O.,"," PUKLAVČEVA 9,"," 10000 ZAGREB,"," OIB: 17613720695")</f>
        <v>CIJAN D.O.O., PUKLAVČEVA 9, 10000 ZAGREB, OIB: 17613720695</v>
      </c>
      <c r="H2129" s="7"/>
      <c r="I2129" s="8" t="s">
        <v>384</v>
      </c>
      <c r="J2129" s="8" t="s">
        <v>292</v>
      </c>
      <c r="K2129" s="6" t="str">
        <f>"33.140,00"</f>
        <v>33.140,00</v>
      </c>
      <c r="L2129" s="6" t="str">
        <f>"0,00"</f>
        <v>0,00</v>
      </c>
      <c r="M2129" s="6" t="str">
        <f>"33.140,00"</f>
        <v>33.140,00</v>
      </c>
      <c r="N2129" s="8" t="s">
        <v>124</v>
      </c>
      <c r="O2129" s="7"/>
      <c r="P2129" s="2" t="s">
        <v>5614</v>
      </c>
      <c r="Q2129" s="7"/>
      <c r="R2129" s="1"/>
      <c r="S2129" s="1" t="str">
        <f>"2-22/NOS-62/21"</f>
        <v>2-22/NOS-62/21</v>
      </c>
      <c r="T2129" s="1" t="s">
        <v>55</v>
      </c>
    </row>
    <row r="2130" spans="1:20" ht="63.75" x14ac:dyDescent="0.25">
      <c r="A2130" s="6">
        <v>2126</v>
      </c>
      <c r="B2130" s="1" t="str">
        <f>"2021-1920"</f>
        <v>2021-1920</v>
      </c>
      <c r="C2130" s="1" t="s">
        <v>1745</v>
      </c>
      <c r="D2130" s="1" t="s">
        <v>1373</v>
      </c>
      <c r="E2130" s="1" t="str">
        <f>"2021/S 0F2-0040160"</f>
        <v>2021/S 0F2-0040160</v>
      </c>
      <c r="F2130" s="1" t="s">
        <v>22</v>
      </c>
      <c r="G2130" s="1" t="str">
        <f>CONCATENATE("PA-EL D.O.O.,"," DUBROVČAN 33B,"," 49214 VELIKO TRGOVIŠĆE,"," OIB: 5674084932")</f>
        <v>PA-EL D.O.O., DUBROVČAN 33B, 49214 VELIKO TRGOVIŠĆE, OIB: 5674084932</v>
      </c>
      <c r="H2130" s="7"/>
      <c r="I2130" s="8" t="s">
        <v>521</v>
      </c>
      <c r="J2130" s="8" t="s">
        <v>1694</v>
      </c>
      <c r="K2130" s="6" t="str">
        <f>"1.600.000,00"</f>
        <v>1.600.000,00</v>
      </c>
      <c r="L2130" s="6" t="str">
        <f>"400.000,00"</f>
        <v>400.000,00</v>
      </c>
      <c r="M2130" s="6" t="str">
        <f>"2.000.000,00"</f>
        <v>2.000.000,00</v>
      </c>
      <c r="N2130" s="8" t="s">
        <v>124</v>
      </c>
      <c r="O2130" s="7"/>
      <c r="P2130" s="2" t="s">
        <v>5614</v>
      </c>
      <c r="Q2130" s="7"/>
      <c r="R2130" s="1"/>
      <c r="S2130" s="1" t="str">
        <f>"NOS-63/21"</f>
        <v>NOS-63/21</v>
      </c>
      <c r="T2130" s="1" t="s">
        <v>55</v>
      </c>
    </row>
    <row r="2131" spans="1:20" ht="63.75" x14ac:dyDescent="0.25">
      <c r="A2131" s="6">
        <v>2127</v>
      </c>
      <c r="B2131" s="1" t="str">
        <f>"2021-1920"</f>
        <v>2021-1920</v>
      </c>
      <c r="C2131" s="1" t="s">
        <v>1745</v>
      </c>
      <c r="D2131" s="1" t="s">
        <v>1373</v>
      </c>
      <c r="E2131" s="1" t="str">
        <f>""</f>
        <v/>
      </c>
      <c r="F2131" s="1" t="s">
        <v>28</v>
      </c>
      <c r="G2131" s="1" t="str">
        <f>CONCATENATE("PA-EL D.O.O.,"," DUBROVČAN 33B,"," 49214 VELIKO TRGOVIŠĆE,"," OIB: 5674084932")</f>
        <v>PA-EL D.O.O., DUBROVČAN 33B, 49214 VELIKO TRGOVIŠĆE, OIB: 5674084932</v>
      </c>
      <c r="H2131" s="7"/>
      <c r="I2131" s="8" t="s">
        <v>955</v>
      </c>
      <c r="J2131" s="8" t="s">
        <v>423</v>
      </c>
      <c r="K2131" s="6" t="str">
        <f>"109.390,00"</f>
        <v>109.390,00</v>
      </c>
      <c r="L2131" s="6" t="str">
        <f>"27.347,50"</f>
        <v>27.347,50</v>
      </c>
      <c r="M2131" s="6" t="str">
        <f>"136.737,50"</f>
        <v>136.737,50</v>
      </c>
      <c r="N2131" s="8" t="s">
        <v>409</v>
      </c>
      <c r="O2131" s="7"/>
      <c r="P2131" s="2" t="s">
        <v>6865</v>
      </c>
      <c r="Q2131" s="7"/>
      <c r="R2131" s="1"/>
      <c r="S2131" s="1" t="str">
        <f>"1-22/NOS-63/21"</f>
        <v>1-22/NOS-63/21</v>
      </c>
      <c r="T2131" s="1" t="s">
        <v>55</v>
      </c>
    </row>
    <row r="2132" spans="1:20" ht="63.75" x14ac:dyDescent="0.25">
      <c r="A2132" s="6">
        <v>2128</v>
      </c>
      <c r="B2132" s="1" t="str">
        <f>"2021-1920"</f>
        <v>2021-1920</v>
      </c>
      <c r="C2132" s="1" t="s">
        <v>1745</v>
      </c>
      <c r="D2132" s="1" t="s">
        <v>1373</v>
      </c>
      <c r="E2132" s="1" t="str">
        <f>""</f>
        <v/>
      </c>
      <c r="F2132" s="1" t="s">
        <v>28</v>
      </c>
      <c r="G2132" s="1" t="str">
        <f>CONCATENATE("PA-EL D.O.O.,"," DUBROVČAN 33B,"," 49214 VELIKO TRGOVIŠĆE,"," OIB: 5674084932")</f>
        <v>PA-EL D.O.O., DUBROVČAN 33B, 49214 VELIKO TRGOVIŠĆE, OIB: 5674084932</v>
      </c>
      <c r="H2132" s="7"/>
      <c r="I2132" s="8" t="s">
        <v>285</v>
      </c>
      <c r="J2132" s="8" t="s">
        <v>292</v>
      </c>
      <c r="K2132" s="6" t="str">
        <f>"18.405,00"</f>
        <v>18.405,00</v>
      </c>
      <c r="L2132" s="6" t="str">
        <f>"0,00"</f>
        <v>0,00</v>
      </c>
      <c r="M2132" s="6" t="str">
        <f>"18.405,00"</f>
        <v>18.405,00</v>
      </c>
      <c r="N2132" s="8" t="s">
        <v>124</v>
      </c>
      <c r="O2132" s="7"/>
      <c r="P2132" s="2" t="s">
        <v>5614</v>
      </c>
      <c r="Q2132" s="7"/>
      <c r="R2132" s="1"/>
      <c r="S2132" s="1" t="str">
        <f>"2-22/NOS-63/21"</f>
        <v>2-22/NOS-63/21</v>
      </c>
      <c r="T2132" s="1" t="s">
        <v>55</v>
      </c>
    </row>
    <row r="2133" spans="1:20" ht="63.75" x14ac:dyDescent="0.25">
      <c r="A2133" s="6">
        <v>2129</v>
      </c>
      <c r="B2133" s="1" t="str">
        <f>"2021-1920"</f>
        <v>2021-1920</v>
      </c>
      <c r="C2133" s="1" t="s">
        <v>1745</v>
      </c>
      <c r="D2133" s="1" t="s">
        <v>1373</v>
      </c>
      <c r="E2133" s="1" t="str">
        <f>""</f>
        <v/>
      </c>
      <c r="F2133" s="1" t="s">
        <v>28</v>
      </c>
      <c r="G2133" s="1" t="str">
        <f>CONCATENATE("PA-EL D.O.O.,"," DUBROVČAN 33B,"," 49214 VELIKO TRGOVIŠĆE,"," OIB: 5674084932")</f>
        <v>PA-EL D.O.O., DUBROVČAN 33B, 49214 VELIKO TRGOVIŠĆE, OIB: 5674084932</v>
      </c>
      <c r="H2133" s="7"/>
      <c r="I2133" s="8" t="s">
        <v>227</v>
      </c>
      <c r="J2133" s="8" t="s">
        <v>231</v>
      </c>
      <c r="K2133" s="6" t="str">
        <f>"172.134,50"</f>
        <v>172.134,50</v>
      </c>
      <c r="L2133" s="6" t="str">
        <f>"0,00"</f>
        <v>0,00</v>
      </c>
      <c r="M2133" s="6" t="str">
        <f>"172.134,50"</f>
        <v>172.134,50</v>
      </c>
      <c r="N2133" s="8" t="s">
        <v>124</v>
      </c>
      <c r="O2133" s="7"/>
      <c r="P2133" s="2" t="s">
        <v>5614</v>
      </c>
      <c r="Q2133" s="7"/>
      <c r="R2133" s="1"/>
      <c r="S2133" s="1" t="str">
        <f>"3-22/NOS-63/21"</f>
        <v>3-22/NOS-63/21</v>
      </c>
      <c r="T2133" s="1" t="s">
        <v>55</v>
      </c>
    </row>
    <row r="2134" spans="1:20" ht="51" x14ac:dyDescent="0.25">
      <c r="A2134" s="6">
        <v>2130</v>
      </c>
      <c r="B2134" s="1" t="str">
        <f>"2021-2267"</f>
        <v>2021-2267</v>
      </c>
      <c r="C2134" s="1" t="s">
        <v>1746</v>
      </c>
      <c r="D2134" s="1" t="s">
        <v>78</v>
      </c>
      <c r="E2134" s="1" t="str">
        <f>"2022/S 0F2-0005935"</f>
        <v>2022/S 0F2-0005935</v>
      </c>
      <c r="F2134" s="1" t="s">
        <v>22</v>
      </c>
      <c r="G2134" s="1" t="str">
        <f>CONCATENATE("INFOART D.O.O.,"," LASTOVSKA 23,"," 10000 ZAGREB,"," OIB: 88255578438")</f>
        <v>INFOART D.O.O., LASTOVSKA 23, 10000 ZAGREB, OIB: 88255578438</v>
      </c>
      <c r="H2134" s="7"/>
      <c r="I2134" s="8" t="s">
        <v>898</v>
      </c>
      <c r="J2134" s="8" t="s">
        <v>1707</v>
      </c>
      <c r="K2134" s="6" t="str">
        <f>"1.900.000,00"</f>
        <v>1.900.000,00</v>
      </c>
      <c r="L2134" s="6" t="str">
        <f>"475.000,00"</f>
        <v>475.000,00</v>
      </c>
      <c r="M2134" s="6" t="str">
        <f>"2.375.000,00"</f>
        <v>2.375.000,00</v>
      </c>
      <c r="N2134" s="8" t="s">
        <v>124</v>
      </c>
      <c r="O2134" s="7"/>
      <c r="P2134" s="2" t="s">
        <v>5614</v>
      </c>
      <c r="Q2134" s="7"/>
      <c r="R2134" s="1"/>
      <c r="S2134" s="1" t="str">
        <f>"NOS-65/21"</f>
        <v>NOS-65/21</v>
      </c>
      <c r="T2134" s="1" t="s">
        <v>55</v>
      </c>
    </row>
    <row r="2135" spans="1:20" ht="51" x14ac:dyDescent="0.25">
      <c r="A2135" s="6">
        <v>2131</v>
      </c>
      <c r="B2135" s="1" t="str">
        <f>"2021-2267"</f>
        <v>2021-2267</v>
      </c>
      <c r="C2135" s="1" t="s">
        <v>1746</v>
      </c>
      <c r="D2135" s="1" t="s">
        <v>78</v>
      </c>
      <c r="E2135" s="1" t="str">
        <f>""</f>
        <v/>
      </c>
      <c r="F2135" s="1" t="s">
        <v>28</v>
      </c>
      <c r="G2135" s="1" t="str">
        <f>CONCATENATE("INFOART D.O.O.,"," LASTOVSKA 23,"," 10000 ZAGREB,"," OIB: 88255578438")</f>
        <v>INFOART D.O.O., LASTOVSKA 23, 10000 ZAGREB, OIB: 88255578438</v>
      </c>
      <c r="H2135" s="7"/>
      <c r="I2135" s="8" t="s">
        <v>402</v>
      </c>
      <c r="J2135" s="8" t="s">
        <v>1187</v>
      </c>
      <c r="K2135" s="6" t="str">
        <f>"150.000,00"</f>
        <v>150.000,00</v>
      </c>
      <c r="L2135" s="6" t="str">
        <f>"0,00"</f>
        <v>0,00</v>
      </c>
      <c r="M2135" s="6" t="str">
        <f>"150.000,00"</f>
        <v>150.000,00</v>
      </c>
      <c r="N2135" s="8" t="s">
        <v>124</v>
      </c>
      <c r="O2135" s="7"/>
      <c r="P2135" s="2" t="s">
        <v>5614</v>
      </c>
      <c r="Q2135" s="7"/>
      <c r="R2135" s="1"/>
      <c r="S2135" s="1" t="str">
        <f>"1-22/NOS-65/21"</f>
        <v>1-22/NOS-65/21</v>
      </c>
      <c r="T2135" s="1" t="s">
        <v>55</v>
      </c>
    </row>
    <row r="2136" spans="1:20" ht="51" x14ac:dyDescent="0.25">
      <c r="A2136" s="6">
        <v>2132</v>
      </c>
      <c r="B2136" s="1" t="str">
        <f>"2021-2267"</f>
        <v>2021-2267</v>
      </c>
      <c r="C2136" s="1" t="s">
        <v>1746</v>
      </c>
      <c r="D2136" s="1" t="s">
        <v>78</v>
      </c>
      <c r="E2136" s="1" t="str">
        <f>""</f>
        <v/>
      </c>
      <c r="F2136" s="1" t="s">
        <v>28</v>
      </c>
      <c r="G2136" s="1" t="str">
        <f>CONCATENATE("INFOART D.O.O.,"," LASTOVSKA 23,"," 10000 ZAGREB,"," OIB: 88255578438")</f>
        <v>INFOART D.O.O., LASTOVSKA 23, 10000 ZAGREB, OIB: 88255578438</v>
      </c>
      <c r="H2136" s="7"/>
      <c r="I2136" s="8" t="s">
        <v>509</v>
      </c>
      <c r="J2136" s="8" t="s">
        <v>1148</v>
      </c>
      <c r="K2136" s="6" t="str">
        <f>"150.000,00"</f>
        <v>150.000,00</v>
      </c>
      <c r="L2136" s="6" t="str">
        <f>"0,00"</f>
        <v>0,00</v>
      </c>
      <c r="M2136" s="6" t="str">
        <f>"150.000,00"</f>
        <v>150.000,00</v>
      </c>
      <c r="N2136" s="8" t="s">
        <v>124</v>
      </c>
      <c r="O2136" s="7"/>
      <c r="P2136" s="2" t="s">
        <v>5614</v>
      </c>
      <c r="Q2136" s="7"/>
      <c r="R2136" s="1"/>
      <c r="S2136" s="1" t="str">
        <f>"2-22/NOS-65/21"</f>
        <v>2-22/NOS-65/21</v>
      </c>
      <c r="T2136" s="1" t="s">
        <v>55</v>
      </c>
    </row>
    <row r="2137" spans="1:20" ht="63.75" x14ac:dyDescent="0.25">
      <c r="A2137" s="6">
        <v>2133</v>
      </c>
      <c r="B2137" s="1" t="str">
        <f>"2021-1853"</f>
        <v>2021-1853</v>
      </c>
      <c r="C2137" s="1" t="s">
        <v>1747</v>
      </c>
      <c r="D2137" s="1" t="s">
        <v>1748</v>
      </c>
      <c r="E2137" s="1" t="str">
        <f>"2021/S 0F2-0043764"</f>
        <v>2021/S 0F2-0043764</v>
      </c>
      <c r="F2137" s="1" t="s">
        <v>22</v>
      </c>
      <c r="G2137" s="1" t="str">
        <f>CONCATENATE("AQUACHEM D.O.O.,"," JALŠEVEČKI ODVOJAK 17,"," 10310 IVANIĆ GRAD,"," OIB: 17436320396")</f>
        <v>AQUACHEM D.O.O., JALŠEVEČKI ODVOJAK 17, 10310 IVANIĆ GRAD, OIB: 17436320396</v>
      </c>
      <c r="H2137" s="7"/>
      <c r="I2137" s="8" t="s">
        <v>487</v>
      </c>
      <c r="J2137" s="8" t="s">
        <v>1749</v>
      </c>
      <c r="K2137" s="6" t="str">
        <f>"1.050.000,00"</f>
        <v>1.050.000,00</v>
      </c>
      <c r="L2137" s="6" t="str">
        <f>"262.500,00"</f>
        <v>262.500,00</v>
      </c>
      <c r="M2137" s="6" t="str">
        <f>"1.312.500,00"</f>
        <v>1.312.500,00</v>
      </c>
      <c r="N2137" s="8" t="s">
        <v>124</v>
      </c>
      <c r="O2137" s="7"/>
      <c r="P2137" s="2" t="s">
        <v>5614</v>
      </c>
      <c r="Q2137" s="7"/>
      <c r="R2137" s="1"/>
      <c r="S2137" s="1" t="str">
        <f>"NOS-69-1/21"</f>
        <v>NOS-69-1/21</v>
      </c>
      <c r="T2137" s="1" t="s">
        <v>32</v>
      </c>
    </row>
    <row r="2138" spans="1:20" ht="63.75" x14ac:dyDescent="0.25">
      <c r="A2138" s="6">
        <v>2134</v>
      </c>
      <c r="B2138" s="1" t="str">
        <f>"2021-1853"</f>
        <v>2021-1853</v>
      </c>
      <c r="C2138" s="1" t="s">
        <v>1747</v>
      </c>
      <c r="D2138" s="1" t="s">
        <v>1750</v>
      </c>
      <c r="E2138" s="1" t="str">
        <f>""</f>
        <v/>
      </c>
      <c r="F2138" s="1" t="s">
        <v>28</v>
      </c>
      <c r="G2138" s="1" t="str">
        <f>CONCATENATE("AQUACHEM D.O.O.,"," JALŠEVEČKI ODVOJAK 17,"," 10310 IVANIĆ GRAD,"," OIB: 17436320396")</f>
        <v>AQUACHEM D.O.O., JALŠEVEČKI ODVOJAK 17, 10310 IVANIĆ GRAD, OIB: 17436320396</v>
      </c>
      <c r="H2138" s="7"/>
      <c r="I2138" s="8" t="s">
        <v>955</v>
      </c>
      <c r="J2138" s="8" t="s">
        <v>851</v>
      </c>
      <c r="K2138" s="6" t="str">
        <f>"298.521,46"</f>
        <v>298.521,46</v>
      </c>
      <c r="L2138" s="6" t="str">
        <f>"0,00"</f>
        <v>0,00</v>
      </c>
      <c r="M2138" s="6" t="str">
        <f>"298.521,46"</f>
        <v>298.521,46</v>
      </c>
      <c r="N2138" s="8" t="s">
        <v>124</v>
      </c>
      <c r="O2138" s="7"/>
      <c r="P2138" s="2" t="s">
        <v>5614</v>
      </c>
      <c r="Q2138" s="7"/>
      <c r="R2138" s="1"/>
      <c r="S2138" s="1" t="str">
        <f>"1-22/NOS-69-1/21"</f>
        <v>1-22/NOS-69-1/21</v>
      </c>
      <c r="T2138" s="1" t="s">
        <v>32</v>
      </c>
    </row>
    <row r="2139" spans="1:20" ht="63.75" x14ac:dyDescent="0.25">
      <c r="A2139" s="6">
        <v>2135</v>
      </c>
      <c r="B2139" s="1" t="str">
        <f>"2021-1853"</f>
        <v>2021-1853</v>
      </c>
      <c r="C2139" s="1" t="s">
        <v>1751</v>
      </c>
      <c r="D2139" s="1" t="s">
        <v>1748</v>
      </c>
      <c r="E2139" s="1" t="str">
        <f>"2021/S 0F2-0043764"</f>
        <v>2021/S 0F2-0043764</v>
      </c>
      <c r="F2139" s="1" t="s">
        <v>22</v>
      </c>
      <c r="G2139" s="1" t="str">
        <f>CONCATENATE("NOVI DROP D.O.O.,"," SVETOG ANTONA 22,"," 52466 NOVIGRAD (CITTANOVA),"," OIB: 01551071528")</f>
        <v>NOVI DROP D.O.O., SVETOG ANTONA 22, 52466 NOVIGRAD (CITTANOVA), OIB: 01551071528</v>
      </c>
      <c r="H2139" s="7"/>
      <c r="I2139" s="8" t="s">
        <v>487</v>
      </c>
      <c r="J2139" s="8" t="s">
        <v>1749</v>
      </c>
      <c r="K2139" s="6" t="str">
        <f>"550.000,00"</f>
        <v>550.000,00</v>
      </c>
      <c r="L2139" s="6" t="str">
        <f>"137.500,00"</f>
        <v>137.500,00</v>
      </c>
      <c r="M2139" s="6" t="str">
        <f>"687.500,00"</f>
        <v>687.500,00</v>
      </c>
      <c r="N2139" s="8" t="s">
        <v>124</v>
      </c>
      <c r="O2139" s="7"/>
      <c r="P2139" s="2" t="s">
        <v>5614</v>
      </c>
      <c r="Q2139" s="7"/>
      <c r="R2139" s="1"/>
      <c r="S2139" s="1" t="str">
        <f>"NOS-69-2/21"</f>
        <v>NOS-69-2/21</v>
      </c>
      <c r="T2139" s="1" t="s">
        <v>32</v>
      </c>
    </row>
    <row r="2140" spans="1:20" ht="63.75" x14ac:dyDescent="0.25">
      <c r="A2140" s="6">
        <v>2136</v>
      </c>
      <c r="B2140" s="1" t="str">
        <f>"2021-1853"</f>
        <v>2021-1853</v>
      </c>
      <c r="C2140" s="1" t="s">
        <v>1751</v>
      </c>
      <c r="D2140" s="1" t="s">
        <v>1750</v>
      </c>
      <c r="E2140" s="1" t="str">
        <f>""</f>
        <v/>
      </c>
      <c r="F2140" s="1" t="s">
        <v>28</v>
      </c>
      <c r="G2140" s="1" t="str">
        <f>CONCATENATE("NOVI DROP D.O.O.,"," SVETOG ANTONA 22,"," 52466 NOVIGRAD (CITTANOVA),"," OIB: 01551071528")</f>
        <v>NOVI DROP D.O.O., SVETOG ANTONA 22, 52466 NOVIGRAD (CITTANOVA), OIB: 01551071528</v>
      </c>
      <c r="H2140" s="7"/>
      <c r="I2140" s="8" t="s">
        <v>955</v>
      </c>
      <c r="J2140" s="8" t="s">
        <v>519</v>
      </c>
      <c r="K2140" s="6" t="str">
        <f>"97.374,58"</f>
        <v>97.374,58</v>
      </c>
      <c r="L2140" s="6" t="str">
        <f>"7.293,08"</f>
        <v>7.293,08</v>
      </c>
      <c r="M2140" s="6" t="str">
        <f>"104.667,66"</f>
        <v>104.667,66</v>
      </c>
      <c r="N2140" s="8" t="s">
        <v>732</v>
      </c>
      <c r="O2140" s="7"/>
      <c r="P2140" s="2" t="s">
        <v>6866</v>
      </c>
      <c r="Q2140" s="7"/>
      <c r="R2140" s="1"/>
      <c r="S2140" s="1" t="str">
        <f>"1-22/NOS-69-2/21"</f>
        <v>1-22/NOS-69-2/21</v>
      </c>
      <c r="T2140" s="1" t="s">
        <v>32</v>
      </c>
    </row>
    <row r="2141" spans="1:20" ht="165.75" x14ac:dyDescent="0.25">
      <c r="A2141" s="6">
        <v>2137</v>
      </c>
      <c r="B2141" s="1" t="str">
        <f t="shared" ref="B2141:B2147" si="198">"2021-1806"</f>
        <v>2021-1806</v>
      </c>
      <c r="C2141" s="1" t="s">
        <v>590</v>
      </c>
      <c r="D2141" s="1" t="s">
        <v>74</v>
      </c>
      <c r="E2141" s="1" t="str">
        <f>"2022/S 0F2-0008367"</f>
        <v>2022/S 0F2-0008367</v>
      </c>
      <c r="F2141" s="1" t="s">
        <v>22</v>
      </c>
      <c r="G2141" s="1" t="str">
        <f t="shared" ref="G2141:G2147" si="199">CONCATENATE("GLOBALDIZAJN D.O.O.,"," BUZIN,"," BANI 75,"," 10000 ZAGREB,"," OIB: 2562731408")</f>
        <v>GLOBALDIZAJN D.O.O., BUZIN, BANI 75, 10000 ZAGREB, OIB: 2562731408</v>
      </c>
      <c r="H2141" s="7"/>
      <c r="I2141" s="8" t="s">
        <v>862</v>
      </c>
      <c r="J2141" s="8" t="s">
        <v>1707</v>
      </c>
      <c r="K2141" s="6" t="str">
        <f>"1.810.000,00"</f>
        <v>1.810.000,00</v>
      </c>
      <c r="L2141" s="6" t="str">
        <f>"452.500,00"</f>
        <v>452.500,00</v>
      </c>
      <c r="M2141" s="6" t="str">
        <f>"2.262.500,00"</f>
        <v>2.262.500,00</v>
      </c>
      <c r="N2141" s="8" t="s">
        <v>124</v>
      </c>
      <c r="O2141" s="7"/>
      <c r="P2141" s="2" t="s">
        <v>5614</v>
      </c>
      <c r="Q2141" s="7"/>
      <c r="R2141" s="1"/>
      <c r="S2141" s="1" t="str">
        <f>"NOS-64-ZGH/21"</f>
        <v>NOS-64-ZGH/21</v>
      </c>
      <c r="T2141" s="1" t="s">
        <v>49</v>
      </c>
    </row>
    <row r="2142" spans="1:20" ht="51" x14ac:dyDescent="0.25">
      <c r="A2142" s="6">
        <v>2138</v>
      </c>
      <c r="B2142" s="1" t="str">
        <f t="shared" si="198"/>
        <v>2021-1806</v>
      </c>
      <c r="C2142" s="1" t="s">
        <v>590</v>
      </c>
      <c r="D2142" s="1" t="s">
        <v>78</v>
      </c>
      <c r="E2142" s="1" t="str">
        <f>""</f>
        <v/>
      </c>
      <c r="F2142" s="1" t="s">
        <v>28</v>
      </c>
      <c r="G2142" s="1" t="str">
        <f t="shared" si="199"/>
        <v>GLOBALDIZAJN D.O.O., BUZIN, BANI 75, 10000 ZAGREB, OIB: 2562731408</v>
      </c>
      <c r="H2142" s="7"/>
      <c r="I2142" s="8" t="s">
        <v>428</v>
      </c>
      <c r="J2142" s="8" t="s">
        <v>389</v>
      </c>
      <c r="K2142" s="6" t="str">
        <f>"40.070,00"</f>
        <v>40.070,00</v>
      </c>
      <c r="L2142" s="6" t="str">
        <f>"10.017,50"</f>
        <v>10.017,50</v>
      </c>
      <c r="M2142" s="6" t="str">
        <f>"50.087,50"</f>
        <v>50.087,50</v>
      </c>
      <c r="N2142" s="8" t="s">
        <v>124</v>
      </c>
      <c r="O2142" s="7"/>
      <c r="P2142" s="2" t="s">
        <v>6867</v>
      </c>
      <c r="Q2142" s="7"/>
      <c r="R2142" s="1"/>
      <c r="S2142" s="1" t="str">
        <f>"2-22/NOS-64-ZGH/21"</f>
        <v>2-22/NOS-64-ZGH/21</v>
      </c>
      <c r="T2142" s="1" t="s">
        <v>43</v>
      </c>
    </row>
    <row r="2143" spans="1:20" ht="51" x14ac:dyDescent="0.25">
      <c r="A2143" s="6">
        <v>2139</v>
      </c>
      <c r="B2143" s="1" t="str">
        <f t="shared" si="198"/>
        <v>2021-1806</v>
      </c>
      <c r="C2143" s="1" t="s">
        <v>590</v>
      </c>
      <c r="D2143" s="1" t="s">
        <v>78</v>
      </c>
      <c r="E2143" s="1" t="str">
        <f>""</f>
        <v/>
      </c>
      <c r="F2143" s="1" t="s">
        <v>28</v>
      </c>
      <c r="G2143" s="1" t="str">
        <f t="shared" si="199"/>
        <v>GLOBALDIZAJN D.O.O., BUZIN, BANI 75, 10000 ZAGREB, OIB: 2562731408</v>
      </c>
      <c r="H2143" s="7"/>
      <c r="I2143" s="8" t="s">
        <v>365</v>
      </c>
      <c r="J2143" s="8" t="s">
        <v>1153</v>
      </c>
      <c r="K2143" s="6" t="str">
        <f>"49.670,00"</f>
        <v>49.670,00</v>
      </c>
      <c r="L2143" s="6" t="str">
        <f>"12.417,50"</f>
        <v>12.417,50</v>
      </c>
      <c r="M2143" s="6" t="str">
        <f>"62.087,50"</f>
        <v>62.087,50</v>
      </c>
      <c r="N2143" s="8" t="s">
        <v>124</v>
      </c>
      <c r="O2143" s="7"/>
      <c r="P2143" s="2" t="s">
        <v>5614</v>
      </c>
      <c r="Q2143" s="7"/>
      <c r="R2143" s="1"/>
      <c r="S2143" s="1" t="str">
        <f>"3-22/NOS-64-ZGH/21"</f>
        <v>3-22/NOS-64-ZGH/21</v>
      </c>
      <c r="T2143" s="1" t="s">
        <v>86</v>
      </c>
    </row>
    <row r="2144" spans="1:20" ht="51" x14ac:dyDescent="0.25">
      <c r="A2144" s="6">
        <v>2140</v>
      </c>
      <c r="B2144" s="1" t="str">
        <f t="shared" si="198"/>
        <v>2021-1806</v>
      </c>
      <c r="C2144" s="1" t="s">
        <v>590</v>
      </c>
      <c r="D2144" s="1" t="s">
        <v>78</v>
      </c>
      <c r="E2144" s="1" t="str">
        <f>""</f>
        <v/>
      </c>
      <c r="F2144" s="1" t="s">
        <v>28</v>
      </c>
      <c r="G2144" s="1" t="str">
        <f t="shared" si="199"/>
        <v>GLOBALDIZAJN D.O.O., BUZIN, BANI 75, 10000 ZAGREB, OIB: 2562731408</v>
      </c>
      <c r="H2144" s="7"/>
      <c r="I2144" s="8" t="s">
        <v>415</v>
      </c>
      <c r="J2144" s="8" t="s">
        <v>1752</v>
      </c>
      <c r="K2144" s="6" t="str">
        <f>"329.020,00"</f>
        <v>329.020,00</v>
      </c>
      <c r="L2144" s="6" t="str">
        <f>"60.616,52"</f>
        <v>60.616,52</v>
      </c>
      <c r="M2144" s="6" t="str">
        <f>"389.636,52"</f>
        <v>389.636,52</v>
      </c>
      <c r="N2144" s="8" t="s">
        <v>384</v>
      </c>
      <c r="O2144" s="7"/>
      <c r="P2144" s="2" t="s">
        <v>6868</v>
      </c>
      <c r="Q2144" s="7"/>
      <c r="R2144" s="1"/>
      <c r="S2144" s="1" t="str">
        <f>"5-22/NOS-64-ZGH/21"</f>
        <v>5-22/NOS-64-ZGH/21</v>
      </c>
      <c r="T2144" s="1" t="s">
        <v>32</v>
      </c>
    </row>
    <row r="2145" spans="1:20" ht="51" x14ac:dyDescent="0.25">
      <c r="A2145" s="6">
        <v>2141</v>
      </c>
      <c r="B2145" s="1" t="str">
        <f t="shared" si="198"/>
        <v>2021-1806</v>
      </c>
      <c r="C2145" s="1" t="s">
        <v>590</v>
      </c>
      <c r="D2145" s="1" t="s">
        <v>78</v>
      </c>
      <c r="E2145" s="1" t="str">
        <f>""</f>
        <v/>
      </c>
      <c r="F2145" s="1" t="s">
        <v>28</v>
      </c>
      <c r="G2145" s="1" t="str">
        <f t="shared" si="199"/>
        <v>GLOBALDIZAJN D.O.O., BUZIN, BANI 75, 10000 ZAGREB, OIB: 2562731408</v>
      </c>
      <c r="H2145" s="7"/>
      <c r="I2145" s="8" t="s">
        <v>31</v>
      </c>
      <c r="J2145" s="8" t="s">
        <v>393</v>
      </c>
      <c r="K2145" s="6" t="str">
        <f>"2.000,00"</f>
        <v>2.000,00</v>
      </c>
      <c r="L2145" s="6" t="str">
        <f>"500,00"</f>
        <v>500,00</v>
      </c>
      <c r="M2145" s="6" t="str">
        <f>"2.500,00"</f>
        <v>2.500,00</v>
      </c>
      <c r="N2145" s="8" t="s">
        <v>508</v>
      </c>
      <c r="O2145" s="7"/>
      <c r="P2145" s="2" t="s">
        <v>6405</v>
      </c>
      <c r="Q2145" s="7"/>
      <c r="R2145" s="1"/>
      <c r="S2145" s="1" t="str">
        <f>"6-22/NOS-64-ZGH/21"</f>
        <v>6-22/NOS-64-ZGH/21</v>
      </c>
      <c r="T2145" s="1" t="s">
        <v>43</v>
      </c>
    </row>
    <row r="2146" spans="1:20" ht="51" x14ac:dyDescent="0.25">
      <c r="A2146" s="6">
        <v>2142</v>
      </c>
      <c r="B2146" s="1" t="str">
        <f t="shared" si="198"/>
        <v>2021-1806</v>
      </c>
      <c r="C2146" s="1" t="s">
        <v>590</v>
      </c>
      <c r="D2146" s="1" t="s">
        <v>78</v>
      </c>
      <c r="E2146" s="1" t="str">
        <f>""</f>
        <v/>
      </c>
      <c r="F2146" s="1" t="s">
        <v>28</v>
      </c>
      <c r="G2146" s="1" t="str">
        <f t="shared" si="199"/>
        <v>GLOBALDIZAJN D.O.O., BUZIN, BANI 75, 10000 ZAGREB, OIB: 2562731408</v>
      </c>
      <c r="H2146" s="7"/>
      <c r="I2146" s="8" t="s">
        <v>409</v>
      </c>
      <c r="J2146" s="8" t="s">
        <v>555</v>
      </c>
      <c r="K2146" s="6" t="str">
        <f>"4.620,00"</f>
        <v>4.620,00</v>
      </c>
      <c r="L2146" s="6" t="str">
        <f>"0,00"</f>
        <v>0,00</v>
      </c>
      <c r="M2146" s="6" t="str">
        <f>"4.620,00"</f>
        <v>4.620,00</v>
      </c>
      <c r="N2146" s="8" t="s">
        <v>124</v>
      </c>
      <c r="O2146" s="7"/>
      <c r="P2146" s="2" t="s">
        <v>5614</v>
      </c>
      <c r="Q2146" s="7"/>
      <c r="R2146" s="1"/>
      <c r="S2146" s="1" t="str">
        <f>"1-22/NOS-64-ZGH/21"</f>
        <v>1-22/NOS-64-ZGH/21</v>
      </c>
      <c r="T2146" s="1" t="s">
        <v>55</v>
      </c>
    </row>
    <row r="2147" spans="1:20" ht="51" x14ac:dyDescent="0.25">
      <c r="A2147" s="6">
        <v>2143</v>
      </c>
      <c r="B2147" s="1" t="str">
        <f t="shared" si="198"/>
        <v>2021-1806</v>
      </c>
      <c r="C2147" s="1" t="s">
        <v>590</v>
      </c>
      <c r="D2147" s="1" t="s">
        <v>78</v>
      </c>
      <c r="E2147" s="1" t="str">
        <f>""</f>
        <v/>
      </c>
      <c r="F2147" s="1" t="s">
        <v>28</v>
      </c>
      <c r="G2147" s="1" t="str">
        <f t="shared" si="199"/>
        <v>GLOBALDIZAJN D.O.O., BUZIN, BANI 75, 10000 ZAGREB, OIB: 2562731408</v>
      </c>
      <c r="H2147" s="7"/>
      <c r="I2147" s="8" t="s">
        <v>509</v>
      </c>
      <c r="J2147" s="8" t="s">
        <v>555</v>
      </c>
      <c r="K2147" s="6" t="str">
        <f>"7.080,00"</f>
        <v>7.080,00</v>
      </c>
      <c r="L2147" s="6" t="str">
        <f>"0,00"</f>
        <v>0,00</v>
      </c>
      <c r="M2147" s="6" t="str">
        <f>"7.080,00"</f>
        <v>7.080,00</v>
      </c>
      <c r="N2147" s="8" t="s">
        <v>124</v>
      </c>
      <c r="O2147" s="7"/>
      <c r="P2147" s="2" t="s">
        <v>5614</v>
      </c>
      <c r="Q2147" s="7"/>
      <c r="R2147" s="1"/>
      <c r="S2147" s="1" t="str">
        <f>"4-22/NOS-64-ZGH/21"</f>
        <v>4-22/NOS-64-ZGH/21</v>
      </c>
      <c r="T2147" s="1" t="s">
        <v>55</v>
      </c>
    </row>
    <row r="2148" spans="1:20" ht="114.75" x14ac:dyDescent="0.25">
      <c r="A2148" s="6">
        <v>2144</v>
      </c>
      <c r="B2148" s="1" t="str">
        <f t="shared" ref="B2148:B2155" si="200">"2021-233"</f>
        <v>2021-233</v>
      </c>
      <c r="C2148" s="1" t="s">
        <v>1753</v>
      </c>
      <c r="D2148" s="1" t="s">
        <v>700</v>
      </c>
      <c r="E2148" s="1" t="str">
        <f>"2021/S 0F2-0044508"</f>
        <v>2021/S 0F2-0044508</v>
      </c>
      <c r="F2148" s="1" t="s">
        <v>22</v>
      </c>
      <c r="G2148" s="1" t="str">
        <f>CONCATENATE("UNIVERZAL ŽICA D.O.O.,"," IV TROKUT 1B,"," 10000 ZAGREB,"," OIB: 62988526948",CHAR(10),"",CHAR(10),"BASIC MODEL D.O.O.,"," TRAVANJSKA 19,"," 10000 ZAGREB,"," OIB: 64150104602")</f>
        <v>UNIVERZAL ŽICA D.O.O., IV TROKUT 1B, 10000 ZAGREB, OIB: 62988526948
BASIC MODEL D.O.O., TRAVANJSKA 19, 10000 ZAGREB, OIB: 64150104602</v>
      </c>
      <c r="H2148" s="7"/>
      <c r="I2148" s="8" t="s">
        <v>505</v>
      </c>
      <c r="J2148" s="8" t="s">
        <v>1754</v>
      </c>
      <c r="K2148" s="6" t="str">
        <f>"3.100.000,00"</f>
        <v>3.100.000,00</v>
      </c>
      <c r="L2148" s="6" t="str">
        <f>"775.000,00"</f>
        <v>775.000,00</v>
      </c>
      <c r="M2148" s="6" t="str">
        <f>"3.875.000,00"</f>
        <v>3.875.000,00</v>
      </c>
      <c r="N2148" s="8" t="s">
        <v>124</v>
      </c>
      <c r="O2148" s="7"/>
      <c r="P2148" s="2" t="s">
        <v>5614</v>
      </c>
      <c r="Q2148" s="7"/>
      <c r="R2148" s="1"/>
      <c r="S2148" s="1" t="str">
        <f>"NOS-70-1/21"</f>
        <v>NOS-70-1/21</v>
      </c>
      <c r="T2148" s="1" t="s">
        <v>32</v>
      </c>
    </row>
    <row r="2149" spans="1:20" ht="51" x14ac:dyDescent="0.25">
      <c r="A2149" s="6">
        <v>2145</v>
      </c>
      <c r="B2149" s="1" t="str">
        <f t="shared" si="200"/>
        <v>2021-233</v>
      </c>
      <c r="C2149" s="1" t="s">
        <v>1753</v>
      </c>
      <c r="D2149" s="1" t="s">
        <v>1544</v>
      </c>
      <c r="E2149" s="1" t="str">
        <f>""</f>
        <v/>
      </c>
      <c r="F2149" s="1" t="s">
        <v>28</v>
      </c>
      <c r="G2149" s="1" t="str">
        <f>CONCATENATE("BASIC MODEL D.O.O.,"," TRAVANJSKA 19,"," 10000 ZAGREB,"," OIB: 64150104602")</f>
        <v>BASIC MODEL D.O.O., TRAVANJSKA 19, 10000 ZAGREB, OIB: 64150104602</v>
      </c>
      <c r="H2149" s="7"/>
      <c r="I2149" s="8" t="s">
        <v>438</v>
      </c>
      <c r="J2149" s="8" t="s">
        <v>393</v>
      </c>
      <c r="K2149" s="6" t="str">
        <f>"704.946,50"</f>
        <v>704.946,50</v>
      </c>
      <c r="L2149" s="6" t="str">
        <f>"176.236,63"</f>
        <v>176.236,63</v>
      </c>
      <c r="M2149" s="6" t="str">
        <f>"881.183,13"</f>
        <v>881.183,13</v>
      </c>
      <c r="N2149" s="8" t="s">
        <v>732</v>
      </c>
      <c r="O2149" s="7"/>
      <c r="P2149" s="2" t="s">
        <v>6869</v>
      </c>
      <c r="Q2149" s="7"/>
      <c r="R2149" s="1"/>
      <c r="S2149" s="1" t="str">
        <f>"1-22/NOS-70-1/21"</f>
        <v>1-22/NOS-70-1/21</v>
      </c>
      <c r="T2149" s="1" t="s">
        <v>32</v>
      </c>
    </row>
    <row r="2150" spans="1:20" ht="51" x14ac:dyDescent="0.25">
      <c r="A2150" s="6">
        <v>2146</v>
      </c>
      <c r="B2150" s="1" t="str">
        <f t="shared" si="200"/>
        <v>2021-233</v>
      </c>
      <c r="C2150" s="1" t="s">
        <v>1753</v>
      </c>
      <c r="D2150" s="1" t="s">
        <v>1544</v>
      </c>
      <c r="E2150" s="1" t="str">
        <f>""</f>
        <v/>
      </c>
      <c r="F2150" s="1" t="s">
        <v>28</v>
      </c>
      <c r="G2150" s="1" t="str">
        <f>CONCATENATE("BASIC MODEL D.O.O.,"," TRAVANJSKA 19,"," 10000 ZAGREB,"," OIB: 64150104602")</f>
        <v>BASIC MODEL D.O.O., TRAVANJSKA 19, 10000 ZAGREB, OIB: 64150104602</v>
      </c>
      <c r="H2150" s="7"/>
      <c r="I2150" s="8" t="s">
        <v>215</v>
      </c>
      <c r="J2150" s="8" t="s">
        <v>393</v>
      </c>
      <c r="K2150" s="6" t="str">
        <f>"66.224,00"</f>
        <v>66.224,00</v>
      </c>
      <c r="L2150" s="6" t="str">
        <f>"16.556,00"</f>
        <v>16.556,00</v>
      </c>
      <c r="M2150" s="6" t="str">
        <f>"82.780,00"</f>
        <v>82.780,00</v>
      </c>
      <c r="N2150" s="8" t="s">
        <v>317</v>
      </c>
      <c r="O2150" s="7"/>
      <c r="P2150" s="2" t="s">
        <v>6870</v>
      </c>
      <c r="Q2150" s="7"/>
      <c r="R2150" s="1"/>
      <c r="S2150" s="1" t="str">
        <f>"2-22/NOS-70-1/21"</f>
        <v>2-22/NOS-70-1/21</v>
      </c>
      <c r="T2150" s="1" t="s">
        <v>32</v>
      </c>
    </row>
    <row r="2151" spans="1:20" ht="51" x14ac:dyDescent="0.25">
      <c r="A2151" s="6">
        <v>2147</v>
      </c>
      <c r="B2151" s="1" t="str">
        <f t="shared" si="200"/>
        <v>2021-233</v>
      </c>
      <c r="C2151" s="1" t="s">
        <v>1753</v>
      </c>
      <c r="D2151" s="1" t="s">
        <v>1544</v>
      </c>
      <c r="E2151" s="1" t="str">
        <f>""</f>
        <v/>
      </c>
      <c r="F2151" s="1" t="s">
        <v>28</v>
      </c>
      <c r="G2151" s="1" t="str">
        <f>CONCATENATE("UNIVERZAL ŽICA D.O.O.,"," IV TROKUT 1B,"," 10000 ZAGREB,"," OIB: 62988526948")</f>
        <v>UNIVERZAL ŽICA D.O.O., IV TROKUT 1B, 10000 ZAGREB, OIB: 62988526948</v>
      </c>
      <c r="H2151" s="7"/>
      <c r="I2151" s="8" t="s">
        <v>301</v>
      </c>
      <c r="J2151" s="8" t="s">
        <v>519</v>
      </c>
      <c r="K2151" s="6" t="str">
        <f>"152.945,60"</f>
        <v>152.945,60</v>
      </c>
      <c r="L2151" s="6" t="str">
        <f>"24.263,75"</f>
        <v>24.263,75</v>
      </c>
      <c r="M2151" s="6" t="str">
        <f>"177.209,35"</f>
        <v>177.209,35</v>
      </c>
      <c r="N2151" s="8" t="s">
        <v>553</v>
      </c>
      <c r="O2151" s="7"/>
      <c r="P2151" s="2" t="s">
        <v>6871</v>
      </c>
      <c r="Q2151" s="7"/>
      <c r="R2151" s="1"/>
      <c r="S2151" s="1" t="str">
        <f>"4-22/NOS-70-1/21"</f>
        <v>4-22/NOS-70-1/21</v>
      </c>
      <c r="T2151" s="7"/>
    </row>
    <row r="2152" spans="1:20" ht="51" x14ac:dyDescent="0.25">
      <c r="A2152" s="6">
        <v>2148</v>
      </c>
      <c r="B2152" s="1" t="str">
        <f t="shared" si="200"/>
        <v>2021-233</v>
      </c>
      <c r="C2152" s="1" t="s">
        <v>1753</v>
      </c>
      <c r="D2152" s="1" t="s">
        <v>1544</v>
      </c>
      <c r="E2152" s="1" t="str">
        <f>""</f>
        <v/>
      </c>
      <c r="F2152" s="1" t="s">
        <v>28</v>
      </c>
      <c r="G2152" s="1" t="str">
        <f>CONCATENATE("UNIVERZAL ŽICA D.O.O.,"," IV TROKUT 1B,"," 10000 ZAGREB,"," OIB: 62988526948")</f>
        <v>UNIVERZAL ŽICA D.O.O., IV TROKUT 1B, 10000 ZAGREB, OIB: 62988526948</v>
      </c>
      <c r="H2152" s="7"/>
      <c r="I2152" s="8" t="s">
        <v>409</v>
      </c>
      <c r="J2152" s="8" t="s">
        <v>393</v>
      </c>
      <c r="K2152" s="6" t="str">
        <f>"4.466,94"</f>
        <v>4.466,94</v>
      </c>
      <c r="L2152" s="6" t="str">
        <f>"1.116,74"</f>
        <v>1.116,74</v>
      </c>
      <c r="M2152" s="6" t="str">
        <f>"5.583,68"</f>
        <v>5.583,68</v>
      </c>
      <c r="N2152" s="8" t="s">
        <v>1612</v>
      </c>
      <c r="O2152" s="7"/>
      <c r="P2152" s="2" t="s">
        <v>6872</v>
      </c>
      <c r="Q2152" s="7"/>
      <c r="R2152" s="1"/>
      <c r="S2152" s="1" t="str">
        <f>"3-22/NOS-70-1/21"</f>
        <v>3-22/NOS-70-1/21</v>
      </c>
      <c r="T2152" s="1" t="s">
        <v>32</v>
      </c>
    </row>
    <row r="2153" spans="1:20" ht="51" x14ac:dyDescent="0.25">
      <c r="A2153" s="6">
        <v>2149</v>
      </c>
      <c r="B2153" s="1" t="str">
        <f t="shared" si="200"/>
        <v>2021-233</v>
      </c>
      <c r="C2153" s="1" t="s">
        <v>1753</v>
      </c>
      <c r="D2153" s="1" t="s">
        <v>1544</v>
      </c>
      <c r="E2153" s="1" t="str">
        <f>""</f>
        <v/>
      </c>
      <c r="F2153" s="1" t="s">
        <v>28</v>
      </c>
      <c r="G2153" s="1" t="str">
        <f>CONCATENATE("BASIC MODEL D.O.O.,"," TRAVANJSKA 19,"," 10000 ZAGREB,"," OIB: 64150104602")</f>
        <v>BASIC MODEL D.O.O., TRAVANJSKA 19, 10000 ZAGREB, OIB: 64150104602</v>
      </c>
      <c r="H2153" s="7"/>
      <c r="I2153" s="8" t="s">
        <v>170</v>
      </c>
      <c r="J2153" s="8" t="s">
        <v>393</v>
      </c>
      <c r="K2153" s="6" t="str">
        <f>"25.064,00"</f>
        <v>25.064,00</v>
      </c>
      <c r="L2153" s="6" t="str">
        <f>"0,00"</f>
        <v>0,00</v>
      </c>
      <c r="M2153" s="6" t="str">
        <f>"25.064,00"</f>
        <v>25.064,00</v>
      </c>
      <c r="N2153" s="8" t="s">
        <v>124</v>
      </c>
      <c r="O2153" s="7"/>
      <c r="P2153" s="2" t="s">
        <v>5614</v>
      </c>
      <c r="Q2153" s="7"/>
      <c r="R2153" s="1"/>
      <c r="S2153" s="1" t="str">
        <f>"6-22/NOS-70-1/21"</f>
        <v>6-22/NOS-70-1/21</v>
      </c>
      <c r="T2153" s="1" t="s">
        <v>32</v>
      </c>
    </row>
    <row r="2154" spans="1:20" ht="114.75" x14ac:dyDescent="0.25">
      <c r="A2154" s="6">
        <v>2150</v>
      </c>
      <c r="B2154" s="1" t="str">
        <f t="shared" si="200"/>
        <v>2021-233</v>
      </c>
      <c r="C2154" s="1" t="s">
        <v>1755</v>
      </c>
      <c r="D2154" s="1" t="s">
        <v>700</v>
      </c>
      <c r="E2154" s="1" t="str">
        <f>"2021/S 0F2-0044508"</f>
        <v>2021/S 0F2-0044508</v>
      </c>
      <c r="F2154" s="1" t="s">
        <v>22</v>
      </c>
      <c r="G2154" s="1" t="str">
        <f>CONCATENATE("TEMAT D.O.O.,"," SV. BARBARE 22,"," 10000 ZAGREB,"," OIB: 15701915410",CHAR(10),"",CHAR(10),"UNIVERZAL ŽICA D.O.O.,"," IV TROKUT 1B,"," 10000 ZAGREB,"," OIB: 62988526948")</f>
        <v>TEMAT D.O.O., SV. BARBARE 22, 10000 ZAGREB, OIB: 15701915410
UNIVERZAL ŽICA D.O.O., IV TROKUT 1B, 10000 ZAGREB, OIB: 62988526948</v>
      </c>
      <c r="H2154" s="7"/>
      <c r="I2154" s="8" t="s">
        <v>505</v>
      </c>
      <c r="J2154" s="8" t="s">
        <v>1754</v>
      </c>
      <c r="K2154" s="6" t="str">
        <f>"300.000,00"</f>
        <v>300.000,00</v>
      </c>
      <c r="L2154" s="6" t="str">
        <f>"75.000,00"</f>
        <v>75.000,00</v>
      </c>
      <c r="M2154" s="6" t="str">
        <f>"375.000,00"</f>
        <v>375.000,00</v>
      </c>
      <c r="N2154" s="8" t="s">
        <v>124</v>
      </c>
      <c r="O2154" s="7"/>
      <c r="P2154" s="2" t="s">
        <v>5614</v>
      </c>
      <c r="Q2154" s="7"/>
      <c r="R2154" s="1"/>
      <c r="S2154" s="1" t="str">
        <f>"NOS-70-2/21"</f>
        <v>NOS-70-2/21</v>
      </c>
      <c r="T2154" s="1" t="s">
        <v>32</v>
      </c>
    </row>
    <row r="2155" spans="1:20" ht="51" x14ac:dyDescent="0.25">
      <c r="A2155" s="6">
        <v>2151</v>
      </c>
      <c r="B2155" s="1" t="str">
        <f t="shared" si="200"/>
        <v>2021-233</v>
      </c>
      <c r="C2155" s="1" t="s">
        <v>1755</v>
      </c>
      <c r="D2155" s="1" t="s">
        <v>1544</v>
      </c>
      <c r="E2155" s="1" t="str">
        <f>""</f>
        <v/>
      </c>
      <c r="F2155" s="1" t="s">
        <v>28</v>
      </c>
      <c r="G2155" s="1" t="str">
        <f>CONCATENATE("TEMAT D.O.O.,"," SV. BARBARE 22,"," 10000 ZAGREB,"," OIB: 157019154")</f>
        <v>TEMAT D.O.O., SV. BARBARE 22, 10000 ZAGREB, OIB: 157019154</v>
      </c>
      <c r="H2155" s="7"/>
      <c r="I2155" s="8" t="s">
        <v>438</v>
      </c>
      <c r="J2155" s="8" t="s">
        <v>393</v>
      </c>
      <c r="K2155" s="6" t="str">
        <f>"50.000,00"</f>
        <v>50.000,00</v>
      </c>
      <c r="L2155" s="6" t="str">
        <f>"0,00"</f>
        <v>0,00</v>
      </c>
      <c r="M2155" s="6" t="str">
        <f>"50.000,00"</f>
        <v>50.000,00</v>
      </c>
      <c r="N2155" s="8" t="s">
        <v>124</v>
      </c>
      <c r="O2155" s="7"/>
      <c r="P2155" s="2" t="s">
        <v>5614</v>
      </c>
      <c r="Q2155" s="7"/>
      <c r="R2155" s="1"/>
      <c r="S2155" s="1" t="str">
        <f>"1-22/NOS-70-2/21"</f>
        <v>1-22/NOS-70-2/21</v>
      </c>
      <c r="T2155" s="1" t="s">
        <v>32</v>
      </c>
    </row>
    <row r="2156" spans="1:20" ht="51" x14ac:dyDescent="0.25">
      <c r="A2156" s="6">
        <v>2152</v>
      </c>
      <c r="B2156" s="1" t="str">
        <f>"2021-1895"</f>
        <v>2021-1895</v>
      </c>
      <c r="C2156" s="1" t="s">
        <v>1223</v>
      </c>
      <c r="D2156" s="1" t="s">
        <v>74</v>
      </c>
      <c r="E2156" s="1" t="str">
        <f>"2022/S 0F2-0004983"</f>
        <v>2022/S 0F2-0004983</v>
      </c>
      <c r="F2156" s="1" t="s">
        <v>22</v>
      </c>
      <c r="G2156" s="1" t="str">
        <f>CONCATENATE("LAUS CC D.O.O.,"," VUKOVARSKA 23,"," 20000 DUBROVNIK,"," OIB: 59806315787")</f>
        <v>LAUS CC D.O.O., VUKOVARSKA 23, 20000 DUBROVNIK, OIB: 59806315787</v>
      </c>
      <c r="H2156" s="7"/>
      <c r="I2156" s="8" t="s">
        <v>238</v>
      </c>
      <c r="J2156" s="8" t="s">
        <v>1740</v>
      </c>
      <c r="K2156" s="6" t="str">
        <f>"6.500.000,00"</f>
        <v>6.500.000,00</v>
      </c>
      <c r="L2156" s="6" t="str">
        <f>"1.625.000,00"</f>
        <v>1.625.000,00</v>
      </c>
      <c r="M2156" s="6" t="str">
        <f>"8.125.000,00"</f>
        <v>8.125.000,00</v>
      </c>
      <c r="N2156" s="8" t="s">
        <v>124</v>
      </c>
      <c r="O2156" s="7"/>
      <c r="P2156" s="2" t="s">
        <v>6873</v>
      </c>
      <c r="Q2156" s="7"/>
      <c r="R2156" s="1"/>
      <c r="S2156" s="1" t="str">
        <f>"NOS-71/21"</f>
        <v>NOS-71/21</v>
      </c>
      <c r="T2156" s="1" t="s">
        <v>32</v>
      </c>
    </row>
    <row r="2157" spans="1:20" ht="51" x14ac:dyDescent="0.25">
      <c r="A2157" s="6">
        <v>2153</v>
      </c>
      <c r="B2157" s="1" t="str">
        <f>"2021-1895"</f>
        <v>2021-1895</v>
      </c>
      <c r="C2157" s="1" t="s">
        <v>1223</v>
      </c>
      <c r="D2157" s="1" t="s">
        <v>78</v>
      </c>
      <c r="E2157" s="1" t="str">
        <f>""</f>
        <v/>
      </c>
      <c r="F2157" s="1" t="s">
        <v>28</v>
      </c>
      <c r="G2157" s="1" t="str">
        <f>CONCATENATE("LAUS CC D.O.O.,"," VUKOVARSKA 23,"," 20000 DUBROVNIK,"," OIB: 59806315787")</f>
        <v>LAUS CC D.O.O., VUKOVARSKA 23, 20000 DUBROVNIK, OIB: 59806315787</v>
      </c>
      <c r="H2157" s="7"/>
      <c r="I2157" s="8" t="s">
        <v>409</v>
      </c>
      <c r="J2157" s="8" t="s">
        <v>490</v>
      </c>
      <c r="K2157" s="6" t="str">
        <f>"1.341.750,00"</f>
        <v>1.341.750,00</v>
      </c>
      <c r="L2157" s="6" t="str">
        <f>"335.437,50"</f>
        <v>335.437,50</v>
      </c>
      <c r="M2157" s="6" t="str">
        <f>"1.677.187,50"</f>
        <v>1.677.187,50</v>
      </c>
      <c r="N2157" s="8" t="s">
        <v>124</v>
      </c>
      <c r="O2157" s="7"/>
      <c r="P2157" s="2" t="s">
        <v>5614</v>
      </c>
      <c r="Q2157" s="7"/>
      <c r="R2157" s="1"/>
      <c r="S2157" s="1" t="str">
        <f>"1-22/NOS-71/21"</f>
        <v>1-22/NOS-71/21</v>
      </c>
      <c r="T2157" s="1" t="s">
        <v>32</v>
      </c>
    </row>
    <row r="2158" spans="1:20" ht="280.5" x14ac:dyDescent="0.25">
      <c r="A2158" s="6">
        <v>2154</v>
      </c>
      <c r="B2158" s="1" t="str">
        <f>"2021-2369"</f>
        <v>2021-2369</v>
      </c>
      <c r="C2158" s="1" t="s">
        <v>1756</v>
      </c>
      <c r="D2158" s="1" t="s">
        <v>1757</v>
      </c>
      <c r="E2158" s="1" t="str">
        <f>"2022/S 0F2-0005004"</f>
        <v>2022/S 0F2-0005004</v>
      </c>
      <c r="F2158" s="1" t="s">
        <v>22</v>
      </c>
      <c r="G2158" s="1" t="str">
        <f>CONCATENATE("SMIT-COMMERCE D.O.O.,"," GORNJOSTUPNIČKA 9B,"," 10255 GORNJI STUPNIK,"," OIB: 95243482140",CHAR(10),"",CHAR(10),"PISMORAD D.O.O.,"," INDUSTRIJSKA 5,"," 10431 SVETA NEDELJA-NOVAKI,"," OIB: 33260306505",CHAR(10),"",CHAR(10),"FRACASSO RI D.O.O.,"," SLAVIŠE VAJNERA ČIČE 4,"," 51000 RIJEKA,"," OIB: 02744205849",CHAR(10),"",CHAR(10),"TIM TOPUSKO D.D.,"," ŠKOLSKA 35,"," 44415 TOPUSKO,"," OIB: 2437021809")</f>
        <v>SMIT-COMMERCE D.O.O., GORNJOSTUPNIČKA 9B, 10255 GORNJI STUPNIK, OIB: 95243482140
PISMORAD D.O.O., INDUSTRIJSKA 5, 10431 SVETA NEDELJA-NOVAKI, OIB: 33260306505
FRACASSO RI D.O.O., SLAVIŠE VAJNERA ČIČE 4, 51000 RIJEKA, OIB: 02744205849
TIM TOPUSKO D.D., ŠKOLSKA 35, 44415 TOPUSKO, OIB: 2437021809</v>
      </c>
      <c r="H2158" s="7"/>
      <c r="I2158" s="8" t="s">
        <v>425</v>
      </c>
      <c r="J2158" s="8" t="s">
        <v>1758</v>
      </c>
      <c r="K2158" s="6" t="str">
        <f>"1.900.000,00"</f>
        <v>1.900.000,00</v>
      </c>
      <c r="L2158" s="6" t="str">
        <f>"475.000,00"</f>
        <v>475.000,00</v>
      </c>
      <c r="M2158" s="6" t="str">
        <f>"2.375.000,00"</f>
        <v>2.375.000,00</v>
      </c>
      <c r="N2158" s="8" t="s">
        <v>124</v>
      </c>
      <c r="O2158" s="7"/>
      <c r="P2158" s="2" t="s">
        <v>5614</v>
      </c>
      <c r="Q2158" s="7"/>
      <c r="R2158" s="1"/>
      <c r="S2158" s="1" t="str">
        <f>"NOS-74/21"</f>
        <v>NOS-74/21</v>
      </c>
      <c r="T2158" s="1" t="s">
        <v>32</v>
      </c>
    </row>
    <row r="2159" spans="1:20" ht="63.75" x14ac:dyDescent="0.25">
      <c r="A2159" s="6">
        <v>2155</v>
      </c>
      <c r="B2159" s="1" t="str">
        <f>"2021-2369"</f>
        <v>2021-2369</v>
      </c>
      <c r="C2159" s="1" t="s">
        <v>1756</v>
      </c>
      <c r="D2159" s="1" t="s">
        <v>1759</v>
      </c>
      <c r="E2159" s="1" t="str">
        <f>""</f>
        <v/>
      </c>
      <c r="F2159" s="1" t="s">
        <v>28</v>
      </c>
      <c r="G2159" s="1" t="str">
        <f>CONCATENATE("PISMORAD D.O.O.,"," INDUSTRIJSKA 5,"," 10431 SVETA NEDELJA-NOVAKI,"," OIB: 33260306505")</f>
        <v>PISMORAD D.O.O., INDUSTRIJSKA 5, 10431 SVETA NEDELJA-NOVAKI, OIB: 33260306505</v>
      </c>
      <c r="H2159" s="7"/>
      <c r="I2159" s="8" t="s">
        <v>383</v>
      </c>
      <c r="J2159" s="8" t="s">
        <v>423</v>
      </c>
      <c r="K2159" s="6" t="str">
        <f>"54.280,00"</f>
        <v>54.280,00</v>
      </c>
      <c r="L2159" s="6" t="str">
        <f>"0,00"</f>
        <v>0,00</v>
      </c>
      <c r="M2159" s="6" t="str">
        <f>"54.280,00"</f>
        <v>54.280,00</v>
      </c>
      <c r="N2159" s="8" t="s">
        <v>124</v>
      </c>
      <c r="O2159" s="7"/>
      <c r="P2159" s="2" t="s">
        <v>5614</v>
      </c>
      <c r="Q2159" s="7"/>
      <c r="R2159" s="1"/>
      <c r="S2159" s="1" t="str">
        <f>"1-22/NOS-74/21"</f>
        <v>1-22/NOS-74/21</v>
      </c>
      <c r="T2159" s="1" t="s">
        <v>32</v>
      </c>
    </row>
    <row r="2160" spans="1:20" ht="51" x14ac:dyDescent="0.25">
      <c r="A2160" s="6">
        <v>2156</v>
      </c>
      <c r="B2160" s="1" t="str">
        <f t="shared" ref="B2160:B2173" si="201">"2021-2334"</f>
        <v>2021-2334</v>
      </c>
      <c r="C2160" s="1" t="s">
        <v>233</v>
      </c>
      <c r="D2160" s="1" t="s">
        <v>234</v>
      </c>
      <c r="E2160" s="1" t="str">
        <f>"2022/S 0F2-0008683"</f>
        <v>2022/S 0F2-0008683</v>
      </c>
      <c r="F2160" s="1" t="s">
        <v>22</v>
      </c>
      <c r="G2160" s="1" t="str">
        <f t="shared" ref="G2160:G2173" si="202">CONCATENATE("VODOTEHNIKA D.D.,"," KOTURAŠKA CESTA 49,"," 10000 ZAGREB,"," OIB: 1763143132")</f>
        <v>VODOTEHNIKA D.D., KOTURAŠKA CESTA 49, 10000 ZAGREB, OIB: 1763143132</v>
      </c>
      <c r="H2160" s="7"/>
      <c r="I2160" s="8" t="s">
        <v>160</v>
      </c>
      <c r="J2160" s="8" t="s">
        <v>1709</v>
      </c>
      <c r="K2160" s="6" t="str">
        <f>"8.000.000,00"</f>
        <v>8.000.000,00</v>
      </c>
      <c r="L2160" s="6" t="str">
        <f>"2.000.000,00"</f>
        <v>2.000.000,00</v>
      </c>
      <c r="M2160" s="6" t="str">
        <f>"10.000.000,00"</f>
        <v>10.000.000,00</v>
      </c>
      <c r="N2160" s="8" t="s">
        <v>124</v>
      </c>
      <c r="O2160" s="7"/>
      <c r="P2160" s="2" t="s">
        <v>5614</v>
      </c>
      <c r="Q2160" s="7"/>
      <c r="R2160" s="1"/>
      <c r="S2160" s="1" t="str">
        <f>"NOS-73/21"</f>
        <v>NOS-73/21</v>
      </c>
      <c r="T2160" s="1" t="s">
        <v>86</v>
      </c>
    </row>
    <row r="2161" spans="1:20" ht="51" x14ac:dyDescent="0.25">
      <c r="A2161" s="6">
        <v>2157</v>
      </c>
      <c r="B2161" s="1" t="str">
        <f t="shared" si="201"/>
        <v>2021-2334</v>
      </c>
      <c r="C2161" s="1" t="s">
        <v>233</v>
      </c>
      <c r="D2161" s="1" t="s">
        <v>234</v>
      </c>
      <c r="E2161" s="1" t="str">
        <f>""</f>
        <v/>
      </c>
      <c r="F2161" s="1" t="s">
        <v>28</v>
      </c>
      <c r="G2161" s="1" t="str">
        <f t="shared" si="202"/>
        <v>VODOTEHNIKA D.D., KOTURAŠKA CESTA 49, 10000 ZAGREB, OIB: 1763143132</v>
      </c>
      <c r="H2161" s="7"/>
      <c r="I2161" s="8" t="s">
        <v>922</v>
      </c>
      <c r="J2161" s="8" t="s">
        <v>490</v>
      </c>
      <c r="K2161" s="6" t="str">
        <f>"1.878.912,12"</f>
        <v>1.878.912,12</v>
      </c>
      <c r="L2161" s="6" t="str">
        <f>"469.728,03"</f>
        <v>469.728,03</v>
      </c>
      <c r="M2161" s="6" t="str">
        <f>"2.348.640,15"</f>
        <v>2.348.640,15</v>
      </c>
      <c r="N2161" s="8" t="s">
        <v>124</v>
      </c>
      <c r="O2161" s="7"/>
      <c r="P2161" s="2" t="s">
        <v>6874</v>
      </c>
      <c r="Q2161" s="7"/>
      <c r="R2161" s="1"/>
      <c r="S2161" s="1" t="str">
        <f>"1-22/NOS-73/21"</f>
        <v>1-22/NOS-73/21</v>
      </c>
      <c r="T2161" s="1" t="s">
        <v>86</v>
      </c>
    </row>
    <row r="2162" spans="1:20" ht="51" x14ac:dyDescent="0.25">
      <c r="A2162" s="6">
        <v>2158</v>
      </c>
      <c r="B2162" s="1" t="str">
        <f t="shared" si="201"/>
        <v>2021-2334</v>
      </c>
      <c r="C2162" s="1" t="s">
        <v>233</v>
      </c>
      <c r="D2162" s="1" t="s">
        <v>234</v>
      </c>
      <c r="E2162" s="1" t="str">
        <f>""</f>
        <v/>
      </c>
      <c r="F2162" s="1" t="s">
        <v>28</v>
      </c>
      <c r="G2162" s="1" t="str">
        <f t="shared" si="202"/>
        <v>VODOTEHNIKA D.D., KOTURAŠKA CESTA 49, 10000 ZAGREB, OIB: 1763143132</v>
      </c>
      <c r="H2162" s="7"/>
      <c r="I2162" s="8" t="s">
        <v>563</v>
      </c>
      <c r="J2162" s="8" t="s">
        <v>292</v>
      </c>
      <c r="K2162" s="6" t="str">
        <f>"19.500,54"</f>
        <v>19.500,54</v>
      </c>
      <c r="L2162" s="6" t="str">
        <f>"4.875,14"</f>
        <v>4.875,14</v>
      </c>
      <c r="M2162" s="6" t="str">
        <f>"24.375,68"</f>
        <v>24.375,68</v>
      </c>
      <c r="N2162" s="8" t="s">
        <v>970</v>
      </c>
      <c r="O2162" s="7"/>
      <c r="P2162" s="2" t="s">
        <v>6875</v>
      </c>
      <c r="Q2162" s="7"/>
      <c r="R2162" s="1"/>
      <c r="S2162" s="1" t="str">
        <f>"3-22/NOS-73/21"</f>
        <v>3-22/NOS-73/21</v>
      </c>
      <c r="T2162" s="1" t="s">
        <v>86</v>
      </c>
    </row>
    <row r="2163" spans="1:20" ht="51" x14ac:dyDescent="0.25">
      <c r="A2163" s="6">
        <v>2159</v>
      </c>
      <c r="B2163" s="1" t="str">
        <f t="shared" si="201"/>
        <v>2021-2334</v>
      </c>
      <c r="C2163" s="1" t="s">
        <v>233</v>
      </c>
      <c r="D2163" s="1" t="s">
        <v>234</v>
      </c>
      <c r="E2163" s="1" t="str">
        <f>""</f>
        <v/>
      </c>
      <c r="F2163" s="1" t="s">
        <v>28</v>
      </c>
      <c r="G2163" s="1" t="str">
        <f t="shared" si="202"/>
        <v>VODOTEHNIKA D.D., KOTURAŠKA CESTA 49, 10000 ZAGREB, OIB: 1763143132</v>
      </c>
      <c r="H2163" s="7"/>
      <c r="I2163" s="8" t="s">
        <v>1314</v>
      </c>
      <c r="J2163" s="8" t="s">
        <v>1313</v>
      </c>
      <c r="K2163" s="6" t="str">
        <f>"163.960,05"</f>
        <v>163.960,05</v>
      </c>
      <c r="L2163" s="6" t="str">
        <f>"40.990,01"</f>
        <v>40.990,01</v>
      </c>
      <c r="M2163" s="6" t="str">
        <f>"204.950,06"</f>
        <v>204.950,06</v>
      </c>
      <c r="N2163" s="8" t="s">
        <v>384</v>
      </c>
      <c r="O2163" s="7"/>
      <c r="P2163" s="2" t="s">
        <v>6876</v>
      </c>
      <c r="Q2163" s="7"/>
      <c r="R2163" s="1"/>
      <c r="S2163" s="1" t="str">
        <f>"2-22/NOS-73/21"</f>
        <v>2-22/NOS-73/21</v>
      </c>
      <c r="T2163" s="1" t="s">
        <v>86</v>
      </c>
    </row>
    <row r="2164" spans="1:20" ht="51" x14ac:dyDescent="0.25">
      <c r="A2164" s="6">
        <v>2160</v>
      </c>
      <c r="B2164" s="1" t="str">
        <f t="shared" si="201"/>
        <v>2021-2334</v>
      </c>
      <c r="C2164" s="1" t="s">
        <v>233</v>
      </c>
      <c r="D2164" s="1" t="s">
        <v>234</v>
      </c>
      <c r="E2164" s="1" t="str">
        <f>""</f>
        <v/>
      </c>
      <c r="F2164" s="1" t="s">
        <v>28</v>
      </c>
      <c r="G2164" s="1" t="str">
        <f t="shared" si="202"/>
        <v>VODOTEHNIKA D.D., KOTURAŠKA CESTA 49, 10000 ZAGREB, OIB: 1763143132</v>
      </c>
      <c r="H2164" s="7"/>
      <c r="I2164" s="8" t="s">
        <v>214</v>
      </c>
      <c r="J2164" s="8" t="s">
        <v>1313</v>
      </c>
      <c r="K2164" s="6" t="str">
        <f>"38.424,58"</f>
        <v>38.424,58</v>
      </c>
      <c r="L2164" s="6" t="str">
        <f>"9.606,15"</f>
        <v>9.606,15</v>
      </c>
      <c r="M2164" s="6" t="str">
        <f>"48.030,73"</f>
        <v>48.030,73</v>
      </c>
      <c r="N2164" s="8" t="s">
        <v>384</v>
      </c>
      <c r="O2164" s="7"/>
      <c r="P2164" s="2" t="s">
        <v>6877</v>
      </c>
      <c r="Q2164" s="7"/>
      <c r="R2164" s="1"/>
      <c r="S2164" s="1" t="str">
        <f>"4-22/NOS-73/21"</f>
        <v>4-22/NOS-73/21</v>
      </c>
      <c r="T2164" s="1" t="s">
        <v>86</v>
      </c>
    </row>
    <row r="2165" spans="1:20" ht="51" x14ac:dyDescent="0.25">
      <c r="A2165" s="6">
        <v>2161</v>
      </c>
      <c r="B2165" s="1" t="str">
        <f t="shared" si="201"/>
        <v>2021-2334</v>
      </c>
      <c r="C2165" s="1" t="s">
        <v>233</v>
      </c>
      <c r="D2165" s="1" t="s">
        <v>234</v>
      </c>
      <c r="E2165" s="1" t="str">
        <f>""</f>
        <v/>
      </c>
      <c r="F2165" s="1" t="s">
        <v>28</v>
      </c>
      <c r="G2165" s="1" t="str">
        <f t="shared" si="202"/>
        <v>VODOTEHNIKA D.D., KOTURAŠKA CESTA 49, 10000 ZAGREB, OIB: 1763143132</v>
      </c>
      <c r="H2165" s="7"/>
      <c r="I2165" s="8" t="s">
        <v>565</v>
      </c>
      <c r="J2165" s="8" t="s">
        <v>241</v>
      </c>
      <c r="K2165" s="6" t="str">
        <f>"32.800,00"</f>
        <v>32.800,00</v>
      </c>
      <c r="L2165" s="6" t="str">
        <f>"8.200,00"</f>
        <v>8.200,00</v>
      </c>
      <c r="M2165" s="6" t="str">
        <f>"41.000,00"</f>
        <v>41.000,00</v>
      </c>
      <c r="N2165" s="8" t="s">
        <v>553</v>
      </c>
      <c r="O2165" s="7"/>
      <c r="P2165" s="2" t="s">
        <v>6878</v>
      </c>
      <c r="Q2165" s="7"/>
      <c r="R2165" s="1"/>
      <c r="S2165" s="1" t="str">
        <f>"5-22/NOS-73/21"</f>
        <v>5-22/NOS-73/21</v>
      </c>
      <c r="T2165" s="1" t="s">
        <v>86</v>
      </c>
    </row>
    <row r="2166" spans="1:20" ht="51" x14ac:dyDescent="0.25">
      <c r="A2166" s="6">
        <v>2162</v>
      </c>
      <c r="B2166" s="1" t="str">
        <f t="shared" si="201"/>
        <v>2021-2334</v>
      </c>
      <c r="C2166" s="1" t="s">
        <v>233</v>
      </c>
      <c r="D2166" s="1" t="s">
        <v>234</v>
      </c>
      <c r="E2166" s="1" t="str">
        <f>""</f>
        <v/>
      </c>
      <c r="F2166" s="1" t="s">
        <v>28</v>
      </c>
      <c r="G2166" s="1" t="str">
        <f t="shared" si="202"/>
        <v>VODOTEHNIKA D.D., KOTURAŠKA CESTA 49, 10000 ZAGREB, OIB: 1763143132</v>
      </c>
      <c r="H2166" s="7"/>
      <c r="I2166" s="8" t="s">
        <v>565</v>
      </c>
      <c r="J2166" s="8" t="s">
        <v>423</v>
      </c>
      <c r="K2166" s="6" t="str">
        <f>"14.037,30"</f>
        <v>14.037,30</v>
      </c>
      <c r="L2166" s="6" t="str">
        <f>"3.509,33"</f>
        <v>3.509,33</v>
      </c>
      <c r="M2166" s="6" t="str">
        <f>"17.546,63"</f>
        <v>17.546,63</v>
      </c>
      <c r="N2166" s="8" t="s">
        <v>384</v>
      </c>
      <c r="O2166" s="7"/>
      <c r="P2166" s="2" t="s">
        <v>6879</v>
      </c>
      <c r="Q2166" s="7"/>
      <c r="R2166" s="1"/>
      <c r="S2166" s="1" t="str">
        <f>"6-22/NOS-73/21"</f>
        <v>6-22/NOS-73/21</v>
      </c>
      <c r="T2166" s="1" t="s">
        <v>86</v>
      </c>
    </row>
    <row r="2167" spans="1:20" ht="51" x14ac:dyDescent="0.25">
      <c r="A2167" s="6">
        <v>2163</v>
      </c>
      <c r="B2167" s="1" t="str">
        <f t="shared" si="201"/>
        <v>2021-2334</v>
      </c>
      <c r="C2167" s="1" t="s">
        <v>233</v>
      </c>
      <c r="D2167" s="1" t="s">
        <v>234</v>
      </c>
      <c r="E2167" s="1" t="str">
        <f>""</f>
        <v/>
      </c>
      <c r="F2167" s="1" t="s">
        <v>28</v>
      </c>
      <c r="G2167" s="1" t="str">
        <f t="shared" si="202"/>
        <v>VODOTEHNIKA D.D., KOTURAŠKA CESTA 49, 10000 ZAGREB, OIB: 1763143132</v>
      </c>
      <c r="H2167" s="7"/>
      <c r="I2167" s="8" t="s">
        <v>374</v>
      </c>
      <c r="J2167" s="8" t="s">
        <v>423</v>
      </c>
      <c r="K2167" s="6" t="str">
        <f>"18.472,44"</f>
        <v>18.472,44</v>
      </c>
      <c r="L2167" s="6" t="str">
        <f>"4.618,11"</f>
        <v>4.618,11</v>
      </c>
      <c r="M2167" s="6" t="str">
        <f>"23.090,55"</f>
        <v>23.090,55</v>
      </c>
      <c r="N2167" s="8" t="s">
        <v>384</v>
      </c>
      <c r="O2167" s="7"/>
      <c r="P2167" s="2" t="s">
        <v>6880</v>
      </c>
      <c r="Q2167" s="7"/>
      <c r="R2167" s="1"/>
      <c r="S2167" s="1" t="str">
        <f>"8-22/NOS-73/21"</f>
        <v>8-22/NOS-73/21</v>
      </c>
      <c r="T2167" s="1" t="s">
        <v>86</v>
      </c>
    </row>
    <row r="2168" spans="1:20" ht="51" x14ac:dyDescent="0.25">
      <c r="A2168" s="6">
        <v>2164</v>
      </c>
      <c r="B2168" s="1" t="str">
        <f t="shared" si="201"/>
        <v>2021-2334</v>
      </c>
      <c r="C2168" s="1" t="s">
        <v>233</v>
      </c>
      <c r="D2168" s="1" t="s">
        <v>234</v>
      </c>
      <c r="E2168" s="1" t="str">
        <f>""</f>
        <v/>
      </c>
      <c r="F2168" s="1" t="s">
        <v>28</v>
      </c>
      <c r="G2168" s="1" t="str">
        <f t="shared" si="202"/>
        <v>VODOTEHNIKA D.D., KOTURAŠKA CESTA 49, 10000 ZAGREB, OIB: 1763143132</v>
      </c>
      <c r="H2168" s="7"/>
      <c r="I2168" s="8" t="s">
        <v>374</v>
      </c>
      <c r="J2168" s="8" t="s">
        <v>1760</v>
      </c>
      <c r="K2168" s="6" t="str">
        <f>"29.080,12"</f>
        <v>29.080,12</v>
      </c>
      <c r="L2168" s="6" t="str">
        <f>"7.270,03"</f>
        <v>7.270,03</v>
      </c>
      <c r="M2168" s="6" t="str">
        <f>"36.350,15"</f>
        <v>36.350,15</v>
      </c>
      <c r="N2168" s="8" t="s">
        <v>384</v>
      </c>
      <c r="O2168" s="7"/>
      <c r="P2168" s="2" t="s">
        <v>6881</v>
      </c>
      <c r="Q2168" s="7"/>
      <c r="R2168" s="1"/>
      <c r="S2168" s="1" t="str">
        <f>"7-22/NOS-73/21"</f>
        <v>7-22/NOS-73/21</v>
      </c>
      <c r="T2168" s="1" t="s">
        <v>86</v>
      </c>
    </row>
    <row r="2169" spans="1:20" ht="51" x14ac:dyDescent="0.25">
      <c r="A2169" s="6">
        <v>2165</v>
      </c>
      <c r="B2169" s="1" t="str">
        <f t="shared" si="201"/>
        <v>2021-2334</v>
      </c>
      <c r="C2169" s="1" t="s">
        <v>233</v>
      </c>
      <c r="D2169" s="1" t="s">
        <v>234</v>
      </c>
      <c r="E2169" s="1" t="str">
        <f>""</f>
        <v/>
      </c>
      <c r="F2169" s="1" t="s">
        <v>28</v>
      </c>
      <c r="G2169" s="1" t="str">
        <f t="shared" si="202"/>
        <v>VODOTEHNIKA D.D., KOTURAŠKA CESTA 49, 10000 ZAGREB, OIB: 1763143132</v>
      </c>
      <c r="H2169" s="7"/>
      <c r="I2169" s="8" t="s">
        <v>947</v>
      </c>
      <c r="J2169" s="8" t="s">
        <v>241</v>
      </c>
      <c r="K2169" s="6" t="str">
        <f>"14.940,64"</f>
        <v>14.940,64</v>
      </c>
      <c r="L2169" s="6" t="str">
        <f>"3.735,16"</f>
        <v>3.735,16</v>
      </c>
      <c r="M2169" s="6" t="str">
        <f>"18.675,80"</f>
        <v>18.675,80</v>
      </c>
      <c r="N2169" s="8" t="s">
        <v>384</v>
      </c>
      <c r="O2169" s="7"/>
      <c r="P2169" s="2" t="s">
        <v>6882</v>
      </c>
      <c r="Q2169" s="7"/>
      <c r="R2169" s="1"/>
      <c r="S2169" s="1" t="str">
        <f>"9-22/NOS-73/21"</f>
        <v>9-22/NOS-73/21</v>
      </c>
      <c r="T2169" s="1" t="s">
        <v>86</v>
      </c>
    </row>
    <row r="2170" spans="1:20" ht="51" x14ac:dyDescent="0.25">
      <c r="A2170" s="6">
        <v>2166</v>
      </c>
      <c r="B2170" s="1" t="str">
        <f t="shared" si="201"/>
        <v>2021-2334</v>
      </c>
      <c r="C2170" s="1" t="s">
        <v>233</v>
      </c>
      <c r="D2170" s="1" t="s">
        <v>234</v>
      </c>
      <c r="E2170" s="1" t="str">
        <f>""</f>
        <v/>
      </c>
      <c r="F2170" s="1" t="s">
        <v>28</v>
      </c>
      <c r="G2170" s="1" t="str">
        <f t="shared" si="202"/>
        <v>VODOTEHNIKA D.D., KOTURAŠKA CESTA 49, 10000 ZAGREB, OIB: 1763143132</v>
      </c>
      <c r="H2170" s="7"/>
      <c r="I2170" s="8" t="s">
        <v>409</v>
      </c>
      <c r="J2170" s="8" t="s">
        <v>241</v>
      </c>
      <c r="K2170" s="6" t="str">
        <f>"96.391,68"</f>
        <v>96.391,68</v>
      </c>
      <c r="L2170" s="6" t="str">
        <f>"0,00"</f>
        <v>0,00</v>
      </c>
      <c r="M2170" s="6" t="str">
        <f>"96.391,68"</f>
        <v>96.391,68</v>
      </c>
      <c r="N2170" s="8" t="s">
        <v>124</v>
      </c>
      <c r="O2170" s="7"/>
      <c r="P2170" s="2" t="s">
        <v>5614</v>
      </c>
      <c r="Q2170" s="7"/>
      <c r="R2170" s="1"/>
      <c r="S2170" s="1" t="str">
        <f>"10-22/NOS-73/21"</f>
        <v>10-22/NOS-73/21</v>
      </c>
      <c r="T2170" s="1" t="s">
        <v>86</v>
      </c>
    </row>
    <row r="2171" spans="1:20" ht="51" x14ac:dyDescent="0.25">
      <c r="A2171" s="6">
        <v>2167</v>
      </c>
      <c r="B2171" s="1" t="str">
        <f t="shared" si="201"/>
        <v>2021-2334</v>
      </c>
      <c r="C2171" s="1" t="s">
        <v>233</v>
      </c>
      <c r="D2171" s="1" t="s">
        <v>234</v>
      </c>
      <c r="E2171" s="1" t="str">
        <f>""</f>
        <v/>
      </c>
      <c r="F2171" s="1" t="s">
        <v>28</v>
      </c>
      <c r="G2171" s="1" t="str">
        <f t="shared" si="202"/>
        <v>VODOTEHNIKA D.D., KOTURAŠKA CESTA 49, 10000 ZAGREB, OIB: 1763143132</v>
      </c>
      <c r="H2171" s="7"/>
      <c r="I2171" s="8" t="s">
        <v>525</v>
      </c>
      <c r="J2171" s="8" t="s">
        <v>241</v>
      </c>
      <c r="K2171" s="6" t="str">
        <f>"16.000,00"</f>
        <v>16.000,00</v>
      </c>
      <c r="L2171" s="6" t="str">
        <f>"0,00"</f>
        <v>0,00</v>
      </c>
      <c r="M2171" s="6" t="str">
        <f>"16.000,00"</f>
        <v>16.000,00</v>
      </c>
      <c r="N2171" s="8" t="s">
        <v>124</v>
      </c>
      <c r="O2171" s="7"/>
      <c r="P2171" s="2" t="s">
        <v>5614</v>
      </c>
      <c r="Q2171" s="7"/>
      <c r="R2171" s="1"/>
      <c r="S2171" s="1" t="str">
        <f>"11-22/NOS-73/21"</f>
        <v>11-22/NOS-73/21</v>
      </c>
      <c r="T2171" s="1" t="s">
        <v>86</v>
      </c>
    </row>
    <row r="2172" spans="1:20" ht="51" x14ac:dyDescent="0.25">
      <c r="A2172" s="6">
        <v>2168</v>
      </c>
      <c r="B2172" s="1" t="str">
        <f t="shared" si="201"/>
        <v>2021-2334</v>
      </c>
      <c r="C2172" s="1" t="s">
        <v>233</v>
      </c>
      <c r="D2172" s="1" t="s">
        <v>234</v>
      </c>
      <c r="E2172" s="1" t="str">
        <f>""</f>
        <v/>
      </c>
      <c r="F2172" s="1" t="s">
        <v>28</v>
      </c>
      <c r="G2172" s="1" t="str">
        <f t="shared" si="202"/>
        <v>VODOTEHNIKA D.D., KOTURAŠKA CESTA 49, 10000 ZAGREB, OIB: 1763143132</v>
      </c>
      <c r="H2172" s="7"/>
      <c r="I2172" s="8" t="s">
        <v>1123</v>
      </c>
      <c r="J2172" s="8" t="s">
        <v>241</v>
      </c>
      <c r="K2172" s="6" t="str">
        <f>"33.713,91"</f>
        <v>33.713,91</v>
      </c>
      <c r="L2172" s="6" t="str">
        <f>"0,00"</f>
        <v>0,00</v>
      </c>
      <c r="M2172" s="6" t="str">
        <f>"33.713,91"</f>
        <v>33.713,91</v>
      </c>
      <c r="N2172" s="8" t="s">
        <v>124</v>
      </c>
      <c r="O2172" s="7"/>
      <c r="P2172" s="2" t="s">
        <v>5614</v>
      </c>
      <c r="Q2172" s="7"/>
      <c r="R2172" s="1"/>
      <c r="S2172" s="1" t="str">
        <f>"12-22/NOS-73/21"</f>
        <v>12-22/NOS-73/21</v>
      </c>
      <c r="T2172" s="1" t="s">
        <v>86</v>
      </c>
    </row>
    <row r="2173" spans="1:20" ht="51" x14ac:dyDescent="0.25">
      <c r="A2173" s="6">
        <v>2169</v>
      </c>
      <c r="B2173" s="1" t="str">
        <f t="shared" si="201"/>
        <v>2021-2334</v>
      </c>
      <c r="C2173" s="1" t="s">
        <v>233</v>
      </c>
      <c r="D2173" s="1" t="s">
        <v>234</v>
      </c>
      <c r="E2173" s="1" t="str">
        <f>""</f>
        <v/>
      </c>
      <c r="F2173" s="1" t="s">
        <v>28</v>
      </c>
      <c r="G2173" s="1" t="str">
        <f t="shared" si="202"/>
        <v>VODOTEHNIKA D.D., KOTURAŠKA CESTA 49, 10000 ZAGREB, OIB: 1763143132</v>
      </c>
      <c r="H2173" s="7"/>
      <c r="I2173" s="8" t="s">
        <v>1123</v>
      </c>
      <c r="J2173" s="8" t="s">
        <v>241</v>
      </c>
      <c r="K2173" s="6" t="str">
        <f>"14.010,62"</f>
        <v>14.010,62</v>
      </c>
      <c r="L2173" s="6" t="str">
        <f>"0,00"</f>
        <v>0,00</v>
      </c>
      <c r="M2173" s="6" t="str">
        <f>"14.010,62"</f>
        <v>14.010,62</v>
      </c>
      <c r="N2173" s="8" t="s">
        <v>124</v>
      </c>
      <c r="O2173" s="7"/>
      <c r="P2173" s="2" t="s">
        <v>5614</v>
      </c>
      <c r="Q2173" s="7"/>
      <c r="R2173" s="1"/>
      <c r="S2173" s="1" t="str">
        <f>"13-22/NOS-73/21"</f>
        <v>13-22/NOS-73/21</v>
      </c>
      <c r="T2173" s="1" t="s">
        <v>86</v>
      </c>
    </row>
    <row r="2174" spans="1:20" ht="51" x14ac:dyDescent="0.25">
      <c r="A2174" s="6">
        <v>2170</v>
      </c>
      <c r="B2174" s="1" t="str">
        <f>"2021-1879"</f>
        <v>2021-1879</v>
      </c>
      <c r="C2174" s="1" t="s">
        <v>1761</v>
      </c>
      <c r="D2174" s="1" t="s">
        <v>1236</v>
      </c>
      <c r="E2174" s="1" t="str">
        <f>"2021/S 0F2-0043347"</f>
        <v>2021/S 0F2-0043347</v>
      </c>
      <c r="F2174" s="1" t="s">
        <v>22</v>
      </c>
      <c r="G2174" s="1" t="str">
        <f>CONCATENATE("SWARCO CROATIA D.O.O.,"," SPREČKA 8,"," 10000 ZAGREB,"," OIB: 79421023865")</f>
        <v>SWARCO CROATIA D.O.O., SPREČKA 8, 10000 ZAGREB, OIB: 79421023865</v>
      </c>
      <c r="H2174" s="7"/>
      <c r="I2174" s="8" t="s">
        <v>469</v>
      </c>
      <c r="J2174" s="8" t="s">
        <v>1762</v>
      </c>
      <c r="K2174" s="6" t="str">
        <f>"800.000,00"</f>
        <v>800.000,00</v>
      </c>
      <c r="L2174" s="6" t="str">
        <f>"200.000,00"</f>
        <v>200.000,00</v>
      </c>
      <c r="M2174" s="6" t="str">
        <f>"1.000.000,00"</f>
        <v>1.000.000,00</v>
      </c>
      <c r="N2174" s="8" t="s">
        <v>124</v>
      </c>
      <c r="O2174" s="7"/>
      <c r="P2174" s="2" t="s">
        <v>5614</v>
      </c>
      <c r="Q2174" s="7"/>
      <c r="R2174" s="1"/>
      <c r="S2174" s="1" t="str">
        <f>"NOS-67-3/21"</f>
        <v>NOS-67-3/21</v>
      </c>
      <c r="T2174" s="1" t="s">
        <v>32</v>
      </c>
    </row>
    <row r="2175" spans="1:20" ht="51" x14ac:dyDescent="0.25">
      <c r="A2175" s="6">
        <v>2171</v>
      </c>
      <c r="B2175" s="1" t="str">
        <f>"2021-1879"</f>
        <v>2021-1879</v>
      </c>
      <c r="C2175" s="1" t="s">
        <v>1761</v>
      </c>
      <c r="D2175" s="1" t="s">
        <v>1239</v>
      </c>
      <c r="E2175" s="1" t="str">
        <f>""</f>
        <v/>
      </c>
      <c r="F2175" s="1" t="s">
        <v>28</v>
      </c>
      <c r="G2175" s="1" t="str">
        <f>CONCATENATE("SWARCO CROATIA D.O.O.,"," SPREČKA 8,"," 10000 ZAGREB,"," OIB: 79421023865")</f>
        <v>SWARCO CROATIA D.O.O., SPREČKA 8, 10000 ZAGREB, OIB: 79421023865</v>
      </c>
      <c r="H2175" s="7"/>
      <c r="I2175" s="8" t="s">
        <v>203</v>
      </c>
      <c r="J2175" s="8" t="s">
        <v>231</v>
      </c>
      <c r="K2175" s="6" t="str">
        <f>"155.291,00"</f>
        <v>155.291,00</v>
      </c>
      <c r="L2175" s="6" t="str">
        <f>"38.822,75"</f>
        <v>38.822,75</v>
      </c>
      <c r="M2175" s="6" t="str">
        <f>"194.113,75"</f>
        <v>194.113,75</v>
      </c>
      <c r="N2175" s="8" t="s">
        <v>301</v>
      </c>
      <c r="O2175" s="7"/>
      <c r="P2175" s="2" t="s">
        <v>6883</v>
      </c>
      <c r="Q2175" s="7"/>
      <c r="R2175" s="1"/>
      <c r="S2175" s="1" t="str">
        <f>"1-22/NOS-67-3/21"</f>
        <v>1-22/NOS-67-3/21</v>
      </c>
      <c r="T2175" s="1" t="s">
        <v>32</v>
      </c>
    </row>
    <row r="2176" spans="1:20" ht="51" x14ac:dyDescent="0.25">
      <c r="A2176" s="6">
        <v>2172</v>
      </c>
      <c r="B2176" s="1" t="str">
        <f>"2021-1879"</f>
        <v>2021-1879</v>
      </c>
      <c r="C2176" s="1" t="s">
        <v>1761</v>
      </c>
      <c r="D2176" s="1" t="s">
        <v>1239</v>
      </c>
      <c r="E2176" s="1" t="str">
        <f>""</f>
        <v/>
      </c>
      <c r="F2176" s="1" t="s">
        <v>28</v>
      </c>
      <c r="G2176" s="1" t="str">
        <f>CONCATENATE("SWARCO CROATIA D.O.O.,"," SPREČKA 8,"," 10000 ZAGREB,"," OIB: 79421023865")</f>
        <v>SWARCO CROATIA D.O.O., SPREČKA 8, 10000 ZAGREB, OIB: 79421023865</v>
      </c>
      <c r="H2176" s="7"/>
      <c r="I2176" s="8" t="s">
        <v>383</v>
      </c>
      <c r="J2176" s="8" t="s">
        <v>231</v>
      </c>
      <c r="K2176" s="6" t="str">
        <f>"12.600,00"</f>
        <v>12.600,00</v>
      </c>
      <c r="L2176" s="6" t="str">
        <f>"3.150,00"</f>
        <v>3.150,00</v>
      </c>
      <c r="M2176" s="6" t="str">
        <f>"15.750,00"</f>
        <v>15.750,00</v>
      </c>
      <c r="N2176" s="8" t="s">
        <v>112</v>
      </c>
      <c r="O2176" s="7"/>
      <c r="P2176" s="2" t="s">
        <v>6884</v>
      </c>
      <c r="Q2176" s="7"/>
      <c r="R2176" s="1"/>
      <c r="S2176" s="1" t="str">
        <f>"2-22/NOS-67-3/21"</f>
        <v>2-22/NOS-67-3/21</v>
      </c>
      <c r="T2176" s="1" t="s">
        <v>32</v>
      </c>
    </row>
    <row r="2177" spans="1:20" ht="114.75" x14ac:dyDescent="0.25">
      <c r="A2177" s="6">
        <v>2173</v>
      </c>
      <c r="B2177" s="1" t="str">
        <f>"2021-1879"</f>
        <v>2021-1879</v>
      </c>
      <c r="C2177" s="1" t="s">
        <v>1763</v>
      </c>
      <c r="D2177" s="1" t="s">
        <v>1236</v>
      </c>
      <c r="E2177" s="1" t="str">
        <f>"2021/S 0F2-0043347"</f>
        <v>2021/S 0F2-0043347</v>
      </c>
      <c r="F2177" s="1" t="s">
        <v>22</v>
      </c>
      <c r="G2177" s="1" t="str">
        <f>CONCATENATE("SWARCO CROATIA D.O.O.,"," SPREČKA 8,"," 10000 ZAGREB,"," OIB: 79421023865",CHAR(10),"",CHAR(10),"SEMAFOR D.O.O.,"," ANTE TOPIĆ MIMARE 24,"," 10000 ZAGREB,"," OIB: 57464039766")</f>
        <v>SWARCO CROATIA D.O.O., SPREČKA 8, 10000 ZAGREB, OIB: 79421023865
SEMAFOR D.O.O., ANTE TOPIĆ MIMARE 24, 10000 ZAGREB, OIB: 57464039766</v>
      </c>
      <c r="H2177" s="7"/>
      <c r="I2177" s="8" t="s">
        <v>1073</v>
      </c>
      <c r="J2177" s="8" t="s">
        <v>1764</v>
      </c>
      <c r="K2177" s="6" t="str">
        <f>"800.000,00"</f>
        <v>800.000,00</v>
      </c>
      <c r="L2177" s="6" t="str">
        <f>"200.000,00"</f>
        <v>200.000,00</v>
      </c>
      <c r="M2177" s="6" t="str">
        <f>"1.000.000,00"</f>
        <v>1.000.000,00</v>
      </c>
      <c r="N2177" s="8" t="s">
        <v>124</v>
      </c>
      <c r="O2177" s="7"/>
      <c r="P2177" s="2" t="s">
        <v>5614</v>
      </c>
      <c r="Q2177" s="7"/>
      <c r="R2177" s="1"/>
      <c r="S2177" s="1" t="str">
        <f>"NOS-67-4/21"</f>
        <v>NOS-67-4/21</v>
      </c>
      <c r="T2177" s="1" t="s">
        <v>32</v>
      </c>
    </row>
    <row r="2178" spans="1:20" ht="51" x14ac:dyDescent="0.25">
      <c r="A2178" s="6">
        <v>2174</v>
      </c>
      <c r="B2178" s="1" t="str">
        <f>"2021-1879"</f>
        <v>2021-1879</v>
      </c>
      <c r="C2178" s="1" t="s">
        <v>1763</v>
      </c>
      <c r="D2178" s="1" t="s">
        <v>1239</v>
      </c>
      <c r="E2178" s="1" t="str">
        <f>""</f>
        <v/>
      </c>
      <c r="F2178" s="1" t="s">
        <v>28</v>
      </c>
      <c r="G2178" s="1" t="str">
        <f>CONCATENATE("SEMAFOR D.O.O.,"," ANTE TOPIĆ MIMARE 24,"," 10000 ZAGREB,"," OIB: 57464039766")</f>
        <v>SEMAFOR D.O.O., ANTE TOPIĆ MIMARE 24, 10000 ZAGREB, OIB: 57464039766</v>
      </c>
      <c r="H2178" s="7"/>
      <c r="I2178" s="8" t="s">
        <v>1123</v>
      </c>
      <c r="J2178" s="8" t="s">
        <v>231</v>
      </c>
      <c r="K2178" s="6" t="str">
        <f>"53.707,92"</f>
        <v>53.707,92</v>
      </c>
      <c r="L2178" s="6" t="str">
        <f>"0,00"</f>
        <v>0,00</v>
      </c>
      <c r="M2178" s="6" t="str">
        <f>"53.707,92"</f>
        <v>53.707,92</v>
      </c>
      <c r="N2178" s="8" t="s">
        <v>124</v>
      </c>
      <c r="O2178" s="7"/>
      <c r="P2178" s="2" t="s">
        <v>5614</v>
      </c>
      <c r="Q2178" s="7"/>
      <c r="R2178" s="1"/>
      <c r="S2178" s="1" t="str">
        <f>"1-22/NOS-67-4/21"</f>
        <v>1-22/NOS-67-4/21</v>
      </c>
      <c r="T2178" s="1" t="s">
        <v>32</v>
      </c>
    </row>
    <row r="2179" spans="1:20" ht="89.25" x14ac:dyDescent="0.25">
      <c r="A2179" s="6">
        <v>2175</v>
      </c>
      <c r="B2179" s="1" t="str">
        <f t="shared" ref="B2179:B2184" si="203">"2022-36"</f>
        <v>2022-36</v>
      </c>
      <c r="C2179" s="1" t="s">
        <v>1765</v>
      </c>
      <c r="D2179" s="1" t="s">
        <v>1012</v>
      </c>
      <c r="E2179" s="1" t="str">
        <f>"2022/S 0F2-0008361"</f>
        <v>2022/S 0F2-0008361</v>
      </c>
      <c r="F2179" s="1" t="s">
        <v>22</v>
      </c>
      <c r="G2179" s="1" t="str">
        <f>CONCATENATE("INA D.D.,"," AVENIJA VEĆESLAVA HOLJEVCA 10,"," 10000 ZAGREB,"," OIB: 27759560625",CHAR(10),"",CHAR(10),"PETROL D.O.O.,"," ,"," OIB: 75550985023")</f>
        <v>INA D.D., AVENIJA VEĆESLAVA HOLJEVCA 10, 10000 ZAGREB, OIB: 27759560625
PETROL D.O.O., , OIB: 75550985023</v>
      </c>
      <c r="H2179" s="7"/>
      <c r="I2179" s="8" t="s">
        <v>1073</v>
      </c>
      <c r="J2179" s="8" t="s">
        <v>1766</v>
      </c>
      <c r="K2179" s="6" t="str">
        <f>"7.330.000,00"</f>
        <v>7.330.000,00</v>
      </c>
      <c r="L2179" s="6" t="str">
        <f>"1.832.500,00"</f>
        <v>1.832.500,00</v>
      </c>
      <c r="M2179" s="6" t="str">
        <f>"9.162.500,00"</f>
        <v>9.162.500,00</v>
      </c>
      <c r="N2179" s="8" t="s">
        <v>124</v>
      </c>
      <c r="O2179" s="7"/>
      <c r="P2179" s="2" t="s">
        <v>5614</v>
      </c>
      <c r="Q2179" s="7"/>
      <c r="R2179" s="1"/>
      <c r="S2179" s="1" t="str">
        <f>"NOS-7/22"</f>
        <v>NOS-7/22</v>
      </c>
      <c r="T2179" s="1" t="s">
        <v>27</v>
      </c>
    </row>
    <row r="2180" spans="1:20" ht="51" x14ac:dyDescent="0.25">
      <c r="A2180" s="6">
        <v>2176</v>
      </c>
      <c r="B2180" s="1" t="str">
        <f t="shared" si="203"/>
        <v>2022-36</v>
      </c>
      <c r="C2180" s="1" t="s">
        <v>1765</v>
      </c>
      <c r="D2180" s="1" t="s">
        <v>1016</v>
      </c>
      <c r="E2180" s="1" t="str">
        <f>""</f>
        <v/>
      </c>
      <c r="F2180" s="1" t="s">
        <v>28</v>
      </c>
      <c r="G2180" s="1" t="str">
        <f>CONCATENATE("INA D.D.,"," AVENIJA VEĆESLAVA HOLJEVCA 10,"," 10000 ZAGREB,"," OIB: 27759560625")</f>
        <v>INA D.D., AVENIJA VEĆESLAVA HOLJEVCA 10, 10000 ZAGREB, OIB: 27759560625</v>
      </c>
      <c r="H2180" s="7"/>
      <c r="I2180" s="8" t="s">
        <v>520</v>
      </c>
      <c r="J2180" s="8" t="s">
        <v>123</v>
      </c>
      <c r="K2180" s="6" t="str">
        <f>"417.890,00"</f>
        <v>417.890,00</v>
      </c>
      <c r="L2180" s="6" t="str">
        <f>"104.472,50"</f>
        <v>104.472,50</v>
      </c>
      <c r="M2180" s="6" t="str">
        <f>"522.362,50"</f>
        <v>522.362,50</v>
      </c>
      <c r="N2180" s="8" t="s">
        <v>124</v>
      </c>
      <c r="O2180" s="7"/>
      <c r="P2180" s="2" t="s">
        <v>6885</v>
      </c>
      <c r="Q2180" s="7"/>
      <c r="R2180" s="1"/>
      <c r="S2180" s="1" t="str">
        <f>"2-22/NOS-7/22"</f>
        <v>2-22/NOS-7/22</v>
      </c>
      <c r="T2180" s="1" t="s">
        <v>32</v>
      </c>
    </row>
    <row r="2181" spans="1:20" ht="51" x14ac:dyDescent="0.25">
      <c r="A2181" s="6">
        <v>2177</v>
      </c>
      <c r="B2181" s="1" t="str">
        <f t="shared" si="203"/>
        <v>2022-36</v>
      </c>
      <c r="C2181" s="1" t="s">
        <v>1765</v>
      </c>
      <c r="D2181" s="1" t="s">
        <v>1016</v>
      </c>
      <c r="E2181" s="1" t="str">
        <f>""</f>
        <v/>
      </c>
      <c r="F2181" s="1" t="s">
        <v>28</v>
      </c>
      <c r="G2181" s="1" t="str">
        <f>CONCATENATE("INA D.D.,"," AVENIJA VEĆESLAVA HOLJEVCA 10,"," 10000 ZAGREB,"," OIB: 27759560625")</f>
        <v>INA D.D., AVENIJA VEĆESLAVA HOLJEVCA 10, 10000 ZAGREB, OIB: 27759560625</v>
      </c>
      <c r="H2181" s="7"/>
      <c r="I2181" s="8" t="s">
        <v>910</v>
      </c>
      <c r="J2181" s="8" t="s">
        <v>123</v>
      </c>
      <c r="K2181" s="6" t="str">
        <f>"2.419.840,00"</f>
        <v>2.419.840,00</v>
      </c>
      <c r="L2181" s="6" t="str">
        <f>"604.960,00"</f>
        <v>604.960,00</v>
      </c>
      <c r="M2181" s="6" t="str">
        <f>"3.024.800,00"</f>
        <v>3.024.800,00</v>
      </c>
      <c r="N2181" s="8" t="s">
        <v>124</v>
      </c>
      <c r="O2181" s="7"/>
      <c r="P2181" s="2" t="s">
        <v>6886</v>
      </c>
      <c r="Q2181" s="1"/>
      <c r="R2181" s="1"/>
      <c r="S2181" s="1" t="str">
        <f>"1-22/NOS-7/22"</f>
        <v>1-22/NOS-7/22</v>
      </c>
      <c r="T2181" s="1" t="s">
        <v>32</v>
      </c>
    </row>
    <row r="2182" spans="1:20" ht="51" x14ac:dyDescent="0.25">
      <c r="A2182" s="6">
        <v>2178</v>
      </c>
      <c r="B2182" s="1" t="str">
        <f t="shared" si="203"/>
        <v>2022-36</v>
      </c>
      <c r="C2182" s="1" t="s">
        <v>1765</v>
      </c>
      <c r="D2182" s="1" t="s">
        <v>1016</v>
      </c>
      <c r="E2182" s="1" t="str">
        <f>""</f>
        <v/>
      </c>
      <c r="F2182" s="1" t="s">
        <v>28</v>
      </c>
      <c r="G2182" s="1" t="str">
        <f>CONCATENATE("INA D.D.,"," AVENIJA VEĆESLAVA HOLJEVCA 10,"," 10000 ZAGREB,"," OIB: 27759560625")</f>
        <v>INA D.D., AVENIJA VEĆESLAVA HOLJEVCA 10, 10000 ZAGREB, OIB: 27759560625</v>
      </c>
      <c r="H2182" s="7"/>
      <c r="I2182" s="8" t="s">
        <v>415</v>
      </c>
      <c r="J2182" s="8" t="s">
        <v>423</v>
      </c>
      <c r="K2182" s="6" t="str">
        <f>"120.345,00"</f>
        <v>120.345,00</v>
      </c>
      <c r="L2182" s="6" t="str">
        <f>"0,00"</f>
        <v>0,00</v>
      </c>
      <c r="M2182" s="6" t="str">
        <f>"120.345,00"</f>
        <v>120.345,00</v>
      </c>
      <c r="N2182" s="8" t="s">
        <v>124</v>
      </c>
      <c r="O2182" s="7"/>
      <c r="P2182" s="2" t="s">
        <v>5614</v>
      </c>
      <c r="Q2182" s="7"/>
      <c r="R2182" s="1"/>
      <c r="S2182" s="1" t="str">
        <f>"4-22/NOS-7/22"</f>
        <v>4-22/NOS-7/22</v>
      </c>
      <c r="T2182" s="1" t="s">
        <v>32</v>
      </c>
    </row>
    <row r="2183" spans="1:20" ht="51" x14ac:dyDescent="0.25">
      <c r="A2183" s="6">
        <v>2179</v>
      </c>
      <c r="B2183" s="1" t="str">
        <f t="shared" si="203"/>
        <v>2022-36</v>
      </c>
      <c r="C2183" s="1" t="s">
        <v>1765</v>
      </c>
      <c r="D2183" s="1" t="s">
        <v>1016</v>
      </c>
      <c r="E2183" s="1" t="str">
        <f>""</f>
        <v/>
      </c>
      <c r="F2183" s="1" t="s">
        <v>28</v>
      </c>
      <c r="G2183" s="1" t="str">
        <f>CONCATENATE("INA D.D.,"," AVENIJA VEĆESLAVA HOLJEVCA 10,"," 10000 ZAGREB,"," OIB: 27759560625")</f>
        <v>INA D.D., AVENIJA VEĆESLAVA HOLJEVCA 10, 10000 ZAGREB, OIB: 27759560625</v>
      </c>
      <c r="H2183" s="7"/>
      <c r="I2183" s="8" t="s">
        <v>732</v>
      </c>
      <c r="J2183" s="8" t="s">
        <v>555</v>
      </c>
      <c r="K2183" s="6" t="str">
        <f>"64.184,00"</f>
        <v>64.184,00</v>
      </c>
      <c r="L2183" s="6" t="str">
        <f>"0,00"</f>
        <v>0,00</v>
      </c>
      <c r="M2183" s="6" t="str">
        <f>"64.184,00"</f>
        <v>64.184,00</v>
      </c>
      <c r="N2183" s="8" t="s">
        <v>124</v>
      </c>
      <c r="O2183" s="7"/>
      <c r="P2183" s="2" t="s">
        <v>5614</v>
      </c>
      <c r="Q2183" s="7"/>
      <c r="R2183" s="1"/>
      <c r="S2183" s="1" t="str">
        <f>"3-22/NOS-7/22"</f>
        <v>3-22/NOS-7/22</v>
      </c>
      <c r="T2183" s="1" t="s">
        <v>55</v>
      </c>
    </row>
    <row r="2184" spans="1:20" ht="51" x14ac:dyDescent="0.25">
      <c r="A2184" s="6">
        <v>2180</v>
      </c>
      <c r="B2184" s="1" t="str">
        <f t="shared" si="203"/>
        <v>2022-36</v>
      </c>
      <c r="C2184" s="1" t="s">
        <v>1765</v>
      </c>
      <c r="D2184" s="1" t="s">
        <v>1016</v>
      </c>
      <c r="E2184" s="1" t="str">
        <f>""</f>
        <v/>
      </c>
      <c r="F2184" s="1" t="s">
        <v>28</v>
      </c>
      <c r="G2184" s="1" t="str">
        <f>CONCATENATE("INA D.D.,"," AVENIJA VEĆESLAVA HOLJEVCA 10,"," 10000 ZAGREB,"," OIB: 27759560625")</f>
        <v>INA D.D., AVENIJA VEĆESLAVA HOLJEVCA 10, 10000 ZAGREB, OIB: 27759560625</v>
      </c>
      <c r="H2184" s="7"/>
      <c r="I2184" s="8" t="s">
        <v>625</v>
      </c>
      <c r="J2184" s="8" t="s">
        <v>555</v>
      </c>
      <c r="K2184" s="6" t="str">
        <f>"35.973,00"</f>
        <v>35.973,00</v>
      </c>
      <c r="L2184" s="6" t="str">
        <f>"8.537,63"</f>
        <v>8.537,63</v>
      </c>
      <c r="M2184" s="6" t="str">
        <f>"44.510,63"</f>
        <v>44.510,63</v>
      </c>
      <c r="N2184" s="8" t="s">
        <v>399</v>
      </c>
      <c r="O2184" s="7"/>
      <c r="P2184" s="2" t="s">
        <v>6887</v>
      </c>
      <c r="Q2184" s="7"/>
      <c r="R2184" s="1"/>
      <c r="S2184" s="1" t="str">
        <f>"5-22/NOS-7/22"</f>
        <v>5-22/NOS-7/22</v>
      </c>
      <c r="T2184" s="1" t="s">
        <v>32</v>
      </c>
    </row>
    <row r="2185" spans="1:20" ht="191.25" x14ac:dyDescent="0.25">
      <c r="A2185" s="6">
        <v>2181</v>
      </c>
      <c r="B2185" s="1" t="str">
        <f>"2021-1892"</f>
        <v>2021-1892</v>
      </c>
      <c r="C2185" s="1" t="s">
        <v>164</v>
      </c>
      <c r="D2185" s="1" t="s">
        <v>165</v>
      </c>
      <c r="E2185" s="1" t="str">
        <f>"2021/S 0F2-0047641"</f>
        <v>2021/S 0F2-0047641</v>
      </c>
      <c r="F2185" s="1" t="s">
        <v>22</v>
      </c>
      <c r="G2185" s="1" t="str">
        <f>CONCATENATE("C.I.A.K. D.O.O.,"," SAVSKA OPATOVINA 36,"," 10090 ZAGREB-SUSEDGRAD,"," OIB: 47428597158",CHAR(10),"",CHAR(10),"MC ČIŠĆENJE D.O.O.,"," NIKOLE TESLE 17,"," 44000 SISAK,"," OIB: 17783496119",CHAR(10),"",CHAR(10),"KEMIS-TERMOCLEAN D.O.O.,"," SLAVONSKA AVENIJA 26/4,"," 10000 ZAGREB,"," OIB: 47719259482")</f>
        <v>C.I.A.K. D.O.O., SAVSKA OPATOVINA 36, 10090 ZAGREB-SUSEDGRAD, OIB: 47428597158
MC ČIŠĆENJE D.O.O., NIKOLE TESLE 17, 44000 SISAK, OIB: 17783496119
KEMIS-TERMOCLEAN D.O.O., SLAVONSKA AVENIJA 26/4, 10000 ZAGREB, OIB: 47719259482</v>
      </c>
      <c r="H2185" s="7"/>
      <c r="I2185" s="8" t="s">
        <v>1073</v>
      </c>
      <c r="J2185" s="8" t="s">
        <v>1767</v>
      </c>
      <c r="K2185" s="6" t="str">
        <f>"1.600.000,00"</f>
        <v>1.600.000,00</v>
      </c>
      <c r="L2185" s="6" t="str">
        <f>"400.000,00"</f>
        <v>400.000,00</v>
      </c>
      <c r="M2185" s="6" t="str">
        <f>"2.000.000,00"</f>
        <v>2.000.000,00</v>
      </c>
      <c r="N2185" s="8" t="s">
        <v>124</v>
      </c>
      <c r="O2185" s="7"/>
      <c r="P2185" s="2" t="s">
        <v>5614</v>
      </c>
      <c r="Q2185" s="7"/>
      <c r="R2185" s="1"/>
      <c r="S2185" s="1" t="str">
        <f>"NOS-77/21"</f>
        <v>NOS-77/21</v>
      </c>
      <c r="T2185" s="1" t="s">
        <v>32</v>
      </c>
    </row>
    <row r="2186" spans="1:20" ht="51" x14ac:dyDescent="0.25">
      <c r="A2186" s="6">
        <v>2182</v>
      </c>
      <c r="B2186" s="1" t="str">
        <f>"2021-1892"</f>
        <v>2021-1892</v>
      </c>
      <c r="C2186" s="1" t="s">
        <v>164</v>
      </c>
      <c r="D2186" s="1" t="s">
        <v>167</v>
      </c>
      <c r="E2186" s="1" t="str">
        <f>""</f>
        <v/>
      </c>
      <c r="F2186" s="1" t="s">
        <v>28</v>
      </c>
      <c r="G2186" s="1" t="str">
        <f>CONCATENATE("MC ČIŠĆENJE D.O.O.,"," NIKOLE TESLE 17,"," 44000 SISAK,"," OIB: 17783496119")</f>
        <v>MC ČIŠĆENJE D.O.O., NIKOLE TESLE 17, 44000 SISAK, OIB: 17783496119</v>
      </c>
      <c r="H2186" s="7"/>
      <c r="I2186" s="8" t="s">
        <v>54</v>
      </c>
      <c r="J2186" s="8" t="s">
        <v>231</v>
      </c>
      <c r="K2186" s="6" t="str">
        <f>"14.070,00"</f>
        <v>14.070,00</v>
      </c>
      <c r="L2186" s="6" t="str">
        <f>"0,00"</f>
        <v>0,00</v>
      </c>
      <c r="M2186" s="6" t="str">
        <f>"14.070,00"</f>
        <v>14.070,00</v>
      </c>
      <c r="N2186" s="8" t="s">
        <v>124</v>
      </c>
      <c r="O2186" s="7"/>
      <c r="P2186" s="2" t="s">
        <v>5614</v>
      </c>
      <c r="Q2186" s="7"/>
      <c r="R2186" s="1"/>
      <c r="S2186" s="1" t="str">
        <f>"3-22/NOS-77/21"</f>
        <v>3-22/NOS-77/21</v>
      </c>
      <c r="T2186" s="1" t="s">
        <v>32</v>
      </c>
    </row>
    <row r="2187" spans="1:20" ht="51" x14ac:dyDescent="0.25">
      <c r="A2187" s="6">
        <v>2183</v>
      </c>
      <c r="B2187" s="1" t="str">
        <f>"2021-1892"</f>
        <v>2021-1892</v>
      </c>
      <c r="C2187" s="1" t="s">
        <v>164</v>
      </c>
      <c r="D2187" s="1" t="s">
        <v>167</v>
      </c>
      <c r="E2187" s="1" t="str">
        <f>""</f>
        <v/>
      </c>
      <c r="F2187" s="1" t="s">
        <v>28</v>
      </c>
      <c r="G2187" s="1" t="str">
        <f>CONCATENATE("MC ČIŠĆENJE D.O.O.,"," NIKOLE TESLE 17,"," 44000 SISAK,"," OIB: 17783496119")</f>
        <v>MC ČIŠĆENJE D.O.O., NIKOLE TESLE 17, 44000 SISAK, OIB: 17783496119</v>
      </c>
      <c r="H2187" s="7"/>
      <c r="I2187" s="8" t="s">
        <v>54</v>
      </c>
      <c r="J2187" s="8" t="s">
        <v>519</v>
      </c>
      <c r="K2187" s="6" t="str">
        <f>"5.870,00"</f>
        <v>5.870,00</v>
      </c>
      <c r="L2187" s="6" t="str">
        <f>"1.467,50"</f>
        <v>1.467,50</v>
      </c>
      <c r="M2187" s="6" t="str">
        <f>"7.337,50"</f>
        <v>7.337,50</v>
      </c>
      <c r="N2187" s="8" t="s">
        <v>414</v>
      </c>
      <c r="O2187" s="7"/>
      <c r="P2187" s="2" t="s">
        <v>6888</v>
      </c>
      <c r="Q2187" s="7"/>
      <c r="R2187" s="1"/>
      <c r="S2187" s="1" t="str">
        <f>"5-22/NOS-77/21"</f>
        <v>5-22/NOS-77/21</v>
      </c>
      <c r="T2187" s="1" t="s">
        <v>32</v>
      </c>
    </row>
    <row r="2188" spans="1:20" ht="51" x14ac:dyDescent="0.25">
      <c r="A2188" s="6">
        <v>2184</v>
      </c>
      <c r="B2188" s="1" t="str">
        <f>"2021-1892"</f>
        <v>2021-1892</v>
      </c>
      <c r="C2188" s="1" t="s">
        <v>164</v>
      </c>
      <c r="D2188" s="1" t="s">
        <v>167</v>
      </c>
      <c r="E2188" s="1" t="str">
        <f>""</f>
        <v/>
      </c>
      <c r="F2188" s="1" t="s">
        <v>28</v>
      </c>
      <c r="G2188" s="1" t="str">
        <f>CONCATENATE("MC ČIŠĆENJE D.O.O.,"," NIKOLE TESLE 17,"," 44000 SISAK,"," OIB: 17783496119")</f>
        <v>MC ČIŠĆENJE D.O.O., NIKOLE TESLE 17, 44000 SISAK, OIB: 17783496119</v>
      </c>
      <c r="H2188" s="7"/>
      <c r="I2188" s="8" t="s">
        <v>54</v>
      </c>
      <c r="J2188" s="8" t="s">
        <v>519</v>
      </c>
      <c r="K2188" s="6" t="str">
        <f>"8.480,00"</f>
        <v>8.480,00</v>
      </c>
      <c r="L2188" s="6" t="str">
        <f>"2.120,00"</f>
        <v>2.120,00</v>
      </c>
      <c r="M2188" s="6" t="str">
        <f>"10.600,00"</f>
        <v>10.600,00</v>
      </c>
      <c r="N2188" s="8" t="s">
        <v>414</v>
      </c>
      <c r="O2188" s="7"/>
      <c r="P2188" s="2" t="s">
        <v>6889</v>
      </c>
      <c r="Q2188" s="7"/>
      <c r="R2188" s="1"/>
      <c r="S2188" s="1" t="str">
        <f>"4-22/NOS-77/21"</f>
        <v>4-22/NOS-77/21</v>
      </c>
      <c r="T2188" s="1" t="s">
        <v>32</v>
      </c>
    </row>
    <row r="2189" spans="1:20" ht="51" x14ac:dyDescent="0.25">
      <c r="A2189" s="6">
        <v>2185</v>
      </c>
      <c r="B2189" s="1" t="str">
        <f>"2021-1892"</f>
        <v>2021-1892</v>
      </c>
      <c r="C2189" s="1" t="s">
        <v>164</v>
      </c>
      <c r="D2189" s="1" t="s">
        <v>167</v>
      </c>
      <c r="E2189" s="1" t="str">
        <f>""</f>
        <v/>
      </c>
      <c r="F2189" s="1" t="s">
        <v>28</v>
      </c>
      <c r="G2189" s="1" t="str">
        <f>CONCATENATE("MC ČIŠĆENJE D.O.O.,"," NIKOLE TESLE 17,"," 44000 SISAK,"," OIB: 17783496119")</f>
        <v>MC ČIŠĆENJE D.O.O., NIKOLE TESLE 17, 44000 SISAK, OIB: 17783496119</v>
      </c>
      <c r="H2189" s="7"/>
      <c r="I2189" s="8" t="s">
        <v>947</v>
      </c>
      <c r="J2189" s="8" t="s">
        <v>519</v>
      </c>
      <c r="K2189" s="6" t="str">
        <f>"2.510,00"</f>
        <v>2.510,00</v>
      </c>
      <c r="L2189" s="6" t="str">
        <f>"627,50"</f>
        <v>627,50</v>
      </c>
      <c r="M2189" s="6" t="str">
        <f>"3.137,50"</f>
        <v>3.137,50</v>
      </c>
      <c r="N2189" s="8" t="s">
        <v>409</v>
      </c>
      <c r="O2189" s="7"/>
      <c r="P2189" s="2" t="s">
        <v>6890</v>
      </c>
      <c r="Q2189" s="7"/>
      <c r="R2189" s="1"/>
      <c r="S2189" s="1" t="str">
        <f>"6-22/NOS-77/21"</f>
        <v>6-22/NOS-77/21</v>
      </c>
      <c r="T2189" s="1" t="s">
        <v>32</v>
      </c>
    </row>
    <row r="2190" spans="1:20" ht="216.75" x14ac:dyDescent="0.25">
      <c r="A2190" s="6">
        <v>2186</v>
      </c>
      <c r="B2190" s="1" t="str">
        <f>"2022-158"</f>
        <v>2022-158</v>
      </c>
      <c r="C2190" s="1" t="s">
        <v>853</v>
      </c>
      <c r="D2190" s="1" t="s">
        <v>854</v>
      </c>
      <c r="E2190" s="1" t="str">
        <f>"2022/S 0F2-0012343"</f>
        <v>2022/S 0F2-0012343</v>
      </c>
      <c r="F2190" s="1" t="s">
        <v>22</v>
      </c>
      <c r="G2190" s="1" t="str">
        <f>CONCATENATE("NARODNE NOVINE D.D.,"," SAVSKI GAJ XIII. PUT br. 6,"," 10000 ZAGREB,"," OIB: 64546066176",CHAR(10),"",CHAR(10),"ZVIBOR D.O.O.,"," ZAVRTNICA 36,"," 10000 ZAGREB,"," OIB: 03454358063",CHAR(10),"",CHAR(10),"INSEPO DRUŠTVO S OGRANIČENOM ODGOVORNOŠĆU ZA TRGOVINU I USLUGE,"," KARAMANOV PRILAZ 2,"," 10000 ZAGREB,"," OIB: 92528715879")</f>
        <v>NARODNE NOVINE D.D., SAVSKI GAJ XIII. PUT br. 6, 10000 ZAGREB, OIB: 64546066176
ZVIBOR D.O.O., ZAVRTNICA 36, 10000 ZAGREB, OIB: 03454358063
INSEPO DRUŠTVO S OGRANIČENOM ODGOVORNOŠĆU ZA TRGOVINU I USLUGE, KARAMANOV PRILAZ 2, 10000 ZAGREB, OIB: 92528715879</v>
      </c>
      <c r="H2190" s="7"/>
      <c r="I2190" s="8" t="s">
        <v>425</v>
      </c>
      <c r="J2190" s="8" t="s">
        <v>1768</v>
      </c>
      <c r="K2190" s="6" t="str">
        <f>"400.000,00"</f>
        <v>400.000,00</v>
      </c>
      <c r="L2190" s="6" t="str">
        <f>"100.000,00"</f>
        <v>100.000,00</v>
      </c>
      <c r="M2190" s="6" t="str">
        <f>"500.000,00"</f>
        <v>500.000,00</v>
      </c>
      <c r="N2190" s="8" t="s">
        <v>124</v>
      </c>
      <c r="O2190" s="7"/>
      <c r="P2190" s="2" t="s">
        <v>5614</v>
      </c>
      <c r="Q2190" s="7"/>
      <c r="R2190" s="1"/>
      <c r="S2190" s="1" t="str">
        <f>"NOS-5/22"</f>
        <v>NOS-5/22</v>
      </c>
      <c r="T2190" s="1" t="s">
        <v>43</v>
      </c>
    </row>
    <row r="2191" spans="1:20" ht="89.25" x14ac:dyDescent="0.25">
      <c r="A2191" s="6">
        <v>2187</v>
      </c>
      <c r="B2191" s="1" t="str">
        <f>"2022-158"</f>
        <v>2022-158</v>
      </c>
      <c r="C2191" s="1" t="s">
        <v>853</v>
      </c>
      <c r="D2191" s="1" t="s">
        <v>854</v>
      </c>
      <c r="E2191" s="1" t="str">
        <f>""</f>
        <v/>
      </c>
      <c r="F2191" s="1" t="s">
        <v>28</v>
      </c>
      <c r="G2191" s="1" t="str">
        <f>CONCATENATE("INSEPO DRUŠTVO S OGRANIČENOM ODGOVORNOŠĆU ZA TRGOVINU I USLUGE,"," KARAMANOV PRILAZ 2,"," 10000 ZAGREB,"," OIB: 92528715879")</f>
        <v>INSEPO DRUŠTVO S OGRANIČENOM ODGOVORNOŠĆU ZA TRGOVINU I USLUGE, KARAMANOV PRILAZ 2, 10000 ZAGREB, OIB: 92528715879</v>
      </c>
      <c r="H2191" s="7"/>
      <c r="I2191" s="8" t="s">
        <v>732</v>
      </c>
      <c r="J2191" s="8" t="s">
        <v>1026</v>
      </c>
      <c r="K2191" s="6" t="str">
        <f>"156.297,00"</f>
        <v>156.297,00</v>
      </c>
      <c r="L2191" s="6" t="str">
        <f>"39.074,25"</f>
        <v>39.074,25</v>
      </c>
      <c r="M2191" s="6" t="str">
        <f>"195.371,25"</f>
        <v>195.371,25</v>
      </c>
      <c r="N2191" s="8" t="s">
        <v>124</v>
      </c>
      <c r="O2191" s="7"/>
      <c r="P2191" s="2" t="s">
        <v>5614</v>
      </c>
      <c r="Q2191" s="7"/>
      <c r="R2191" s="1"/>
      <c r="S2191" s="1" t="str">
        <f>"2-22/NOS-5/22"</f>
        <v>2-22/NOS-5/22</v>
      </c>
      <c r="T2191" s="1" t="s">
        <v>43</v>
      </c>
    </row>
    <row r="2192" spans="1:20" ht="89.25" x14ac:dyDescent="0.25">
      <c r="A2192" s="6">
        <v>2188</v>
      </c>
      <c r="B2192" s="1" t="str">
        <f>"2022-158"</f>
        <v>2022-158</v>
      </c>
      <c r="C2192" s="1" t="s">
        <v>853</v>
      </c>
      <c r="D2192" s="1" t="s">
        <v>854</v>
      </c>
      <c r="E2192" s="1" t="str">
        <f>""</f>
        <v/>
      </c>
      <c r="F2192" s="1" t="s">
        <v>28</v>
      </c>
      <c r="G2192" s="1" t="str">
        <f>CONCATENATE("INSEPO DRUŠTVO S OGRANIČENOM ODGOVORNOŠĆU ZA TRGOVINU I USLUGE,"," KARAMANOV PRILAZ 2,"," 10000 ZAGREB,"," OIB: 92528715879")</f>
        <v>INSEPO DRUŠTVO S OGRANIČENOM ODGOVORNOŠĆU ZA TRGOVINU I USLUGE, KARAMANOV PRILAZ 2, 10000 ZAGREB, OIB: 92528715879</v>
      </c>
      <c r="H2192" s="7"/>
      <c r="I2192" s="8" t="s">
        <v>429</v>
      </c>
      <c r="J2192" s="8" t="s">
        <v>423</v>
      </c>
      <c r="K2192" s="6" t="str">
        <f>"22.804,00"</f>
        <v>22.804,00</v>
      </c>
      <c r="L2192" s="6" t="str">
        <f>"5.701,00"</f>
        <v>5.701,00</v>
      </c>
      <c r="M2192" s="6" t="str">
        <f>"28.505,00"</f>
        <v>28.505,00</v>
      </c>
      <c r="N2192" s="8" t="s">
        <v>564</v>
      </c>
      <c r="O2192" s="7"/>
      <c r="P2192" s="2" t="s">
        <v>6891</v>
      </c>
      <c r="Q2192" s="7"/>
      <c r="R2192" s="1"/>
      <c r="S2192" s="1" t="str">
        <f>"1-22/NOS-5/22"</f>
        <v>1-22/NOS-5/22</v>
      </c>
      <c r="T2192" s="1" t="s">
        <v>43</v>
      </c>
    </row>
    <row r="2193" spans="1:20" ht="63.75" x14ac:dyDescent="0.25">
      <c r="A2193" s="6">
        <v>2189</v>
      </c>
      <c r="B2193" s="1" t="str">
        <f>"2021-1914"</f>
        <v>2021-1914</v>
      </c>
      <c r="C2193" s="1" t="s">
        <v>1769</v>
      </c>
      <c r="D2193" s="1" t="s">
        <v>1373</v>
      </c>
      <c r="E2193" s="1" t="str">
        <f>"2022/S 0F2-0008291"</f>
        <v>2022/S 0F2-0008291</v>
      </c>
      <c r="F2193" s="1" t="s">
        <v>22</v>
      </c>
      <c r="G2193" s="1" t="str">
        <f>CONCATENATE("PELMEN D.O.O.,"," GARIĆGRADSKA 14,"," 10000 ZAGREB,"," OIB: 29980501016")</f>
        <v>PELMEN D.O.O., GARIĆGRADSKA 14, 10000 ZAGREB, OIB: 29980501016</v>
      </c>
      <c r="H2193" s="7"/>
      <c r="I2193" s="8" t="s">
        <v>506</v>
      </c>
      <c r="J2193" s="8" t="s">
        <v>1770</v>
      </c>
      <c r="K2193" s="6" t="str">
        <f>"2.200.000,00"</f>
        <v>2.200.000,00</v>
      </c>
      <c r="L2193" s="6" t="str">
        <f>"550.000,00"</f>
        <v>550.000,00</v>
      </c>
      <c r="M2193" s="6" t="str">
        <f>"2.750.000,00"</f>
        <v>2.750.000,00</v>
      </c>
      <c r="N2193" s="8" t="s">
        <v>124</v>
      </c>
      <c r="O2193" s="7"/>
      <c r="P2193" s="2" t="s">
        <v>5614</v>
      </c>
      <c r="Q2193" s="7"/>
      <c r="R2193" s="1"/>
      <c r="S2193" s="1" t="str">
        <f>"NOS-76/21"</f>
        <v>NOS-76/21</v>
      </c>
      <c r="T2193" s="1" t="s">
        <v>55</v>
      </c>
    </row>
    <row r="2194" spans="1:20" ht="63.75" x14ac:dyDescent="0.25">
      <c r="A2194" s="6">
        <v>2190</v>
      </c>
      <c r="B2194" s="1" t="str">
        <f>"2021-1914"</f>
        <v>2021-1914</v>
      </c>
      <c r="C2194" s="1" t="s">
        <v>1769</v>
      </c>
      <c r="D2194" s="1" t="s">
        <v>1373</v>
      </c>
      <c r="E2194" s="1" t="str">
        <f>""</f>
        <v/>
      </c>
      <c r="F2194" s="1" t="s">
        <v>28</v>
      </c>
      <c r="G2194" s="1" t="str">
        <f>CONCATENATE("PELMEN D.O.O.,"," GARIĆGRADSKA 14,"," 10000 ZAGREB,"," OIB: 29980501016")</f>
        <v>PELMEN D.O.O., GARIĆGRADSKA 14, 10000 ZAGREB, OIB: 29980501016</v>
      </c>
      <c r="H2194" s="7"/>
      <c r="I2194" s="8" t="s">
        <v>433</v>
      </c>
      <c r="J2194" s="8" t="s">
        <v>292</v>
      </c>
      <c r="K2194" s="6" t="str">
        <f>"11.939,30"</f>
        <v>11.939,30</v>
      </c>
      <c r="L2194" s="6" t="str">
        <f>"0,00"</f>
        <v>0,00</v>
      </c>
      <c r="M2194" s="6" t="str">
        <f>"11.939,30"</f>
        <v>11.939,30</v>
      </c>
      <c r="N2194" s="8" t="s">
        <v>124</v>
      </c>
      <c r="O2194" s="7"/>
      <c r="P2194" s="2" t="s">
        <v>5614</v>
      </c>
      <c r="Q2194" s="7"/>
      <c r="R2194" s="1"/>
      <c r="S2194" s="1" t="str">
        <f>"1-22/NOS-76/21"</f>
        <v>1-22/NOS-76/21</v>
      </c>
      <c r="T2194" s="1" t="s">
        <v>55</v>
      </c>
    </row>
    <row r="2195" spans="1:20" ht="76.5" x14ac:dyDescent="0.25">
      <c r="A2195" s="6">
        <v>2191</v>
      </c>
      <c r="B2195" s="1" t="str">
        <f>"2021-269"</f>
        <v>2021-269</v>
      </c>
      <c r="C2195" s="1" t="s">
        <v>1771</v>
      </c>
      <c r="D2195" s="1" t="s">
        <v>1699</v>
      </c>
      <c r="E2195" s="1" t="str">
        <f>" 2021/S 0F2-0046246"</f>
        <v xml:space="preserve"> 2021/S 0F2-0046246</v>
      </c>
      <c r="F2195" s="1" t="s">
        <v>22</v>
      </c>
      <c r="G2195" s="1" t="str">
        <f>CONCATENATE("TEHNIX D.O.O.,"," BRAĆE RADIĆA 35,"," 40320 DONJI KRALJEVEC,"," OIB: 78013846555")</f>
        <v>TEHNIX D.O.O., BRAĆE RADIĆA 35, 40320 DONJI KRALJEVEC, OIB: 78013846555</v>
      </c>
      <c r="H2195" s="7"/>
      <c r="I2195" s="8" t="s">
        <v>506</v>
      </c>
      <c r="J2195" s="8" t="s">
        <v>1770</v>
      </c>
      <c r="K2195" s="6" t="str">
        <f>"310.000,00"</f>
        <v>310.000,00</v>
      </c>
      <c r="L2195" s="6" t="str">
        <f>"77.500,00"</f>
        <v>77.500,00</v>
      </c>
      <c r="M2195" s="6" t="str">
        <f>"387.500,00"</f>
        <v>387.500,00</v>
      </c>
      <c r="N2195" s="8" t="s">
        <v>124</v>
      </c>
      <c r="O2195" s="7"/>
      <c r="P2195" s="2" t="s">
        <v>5614</v>
      </c>
      <c r="Q2195" s="7"/>
      <c r="R2195" s="1"/>
      <c r="S2195" s="1" t="str">
        <f>"NOS-75-8/21"</f>
        <v>NOS-75-8/21</v>
      </c>
      <c r="T2195" s="1" t="s">
        <v>32</v>
      </c>
    </row>
    <row r="2196" spans="1:20" ht="76.5" x14ac:dyDescent="0.25">
      <c r="A2196" s="6">
        <v>2192</v>
      </c>
      <c r="B2196" s="1" t="str">
        <f>"2021-269"</f>
        <v>2021-269</v>
      </c>
      <c r="C2196" s="1" t="s">
        <v>1771</v>
      </c>
      <c r="D2196" s="1" t="s">
        <v>101</v>
      </c>
      <c r="E2196" s="1" t="str">
        <f>""</f>
        <v/>
      </c>
      <c r="F2196" s="1" t="s">
        <v>28</v>
      </c>
      <c r="G2196" s="1" t="str">
        <f>CONCATENATE("TEHNIX D.O.O.,"," BRAĆE RADIĆA 35,"," 40320 DONJI KRALJEVEC,"," OIB: 78013846555")</f>
        <v>TEHNIX D.O.O., BRAĆE RADIĆA 35, 40320 DONJI KRALJEVEC, OIB: 78013846555</v>
      </c>
      <c r="H2196" s="7"/>
      <c r="I2196" s="8" t="s">
        <v>553</v>
      </c>
      <c r="J2196" s="8" t="s">
        <v>292</v>
      </c>
      <c r="K2196" s="6" t="str">
        <f>"71.739,56"</f>
        <v>71.739,56</v>
      </c>
      <c r="L2196" s="6" t="str">
        <f>"0,00"</f>
        <v>0,00</v>
      </c>
      <c r="M2196" s="6" t="str">
        <f>"71.739,56"</f>
        <v>71.739,56</v>
      </c>
      <c r="N2196" s="8" t="s">
        <v>124</v>
      </c>
      <c r="O2196" s="7"/>
      <c r="P2196" s="2" t="s">
        <v>5614</v>
      </c>
      <c r="Q2196" s="7"/>
      <c r="R2196" s="1"/>
      <c r="S2196" s="1" t="str">
        <f>"1-22/NOS-75-8/21"</f>
        <v>1-22/NOS-75-8/21</v>
      </c>
      <c r="T2196" s="1" t="s">
        <v>32</v>
      </c>
    </row>
    <row r="2197" spans="1:20" ht="102" x14ac:dyDescent="0.25">
      <c r="A2197" s="6">
        <v>2193</v>
      </c>
      <c r="B2197" s="1" t="str">
        <f t="shared" ref="B2197:B2202" si="204">"2021-1248"</f>
        <v>2021-1248</v>
      </c>
      <c r="C2197" s="1" t="s">
        <v>1772</v>
      </c>
      <c r="D2197" s="1" t="s">
        <v>602</v>
      </c>
      <c r="E2197" s="1" t="str">
        <f>"2022/S 0F2-0004550"</f>
        <v>2022/S 0F2-0004550</v>
      </c>
      <c r="F2197" s="1" t="s">
        <v>22</v>
      </c>
      <c r="G2197" s="1" t="str">
        <f>CONCATENATE("AUTOTRANS D.D.,"," ŠETALIŠTE 20. TRAVNJA 18,"," 51557 CRES,"," OIB: 19819724166")</f>
        <v>AUTOTRANS D.D., ŠETALIŠTE 20. TRAVNJA 18, 51557 CRES, OIB: 19819724166</v>
      </c>
      <c r="H2197" s="1" t="str">
        <f>CONCATENATE("BRIONI D.D.,"," OIB: 7870697919")</f>
        <v>BRIONI D.D., OIB: 7870697919</v>
      </c>
      <c r="I2197" s="8" t="s">
        <v>905</v>
      </c>
      <c r="J2197" s="8" t="s">
        <v>1773</v>
      </c>
      <c r="K2197" s="6" t="str">
        <f>"500.000,00"</f>
        <v>500.000,00</v>
      </c>
      <c r="L2197" s="6" t="str">
        <f>"125.000,00"</f>
        <v>125.000,00</v>
      </c>
      <c r="M2197" s="6" t="str">
        <f>"625.000,00"</f>
        <v>625.000,00</v>
      </c>
      <c r="N2197" s="8" t="s">
        <v>124</v>
      </c>
      <c r="O2197" s="7"/>
      <c r="P2197" s="2" t="s">
        <v>6892</v>
      </c>
      <c r="Q2197" s="7"/>
      <c r="R2197" s="1"/>
      <c r="S2197" s="1" t="str">
        <f>"NOS-72-1/21"</f>
        <v>NOS-72-1/21</v>
      </c>
      <c r="T2197" s="1" t="s">
        <v>32</v>
      </c>
    </row>
    <row r="2198" spans="1:20" ht="102" x14ac:dyDescent="0.25">
      <c r="A2198" s="6">
        <v>2194</v>
      </c>
      <c r="B2198" s="1" t="str">
        <f t="shared" si="204"/>
        <v>2021-1248</v>
      </c>
      <c r="C2198" s="1" t="s">
        <v>1772</v>
      </c>
      <c r="D2198" s="1" t="s">
        <v>606</v>
      </c>
      <c r="E2198" s="1" t="str">
        <f>""</f>
        <v/>
      </c>
      <c r="F2198" s="1" t="s">
        <v>28</v>
      </c>
      <c r="G2198" s="1" t="str">
        <f>CONCATENATE("AUTOTRANS D.D.,"," ŠETALIŠTE 20. TRAVNJA 18,"," 51557 CRES,"," OIB: 19819724166")</f>
        <v>AUTOTRANS D.D., ŠETALIŠTE 20. TRAVNJA 18, 51557 CRES, OIB: 19819724166</v>
      </c>
      <c r="H2198" s="1" t="str">
        <f>CONCATENATE("BRIONI D.D.,"," OIB: 7870697919")</f>
        <v>BRIONI D.D., OIB: 7870697919</v>
      </c>
      <c r="I2198" s="8" t="s">
        <v>893</v>
      </c>
      <c r="J2198" s="8" t="s">
        <v>1148</v>
      </c>
      <c r="K2198" s="6" t="str">
        <f>"12.476,00"</f>
        <v>12.476,00</v>
      </c>
      <c r="L2198" s="6" t="str">
        <f>"0,00"</f>
        <v>0,00</v>
      </c>
      <c r="M2198" s="6" t="str">
        <f>"12.476,00"</f>
        <v>12.476,00</v>
      </c>
      <c r="N2198" s="8" t="s">
        <v>124</v>
      </c>
      <c r="O2198" s="7"/>
      <c r="P2198" s="2" t="s">
        <v>5614</v>
      </c>
      <c r="Q2198" s="7"/>
      <c r="R2198" s="1"/>
      <c r="S2198" s="1" t="str">
        <f>"1-22/NOS-72-1/21"</f>
        <v>1-22/NOS-72-1/21</v>
      </c>
      <c r="T2198" s="1" t="s">
        <v>32</v>
      </c>
    </row>
    <row r="2199" spans="1:20" ht="89.25" x14ac:dyDescent="0.25">
      <c r="A2199" s="6">
        <v>2195</v>
      </c>
      <c r="B2199" s="1" t="str">
        <f t="shared" si="204"/>
        <v>2021-1248</v>
      </c>
      <c r="C2199" s="1" t="s">
        <v>1774</v>
      </c>
      <c r="D2199" s="1" t="s">
        <v>602</v>
      </c>
      <c r="E2199" s="1" t="str">
        <f>"2022/S 0F2-0004550"</f>
        <v>2022/S 0F2-0004550</v>
      </c>
      <c r="F2199" s="1" t="s">
        <v>22</v>
      </c>
      <c r="G2199" s="1" t="str">
        <f>CONCATENATE("AUTOTRANS D.D.,"," ŠETALIŠTE 20. TRAVNJA 18,"," 51557 CRES,"," OIB: 19819724166")</f>
        <v>AUTOTRANS D.D., ŠETALIŠTE 20. TRAVNJA 18, 51557 CRES, OIB: 19819724166</v>
      </c>
      <c r="H2199" s="1" t="str">
        <f>CONCATENATE("BRIONI D.D.,"," OIB: 7870697919")</f>
        <v>BRIONI D.D., OIB: 7870697919</v>
      </c>
      <c r="I2199" s="8" t="s">
        <v>905</v>
      </c>
      <c r="J2199" s="8" t="s">
        <v>1773</v>
      </c>
      <c r="K2199" s="6" t="str">
        <f>"700.000,00"</f>
        <v>700.000,00</v>
      </c>
      <c r="L2199" s="6" t="str">
        <f>"175.000,00"</f>
        <v>175.000,00</v>
      </c>
      <c r="M2199" s="6" t="str">
        <f>"875.000,00"</f>
        <v>875.000,00</v>
      </c>
      <c r="N2199" s="8" t="s">
        <v>124</v>
      </c>
      <c r="O2199" s="7"/>
      <c r="P2199" s="2" t="s">
        <v>5614</v>
      </c>
      <c r="Q2199" s="7"/>
      <c r="R2199" s="1"/>
      <c r="S2199" s="1" t="str">
        <f>"NOS-72-2/21"</f>
        <v>NOS-72-2/21</v>
      </c>
      <c r="T2199" s="1" t="s">
        <v>32</v>
      </c>
    </row>
    <row r="2200" spans="1:20" ht="89.25" x14ac:dyDescent="0.25">
      <c r="A2200" s="6">
        <v>2196</v>
      </c>
      <c r="B2200" s="1" t="str">
        <f t="shared" si="204"/>
        <v>2021-1248</v>
      </c>
      <c r="C2200" s="1" t="s">
        <v>1774</v>
      </c>
      <c r="D2200" s="1" t="s">
        <v>606</v>
      </c>
      <c r="E2200" s="1" t="str">
        <f>""</f>
        <v/>
      </c>
      <c r="F2200" s="1" t="s">
        <v>28</v>
      </c>
      <c r="G2200" s="1" t="str">
        <f>CONCATENATE("AUTOTRANS D.D.,"," ŠETALIŠTE 20. TRAVNJA 18,"," 51557 CRES,"," OIB: 19819724166")</f>
        <v>AUTOTRANS D.D., ŠETALIŠTE 20. TRAVNJA 18, 51557 CRES, OIB: 19819724166</v>
      </c>
      <c r="H2200" s="1" t="str">
        <f>CONCATENATE("BRIONI D.D.,"," OIB: 7870697919")</f>
        <v>BRIONI D.D., OIB: 7870697919</v>
      </c>
      <c r="I2200" s="8" t="s">
        <v>524</v>
      </c>
      <c r="J2200" s="8" t="s">
        <v>1148</v>
      </c>
      <c r="K2200" s="6" t="str">
        <f>"38.964,00"</f>
        <v>38.964,00</v>
      </c>
      <c r="L2200" s="6" t="str">
        <f>"0,00"</f>
        <v>0,00</v>
      </c>
      <c r="M2200" s="6" t="str">
        <f>"38.964,00"</f>
        <v>38.964,00</v>
      </c>
      <c r="N2200" s="8" t="s">
        <v>124</v>
      </c>
      <c r="O2200" s="7"/>
      <c r="P2200" s="2" t="s">
        <v>5614</v>
      </c>
      <c r="Q2200" s="7"/>
      <c r="R2200" s="1"/>
      <c r="S2200" s="1" t="str">
        <f>"1-22/NOS-72-2/21"</f>
        <v>1-22/NOS-72-2/21</v>
      </c>
      <c r="T2200" s="1" t="s">
        <v>32</v>
      </c>
    </row>
    <row r="2201" spans="1:20" ht="89.25" x14ac:dyDescent="0.25">
      <c r="A2201" s="6">
        <v>2197</v>
      </c>
      <c r="B2201" s="1" t="str">
        <f t="shared" si="204"/>
        <v>2021-1248</v>
      </c>
      <c r="C2201" s="1" t="s">
        <v>601</v>
      </c>
      <c r="D2201" s="1" t="s">
        <v>602</v>
      </c>
      <c r="E2201" s="1" t="str">
        <f>"2022/S 0F2-0004550"</f>
        <v>2022/S 0F2-0004550</v>
      </c>
      <c r="F2201" s="1" t="s">
        <v>22</v>
      </c>
      <c r="G2201" s="1" t="str">
        <f>CONCATENATE("ČAZMATRANS PROMET D.O.O.,"," M. NOVAČIĆA 10,"," 43240 ČAZMA,"," OIB: 96107776452")</f>
        <v>ČAZMATRANS PROMET D.O.O., M. NOVAČIĆA 10, 43240 ČAZMA, OIB: 96107776452</v>
      </c>
      <c r="H2201" s="1" t="str">
        <f>CONCATENATE("BRIONI D.D.,"," OIB: 7870697919")</f>
        <v>BRIONI D.D., OIB: 7870697919</v>
      </c>
      <c r="I2201" s="8" t="s">
        <v>905</v>
      </c>
      <c r="J2201" s="8" t="s">
        <v>1775</v>
      </c>
      <c r="K2201" s="6" t="str">
        <f>"1.400.000,00"</f>
        <v>1.400.000,00</v>
      </c>
      <c r="L2201" s="6" t="str">
        <f>"350.000,00"</f>
        <v>350.000,00</v>
      </c>
      <c r="M2201" s="6" t="str">
        <f>"1.750.000,00"</f>
        <v>1.750.000,00</v>
      </c>
      <c r="N2201" s="8" t="s">
        <v>124</v>
      </c>
      <c r="O2201" s="7"/>
      <c r="P2201" s="2" t="s">
        <v>6893</v>
      </c>
      <c r="Q2201" s="7"/>
      <c r="R2201" s="1"/>
      <c r="S2201" s="1" t="str">
        <f>"NOS-72-4/21"</f>
        <v>NOS-72-4/21</v>
      </c>
      <c r="T2201" s="1" t="s">
        <v>32</v>
      </c>
    </row>
    <row r="2202" spans="1:20" ht="102" x14ac:dyDescent="0.25">
      <c r="A2202" s="6">
        <v>2198</v>
      </c>
      <c r="B2202" s="1" t="str">
        <f t="shared" si="204"/>
        <v>2021-1248</v>
      </c>
      <c r="C2202" s="1" t="s">
        <v>1776</v>
      </c>
      <c r="D2202" s="1" t="s">
        <v>606</v>
      </c>
      <c r="E2202" s="1" t="str">
        <f>""</f>
        <v/>
      </c>
      <c r="F2202" s="1" t="s">
        <v>28</v>
      </c>
      <c r="G2202" s="1" t="str">
        <f>CONCATENATE("ČAZMATRANS PROMET D.O.O.,"," M. NOVAČIĆA 10,"," 43240 ČAZMA,"," OIB: 96107776452")</f>
        <v>ČAZMATRANS PROMET D.O.O., M. NOVAČIĆA 10, 43240 ČAZMA, OIB: 96107776452</v>
      </c>
      <c r="H2202" s="7"/>
      <c r="I2202" s="8" t="s">
        <v>429</v>
      </c>
      <c r="J2202" s="8" t="s">
        <v>123</v>
      </c>
      <c r="K2202" s="6" t="str">
        <f>"175.050,00"</f>
        <v>175.050,00</v>
      </c>
      <c r="L2202" s="6" t="str">
        <f>"43.762,50"</f>
        <v>43.762,50</v>
      </c>
      <c r="M2202" s="6" t="str">
        <f>"218.812,50"</f>
        <v>218.812,50</v>
      </c>
      <c r="N2202" s="8" t="s">
        <v>124</v>
      </c>
      <c r="O2202" s="7"/>
      <c r="P2202" s="2" t="s">
        <v>6894</v>
      </c>
      <c r="Q2202" s="7"/>
      <c r="R2202" s="1"/>
      <c r="S2202" s="1" t="str">
        <f>"1-22/NOS-72-4/21"</f>
        <v>1-22/NOS-72-4/21</v>
      </c>
      <c r="T2202" s="1" t="s">
        <v>32</v>
      </c>
    </row>
    <row r="2203" spans="1:20" ht="165.75" x14ac:dyDescent="0.25">
      <c r="A2203" s="6">
        <v>2199</v>
      </c>
      <c r="B2203" s="1" t="str">
        <f t="shared" ref="B2203:B2208" si="205">"2021-304"</f>
        <v>2021-304</v>
      </c>
      <c r="C2203" s="1" t="s">
        <v>543</v>
      </c>
      <c r="D2203" s="1" t="s">
        <v>544</v>
      </c>
      <c r="E2203" s="1" t="str">
        <f>"2021/S 0F2-0040498"</f>
        <v>2021/S 0F2-0040498</v>
      </c>
      <c r="F2203" s="1" t="s">
        <v>22</v>
      </c>
      <c r="G2203" s="1" t="str">
        <f>CONCATENATE("IKOM D.O.O.,"," KOVINSKA 7,"," 10090 ZAGREB-SUSEDGRAD,"," OIB: 86247075815",CHAR(10),"",CHAR(10),"VODOSKOK D.D.,"," ČULINEČKA CESTA 221/C,"," 10040 ZAGREB,"," OIB: 34134218058",CHAR(10),"",CHAR(10),"RAMNES D.O.O.,"," VUČAK 3,"," 10000 ZAGREB,"," OIB: 7602306637")</f>
        <v>IKOM D.O.O., KOVINSKA 7, 10090 ZAGREB-SUSEDGRAD, OIB: 86247075815
VODOSKOK D.D., ČULINEČKA CESTA 221/C, 10040 ZAGREB, OIB: 34134218058
RAMNES D.O.O., VUČAK 3, 10000 ZAGREB, OIB: 7602306637</v>
      </c>
      <c r="H2203" s="7"/>
      <c r="I2203" s="8" t="s">
        <v>895</v>
      </c>
      <c r="J2203" s="8" t="s">
        <v>1777</v>
      </c>
      <c r="K2203" s="6" t="str">
        <f>"9.700.000,00"</f>
        <v>9.700.000,00</v>
      </c>
      <c r="L2203" s="6" t="str">
        <f>"2.425.000,00"</f>
        <v>2.425.000,00</v>
      </c>
      <c r="M2203" s="6" t="str">
        <f>"12.125.000,00"</f>
        <v>12.125.000,00</v>
      </c>
      <c r="N2203" s="8" t="s">
        <v>124</v>
      </c>
      <c r="O2203" s="7"/>
      <c r="P2203" s="2" t="s">
        <v>5614</v>
      </c>
      <c r="Q2203" s="7"/>
      <c r="R2203" s="1"/>
      <c r="S2203" s="1" t="str">
        <f>"NOS-81/21"</f>
        <v>NOS-81/21</v>
      </c>
      <c r="T2203" s="1" t="s">
        <v>27</v>
      </c>
    </row>
    <row r="2204" spans="1:20" ht="51" x14ac:dyDescent="0.25">
      <c r="A2204" s="6">
        <v>2200</v>
      </c>
      <c r="B2204" s="1" t="str">
        <f t="shared" si="205"/>
        <v>2021-304</v>
      </c>
      <c r="C2204" s="1" t="s">
        <v>543</v>
      </c>
      <c r="D2204" s="1" t="s">
        <v>545</v>
      </c>
      <c r="E2204" s="1" t="str">
        <f>""</f>
        <v/>
      </c>
      <c r="F2204" s="1" t="s">
        <v>28</v>
      </c>
      <c r="G2204" s="1" t="str">
        <f>CONCATENATE("RAMNES D.O.O.,"," VUČAK 3,"," 10000 ZAGREB,"," OIB: 7602306637")</f>
        <v>RAMNES D.O.O., VUČAK 3, 10000 ZAGREB, OIB: 7602306637</v>
      </c>
      <c r="H2204" s="7"/>
      <c r="I2204" s="8" t="s">
        <v>215</v>
      </c>
      <c r="J2204" s="8" t="s">
        <v>123</v>
      </c>
      <c r="K2204" s="6" t="str">
        <f>"335.500,00"</f>
        <v>335.500,00</v>
      </c>
      <c r="L2204" s="6" t="str">
        <f>"83.875,00"</f>
        <v>83.875,00</v>
      </c>
      <c r="M2204" s="6" t="str">
        <f>"419.375,00"</f>
        <v>419.375,00</v>
      </c>
      <c r="N2204" s="8" t="s">
        <v>121</v>
      </c>
      <c r="O2204" s="7"/>
      <c r="P2204" s="2" t="s">
        <v>6895</v>
      </c>
      <c r="Q2204" s="7"/>
      <c r="R2204" s="1"/>
      <c r="S2204" s="1" t="str">
        <f>"2-22/NOS-81/21"</f>
        <v>2-22/NOS-81/21</v>
      </c>
      <c r="T2204" s="1" t="s">
        <v>32</v>
      </c>
    </row>
    <row r="2205" spans="1:20" ht="51" x14ac:dyDescent="0.25">
      <c r="A2205" s="6">
        <v>2201</v>
      </c>
      <c r="B2205" s="1" t="str">
        <f t="shared" si="205"/>
        <v>2021-304</v>
      </c>
      <c r="C2205" s="1" t="s">
        <v>543</v>
      </c>
      <c r="D2205" s="1" t="s">
        <v>545</v>
      </c>
      <c r="E2205" s="1" t="str">
        <f>""</f>
        <v/>
      </c>
      <c r="F2205" s="1" t="s">
        <v>28</v>
      </c>
      <c r="G2205" s="1" t="str">
        <f>CONCATENATE("RAMNES D.O.O.,"," VUČAK 3,"," 10000 ZAGREB,"," OIB: 7602306637")</f>
        <v>RAMNES D.O.O., VUČAK 3, 10000 ZAGREB, OIB: 7602306637</v>
      </c>
      <c r="H2205" s="7"/>
      <c r="I2205" s="8" t="s">
        <v>732</v>
      </c>
      <c r="J2205" s="8" t="s">
        <v>490</v>
      </c>
      <c r="K2205" s="6" t="str">
        <f>"577.200,00"</f>
        <v>577.200,00</v>
      </c>
      <c r="L2205" s="6" t="str">
        <f>"144.300,00"</f>
        <v>144.300,00</v>
      </c>
      <c r="M2205" s="6" t="str">
        <f>"721.500,00"</f>
        <v>721.500,00</v>
      </c>
      <c r="N2205" s="8" t="s">
        <v>170</v>
      </c>
      <c r="O2205" s="7"/>
      <c r="P2205" s="2" t="s">
        <v>6896</v>
      </c>
      <c r="Q2205" s="7"/>
      <c r="R2205" s="1"/>
      <c r="S2205" s="1" t="str">
        <f>"3-22/NOS-81/21"</f>
        <v>3-22/NOS-81/21</v>
      </c>
      <c r="T2205" s="1" t="s">
        <v>32</v>
      </c>
    </row>
    <row r="2206" spans="1:20" ht="51" x14ac:dyDescent="0.25">
      <c r="A2206" s="6">
        <v>2202</v>
      </c>
      <c r="B2206" s="1" t="str">
        <f t="shared" si="205"/>
        <v>2021-304</v>
      </c>
      <c r="C2206" s="1" t="s">
        <v>543</v>
      </c>
      <c r="D2206" s="1" t="s">
        <v>545</v>
      </c>
      <c r="E2206" s="1" t="str">
        <f>""</f>
        <v/>
      </c>
      <c r="F2206" s="1" t="s">
        <v>28</v>
      </c>
      <c r="G2206" s="1" t="str">
        <f>CONCATENATE("RAMNES D.O.O.,"," VUČAK 3,"," 10000 ZAGREB,"," OIB: 7602306637")</f>
        <v>RAMNES D.O.O., VUČAK 3, 10000 ZAGREB, OIB: 7602306637</v>
      </c>
      <c r="H2206" s="7"/>
      <c r="I2206" s="8" t="s">
        <v>408</v>
      </c>
      <c r="J2206" s="8" t="s">
        <v>393</v>
      </c>
      <c r="K2206" s="6" t="str">
        <f>"10.875,00"</f>
        <v>10.875,00</v>
      </c>
      <c r="L2206" s="6" t="str">
        <f>"2.718,75"</f>
        <v>2.718,75</v>
      </c>
      <c r="M2206" s="6" t="str">
        <f>"13.593,75"</f>
        <v>13.593,75</v>
      </c>
      <c r="N2206" s="8" t="s">
        <v>1159</v>
      </c>
      <c r="O2206" s="7"/>
      <c r="P2206" s="2" t="s">
        <v>6897</v>
      </c>
      <c r="Q2206" s="7"/>
      <c r="R2206" s="1"/>
      <c r="S2206" s="1" t="str">
        <f>"1-22/NOS-81/21"</f>
        <v>1-22/NOS-81/21</v>
      </c>
      <c r="T2206" s="1" t="s">
        <v>32</v>
      </c>
    </row>
    <row r="2207" spans="1:20" ht="51" x14ac:dyDescent="0.25">
      <c r="A2207" s="6">
        <v>2203</v>
      </c>
      <c r="B2207" s="1" t="str">
        <f t="shared" si="205"/>
        <v>2021-304</v>
      </c>
      <c r="C2207" s="1" t="s">
        <v>543</v>
      </c>
      <c r="D2207" s="1" t="s">
        <v>545</v>
      </c>
      <c r="E2207" s="1" t="str">
        <f>""</f>
        <v/>
      </c>
      <c r="F2207" s="1" t="s">
        <v>28</v>
      </c>
      <c r="G2207" s="1" t="str">
        <f>CONCATENATE("RAMNES D.O.O.,"," VUČAK 3,"," 10000 ZAGREB,"," OIB: 7602306637")</f>
        <v>RAMNES D.O.O., VUČAK 3, 10000 ZAGREB, OIB: 7602306637</v>
      </c>
      <c r="H2207" s="7"/>
      <c r="I2207" s="8" t="s">
        <v>566</v>
      </c>
      <c r="J2207" s="8" t="s">
        <v>393</v>
      </c>
      <c r="K2207" s="6" t="str">
        <f>"37.200,00"</f>
        <v>37.200,00</v>
      </c>
      <c r="L2207" s="6" t="str">
        <f>"0,00"</f>
        <v>0,00</v>
      </c>
      <c r="M2207" s="6" t="str">
        <f>"37.200,00"</f>
        <v>37.200,00</v>
      </c>
      <c r="N2207" s="8" t="s">
        <v>124</v>
      </c>
      <c r="O2207" s="7"/>
      <c r="P2207" s="2" t="s">
        <v>5614</v>
      </c>
      <c r="Q2207" s="7"/>
      <c r="R2207" s="1"/>
      <c r="S2207" s="1" t="str">
        <f>"4-22/NOS-81/21"</f>
        <v>4-22/NOS-81/21</v>
      </c>
      <c r="T2207" s="1" t="s">
        <v>55</v>
      </c>
    </row>
    <row r="2208" spans="1:20" ht="51" x14ac:dyDescent="0.25">
      <c r="A2208" s="6">
        <v>2204</v>
      </c>
      <c r="B2208" s="1" t="str">
        <f t="shared" si="205"/>
        <v>2021-304</v>
      </c>
      <c r="C2208" s="1" t="s">
        <v>543</v>
      </c>
      <c r="D2208" s="1" t="s">
        <v>545</v>
      </c>
      <c r="E2208" s="1" t="str">
        <f>""</f>
        <v/>
      </c>
      <c r="F2208" s="1" t="s">
        <v>28</v>
      </c>
      <c r="G2208" s="1" t="str">
        <f>CONCATENATE("RAMNES D.O.O.,"," VUČAK 3,"," 10000 ZAGREB,"," OIB: 7602306637")</f>
        <v>RAMNES D.O.O., VUČAK 3, 10000 ZAGREB, OIB: 7602306637</v>
      </c>
      <c r="H2208" s="7"/>
      <c r="I2208" s="8" t="s">
        <v>566</v>
      </c>
      <c r="J2208" s="8" t="s">
        <v>393</v>
      </c>
      <c r="K2208" s="6" t="str">
        <f>"6.300,00"</f>
        <v>6.300,00</v>
      </c>
      <c r="L2208" s="6" t="str">
        <f>"0,00"</f>
        <v>0,00</v>
      </c>
      <c r="M2208" s="6" t="str">
        <f>"6.300,00"</f>
        <v>6.300,00</v>
      </c>
      <c r="N2208" s="8" t="s">
        <v>124</v>
      </c>
      <c r="O2208" s="7"/>
      <c r="P2208" s="2" t="s">
        <v>5614</v>
      </c>
      <c r="Q2208" s="7"/>
      <c r="R2208" s="1"/>
      <c r="S2208" s="1" t="str">
        <f>"5-22/NOS-81/21"</f>
        <v>5-22/NOS-81/21</v>
      </c>
      <c r="T2208" s="1" t="s">
        <v>32</v>
      </c>
    </row>
    <row r="2209" spans="1:20" ht="63.75" x14ac:dyDescent="0.25">
      <c r="A2209" s="6">
        <v>2205</v>
      </c>
      <c r="B2209" s="1" t="str">
        <f>"2022-16"</f>
        <v>2022-16</v>
      </c>
      <c r="C2209" s="1" t="s">
        <v>1778</v>
      </c>
      <c r="D2209" s="1" t="s">
        <v>195</v>
      </c>
      <c r="E2209" s="1" t="str">
        <f>"2022/S 0F2-0016027"</f>
        <v>2022/S 0F2-0016027</v>
      </c>
      <c r="F2209" s="1" t="s">
        <v>22</v>
      </c>
      <c r="G2209" s="1" t="str">
        <f>CONCATENATE("BIJELA HARMONIJA D.O.O.,"," SAMOBORSKA CESTA 266,"," 10000 ZAGREB,"," OIB: 31022857153")</f>
        <v>BIJELA HARMONIJA D.O.O., SAMOBORSKA CESTA 266, 10000 ZAGREB, OIB: 31022857153</v>
      </c>
      <c r="H2209" s="7"/>
      <c r="I2209" s="8" t="s">
        <v>425</v>
      </c>
      <c r="J2209" s="8" t="s">
        <v>1779</v>
      </c>
      <c r="K2209" s="6" t="str">
        <f>"402.000,00"</f>
        <v>402.000,00</v>
      </c>
      <c r="L2209" s="6" t="str">
        <f>"100.500,00"</f>
        <v>100.500,00</v>
      </c>
      <c r="M2209" s="6" t="str">
        <f>"502.500,00"</f>
        <v>502.500,00</v>
      </c>
      <c r="N2209" s="8" t="s">
        <v>124</v>
      </c>
      <c r="O2209" s="7"/>
      <c r="P2209" s="2" t="s">
        <v>6898</v>
      </c>
      <c r="Q2209" s="7"/>
      <c r="R2209" s="1"/>
      <c r="S2209" s="1" t="str">
        <f>"NOS-10-1/22"</f>
        <v>NOS-10-1/22</v>
      </c>
      <c r="T2209" s="1" t="s">
        <v>199</v>
      </c>
    </row>
    <row r="2210" spans="1:20" ht="63.75" x14ac:dyDescent="0.25">
      <c r="A2210" s="6">
        <v>2206</v>
      </c>
      <c r="B2210" s="1" t="str">
        <f>"2022-16"</f>
        <v>2022-16</v>
      </c>
      <c r="C2210" s="1" t="s">
        <v>1778</v>
      </c>
      <c r="D2210" s="1" t="s">
        <v>201</v>
      </c>
      <c r="E2210" s="1" t="str">
        <f>""</f>
        <v/>
      </c>
      <c r="F2210" s="1" t="s">
        <v>28</v>
      </c>
      <c r="G2210" s="1" t="str">
        <f>CONCATENATE("BIJELA HARMONIJA D.O.O.,"," SAMOBORSKA CESTA 266,"," 10000 ZAGREB,"," OIB: 31022857153")</f>
        <v>BIJELA HARMONIJA D.O.O., SAMOBORSKA CESTA 266, 10000 ZAGREB, OIB: 31022857153</v>
      </c>
      <c r="H2210" s="7"/>
      <c r="I2210" s="8" t="s">
        <v>525</v>
      </c>
      <c r="J2210" s="8" t="s">
        <v>555</v>
      </c>
      <c r="K2210" s="6" t="str">
        <f>"150,00"</f>
        <v>150,00</v>
      </c>
      <c r="L2210" s="6" t="str">
        <f>"0,00"</f>
        <v>0,00</v>
      </c>
      <c r="M2210" s="6" t="str">
        <f>"150,00"</f>
        <v>150,00</v>
      </c>
      <c r="N2210" s="8" t="s">
        <v>124</v>
      </c>
      <c r="O2210" s="7"/>
      <c r="P2210" s="2" t="s">
        <v>5614</v>
      </c>
      <c r="Q2210" s="7"/>
      <c r="R2210" s="1"/>
      <c r="S2210" s="1" t="str">
        <f>"1-22/NOS-10-1/22"</f>
        <v>1-22/NOS-10-1/22</v>
      </c>
      <c r="T2210" s="1" t="s">
        <v>32</v>
      </c>
    </row>
    <row r="2211" spans="1:20" ht="63.75" x14ac:dyDescent="0.25">
      <c r="A2211" s="6">
        <v>2207</v>
      </c>
      <c r="B2211" s="1" t="str">
        <f>"2021-1918"</f>
        <v>2021-1918</v>
      </c>
      <c r="C2211" s="1" t="s">
        <v>1780</v>
      </c>
      <c r="D2211" s="1" t="s">
        <v>1781</v>
      </c>
      <c r="E2211" s="1" t="str">
        <f>"2021/S 0F2-0034988"</f>
        <v>2021/S 0F2-0034988</v>
      </c>
      <c r="F2211" s="1" t="s">
        <v>22</v>
      </c>
      <c r="G2211" s="1" t="str">
        <f>CONCATENATE("P T M G D.O.O.,"," GORNJOSTUPNIČKA 18,"," 10255 GORNJI STUPNIK,"," OIB: 5061792625")</f>
        <v>P T M G D.O.O., GORNJOSTUPNIČKA 18, 10255 GORNJI STUPNIK, OIB: 5061792625</v>
      </c>
      <c r="H2211" s="7"/>
      <c r="I2211" s="8" t="s">
        <v>895</v>
      </c>
      <c r="J2211" s="8" t="s">
        <v>1782</v>
      </c>
      <c r="K2211" s="6" t="str">
        <f>"2.000.000,00"</f>
        <v>2.000.000,00</v>
      </c>
      <c r="L2211" s="6" t="str">
        <f>"500.000,00"</f>
        <v>500.000,00</v>
      </c>
      <c r="M2211" s="6" t="str">
        <f>"2.500.000,00"</f>
        <v>2.500.000,00</v>
      </c>
      <c r="N2211" s="8" t="s">
        <v>124</v>
      </c>
      <c r="O2211" s="7"/>
      <c r="P2211" s="2" t="s">
        <v>5614</v>
      </c>
      <c r="Q2211" s="7"/>
      <c r="R2211" s="1"/>
      <c r="S2211" s="1" t="str">
        <f>"NOS-82-1/21"</f>
        <v>NOS-82-1/21</v>
      </c>
      <c r="T2211" s="1" t="s">
        <v>55</v>
      </c>
    </row>
    <row r="2212" spans="1:20" ht="63.75" x14ac:dyDescent="0.25">
      <c r="A2212" s="6">
        <v>2208</v>
      </c>
      <c r="B2212" s="1" t="str">
        <f>"2021-1918"</f>
        <v>2021-1918</v>
      </c>
      <c r="C2212" s="1" t="s">
        <v>1780</v>
      </c>
      <c r="D2212" s="1" t="s">
        <v>1783</v>
      </c>
      <c r="E2212" s="1" t="str">
        <f>""</f>
        <v/>
      </c>
      <c r="F2212" s="1" t="s">
        <v>28</v>
      </c>
      <c r="G2212" s="1" t="str">
        <f>CONCATENATE("P T M G D.O.O.,"," GORNJOSTUPNIČKA 18,"," 10255 GORNJI STUPNIK,"," OIB: 5061792625")</f>
        <v>P T M G D.O.O., GORNJOSTUPNIČKA 18, 10255 GORNJI STUPNIK, OIB: 5061792625</v>
      </c>
      <c r="H2212" s="7"/>
      <c r="I2212" s="8" t="s">
        <v>428</v>
      </c>
      <c r="J2212" s="8" t="s">
        <v>393</v>
      </c>
      <c r="K2212" s="6" t="str">
        <f>"430.418,49"</f>
        <v>430.418,49</v>
      </c>
      <c r="L2212" s="6" t="str">
        <f>"54.722,86"</f>
        <v>54.722,86</v>
      </c>
      <c r="M2212" s="6" t="str">
        <f>"485.141,35"</f>
        <v>485.141,35</v>
      </c>
      <c r="N2212" s="8" t="s">
        <v>207</v>
      </c>
      <c r="O2212" s="7"/>
      <c r="P2212" s="2" t="s">
        <v>6899</v>
      </c>
      <c r="Q2212" s="7"/>
      <c r="R2212" s="1"/>
      <c r="S2212" s="1" t="str">
        <f>"1-22/NOS-82-1/21"</f>
        <v>1-22/NOS-82-1/21</v>
      </c>
      <c r="T2212" s="1" t="s">
        <v>55</v>
      </c>
    </row>
    <row r="2213" spans="1:20" ht="114.75" x14ac:dyDescent="0.25">
      <c r="A2213" s="6">
        <v>2209</v>
      </c>
      <c r="B2213" s="1" t="str">
        <f>"2021-1877"</f>
        <v>2021-1877</v>
      </c>
      <c r="C2213" s="1" t="s">
        <v>1784</v>
      </c>
      <c r="D2213" s="1" t="s">
        <v>609</v>
      </c>
      <c r="E2213" s="1" t="str">
        <f>"2021/S 0F2-0044426"</f>
        <v>2021/S 0F2-0044426</v>
      </c>
      <c r="F2213" s="1" t="s">
        <v>22</v>
      </c>
      <c r="G2213" s="1"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2213" s="7"/>
      <c r="I2213" s="8" t="s">
        <v>1073</v>
      </c>
      <c r="J2213" s="8" t="s">
        <v>1764</v>
      </c>
      <c r="K2213" s="6" t="str">
        <f>"1.500.000,00"</f>
        <v>1.500.000,00</v>
      </c>
      <c r="L2213" s="6" t="str">
        <f>"375.000,00"</f>
        <v>375.000,00</v>
      </c>
      <c r="M2213" s="6" t="str">
        <f>"1.875.000,00"</f>
        <v>1.875.000,00</v>
      </c>
      <c r="N2213" s="8" t="s">
        <v>124</v>
      </c>
      <c r="O2213" s="7"/>
      <c r="P2213" s="2" t="s">
        <v>6900</v>
      </c>
      <c r="Q2213" s="7"/>
      <c r="R2213" s="1"/>
      <c r="S2213" s="1" t="str">
        <f>"NOS-84-1/21"</f>
        <v>NOS-84-1/21</v>
      </c>
      <c r="T2213" s="1" t="s">
        <v>32</v>
      </c>
    </row>
    <row r="2214" spans="1:20" ht="63.75" x14ac:dyDescent="0.25">
      <c r="A2214" s="6">
        <v>2210</v>
      </c>
      <c r="B2214" s="1" t="str">
        <f>"2021-1877"</f>
        <v>2021-1877</v>
      </c>
      <c r="C2214" s="1" t="s">
        <v>1785</v>
      </c>
      <c r="D2214" s="1" t="s">
        <v>611</v>
      </c>
      <c r="E2214" s="1" t="str">
        <f>""</f>
        <v/>
      </c>
      <c r="F2214" s="1" t="s">
        <v>28</v>
      </c>
      <c r="G2214" s="1" t="str">
        <f>CONCATENATE("INA D.D.,"," AVENIJA VEĆESLAVA HOLJEVCA 10,"," 10000 ZAGREB,"," OIB: 27759560625")</f>
        <v>INA D.D., AVENIJA VEĆESLAVA HOLJEVCA 10, 10000 ZAGREB, OIB: 27759560625</v>
      </c>
      <c r="H2214" s="7"/>
      <c r="I2214" s="8" t="s">
        <v>669</v>
      </c>
      <c r="J2214" s="8" t="s">
        <v>566</v>
      </c>
      <c r="K2214" s="6" t="str">
        <f>"511.500,00"</f>
        <v>511.500,00</v>
      </c>
      <c r="L2214" s="6" t="str">
        <f>"127.875,00"</f>
        <v>127.875,00</v>
      </c>
      <c r="M2214" s="6" t="str">
        <f>"639.375,00"</f>
        <v>639.375,00</v>
      </c>
      <c r="N2214" s="8" t="s">
        <v>124</v>
      </c>
      <c r="O2214" s="7"/>
      <c r="P2214" s="2" t="s">
        <v>5614</v>
      </c>
      <c r="Q2214" s="7"/>
      <c r="R2214" s="1"/>
      <c r="S2214" s="1" t="str">
        <f>"1-22/NOS-84-1/21"</f>
        <v>1-22/NOS-84-1/21</v>
      </c>
      <c r="T2214" s="1" t="s">
        <v>32</v>
      </c>
    </row>
    <row r="2215" spans="1:20" ht="63.75" x14ac:dyDescent="0.25">
      <c r="A2215" s="6">
        <v>2211</v>
      </c>
      <c r="B2215" s="1" t="str">
        <f>"2021-1918"</f>
        <v>2021-1918</v>
      </c>
      <c r="C2215" s="1" t="s">
        <v>1786</v>
      </c>
      <c r="D2215" s="1" t="s">
        <v>1781</v>
      </c>
      <c r="E2215" s="1" t="str">
        <f>"2021/S 0F2-0034988"</f>
        <v>2021/S 0F2-0034988</v>
      </c>
      <c r="F2215" s="1" t="s">
        <v>22</v>
      </c>
      <c r="G2215" s="1" t="str">
        <f>CONCATENATE("P T M G D.O.O.,"," GORNJOSTUPNIČKA 18,"," 10255 GORNJI STUPNIK,"," OIB: 5061792625")</f>
        <v>P T M G D.O.O., GORNJOSTUPNIČKA 18, 10255 GORNJI STUPNIK, OIB: 5061792625</v>
      </c>
      <c r="H2215" s="7"/>
      <c r="I2215" s="8" t="s">
        <v>895</v>
      </c>
      <c r="J2215" s="8" t="s">
        <v>1782</v>
      </c>
      <c r="K2215" s="6" t="str">
        <f>"1.000.000,00"</f>
        <v>1.000.000,00</v>
      </c>
      <c r="L2215" s="6" t="str">
        <f>"250.000,00"</f>
        <v>250.000,00</v>
      </c>
      <c r="M2215" s="6" t="str">
        <f>"1.250.000,00"</f>
        <v>1.250.000,00</v>
      </c>
      <c r="N2215" s="8" t="s">
        <v>124</v>
      </c>
      <c r="O2215" s="7"/>
      <c r="P2215" s="2" t="s">
        <v>5614</v>
      </c>
      <c r="Q2215" s="7"/>
      <c r="R2215" s="1"/>
      <c r="S2215" s="1" t="str">
        <f>"NOS-82-2/21"</f>
        <v>NOS-82-2/21</v>
      </c>
      <c r="T2215" s="1" t="s">
        <v>55</v>
      </c>
    </row>
    <row r="2216" spans="1:20" ht="63.75" x14ac:dyDescent="0.25">
      <c r="A2216" s="6">
        <v>2212</v>
      </c>
      <c r="B2216" s="1" t="str">
        <f>"2021-1918"</f>
        <v>2021-1918</v>
      </c>
      <c r="C2216" s="1" t="s">
        <v>1786</v>
      </c>
      <c r="D2216" s="1" t="s">
        <v>1783</v>
      </c>
      <c r="E2216" s="1" t="str">
        <f>""</f>
        <v/>
      </c>
      <c r="F2216" s="1" t="s">
        <v>28</v>
      </c>
      <c r="G2216" s="1" t="str">
        <f>CONCATENATE("P T M G D.O.O.,"," GORNJOSTUPNIČKA 18,"," 10255 GORNJI STUPNIK,"," OIB: 5061792625")</f>
        <v>P T M G D.O.O., GORNJOSTUPNIČKA 18, 10255 GORNJI STUPNIK, OIB: 5061792625</v>
      </c>
      <c r="H2216" s="7"/>
      <c r="I2216" s="8" t="s">
        <v>428</v>
      </c>
      <c r="J2216" s="8" t="s">
        <v>393</v>
      </c>
      <c r="K2216" s="6" t="str">
        <f>"144.292,76"</f>
        <v>144.292,76</v>
      </c>
      <c r="L2216" s="6" t="str">
        <f>"36.073,20"</f>
        <v>36.073,20</v>
      </c>
      <c r="M2216" s="6" t="str">
        <f>"180.365,96"</f>
        <v>180.365,96</v>
      </c>
      <c r="N2216" s="8" t="s">
        <v>81</v>
      </c>
      <c r="O2216" s="7"/>
      <c r="P2216" s="2" t="s">
        <v>6901</v>
      </c>
      <c r="Q2216" s="7"/>
      <c r="R2216" s="1"/>
      <c r="S2216" s="1" t="str">
        <f>"1-22/NOS-82-2/21"</f>
        <v>1-22/NOS-82-2/21</v>
      </c>
      <c r="T2216" s="1" t="s">
        <v>55</v>
      </c>
    </row>
    <row r="2217" spans="1:20" ht="63.75" x14ac:dyDescent="0.25">
      <c r="A2217" s="6">
        <v>2213</v>
      </c>
      <c r="B2217" s="1" t="str">
        <f>"2021-1918"</f>
        <v>2021-1918</v>
      </c>
      <c r="C2217" s="1" t="s">
        <v>1786</v>
      </c>
      <c r="D2217" s="1" t="s">
        <v>1783</v>
      </c>
      <c r="E2217" s="1" t="str">
        <f>""</f>
        <v/>
      </c>
      <c r="F2217" s="1" t="s">
        <v>28</v>
      </c>
      <c r="G2217" s="1" t="str">
        <f>CONCATENATE("P T M G D.O.O.,"," GORNJOSTUPNIČKA 18,"," 10255 GORNJI STUPNIK,"," OIB: 5061792625")</f>
        <v>P T M G D.O.O., GORNJOSTUPNIČKA 18, 10255 GORNJI STUPNIK, OIB: 5061792625</v>
      </c>
      <c r="H2217" s="7"/>
      <c r="I2217" s="8" t="s">
        <v>964</v>
      </c>
      <c r="J2217" s="8" t="s">
        <v>393</v>
      </c>
      <c r="K2217" s="6" t="str">
        <f>"13.621,79"</f>
        <v>13.621,79</v>
      </c>
      <c r="L2217" s="6" t="str">
        <f>"3.405,45"</f>
        <v>3.405,45</v>
      </c>
      <c r="M2217" s="6" t="str">
        <f>"17.027,24"</f>
        <v>17.027,24</v>
      </c>
      <c r="N2217" s="8" t="s">
        <v>409</v>
      </c>
      <c r="O2217" s="7"/>
      <c r="P2217" s="2" t="s">
        <v>6902</v>
      </c>
      <c r="Q2217" s="7"/>
      <c r="R2217" s="1"/>
      <c r="S2217" s="1" t="str">
        <f>"2-22/NOS-82-2/21"</f>
        <v>2-22/NOS-82-2/21</v>
      </c>
      <c r="T2217" s="1" t="s">
        <v>55</v>
      </c>
    </row>
    <row r="2218" spans="1:20" ht="51" x14ac:dyDescent="0.25">
      <c r="A2218" s="6">
        <v>2214</v>
      </c>
      <c r="B2218" s="1" t="str">
        <f>"2021-1882"</f>
        <v>2021-1882</v>
      </c>
      <c r="C2218" s="1" t="s">
        <v>1787</v>
      </c>
      <c r="D2218" s="1" t="s">
        <v>1490</v>
      </c>
      <c r="E2218" s="1" t="str">
        <f>"2021/S 0F2-0042872"</f>
        <v>2021/S 0F2-0042872</v>
      </c>
      <c r="F2218" s="1" t="s">
        <v>22</v>
      </c>
      <c r="G2218" s="1" t="str">
        <f>CONCATENATE("DOBRO RJEŠENJE D.O.O.,"," ZAVRTNICA 3,"," 10000 ZAGREB,"," OIB: 33104804103")</f>
        <v>DOBRO RJEŠENJE D.O.O., ZAVRTNICA 3, 10000 ZAGREB, OIB: 33104804103</v>
      </c>
      <c r="H2218" s="7"/>
      <c r="I2218" s="8" t="s">
        <v>1433</v>
      </c>
      <c r="J2218" s="8" t="s">
        <v>1779</v>
      </c>
      <c r="K2218" s="6" t="str">
        <f>"1.700.000,00"</f>
        <v>1.700.000,00</v>
      </c>
      <c r="L2218" s="6" t="str">
        <f>"425.000,00"</f>
        <v>425.000,00</v>
      </c>
      <c r="M2218" s="6" t="str">
        <f>"2.125.000,00"</f>
        <v>2.125.000,00</v>
      </c>
      <c r="N2218" s="8" t="s">
        <v>124</v>
      </c>
      <c r="O2218" s="7"/>
      <c r="P2218" s="2" t="s">
        <v>5614</v>
      </c>
      <c r="Q2218" s="7"/>
      <c r="R2218" s="1"/>
      <c r="S2218" s="1" t="str">
        <f>"NOS-78-1/21"</f>
        <v>NOS-78-1/21</v>
      </c>
      <c r="T2218" s="1" t="s">
        <v>32</v>
      </c>
    </row>
    <row r="2219" spans="1:20" ht="51" x14ac:dyDescent="0.25">
      <c r="A2219" s="6">
        <v>2215</v>
      </c>
      <c r="B2219" s="1" t="str">
        <f>"2021-1882"</f>
        <v>2021-1882</v>
      </c>
      <c r="C2219" s="1" t="s">
        <v>1787</v>
      </c>
      <c r="D2219" s="1" t="s">
        <v>1492</v>
      </c>
      <c r="E2219" s="1" t="str">
        <f>""</f>
        <v/>
      </c>
      <c r="F2219" s="1" t="s">
        <v>28</v>
      </c>
      <c r="G2219" s="1" t="str">
        <f>CONCATENATE("DOBRO RJEŠENJE D.O.O.,"," ZAVRTNICA 3,"," 10000 ZAGREB,"," OIB: 33104804103")</f>
        <v>DOBRO RJEŠENJE D.O.O., ZAVRTNICA 3, 10000 ZAGREB, OIB: 33104804103</v>
      </c>
      <c r="H2219" s="7"/>
      <c r="I2219" s="8" t="s">
        <v>81</v>
      </c>
      <c r="J2219" s="8" t="s">
        <v>555</v>
      </c>
      <c r="K2219" s="6" t="str">
        <f>"9.930,00"</f>
        <v>9.930,00</v>
      </c>
      <c r="L2219" s="6" t="str">
        <f>"2.229,38"</f>
        <v>2.229,38</v>
      </c>
      <c r="M2219" s="6" t="str">
        <f>"12.159,38"</f>
        <v>12.159,38</v>
      </c>
      <c r="N2219" s="8" t="s">
        <v>892</v>
      </c>
      <c r="O2219" s="7"/>
      <c r="P2219" s="2" t="s">
        <v>6903</v>
      </c>
      <c r="Q2219" s="7"/>
      <c r="R2219" s="1"/>
      <c r="S2219" s="1" t="str">
        <f>"1-22/NOS-78-1/21"</f>
        <v>1-22/NOS-78-1/21</v>
      </c>
      <c r="T2219" s="1" t="s">
        <v>32</v>
      </c>
    </row>
    <row r="2220" spans="1:20" ht="51" x14ac:dyDescent="0.25">
      <c r="A2220" s="6">
        <v>2216</v>
      </c>
      <c r="B2220" s="1" t="str">
        <f>"2021-1882"</f>
        <v>2021-1882</v>
      </c>
      <c r="C2220" s="1" t="s">
        <v>1788</v>
      </c>
      <c r="D2220" s="1" t="s">
        <v>1490</v>
      </c>
      <c r="E2220" s="1" t="str">
        <f>"2021/S 0F2-0042872"</f>
        <v>2021/S 0F2-0042872</v>
      </c>
      <c r="F2220" s="1" t="s">
        <v>22</v>
      </c>
      <c r="G2220" s="1" t="str">
        <f>CONCATENATE("DOBRO RJEŠENJE D.O.O.,"," ZAVRTNICA 3,"," 10000 ZAGREB,"," OIB: 33104804103")</f>
        <v>DOBRO RJEŠENJE D.O.O., ZAVRTNICA 3, 10000 ZAGREB, OIB: 33104804103</v>
      </c>
      <c r="H2220" s="7"/>
      <c r="I2220" s="8" t="s">
        <v>1433</v>
      </c>
      <c r="J2220" s="8" t="s">
        <v>1779</v>
      </c>
      <c r="K2220" s="6" t="str">
        <f>"1.000.000,00"</f>
        <v>1.000.000,00</v>
      </c>
      <c r="L2220" s="6" t="str">
        <f>"250.000,00"</f>
        <v>250.000,00</v>
      </c>
      <c r="M2220" s="6" t="str">
        <f>"1.250.000,00"</f>
        <v>1.250.000,00</v>
      </c>
      <c r="N2220" s="8" t="s">
        <v>124</v>
      </c>
      <c r="O2220" s="7"/>
      <c r="P2220" s="2" t="s">
        <v>5614</v>
      </c>
      <c r="Q2220" s="7"/>
      <c r="R2220" s="1"/>
      <c r="S2220" s="1" t="str">
        <f>"NOS-78-2/21"</f>
        <v>NOS-78-2/21</v>
      </c>
      <c r="T2220" s="1" t="s">
        <v>32</v>
      </c>
    </row>
    <row r="2221" spans="1:20" ht="51" x14ac:dyDescent="0.25">
      <c r="A2221" s="6">
        <v>2217</v>
      </c>
      <c r="B2221" s="1" t="str">
        <f>"2021-1882"</f>
        <v>2021-1882</v>
      </c>
      <c r="C2221" s="1" t="s">
        <v>1788</v>
      </c>
      <c r="D2221" s="1" t="s">
        <v>1492</v>
      </c>
      <c r="E2221" s="1" t="str">
        <f>""</f>
        <v/>
      </c>
      <c r="F2221" s="1" t="s">
        <v>28</v>
      </c>
      <c r="G2221" s="1" t="str">
        <f>CONCATENATE("DOBRO RJEŠENJE D.O.O.,"," ZAVRTNICA 3,"," 10000 ZAGREB,"," OIB: 33104804103")</f>
        <v>DOBRO RJEŠENJE D.O.O., ZAVRTNICA 3, 10000 ZAGREB, OIB: 33104804103</v>
      </c>
      <c r="H2221" s="7"/>
      <c r="I2221" s="8" t="s">
        <v>81</v>
      </c>
      <c r="J2221" s="8" t="s">
        <v>555</v>
      </c>
      <c r="K2221" s="6" t="str">
        <f>"134.880,00"</f>
        <v>134.880,00</v>
      </c>
      <c r="L2221" s="6" t="str">
        <f>"1.265,63"</f>
        <v>1.265,63</v>
      </c>
      <c r="M2221" s="6" t="str">
        <f>"136.145,63"</f>
        <v>136.145,63</v>
      </c>
      <c r="N2221" s="8" t="s">
        <v>892</v>
      </c>
      <c r="O2221" s="7"/>
      <c r="P2221" s="2" t="s">
        <v>6904</v>
      </c>
      <c r="Q2221" s="7"/>
      <c r="R2221" s="1"/>
      <c r="S2221" s="1" t="str">
        <f>"1-22/NOS-78-2/21"</f>
        <v>1-22/NOS-78-2/21</v>
      </c>
      <c r="T2221" s="1" t="s">
        <v>32</v>
      </c>
    </row>
    <row r="2222" spans="1:20" ht="140.25" x14ac:dyDescent="0.25">
      <c r="A2222" s="6">
        <v>2218</v>
      </c>
      <c r="B2222" s="1" t="str">
        <f>"2021-164"</f>
        <v>2021-164</v>
      </c>
      <c r="C2222" s="1" t="s">
        <v>1789</v>
      </c>
      <c r="D2222" s="1" t="s">
        <v>1790</v>
      </c>
      <c r="E2222" s="1" t="str">
        <f>"2022/S 0F2-0006668"</f>
        <v>2022/S 0F2-0006668</v>
      </c>
      <c r="F2222" s="1" t="s">
        <v>22</v>
      </c>
      <c r="G2222" s="1"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2222" s="7"/>
      <c r="I2222" s="8" t="s">
        <v>895</v>
      </c>
      <c r="J2222" s="8" t="s">
        <v>1791</v>
      </c>
      <c r="K2222" s="6" t="str">
        <f>"350.000,00"</f>
        <v>350.000,00</v>
      </c>
      <c r="L2222" s="6" t="str">
        <f>"87.500,00"</f>
        <v>87.500,00</v>
      </c>
      <c r="M2222" s="6" t="str">
        <f>"437.500,00"</f>
        <v>437.500,00</v>
      </c>
      <c r="N2222" s="8" t="s">
        <v>124</v>
      </c>
      <c r="O2222" s="7"/>
      <c r="P2222" s="2" t="s">
        <v>5614</v>
      </c>
      <c r="Q2222" s="7"/>
      <c r="R2222" s="1"/>
      <c r="S2222" s="1" t="str">
        <f>"NOS-80-1/21"</f>
        <v>NOS-80-1/21</v>
      </c>
      <c r="T2222" s="1" t="s">
        <v>32</v>
      </c>
    </row>
    <row r="2223" spans="1:20" ht="102" x14ac:dyDescent="0.25">
      <c r="A2223" s="6">
        <v>2219</v>
      </c>
      <c r="B2223" s="1" t="str">
        <f>"2021-164"</f>
        <v>2021-164</v>
      </c>
      <c r="C2223" s="1" t="s">
        <v>1789</v>
      </c>
      <c r="D2223" s="1" t="s">
        <v>1792</v>
      </c>
      <c r="E2223" s="1" t="str">
        <f>""</f>
        <v/>
      </c>
      <c r="F2223" s="1" t="s">
        <v>28</v>
      </c>
      <c r="G2223" s="1" t="str">
        <f>CONCATENATE("VODOSKOK D.D.,"," ČULINEČKA CESTA 221/C,"," 10040 ZAGREB,"," OIB: 34134218058")</f>
        <v>VODOSKOK D.D., ČULINEČKA CESTA 221/C, 10040 ZAGREB, OIB: 34134218058</v>
      </c>
      <c r="H2223" s="7"/>
      <c r="I2223" s="8" t="s">
        <v>414</v>
      </c>
      <c r="J2223" s="8" t="s">
        <v>423</v>
      </c>
      <c r="K2223" s="6" t="str">
        <f>"3.922,50"</f>
        <v>3.922,50</v>
      </c>
      <c r="L2223" s="6" t="str">
        <f>"0,00"</f>
        <v>0,00</v>
      </c>
      <c r="M2223" s="6" t="str">
        <f>"3.922,50"</f>
        <v>3.922,50</v>
      </c>
      <c r="N2223" s="8" t="s">
        <v>124</v>
      </c>
      <c r="O2223" s="7"/>
      <c r="P2223" s="2" t="s">
        <v>5614</v>
      </c>
      <c r="Q2223" s="7"/>
      <c r="R2223" s="1"/>
      <c r="S2223" s="1" t="str">
        <f>"1-22/NOS-80-1/21"</f>
        <v>1-22/NOS-80-1/21</v>
      </c>
      <c r="T2223" s="1" t="s">
        <v>32</v>
      </c>
    </row>
    <row r="2224" spans="1:20" ht="51" x14ac:dyDescent="0.25">
      <c r="A2224" s="6">
        <v>2220</v>
      </c>
      <c r="B2224" s="1" t="str">
        <f>"2021-164"</f>
        <v>2021-164</v>
      </c>
      <c r="C2224" s="1" t="s">
        <v>1793</v>
      </c>
      <c r="D2224" s="1" t="s">
        <v>1792</v>
      </c>
      <c r="E2224" s="1" t="str">
        <f>""</f>
        <v/>
      </c>
      <c r="F2224" s="1" t="s">
        <v>28</v>
      </c>
      <c r="G2224" s="1" t="str">
        <f>CONCATENATE("VODOSKOK D.D.,"," ČULINEČKA CESTA 221/C,"," 10040 ZAGREB,"," OIB: 34134218058")</f>
        <v>VODOSKOK D.D., ČULINEČKA CESTA 221/C, 10040 ZAGREB, OIB: 34134218058</v>
      </c>
      <c r="H2224" s="7"/>
      <c r="I2224" s="8" t="s">
        <v>501</v>
      </c>
      <c r="J2224" s="8" t="s">
        <v>1200</v>
      </c>
      <c r="K2224" s="6" t="str">
        <f>"28.676,00"</f>
        <v>28.676,00</v>
      </c>
      <c r="L2224" s="6" t="str">
        <f>"7.169,00"</f>
        <v>7.169,00</v>
      </c>
      <c r="M2224" s="6" t="str">
        <f>"35.845,00"</f>
        <v>35.845,00</v>
      </c>
      <c r="N2224" s="8" t="s">
        <v>146</v>
      </c>
      <c r="O2224" s="7"/>
      <c r="P2224" s="2" t="s">
        <v>6905</v>
      </c>
      <c r="Q2224" s="7"/>
      <c r="R2224" s="1"/>
      <c r="S2224" s="1" t="str">
        <f>"2-22/NOS-80-1/21"</f>
        <v>2-22/NOS-80-1/21</v>
      </c>
      <c r="T2224" s="1" t="s">
        <v>32</v>
      </c>
    </row>
    <row r="2225" spans="1:20" ht="76.5" x14ac:dyDescent="0.25">
      <c r="A2225" s="6">
        <v>2221</v>
      </c>
      <c r="B2225" s="1" t="str">
        <f>"2021-164"</f>
        <v>2021-164</v>
      </c>
      <c r="C2225" s="1" t="s">
        <v>1793</v>
      </c>
      <c r="D2225" s="1" t="s">
        <v>1792</v>
      </c>
      <c r="E2225" s="1" t="str">
        <f>""</f>
        <v/>
      </c>
      <c r="F2225" s="1" t="s">
        <v>28</v>
      </c>
      <c r="G2225" s="1" t="str">
        <f>CONCATENATE("SMIT-COMMERCE D.O.O.,"," GORNJOSTUPNIČKA 9B,"," 10255 GORNJI STUPNIK,"," OIB: 9524348214")</f>
        <v>SMIT-COMMERCE D.O.O., GORNJOSTUPNIČKA 9B, 10255 GORNJI STUPNIK, OIB: 9524348214</v>
      </c>
      <c r="H2225" s="7"/>
      <c r="I2225" s="8" t="s">
        <v>383</v>
      </c>
      <c r="J2225" s="8" t="s">
        <v>489</v>
      </c>
      <c r="K2225" s="6" t="str">
        <f>"16.798,50"</f>
        <v>16.798,50</v>
      </c>
      <c r="L2225" s="6" t="str">
        <f>"4.199,63"</f>
        <v>4.199,63</v>
      </c>
      <c r="M2225" s="6" t="str">
        <f>"20.998,13"</f>
        <v>20.998,13</v>
      </c>
      <c r="N2225" s="8" t="s">
        <v>124</v>
      </c>
      <c r="O2225" s="7"/>
      <c r="P2225" s="2" t="s">
        <v>5614</v>
      </c>
      <c r="Q2225" s="7"/>
      <c r="R2225" s="1"/>
      <c r="S2225" s="1" t="str">
        <f>"3-22/NOS-80-1/21"</f>
        <v>3-22/NOS-80-1/21</v>
      </c>
      <c r="T2225" s="1" t="s">
        <v>32</v>
      </c>
    </row>
    <row r="2226" spans="1:20" ht="76.5" x14ac:dyDescent="0.25">
      <c r="A2226" s="6">
        <v>2222</v>
      </c>
      <c r="B2226" s="1" t="str">
        <f>"2021-164"</f>
        <v>2021-164</v>
      </c>
      <c r="C2226" s="1" t="s">
        <v>1793</v>
      </c>
      <c r="D2226" s="1" t="s">
        <v>1792</v>
      </c>
      <c r="E2226" s="1" t="str">
        <f>""</f>
        <v/>
      </c>
      <c r="F2226" s="1" t="s">
        <v>28</v>
      </c>
      <c r="G2226" s="1" t="str">
        <f>CONCATENATE("SMIT-COMMERCE D.O.O.,"," GORNJOSTUPNIČKA 9B,"," 10255 GORNJI STUPNIK,"," OIB: 9524348214")</f>
        <v>SMIT-COMMERCE D.O.O., GORNJOSTUPNIČKA 9B, 10255 GORNJI STUPNIK, OIB: 9524348214</v>
      </c>
      <c r="H2226" s="7"/>
      <c r="I2226" s="8" t="s">
        <v>433</v>
      </c>
      <c r="J2226" s="8" t="s">
        <v>1400</v>
      </c>
      <c r="K2226" s="6" t="str">
        <f>"58.745,24"</f>
        <v>58.745,24</v>
      </c>
      <c r="L2226" s="6" t="str">
        <f>"14.686,31"</f>
        <v>14.686,31</v>
      </c>
      <c r="M2226" s="6" t="str">
        <f>"73.431,55"</f>
        <v>73.431,55</v>
      </c>
      <c r="N2226" s="8" t="s">
        <v>124</v>
      </c>
      <c r="O2226" s="7"/>
      <c r="P2226" s="2" t="s">
        <v>5614</v>
      </c>
      <c r="Q2226" s="7"/>
      <c r="R2226" s="1"/>
      <c r="S2226" s="1" t="str">
        <f>"4-22/NOS-80-1/21"</f>
        <v>4-22/NOS-80-1/21</v>
      </c>
      <c r="T2226" s="1" t="s">
        <v>32</v>
      </c>
    </row>
    <row r="2227" spans="1:20" ht="178.5" x14ac:dyDescent="0.25">
      <c r="A2227" s="6">
        <v>2223</v>
      </c>
      <c r="B2227" s="1" t="str">
        <f>"2021-1881"</f>
        <v>2021-1881</v>
      </c>
      <c r="C2227" s="1" t="s">
        <v>1794</v>
      </c>
      <c r="D2227" s="1" t="s">
        <v>1261</v>
      </c>
      <c r="E2227" s="1" t="str">
        <f>"2022/S 0F2-0008473"</f>
        <v>2022/S 0F2-0008473</v>
      </c>
      <c r="F2227" s="1" t="s">
        <v>22</v>
      </c>
      <c r="G2227" s="1"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2227" s="7"/>
      <c r="I2227" s="8" t="s">
        <v>895</v>
      </c>
      <c r="J2227" s="8" t="s">
        <v>1791</v>
      </c>
      <c r="K2227" s="6" t="str">
        <f>"800.000,00"</f>
        <v>800.000,00</v>
      </c>
      <c r="L2227" s="6" t="str">
        <f>"200.000,00"</f>
        <v>200.000,00</v>
      </c>
      <c r="M2227" s="6" t="str">
        <f>"1.000.000,00"</f>
        <v>1.000.000,00</v>
      </c>
      <c r="N2227" s="8" t="s">
        <v>124</v>
      </c>
      <c r="O2227" s="7"/>
      <c r="P2227" s="2" t="s">
        <v>5614</v>
      </c>
      <c r="Q2227" s="7"/>
      <c r="R2227" s="1"/>
      <c r="S2227" s="1" t="str">
        <f>"NOS-83-1/21"</f>
        <v>NOS-83-1/21</v>
      </c>
      <c r="T2227" s="1" t="s">
        <v>32</v>
      </c>
    </row>
    <row r="2228" spans="1:20" ht="51" x14ac:dyDescent="0.25">
      <c r="A2228" s="6">
        <v>2224</v>
      </c>
      <c r="B2228" s="1" t="str">
        <f>"2021-1881"</f>
        <v>2021-1881</v>
      </c>
      <c r="C2228" s="1" t="s">
        <v>1794</v>
      </c>
      <c r="D2228" s="1" t="s">
        <v>1262</v>
      </c>
      <c r="E2228" s="1" t="str">
        <f>""</f>
        <v/>
      </c>
      <c r="F2228" s="1" t="s">
        <v>28</v>
      </c>
      <c r="G2228" s="1" t="str">
        <f>CONCATENATE("DOBRO RJEŠENJE D.O.O.,"," ZAVRTNICA 3,"," 10000 ZAGREB,"," OIB: 33104804103")</f>
        <v>DOBRO RJEŠENJE D.O.O., ZAVRTNICA 3, 10000 ZAGREB, OIB: 33104804103</v>
      </c>
      <c r="H2228" s="7"/>
      <c r="I2228" s="8" t="s">
        <v>565</v>
      </c>
      <c r="J2228" s="8" t="s">
        <v>519</v>
      </c>
      <c r="K2228" s="6" t="str">
        <f>"155.476,20"</f>
        <v>155.476,20</v>
      </c>
      <c r="L2228" s="6" t="str">
        <f>"2.230,41"</f>
        <v>2.230,41</v>
      </c>
      <c r="M2228" s="6" t="str">
        <f>"157.706,61"</f>
        <v>157.706,61</v>
      </c>
      <c r="N2228" s="8" t="s">
        <v>1159</v>
      </c>
      <c r="O2228" s="7"/>
      <c r="P2228" s="2" t="s">
        <v>6906</v>
      </c>
      <c r="Q2228" s="7"/>
      <c r="R2228" s="1"/>
      <c r="S2228" s="1" t="str">
        <f>"1-22/NOS-83-1/21"</f>
        <v>1-22/NOS-83-1/21</v>
      </c>
      <c r="T2228" s="1" t="s">
        <v>32</v>
      </c>
    </row>
    <row r="2229" spans="1:20" ht="63.75" x14ac:dyDescent="0.25">
      <c r="A2229" s="6">
        <v>2225</v>
      </c>
      <c r="B2229" s="1" t="str">
        <f t="shared" ref="B2229:B2235" si="206">"2022-48"</f>
        <v>2022-48</v>
      </c>
      <c r="C2229" s="1" t="s">
        <v>1795</v>
      </c>
      <c r="D2229" s="1" t="s">
        <v>1277</v>
      </c>
      <c r="E2229" s="1" t="str">
        <f>" 2022/S 0F2-0013127"</f>
        <v xml:space="preserve"> 2022/S 0F2-0013127</v>
      </c>
      <c r="F2229" s="1" t="s">
        <v>22</v>
      </c>
      <c r="G2229" s="1" t="str">
        <f t="shared" ref="G2229:G2235" si="207">CONCATENATE("OMEGA SOFTWARE D.O.O.,"," KAMENARKA 37,"," 10010 ZAGREB-SLOBOŠTINA,"," OIB: 40102169932")</f>
        <v>OMEGA SOFTWARE D.O.O., KAMENARKA 37, 10010 ZAGREB-SLOBOŠTINA, OIB: 40102169932</v>
      </c>
      <c r="H2229" s="7"/>
      <c r="I2229" s="8" t="s">
        <v>278</v>
      </c>
      <c r="J2229" s="8" t="s">
        <v>1796</v>
      </c>
      <c r="K2229" s="6" t="str">
        <f>"3.978.000,00"</f>
        <v>3.978.000,00</v>
      </c>
      <c r="L2229" s="6" t="str">
        <f>"994.500,00"</f>
        <v>994.500,00</v>
      </c>
      <c r="M2229" s="6" t="str">
        <f>"4.972.500,00"</f>
        <v>4.972.500,00</v>
      </c>
      <c r="N2229" s="8" t="s">
        <v>124</v>
      </c>
      <c r="O2229" s="7"/>
      <c r="P2229" s="2" t="s">
        <v>5614</v>
      </c>
      <c r="Q2229" s="7"/>
      <c r="R2229" s="1"/>
      <c r="S2229" s="1" t="str">
        <f>"NOS-8/22"</f>
        <v>NOS-8/22</v>
      </c>
      <c r="T2229" s="1" t="s">
        <v>32</v>
      </c>
    </row>
    <row r="2230" spans="1:20" ht="63.75" x14ac:dyDescent="0.25">
      <c r="A2230" s="6">
        <v>2226</v>
      </c>
      <c r="B2230" s="1" t="str">
        <f t="shared" si="206"/>
        <v>2022-48</v>
      </c>
      <c r="C2230" s="1" t="s">
        <v>1795</v>
      </c>
      <c r="D2230" s="1" t="s">
        <v>1277</v>
      </c>
      <c r="E2230" s="1" t="str">
        <f>""</f>
        <v/>
      </c>
      <c r="F2230" s="1" t="s">
        <v>28</v>
      </c>
      <c r="G2230" s="1" t="str">
        <f t="shared" si="207"/>
        <v>OMEGA SOFTWARE D.O.O., KAMENARKA 37, 10010 ZAGREB-SLOBOŠTINA, OIB: 40102169932</v>
      </c>
      <c r="H2230" s="7"/>
      <c r="I2230" s="8" t="s">
        <v>399</v>
      </c>
      <c r="J2230" s="8" t="s">
        <v>231</v>
      </c>
      <c r="K2230" s="6" t="str">
        <f>"139.500,00"</f>
        <v>139.500,00</v>
      </c>
      <c r="L2230" s="6" t="str">
        <f>"34.875,00"</f>
        <v>34.875,00</v>
      </c>
      <c r="M2230" s="6" t="str">
        <f>"174.375,00"</f>
        <v>174.375,00</v>
      </c>
      <c r="N2230" s="8" t="s">
        <v>170</v>
      </c>
      <c r="O2230" s="7"/>
      <c r="P2230" s="2" t="s">
        <v>6907</v>
      </c>
      <c r="Q2230" s="7"/>
      <c r="R2230" s="1"/>
      <c r="S2230" s="1" t="str">
        <f>"1-22/NOS-8/22"</f>
        <v>1-22/NOS-8/22</v>
      </c>
      <c r="T2230" s="1" t="s">
        <v>32</v>
      </c>
    </row>
    <row r="2231" spans="1:20" ht="63.75" x14ac:dyDescent="0.25">
      <c r="A2231" s="6">
        <v>2227</v>
      </c>
      <c r="B2231" s="1" t="str">
        <f t="shared" si="206"/>
        <v>2022-48</v>
      </c>
      <c r="C2231" s="1" t="s">
        <v>1795</v>
      </c>
      <c r="D2231" s="1" t="s">
        <v>1277</v>
      </c>
      <c r="E2231" s="1" t="str">
        <f>""</f>
        <v/>
      </c>
      <c r="F2231" s="1" t="s">
        <v>28</v>
      </c>
      <c r="G2231" s="1" t="str">
        <f t="shared" si="207"/>
        <v>OMEGA SOFTWARE D.O.O., KAMENARKA 37, 10010 ZAGREB-SLOBOŠTINA, OIB: 40102169932</v>
      </c>
      <c r="H2231" s="7"/>
      <c r="I2231" s="8" t="s">
        <v>399</v>
      </c>
      <c r="J2231" s="8" t="s">
        <v>231</v>
      </c>
      <c r="K2231" s="6" t="str">
        <f>"139.500,00"</f>
        <v>139.500,00</v>
      </c>
      <c r="L2231" s="6" t="str">
        <f>"34.875,00"</f>
        <v>34.875,00</v>
      </c>
      <c r="M2231" s="6" t="str">
        <f>"174.375,00"</f>
        <v>174.375,00</v>
      </c>
      <c r="N2231" s="8" t="s">
        <v>170</v>
      </c>
      <c r="O2231" s="7"/>
      <c r="P2231" s="2" t="s">
        <v>6907</v>
      </c>
      <c r="Q2231" s="7"/>
      <c r="R2231" s="1"/>
      <c r="S2231" s="1" t="str">
        <f>"2-22/NOS-8/22"</f>
        <v>2-22/NOS-8/22</v>
      </c>
      <c r="T2231" s="1" t="s">
        <v>32</v>
      </c>
    </row>
    <row r="2232" spans="1:20" ht="63.75" x14ac:dyDescent="0.25">
      <c r="A2232" s="6">
        <v>2228</v>
      </c>
      <c r="B2232" s="1" t="str">
        <f t="shared" si="206"/>
        <v>2022-48</v>
      </c>
      <c r="C2232" s="1" t="s">
        <v>1795</v>
      </c>
      <c r="D2232" s="1" t="s">
        <v>1277</v>
      </c>
      <c r="E2232" s="1" t="str">
        <f>""</f>
        <v/>
      </c>
      <c r="F2232" s="1" t="s">
        <v>28</v>
      </c>
      <c r="G2232" s="1" t="str">
        <f t="shared" si="207"/>
        <v>OMEGA SOFTWARE D.O.O., KAMENARKA 37, 10010 ZAGREB-SLOBOŠTINA, OIB: 40102169932</v>
      </c>
      <c r="H2232" s="7"/>
      <c r="I2232" s="8" t="s">
        <v>399</v>
      </c>
      <c r="J2232" s="8" t="s">
        <v>231</v>
      </c>
      <c r="K2232" s="6" t="str">
        <f>"139.500,00"</f>
        <v>139.500,00</v>
      </c>
      <c r="L2232" s="6" t="str">
        <f>"34.875,00"</f>
        <v>34.875,00</v>
      </c>
      <c r="M2232" s="6" t="str">
        <f>"174.375,00"</f>
        <v>174.375,00</v>
      </c>
      <c r="N2232" s="8" t="s">
        <v>170</v>
      </c>
      <c r="O2232" s="7"/>
      <c r="P2232" s="2" t="s">
        <v>6907</v>
      </c>
      <c r="Q2232" s="7"/>
      <c r="R2232" s="1"/>
      <c r="S2232" s="1" t="str">
        <f>"3-22/NOS-8/22"</f>
        <v>3-22/NOS-8/22</v>
      </c>
      <c r="T2232" s="1" t="s">
        <v>32</v>
      </c>
    </row>
    <row r="2233" spans="1:20" ht="63.75" x14ac:dyDescent="0.25">
      <c r="A2233" s="6">
        <v>2229</v>
      </c>
      <c r="B2233" s="1" t="str">
        <f t="shared" si="206"/>
        <v>2022-48</v>
      </c>
      <c r="C2233" s="1" t="s">
        <v>1795</v>
      </c>
      <c r="D2233" s="1" t="s">
        <v>1277</v>
      </c>
      <c r="E2233" s="1" t="str">
        <f>""</f>
        <v/>
      </c>
      <c r="F2233" s="1" t="s">
        <v>28</v>
      </c>
      <c r="G2233" s="1" t="str">
        <f t="shared" si="207"/>
        <v>OMEGA SOFTWARE D.O.O., KAMENARKA 37, 10010 ZAGREB-SLOBOŠTINA, OIB: 40102169932</v>
      </c>
      <c r="H2233" s="7"/>
      <c r="I2233" s="8" t="s">
        <v>399</v>
      </c>
      <c r="J2233" s="8" t="s">
        <v>231</v>
      </c>
      <c r="K2233" s="6" t="str">
        <f>"139.500,00"</f>
        <v>139.500,00</v>
      </c>
      <c r="L2233" s="6" t="str">
        <f>"34.875,00"</f>
        <v>34.875,00</v>
      </c>
      <c r="M2233" s="6" t="str">
        <f>"174.375,00"</f>
        <v>174.375,00</v>
      </c>
      <c r="N2233" s="8" t="s">
        <v>121</v>
      </c>
      <c r="O2233" s="7"/>
      <c r="P2233" s="2" t="s">
        <v>6907</v>
      </c>
      <c r="Q2233" s="7"/>
      <c r="R2233" s="1"/>
      <c r="S2233" s="1" t="str">
        <f>"4-22/NOS-8/22"</f>
        <v>4-22/NOS-8/22</v>
      </c>
      <c r="T2233" s="1" t="s">
        <v>32</v>
      </c>
    </row>
    <row r="2234" spans="1:20" ht="63.75" x14ac:dyDescent="0.25">
      <c r="A2234" s="6">
        <v>2230</v>
      </c>
      <c r="B2234" s="1" t="str">
        <f t="shared" si="206"/>
        <v>2022-48</v>
      </c>
      <c r="C2234" s="1" t="s">
        <v>1795</v>
      </c>
      <c r="D2234" s="1" t="s">
        <v>1277</v>
      </c>
      <c r="E2234" s="1" t="str">
        <f>""</f>
        <v/>
      </c>
      <c r="F2234" s="1" t="s">
        <v>28</v>
      </c>
      <c r="G2234" s="1" t="str">
        <f t="shared" si="207"/>
        <v>OMEGA SOFTWARE D.O.O., KAMENARKA 37, 10010 ZAGREB-SLOBOŠTINA, OIB: 40102169932</v>
      </c>
      <c r="H2234" s="7"/>
      <c r="I2234" s="8" t="s">
        <v>384</v>
      </c>
      <c r="J2234" s="8" t="s">
        <v>1148</v>
      </c>
      <c r="K2234" s="6" t="str">
        <f>"139.500,00"</f>
        <v>139.500,00</v>
      </c>
      <c r="L2234" s="6" t="str">
        <f>"0,00"</f>
        <v>0,00</v>
      </c>
      <c r="M2234" s="6" t="str">
        <f>"139.500,00"</f>
        <v>139.500,00</v>
      </c>
      <c r="N2234" s="8" t="s">
        <v>124</v>
      </c>
      <c r="O2234" s="7"/>
      <c r="P2234" s="2" t="s">
        <v>5614</v>
      </c>
      <c r="Q2234" s="7"/>
      <c r="R2234" s="1"/>
      <c r="S2234" s="1" t="str">
        <f>"5-22/NOS-8/22"</f>
        <v>5-22/NOS-8/22</v>
      </c>
      <c r="T2234" s="1" t="s">
        <v>32</v>
      </c>
    </row>
    <row r="2235" spans="1:20" ht="63.75" x14ac:dyDescent="0.25">
      <c r="A2235" s="6">
        <v>2231</v>
      </c>
      <c r="B2235" s="1" t="str">
        <f t="shared" si="206"/>
        <v>2022-48</v>
      </c>
      <c r="C2235" s="1" t="s">
        <v>1795</v>
      </c>
      <c r="D2235" s="1" t="s">
        <v>1277</v>
      </c>
      <c r="E2235" s="1" t="str">
        <f>""</f>
        <v/>
      </c>
      <c r="F2235" s="1" t="s">
        <v>28</v>
      </c>
      <c r="G2235" s="1" t="str">
        <f t="shared" si="207"/>
        <v>OMEGA SOFTWARE D.O.O., KAMENARKA 37, 10010 ZAGREB-SLOBOŠTINA, OIB: 40102169932</v>
      </c>
      <c r="H2235" s="7"/>
      <c r="I2235" s="8" t="s">
        <v>384</v>
      </c>
      <c r="J2235" s="8" t="s">
        <v>231</v>
      </c>
      <c r="K2235" s="6" t="str">
        <f>"225.000,00"</f>
        <v>225.000,00</v>
      </c>
      <c r="L2235" s="6" t="str">
        <f>"0,00"</f>
        <v>0,00</v>
      </c>
      <c r="M2235" s="6" t="str">
        <f>"225.000,00"</f>
        <v>225.000,00</v>
      </c>
      <c r="N2235" s="8" t="s">
        <v>124</v>
      </c>
      <c r="O2235" s="7"/>
      <c r="P2235" s="2" t="s">
        <v>5614</v>
      </c>
      <c r="Q2235" s="7"/>
      <c r="R2235" s="1"/>
      <c r="S2235" s="1" t="str">
        <f>"6-22/NOS-8/22"</f>
        <v>6-22/NOS-8/22</v>
      </c>
      <c r="T2235" s="1" t="s">
        <v>32</v>
      </c>
    </row>
    <row r="2236" spans="1:20" ht="204" x14ac:dyDescent="0.25">
      <c r="A2236" s="6">
        <v>2232</v>
      </c>
      <c r="B2236" s="1" t="str">
        <f>"2021-164"</f>
        <v>2021-164</v>
      </c>
      <c r="C2236" s="1" t="s">
        <v>1797</v>
      </c>
      <c r="D2236" s="1" t="s">
        <v>1790</v>
      </c>
      <c r="E2236" s="1" t="str">
        <f>"2022/S 0F2-0006668"</f>
        <v>2022/S 0F2-0006668</v>
      </c>
      <c r="F2236" s="1" t="s">
        <v>22</v>
      </c>
      <c r="G2236" s="1" t="str">
        <f>CONCATENATE("CIAK TOOLS D.O.O.,"," KOVINSKA 4,"," 10090 ZAGREB-SUSEDGRAD,"," OIB: 26004523816",CHAR(10),"",CHAR(10),"SMIT-COMMERCE D.O.O.,"," GORNJOSTUPNIČKA 9B,"," 10255 GORNJI STUPNIK,"," OIB: 95243482140",CHAR(10),"",CHAR(10),"VODOSKOK D.D.,"," ČULINEČKA CESTA 221/C,"," 10040 ZAGREB,"," OIB: 34134218058")</f>
        <v>CIAK TOOLS D.O.O., KOVINSKA 4, 10090 ZAGREB-SUSEDGRAD, OIB: 26004523816
SMIT-COMMERCE D.O.O., GORNJOSTUPNIČKA 9B, 10255 GORNJI STUPNIK, OIB: 95243482140
VODOSKOK D.D., ČULINEČKA CESTA 221/C, 10040 ZAGREB, OIB: 34134218058</v>
      </c>
      <c r="H2236" s="7"/>
      <c r="I2236" s="8" t="s">
        <v>895</v>
      </c>
      <c r="J2236" s="8" t="s">
        <v>1798</v>
      </c>
      <c r="K2236" s="6" t="str">
        <f>"150.000,00"</f>
        <v>150.000,00</v>
      </c>
      <c r="L2236" s="6" t="str">
        <f>"37.500,00"</f>
        <v>37.500,00</v>
      </c>
      <c r="M2236" s="6" t="str">
        <f>"187.500,00"</f>
        <v>187.500,00</v>
      </c>
      <c r="N2236" s="8" t="s">
        <v>124</v>
      </c>
      <c r="O2236" s="7"/>
      <c r="P2236" s="2" t="s">
        <v>5614</v>
      </c>
      <c r="Q2236" s="7"/>
      <c r="R2236" s="1"/>
      <c r="S2236" s="1" t="str">
        <f>"NOS-80-3/21"</f>
        <v>NOS-80-3/21</v>
      </c>
      <c r="T2236" s="1" t="s">
        <v>32</v>
      </c>
    </row>
    <row r="2237" spans="1:20" ht="51" x14ac:dyDescent="0.25">
      <c r="A2237" s="6">
        <v>2233</v>
      </c>
      <c r="B2237" s="1" t="str">
        <f>"2021-164"</f>
        <v>2021-164</v>
      </c>
      <c r="C2237" s="1" t="s">
        <v>1793</v>
      </c>
      <c r="D2237" s="1" t="s">
        <v>1792</v>
      </c>
      <c r="E2237" s="1" t="str">
        <f>""</f>
        <v/>
      </c>
      <c r="F2237" s="1" t="s">
        <v>28</v>
      </c>
      <c r="G2237" s="1" t="str">
        <f>CONCATENATE("VODOSKOK D.D.,"," ČULINEČKA CESTA 221/C,"," 10040 ZAGREB,"," OIB: 34134218058")</f>
        <v>VODOSKOK D.D., ČULINEČKA CESTA 221/C, 10040 ZAGREB, OIB: 34134218058</v>
      </c>
      <c r="H2237" s="7"/>
      <c r="I2237" s="8" t="s">
        <v>501</v>
      </c>
      <c r="J2237" s="8" t="s">
        <v>1200</v>
      </c>
      <c r="K2237" s="6" t="str">
        <f>"8.850,00"</f>
        <v>8.850,00</v>
      </c>
      <c r="L2237" s="6" t="str">
        <f>"2.212,50"</f>
        <v>2.212,50</v>
      </c>
      <c r="M2237" s="6" t="str">
        <f>"11.062,50"</f>
        <v>11.062,50</v>
      </c>
      <c r="N2237" s="8" t="s">
        <v>388</v>
      </c>
      <c r="O2237" s="7"/>
      <c r="P2237" s="2" t="s">
        <v>6908</v>
      </c>
      <c r="Q2237" s="7"/>
      <c r="R2237" s="1"/>
      <c r="S2237" s="1" t="str">
        <f>"1-22/NOS-80-3/21"</f>
        <v>1-22/NOS-80-3/21</v>
      </c>
      <c r="T2237" s="1" t="s">
        <v>32</v>
      </c>
    </row>
    <row r="2238" spans="1:20" ht="76.5" x14ac:dyDescent="0.25">
      <c r="A2238" s="6">
        <v>2234</v>
      </c>
      <c r="B2238" s="1" t="str">
        <f>"2021-164"</f>
        <v>2021-164</v>
      </c>
      <c r="C2238" s="1" t="s">
        <v>1793</v>
      </c>
      <c r="D2238" s="1" t="s">
        <v>1792</v>
      </c>
      <c r="E2238" s="1" t="str">
        <f>""</f>
        <v/>
      </c>
      <c r="F2238" s="1" t="s">
        <v>28</v>
      </c>
      <c r="G2238" s="1" t="str">
        <f>CONCATENATE("SMIT-COMMERCE D.O.O.,"," GORNJOSTUPNIČKA 9B,"," 10255 GORNJI STUPNIK,"," OIB: 9524348214")</f>
        <v>SMIT-COMMERCE D.O.O., GORNJOSTUPNIČKA 9B, 10255 GORNJI STUPNIK, OIB: 9524348214</v>
      </c>
      <c r="H2238" s="7"/>
      <c r="I2238" s="8" t="s">
        <v>170</v>
      </c>
      <c r="J2238" s="8" t="s">
        <v>1400</v>
      </c>
      <c r="K2238" s="6" t="str">
        <f>"3.898,00"</f>
        <v>3.898,00</v>
      </c>
      <c r="L2238" s="6" t="str">
        <f>"974,50"</f>
        <v>974,50</v>
      </c>
      <c r="M2238" s="6" t="str">
        <f>"4.872,50"</f>
        <v>4.872,50</v>
      </c>
      <c r="N2238" s="8" t="s">
        <v>124</v>
      </c>
      <c r="O2238" s="7"/>
      <c r="P2238" s="2" t="s">
        <v>5614</v>
      </c>
      <c r="Q2238" s="7"/>
      <c r="R2238" s="1"/>
      <c r="S2238" s="1" t="str">
        <f>"2-22/NOS-80-3/21"</f>
        <v>2-22/NOS-80-3/21</v>
      </c>
      <c r="T2238" s="1" t="s">
        <v>32</v>
      </c>
    </row>
    <row r="2239" spans="1:20" ht="178.5" x14ac:dyDescent="0.25">
      <c r="A2239" s="6">
        <v>2235</v>
      </c>
      <c r="B2239" s="1" t="str">
        <f t="shared" ref="B2239:B2244" si="208">"2021-1881"</f>
        <v>2021-1881</v>
      </c>
      <c r="C2239" s="1" t="s">
        <v>1799</v>
      </c>
      <c r="D2239" s="1" t="s">
        <v>1261</v>
      </c>
      <c r="E2239" s="1" t="str">
        <f>"2022/S 0F2-0008473"</f>
        <v>2022/S 0F2-0008473</v>
      </c>
      <c r="F2239" s="1" t="s">
        <v>22</v>
      </c>
      <c r="G2239" s="1"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2239" s="7"/>
      <c r="I2239" s="8" t="s">
        <v>895</v>
      </c>
      <c r="J2239" s="8" t="s">
        <v>1791</v>
      </c>
      <c r="K2239" s="6" t="str">
        <f>"500.000,00"</f>
        <v>500.000,00</v>
      </c>
      <c r="L2239" s="6" t="str">
        <f>"125.000,00"</f>
        <v>125.000,00</v>
      </c>
      <c r="M2239" s="6" t="str">
        <f>"625.000,00"</f>
        <v>625.000,00</v>
      </c>
      <c r="N2239" s="8" t="s">
        <v>124</v>
      </c>
      <c r="O2239" s="7"/>
      <c r="P2239" s="2" t="s">
        <v>5614</v>
      </c>
      <c r="Q2239" s="7"/>
      <c r="R2239" s="1"/>
      <c r="S2239" s="1" t="str">
        <f>"NOS-83-2/21"</f>
        <v>NOS-83-2/21</v>
      </c>
      <c r="T2239" s="1" t="s">
        <v>32</v>
      </c>
    </row>
    <row r="2240" spans="1:20" ht="51" x14ac:dyDescent="0.25">
      <c r="A2240" s="6">
        <v>2236</v>
      </c>
      <c r="B2240" s="1" t="str">
        <f t="shared" si="208"/>
        <v>2021-1881</v>
      </c>
      <c r="C2240" s="1" t="s">
        <v>1799</v>
      </c>
      <c r="D2240" s="1" t="s">
        <v>1262</v>
      </c>
      <c r="E2240" s="1" t="str">
        <f>""</f>
        <v/>
      </c>
      <c r="F2240" s="1" t="s">
        <v>28</v>
      </c>
      <c r="G2240" s="1" t="str">
        <f>CONCATENATE("DOBRO RJEŠENJE D.O.O.,"," ZAVRTNICA 3,"," 10000 ZAGREB,"," OIB: 33104804103")</f>
        <v>DOBRO RJEŠENJE D.O.O., ZAVRTNICA 3, 10000 ZAGREB, OIB: 33104804103</v>
      </c>
      <c r="H2240" s="7"/>
      <c r="I2240" s="8" t="s">
        <v>565</v>
      </c>
      <c r="J2240" s="8" t="s">
        <v>519</v>
      </c>
      <c r="K2240" s="6" t="str">
        <f>"72.015,35"</f>
        <v>72.015,35</v>
      </c>
      <c r="L2240" s="6" t="str">
        <f>"2.372,72"</f>
        <v>2.372,72</v>
      </c>
      <c r="M2240" s="6" t="str">
        <f>"74.388,07"</f>
        <v>74.388,07</v>
      </c>
      <c r="N2240" s="8" t="s">
        <v>1159</v>
      </c>
      <c r="O2240" s="7"/>
      <c r="P2240" s="2" t="s">
        <v>6909</v>
      </c>
      <c r="Q2240" s="7"/>
      <c r="R2240" s="1"/>
      <c r="S2240" s="1" t="str">
        <f>"1-22/NOS-83-2/21"</f>
        <v>1-22/NOS-83-2/21</v>
      </c>
      <c r="T2240" s="1" t="s">
        <v>32</v>
      </c>
    </row>
    <row r="2241" spans="1:20" ht="178.5" x14ac:dyDescent="0.25">
      <c r="A2241" s="6">
        <v>2237</v>
      </c>
      <c r="B2241" s="1" t="str">
        <f t="shared" si="208"/>
        <v>2021-1881</v>
      </c>
      <c r="C2241" s="1" t="s">
        <v>1800</v>
      </c>
      <c r="D2241" s="1" t="s">
        <v>1261</v>
      </c>
      <c r="E2241" s="1" t="str">
        <f>"2022/S 0F2-0008473"</f>
        <v>2022/S 0F2-0008473</v>
      </c>
      <c r="F2241" s="1" t="s">
        <v>22</v>
      </c>
      <c r="G2241" s="1"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2241" s="7"/>
      <c r="I2241" s="8" t="s">
        <v>895</v>
      </c>
      <c r="J2241" s="8" t="s">
        <v>1791</v>
      </c>
      <c r="K2241" s="6" t="str">
        <f>"1.000.000,00"</f>
        <v>1.000.000,00</v>
      </c>
      <c r="L2241" s="6" t="str">
        <f>"250.000,00"</f>
        <v>250.000,00</v>
      </c>
      <c r="M2241" s="6" t="str">
        <f>"1.250.000,00"</f>
        <v>1.250.000,00</v>
      </c>
      <c r="N2241" s="8" t="s">
        <v>124</v>
      </c>
      <c r="O2241" s="7"/>
      <c r="P2241" s="2" t="s">
        <v>5614</v>
      </c>
      <c r="Q2241" s="7"/>
      <c r="R2241" s="1"/>
      <c r="S2241" s="1" t="str">
        <f>"NOS-83-4/21"</f>
        <v>NOS-83-4/21</v>
      </c>
      <c r="T2241" s="1" t="s">
        <v>32</v>
      </c>
    </row>
    <row r="2242" spans="1:20" ht="51" x14ac:dyDescent="0.25">
      <c r="A2242" s="6">
        <v>2238</v>
      </c>
      <c r="B2242" s="1" t="str">
        <f t="shared" si="208"/>
        <v>2021-1881</v>
      </c>
      <c r="C2242" s="1" t="s">
        <v>1800</v>
      </c>
      <c r="D2242" s="1" t="s">
        <v>1262</v>
      </c>
      <c r="E2242" s="1" t="str">
        <f>""</f>
        <v/>
      </c>
      <c r="F2242" s="1" t="s">
        <v>28</v>
      </c>
      <c r="G2242" s="1" t="str">
        <f>CONCATENATE("DOBRO RJEŠENJE D.O.O.,"," ZAVRTNICA 3,"," 10000 ZAGREB,"," OIB: 33104804103")</f>
        <v>DOBRO RJEŠENJE D.O.O., ZAVRTNICA 3, 10000 ZAGREB, OIB: 33104804103</v>
      </c>
      <c r="H2242" s="7"/>
      <c r="I2242" s="8" t="s">
        <v>565</v>
      </c>
      <c r="J2242" s="8" t="s">
        <v>519</v>
      </c>
      <c r="K2242" s="6" t="str">
        <f>"60.464,50"</f>
        <v>60.464,50</v>
      </c>
      <c r="L2242" s="6" t="str">
        <f>"0,00"</f>
        <v>0,00</v>
      </c>
      <c r="M2242" s="6" t="str">
        <f>"60.464,50"</f>
        <v>60.464,50</v>
      </c>
      <c r="N2242" s="8" t="s">
        <v>124</v>
      </c>
      <c r="O2242" s="7"/>
      <c r="P2242" s="2" t="s">
        <v>5614</v>
      </c>
      <c r="Q2242" s="7"/>
      <c r="R2242" s="1"/>
      <c r="S2242" s="1" t="str">
        <f>"1-22/NOS-83-4/21"</f>
        <v>1-22/NOS-83-4/21</v>
      </c>
      <c r="T2242" s="1" t="s">
        <v>32</v>
      </c>
    </row>
    <row r="2243" spans="1:20" ht="178.5" x14ac:dyDescent="0.25">
      <c r="A2243" s="6">
        <v>2239</v>
      </c>
      <c r="B2243" s="1" t="str">
        <f t="shared" si="208"/>
        <v>2021-1881</v>
      </c>
      <c r="C2243" s="1" t="s">
        <v>1801</v>
      </c>
      <c r="D2243" s="1" t="s">
        <v>1261</v>
      </c>
      <c r="E2243" s="1" t="str">
        <f>"2022/S 0F2-0008473"</f>
        <v>2022/S 0F2-0008473</v>
      </c>
      <c r="F2243" s="1" t="s">
        <v>22</v>
      </c>
      <c r="G2243" s="1" t="str">
        <f>CONCATENATE("P.G.P. D.O.O.,"," KUTJEVAČKA 8,"," 10000 ZAGREB,"," OIB: 12988772690",CHAR(10),"",CHAR(10),"DOBRO RJEŠENJE D.O.O.,"," ZAVRTNICA 3,"," 10000 ZAGREB,"," OIB: 33104804103",CHAR(10),"",CHAR(10),"HOLUS D.O.O.,"," SLAVONSKA AVENIJA 7,"," 10000 ZAGREB,"," OIB: 19957278502")</f>
        <v>P.G.P. D.O.O., KUTJEVAČKA 8, 10000 ZAGREB, OIB: 12988772690
DOBRO RJEŠENJE D.O.O., ZAVRTNICA 3, 10000 ZAGREB, OIB: 33104804103
HOLUS D.O.O., SLAVONSKA AVENIJA 7, 10000 ZAGREB, OIB: 19957278502</v>
      </c>
      <c r="H2243" s="7"/>
      <c r="I2243" s="8" t="s">
        <v>895</v>
      </c>
      <c r="J2243" s="8" t="s">
        <v>1791</v>
      </c>
      <c r="K2243" s="6" t="str">
        <f>"1.500.000,00"</f>
        <v>1.500.000,00</v>
      </c>
      <c r="L2243" s="6" t="str">
        <f>"375.000,00"</f>
        <v>375.000,00</v>
      </c>
      <c r="M2243" s="6" t="str">
        <f>"1.875.000,00"</f>
        <v>1.875.000,00</v>
      </c>
      <c r="N2243" s="8" t="s">
        <v>124</v>
      </c>
      <c r="O2243" s="7"/>
      <c r="P2243" s="2" t="s">
        <v>5614</v>
      </c>
      <c r="Q2243" s="7"/>
      <c r="R2243" s="1"/>
      <c r="S2243" s="1" t="str">
        <f>"NOS-83-5/21"</f>
        <v>NOS-83-5/21</v>
      </c>
      <c r="T2243" s="1" t="s">
        <v>32</v>
      </c>
    </row>
    <row r="2244" spans="1:20" ht="51" x14ac:dyDescent="0.25">
      <c r="A2244" s="6">
        <v>2240</v>
      </c>
      <c r="B2244" s="1" t="str">
        <f t="shared" si="208"/>
        <v>2021-1881</v>
      </c>
      <c r="C2244" s="1" t="s">
        <v>1801</v>
      </c>
      <c r="D2244" s="1" t="s">
        <v>1262</v>
      </c>
      <c r="E2244" s="1" t="str">
        <f>""</f>
        <v/>
      </c>
      <c r="F2244" s="1" t="s">
        <v>28</v>
      </c>
      <c r="G2244" s="1" t="str">
        <f>CONCATENATE("DOBRO RJEŠENJE D.O.O.,"," ZAVRTNICA 3,"," 10000 ZAGREB,"," OIB: 33104804103")</f>
        <v>DOBRO RJEŠENJE D.O.O., ZAVRTNICA 3, 10000 ZAGREB, OIB: 33104804103</v>
      </c>
      <c r="H2244" s="7"/>
      <c r="I2244" s="8" t="s">
        <v>565</v>
      </c>
      <c r="J2244" s="8" t="s">
        <v>519</v>
      </c>
      <c r="K2244" s="6" t="str">
        <f>"256.400,00"</f>
        <v>256.400,00</v>
      </c>
      <c r="L2244" s="6" t="str">
        <f>"9.332,65"</f>
        <v>9.332,65</v>
      </c>
      <c r="M2244" s="6" t="str">
        <f>"265.732,65"</f>
        <v>265.732,65</v>
      </c>
      <c r="N2244" s="8" t="s">
        <v>1159</v>
      </c>
      <c r="O2244" s="7"/>
      <c r="P2244" s="2" t="s">
        <v>6910</v>
      </c>
      <c r="Q2244" s="7"/>
      <c r="R2244" s="1"/>
      <c r="S2244" s="1" t="str">
        <f>"1-22/NOS-83-5/21"</f>
        <v>1-22/NOS-83-5/21</v>
      </c>
      <c r="T2244" s="1" t="s">
        <v>32</v>
      </c>
    </row>
    <row r="2245" spans="1:20" ht="102" x14ac:dyDescent="0.25">
      <c r="A2245" s="6">
        <v>2241</v>
      </c>
      <c r="B2245" s="1" t="str">
        <f>"2021-1859"</f>
        <v>2021-1859</v>
      </c>
      <c r="C2245" s="1" t="s">
        <v>1802</v>
      </c>
      <c r="D2245" s="1" t="s">
        <v>1803</v>
      </c>
      <c r="E2245" s="1" t="str">
        <f>"2022/S 0F2-0005282"</f>
        <v>2022/S 0F2-0005282</v>
      </c>
      <c r="F2245" s="1" t="s">
        <v>22</v>
      </c>
      <c r="G2245" s="1" t="str">
        <f>CONCATENATE("CROATIA TENIS D.O.O.,"," TRG SPORTOVA 10,"," 10000 ZAGREB,"," OIB: 17676811829",CHAR(10),"",CHAR(10),"TOME D.O.O.,"," PRIKEŠTE 14,"," 51513 OMIŠALJ,"," OIB: 2682345072")</f>
        <v>CROATIA TENIS D.O.O., TRG SPORTOVA 10, 10000 ZAGREB, OIB: 17676811829
TOME D.O.O., PRIKEŠTE 14, 51513 OMIŠALJ, OIB: 2682345072</v>
      </c>
      <c r="H2245" s="7"/>
      <c r="I2245" s="8" t="s">
        <v>723</v>
      </c>
      <c r="J2245" s="8" t="s">
        <v>1804</v>
      </c>
      <c r="K2245" s="6" t="str">
        <f>"900.000,00"</f>
        <v>900.000,00</v>
      </c>
      <c r="L2245" s="6" t="str">
        <f>"225.000,00"</f>
        <v>225.000,00</v>
      </c>
      <c r="M2245" s="6" t="str">
        <f>"1.125.000,00"</f>
        <v>1.125.000,00</v>
      </c>
      <c r="N2245" s="8" t="s">
        <v>124</v>
      </c>
      <c r="O2245" s="7"/>
      <c r="P2245" s="2" t="s">
        <v>5614</v>
      </c>
      <c r="Q2245" s="7"/>
      <c r="R2245" s="1"/>
      <c r="S2245" s="1" t="str">
        <f>"NOS-85/21"</f>
        <v>NOS-85/21</v>
      </c>
      <c r="T2245" s="1" t="s">
        <v>32</v>
      </c>
    </row>
    <row r="2246" spans="1:20" ht="51" x14ac:dyDescent="0.25">
      <c r="A2246" s="6">
        <v>2242</v>
      </c>
      <c r="B2246" s="1" t="str">
        <f>"2021-1859"</f>
        <v>2021-1859</v>
      </c>
      <c r="C2246" s="1" t="s">
        <v>1802</v>
      </c>
      <c r="D2246" s="1" t="s">
        <v>1805</v>
      </c>
      <c r="E2246" s="1" t="str">
        <f>""</f>
        <v/>
      </c>
      <c r="F2246" s="1" t="s">
        <v>28</v>
      </c>
      <c r="G2246" s="1" t="str">
        <f>CONCATENATE("CROATIA TENIS D.O.O.,"," TRG SPORTOVA 10,"," 10000 ZAGREB,"," OIB: 17676811829")</f>
        <v>CROATIA TENIS D.O.O., TRG SPORTOVA 10, 10000 ZAGREB, OIB: 17676811829</v>
      </c>
      <c r="H2246" s="7"/>
      <c r="I2246" s="8" t="s">
        <v>1157</v>
      </c>
      <c r="J2246" s="8" t="s">
        <v>851</v>
      </c>
      <c r="K2246" s="6" t="str">
        <f>"339.570,00"</f>
        <v>339.570,00</v>
      </c>
      <c r="L2246" s="6" t="str">
        <f>"0,00"</f>
        <v>0,00</v>
      </c>
      <c r="M2246" s="6" t="str">
        <f>"339.570,00"</f>
        <v>339.570,00</v>
      </c>
      <c r="N2246" s="8" t="s">
        <v>124</v>
      </c>
      <c r="O2246" s="7"/>
      <c r="P2246" s="2" t="s">
        <v>5614</v>
      </c>
      <c r="Q2246" s="7"/>
      <c r="R2246" s="1"/>
      <c r="S2246" s="1" t="str">
        <f>"1-22/NOS-85/21"</f>
        <v>1-22/NOS-85/21</v>
      </c>
      <c r="T2246" s="1" t="s">
        <v>32</v>
      </c>
    </row>
    <row r="2247" spans="1:20" ht="51" x14ac:dyDescent="0.25">
      <c r="A2247" s="6">
        <v>2243</v>
      </c>
      <c r="B2247" s="1" t="str">
        <f>"2021-1852"</f>
        <v>2021-1852</v>
      </c>
      <c r="C2247" s="1" t="s">
        <v>1806</v>
      </c>
      <c r="D2247" s="1" t="s">
        <v>1236</v>
      </c>
      <c r="E2247" s="1" t="str">
        <f>"2021/S 0F2-0038921"</f>
        <v>2021/S 0F2-0038921</v>
      </c>
      <c r="F2247" s="1" t="s">
        <v>22</v>
      </c>
      <c r="G2247" s="1" t="str">
        <f>CONCATENATE("INSTEL PROMET D.O.O.,"," REMETINEČKIH ŽRTAVA 16,"," 10000 ZAGREB,"," OIB: 25913868025")</f>
        <v>INSTEL PROMET D.O.O., REMETINEČKIH ŽRTAVA 16, 10000 ZAGREB, OIB: 25913868025</v>
      </c>
      <c r="H2247" s="7"/>
      <c r="I2247" s="8" t="s">
        <v>203</v>
      </c>
      <c r="J2247" s="8" t="s">
        <v>1791</v>
      </c>
      <c r="K2247" s="6" t="str">
        <f>"1.900.000,00"</f>
        <v>1.900.000,00</v>
      </c>
      <c r="L2247" s="6" t="str">
        <f>"475.000,00"</f>
        <v>475.000,00</v>
      </c>
      <c r="M2247" s="6" t="str">
        <f>"2.375.000,00"</f>
        <v>2.375.000,00</v>
      </c>
      <c r="N2247" s="8" t="s">
        <v>124</v>
      </c>
      <c r="O2247" s="7"/>
      <c r="P2247" s="2" t="s">
        <v>5614</v>
      </c>
      <c r="Q2247" s="7"/>
      <c r="R2247" s="1"/>
      <c r="S2247" s="1" t="str">
        <f>"NOS-86/21"</f>
        <v>NOS-86/21</v>
      </c>
      <c r="T2247" s="1" t="s">
        <v>32</v>
      </c>
    </row>
    <row r="2248" spans="1:20" ht="51" x14ac:dyDescent="0.25">
      <c r="A2248" s="6">
        <v>2244</v>
      </c>
      <c r="B2248" s="1" t="str">
        <f>"2021-1852"</f>
        <v>2021-1852</v>
      </c>
      <c r="C2248" s="1" t="s">
        <v>1806</v>
      </c>
      <c r="D2248" s="1" t="s">
        <v>1239</v>
      </c>
      <c r="E2248" s="1" t="str">
        <f>""</f>
        <v/>
      </c>
      <c r="F2248" s="1" t="s">
        <v>28</v>
      </c>
      <c r="G2248" s="1" t="str">
        <f>CONCATENATE("INSTEL PROMET D.O.O.,"," REMETINEČKIH ŽRTAVA 16,"," 10000 ZAGREB,"," OIB: 25913868025")</f>
        <v>INSTEL PROMET D.O.O., REMETINEČKIH ŽRTAVA 16, 10000 ZAGREB, OIB: 25913868025</v>
      </c>
      <c r="H2248" s="7"/>
      <c r="I2248" s="8" t="s">
        <v>563</v>
      </c>
      <c r="J2248" s="8" t="s">
        <v>851</v>
      </c>
      <c r="K2248" s="6" t="str">
        <f>"166.280,00"</f>
        <v>166.280,00</v>
      </c>
      <c r="L2248" s="6" t="str">
        <f>"41.570,00"</f>
        <v>41.570,00</v>
      </c>
      <c r="M2248" s="6" t="str">
        <f>"207.850,00"</f>
        <v>207.850,00</v>
      </c>
      <c r="N2248" s="8" t="s">
        <v>420</v>
      </c>
      <c r="O2248" s="7"/>
      <c r="P2248" s="2" t="s">
        <v>6911</v>
      </c>
      <c r="Q2248" s="7"/>
      <c r="R2248" s="1"/>
      <c r="S2248" s="1" t="str">
        <f>"1-22/NOS-86/21"</f>
        <v>1-22/NOS-86/21</v>
      </c>
      <c r="T2248" s="1" t="s">
        <v>32</v>
      </c>
    </row>
    <row r="2249" spans="1:20" ht="51" x14ac:dyDescent="0.25">
      <c r="A2249" s="6">
        <v>2245</v>
      </c>
      <c r="B2249" s="1" t="str">
        <f>"2021-1852"</f>
        <v>2021-1852</v>
      </c>
      <c r="C2249" s="1" t="s">
        <v>1806</v>
      </c>
      <c r="D2249" s="1" t="s">
        <v>1239</v>
      </c>
      <c r="E2249" s="1" t="str">
        <f>""</f>
        <v/>
      </c>
      <c r="F2249" s="1" t="s">
        <v>28</v>
      </c>
      <c r="G2249" s="1" t="str">
        <f>CONCATENATE("INSTEL PROMET D.O.O.,"," REMETINEČKIH ŽRTAVA 16,"," 10000 ZAGREB,"," OIB: 25913868025")</f>
        <v>INSTEL PROMET D.O.O., REMETINEČKIH ŽRTAVA 16, 10000 ZAGREB, OIB: 25913868025</v>
      </c>
      <c r="H2249" s="7"/>
      <c r="I2249" s="8" t="s">
        <v>910</v>
      </c>
      <c r="J2249" s="8" t="s">
        <v>555</v>
      </c>
      <c r="K2249" s="6" t="str">
        <f>"148.520,00"</f>
        <v>148.520,00</v>
      </c>
      <c r="L2249" s="6" t="str">
        <f>"37.130,00"</f>
        <v>37.130,00</v>
      </c>
      <c r="M2249" s="6" t="str">
        <f>"185.650,00"</f>
        <v>185.650,00</v>
      </c>
      <c r="N2249" s="8" t="s">
        <v>420</v>
      </c>
      <c r="O2249" s="7"/>
      <c r="P2249" s="2" t="s">
        <v>6912</v>
      </c>
      <c r="Q2249" s="7"/>
      <c r="R2249" s="1"/>
      <c r="S2249" s="1" t="str">
        <f>"2-22/NOS-86/21"</f>
        <v>2-22/NOS-86/21</v>
      </c>
      <c r="T2249" s="1" t="s">
        <v>32</v>
      </c>
    </row>
    <row r="2250" spans="1:20" ht="51" x14ac:dyDescent="0.25">
      <c r="A2250" s="6">
        <v>2246</v>
      </c>
      <c r="B2250" s="1" t="str">
        <f>"2021-1852"</f>
        <v>2021-1852</v>
      </c>
      <c r="C2250" s="1" t="s">
        <v>1806</v>
      </c>
      <c r="D2250" s="1" t="s">
        <v>1239</v>
      </c>
      <c r="E2250" s="1" t="str">
        <f>""</f>
        <v/>
      </c>
      <c r="F2250" s="1" t="s">
        <v>28</v>
      </c>
      <c r="G2250" s="1" t="str">
        <f>CONCATENATE("INSTEL PROMET D.O.O.,"," REMETINEČKIH ŽRTAVA 16,"," 10000 ZAGREB,"," OIB: 25913868025")</f>
        <v>INSTEL PROMET D.O.O., REMETINEČKIH ŽRTAVA 16, 10000 ZAGREB, OIB: 25913868025</v>
      </c>
      <c r="H2250" s="7"/>
      <c r="I2250" s="8" t="s">
        <v>81</v>
      </c>
      <c r="J2250" s="8" t="s">
        <v>851</v>
      </c>
      <c r="K2250" s="6" t="str">
        <f>"1.300,00"</f>
        <v>1.300,00</v>
      </c>
      <c r="L2250" s="6" t="str">
        <f>"325,00"</f>
        <v>325,00</v>
      </c>
      <c r="M2250" s="6" t="str">
        <f>"1.625,00"</f>
        <v>1.625,00</v>
      </c>
      <c r="N2250" s="8" t="s">
        <v>458</v>
      </c>
      <c r="O2250" s="7"/>
      <c r="P2250" s="2" t="s">
        <v>6913</v>
      </c>
      <c r="Q2250" s="7"/>
      <c r="R2250" s="1"/>
      <c r="S2250" s="1" t="str">
        <f>"3-22/NOS-86/21"</f>
        <v>3-22/NOS-86/21</v>
      </c>
      <c r="T2250" s="1" t="s">
        <v>32</v>
      </c>
    </row>
    <row r="2251" spans="1:20" ht="51" x14ac:dyDescent="0.25">
      <c r="A2251" s="6">
        <v>2247</v>
      </c>
      <c r="B2251" s="1" t="str">
        <f>"2021-1852"</f>
        <v>2021-1852</v>
      </c>
      <c r="C2251" s="1" t="s">
        <v>1806</v>
      </c>
      <c r="D2251" s="1" t="s">
        <v>1239</v>
      </c>
      <c r="E2251" s="1" t="str">
        <f>""</f>
        <v/>
      </c>
      <c r="F2251" s="1" t="s">
        <v>28</v>
      </c>
      <c r="G2251" s="1" t="str">
        <f>CONCATENATE("INSTEL PROMET D.O.O.,"," REMETINEČKIH ŽRTAVA 16,"," 10000 ZAGREB,"," OIB: 25913868025")</f>
        <v>INSTEL PROMET D.O.O., REMETINEČKIH ŽRTAVA 16, 10000 ZAGREB, OIB: 25913868025</v>
      </c>
      <c r="H2251" s="7"/>
      <c r="I2251" s="8" t="s">
        <v>433</v>
      </c>
      <c r="J2251" s="8" t="s">
        <v>851</v>
      </c>
      <c r="K2251" s="6" t="str">
        <f>"195.700,00"</f>
        <v>195.700,00</v>
      </c>
      <c r="L2251" s="6" t="str">
        <f>"0,00"</f>
        <v>0,00</v>
      </c>
      <c r="M2251" s="6" t="str">
        <f>"195.700,00"</f>
        <v>195.700,00</v>
      </c>
      <c r="N2251" s="8" t="s">
        <v>124</v>
      </c>
      <c r="O2251" s="7"/>
      <c r="P2251" s="2" t="s">
        <v>5614</v>
      </c>
      <c r="Q2251" s="7"/>
      <c r="R2251" s="1"/>
      <c r="S2251" s="1" t="str">
        <f>"4-22/NOS-86/21"</f>
        <v>4-22/NOS-86/21</v>
      </c>
      <c r="T2251" s="1" t="s">
        <v>32</v>
      </c>
    </row>
    <row r="2252" spans="1:20" ht="76.5" x14ac:dyDescent="0.25">
      <c r="A2252" s="6">
        <v>2248</v>
      </c>
      <c r="B2252" s="1" t="str">
        <f t="shared" ref="B2252:B2258" si="209">"2021-1833"</f>
        <v>2021-1833</v>
      </c>
      <c r="C2252" s="1" t="s">
        <v>1807</v>
      </c>
      <c r="D2252" s="1" t="s">
        <v>1808</v>
      </c>
      <c r="E2252" s="1" t="str">
        <f>"2021/S 0F2-0038451"</f>
        <v>2021/S 0F2-0038451</v>
      </c>
      <c r="F2252" s="1" t="s">
        <v>22</v>
      </c>
      <c r="G2252" s="1" t="str">
        <f t="shared" ref="G2252:G2258" si="210">CONCATENATE("SMIT-COMMERCE D.O.O.,"," GORNJOSTUPNIČKA 9B,"," 10255 GORNJI STUPNIK,"," OIB: 9524348214")</f>
        <v>SMIT-COMMERCE D.O.O., GORNJOSTUPNIČKA 9B, 10255 GORNJI STUPNIK, OIB: 9524348214</v>
      </c>
      <c r="H2252" s="7"/>
      <c r="I2252" s="8" t="s">
        <v>203</v>
      </c>
      <c r="J2252" s="8" t="s">
        <v>1809</v>
      </c>
      <c r="K2252" s="6" t="str">
        <f>"1.600.000,00"</f>
        <v>1.600.000,00</v>
      </c>
      <c r="L2252" s="6" t="str">
        <f>"400.000,00"</f>
        <v>400.000,00</v>
      </c>
      <c r="M2252" s="6" t="str">
        <f>"2.000.000,00"</f>
        <v>2.000.000,00</v>
      </c>
      <c r="N2252" s="8" t="s">
        <v>124</v>
      </c>
      <c r="O2252" s="7"/>
      <c r="P2252" s="2" t="s">
        <v>5614</v>
      </c>
      <c r="Q2252" s="7"/>
      <c r="R2252" s="1"/>
      <c r="S2252" s="1" t="str">
        <f>"NOS-87/21"</f>
        <v>NOS-87/21</v>
      </c>
      <c r="T2252" s="1" t="s">
        <v>27</v>
      </c>
    </row>
    <row r="2253" spans="1:20" ht="76.5" x14ac:dyDescent="0.25">
      <c r="A2253" s="6">
        <v>2249</v>
      </c>
      <c r="B2253" s="1" t="str">
        <f t="shared" si="209"/>
        <v>2021-1833</v>
      </c>
      <c r="C2253" s="1" t="s">
        <v>1807</v>
      </c>
      <c r="D2253" s="1" t="s">
        <v>1810</v>
      </c>
      <c r="E2253" s="1" t="str">
        <f>""</f>
        <v/>
      </c>
      <c r="F2253" s="1" t="s">
        <v>28</v>
      </c>
      <c r="G2253" s="1" t="str">
        <f t="shared" si="210"/>
        <v>SMIT-COMMERCE D.O.O., GORNJOSTUPNIČKA 9B, 10255 GORNJI STUPNIK, OIB: 9524348214</v>
      </c>
      <c r="H2253" s="7"/>
      <c r="I2253" s="8" t="s">
        <v>1314</v>
      </c>
      <c r="J2253" s="8" t="s">
        <v>519</v>
      </c>
      <c r="K2253" s="6" t="str">
        <f>"209.317,57"</f>
        <v>209.317,57</v>
      </c>
      <c r="L2253" s="6" t="str">
        <f>"50.006,96"</f>
        <v>50.006,96</v>
      </c>
      <c r="M2253" s="6" t="str">
        <f>"259.324,53"</f>
        <v>259.324,53</v>
      </c>
      <c r="N2253" s="8" t="s">
        <v>58</v>
      </c>
      <c r="O2253" s="7"/>
      <c r="P2253" s="2" t="s">
        <v>6914</v>
      </c>
      <c r="Q2253" s="7"/>
      <c r="R2253" s="1"/>
      <c r="S2253" s="1" t="str">
        <f>"3-22/NOS-87/21"</f>
        <v>3-22/NOS-87/21</v>
      </c>
      <c r="T2253" s="1" t="s">
        <v>55</v>
      </c>
    </row>
    <row r="2254" spans="1:20" ht="76.5" x14ac:dyDescent="0.25">
      <c r="A2254" s="6">
        <v>2250</v>
      </c>
      <c r="B2254" s="1" t="str">
        <f t="shared" si="209"/>
        <v>2021-1833</v>
      </c>
      <c r="C2254" s="1" t="s">
        <v>1807</v>
      </c>
      <c r="D2254" s="1" t="s">
        <v>1810</v>
      </c>
      <c r="E2254" s="1" t="str">
        <f>""</f>
        <v/>
      </c>
      <c r="F2254" s="1" t="s">
        <v>28</v>
      </c>
      <c r="G2254" s="1" t="str">
        <f t="shared" si="210"/>
        <v>SMIT-COMMERCE D.O.O., GORNJOSTUPNIČKA 9B, 10255 GORNJI STUPNIK, OIB: 9524348214</v>
      </c>
      <c r="H2254" s="7"/>
      <c r="I2254" s="8" t="s">
        <v>567</v>
      </c>
      <c r="J2254" s="8" t="s">
        <v>393</v>
      </c>
      <c r="K2254" s="6" t="str">
        <f>"11.398,00"</f>
        <v>11.398,00</v>
      </c>
      <c r="L2254" s="6" t="str">
        <f>"2.849,50"</f>
        <v>2.849,50</v>
      </c>
      <c r="M2254" s="6" t="str">
        <f>"14.247,50"</f>
        <v>14.247,50</v>
      </c>
      <c r="N2254" s="8" t="s">
        <v>58</v>
      </c>
      <c r="O2254" s="7"/>
      <c r="P2254" s="2" t="s">
        <v>6915</v>
      </c>
      <c r="Q2254" s="7"/>
      <c r="R2254" s="1"/>
      <c r="S2254" s="1" t="str">
        <f>"5-22/NOS-87/21"</f>
        <v>5-22/NOS-87/21</v>
      </c>
      <c r="T2254" s="1" t="s">
        <v>55</v>
      </c>
    </row>
    <row r="2255" spans="1:20" ht="76.5" x14ac:dyDescent="0.25">
      <c r="A2255" s="6">
        <v>2251</v>
      </c>
      <c r="B2255" s="1" t="str">
        <f t="shared" si="209"/>
        <v>2021-1833</v>
      </c>
      <c r="C2255" s="1" t="s">
        <v>1807</v>
      </c>
      <c r="D2255" s="1" t="s">
        <v>1810</v>
      </c>
      <c r="E2255" s="1" t="str">
        <f>""</f>
        <v/>
      </c>
      <c r="F2255" s="1" t="s">
        <v>28</v>
      </c>
      <c r="G2255" s="1" t="str">
        <f t="shared" si="210"/>
        <v>SMIT-COMMERCE D.O.O., GORNJOSTUPNIČKA 9B, 10255 GORNJI STUPNIK, OIB: 9524348214</v>
      </c>
      <c r="H2255" s="7"/>
      <c r="I2255" s="8" t="s">
        <v>170</v>
      </c>
      <c r="J2255" s="8" t="s">
        <v>519</v>
      </c>
      <c r="K2255" s="6" t="str">
        <f>"87.084,01"</f>
        <v>87.084,01</v>
      </c>
      <c r="L2255" s="6" t="str">
        <f>"0,00"</f>
        <v>0,00</v>
      </c>
      <c r="M2255" s="6" t="str">
        <f>"87.084,01"</f>
        <v>87.084,01</v>
      </c>
      <c r="N2255" s="8" t="s">
        <v>124</v>
      </c>
      <c r="O2255" s="7"/>
      <c r="P2255" s="2" t="s">
        <v>5614</v>
      </c>
      <c r="Q2255" s="7"/>
      <c r="R2255" s="1"/>
      <c r="S2255" s="1" t="str">
        <f>"7-22/NOS-87/21"</f>
        <v>7-22/NOS-87/21</v>
      </c>
      <c r="T2255" s="1" t="s">
        <v>55</v>
      </c>
    </row>
    <row r="2256" spans="1:20" ht="76.5" x14ac:dyDescent="0.25">
      <c r="A2256" s="6">
        <v>2252</v>
      </c>
      <c r="B2256" s="1" t="str">
        <f t="shared" si="209"/>
        <v>2021-1833</v>
      </c>
      <c r="C2256" s="1" t="s">
        <v>1807</v>
      </c>
      <c r="D2256" s="1" t="s">
        <v>1810</v>
      </c>
      <c r="E2256" s="1" t="str">
        <f>""</f>
        <v/>
      </c>
      <c r="F2256" s="1" t="s">
        <v>28</v>
      </c>
      <c r="G2256" s="1" t="str">
        <f t="shared" si="210"/>
        <v>SMIT-COMMERCE D.O.O., GORNJOSTUPNIČKA 9B, 10255 GORNJI STUPNIK, OIB: 9524348214</v>
      </c>
      <c r="H2256" s="7"/>
      <c r="I2256" s="8" t="s">
        <v>970</v>
      </c>
      <c r="J2256" s="8" t="s">
        <v>54</v>
      </c>
      <c r="K2256" s="6" t="str">
        <f>"299.998,95"</f>
        <v>299.998,95</v>
      </c>
      <c r="L2256" s="6" t="str">
        <f>"74.999,74"</f>
        <v>74.999,74</v>
      </c>
      <c r="M2256" s="6" t="str">
        <f>"374.998,69"</f>
        <v>374.998,69</v>
      </c>
      <c r="N2256" s="8" t="s">
        <v>1191</v>
      </c>
      <c r="O2256" s="7"/>
      <c r="P2256" s="2" t="s">
        <v>6916</v>
      </c>
      <c r="Q2256" s="7"/>
      <c r="R2256" s="1"/>
      <c r="S2256" s="1" t="str">
        <f>"1-22/NOS-87/21"</f>
        <v>1-22/NOS-87/21</v>
      </c>
      <c r="T2256" s="1" t="s">
        <v>32</v>
      </c>
    </row>
    <row r="2257" spans="1:20" ht="76.5" x14ac:dyDescent="0.25">
      <c r="A2257" s="6">
        <v>2253</v>
      </c>
      <c r="B2257" s="1" t="str">
        <f t="shared" si="209"/>
        <v>2021-1833</v>
      </c>
      <c r="C2257" s="1" t="s">
        <v>1807</v>
      </c>
      <c r="D2257" s="1" t="s">
        <v>1810</v>
      </c>
      <c r="E2257" s="1" t="str">
        <f>""</f>
        <v/>
      </c>
      <c r="F2257" s="1" t="s">
        <v>28</v>
      </c>
      <c r="G2257" s="1" t="str">
        <f t="shared" si="210"/>
        <v>SMIT-COMMERCE D.O.O., GORNJOSTUPNIČKA 9B, 10255 GORNJI STUPNIK, OIB: 9524348214</v>
      </c>
      <c r="H2257" s="7"/>
      <c r="I2257" s="8" t="s">
        <v>58</v>
      </c>
      <c r="J2257" s="8" t="s">
        <v>509</v>
      </c>
      <c r="K2257" s="6" t="str">
        <f>"4.423,32"</f>
        <v>4.423,32</v>
      </c>
      <c r="L2257" s="6" t="str">
        <f>"1.105,83"</f>
        <v>1.105,83</v>
      </c>
      <c r="M2257" s="6" t="str">
        <f>"5.529,15"</f>
        <v>5.529,15</v>
      </c>
      <c r="N2257" s="8" t="s">
        <v>124</v>
      </c>
      <c r="O2257" s="7"/>
      <c r="P2257" s="2" t="s">
        <v>5614</v>
      </c>
      <c r="Q2257" s="7"/>
      <c r="R2257" s="1"/>
      <c r="S2257" s="1" t="str">
        <f>"4-22/NOS-87/21"</f>
        <v>4-22/NOS-87/21</v>
      </c>
      <c r="T2257" s="1" t="s">
        <v>32</v>
      </c>
    </row>
    <row r="2258" spans="1:20" ht="76.5" x14ac:dyDescent="0.25">
      <c r="A2258" s="6">
        <v>2254</v>
      </c>
      <c r="B2258" s="1" t="str">
        <f t="shared" si="209"/>
        <v>2021-1833</v>
      </c>
      <c r="C2258" s="1" t="s">
        <v>1807</v>
      </c>
      <c r="D2258" s="1" t="s">
        <v>1810</v>
      </c>
      <c r="E2258" s="1" t="str">
        <f>""</f>
        <v/>
      </c>
      <c r="F2258" s="1" t="s">
        <v>28</v>
      </c>
      <c r="G2258" s="1" t="str">
        <f t="shared" si="210"/>
        <v>SMIT-COMMERCE D.O.O., GORNJOSTUPNIČKA 9B, 10255 GORNJI STUPNIK, OIB: 9524348214</v>
      </c>
      <c r="H2258" s="7"/>
      <c r="I2258" s="8" t="s">
        <v>1191</v>
      </c>
      <c r="J2258" s="8" t="s">
        <v>1200</v>
      </c>
      <c r="K2258" s="6" t="str">
        <f>"3.058,00"</f>
        <v>3.058,00</v>
      </c>
      <c r="L2258" s="6" t="str">
        <f>"764,50"</f>
        <v>764,50</v>
      </c>
      <c r="M2258" s="6" t="str">
        <f>"3.822,50"</f>
        <v>3.822,50</v>
      </c>
      <c r="N2258" s="8" t="s">
        <v>124</v>
      </c>
      <c r="O2258" s="7"/>
      <c r="P2258" s="2" t="s">
        <v>5614</v>
      </c>
      <c r="Q2258" s="7"/>
      <c r="R2258" s="1"/>
      <c r="S2258" s="1" t="str">
        <f>"6-22/NOS-87/21"</f>
        <v>6-22/NOS-87/21</v>
      </c>
      <c r="T2258" s="1" t="s">
        <v>32</v>
      </c>
    </row>
    <row r="2259" spans="1:20" ht="102" x14ac:dyDescent="0.25">
      <c r="A2259" s="6">
        <v>2255</v>
      </c>
      <c r="B2259" s="1" t="str">
        <f t="shared" ref="B2259:B2267" si="211">"2022-1955"</f>
        <v>2022-1955</v>
      </c>
      <c r="C2259" s="1" t="s">
        <v>1811</v>
      </c>
      <c r="D2259" s="1" t="s">
        <v>865</v>
      </c>
      <c r="E2259" s="1" t="str">
        <f>""</f>
        <v/>
      </c>
      <c r="F2259" s="1" t="s">
        <v>1812</v>
      </c>
      <c r="G2259" s="1" t="str">
        <f t="shared" ref="G2259:G2267" si="212">CONCATENATE("APIS IT D.O.O.,"," PALJETKOVA 18,"," 10000 ZAGREB,"," OIB: 02994650199")</f>
        <v>APIS IT D.O.O., PALJETKOVA 18, 10000 ZAGREB, OIB: 02994650199</v>
      </c>
      <c r="H2259" s="7"/>
      <c r="I2259" s="8" t="s">
        <v>939</v>
      </c>
      <c r="J2259" s="8" t="s">
        <v>1813</v>
      </c>
      <c r="K2259" s="6" t="str">
        <f>"24.902.000,00"</f>
        <v>24.902.000,00</v>
      </c>
      <c r="L2259" s="6" t="str">
        <f>"6.225.500,00"</f>
        <v>6.225.500,00</v>
      </c>
      <c r="M2259" s="6" t="str">
        <f>"31.127.500,00"</f>
        <v>31.127.500,00</v>
      </c>
      <c r="N2259" s="8" t="s">
        <v>124</v>
      </c>
      <c r="O2259" s="7"/>
      <c r="P2259" s="2" t="s">
        <v>5614</v>
      </c>
      <c r="Q2259" s="7"/>
      <c r="R2259" s="1"/>
      <c r="S2259" s="1" t="str">
        <f>"NOS-IZ-2022-1955"</f>
        <v>NOS-IZ-2022-1955</v>
      </c>
      <c r="T2259" s="1" t="s">
        <v>661</v>
      </c>
    </row>
    <row r="2260" spans="1:20" ht="102" x14ac:dyDescent="0.25">
      <c r="A2260" s="6">
        <v>2256</v>
      </c>
      <c r="B2260" s="1" t="str">
        <f t="shared" si="211"/>
        <v>2022-1955</v>
      </c>
      <c r="C2260" s="1" t="s">
        <v>1814</v>
      </c>
      <c r="D2260" s="1" t="s">
        <v>865</v>
      </c>
      <c r="E2260" s="1" t="str">
        <f>""</f>
        <v/>
      </c>
      <c r="F2260" s="1" t="s">
        <v>92</v>
      </c>
      <c r="G2260" s="1" t="str">
        <f t="shared" si="212"/>
        <v>APIS IT D.O.O., PALJETKOVA 18, 10000 ZAGREB, OIB: 02994650199</v>
      </c>
      <c r="H2260" s="7"/>
      <c r="I2260" s="8" t="s">
        <v>970</v>
      </c>
      <c r="J2260" s="8" t="s">
        <v>1815</v>
      </c>
      <c r="K2260" s="6" t="str">
        <f>"1.760.654,38"</f>
        <v>1.760.654,38</v>
      </c>
      <c r="L2260" s="6" t="str">
        <f>"429.309,68"</f>
        <v>429.309,68</v>
      </c>
      <c r="M2260" s="6" t="str">
        <f>"2.189.964,06"</f>
        <v>2.189.964,06</v>
      </c>
      <c r="N2260" s="8" t="s">
        <v>207</v>
      </c>
      <c r="O2260" s="7"/>
      <c r="P2260" s="2" t="s">
        <v>6917</v>
      </c>
      <c r="Q2260" s="7"/>
      <c r="R2260" s="1"/>
      <c r="S2260" s="1" t="str">
        <f>"3-22/NOS-IZ-2022-1955"</f>
        <v>3-22/NOS-IZ-2022-1955</v>
      </c>
      <c r="T2260" s="1" t="s">
        <v>32</v>
      </c>
    </row>
    <row r="2261" spans="1:20" ht="102" x14ac:dyDescent="0.25">
      <c r="A2261" s="6">
        <v>2257</v>
      </c>
      <c r="B2261" s="1" t="str">
        <f t="shared" si="211"/>
        <v>2022-1955</v>
      </c>
      <c r="C2261" s="1" t="s">
        <v>1814</v>
      </c>
      <c r="D2261" s="1" t="s">
        <v>865</v>
      </c>
      <c r="E2261" s="1" t="str">
        <f>""</f>
        <v/>
      </c>
      <c r="F2261" s="1" t="s">
        <v>92</v>
      </c>
      <c r="G2261" s="1" t="str">
        <f t="shared" si="212"/>
        <v>APIS IT D.O.O., PALJETKOVA 18, 10000 ZAGREB, OIB: 02994650199</v>
      </c>
      <c r="H2261" s="7"/>
      <c r="I2261" s="8" t="s">
        <v>970</v>
      </c>
      <c r="J2261" s="8" t="s">
        <v>1187</v>
      </c>
      <c r="K2261" s="6" t="str">
        <f>"285.170,00"</f>
        <v>285.170,00</v>
      </c>
      <c r="L2261" s="6" t="str">
        <f>"2.795,00"</f>
        <v>2.795,00</v>
      </c>
      <c r="M2261" s="6" t="str">
        <f>"287.965,00"</f>
        <v>287.965,00</v>
      </c>
      <c r="N2261" s="8" t="s">
        <v>525</v>
      </c>
      <c r="O2261" s="7"/>
      <c r="P2261" s="2" t="s">
        <v>6918</v>
      </c>
      <c r="Q2261" s="7"/>
      <c r="R2261" s="1"/>
      <c r="S2261" s="1" t="str">
        <f>"4-22/NOS-IZ-2022-1955"</f>
        <v>4-22/NOS-IZ-2022-1955</v>
      </c>
      <c r="T2261" s="1" t="s">
        <v>32</v>
      </c>
    </row>
    <row r="2262" spans="1:20" ht="102" x14ac:dyDescent="0.25">
      <c r="A2262" s="6">
        <v>2258</v>
      </c>
      <c r="B2262" s="1" t="str">
        <f t="shared" si="211"/>
        <v>2022-1955</v>
      </c>
      <c r="C2262" s="1" t="s">
        <v>1814</v>
      </c>
      <c r="D2262" s="1" t="s">
        <v>865</v>
      </c>
      <c r="E2262" s="1" t="str">
        <f>""</f>
        <v/>
      </c>
      <c r="F2262" s="1" t="s">
        <v>92</v>
      </c>
      <c r="G2262" s="1" t="str">
        <f t="shared" si="212"/>
        <v>APIS IT D.O.O., PALJETKOVA 18, 10000 ZAGREB, OIB: 02994650199</v>
      </c>
      <c r="H2262" s="7"/>
      <c r="I2262" s="8" t="s">
        <v>970</v>
      </c>
      <c r="J2262" s="8" t="s">
        <v>1187</v>
      </c>
      <c r="K2262" s="6" t="str">
        <f>"159.210,00"</f>
        <v>159.210,00</v>
      </c>
      <c r="L2262" s="6" t="str">
        <f>"0,00"</f>
        <v>0,00</v>
      </c>
      <c r="M2262" s="6" t="str">
        <f>"159.210,00"</f>
        <v>159.210,00</v>
      </c>
      <c r="N2262" s="8" t="s">
        <v>124</v>
      </c>
      <c r="O2262" s="7"/>
      <c r="P2262" s="2" t="s">
        <v>5614</v>
      </c>
      <c r="Q2262" s="7"/>
      <c r="R2262" s="1"/>
      <c r="S2262" s="1" t="str">
        <f>"7-22/NOS-IZ-2022-1955"</f>
        <v>7-22/NOS-IZ-2022-1955</v>
      </c>
      <c r="T2262" s="1" t="s">
        <v>55</v>
      </c>
    </row>
    <row r="2263" spans="1:20" ht="102" x14ac:dyDescent="0.25">
      <c r="A2263" s="6">
        <v>2259</v>
      </c>
      <c r="B2263" s="1" t="str">
        <f t="shared" si="211"/>
        <v>2022-1955</v>
      </c>
      <c r="C2263" s="1" t="s">
        <v>1814</v>
      </c>
      <c r="D2263" s="1" t="s">
        <v>865</v>
      </c>
      <c r="E2263" s="1" t="str">
        <f>""</f>
        <v/>
      </c>
      <c r="F2263" s="1" t="s">
        <v>92</v>
      </c>
      <c r="G2263" s="1" t="str">
        <f t="shared" si="212"/>
        <v>APIS IT D.O.O., PALJETKOVA 18, 10000 ZAGREB, OIB: 02994650199</v>
      </c>
      <c r="H2263" s="7"/>
      <c r="I2263" s="8" t="s">
        <v>970</v>
      </c>
      <c r="J2263" s="8" t="s">
        <v>1815</v>
      </c>
      <c r="K2263" s="6" t="str">
        <f>"2.996.076,68"</f>
        <v>2.996.076,68</v>
      </c>
      <c r="L2263" s="6" t="str">
        <f>"0,00"</f>
        <v>0,00</v>
      </c>
      <c r="M2263" s="6" t="str">
        <f>"2.996.076,68"</f>
        <v>2.996.076,68</v>
      </c>
      <c r="N2263" s="8" t="s">
        <v>124</v>
      </c>
      <c r="O2263" s="7"/>
      <c r="P2263" s="2" t="s">
        <v>5614</v>
      </c>
      <c r="Q2263" s="7"/>
      <c r="R2263" s="1"/>
      <c r="S2263" s="1" t="str">
        <f>"1-22/NOS-IZ-2022-1955"</f>
        <v>1-22/NOS-IZ-2022-1955</v>
      </c>
      <c r="T2263" s="1" t="s">
        <v>86</v>
      </c>
    </row>
    <row r="2264" spans="1:20" ht="102" x14ac:dyDescent="0.25">
      <c r="A2264" s="6">
        <v>2260</v>
      </c>
      <c r="B2264" s="1" t="str">
        <f t="shared" si="211"/>
        <v>2022-1955</v>
      </c>
      <c r="C2264" s="1" t="s">
        <v>1814</v>
      </c>
      <c r="D2264" s="1" t="s">
        <v>865</v>
      </c>
      <c r="E2264" s="1" t="str">
        <f>""</f>
        <v/>
      </c>
      <c r="F2264" s="1" t="s">
        <v>92</v>
      </c>
      <c r="G2264" s="1" t="str">
        <f t="shared" si="212"/>
        <v>APIS IT D.O.O., PALJETKOVA 18, 10000 ZAGREB, OIB: 02994650199</v>
      </c>
      <c r="H2264" s="7"/>
      <c r="I2264" s="8" t="s">
        <v>970</v>
      </c>
      <c r="J2264" s="8" t="s">
        <v>1815</v>
      </c>
      <c r="K2264" s="6" t="str">
        <f>"1.670.770,00"</f>
        <v>1.670.770,00</v>
      </c>
      <c r="L2264" s="6" t="str">
        <f>"0,00"</f>
        <v>0,00</v>
      </c>
      <c r="M2264" s="6" t="str">
        <f>"1.670.770,00"</f>
        <v>1.670.770,00</v>
      </c>
      <c r="N2264" s="8" t="s">
        <v>124</v>
      </c>
      <c r="O2264" s="7"/>
      <c r="P2264" s="2" t="s">
        <v>5614</v>
      </c>
      <c r="Q2264" s="7"/>
      <c r="R2264" s="1"/>
      <c r="S2264" s="1" t="str">
        <f>"2-22/NOS-IZ-2022-1955"</f>
        <v>2-22/NOS-IZ-2022-1955</v>
      </c>
      <c r="T2264" s="1" t="s">
        <v>86</v>
      </c>
    </row>
    <row r="2265" spans="1:20" ht="102" x14ac:dyDescent="0.25">
      <c r="A2265" s="6">
        <v>2261</v>
      </c>
      <c r="B2265" s="1" t="str">
        <f t="shared" si="211"/>
        <v>2022-1955</v>
      </c>
      <c r="C2265" s="1" t="s">
        <v>1814</v>
      </c>
      <c r="D2265" s="1" t="s">
        <v>865</v>
      </c>
      <c r="E2265" s="1" t="str">
        <f>""</f>
        <v/>
      </c>
      <c r="F2265" s="1" t="s">
        <v>92</v>
      </c>
      <c r="G2265" s="1" t="str">
        <f t="shared" si="212"/>
        <v>APIS IT D.O.O., PALJETKOVA 18, 10000 ZAGREB, OIB: 02994650199</v>
      </c>
      <c r="H2265" s="7"/>
      <c r="I2265" s="8" t="s">
        <v>970</v>
      </c>
      <c r="J2265" s="8" t="s">
        <v>1815</v>
      </c>
      <c r="K2265" s="6" t="str">
        <f>"1.695.620,15"</f>
        <v>1.695.620,15</v>
      </c>
      <c r="L2265" s="6" t="str">
        <f>"0,00"</f>
        <v>0,00</v>
      </c>
      <c r="M2265" s="6" t="str">
        <f>"1.695.620,15"</f>
        <v>1.695.620,15</v>
      </c>
      <c r="N2265" s="8" t="s">
        <v>124</v>
      </c>
      <c r="O2265" s="7"/>
      <c r="P2265" s="2" t="s">
        <v>5614</v>
      </c>
      <c r="Q2265" s="7"/>
      <c r="R2265" s="1"/>
      <c r="S2265" s="1" t="str">
        <f>"6-22/NOS-IZ-2022-1955"</f>
        <v>6-22/NOS-IZ-2022-1955</v>
      </c>
      <c r="T2265" s="1" t="s">
        <v>55</v>
      </c>
    </row>
    <row r="2266" spans="1:20" ht="102" x14ac:dyDescent="0.25">
      <c r="A2266" s="6">
        <v>2262</v>
      </c>
      <c r="B2266" s="1" t="str">
        <f t="shared" si="211"/>
        <v>2022-1955</v>
      </c>
      <c r="C2266" s="1" t="s">
        <v>1814</v>
      </c>
      <c r="D2266" s="1" t="s">
        <v>865</v>
      </c>
      <c r="E2266" s="1" t="str">
        <f>""</f>
        <v/>
      </c>
      <c r="F2266" s="1" t="s">
        <v>92</v>
      </c>
      <c r="G2266" s="1" t="str">
        <f t="shared" si="212"/>
        <v>APIS IT D.O.O., PALJETKOVA 18, 10000 ZAGREB, OIB: 02994650199</v>
      </c>
      <c r="H2266" s="7"/>
      <c r="I2266" s="8" t="s">
        <v>102</v>
      </c>
      <c r="J2266" s="8" t="s">
        <v>555</v>
      </c>
      <c r="K2266" s="6" t="str">
        <f>"58.670,00"</f>
        <v>58.670,00</v>
      </c>
      <c r="L2266" s="6" t="str">
        <f>"0,00"</f>
        <v>0,00</v>
      </c>
      <c r="M2266" s="6" t="str">
        <f>"58.670,00"</f>
        <v>58.670,00</v>
      </c>
      <c r="N2266" s="8" t="s">
        <v>124</v>
      </c>
      <c r="O2266" s="7"/>
      <c r="P2266" s="2" t="s">
        <v>5614</v>
      </c>
      <c r="Q2266" s="7"/>
      <c r="R2266" s="1"/>
      <c r="S2266" s="1" t="str">
        <f>"8-22/NOS-IZ-2022-1955"</f>
        <v>8-22/NOS-IZ-2022-1955</v>
      </c>
      <c r="T2266" s="1" t="s">
        <v>32</v>
      </c>
    </row>
    <row r="2267" spans="1:20" ht="102" x14ac:dyDescent="0.25">
      <c r="A2267" s="6">
        <v>2263</v>
      </c>
      <c r="B2267" s="1" t="str">
        <f t="shared" si="211"/>
        <v>2022-1955</v>
      </c>
      <c r="C2267" s="1" t="s">
        <v>1814</v>
      </c>
      <c r="D2267" s="1" t="s">
        <v>865</v>
      </c>
      <c r="E2267" s="1" t="str">
        <f>""</f>
        <v/>
      </c>
      <c r="F2267" s="1" t="s">
        <v>92</v>
      </c>
      <c r="G2267" s="1" t="str">
        <f t="shared" si="212"/>
        <v>APIS IT D.O.O., PALJETKOVA 18, 10000 ZAGREB, OIB: 02994650199</v>
      </c>
      <c r="H2267" s="7"/>
      <c r="I2267" s="8" t="s">
        <v>102</v>
      </c>
      <c r="J2267" s="8" t="s">
        <v>555</v>
      </c>
      <c r="K2267" s="6" t="str">
        <f>"134.300,00"</f>
        <v>134.300,00</v>
      </c>
      <c r="L2267" s="6" t="str">
        <f>"29.798,60"</f>
        <v>29.798,60</v>
      </c>
      <c r="M2267" s="6" t="str">
        <f>"164.098,60"</f>
        <v>164.098,60</v>
      </c>
      <c r="N2267" s="8" t="s">
        <v>207</v>
      </c>
      <c r="O2267" s="7"/>
      <c r="P2267" s="2" t="s">
        <v>6919</v>
      </c>
      <c r="Q2267" s="7"/>
      <c r="R2267" s="1"/>
      <c r="S2267" s="1" t="str">
        <f>"5-22/NOS-IZ-2022-1955"</f>
        <v>5-22/NOS-IZ-2022-1955</v>
      </c>
      <c r="T2267" s="1" t="s">
        <v>32</v>
      </c>
    </row>
    <row r="2268" spans="1:20" ht="63.75" x14ac:dyDescent="0.25">
      <c r="A2268" s="6">
        <v>2264</v>
      </c>
      <c r="B2268" s="1" t="str">
        <f>"2021-1870"</f>
        <v>2021-1870</v>
      </c>
      <c r="C2268" s="1" t="s">
        <v>1816</v>
      </c>
      <c r="D2268" s="1" t="s">
        <v>689</v>
      </c>
      <c r="E2268" s="1" t="str">
        <f>"2021/S 0F2-0040545"</f>
        <v>2021/S 0F2-0040545</v>
      </c>
      <c r="F2268" s="1" t="s">
        <v>22</v>
      </c>
      <c r="G2268" s="1" t="str">
        <f>CONCATENATE("PISMORAD D.O.O.,"," INDUSTRIJSKA 5,"," 10431 SVETA NEDELJA-NOVAKI,"," OIB: 33260306505")</f>
        <v>PISMORAD D.O.O., INDUSTRIJSKA 5, 10431 SVETA NEDELJA-NOVAKI, OIB: 33260306505</v>
      </c>
      <c r="H2268" s="7"/>
      <c r="I2268" s="8" t="s">
        <v>1314</v>
      </c>
      <c r="J2268" s="8" t="s">
        <v>1817</v>
      </c>
      <c r="K2268" s="6" t="str">
        <f>"2.000.000,00"</f>
        <v>2.000.000,00</v>
      </c>
      <c r="L2268" s="6" t="str">
        <f>"500.000,00"</f>
        <v>500.000,00</v>
      </c>
      <c r="M2268" s="6" t="str">
        <f>"2.500.000,00"</f>
        <v>2.500.000,00</v>
      </c>
      <c r="N2268" s="8" t="s">
        <v>124</v>
      </c>
      <c r="O2268" s="7"/>
      <c r="P2268" s="2" t="s">
        <v>5614</v>
      </c>
      <c r="Q2268" s="7"/>
      <c r="R2268" s="1"/>
      <c r="S2268" s="1" t="str">
        <f>"NOS-89/21"</f>
        <v>NOS-89/21</v>
      </c>
      <c r="T2268" s="1" t="s">
        <v>32</v>
      </c>
    </row>
    <row r="2269" spans="1:20" ht="63.75" x14ac:dyDescent="0.25">
      <c r="A2269" s="6">
        <v>2265</v>
      </c>
      <c r="B2269" s="1" t="str">
        <f>"2021-1870"</f>
        <v>2021-1870</v>
      </c>
      <c r="C2269" s="1" t="s">
        <v>1816</v>
      </c>
      <c r="D2269" s="1" t="s">
        <v>1818</v>
      </c>
      <c r="E2269" s="1" t="str">
        <f>""</f>
        <v/>
      </c>
      <c r="F2269" s="1" t="s">
        <v>28</v>
      </c>
      <c r="G2269" s="1" t="str">
        <f>CONCATENATE("PISMORAD D.O.O.,"," INDUSTRIJSKA 5,"," 10431 SVETA NEDELJA-NOVAKI,"," OIB: 33260306505")</f>
        <v>PISMORAD D.O.O., INDUSTRIJSKA 5, 10431 SVETA NEDELJA-NOVAKI, OIB: 33260306505</v>
      </c>
      <c r="H2269" s="7"/>
      <c r="I2269" s="8" t="s">
        <v>58</v>
      </c>
      <c r="J2269" s="8" t="s">
        <v>393</v>
      </c>
      <c r="K2269" s="6" t="str">
        <f>"139.243,50"</f>
        <v>139.243,50</v>
      </c>
      <c r="L2269" s="6" t="str">
        <f>"12.120,29"</f>
        <v>12.120,29</v>
      </c>
      <c r="M2269" s="6" t="str">
        <f>"151.363,79"</f>
        <v>151.363,79</v>
      </c>
      <c r="N2269" s="8" t="s">
        <v>170</v>
      </c>
      <c r="O2269" s="7"/>
      <c r="P2269" s="2" t="s">
        <v>6920</v>
      </c>
      <c r="Q2269" s="7"/>
      <c r="R2269" s="1"/>
      <c r="S2269" s="1" t="str">
        <f>"1-22/NOS-89/21"</f>
        <v>1-22/NOS-89/21</v>
      </c>
      <c r="T2269" s="1" t="s">
        <v>32</v>
      </c>
    </row>
    <row r="2270" spans="1:20" ht="63.75" x14ac:dyDescent="0.25">
      <c r="A2270" s="6">
        <v>2266</v>
      </c>
      <c r="B2270" s="1" t="str">
        <f>"2021-1870"</f>
        <v>2021-1870</v>
      </c>
      <c r="C2270" s="1" t="s">
        <v>1816</v>
      </c>
      <c r="D2270" s="1" t="s">
        <v>1818</v>
      </c>
      <c r="E2270" s="1" t="str">
        <f>""</f>
        <v/>
      </c>
      <c r="F2270" s="1" t="s">
        <v>28</v>
      </c>
      <c r="G2270" s="1" t="str">
        <f>CONCATENATE("PISMORAD D.O.O.,"," INDUSTRIJSKA 5,"," 10431 SVETA NEDELJA-NOVAKI,"," OIB: 33260306505")</f>
        <v>PISMORAD D.O.O., INDUSTRIJSKA 5, 10431 SVETA NEDELJA-NOVAKI, OIB: 33260306505</v>
      </c>
      <c r="H2270" s="7"/>
      <c r="I2270" s="8" t="s">
        <v>433</v>
      </c>
      <c r="J2270" s="8" t="s">
        <v>393</v>
      </c>
      <c r="K2270" s="6" t="str">
        <f>"39.925,36"</f>
        <v>39.925,36</v>
      </c>
      <c r="L2270" s="6" t="str">
        <f>"0,00"</f>
        <v>0,00</v>
      </c>
      <c r="M2270" s="6" t="str">
        <f>"39.925,36"</f>
        <v>39.925,36</v>
      </c>
      <c r="N2270" s="8" t="s">
        <v>124</v>
      </c>
      <c r="O2270" s="7"/>
      <c r="P2270" s="2" t="s">
        <v>5614</v>
      </c>
      <c r="Q2270" s="7"/>
      <c r="R2270" s="1"/>
      <c r="S2270" s="1" t="str">
        <f>"2-22/NOS-89/21"</f>
        <v>2-22/NOS-89/21</v>
      </c>
      <c r="T2270" s="1" t="s">
        <v>32</v>
      </c>
    </row>
    <row r="2271" spans="1:20" ht="63.75" x14ac:dyDescent="0.25">
      <c r="A2271" s="6">
        <v>2267</v>
      </c>
      <c r="B2271" s="1" t="str">
        <f>"2022-847"</f>
        <v>2022-847</v>
      </c>
      <c r="C2271" s="1" t="s">
        <v>1819</v>
      </c>
      <c r="D2271" s="1" t="s">
        <v>275</v>
      </c>
      <c r="E2271" s="1" t="str">
        <f>"2022/S 0F2-0021891"</f>
        <v>2022/S 0F2-0021891</v>
      </c>
      <c r="F2271" s="1" t="s">
        <v>22</v>
      </c>
      <c r="G2271" s="1" t="str">
        <f>CONCATENATE("TEHMAR D.O.O.,"," STAJNIČKA 5,"," 10251 HRVATSKI LESKOVAC,"," OIB: 78055843019")</f>
        <v>TEHMAR D.O.O., STAJNIČKA 5, 10251 HRVATSKI LESKOVAC, OIB: 78055843019</v>
      </c>
      <c r="H2271" s="7"/>
      <c r="I2271" s="8" t="s">
        <v>438</v>
      </c>
      <c r="J2271" s="8" t="s">
        <v>1820</v>
      </c>
      <c r="K2271" s="6" t="str">
        <f>"400.000,00"</f>
        <v>400.000,00</v>
      </c>
      <c r="L2271" s="6" t="str">
        <f>"100.000,00"</f>
        <v>100.000,00</v>
      </c>
      <c r="M2271" s="6" t="str">
        <f>"500.000,00"</f>
        <v>500.000,00</v>
      </c>
      <c r="N2271" s="8" t="s">
        <v>124</v>
      </c>
      <c r="O2271" s="7"/>
      <c r="P2271" s="2" t="s">
        <v>5614</v>
      </c>
      <c r="Q2271" s="7"/>
      <c r="R2271" s="1"/>
      <c r="S2271" s="1" t="str">
        <f>"NOS-12/22"</f>
        <v>NOS-12/22</v>
      </c>
      <c r="T2271" s="1" t="s">
        <v>86</v>
      </c>
    </row>
    <row r="2272" spans="1:20" ht="63.75" x14ac:dyDescent="0.25">
      <c r="A2272" s="6">
        <v>2268</v>
      </c>
      <c r="B2272" s="1" t="str">
        <f>"2022-847"</f>
        <v>2022-847</v>
      </c>
      <c r="C2272" s="1" t="s">
        <v>1819</v>
      </c>
      <c r="D2272" s="1" t="s">
        <v>275</v>
      </c>
      <c r="E2272" s="1" t="str">
        <f>""</f>
        <v/>
      </c>
      <c r="F2272" s="1" t="s">
        <v>28</v>
      </c>
      <c r="G2272" s="1" t="str">
        <f>CONCATENATE("TEHMAR D.O.O.,"," STAJNIČKA 5,"," 10251 HRVATSKI LESKOVAC,"," OIB: 78055843019")</f>
        <v>TEHMAR D.O.O., STAJNIČKA 5, 10251 HRVATSKI LESKOVAC, OIB: 78055843019</v>
      </c>
      <c r="H2272" s="7"/>
      <c r="I2272" s="8" t="s">
        <v>1157</v>
      </c>
      <c r="J2272" s="8" t="s">
        <v>1026</v>
      </c>
      <c r="K2272" s="6" t="str">
        <f>"148.500,00"</f>
        <v>148.500,00</v>
      </c>
      <c r="L2272" s="6" t="str">
        <f>"37.125,00"</f>
        <v>37.125,00</v>
      </c>
      <c r="M2272" s="6" t="str">
        <f>"185.625,00"</f>
        <v>185.625,00</v>
      </c>
      <c r="N2272" s="8" t="s">
        <v>124</v>
      </c>
      <c r="O2272" s="7"/>
      <c r="P2272" s="2" t="s">
        <v>5614</v>
      </c>
      <c r="Q2272" s="7"/>
      <c r="R2272" s="1"/>
      <c r="S2272" s="1" t="str">
        <f>"1-22/NOS-12/22"</f>
        <v>1-22/NOS-12/22</v>
      </c>
      <c r="T2272" s="1" t="s">
        <v>86</v>
      </c>
    </row>
    <row r="2273" spans="1:20" ht="63.75" x14ac:dyDescent="0.25">
      <c r="A2273" s="6">
        <v>2269</v>
      </c>
      <c r="B2273" s="1" t="str">
        <f>"2022-847"</f>
        <v>2022-847</v>
      </c>
      <c r="C2273" s="1" t="s">
        <v>1819</v>
      </c>
      <c r="D2273" s="1" t="s">
        <v>275</v>
      </c>
      <c r="E2273" s="1" t="str">
        <f>""</f>
        <v/>
      </c>
      <c r="F2273" s="1" t="s">
        <v>28</v>
      </c>
      <c r="G2273" s="1" t="str">
        <f>CONCATENATE("TEHMAR D.O.O.,"," STAJNIČKA 5,"," 10251 HRVATSKI LESKOVAC,"," OIB: 78055843019")</f>
        <v>TEHMAR D.O.O., STAJNIČKA 5, 10251 HRVATSKI LESKOVAC, OIB: 78055843019</v>
      </c>
      <c r="H2273" s="7"/>
      <c r="I2273" s="8" t="s">
        <v>501</v>
      </c>
      <c r="J2273" s="8" t="s">
        <v>292</v>
      </c>
      <c r="K2273" s="6" t="str">
        <f>"4.200,00"</f>
        <v>4.200,00</v>
      </c>
      <c r="L2273" s="6" t="str">
        <f>"0,00"</f>
        <v>0,00</v>
      </c>
      <c r="M2273" s="6" t="str">
        <f>"4.200,00"</f>
        <v>4.200,00</v>
      </c>
      <c r="N2273" s="8" t="s">
        <v>124</v>
      </c>
      <c r="O2273" s="7"/>
      <c r="P2273" s="2" t="s">
        <v>5614</v>
      </c>
      <c r="Q2273" s="7"/>
      <c r="R2273" s="1"/>
      <c r="S2273" s="1" t="str">
        <f>"2-22/NOS-12/22"</f>
        <v>2-22/NOS-12/22</v>
      </c>
      <c r="T2273" s="1" t="s">
        <v>86</v>
      </c>
    </row>
    <row r="2274" spans="1:20" ht="127.5" x14ac:dyDescent="0.25">
      <c r="A2274" s="6">
        <v>2270</v>
      </c>
      <c r="B2274" s="1" t="str">
        <f>"2022-35"</f>
        <v>2022-35</v>
      </c>
      <c r="C2274" s="1" t="s">
        <v>785</v>
      </c>
      <c r="D2274" s="1" t="s">
        <v>786</v>
      </c>
      <c r="E2274" s="1" t="str">
        <f>"2022/S 0F2-0021120"</f>
        <v>2022/S 0F2-0021120</v>
      </c>
      <c r="F2274" s="1" t="s">
        <v>22</v>
      </c>
      <c r="G2274" s="1" t="str">
        <f>CONCATENATE("GRADSKA PLINARA ZAGREB-OPSKRBA D.O.O.,"," RADNIČKA CESTA 1,"," 10000 ZAGREB,"," OIB: 74364571096")</f>
        <v>GRADSKA PLINARA ZAGREB-OPSKRBA D.O.O., RADNIČKA CESTA 1, 10000 ZAGREB, OIB: 74364571096</v>
      </c>
      <c r="H2274" s="7"/>
      <c r="I2274" s="8" t="s">
        <v>427</v>
      </c>
      <c r="J2274" s="8" t="s">
        <v>1809</v>
      </c>
      <c r="K2274" s="6" t="str">
        <f>"23.660.000,00"</f>
        <v>23.660.000,00</v>
      </c>
      <c r="L2274" s="6" t="str">
        <f>"5.915.000,00"</f>
        <v>5.915.000,00</v>
      </c>
      <c r="M2274" s="6" t="str">
        <f>"29.575.000,00"</f>
        <v>29.575.000,00</v>
      </c>
      <c r="N2274" s="7"/>
      <c r="O2274" s="9">
        <v>44900</v>
      </c>
      <c r="P2274" s="2" t="s">
        <v>6921</v>
      </c>
      <c r="Q2274" s="7"/>
      <c r="R2274" s="1"/>
      <c r="S2274" s="1" t="str">
        <f>"NOS-11-ZGH/22"</f>
        <v>NOS-11-ZGH/22</v>
      </c>
      <c r="T2274" s="1" t="s">
        <v>971</v>
      </c>
    </row>
    <row r="2275" spans="1:20" ht="63.75" x14ac:dyDescent="0.25">
      <c r="A2275" s="6">
        <v>2271</v>
      </c>
      <c r="B2275" s="1" t="str">
        <f>"2022-117"</f>
        <v>2022-117</v>
      </c>
      <c r="C2275" s="1" t="s">
        <v>906</v>
      </c>
      <c r="D2275" s="1" t="s">
        <v>907</v>
      </c>
      <c r="E2275" s="1" t="str">
        <f>""</f>
        <v/>
      </c>
      <c r="F2275" s="1" t="s">
        <v>22</v>
      </c>
      <c r="G2275" s="1" t="str">
        <f>CONCATENATE("CROATIA OSIGURANJE D.D.,"," VATROSLAVA JAGIĆA 33,"," 10000 ZAGREB,"," OIB: 26187994862")</f>
        <v>CROATIA OSIGURANJE D.D., VATROSLAVA JAGIĆA 33, 10000 ZAGREB, OIB: 26187994862</v>
      </c>
      <c r="H2275" s="7"/>
      <c r="I2275" s="8" t="s">
        <v>520</v>
      </c>
      <c r="J2275" s="8" t="s">
        <v>1821</v>
      </c>
      <c r="K2275" s="6" t="str">
        <f>"700.000,00"</f>
        <v>700.000,00</v>
      </c>
      <c r="L2275" s="6" t="str">
        <f>"175.000,00"</f>
        <v>175.000,00</v>
      </c>
      <c r="M2275" s="6" t="str">
        <f>"875.000,00"</f>
        <v>875.000,00</v>
      </c>
      <c r="N2275" s="8" t="s">
        <v>124</v>
      </c>
      <c r="O2275" s="7"/>
      <c r="P2275" s="2" t="s">
        <v>5614</v>
      </c>
      <c r="Q2275" s="7"/>
      <c r="R2275" s="1"/>
      <c r="S2275" s="1" t="str">
        <f>"NOS-14/22"</f>
        <v>NOS-14/22</v>
      </c>
      <c r="T2275" s="1" t="s">
        <v>43</v>
      </c>
    </row>
    <row r="2276" spans="1:20" ht="63.75" x14ac:dyDescent="0.25">
      <c r="A2276" s="6">
        <v>2272</v>
      </c>
      <c r="B2276" s="1" t="str">
        <f>"2022-117"</f>
        <v>2022-117</v>
      </c>
      <c r="C2276" s="1" t="s">
        <v>906</v>
      </c>
      <c r="D2276" s="1" t="s">
        <v>908</v>
      </c>
      <c r="E2276" s="1" t="str">
        <f>""</f>
        <v/>
      </c>
      <c r="F2276" s="1" t="s">
        <v>28</v>
      </c>
      <c r="G2276" s="1" t="str">
        <f>CONCATENATE("CROATIA OSIGURANJE D.D.,"," VATROSLAVA JAGIĆA 33,"," 10000 ZAGREB,"," OIB: 26187994862")</f>
        <v>CROATIA OSIGURANJE D.D., VATROSLAVA JAGIĆA 33, 10000 ZAGREB, OIB: 26187994862</v>
      </c>
      <c r="H2276" s="7"/>
      <c r="I2276" s="8" t="s">
        <v>222</v>
      </c>
      <c r="J2276" s="8" t="s">
        <v>1822</v>
      </c>
      <c r="K2276" s="6" t="str">
        <f>"251.556,48"</f>
        <v>251.556,48</v>
      </c>
      <c r="L2276" s="6" t="str">
        <f>"62.889,12"</f>
        <v>62.889,12</v>
      </c>
      <c r="M2276" s="6" t="str">
        <f>"314.445,60"</f>
        <v>314.445,60</v>
      </c>
      <c r="N2276" s="8" t="s">
        <v>317</v>
      </c>
      <c r="O2276" s="7"/>
      <c r="P2276" s="2" t="s">
        <v>6922</v>
      </c>
      <c r="Q2276" s="7"/>
      <c r="R2276" s="1"/>
      <c r="S2276" s="1" t="str">
        <f>"1-22/NOS-14/22"</f>
        <v>1-22/NOS-14/22</v>
      </c>
      <c r="T2276" s="1" t="s">
        <v>43</v>
      </c>
    </row>
    <row r="2277" spans="1:20" ht="63.75" x14ac:dyDescent="0.25">
      <c r="A2277" s="6">
        <v>2273</v>
      </c>
      <c r="B2277" s="1" t="str">
        <f>"2022-117"</f>
        <v>2022-117</v>
      </c>
      <c r="C2277" s="1" t="s">
        <v>906</v>
      </c>
      <c r="D2277" s="1" t="s">
        <v>908</v>
      </c>
      <c r="E2277" s="1" t="str">
        <f>""</f>
        <v/>
      </c>
      <c r="F2277" s="1" t="s">
        <v>28</v>
      </c>
      <c r="G2277" s="1" t="str">
        <f>CONCATENATE("CROATIA OSIGURANJE D.D.,"," VATROSLAVA JAGIĆA 33,"," 10000 ZAGREB,"," OIB: 26187994862")</f>
        <v>CROATIA OSIGURANJE D.D., VATROSLAVA JAGIĆA 33, 10000 ZAGREB, OIB: 26187994862</v>
      </c>
      <c r="H2277" s="7"/>
      <c r="I2277" s="8" t="s">
        <v>964</v>
      </c>
      <c r="J2277" s="8" t="s">
        <v>375</v>
      </c>
      <c r="K2277" s="6" t="str">
        <f>"4.492,08"</f>
        <v>4.492,08</v>
      </c>
      <c r="L2277" s="6" t="str">
        <f>"0,00"</f>
        <v>0,00</v>
      </c>
      <c r="M2277" s="6" t="str">
        <f>"4.492,08"</f>
        <v>4.492,08</v>
      </c>
      <c r="N2277" s="8" t="s">
        <v>124</v>
      </c>
      <c r="O2277" s="7"/>
      <c r="P2277" s="2" t="s">
        <v>5614</v>
      </c>
      <c r="Q2277" s="7"/>
      <c r="R2277" s="1"/>
      <c r="S2277" s="1" t="str">
        <f>"3-22/NOS-14/22"</f>
        <v>3-22/NOS-14/22</v>
      </c>
      <c r="T2277" s="1" t="s">
        <v>43</v>
      </c>
    </row>
    <row r="2278" spans="1:20" ht="63.75" x14ac:dyDescent="0.25">
      <c r="A2278" s="6">
        <v>2274</v>
      </c>
      <c r="B2278" s="1" t="str">
        <f>"2022-117"</f>
        <v>2022-117</v>
      </c>
      <c r="C2278" s="1" t="s">
        <v>906</v>
      </c>
      <c r="D2278" s="1" t="s">
        <v>908</v>
      </c>
      <c r="E2278" s="1" t="str">
        <f>""</f>
        <v/>
      </c>
      <c r="F2278" s="1" t="s">
        <v>28</v>
      </c>
      <c r="G2278" s="1" t="str">
        <f>CONCATENATE("CROATIA OSIGURANJE D.D.,"," VATROSLAVA JAGIĆA 33,"," 10000 ZAGREB,"," OIB: 26187994862")</f>
        <v>CROATIA OSIGURANJE D.D., VATROSLAVA JAGIĆA 33, 10000 ZAGREB, OIB: 26187994862</v>
      </c>
      <c r="H2278" s="7"/>
      <c r="I2278" s="8" t="s">
        <v>384</v>
      </c>
      <c r="J2278" s="8" t="s">
        <v>375</v>
      </c>
      <c r="K2278" s="6" t="str">
        <f>"2.246,04"</f>
        <v>2.246,04</v>
      </c>
      <c r="L2278" s="6" t="str">
        <f>"0,00"</f>
        <v>0,00</v>
      </c>
      <c r="M2278" s="6" t="str">
        <f>"2.246,04"</f>
        <v>2.246,04</v>
      </c>
      <c r="N2278" s="8" t="s">
        <v>124</v>
      </c>
      <c r="O2278" s="7"/>
      <c r="P2278" s="2" t="s">
        <v>5614</v>
      </c>
      <c r="Q2278" s="7"/>
      <c r="R2278" s="1"/>
      <c r="S2278" s="1" t="str">
        <f>"4-22/NOS-14/22"</f>
        <v>4-22/NOS-14/22</v>
      </c>
      <c r="T2278" s="1" t="s">
        <v>43</v>
      </c>
    </row>
    <row r="2279" spans="1:20" ht="280.5" x14ac:dyDescent="0.25">
      <c r="A2279" s="6">
        <v>2275</v>
      </c>
      <c r="B2279" s="1" t="str">
        <f>"2021-1840"</f>
        <v>2021-1840</v>
      </c>
      <c r="C2279" s="1" t="s">
        <v>1823</v>
      </c>
      <c r="D2279" s="1" t="s">
        <v>1824</v>
      </c>
      <c r="E2279" s="1" t="str">
        <f>"2022/S 0F2-0008066"</f>
        <v>2022/S 0F2-0008066</v>
      </c>
      <c r="F2279" s="1" t="s">
        <v>22</v>
      </c>
      <c r="G2279" s="1" t="str">
        <f>CONCATENATE("SEDRA CONSULTING D.O.O.,"," USKOPSKA 11,"," 10010 ZAGREB,"," OIB: 09177957072",CHAR(10),"",CHAR(10),"Zajednica ponuditelja",CHAR(10),"GRAĐEVINSKI RADOVI D.O.O.,"," SV.ROKA 16,"," 10020 ZAGREB,"," OIB: 36233544501IVNE GRAĐEVINA D.O.O. LASTOVSKA 2A,"," 10000 ZAGREB,"," OIB: 98095915259VERIDON D.O.O. LISIČINA 20,"," 10000 ZAGREB,"," OIB: 81434223394",CHAR(10),"",CHAR(10),"ALLEGRIAN D.O.O.,"," RELJKOVIĆEVA ULICA 2,"," 10000 ZAGREB,"," OIB: 8690433072")</f>
        <v>SEDRA CONSULTING D.O.O., USKOPSKA 11, 10010 ZAGREB, OIB: 09177957072
Zajednica ponuditelja
GRAĐEVINSKI RADOVI D.O.O., SV.ROKA 16, 10020 ZAGREB, OIB: 36233544501IVNE GRAĐEVINA D.O.O. LASTOVSKA 2A, 10000 ZAGREB, OIB: 98095915259VERIDON D.O.O. LISIČINA 20, 10000 ZAGREB, OIB: 81434223394
ALLEGRIAN D.O.O., RELJKOVIĆEVA ULICA 2, 10000 ZAGREB, OIB: 8690433072</v>
      </c>
      <c r="H2279" s="1" t="str">
        <f>CONCATENATE("DRAŽEN SLUNJSKI,"," MAG.ING.AEDIF. - STALNI SUDSKI VJEŠTAK ZA GRAĐEVINARSTVO I PROCJENU VRIJEDNOSTI NEKRETNINA,"," OIB: 72003385933")</f>
        <v>DRAŽEN SLUNJSKI, MAG.ING.AEDIF. - STALNI SUDSKI VJEŠTAK ZA GRAĐEVINARSTVO I PROCJENU VRIJEDNOSTI NEKRETNINA, OIB: 72003385933</v>
      </c>
      <c r="I2279" s="8" t="s">
        <v>222</v>
      </c>
      <c r="J2279" s="8" t="s">
        <v>1825</v>
      </c>
      <c r="K2279" s="6" t="str">
        <f>"4.000.000,00"</f>
        <v>4.000.000,00</v>
      </c>
      <c r="L2279" s="6" t="str">
        <f>"1.000.000,00"</f>
        <v>1.000.000,00</v>
      </c>
      <c r="M2279" s="6" t="str">
        <f>"5.000.000,00"</f>
        <v>5.000.000,00</v>
      </c>
      <c r="N2279" s="8" t="s">
        <v>124</v>
      </c>
      <c r="O2279" s="7"/>
      <c r="P2279" s="2" t="s">
        <v>5614</v>
      </c>
      <c r="Q2279" s="7"/>
      <c r="R2279" s="1"/>
      <c r="S2279" s="1" t="str">
        <f>"NOS-93/21"</f>
        <v>NOS-93/21</v>
      </c>
      <c r="T2279" s="1" t="s">
        <v>32</v>
      </c>
    </row>
    <row r="2280" spans="1:20" ht="165.75" x14ac:dyDescent="0.25">
      <c r="A2280" s="6">
        <v>2276</v>
      </c>
      <c r="B2280" s="1" t="str">
        <f>"2021-1840"</f>
        <v>2021-1840</v>
      </c>
      <c r="C2280" s="1" t="s">
        <v>1823</v>
      </c>
      <c r="D2280" s="1" t="s">
        <v>1826</v>
      </c>
      <c r="E2280" s="1" t="str">
        <f>""</f>
        <v/>
      </c>
      <c r="F2280" s="1" t="s">
        <v>28</v>
      </c>
      <c r="G2280" s="1" t="str">
        <f>CONCATENATE("Zajednica ponuditelja:",CHAR(10),"GRAĐEVINSKI RADOVI D.O.O.,"," SV.ROKA 16,"," 10020 ZAGREB,"," OIB: 36233544501",CHAR(10),"VERIDON D.O.O.,"," LISIČINA 20,"," 10000 ZAGREB,"," OIB: 81434223394",CHAR(10),"IVNE GRAĐEVINA D.O.O.,"," LASTOVSKA 2A,"," 10000 ZAGREB,"," OIB: 98095915259")</f>
        <v>Zajednica ponuditelja:
GRAĐEVINSKI RADOVI D.O.O., SV.ROKA 16, 10020 ZAGREB, OIB: 36233544501
VERIDON D.O.O., LISIČINA 20, 10000 ZAGREB, OIB: 81434223394
IVNE GRAĐEVINA D.O.O., LASTOVSKA 2A, 10000 ZAGREB, OIB: 98095915259</v>
      </c>
      <c r="H2280" s="1" t="str">
        <f>CONCATENATE("DRAŽEN SLUNJSKI,"," MAG.ING.AEDIF. - STALNI SUDSKI VJEŠTAK ZA GRAĐEVINARSTVO I PROCJENU VRIJEDNOSTI NEKRETNINA,"," OIB: 72003385933")</f>
        <v>DRAŽEN SLUNJSKI, MAG.ING.AEDIF. - STALNI SUDSKI VJEŠTAK ZA GRAĐEVINARSTVO I PROCJENU VRIJEDNOSTI NEKRETNINA, OIB: 72003385933</v>
      </c>
      <c r="I2280" s="8" t="s">
        <v>384</v>
      </c>
      <c r="J2280" s="8" t="s">
        <v>1113</v>
      </c>
      <c r="K2280" s="6" t="str">
        <f>"96.636,00"</f>
        <v>96.636,00</v>
      </c>
      <c r="L2280" s="6" t="str">
        <f>"0,00"</f>
        <v>0,00</v>
      </c>
      <c r="M2280" s="6" t="str">
        <f>"96.636,00"</f>
        <v>96.636,00</v>
      </c>
      <c r="N2280" s="8" t="s">
        <v>124</v>
      </c>
      <c r="O2280" s="7"/>
      <c r="P2280" s="2" t="s">
        <v>5614</v>
      </c>
      <c r="Q2280" s="7"/>
      <c r="R2280" s="1"/>
      <c r="S2280" s="1" t="str">
        <f>"2-22/NOS-93/21"</f>
        <v>2-22/NOS-93/21</v>
      </c>
      <c r="T2280" s="1" t="s">
        <v>32</v>
      </c>
    </row>
    <row r="2281" spans="1:20" ht="127.5" x14ac:dyDescent="0.25">
      <c r="A2281" s="6">
        <v>2277</v>
      </c>
      <c r="B2281" s="1" t="str">
        <f>"2021-2274"</f>
        <v>2021-2274</v>
      </c>
      <c r="C2281" s="1" t="s">
        <v>1827</v>
      </c>
      <c r="D2281" s="1" t="s">
        <v>665</v>
      </c>
      <c r="E2281" s="1" t="str">
        <f>"2022/S 0F2-0003735"</f>
        <v>2022/S 0F2-0003735</v>
      </c>
      <c r="F2281" s="1" t="s">
        <v>22</v>
      </c>
      <c r="G2281" s="1" t="str">
        <f>CONCATENATE("GUMIIMPEX - GRP D.O.O.,"," PAVLEKA MIŠKINE 64C,"," 42000 VARAŽDIN,"," OIB: 82298562620",CHAR(10),"",CHAR(10),"MAXMAR GRUPA  D.O.O.,"," REPULČEVA 6,"," 10450 KLINČA SELA,"," OIB: 91071817708")</f>
        <v>GUMIIMPEX - GRP D.O.O., PAVLEKA MIŠKINE 64C, 42000 VARAŽDIN, OIB: 82298562620
MAXMAR GRUPA  D.O.O., REPULČEVA 6, 10450 KLINČA SELA, OIB: 91071817708</v>
      </c>
      <c r="H2281" s="7"/>
      <c r="I2281" s="8" t="s">
        <v>1314</v>
      </c>
      <c r="J2281" s="8" t="s">
        <v>1828</v>
      </c>
      <c r="K2281" s="6" t="str">
        <f>"2.500.000,00"</f>
        <v>2.500.000,00</v>
      </c>
      <c r="L2281" s="6" t="str">
        <f>"625.000,00"</f>
        <v>625.000,00</v>
      </c>
      <c r="M2281" s="6" t="str">
        <f>"3.125.000,00"</f>
        <v>3.125.000,00</v>
      </c>
      <c r="N2281" s="8" t="s">
        <v>124</v>
      </c>
      <c r="O2281" s="7"/>
      <c r="P2281" s="2" t="s">
        <v>5614</v>
      </c>
      <c r="Q2281" s="7"/>
      <c r="R2281" s="1"/>
      <c r="S2281" s="1" t="str">
        <f>"NOS-90/21"</f>
        <v>NOS-90/21</v>
      </c>
      <c r="T2281" s="1" t="s">
        <v>32</v>
      </c>
    </row>
    <row r="2282" spans="1:20" ht="63.75" x14ac:dyDescent="0.25">
      <c r="A2282" s="6">
        <v>2278</v>
      </c>
      <c r="B2282" s="1" t="str">
        <f>"2021-2274"</f>
        <v>2021-2274</v>
      </c>
      <c r="C2282" s="1" t="s">
        <v>1827</v>
      </c>
      <c r="D2282" s="1" t="s">
        <v>668</v>
      </c>
      <c r="E2282" s="1" t="str">
        <f>""</f>
        <v/>
      </c>
      <c r="F2282" s="1" t="s">
        <v>28</v>
      </c>
      <c r="G2282" s="1" t="str">
        <f>CONCATENATE("GUMIIMPEX - GRP D.O.O.,"," PAVLEKA MIŠKINE 64C,"," 42000 VARAŽDIN,"," OIB: 8229856262")</f>
        <v>GUMIIMPEX - GRP D.O.O., PAVLEKA MIŠKINE 64C, 42000 VARAŽDIN, OIB: 8229856262</v>
      </c>
      <c r="H2282" s="7"/>
      <c r="I2282" s="8" t="s">
        <v>408</v>
      </c>
      <c r="J2282" s="8" t="s">
        <v>292</v>
      </c>
      <c r="K2282" s="6" t="str">
        <f>"591.785,00"</f>
        <v>591.785,00</v>
      </c>
      <c r="L2282" s="6" t="str">
        <f>"55.618,50"</f>
        <v>55.618,50</v>
      </c>
      <c r="M2282" s="6" t="str">
        <f>"647.403,50"</f>
        <v>647.403,50</v>
      </c>
      <c r="N2282" s="8" t="s">
        <v>388</v>
      </c>
      <c r="O2282" s="7"/>
      <c r="P2282" s="2" t="s">
        <v>6923</v>
      </c>
      <c r="Q2282" s="7"/>
      <c r="R2282" s="1"/>
      <c r="S2282" s="1" t="str">
        <f>"1-22/NOS-90/21"</f>
        <v>1-22/NOS-90/21</v>
      </c>
      <c r="T2282" s="1" t="s">
        <v>32</v>
      </c>
    </row>
    <row r="2283" spans="1:20" ht="63.75" x14ac:dyDescent="0.25">
      <c r="A2283" s="6">
        <v>2279</v>
      </c>
      <c r="B2283" s="1" t="str">
        <f>"2022-106"</f>
        <v>2022-106</v>
      </c>
      <c r="C2283" s="1" t="s">
        <v>1829</v>
      </c>
      <c r="D2283" s="1" t="s">
        <v>1830</v>
      </c>
      <c r="E2283" s="1" t="str">
        <f>"2022/S 0F2-0030407"</f>
        <v>2022/S 0F2-0030407</v>
      </c>
      <c r="F2283" s="1" t="s">
        <v>22</v>
      </c>
      <c r="G2283" s="1" t="str">
        <f>CONCATENATE("GRADATIN D.O.O.,"," LIVADARSKI PUT 19,"," 10360 SESVETE,"," OIB: 79147056526")</f>
        <v>GRADATIN D.O.O., LIVADARSKI PUT 19, 10360 SESVETE, OIB: 79147056526</v>
      </c>
      <c r="H2283" s="7"/>
      <c r="I2283" s="8" t="s">
        <v>565</v>
      </c>
      <c r="J2283" s="8" t="s">
        <v>1831</v>
      </c>
      <c r="K2283" s="6" t="str">
        <f>"6.360.000,00"</f>
        <v>6.360.000,00</v>
      </c>
      <c r="L2283" s="6" t="str">
        <f>"1.590.000,00"</f>
        <v>1.590.000,00</v>
      </c>
      <c r="M2283" s="6" t="str">
        <f>"7.950.000,00"</f>
        <v>7.950.000,00</v>
      </c>
      <c r="N2283" s="8" t="s">
        <v>124</v>
      </c>
      <c r="O2283" s="7"/>
      <c r="P2283" s="2" t="s">
        <v>5614</v>
      </c>
      <c r="Q2283" s="7"/>
      <c r="R2283" s="1"/>
      <c r="S2283" s="1" t="str">
        <f>"NOS-16-2/22"</f>
        <v>NOS-16-2/22</v>
      </c>
      <c r="T2283" s="1" t="s">
        <v>32</v>
      </c>
    </row>
    <row r="2284" spans="1:20" ht="89.25" x14ac:dyDescent="0.25">
      <c r="A2284" s="6">
        <v>2280</v>
      </c>
      <c r="B2284" s="1" t="str">
        <f>"2022-106"</f>
        <v>2022-106</v>
      </c>
      <c r="C2284" s="1" t="s">
        <v>1832</v>
      </c>
      <c r="D2284" s="1" t="s">
        <v>1833</v>
      </c>
      <c r="E2284" s="1" t="str">
        <f>""</f>
        <v/>
      </c>
      <c r="F2284" s="1" t="s">
        <v>28</v>
      </c>
      <c r="G2284" s="1" t="str">
        <f>CONCATENATE("GRADATIN D.O.O.,"," LIVADARSKI PUT 19,"," 10360 SESVETE,"," OIB: 79147056526")</f>
        <v>GRADATIN D.O.O., LIVADARSKI PUT 19, 10360 SESVETE, OIB: 79147056526</v>
      </c>
      <c r="H2284" s="7"/>
      <c r="I2284" s="8" t="s">
        <v>1122</v>
      </c>
      <c r="J2284" s="8" t="s">
        <v>1834</v>
      </c>
      <c r="K2284" s="6" t="str">
        <f>"3.179.989,50"</f>
        <v>3.179.989,50</v>
      </c>
      <c r="L2284" s="6" t="str">
        <f>"794.997,38"</f>
        <v>794.997,38</v>
      </c>
      <c r="M2284" s="6" t="str">
        <f>"3.974.986,88"</f>
        <v>3.974.986,88</v>
      </c>
      <c r="N2284" s="8" t="s">
        <v>553</v>
      </c>
      <c r="O2284" s="7"/>
      <c r="P2284" s="2" t="s">
        <v>6924</v>
      </c>
      <c r="Q2284" s="7"/>
      <c r="R2284" s="1"/>
      <c r="S2284" s="1" t="str">
        <f>"3-22/NOS-16-2/22"</f>
        <v>3-22/NOS-16-2/22</v>
      </c>
      <c r="T2284" s="1" t="s">
        <v>32</v>
      </c>
    </row>
    <row r="2285" spans="1:20" ht="89.25" x14ac:dyDescent="0.25">
      <c r="A2285" s="6">
        <v>2281</v>
      </c>
      <c r="B2285" s="1" t="str">
        <f t="shared" ref="B2285:B2303" si="213">"2021-1835"</f>
        <v>2021-1835</v>
      </c>
      <c r="C2285" s="1" t="s">
        <v>618</v>
      </c>
      <c r="D2285" s="1" t="s">
        <v>619</v>
      </c>
      <c r="E2285" s="1" t="str">
        <f>"2021/S 0F2-0042612"</f>
        <v>2021/S 0F2-0042612</v>
      </c>
      <c r="F2285" s="1" t="s">
        <v>22</v>
      </c>
      <c r="G2285" s="1" t="str">
        <f t="shared" ref="G2285:G2290" si="214">CONCATENATE("RO-TEHNOLOGIJA D.O.O.,"," NOVA CESTA 86,"," 51410 OPATIJA,"," OIB: 94757004774")</f>
        <v>RO-TEHNOLOGIJA D.O.O., NOVA CESTA 86, 51410 OPATIJA, OIB: 94757004774</v>
      </c>
      <c r="H2285" s="7"/>
      <c r="I2285" s="8" t="s">
        <v>365</v>
      </c>
      <c r="J2285" s="8" t="s">
        <v>1835</v>
      </c>
      <c r="K2285" s="6" t="str">
        <f>"2.500.000,00"</f>
        <v>2.500.000,00</v>
      </c>
      <c r="L2285" s="6" t="str">
        <f>"625.000,00"</f>
        <v>625.000,00</v>
      </c>
      <c r="M2285" s="6" t="str">
        <f>"3.125.000,00"</f>
        <v>3.125.000,00</v>
      </c>
      <c r="N2285" s="8" t="s">
        <v>124</v>
      </c>
      <c r="O2285" s="7"/>
      <c r="P2285" s="2" t="s">
        <v>5614</v>
      </c>
      <c r="Q2285" s="7"/>
      <c r="R2285" s="1"/>
      <c r="S2285" s="1" t="str">
        <f>"NOS-92-1/21"</f>
        <v>NOS-92-1/21</v>
      </c>
      <c r="T2285" s="1" t="s">
        <v>27</v>
      </c>
    </row>
    <row r="2286" spans="1:20" ht="89.25" x14ac:dyDescent="0.25">
      <c r="A2286" s="6">
        <v>2282</v>
      </c>
      <c r="B2286" s="1" t="str">
        <f t="shared" si="213"/>
        <v>2021-1835</v>
      </c>
      <c r="C2286" s="1" t="s">
        <v>618</v>
      </c>
      <c r="D2286" s="1" t="s">
        <v>622</v>
      </c>
      <c r="E2286" s="1" t="str">
        <f>""</f>
        <v/>
      </c>
      <c r="F2286" s="1" t="s">
        <v>28</v>
      </c>
      <c r="G2286" s="1" t="str">
        <f t="shared" si="214"/>
        <v>RO-TEHNOLOGIJA D.O.O., NOVA CESTA 86, 51410 OPATIJA, OIB: 94757004774</v>
      </c>
      <c r="H2286" s="7"/>
      <c r="I2286" s="8" t="s">
        <v>112</v>
      </c>
      <c r="J2286" s="8" t="s">
        <v>231</v>
      </c>
      <c r="K2286" s="6" t="str">
        <f>"14.087,80"</f>
        <v>14.087,80</v>
      </c>
      <c r="L2286" s="6" t="str">
        <f>"0,00"</f>
        <v>0,00</v>
      </c>
      <c r="M2286" s="6" t="str">
        <f>"14.087,80"</f>
        <v>14.087,80</v>
      </c>
      <c r="N2286" s="8" t="s">
        <v>124</v>
      </c>
      <c r="O2286" s="7"/>
      <c r="P2286" s="2" t="s">
        <v>5614</v>
      </c>
      <c r="Q2286" s="7"/>
      <c r="R2286" s="1"/>
      <c r="S2286" s="1" t="str">
        <f>"4-22/NOS-92-1/21"</f>
        <v>4-22/NOS-92-1/21</v>
      </c>
      <c r="T2286" s="1" t="s">
        <v>32</v>
      </c>
    </row>
    <row r="2287" spans="1:20" ht="51" x14ac:dyDescent="0.25">
      <c r="A2287" s="6">
        <v>2283</v>
      </c>
      <c r="B2287" s="1" t="str">
        <f t="shared" si="213"/>
        <v>2021-1835</v>
      </c>
      <c r="C2287" s="1" t="s">
        <v>1836</v>
      </c>
      <c r="D2287" s="1" t="s">
        <v>622</v>
      </c>
      <c r="E2287" s="1" t="str">
        <f>""</f>
        <v/>
      </c>
      <c r="F2287" s="1" t="s">
        <v>28</v>
      </c>
      <c r="G2287" s="1" t="str">
        <f t="shared" si="214"/>
        <v>RO-TEHNOLOGIJA D.O.O., NOVA CESTA 86, 51410 OPATIJA, OIB: 94757004774</v>
      </c>
      <c r="H2287" s="7"/>
      <c r="I2287" s="8" t="s">
        <v>553</v>
      </c>
      <c r="J2287" s="8" t="s">
        <v>1200</v>
      </c>
      <c r="K2287" s="6" t="str">
        <f>"217.362,60"</f>
        <v>217.362,60</v>
      </c>
      <c r="L2287" s="6" t="str">
        <f>"54.340,65"</f>
        <v>54.340,65</v>
      </c>
      <c r="M2287" s="6" t="str">
        <f>"271.703,25"</f>
        <v>271.703,25</v>
      </c>
      <c r="N2287" s="8" t="s">
        <v>124</v>
      </c>
      <c r="O2287" s="7"/>
      <c r="P2287" s="2" t="s">
        <v>5614</v>
      </c>
      <c r="Q2287" s="7"/>
      <c r="R2287" s="1"/>
      <c r="S2287" s="1" t="str">
        <f>"1-22/NOS-92-1/21"</f>
        <v>1-22/NOS-92-1/21</v>
      </c>
      <c r="T2287" s="1" t="s">
        <v>32</v>
      </c>
    </row>
    <row r="2288" spans="1:20" ht="89.25" x14ac:dyDescent="0.25">
      <c r="A2288" s="6">
        <v>2284</v>
      </c>
      <c r="B2288" s="1" t="str">
        <f t="shared" si="213"/>
        <v>2021-1835</v>
      </c>
      <c r="C2288" s="1" t="s">
        <v>1837</v>
      </c>
      <c r="D2288" s="1" t="s">
        <v>619</v>
      </c>
      <c r="E2288" s="1" t="str">
        <f>"2021/S 0F2-0042612"</f>
        <v>2021/S 0F2-0042612</v>
      </c>
      <c r="F2288" s="1" t="s">
        <v>22</v>
      </c>
      <c r="G2288" s="1" t="str">
        <f t="shared" si="214"/>
        <v>RO-TEHNOLOGIJA D.O.O., NOVA CESTA 86, 51410 OPATIJA, OIB: 94757004774</v>
      </c>
      <c r="H2288" s="7"/>
      <c r="I2288" s="8" t="s">
        <v>365</v>
      </c>
      <c r="J2288" s="8" t="s">
        <v>1835</v>
      </c>
      <c r="K2288" s="6" t="str">
        <f>"1.500.000,00"</f>
        <v>1.500.000,00</v>
      </c>
      <c r="L2288" s="6" t="str">
        <f>"375.000,00"</f>
        <v>375.000,00</v>
      </c>
      <c r="M2288" s="6" t="str">
        <f>"1.875.000,00"</f>
        <v>1.875.000,00</v>
      </c>
      <c r="N2288" s="8" t="s">
        <v>124</v>
      </c>
      <c r="O2288" s="7"/>
      <c r="P2288" s="2" t="s">
        <v>5614</v>
      </c>
      <c r="Q2288" s="7"/>
      <c r="R2288" s="1"/>
      <c r="S2288" s="1" t="str">
        <f>"NOS-92-2/21"</f>
        <v>NOS-92-2/21</v>
      </c>
      <c r="T2288" s="1" t="s">
        <v>27</v>
      </c>
    </row>
    <row r="2289" spans="1:20" ht="89.25" x14ac:dyDescent="0.25">
      <c r="A2289" s="6">
        <v>2285</v>
      </c>
      <c r="B2289" s="1" t="str">
        <f t="shared" si="213"/>
        <v>2021-1835</v>
      </c>
      <c r="C2289" s="1" t="s">
        <v>1837</v>
      </c>
      <c r="D2289" s="1" t="s">
        <v>622</v>
      </c>
      <c r="E2289" s="1" t="str">
        <f>""</f>
        <v/>
      </c>
      <c r="F2289" s="1" t="s">
        <v>28</v>
      </c>
      <c r="G2289" s="1" t="str">
        <f t="shared" si="214"/>
        <v>RO-TEHNOLOGIJA D.O.O., NOVA CESTA 86, 51410 OPATIJA, OIB: 94757004774</v>
      </c>
      <c r="H2289" s="7"/>
      <c r="I2289" s="8" t="s">
        <v>112</v>
      </c>
      <c r="J2289" s="8" t="s">
        <v>231</v>
      </c>
      <c r="K2289" s="6" t="str">
        <f>"16.047,50"</f>
        <v>16.047,50</v>
      </c>
      <c r="L2289" s="6" t="str">
        <f>"0,00"</f>
        <v>0,00</v>
      </c>
      <c r="M2289" s="6" t="str">
        <f>"16.047,50"</f>
        <v>16.047,50</v>
      </c>
      <c r="N2289" s="8" t="s">
        <v>124</v>
      </c>
      <c r="O2289" s="7"/>
      <c r="P2289" s="2" t="s">
        <v>5614</v>
      </c>
      <c r="Q2289" s="7"/>
      <c r="R2289" s="1"/>
      <c r="S2289" s="1" t="str">
        <f>"3-22/NOS-92-2/21"</f>
        <v>3-22/NOS-92-2/21</v>
      </c>
      <c r="T2289" s="1" t="s">
        <v>32</v>
      </c>
    </row>
    <row r="2290" spans="1:20" ht="51" x14ac:dyDescent="0.25">
      <c r="A2290" s="6">
        <v>2286</v>
      </c>
      <c r="B2290" s="1" t="str">
        <f t="shared" si="213"/>
        <v>2021-1835</v>
      </c>
      <c r="C2290" s="1" t="s">
        <v>1836</v>
      </c>
      <c r="D2290" s="1" t="s">
        <v>622</v>
      </c>
      <c r="E2290" s="1" t="str">
        <f>""</f>
        <v/>
      </c>
      <c r="F2290" s="1" t="s">
        <v>28</v>
      </c>
      <c r="G2290" s="1" t="str">
        <f t="shared" si="214"/>
        <v>RO-TEHNOLOGIJA D.O.O., NOVA CESTA 86, 51410 OPATIJA, OIB: 94757004774</v>
      </c>
      <c r="H2290" s="7"/>
      <c r="I2290" s="8" t="s">
        <v>553</v>
      </c>
      <c r="J2290" s="8" t="s">
        <v>489</v>
      </c>
      <c r="K2290" s="6" t="str">
        <f>"138.441,00"</f>
        <v>138.441,00</v>
      </c>
      <c r="L2290" s="6" t="str">
        <f>"34.610,25"</f>
        <v>34.610,25</v>
      </c>
      <c r="M2290" s="6" t="str">
        <f>"173.051,25"</f>
        <v>173.051,25</v>
      </c>
      <c r="N2290" s="8" t="s">
        <v>124</v>
      </c>
      <c r="O2290" s="7"/>
      <c r="P2290" s="2" t="s">
        <v>5614</v>
      </c>
      <c r="Q2290" s="7"/>
      <c r="R2290" s="1"/>
      <c r="S2290" s="1" t="str">
        <f>"1-22/NOS-92-2/21"</f>
        <v>1-22/NOS-92-2/21</v>
      </c>
      <c r="T2290" s="1" t="s">
        <v>32</v>
      </c>
    </row>
    <row r="2291" spans="1:20" ht="89.25" x14ac:dyDescent="0.25">
      <c r="A2291" s="6">
        <v>2287</v>
      </c>
      <c r="B2291" s="1" t="str">
        <f t="shared" si="213"/>
        <v>2021-1835</v>
      </c>
      <c r="C2291" s="1" t="s">
        <v>1838</v>
      </c>
      <c r="D2291" s="1" t="s">
        <v>619</v>
      </c>
      <c r="E2291" s="1" t="str">
        <f>"2021/S 0F2-0042612"</f>
        <v>2021/S 0F2-0042612</v>
      </c>
      <c r="F2291" s="1" t="s">
        <v>22</v>
      </c>
      <c r="G2291" s="1" t="str">
        <f t="shared" ref="G2291:G2296" si="215">CONCATENATE("GRA-PO D.O.O.,"," GOSPODARSKA 5B,"," 10255 ZAGREB - STUPNIK,"," OIB: 05364995085")</f>
        <v>GRA-PO D.O.O., GOSPODARSKA 5B, 10255 ZAGREB - STUPNIK, OIB: 05364995085</v>
      </c>
      <c r="H2291" s="7"/>
      <c r="I2291" s="8" t="s">
        <v>365</v>
      </c>
      <c r="J2291" s="8" t="s">
        <v>1839</v>
      </c>
      <c r="K2291" s="6" t="str">
        <f>"550.000,00"</f>
        <v>550.000,00</v>
      </c>
      <c r="L2291" s="6" t="str">
        <f>"137.500,00"</f>
        <v>137.500,00</v>
      </c>
      <c r="M2291" s="6" t="str">
        <f>"687.500,00"</f>
        <v>687.500,00</v>
      </c>
      <c r="N2291" s="8" t="s">
        <v>124</v>
      </c>
      <c r="O2291" s="7"/>
      <c r="P2291" s="2" t="s">
        <v>5614</v>
      </c>
      <c r="Q2291" s="7"/>
      <c r="R2291" s="1"/>
      <c r="S2291" s="1" t="str">
        <f>"NOS-92-5/21"</f>
        <v>NOS-92-5/21</v>
      </c>
      <c r="T2291" s="1" t="s">
        <v>27</v>
      </c>
    </row>
    <row r="2292" spans="1:20" ht="89.25" x14ac:dyDescent="0.25">
      <c r="A2292" s="6">
        <v>2288</v>
      </c>
      <c r="B2292" s="1" t="str">
        <f t="shared" si="213"/>
        <v>2021-1835</v>
      </c>
      <c r="C2292" s="1" t="s">
        <v>1838</v>
      </c>
      <c r="D2292" s="1" t="s">
        <v>622</v>
      </c>
      <c r="E2292" s="1" t="str">
        <f>""</f>
        <v/>
      </c>
      <c r="F2292" s="1" t="s">
        <v>28</v>
      </c>
      <c r="G2292" s="1" t="str">
        <f t="shared" si="215"/>
        <v>GRA-PO D.O.O., GOSPODARSKA 5B, 10255 ZAGREB - STUPNIK, OIB: 05364995085</v>
      </c>
      <c r="H2292" s="7"/>
      <c r="I2292" s="8" t="s">
        <v>892</v>
      </c>
      <c r="J2292" s="8" t="s">
        <v>231</v>
      </c>
      <c r="K2292" s="6" t="str">
        <f>"80.240,00"</f>
        <v>80.240,00</v>
      </c>
      <c r="L2292" s="6" t="str">
        <f>"0,00"</f>
        <v>0,00</v>
      </c>
      <c r="M2292" s="6" t="str">
        <f>"80.240,00"</f>
        <v>80.240,00</v>
      </c>
      <c r="N2292" s="8" t="s">
        <v>124</v>
      </c>
      <c r="O2292" s="7"/>
      <c r="P2292" s="2" t="s">
        <v>5614</v>
      </c>
      <c r="Q2292" s="7"/>
      <c r="R2292" s="1"/>
      <c r="S2292" s="1" t="str">
        <f>"1-22/NOS-92-5/21"</f>
        <v>1-22/NOS-92-5/21</v>
      </c>
      <c r="T2292" s="1" t="s">
        <v>32</v>
      </c>
    </row>
    <row r="2293" spans="1:20" ht="89.25" x14ac:dyDescent="0.25">
      <c r="A2293" s="6">
        <v>2289</v>
      </c>
      <c r="B2293" s="1" t="str">
        <f t="shared" si="213"/>
        <v>2021-1835</v>
      </c>
      <c r="C2293" s="1" t="s">
        <v>1838</v>
      </c>
      <c r="D2293" s="1" t="s">
        <v>622</v>
      </c>
      <c r="E2293" s="1" t="str">
        <f>""</f>
        <v/>
      </c>
      <c r="F2293" s="1" t="s">
        <v>28</v>
      </c>
      <c r="G2293" s="1" t="str">
        <f t="shared" si="215"/>
        <v>GRA-PO D.O.O., GOSPODARSKA 5B, 10255 ZAGREB - STUPNIK, OIB: 05364995085</v>
      </c>
      <c r="H2293" s="7"/>
      <c r="I2293" s="8" t="s">
        <v>388</v>
      </c>
      <c r="J2293" s="8" t="s">
        <v>231</v>
      </c>
      <c r="K2293" s="6" t="str">
        <f>"45.089,00"</f>
        <v>45.089,00</v>
      </c>
      <c r="L2293" s="6" t="str">
        <f>"0,00"</f>
        <v>0,00</v>
      </c>
      <c r="M2293" s="6" t="str">
        <f>"45.089,00"</f>
        <v>45.089,00</v>
      </c>
      <c r="N2293" s="8" t="s">
        <v>124</v>
      </c>
      <c r="O2293" s="7"/>
      <c r="P2293" s="2" t="s">
        <v>5614</v>
      </c>
      <c r="Q2293" s="7"/>
      <c r="R2293" s="1"/>
      <c r="S2293" s="1" t="str">
        <f>"3-22/NOS-92-5/21"</f>
        <v>3-22/NOS-92-5/21</v>
      </c>
      <c r="T2293" s="1" t="s">
        <v>32</v>
      </c>
    </row>
    <row r="2294" spans="1:20" ht="89.25" x14ac:dyDescent="0.25">
      <c r="A2294" s="6">
        <v>2290</v>
      </c>
      <c r="B2294" s="1" t="str">
        <f t="shared" si="213"/>
        <v>2021-1835</v>
      </c>
      <c r="C2294" s="1" t="s">
        <v>1838</v>
      </c>
      <c r="D2294" s="1" t="s">
        <v>622</v>
      </c>
      <c r="E2294" s="1" t="str">
        <f>""</f>
        <v/>
      </c>
      <c r="F2294" s="1" t="s">
        <v>28</v>
      </c>
      <c r="G2294" s="1" t="str">
        <f t="shared" si="215"/>
        <v>GRA-PO D.O.O., GOSPODARSKA 5B, 10255 ZAGREB - STUPNIK, OIB: 05364995085</v>
      </c>
      <c r="H2294" s="7"/>
      <c r="I2294" s="8" t="s">
        <v>388</v>
      </c>
      <c r="J2294" s="8" t="s">
        <v>231</v>
      </c>
      <c r="K2294" s="6" t="str">
        <f>"33.024,00"</f>
        <v>33.024,00</v>
      </c>
      <c r="L2294" s="6" t="str">
        <f>"0,00"</f>
        <v>0,00</v>
      </c>
      <c r="M2294" s="6" t="str">
        <f>"33.024,00"</f>
        <v>33.024,00</v>
      </c>
      <c r="N2294" s="8" t="s">
        <v>124</v>
      </c>
      <c r="O2294" s="7"/>
      <c r="P2294" s="2" t="s">
        <v>5614</v>
      </c>
      <c r="Q2294" s="7"/>
      <c r="R2294" s="1"/>
      <c r="S2294" s="1" t="str">
        <f>"4-22/NOS-92-5/21"</f>
        <v>4-22/NOS-92-5/21</v>
      </c>
      <c r="T2294" s="1" t="s">
        <v>32</v>
      </c>
    </row>
    <row r="2295" spans="1:20" ht="89.25" x14ac:dyDescent="0.25">
      <c r="A2295" s="6">
        <v>2291</v>
      </c>
      <c r="B2295" s="1" t="str">
        <f t="shared" si="213"/>
        <v>2021-1835</v>
      </c>
      <c r="C2295" s="1" t="s">
        <v>1838</v>
      </c>
      <c r="D2295" s="1" t="s">
        <v>622</v>
      </c>
      <c r="E2295" s="1" t="str">
        <f>""</f>
        <v/>
      </c>
      <c r="F2295" s="1" t="s">
        <v>28</v>
      </c>
      <c r="G2295" s="1" t="str">
        <f t="shared" si="215"/>
        <v>GRA-PO D.O.O., GOSPODARSKA 5B, 10255 ZAGREB - STUPNIK, OIB: 05364995085</v>
      </c>
      <c r="H2295" s="7"/>
      <c r="I2295" s="8" t="s">
        <v>388</v>
      </c>
      <c r="J2295" s="8" t="s">
        <v>231</v>
      </c>
      <c r="K2295" s="6" t="str">
        <f>"20.180,00"</f>
        <v>20.180,00</v>
      </c>
      <c r="L2295" s="6" t="str">
        <f>"0,00"</f>
        <v>0,00</v>
      </c>
      <c r="M2295" s="6" t="str">
        <f>"20.180,00"</f>
        <v>20.180,00</v>
      </c>
      <c r="N2295" s="8" t="s">
        <v>124</v>
      </c>
      <c r="O2295" s="7"/>
      <c r="P2295" s="2" t="s">
        <v>5614</v>
      </c>
      <c r="Q2295" s="7"/>
      <c r="R2295" s="1"/>
      <c r="S2295" s="1" t="str">
        <f>"5-22/NOS-92-5/21"</f>
        <v>5-22/NOS-92-5/21</v>
      </c>
      <c r="T2295" s="1" t="s">
        <v>32</v>
      </c>
    </row>
    <row r="2296" spans="1:20" ht="89.25" x14ac:dyDescent="0.25">
      <c r="A2296" s="6">
        <v>2292</v>
      </c>
      <c r="B2296" s="1" t="str">
        <f t="shared" si="213"/>
        <v>2021-1835</v>
      </c>
      <c r="C2296" s="1" t="s">
        <v>1838</v>
      </c>
      <c r="D2296" s="1" t="s">
        <v>622</v>
      </c>
      <c r="E2296" s="1" t="str">
        <f>""</f>
        <v/>
      </c>
      <c r="F2296" s="1" t="s">
        <v>28</v>
      </c>
      <c r="G2296" s="1" t="str">
        <f t="shared" si="215"/>
        <v>GRA-PO D.O.O., GOSPODARSKA 5B, 10255 ZAGREB - STUPNIK, OIB: 05364995085</v>
      </c>
      <c r="H2296" s="7"/>
      <c r="I2296" s="8" t="s">
        <v>399</v>
      </c>
      <c r="J2296" s="8" t="s">
        <v>231</v>
      </c>
      <c r="K2296" s="6" t="str">
        <f>"9.644,00"</f>
        <v>9.644,00</v>
      </c>
      <c r="L2296" s="6" t="str">
        <f>"0,00"</f>
        <v>0,00</v>
      </c>
      <c r="M2296" s="6" t="str">
        <f>"9.644,00"</f>
        <v>9.644,00</v>
      </c>
      <c r="N2296" s="8" t="s">
        <v>124</v>
      </c>
      <c r="O2296" s="7"/>
      <c r="P2296" s="2" t="s">
        <v>5614</v>
      </c>
      <c r="Q2296" s="7"/>
      <c r="R2296" s="1"/>
      <c r="S2296" s="1" t="str">
        <f>"6-22/NOS-92-5/21"</f>
        <v>6-22/NOS-92-5/21</v>
      </c>
      <c r="T2296" s="1" t="s">
        <v>32</v>
      </c>
    </row>
    <row r="2297" spans="1:20" ht="89.25" x14ac:dyDescent="0.25">
      <c r="A2297" s="6">
        <v>2293</v>
      </c>
      <c r="B2297" s="1" t="str">
        <f t="shared" si="213"/>
        <v>2021-1835</v>
      </c>
      <c r="C2297" s="1" t="s">
        <v>1840</v>
      </c>
      <c r="D2297" s="1" t="s">
        <v>619</v>
      </c>
      <c r="E2297" s="1" t="str">
        <f>"2021/S 0F2-0042612"</f>
        <v>2021/S 0F2-0042612</v>
      </c>
      <c r="F2297" s="1" t="s">
        <v>22</v>
      </c>
      <c r="G2297" s="1" t="str">
        <f>CONCATENATE("O-K-TEH d.o.o.,"," VUČAK 16A,"," 10000 ZAGREB,"," OIB: 37322381288")</f>
        <v>O-K-TEH d.o.o., VUČAK 16A, 10000 ZAGREB, OIB: 37322381288</v>
      </c>
      <c r="H2297" s="7"/>
      <c r="I2297" s="8" t="s">
        <v>365</v>
      </c>
      <c r="J2297" s="8" t="s">
        <v>1841</v>
      </c>
      <c r="K2297" s="6" t="str">
        <f>"500.000,00"</f>
        <v>500.000,00</v>
      </c>
      <c r="L2297" s="6" t="str">
        <f>"125.000,00"</f>
        <v>125.000,00</v>
      </c>
      <c r="M2297" s="6" t="str">
        <f>"625.000,00"</f>
        <v>625.000,00</v>
      </c>
      <c r="N2297" s="8" t="s">
        <v>124</v>
      </c>
      <c r="O2297" s="7"/>
      <c r="P2297" s="2" t="s">
        <v>5614</v>
      </c>
      <c r="Q2297" s="7"/>
      <c r="R2297" s="1"/>
      <c r="S2297" s="1" t="str">
        <f>"NOS-92-8/21"</f>
        <v>NOS-92-8/21</v>
      </c>
      <c r="T2297" s="1" t="s">
        <v>27</v>
      </c>
    </row>
    <row r="2298" spans="1:20" ht="89.25" x14ac:dyDescent="0.25">
      <c r="A2298" s="6">
        <v>2294</v>
      </c>
      <c r="B2298" s="1" t="str">
        <f t="shared" si="213"/>
        <v>2021-1835</v>
      </c>
      <c r="C2298" s="1" t="s">
        <v>1840</v>
      </c>
      <c r="D2298" s="1" t="s">
        <v>622</v>
      </c>
      <c r="E2298" s="1" t="str">
        <f>""</f>
        <v/>
      </c>
      <c r="F2298" s="1" t="s">
        <v>28</v>
      </c>
      <c r="G2298" s="1" t="str">
        <f>CONCATENATE("O-K-TEH d.o.o.,"," VUČAK 16A,"," 10000 ZAGREB,"," OIB: 37322381288")</f>
        <v>O-K-TEH d.o.o., VUČAK 16A, 10000 ZAGREB, OIB: 37322381288</v>
      </c>
      <c r="H2298" s="7"/>
      <c r="I2298" s="8" t="s">
        <v>384</v>
      </c>
      <c r="J2298" s="8" t="s">
        <v>231</v>
      </c>
      <c r="K2298" s="6" t="str">
        <f>"19.695,18"</f>
        <v>19.695,18</v>
      </c>
      <c r="L2298" s="6" t="str">
        <f>"0,00"</f>
        <v>0,00</v>
      </c>
      <c r="M2298" s="6" t="str">
        <f>"19.695,18"</f>
        <v>19.695,18</v>
      </c>
      <c r="N2298" s="8" t="s">
        <v>124</v>
      </c>
      <c r="O2298" s="7"/>
      <c r="P2298" s="2" t="s">
        <v>5614</v>
      </c>
      <c r="Q2298" s="7"/>
      <c r="R2298" s="1"/>
      <c r="S2298" s="1" t="str">
        <f>"3-22/NOS-92-8/21"</f>
        <v>3-22/NOS-92-8/21</v>
      </c>
      <c r="T2298" s="1" t="s">
        <v>32</v>
      </c>
    </row>
    <row r="2299" spans="1:20" ht="140.25" x14ac:dyDescent="0.25">
      <c r="A2299" s="6">
        <v>2295</v>
      </c>
      <c r="B2299" s="1" t="str">
        <f t="shared" si="213"/>
        <v>2021-1835</v>
      </c>
      <c r="C2299" s="1" t="s">
        <v>1842</v>
      </c>
      <c r="D2299" s="1" t="s">
        <v>619</v>
      </c>
      <c r="E2299" s="1" t="str">
        <f>"2021/S 0F2-0042612"</f>
        <v>2021/S 0F2-0042612</v>
      </c>
      <c r="F2299" s="1" t="s">
        <v>22</v>
      </c>
      <c r="G2299" s="1" t="str">
        <f>CONCATENATE("TERRA JASKA D.O.O.,"," ULICA KRALJA TOMISLAVA 20,"," 10434 STRMEC SAMOBORSKI,"," OIB: 81184470570",CHAR(10),"",CHAR(10),"TERRATOM D.O.O.,"," KERESTINEC,"," MIHOLIĆI 11,"," 10431 SVETA NEDJELJA,"," OIB: 44009719915")</f>
        <v>TERRA JASKA D.O.O., ULICA KRALJA TOMISLAVA 20, 10434 STRMEC SAMOBORSKI, OIB: 81184470570
TERRATOM D.O.O., KERESTINEC, MIHOLIĆI 11, 10431 SVETA NEDJELJA, OIB: 44009719915</v>
      </c>
      <c r="H2299" s="7"/>
      <c r="I2299" s="8" t="s">
        <v>564</v>
      </c>
      <c r="J2299" s="8" t="s">
        <v>1839</v>
      </c>
      <c r="K2299" s="6" t="str">
        <f>"1.500.000,00"</f>
        <v>1.500.000,00</v>
      </c>
      <c r="L2299" s="6" t="str">
        <f>"375.000,00"</f>
        <v>375.000,00</v>
      </c>
      <c r="M2299" s="6" t="str">
        <f>"1.875.000,00"</f>
        <v>1.875.000,00</v>
      </c>
      <c r="N2299" s="8" t="s">
        <v>124</v>
      </c>
      <c r="O2299" s="7"/>
      <c r="P2299" s="2" t="s">
        <v>5614</v>
      </c>
      <c r="Q2299" s="7"/>
      <c r="R2299" s="1"/>
      <c r="S2299" s="1" t="str">
        <f>"NOS-92-9/21"</f>
        <v>NOS-92-9/21</v>
      </c>
      <c r="T2299" s="1" t="s">
        <v>27</v>
      </c>
    </row>
    <row r="2300" spans="1:20" ht="89.25" x14ac:dyDescent="0.25">
      <c r="A2300" s="6">
        <v>2296</v>
      </c>
      <c r="B2300" s="1" t="str">
        <f t="shared" si="213"/>
        <v>2021-1835</v>
      </c>
      <c r="C2300" s="1" t="s">
        <v>1842</v>
      </c>
      <c r="D2300" s="1" t="s">
        <v>622</v>
      </c>
      <c r="E2300" s="1" t="str">
        <f>""</f>
        <v/>
      </c>
      <c r="F2300" s="1" t="s">
        <v>28</v>
      </c>
      <c r="G2300" s="1" t="str">
        <f>CONCATENATE("TERRATOM D.O.O.,"," KERESTINEC,"," MIHOLIĆI 11,"," 10431 SVETA NEDJELJA,"," OIB: 44009719915")</f>
        <v>TERRATOM D.O.O., KERESTINEC, MIHOLIĆI 11, 10431 SVETA NEDJELJA, OIB: 44009719915</v>
      </c>
      <c r="H2300" s="7"/>
      <c r="I2300" s="8" t="s">
        <v>112</v>
      </c>
      <c r="J2300" s="8" t="s">
        <v>555</v>
      </c>
      <c r="K2300" s="6" t="str">
        <f>"11.542,06"</f>
        <v>11.542,06</v>
      </c>
      <c r="L2300" s="6" t="str">
        <f>"0,00"</f>
        <v>0,00</v>
      </c>
      <c r="M2300" s="6" t="str">
        <f>"11.542,06"</f>
        <v>11.542,06</v>
      </c>
      <c r="N2300" s="8" t="s">
        <v>124</v>
      </c>
      <c r="O2300" s="7"/>
      <c r="P2300" s="2" t="s">
        <v>5614</v>
      </c>
      <c r="Q2300" s="7"/>
      <c r="R2300" s="1"/>
      <c r="S2300" s="1" t="str">
        <f>"9-22/NOS-92-9/21"</f>
        <v>9-22/NOS-92-9/21</v>
      </c>
      <c r="T2300" s="1" t="s">
        <v>55</v>
      </c>
    </row>
    <row r="2301" spans="1:20" ht="89.25" x14ac:dyDescent="0.25">
      <c r="A2301" s="6">
        <v>2297</v>
      </c>
      <c r="B2301" s="1" t="str">
        <f t="shared" si="213"/>
        <v>2021-1835</v>
      </c>
      <c r="C2301" s="1" t="s">
        <v>1842</v>
      </c>
      <c r="D2301" s="1" t="s">
        <v>622</v>
      </c>
      <c r="E2301" s="1" t="str">
        <f>""</f>
        <v/>
      </c>
      <c r="F2301" s="1" t="s">
        <v>28</v>
      </c>
      <c r="G2301" s="1" t="str">
        <f>CONCATENATE("TERRATOM D.O.O.,"," KERESTINEC,"," MIHOLIĆI 11,"," 10431 SVETA NEDJELJA,"," OIB: 44009719915")</f>
        <v>TERRATOM D.O.O., KERESTINEC, MIHOLIĆI 11, 10431 SVETA NEDJELJA, OIB: 44009719915</v>
      </c>
      <c r="H2301" s="7"/>
      <c r="I2301" s="8" t="s">
        <v>112</v>
      </c>
      <c r="J2301" s="8" t="s">
        <v>555</v>
      </c>
      <c r="K2301" s="6" t="str">
        <f>"8.530,61"</f>
        <v>8.530,61</v>
      </c>
      <c r="L2301" s="6" t="str">
        <f>"0,00"</f>
        <v>0,00</v>
      </c>
      <c r="M2301" s="6" t="str">
        <f>"8.530,61"</f>
        <v>8.530,61</v>
      </c>
      <c r="N2301" s="8" t="s">
        <v>124</v>
      </c>
      <c r="O2301" s="7"/>
      <c r="P2301" s="2" t="s">
        <v>5614</v>
      </c>
      <c r="Q2301" s="7"/>
      <c r="R2301" s="1"/>
      <c r="S2301" s="1" t="str">
        <f>"8-22/NOS-92-9/21"</f>
        <v>8-22/NOS-92-9/21</v>
      </c>
      <c r="T2301" s="1" t="s">
        <v>55</v>
      </c>
    </row>
    <row r="2302" spans="1:20" ht="89.25" x14ac:dyDescent="0.25">
      <c r="A2302" s="6">
        <v>2298</v>
      </c>
      <c r="B2302" s="1" t="str">
        <f t="shared" si="213"/>
        <v>2021-1835</v>
      </c>
      <c r="C2302" s="1" t="s">
        <v>1842</v>
      </c>
      <c r="D2302" s="1" t="s">
        <v>622</v>
      </c>
      <c r="E2302" s="1" t="str">
        <f>""</f>
        <v/>
      </c>
      <c r="F2302" s="1" t="s">
        <v>28</v>
      </c>
      <c r="G2302" s="1" t="str">
        <f>CONCATENATE("TERRATOM D.O.O.,"," KERESTINEC,"," MIHOLIĆI 11,"," 10431 SVETA NEDJELJA,"," OIB: 44009719915")</f>
        <v>TERRATOM D.O.O., KERESTINEC, MIHOLIĆI 11, 10431 SVETA NEDJELJA, OIB: 44009719915</v>
      </c>
      <c r="H2302" s="7"/>
      <c r="I2302" s="8" t="s">
        <v>121</v>
      </c>
      <c r="J2302" s="8" t="s">
        <v>555</v>
      </c>
      <c r="K2302" s="6" t="str">
        <f>"22.487,83"</f>
        <v>22.487,83</v>
      </c>
      <c r="L2302" s="6" t="str">
        <f>"0,00"</f>
        <v>0,00</v>
      </c>
      <c r="M2302" s="6" t="str">
        <f>"22.487,83"</f>
        <v>22.487,83</v>
      </c>
      <c r="N2302" s="8" t="s">
        <v>124</v>
      </c>
      <c r="O2302" s="7"/>
      <c r="P2302" s="2" t="s">
        <v>5614</v>
      </c>
      <c r="Q2302" s="7"/>
      <c r="R2302" s="1"/>
      <c r="S2302" s="1" t="str">
        <f>"3-22/NOS-92-9/21"</f>
        <v>3-22/NOS-92-9/21</v>
      </c>
      <c r="T2302" s="1" t="s">
        <v>55</v>
      </c>
    </row>
    <row r="2303" spans="1:20" ht="63.75" x14ac:dyDescent="0.25">
      <c r="A2303" s="6">
        <v>2299</v>
      </c>
      <c r="B2303" s="1" t="str">
        <f t="shared" si="213"/>
        <v>2021-1835</v>
      </c>
      <c r="C2303" s="1" t="s">
        <v>1836</v>
      </c>
      <c r="D2303" s="1" t="s">
        <v>622</v>
      </c>
      <c r="E2303" s="1" t="str">
        <f>""</f>
        <v/>
      </c>
      <c r="F2303" s="1" t="s">
        <v>28</v>
      </c>
      <c r="G2303" s="1" t="str">
        <f>CONCATENATE("TERRA JASKA D.O.O.,"," ULICA KRALJA TOMISLAVA 20,"," 10434 STRMEC SAMOBORSKI,"," OIB: 8118447057")</f>
        <v>TERRA JASKA D.O.O., ULICA KRALJA TOMISLAVA 20, 10434 STRMEC SAMOBORSKI, OIB: 8118447057</v>
      </c>
      <c r="H2303" s="7"/>
      <c r="I2303" s="8" t="s">
        <v>433</v>
      </c>
      <c r="J2303" s="8" t="s">
        <v>1400</v>
      </c>
      <c r="K2303" s="6" t="str">
        <f>"74.429,96"</f>
        <v>74.429,96</v>
      </c>
      <c r="L2303" s="6" t="str">
        <f>"18.607,49"</f>
        <v>18.607,49</v>
      </c>
      <c r="M2303" s="6" t="str">
        <f>"93.037,45"</f>
        <v>93.037,45</v>
      </c>
      <c r="N2303" s="8" t="s">
        <v>124</v>
      </c>
      <c r="O2303" s="7"/>
      <c r="P2303" s="2" t="s">
        <v>5614</v>
      </c>
      <c r="Q2303" s="7"/>
      <c r="R2303" s="1"/>
      <c r="S2303" s="1" t="str">
        <f>"1-22/NOS-92-9/21"</f>
        <v>1-22/NOS-92-9/21</v>
      </c>
      <c r="T2303" s="1" t="s">
        <v>32</v>
      </c>
    </row>
    <row r="2304" spans="1:20" ht="204" x14ac:dyDescent="0.25">
      <c r="A2304" s="6">
        <v>2300</v>
      </c>
      <c r="B2304" s="1" t="str">
        <f>"2021-1910"</f>
        <v>2021-1910</v>
      </c>
      <c r="C2304" s="1" t="s">
        <v>1843</v>
      </c>
      <c r="D2304" s="1" t="s">
        <v>1808</v>
      </c>
      <c r="E2304" s="1" t="str">
        <f>"2022/S 0F2-0004596"</f>
        <v>2022/S 0F2-0004596</v>
      </c>
      <c r="F2304" s="1" t="s">
        <v>22</v>
      </c>
      <c r="G2304" s="1" t="str">
        <f>CONCATENATE("SMIT-COMMERCE D.O.O.,"," GORNJOSTUPNIČKA 9B,"," 10255 GORNJI STUPNIK,"," OIB: 95243482140",CHAR(10),"",CHAR(10),"VODOSKOK D.D.,"," ČULINEČKA CESTA 221/C,"," 10040 ZAGREB,"," OIB: 34134218058",CHAR(10),"",CHAR(10),"AQUA - PROMET d.o.o.,"," MIRAMARSKA 34,"," 10000 ZAGREB,"," OIB: 40916157895")</f>
        <v>SMIT-COMMERCE D.O.O., GORNJOSTUPNIČKA 9B, 10255 GORNJI STUPNIK, OIB: 95243482140
VODOSKOK D.D., ČULINEČKA CESTA 221/C, 10040 ZAGREB, OIB: 34134218058
AQUA - PROMET d.o.o., MIRAMARSKA 34, 10000 ZAGREB, OIB: 40916157895</v>
      </c>
      <c r="H2304" s="7"/>
      <c r="I2304" s="8" t="s">
        <v>564</v>
      </c>
      <c r="J2304" s="8" t="s">
        <v>1844</v>
      </c>
      <c r="K2304" s="6" t="str">
        <f>"600.000,00"</f>
        <v>600.000,00</v>
      </c>
      <c r="L2304" s="6" t="str">
        <f>"150.000,00"</f>
        <v>150.000,00</v>
      </c>
      <c r="M2304" s="6" t="str">
        <f>"750.000,00"</f>
        <v>750.000,00</v>
      </c>
      <c r="N2304" s="8" t="s">
        <v>124</v>
      </c>
      <c r="O2304" s="7"/>
      <c r="P2304" s="2" t="s">
        <v>5614</v>
      </c>
      <c r="Q2304" s="7"/>
      <c r="R2304" s="1"/>
      <c r="S2304" s="1" t="str">
        <f>"NOS-97/21"</f>
        <v>NOS-97/21</v>
      </c>
      <c r="T2304" s="1" t="s">
        <v>55</v>
      </c>
    </row>
    <row r="2305" spans="1:20" ht="51" x14ac:dyDescent="0.25">
      <c r="A2305" s="6">
        <v>2301</v>
      </c>
      <c r="B2305" s="1" t="str">
        <f>"2021-1910"</f>
        <v>2021-1910</v>
      </c>
      <c r="C2305" s="1" t="s">
        <v>1843</v>
      </c>
      <c r="D2305" s="1" t="s">
        <v>1783</v>
      </c>
      <c r="E2305" s="1" t="str">
        <f>""</f>
        <v/>
      </c>
      <c r="F2305" s="1" t="s">
        <v>28</v>
      </c>
      <c r="G2305" s="1" t="str">
        <f>CONCATENATE("VODOSKOK D.D.,"," ČULINEČKA CESTA 221/C,"," 10040 ZAGREB,"," OIB: 34134218058")</f>
        <v>VODOSKOK D.D., ČULINEČKA CESTA 221/C, 10040 ZAGREB, OIB: 34134218058</v>
      </c>
      <c r="H2305" s="7"/>
      <c r="I2305" s="8" t="s">
        <v>170</v>
      </c>
      <c r="J2305" s="8" t="s">
        <v>423</v>
      </c>
      <c r="K2305" s="6" t="str">
        <f>"128.352,00"</f>
        <v>128.352,00</v>
      </c>
      <c r="L2305" s="6" t="str">
        <f>"0,00"</f>
        <v>0,00</v>
      </c>
      <c r="M2305" s="6" t="str">
        <f>"128.352,00"</f>
        <v>128.352,00</v>
      </c>
      <c r="N2305" s="8" t="s">
        <v>124</v>
      </c>
      <c r="O2305" s="7"/>
      <c r="P2305" s="2" t="s">
        <v>5614</v>
      </c>
      <c r="Q2305" s="7"/>
      <c r="R2305" s="1"/>
      <c r="S2305" s="1" t="str">
        <f>"1-22/NOS-97/21"</f>
        <v>1-22/NOS-97/21</v>
      </c>
      <c r="T2305" s="1" t="s">
        <v>55</v>
      </c>
    </row>
    <row r="2306" spans="1:20" ht="63.75" x14ac:dyDescent="0.25">
      <c r="A2306" s="6">
        <v>2302</v>
      </c>
      <c r="B2306" s="1" t="str">
        <f>"2021-1874"</f>
        <v>2021-1874</v>
      </c>
      <c r="C2306" s="1" t="s">
        <v>1845</v>
      </c>
      <c r="D2306" s="1" t="s">
        <v>619</v>
      </c>
      <c r="E2306" s="1" t="str">
        <f>"2021/S 0F2-0040624"</f>
        <v>2021/S 0F2-0040624</v>
      </c>
      <c r="F2306" s="1" t="s">
        <v>22</v>
      </c>
      <c r="G2306" s="1" t="str">
        <f>CONCATENATE("RO-TEHNOLOGIJA D.O.O.,"," NOVA CESTA 86,"," 51410 OPATIJA,"," OIB: 94757004774")</f>
        <v>RO-TEHNOLOGIJA D.O.O., NOVA CESTA 86, 51410 OPATIJA, OIB: 94757004774</v>
      </c>
      <c r="H2306" s="7"/>
      <c r="I2306" s="8" t="s">
        <v>565</v>
      </c>
      <c r="J2306" s="8" t="s">
        <v>1846</v>
      </c>
      <c r="K2306" s="6" t="str">
        <f>"5.000.000,00"</f>
        <v>5.000.000,00</v>
      </c>
      <c r="L2306" s="6" t="str">
        <f>"1.250.000,00"</f>
        <v>1.250.000,00</v>
      </c>
      <c r="M2306" s="6" t="str">
        <f>"6.250.000,00"</f>
        <v>6.250.000,00</v>
      </c>
      <c r="N2306" s="8" t="s">
        <v>124</v>
      </c>
      <c r="O2306" s="7"/>
      <c r="P2306" s="2" t="s">
        <v>5614</v>
      </c>
      <c r="Q2306" s="7"/>
      <c r="R2306" s="1"/>
      <c r="S2306" s="1" t="str">
        <f>"NOS-91/21"</f>
        <v>NOS-91/21</v>
      </c>
      <c r="T2306" s="1" t="s">
        <v>32</v>
      </c>
    </row>
    <row r="2307" spans="1:20" ht="63.75" x14ac:dyDescent="0.25">
      <c r="A2307" s="6">
        <v>2303</v>
      </c>
      <c r="B2307" s="1" t="str">
        <f>"2021-1874"</f>
        <v>2021-1874</v>
      </c>
      <c r="C2307" s="1" t="s">
        <v>1845</v>
      </c>
      <c r="D2307" s="1" t="s">
        <v>622</v>
      </c>
      <c r="E2307" s="1" t="str">
        <f>""</f>
        <v/>
      </c>
      <c r="F2307" s="1" t="s">
        <v>28</v>
      </c>
      <c r="G2307" s="1" t="str">
        <f>CONCATENATE("RO-TEHNOLOGIJA D.O.O.,"," NOVA CESTA 86,"," 51410 OPATIJA,"," OIB: 94757004774")</f>
        <v>RO-TEHNOLOGIJA D.O.O., NOVA CESTA 86, 51410 OPATIJA, OIB: 94757004774</v>
      </c>
      <c r="H2307" s="7"/>
      <c r="I2307" s="8" t="s">
        <v>399</v>
      </c>
      <c r="J2307" s="8" t="s">
        <v>1194</v>
      </c>
      <c r="K2307" s="6" t="str">
        <f>"610.510,20"</f>
        <v>610.510,20</v>
      </c>
      <c r="L2307" s="6" t="str">
        <f>"0,00"</f>
        <v>0,00</v>
      </c>
      <c r="M2307" s="6" t="str">
        <f>"610.510,20"</f>
        <v>610.510,20</v>
      </c>
      <c r="N2307" s="8" t="s">
        <v>124</v>
      </c>
      <c r="O2307" s="7"/>
      <c r="P2307" s="2" t="s">
        <v>5614</v>
      </c>
      <c r="Q2307" s="7"/>
      <c r="R2307" s="1"/>
      <c r="S2307" s="1" t="str">
        <f>"2-22/NOS-91/21"</f>
        <v>2-22/NOS-91/21</v>
      </c>
      <c r="T2307" s="1" t="s">
        <v>32</v>
      </c>
    </row>
    <row r="2308" spans="1:20" ht="63.75" x14ac:dyDescent="0.25">
      <c r="A2308" s="6">
        <v>2304</v>
      </c>
      <c r="B2308" s="1" t="str">
        <f>"2021-1874"</f>
        <v>2021-1874</v>
      </c>
      <c r="C2308" s="1" t="s">
        <v>1845</v>
      </c>
      <c r="D2308" s="1" t="s">
        <v>622</v>
      </c>
      <c r="E2308" s="1" t="str">
        <f>""</f>
        <v/>
      </c>
      <c r="F2308" s="1" t="s">
        <v>28</v>
      </c>
      <c r="G2308" s="1" t="str">
        <f>CONCATENATE("RO-TEHNOLOGIJA D.O.O.,"," NOVA CESTA 86,"," 51410 OPATIJA,"," OIB: 94757004774")</f>
        <v>RO-TEHNOLOGIJA D.O.O., NOVA CESTA 86, 51410 OPATIJA, OIB: 94757004774</v>
      </c>
      <c r="H2308" s="7"/>
      <c r="I2308" s="8" t="s">
        <v>399</v>
      </c>
      <c r="J2308" s="8" t="s">
        <v>1194</v>
      </c>
      <c r="K2308" s="6" t="str">
        <f>"184.184,80"</f>
        <v>184.184,80</v>
      </c>
      <c r="L2308" s="6" t="str">
        <f>"0,00"</f>
        <v>0,00</v>
      </c>
      <c r="M2308" s="6" t="str">
        <f>"184.184,80"</f>
        <v>184.184,80</v>
      </c>
      <c r="N2308" s="8" t="s">
        <v>124</v>
      </c>
      <c r="O2308" s="7"/>
      <c r="P2308" s="2" t="s">
        <v>5614</v>
      </c>
      <c r="Q2308" s="7"/>
      <c r="R2308" s="1"/>
      <c r="S2308" s="1" t="str">
        <f>"3-22/NOS-91/21"</f>
        <v>3-22/NOS-91/21</v>
      </c>
      <c r="T2308" s="1" t="s">
        <v>32</v>
      </c>
    </row>
    <row r="2309" spans="1:20" ht="63.75" x14ac:dyDescent="0.25">
      <c r="A2309" s="6">
        <v>2305</v>
      </c>
      <c r="B2309" s="1" t="str">
        <f>"2021-1874"</f>
        <v>2021-1874</v>
      </c>
      <c r="C2309" s="1" t="s">
        <v>1845</v>
      </c>
      <c r="D2309" s="1" t="s">
        <v>622</v>
      </c>
      <c r="E2309" s="1" t="str">
        <f>""</f>
        <v/>
      </c>
      <c r="F2309" s="1" t="s">
        <v>28</v>
      </c>
      <c r="G2309" s="1" t="str">
        <f>CONCATENATE("RO-TEHNOLOGIJA D.O.O.,"," NOVA CESTA 86,"," 51410 OPATIJA,"," OIB: 94757004774")</f>
        <v>RO-TEHNOLOGIJA D.O.O., NOVA CESTA 86, 51410 OPATIJA, OIB: 94757004774</v>
      </c>
      <c r="H2309" s="7"/>
      <c r="I2309" s="8" t="s">
        <v>170</v>
      </c>
      <c r="J2309" s="8" t="s">
        <v>1194</v>
      </c>
      <c r="K2309" s="6" t="str">
        <f>"2.845,80"</f>
        <v>2.845,80</v>
      </c>
      <c r="L2309" s="6" t="str">
        <f>"0,00"</f>
        <v>0,00</v>
      </c>
      <c r="M2309" s="6" t="str">
        <f>"2.845,80"</f>
        <v>2.845,80</v>
      </c>
      <c r="N2309" s="8" t="s">
        <v>124</v>
      </c>
      <c r="O2309" s="7"/>
      <c r="P2309" s="2" t="s">
        <v>5614</v>
      </c>
      <c r="Q2309" s="7"/>
      <c r="R2309" s="1"/>
      <c r="S2309" s="1" t="str">
        <f>"4-22/NOS-91/21"</f>
        <v>4-22/NOS-91/21</v>
      </c>
      <c r="T2309" s="1" t="s">
        <v>32</v>
      </c>
    </row>
    <row r="2310" spans="1:20" ht="63.75" x14ac:dyDescent="0.25">
      <c r="A2310" s="6">
        <v>2306</v>
      </c>
      <c r="B2310" s="1" t="str">
        <f>"2022-133"</f>
        <v>2022-133</v>
      </c>
      <c r="C2310" s="1" t="s">
        <v>73</v>
      </c>
      <c r="D2310" s="1" t="s">
        <v>74</v>
      </c>
      <c r="E2310" s="1" t="str">
        <f>"2022/S 0F2-0029431"</f>
        <v>2022/S 0F2-0029431</v>
      </c>
      <c r="F2310" s="1" t="s">
        <v>22</v>
      </c>
      <c r="G2310" s="1" t="str">
        <f>CONCATENATE("XAGENT D.O.O.,"," SAMOBORSKA CESTA 145,"," 10000 ZAGREB,"," OIB: 98512685259")</f>
        <v>XAGENT D.O.O., SAMOBORSKA CESTA 145, 10000 ZAGREB, OIB: 98512685259</v>
      </c>
      <c r="H2310" s="7"/>
      <c r="I2310" s="8" t="s">
        <v>365</v>
      </c>
      <c r="J2310" s="8" t="s">
        <v>1796</v>
      </c>
      <c r="K2310" s="6" t="str">
        <f>"1.300.000,00"</f>
        <v>1.300.000,00</v>
      </c>
      <c r="L2310" s="6" t="str">
        <f>"325.000,00"</f>
        <v>325.000,00</v>
      </c>
      <c r="M2310" s="6" t="str">
        <f>"1.625.000,00"</f>
        <v>1.625.000,00</v>
      </c>
      <c r="N2310" s="8" t="s">
        <v>124</v>
      </c>
      <c r="O2310" s="7"/>
      <c r="P2310" s="2" t="s">
        <v>5614</v>
      </c>
      <c r="Q2310" s="7"/>
      <c r="R2310" s="1"/>
      <c r="S2310" s="1" t="str">
        <f>"NOS-13/22"</f>
        <v>NOS-13/22</v>
      </c>
      <c r="T2310" s="1" t="s">
        <v>43</v>
      </c>
    </row>
    <row r="2311" spans="1:20" ht="63.75" x14ac:dyDescent="0.25">
      <c r="A2311" s="6">
        <v>2307</v>
      </c>
      <c r="B2311" s="1" t="str">
        <f>"2022-133"</f>
        <v>2022-133</v>
      </c>
      <c r="C2311" s="1" t="s">
        <v>73</v>
      </c>
      <c r="D2311" s="1" t="s">
        <v>78</v>
      </c>
      <c r="E2311" s="1" t="str">
        <f>""</f>
        <v/>
      </c>
      <c r="F2311" s="1" t="s">
        <v>28</v>
      </c>
      <c r="G2311" s="1" t="str">
        <f>CONCATENATE("XAGENT D.O.O.,"," SAMOBORSKA CESTA 145,"," 10000 ZAGREB,"," OIB: 98512685259")</f>
        <v>XAGENT D.O.O., SAMOBORSKA CESTA 145, 10000 ZAGREB, OIB: 98512685259</v>
      </c>
      <c r="H2311" s="7"/>
      <c r="I2311" s="8" t="s">
        <v>501</v>
      </c>
      <c r="J2311" s="8" t="s">
        <v>1148</v>
      </c>
      <c r="K2311" s="6" t="str">
        <f>"24.424,64"</f>
        <v>24.424,64</v>
      </c>
      <c r="L2311" s="6" t="str">
        <f>"6.106,16"</f>
        <v>6.106,16</v>
      </c>
      <c r="M2311" s="6" t="str">
        <f>"30.530,80"</f>
        <v>30.530,80</v>
      </c>
      <c r="N2311" s="8" t="s">
        <v>892</v>
      </c>
      <c r="O2311" s="7"/>
      <c r="P2311" s="2" t="s">
        <v>6925</v>
      </c>
      <c r="Q2311" s="7"/>
      <c r="R2311" s="1"/>
      <c r="S2311" s="1" t="str">
        <f>"2-22/NOS-13/22"</f>
        <v>2-22/NOS-13/22</v>
      </c>
      <c r="T2311" s="1" t="s">
        <v>43</v>
      </c>
    </row>
    <row r="2312" spans="1:20" ht="216.75" x14ac:dyDescent="0.25">
      <c r="A2312" s="6">
        <v>2308</v>
      </c>
      <c r="B2312" s="1" t="str">
        <f>"2022-77"</f>
        <v>2022-77</v>
      </c>
      <c r="C2312" s="1" t="s">
        <v>814</v>
      </c>
      <c r="D2312" s="1" t="s">
        <v>815</v>
      </c>
      <c r="E2312" s="1" t="str">
        <f>"2022/S 0F2-0016941"</f>
        <v>2022/S 0F2-0016941</v>
      </c>
      <c r="F2312" s="1" t="s">
        <v>22</v>
      </c>
      <c r="G2312" s="1" t="str">
        <f>CONCATENATE("SMIT-COMMERCE D.O.O.,"," GORNJOSTUPNIČKA 9B,"," 10255 GORNJI STUPNIK,"," OIB: 95243482140",CHAR(10),"",CHAR(10),"TOKIĆ D.O.O.,"," ULICA 144. BRIGADE HRVATSKE VOJSKE 1A,"," 10360 SESVETE,"," OIB: 74867487620",CHAR(10),"",CHAR(10),"BAUMACHER D.O.O.,"," MIKE TRIPALA 4,"," 10000 ZAGREB,"," OIB: 3055929744")</f>
        <v>SMIT-COMMERCE D.O.O., GORNJOSTUPNIČKA 9B, 10255 GORNJI STUPNIK, OIB: 95243482140
TOKIĆ D.O.O., ULICA 144. BRIGADE HRVATSKE VOJSKE 1A, 10360 SESVETE, OIB: 74867487620
BAUMACHER D.O.O., MIKE TRIPALA 4, 10000 ZAGREB, OIB: 3055929744</v>
      </c>
      <c r="H2312" s="7"/>
      <c r="I2312" s="8" t="s">
        <v>415</v>
      </c>
      <c r="J2312" s="8" t="s">
        <v>1847</v>
      </c>
      <c r="K2312" s="6" t="str">
        <f>"245.000,00"</f>
        <v>245.000,00</v>
      </c>
      <c r="L2312" s="6" t="str">
        <f>"61.250,00"</f>
        <v>61.250,00</v>
      </c>
      <c r="M2312" s="6" t="str">
        <f>"306.250,00"</f>
        <v>306.250,00</v>
      </c>
      <c r="N2312" s="8" t="s">
        <v>124</v>
      </c>
      <c r="O2312" s="7"/>
      <c r="P2312" s="2" t="s">
        <v>5614</v>
      </c>
      <c r="Q2312" s="7"/>
      <c r="R2312" s="1"/>
      <c r="S2312" s="1" t="str">
        <f>"NOS-23-1/22"</f>
        <v>NOS-23-1/22</v>
      </c>
      <c r="T2312" s="1" t="s">
        <v>32</v>
      </c>
    </row>
    <row r="2313" spans="1:20" ht="63.75" x14ac:dyDescent="0.25">
      <c r="A2313" s="6">
        <v>2309</v>
      </c>
      <c r="B2313" s="1" t="str">
        <f>"2022-77"</f>
        <v>2022-77</v>
      </c>
      <c r="C2313" s="1" t="s">
        <v>817</v>
      </c>
      <c r="D2313" s="1" t="s">
        <v>815</v>
      </c>
      <c r="E2313" s="1" t="str">
        <f>""</f>
        <v/>
      </c>
      <c r="F2313" s="1" t="s">
        <v>28</v>
      </c>
      <c r="G2313" s="1" t="str">
        <f>CONCATENATE("TOKIĆ D.O.O.,"," ULICA 144. BRIGADE HRVATSKE VOJSKE 1A,"," 10360 SESVETE,"," OIB: 7486748762")</f>
        <v>TOKIĆ D.O.O., ULICA 144. BRIGADE HRVATSKE VOJSKE 1A, 10360 SESVETE, OIB: 7486748762</v>
      </c>
      <c r="H2313" s="7"/>
      <c r="I2313" s="8" t="s">
        <v>170</v>
      </c>
      <c r="J2313" s="8" t="s">
        <v>1400</v>
      </c>
      <c r="K2313" s="6" t="str">
        <f>"3.650,00"</f>
        <v>3.650,00</v>
      </c>
      <c r="L2313" s="6" t="str">
        <f>"912,50"</f>
        <v>912,50</v>
      </c>
      <c r="M2313" s="6" t="str">
        <f>"4.562,50"</f>
        <v>4.562,50</v>
      </c>
      <c r="N2313" s="8" t="s">
        <v>124</v>
      </c>
      <c r="O2313" s="7"/>
      <c r="P2313" s="2" t="s">
        <v>5614</v>
      </c>
      <c r="Q2313" s="7"/>
      <c r="R2313" s="1"/>
      <c r="S2313" s="1" t="str">
        <f>"2-22/NOS-23-1/22"</f>
        <v>2-22/NOS-23-1/22</v>
      </c>
      <c r="T2313" s="1" t="s">
        <v>32</v>
      </c>
    </row>
    <row r="2314" spans="1:20" ht="76.5" x14ac:dyDescent="0.25">
      <c r="A2314" s="6">
        <v>2310</v>
      </c>
      <c r="B2314" s="1" t="str">
        <f>"2020-2786"</f>
        <v>2020-2786</v>
      </c>
      <c r="C2314" s="1" t="s">
        <v>1002</v>
      </c>
      <c r="D2314" s="1" t="s">
        <v>1003</v>
      </c>
      <c r="E2314" s="1" t="str">
        <f>""</f>
        <v/>
      </c>
      <c r="F2314" s="1" t="s">
        <v>1848</v>
      </c>
      <c r="G2314" s="1" t="str">
        <f>CONCATENATE("HEP-OPSKRBA D.O.O.,"," ULICA GRADA VUKOVARA 37,"," 10000 ZAGREB,"," OIB: 63073332379")</f>
        <v>HEP-OPSKRBA D.O.O., ULICA GRADA VUKOVARA 37, 10000 ZAGREB, OIB: 63073332379</v>
      </c>
      <c r="H2314" s="7"/>
      <c r="I2314" s="8" t="s">
        <v>564</v>
      </c>
      <c r="J2314" s="8" t="s">
        <v>58</v>
      </c>
      <c r="K2314" s="6" t="str">
        <f>"67.596.530,31"</f>
        <v>67.596.530,31</v>
      </c>
      <c r="L2314" s="6" t="str">
        <f>"16.899.132,58"</f>
        <v>16.899.132,58</v>
      </c>
      <c r="M2314" s="6" t="str">
        <f>"84.495.662,89"</f>
        <v>84.495.662,89</v>
      </c>
      <c r="N2314" s="8" t="s">
        <v>1849</v>
      </c>
      <c r="O2314" s="7"/>
      <c r="P2314" s="2" t="s">
        <v>5614</v>
      </c>
      <c r="Q2314" s="7"/>
      <c r="R2314" s="1"/>
      <c r="S2314" s="1" t="str">
        <f>"NOS-20-ZGH/20#1"</f>
        <v>NOS-20-ZGH/20#1</v>
      </c>
      <c r="T2314" s="1" t="s">
        <v>32</v>
      </c>
    </row>
    <row r="2315" spans="1:20" ht="102" x14ac:dyDescent="0.25">
      <c r="A2315" s="6">
        <v>2311</v>
      </c>
      <c r="B2315" s="1" t="str">
        <f>"2020-2786"</f>
        <v>2020-2786</v>
      </c>
      <c r="C2315" s="1" t="s">
        <v>1850</v>
      </c>
      <c r="D2315" s="1" t="s">
        <v>1005</v>
      </c>
      <c r="E2315" s="1" t="str">
        <f>""</f>
        <v/>
      </c>
      <c r="F2315" s="1" t="s">
        <v>92</v>
      </c>
      <c r="G2315" s="1" t="str">
        <f>CONCATENATE("HEP-OPSKRBA D.O.O.,"," ULICA GRADA VUKOVARA 37,"," 10000 ZAGREB,"," OIB: 63073332379")</f>
        <v>HEP-OPSKRBA D.O.O., ULICA GRADA VUKOVARA 37, 10000 ZAGREB, OIB: 63073332379</v>
      </c>
      <c r="H2315" s="7"/>
      <c r="I2315" s="8" t="s">
        <v>54</v>
      </c>
      <c r="J2315" s="8" t="s">
        <v>490</v>
      </c>
      <c r="K2315" s="6" t="str">
        <f>"9.311.507,88"</f>
        <v>9.311.507,88</v>
      </c>
      <c r="L2315" s="6" t="str">
        <f>"2.327.876,97"</f>
        <v>2.327.876,97</v>
      </c>
      <c r="M2315" s="6" t="str">
        <f>"11.639.384,85"</f>
        <v>11.639.384,85</v>
      </c>
      <c r="N2315" s="8" t="s">
        <v>124</v>
      </c>
      <c r="O2315" s="7"/>
      <c r="P2315" s="2" t="s">
        <v>6926</v>
      </c>
      <c r="Q2315" s="7"/>
      <c r="R2315" s="1"/>
      <c r="S2315" s="1" t="str">
        <f>"1-22/NOS-20-ZGH/20#1"</f>
        <v>1-22/NOS-20-ZGH/20#1</v>
      </c>
      <c r="T2315" s="1" t="s">
        <v>32</v>
      </c>
    </row>
    <row r="2316" spans="1:20" ht="89.25" x14ac:dyDescent="0.25">
      <c r="A2316" s="6">
        <v>2312</v>
      </c>
      <c r="B2316" s="1" t="str">
        <f>"2021-1891"</f>
        <v>2021-1891</v>
      </c>
      <c r="C2316" s="1" t="s">
        <v>1851</v>
      </c>
      <c r="D2316" s="1" t="s">
        <v>653</v>
      </c>
      <c r="E2316" s="1" t="str">
        <f>"2022/S 0F2-0003269"</f>
        <v>2022/S 0F2-0003269</v>
      </c>
      <c r="F2316" s="1" t="s">
        <v>22</v>
      </c>
      <c r="G2316" s="1" t="str">
        <f>CONCATENATE("POLJO-PROM,"," VL. ZLATKO KRIŽANIĆ,"," HRAŠĆE TUROPOLJSKO,"," KRIŽANIĆI 27,"," 10020 ZAGREB-NOVI ZAGREB,"," OIB: 22277452223")</f>
        <v>POLJO-PROM, VL. ZLATKO KRIŽANIĆ, HRAŠĆE TUROPOLJSKO, KRIŽANIĆI 27, 10020 ZAGREB-NOVI ZAGREB, OIB: 22277452223</v>
      </c>
      <c r="H2316" s="7"/>
      <c r="I2316" s="8" t="s">
        <v>1157</v>
      </c>
      <c r="J2316" s="8" t="s">
        <v>1796</v>
      </c>
      <c r="K2316" s="6" t="str">
        <f>"2.500.000,00"</f>
        <v>2.500.000,00</v>
      </c>
      <c r="L2316" s="6" t="str">
        <f>"625.000,00"</f>
        <v>625.000,00</v>
      </c>
      <c r="M2316" s="6" t="str">
        <f>"3.125.000,00"</f>
        <v>3.125.000,00</v>
      </c>
      <c r="N2316" s="8" t="s">
        <v>124</v>
      </c>
      <c r="O2316" s="7"/>
      <c r="P2316" s="2" t="s">
        <v>5614</v>
      </c>
      <c r="Q2316" s="7"/>
      <c r="R2316" s="1"/>
      <c r="S2316" s="1" t="str">
        <f>"NOS-96-15/21"</f>
        <v>NOS-96-15/21</v>
      </c>
      <c r="T2316" s="1" t="s">
        <v>32</v>
      </c>
    </row>
    <row r="2317" spans="1:20" ht="89.25" x14ac:dyDescent="0.25">
      <c r="A2317" s="6">
        <v>2313</v>
      </c>
      <c r="B2317" s="1" t="str">
        <f>"2021-1891"</f>
        <v>2021-1891</v>
      </c>
      <c r="C2317" s="1" t="s">
        <v>1851</v>
      </c>
      <c r="D2317" s="1" t="s">
        <v>653</v>
      </c>
      <c r="E2317" s="1" t="str">
        <f>""</f>
        <v/>
      </c>
      <c r="F2317" s="1" t="s">
        <v>28</v>
      </c>
      <c r="G2317" s="1" t="str">
        <f>CONCATENATE("POLJO-PROM,"," VL. ZLATKO KRIŽANIĆ,"," HRAŠĆE TUROPOLJSKO,"," KRIŽANIĆI 27,"," 10020 ZAGREB-NOVI ZAGREB,"," OIB: 22277452223")</f>
        <v>POLJO-PROM, VL. ZLATKO KRIŽANIĆ, HRAŠĆE TUROPOLJSKO, KRIŽANIĆI 27, 10020 ZAGREB-NOVI ZAGREB, OIB: 22277452223</v>
      </c>
      <c r="H2317" s="7"/>
      <c r="I2317" s="8" t="s">
        <v>892</v>
      </c>
      <c r="J2317" s="8" t="s">
        <v>1852</v>
      </c>
      <c r="K2317" s="6" t="str">
        <f>"260.900,00"</f>
        <v>260.900,00</v>
      </c>
      <c r="L2317" s="6" t="str">
        <f>"0,00"</f>
        <v>0,00</v>
      </c>
      <c r="M2317" s="6" t="str">
        <f>"260.900,00"</f>
        <v>260.900,00</v>
      </c>
      <c r="N2317" s="8" t="s">
        <v>146</v>
      </c>
      <c r="O2317" s="7"/>
      <c r="P2317" s="2" t="s">
        <v>6927</v>
      </c>
      <c r="Q2317" s="7"/>
      <c r="R2317" s="1"/>
      <c r="S2317" s="1" t="str">
        <f>"2-22/NOS-96-15/21"</f>
        <v>2-22/NOS-96-15/21</v>
      </c>
      <c r="T2317" s="1" t="s">
        <v>32</v>
      </c>
    </row>
    <row r="2318" spans="1:20" ht="165.75" x14ac:dyDescent="0.25">
      <c r="A2318" s="6">
        <v>2314</v>
      </c>
      <c r="B2318" s="1" t="str">
        <f>"2022-3"</f>
        <v>2022-3</v>
      </c>
      <c r="C2318" s="1" t="s">
        <v>1853</v>
      </c>
      <c r="D2318" s="1" t="s">
        <v>1012</v>
      </c>
      <c r="E2318" s="1" t="str">
        <f>"2022/S 0F2-0032900"</f>
        <v>2022/S 0F2-0032900</v>
      </c>
      <c r="F2318" s="1" t="s">
        <v>22</v>
      </c>
      <c r="G2318" s="1" t="str">
        <f>CONCATENATE("INA D.D.,"," AVENIJA VEĆESLAVA HOLJEVCA 10,"," 10000 ZAGREB,"," OIB: 27759560625")</f>
        <v>INA D.D., AVENIJA VEĆESLAVA HOLJEVCA 10, 10000 ZAGREB, OIB: 27759560625</v>
      </c>
      <c r="H2318" s="7"/>
      <c r="I2318" s="8" t="s">
        <v>566</v>
      </c>
      <c r="J2318" s="8" t="s">
        <v>1854</v>
      </c>
      <c r="K2318" s="6" t="str">
        <f>"72.503.000,00"</f>
        <v>72.503.000,00</v>
      </c>
      <c r="L2318" s="6" t="str">
        <f>"18.125.750,00"</f>
        <v>18.125.750,00</v>
      </c>
      <c r="M2318" s="6" t="str">
        <f>"90.628.750,00"</f>
        <v>90.628.750,00</v>
      </c>
      <c r="N2318" s="8" t="s">
        <v>124</v>
      </c>
      <c r="O2318" s="7"/>
      <c r="P2318" s="2" t="s">
        <v>5614</v>
      </c>
      <c r="Q2318" s="7"/>
      <c r="R2318" s="1"/>
      <c r="S2318" s="1" t="str">
        <f>"NOS-30-2-ZGH/22"</f>
        <v>NOS-30-2-ZGH/22</v>
      </c>
      <c r="T2318" s="1" t="s">
        <v>49</v>
      </c>
    </row>
    <row r="2319" spans="1:20" ht="76.5" x14ac:dyDescent="0.25">
      <c r="A2319" s="6">
        <v>2315</v>
      </c>
      <c r="B2319" s="1" t="str">
        <f>"2022-3"</f>
        <v>2022-3</v>
      </c>
      <c r="C2319" s="1" t="s">
        <v>1855</v>
      </c>
      <c r="D2319" s="1" t="s">
        <v>1016</v>
      </c>
      <c r="E2319" s="1" t="str">
        <f>""</f>
        <v/>
      </c>
      <c r="F2319" s="1" t="s">
        <v>28</v>
      </c>
      <c r="G2319" s="1" t="str">
        <f>CONCATENATE("INA D.D.,"," AVENIJA VEĆESLAVA HOLJEVCA 10,"," 10000 ZAGREB,"," OIB: 27759560625")</f>
        <v>INA D.D., AVENIJA VEĆESLAVA HOLJEVCA 10, 10000 ZAGREB, OIB: 27759560625</v>
      </c>
      <c r="H2319" s="7"/>
      <c r="I2319" s="8" t="s">
        <v>1147</v>
      </c>
      <c r="J2319" s="8" t="s">
        <v>389</v>
      </c>
      <c r="K2319" s="6" t="str">
        <f>"10.292.800,00"</f>
        <v>10.292.800,00</v>
      </c>
      <c r="L2319" s="6" t="str">
        <f>"2.573.200,00"</f>
        <v>2.573.200,00</v>
      </c>
      <c r="M2319" s="6" t="str">
        <f>"12.866.000,00"</f>
        <v>12.866.000,00</v>
      </c>
      <c r="N2319" s="8" t="s">
        <v>124</v>
      </c>
      <c r="O2319" s="7"/>
      <c r="P2319" s="2" t="s">
        <v>6928</v>
      </c>
      <c r="Q2319" s="1"/>
      <c r="R2319" s="1"/>
      <c r="S2319" s="1" t="str">
        <f>"1-22/NOS-30-2-ZGH/22"</f>
        <v>1-22/NOS-30-2-ZGH/22</v>
      </c>
      <c r="T2319" s="1" t="s">
        <v>32</v>
      </c>
    </row>
    <row r="2320" spans="1:20" ht="76.5" x14ac:dyDescent="0.25">
      <c r="A2320" s="6">
        <v>2316</v>
      </c>
      <c r="B2320" s="1" t="str">
        <f>"2022-3"</f>
        <v>2022-3</v>
      </c>
      <c r="C2320" s="1" t="s">
        <v>1856</v>
      </c>
      <c r="D2320" s="1" t="s">
        <v>1016</v>
      </c>
      <c r="E2320" s="1" t="str">
        <f>""</f>
        <v/>
      </c>
      <c r="F2320" s="1" t="s">
        <v>28</v>
      </c>
      <c r="G2320" s="1" t="str">
        <f>CONCATENATE("INA D.D.,"," AVENIJA VEĆESLAVA HOLJEVCA 10,"," 10000 ZAGREB,"," OIB: 27759560625")</f>
        <v>INA D.D., AVENIJA VEĆESLAVA HOLJEVCA 10, 10000 ZAGREB, OIB: 27759560625</v>
      </c>
      <c r="H2320" s="7"/>
      <c r="I2320" s="8" t="s">
        <v>1123</v>
      </c>
      <c r="J2320" s="8" t="s">
        <v>389</v>
      </c>
      <c r="K2320" s="6" t="str">
        <f>"8.141.586,00"</f>
        <v>8.141.586,00</v>
      </c>
      <c r="L2320" s="6" t="str">
        <f>"2.035.396,50"</f>
        <v>2.035.396,50</v>
      </c>
      <c r="M2320" s="6" t="str">
        <f>"10.176.982,50"</f>
        <v>10.176.982,50</v>
      </c>
      <c r="N2320" s="8" t="s">
        <v>124</v>
      </c>
      <c r="O2320" s="7"/>
      <c r="P2320" s="2" t="s">
        <v>5614</v>
      </c>
      <c r="Q2320" s="7"/>
      <c r="R2320" s="1"/>
      <c r="S2320" s="1" t="str">
        <f>"2-22/NOS-30-2-ZGH/22"</f>
        <v>2-22/NOS-30-2-ZGH/22</v>
      </c>
      <c r="T2320" s="1" t="s">
        <v>32</v>
      </c>
    </row>
    <row r="2321" spans="1:20" ht="114.75" x14ac:dyDescent="0.25">
      <c r="A2321" s="6">
        <v>2317</v>
      </c>
      <c r="B2321" s="1" t="str">
        <f>"2022-312"</f>
        <v>2022-312</v>
      </c>
      <c r="C2321" s="1" t="s">
        <v>1857</v>
      </c>
      <c r="D2321" s="1" t="s">
        <v>1781</v>
      </c>
      <c r="E2321" s="1" t="str">
        <f>"2022/S 0F2-0016700"</f>
        <v>2022/S 0F2-0016700</v>
      </c>
      <c r="F2321" s="1" t="s">
        <v>22</v>
      </c>
      <c r="G2321" s="1" t="str">
        <f>CONCATENATE("FDS-TRGOVINA D.O.O.,"," MAJSTORSKA 1G,"," 10000 ZAGREB,"," OIB: 71814187727",CHAR(10),"",CHAR(10),"VODOSKOK D.D.,"," ČULINEČKA CESTA 221/C,"," 10040 ZAGREB,"," OIB: 34134218058")</f>
        <v>FDS-TRGOVINA D.O.O., MAJSTORSKA 1G, 10000 ZAGREB, OIB: 71814187727
VODOSKOK D.D., ČULINEČKA CESTA 221/C, 10040 ZAGREB, OIB: 34134218058</v>
      </c>
      <c r="H2321" s="7"/>
      <c r="I2321" s="8" t="s">
        <v>508</v>
      </c>
      <c r="J2321" s="8" t="s">
        <v>1854</v>
      </c>
      <c r="K2321" s="6" t="str">
        <f>"2.500.000,00"</f>
        <v>2.500.000,00</v>
      </c>
      <c r="L2321" s="6" t="str">
        <f>"625.000,00"</f>
        <v>625.000,00</v>
      </c>
      <c r="M2321" s="6" t="str">
        <f>"3.125.000,00"</f>
        <v>3.125.000,00</v>
      </c>
      <c r="N2321" s="8" t="s">
        <v>124</v>
      </c>
      <c r="O2321" s="7"/>
      <c r="P2321" s="2" t="s">
        <v>5614</v>
      </c>
      <c r="Q2321" s="7"/>
      <c r="R2321" s="1"/>
      <c r="S2321" s="1" t="str">
        <f>"NOS-32/22"</f>
        <v>NOS-32/22</v>
      </c>
      <c r="T2321" s="1" t="s">
        <v>55</v>
      </c>
    </row>
    <row r="2322" spans="1:20" ht="51" x14ac:dyDescent="0.25">
      <c r="A2322" s="6">
        <v>2318</v>
      </c>
      <c r="B2322" s="1" t="str">
        <f>"2022-312"</f>
        <v>2022-312</v>
      </c>
      <c r="C2322" s="1" t="s">
        <v>1857</v>
      </c>
      <c r="D2322" s="1" t="s">
        <v>1783</v>
      </c>
      <c r="E2322" s="1" t="str">
        <f>""</f>
        <v/>
      </c>
      <c r="F2322" s="1" t="s">
        <v>28</v>
      </c>
      <c r="G2322" s="1" t="str">
        <f>CONCATENATE("VODOSKOK D.D.,"," ČULINEČKA CESTA 221/C,"," 10040 ZAGREB,"," OIB: 34134218058")</f>
        <v>VODOSKOK D.D., ČULINEČKA CESTA 221/C, 10040 ZAGREB, OIB: 34134218058</v>
      </c>
      <c r="H2322" s="7"/>
      <c r="I2322" s="8" t="s">
        <v>170</v>
      </c>
      <c r="J2322" s="8" t="s">
        <v>292</v>
      </c>
      <c r="K2322" s="6" t="str">
        <f>"407.124,00"</f>
        <v>407.124,00</v>
      </c>
      <c r="L2322" s="6" t="str">
        <f>"0,00"</f>
        <v>0,00</v>
      </c>
      <c r="M2322" s="6" t="str">
        <f>"407.124,00"</f>
        <v>407.124,00</v>
      </c>
      <c r="N2322" s="8" t="s">
        <v>124</v>
      </c>
      <c r="O2322" s="7"/>
      <c r="P2322" s="2" t="s">
        <v>5614</v>
      </c>
      <c r="Q2322" s="7"/>
      <c r="R2322" s="1"/>
      <c r="S2322" s="1" t="str">
        <f>"1-22/NOS-32/22"</f>
        <v>1-22/NOS-32/22</v>
      </c>
      <c r="T2322" s="1" t="s">
        <v>55</v>
      </c>
    </row>
    <row r="2323" spans="1:20" ht="63.75" x14ac:dyDescent="0.25">
      <c r="A2323" s="6">
        <v>2319</v>
      </c>
      <c r="B2323" s="1" t="str">
        <f>"2021-1713"</f>
        <v>2021-1713</v>
      </c>
      <c r="C2323" s="1" t="s">
        <v>1858</v>
      </c>
      <c r="D2323" s="1" t="s">
        <v>1859</v>
      </c>
      <c r="E2323" s="1" t="str">
        <f>""</f>
        <v/>
      </c>
      <c r="F2323" s="1" t="s">
        <v>1860</v>
      </c>
      <c r="G2323" s="1" t="str">
        <f>CONCATENATE(" CENTAR ZA PLIN HRVATSKE D.O.O.,"," HEINZELOVA 9,"," 10000 ZAGREB,"," OIB: 9324964896")</f>
        <v xml:space="preserve"> CENTAR ZA PLIN HRVATSKE D.O.O., HEINZELOVA 9, 10000 ZAGREB, OIB: 9324964896</v>
      </c>
      <c r="H2323" s="7"/>
      <c r="I2323" s="8" t="s">
        <v>1861</v>
      </c>
      <c r="J2323" s="8" t="s">
        <v>252</v>
      </c>
      <c r="K2323" s="6" t="str">
        <f>"12.480,00"</f>
        <v>12.480,00</v>
      </c>
      <c r="L2323" s="6" t="str">
        <f>"3.120,00"</f>
        <v>3.120,00</v>
      </c>
      <c r="M2323" s="6" t="str">
        <f>"15.600,00"</f>
        <v>15.600,00</v>
      </c>
      <c r="N2323" s="7"/>
      <c r="O2323" s="9">
        <v>44488</v>
      </c>
      <c r="P2323" s="2" t="s">
        <v>5614</v>
      </c>
      <c r="Q2323" s="7"/>
      <c r="R2323" s="1"/>
      <c r="S2323" s="1" t="str">
        <f>"GZ-UN-2021-19092"</f>
        <v>GZ-UN-2021-19092</v>
      </c>
      <c r="T2323" s="1" t="s">
        <v>43</v>
      </c>
    </row>
    <row r="2324" spans="1:20" ht="63.75" x14ac:dyDescent="0.25">
      <c r="A2324" s="6">
        <v>2320</v>
      </c>
      <c r="B2324" s="1" t="str">
        <f>"2021-2151"</f>
        <v>2021-2151</v>
      </c>
      <c r="C2324" s="1" t="s">
        <v>1862</v>
      </c>
      <c r="D2324" s="1" t="s">
        <v>1863</v>
      </c>
      <c r="E2324" s="1" t="str">
        <f>""</f>
        <v/>
      </c>
      <c r="F2324" s="1" t="s">
        <v>1860</v>
      </c>
      <c r="G2324" s="1" t="str">
        <f>CONCATENATE(" GRADITELJSTVO PAVE VUKELIĆ D.O.O.,"," LUKARSKA,"," LUKARIŠĆE 43,"," 10370 DUGO SELO,"," OIB: 21229144792")</f>
        <v xml:space="preserve"> GRADITELJSTVO PAVE VUKELIĆ D.O.O., LUKARSKA, LUKARIŠĆE 43, 10370 DUGO SELO, OIB: 21229144792</v>
      </c>
      <c r="H2324" s="7"/>
      <c r="I2324" s="8" t="s">
        <v>891</v>
      </c>
      <c r="J2324" s="8" t="s">
        <v>414</v>
      </c>
      <c r="K2324" s="6" t="str">
        <f>"457.920,00"</f>
        <v>457.920,00</v>
      </c>
      <c r="L2324" s="6" t="str">
        <f>"114.480,00"</f>
        <v>114.480,00</v>
      </c>
      <c r="M2324" s="6" t="str">
        <f>"572.400,00"</f>
        <v>572.400,00</v>
      </c>
      <c r="N2324" s="8" t="s">
        <v>124</v>
      </c>
      <c r="O2324" s="7"/>
      <c r="P2324" s="2" t="s">
        <v>5614</v>
      </c>
      <c r="Q2324" s="7"/>
      <c r="R2324" s="1"/>
      <c r="S2324" s="1" t="str">
        <f>"GZ-976/2021"</f>
        <v>GZ-976/2021</v>
      </c>
      <c r="T2324" s="1" t="s">
        <v>55</v>
      </c>
    </row>
    <row r="2325" spans="1:20" ht="102" x14ac:dyDescent="0.25">
      <c r="A2325" s="6">
        <v>2321</v>
      </c>
      <c r="B2325" s="1" t="str">
        <f>"2022-1944"</f>
        <v>2022-1944</v>
      </c>
      <c r="C2325" s="1" t="s">
        <v>1864</v>
      </c>
      <c r="D2325" s="1" t="s">
        <v>1865</v>
      </c>
      <c r="E2325" s="1" t="str">
        <f>"2022/S 0F2-0030045"</f>
        <v>2022/S 0F2-0030045</v>
      </c>
      <c r="F2325" s="1" t="s">
        <v>22</v>
      </c>
      <c r="G2325" s="1" t="str">
        <f>CONCATENATE("REAL GRUPA D.O.O.,"," LJUDEVITA POSAVSKOG 31,"," 10000 ZAGREB,"," OIB: 57210097686")</f>
        <v>REAL GRUPA D.O.O., LJUDEVITA POSAVSKOG 31, 10000 ZAGREB, OIB: 57210097686</v>
      </c>
      <c r="H2325" s="7"/>
      <c r="I2325" s="8" t="s">
        <v>1025</v>
      </c>
      <c r="J2325" s="8" t="s">
        <v>1866</v>
      </c>
      <c r="K2325" s="6" t="str">
        <f>"1.114.749,98"</f>
        <v>1.114.749,98</v>
      </c>
      <c r="L2325" s="6" t="str">
        <f>"278.687,50"</f>
        <v>278.687,50</v>
      </c>
      <c r="M2325" s="6" t="str">
        <f>"1.393.437,48"</f>
        <v>1.393.437,48</v>
      </c>
      <c r="N2325" s="8" t="s">
        <v>124</v>
      </c>
      <c r="O2325" s="7"/>
      <c r="P2325" s="2" t="s">
        <v>6929</v>
      </c>
      <c r="Q2325" s="7"/>
      <c r="R2325" s="1"/>
      <c r="S2325" s="1" t="str">
        <f>"N-8-1/22"</f>
        <v>N-8-1/22</v>
      </c>
      <c r="T2325" s="1" t="s">
        <v>32</v>
      </c>
    </row>
    <row r="2326" spans="1:20" ht="38.25" x14ac:dyDescent="0.25">
      <c r="A2326" s="6">
        <v>2322</v>
      </c>
      <c r="B2326" s="1" t="str">
        <f>"2022-1739"</f>
        <v>2022-1739</v>
      </c>
      <c r="C2326" s="1" t="s">
        <v>1867</v>
      </c>
      <c r="D2326" s="1" t="s">
        <v>1868</v>
      </c>
      <c r="E2326" s="1" t="str">
        <f>"2022/S 0F2-0018383"</f>
        <v>2022/S 0F2-0018383</v>
      </c>
      <c r="F2326" s="1" t="s">
        <v>22</v>
      </c>
      <c r="G2326" s="1" t="str">
        <f>CONCATENATE("PERUČA D.O.O.,"," DOBRA ULICA 2,"," 31000 OSIJEK,"," OIB: 53353155732")</f>
        <v>PERUČA D.O.O., DOBRA ULICA 2, 31000 OSIJEK, OIB: 53353155732</v>
      </c>
      <c r="H2326" s="7"/>
      <c r="I2326" s="8" t="s">
        <v>285</v>
      </c>
      <c r="J2326" s="8" t="s">
        <v>1869</v>
      </c>
      <c r="K2326" s="6" t="str">
        <f>"1.825.670,50"</f>
        <v>1.825.670,50</v>
      </c>
      <c r="L2326" s="6" t="str">
        <f>"456.417,63"</f>
        <v>456.417,63</v>
      </c>
      <c r="M2326" s="6" t="str">
        <f>"2.282.088,13"</f>
        <v>2.282.088,13</v>
      </c>
      <c r="N2326" s="8" t="s">
        <v>124</v>
      </c>
      <c r="O2326" s="7"/>
      <c r="P2326" s="2" t="s">
        <v>5614</v>
      </c>
      <c r="Q2326" s="7"/>
      <c r="R2326" s="1"/>
      <c r="S2326" s="1" t="str">
        <f>"N-11-1/22"</f>
        <v>N-11-1/22</v>
      </c>
      <c r="T2326" s="1" t="s">
        <v>32</v>
      </c>
    </row>
    <row r="2327" spans="1:20" ht="102" x14ac:dyDescent="0.25">
      <c r="A2327" s="6">
        <v>2323</v>
      </c>
      <c r="B2327" s="1" t="str">
        <f>"2021-1973"</f>
        <v>2021-1973</v>
      </c>
      <c r="C2327" s="1" t="s">
        <v>1870</v>
      </c>
      <c r="D2327" s="1" t="s">
        <v>1871</v>
      </c>
      <c r="E2327" s="1" t="str">
        <f>"2021/S 0F2-0018108"</f>
        <v>2021/S 0F2-0018108</v>
      </c>
      <c r="F2327" s="1" t="s">
        <v>22</v>
      </c>
      <c r="G2327" s="1" t="str">
        <f>CONCATENATE("GTM D.O.O.,"," JURAJA HABDELIĆA 14,"," 10410 VELIKA GORICA,"," OIB: 42349541784")</f>
        <v>GTM D.O.O., JURAJA HABDELIĆA 14, 10410 VELIKA GORICA, OIB: 42349541784</v>
      </c>
      <c r="H2327" s="1" t="str">
        <f>CONCATENATE("MAČARMONT D.O.O.,"," OIB: 90448336887")</f>
        <v>MAČARMONT D.O.O., OIB: 90448336887</v>
      </c>
      <c r="I2327" s="8" t="s">
        <v>225</v>
      </c>
      <c r="J2327" s="8" t="s">
        <v>1872</v>
      </c>
      <c r="K2327" s="6" t="str">
        <f>"1.978.886,36"</f>
        <v>1.978.886,36</v>
      </c>
      <c r="L2327" s="6" t="str">
        <f>"494.721,59"</f>
        <v>494.721,59</v>
      </c>
      <c r="M2327" s="6" t="str">
        <f>"2.473.607,95"</f>
        <v>2.473.607,95</v>
      </c>
      <c r="N2327" s="8" t="s">
        <v>124</v>
      </c>
      <c r="O2327" s="7"/>
      <c r="P2327" s="2" t="s">
        <v>5614</v>
      </c>
      <c r="Q2327" s="7"/>
      <c r="R2327" s="1"/>
      <c r="S2327" s="1" t="str">
        <f>"N-12-1/21"</f>
        <v>N-12-1/21</v>
      </c>
      <c r="T2327" s="1" t="s">
        <v>55</v>
      </c>
    </row>
    <row r="2328" spans="1:20" ht="89.25" x14ac:dyDescent="0.25">
      <c r="A2328" s="6">
        <v>2324</v>
      </c>
      <c r="B2328" s="1" t="str">
        <f>"2021-2259"</f>
        <v>2021-2259</v>
      </c>
      <c r="C2328" s="1" t="s">
        <v>1873</v>
      </c>
      <c r="D2328" s="1" t="s">
        <v>1874</v>
      </c>
      <c r="E2328" s="1" t="str">
        <f>"2021/S 0F2-0036375"</f>
        <v>2021/S 0F2-0036375</v>
      </c>
      <c r="F2328" s="1" t="s">
        <v>22</v>
      </c>
      <c r="G2328" s="1" t="str">
        <f>CONCATENATE("VEKTRA D.O.O.,"," BRANKA VODNIKA 4/B,"," 42000 VARAŽDIN,"," OIB: 56887977144")</f>
        <v>VEKTRA D.O.O., BRANKA VODNIKA 4/B, 42000 VARAŽDIN, OIB: 56887977144</v>
      </c>
      <c r="H2328" s="7"/>
      <c r="I2328" s="8" t="s">
        <v>1399</v>
      </c>
      <c r="J2328" s="8" t="s">
        <v>1875</v>
      </c>
      <c r="K2328" s="6" t="str">
        <f>"895.000,00"</f>
        <v>895.000,00</v>
      </c>
      <c r="L2328" s="6" t="str">
        <f>"223.750,00"</f>
        <v>223.750,00</v>
      </c>
      <c r="M2328" s="6" t="str">
        <f>"1.118.750,00"</f>
        <v>1.118.750,00</v>
      </c>
      <c r="N2328" s="8" t="s">
        <v>124</v>
      </c>
      <c r="O2328" s="7"/>
      <c r="P2328" s="2" t="s">
        <v>5614</v>
      </c>
      <c r="Q2328" s="7"/>
      <c r="R2328" s="1"/>
      <c r="S2328" s="1" t="str">
        <f>"N-14-1/21"</f>
        <v>N-14-1/21</v>
      </c>
      <c r="T2328" s="1" t="s">
        <v>32</v>
      </c>
    </row>
    <row r="2329" spans="1:20" ht="89.25" x14ac:dyDescent="0.25">
      <c r="A2329" s="6">
        <v>2325</v>
      </c>
      <c r="B2329" s="1" t="str">
        <f>"2022-1735"</f>
        <v>2022-1735</v>
      </c>
      <c r="C2329" s="1" t="s">
        <v>1876</v>
      </c>
      <c r="D2329" s="1" t="s">
        <v>1877</v>
      </c>
      <c r="E2329" s="1" t="str">
        <f>"2022/S 0F2-0015473"</f>
        <v>2022/S 0F2-0015473</v>
      </c>
      <c r="F2329" s="1" t="s">
        <v>22</v>
      </c>
      <c r="G2329" s="1" t="str">
        <f>CONCATENATE("ANDEL D.O.O.,"," MAJSTORSKA 1/G,"," 10000 ZAGREB,"," OIB: 81891996613")</f>
        <v>ANDEL D.O.O., MAJSTORSKA 1/G, 10000 ZAGREB, OIB: 81891996613</v>
      </c>
      <c r="H2329" s="7"/>
      <c r="I2329" s="8" t="s">
        <v>1157</v>
      </c>
      <c r="J2329" s="8" t="s">
        <v>1497</v>
      </c>
      <c r="K2329" s="6" t="str">
        <f>"27.000,00"</f>
        <v>27.000,00</v>
      </c>
      <c r="L2329" s="6" t="str">
        <f>"6.750,00"</f>
        <v>6.750,00</v>
      </c>
      <c r="M2329" s="6" t="str">
        <f>"33.750,00"</f>
        <v>33.750,00</v>
      </c>
      <c r="N2329" s="8" t="s">
        <v>124</v>
      </c>
      <c r="O2329" s="7"/>
      <c r="P2329" s="2" t="s">
        <v>5614</v>
      </c>
      <c r="Q2329" s="7"/>
      <c r="R2329" s="1"/>
      <c r="S2329" s="1" t="str">
        <f>"N-16-1/22"</f>
        <v>N-16-1/22</v>
      </c>
      <c r="T2329" s="1" t="s">
        <v>452</v>
      </c>
    </row>
    <row r="2330" spans="1:20" ht="51" x14ac:dyDescent="0.25">
      <c r="A2330" s="6">
        <v>2326</v>
      </c>
      <c r="B2330" s="1" t="str">
        <f>"2021-2246"</f>
        <v>2021-2246</v>
      </c>
      <c r="C2330" s="1" t="s">
        <v>1878</v>
      </c>
      <c r="D2330" s="1" t="s">
        <v>1877</v>
      </c>
      <c r="E2330" s="1" t="str">
        <f>"2021/S 0F2-0030105"</f>
        <v>2021/S 0F2-0030105</v>
      </c>
      <c r="F2330" s="1" t="s">
        <v>22</v>
      </c>
      <c r="G2330" s="1" t="str">
        <f>CONCATENATE("ANDEL D.O.O.,"," MAJSTORSKA 1/G,"," 10000 ZAGREB,"," OIB: 81891996613")</f>
        <v>ANDEL D.O.O., MAJSTORSKA 1/G, 10000 ZAGREB, OIB: 81891996613</v>
      </c>
      <c r="H2330" s="7"/>
      <c r="I2330" s="8" t="s">
        <v>757</v>
      </c>
      <c r="J2330" s="8" t="s">
        <v>1879</v>
      </c>
      <c r="K2330" s="6" t="str">
        <f>"620.500,00"</f>
        <v>620.500,00</v>
      </c>
      <c r="L2330" s="6" t="str">
        <f>"155.125,00"</f>
        <v>155.125,00</v>
      </c>
      <c r="M2330" s="6" t="str">
        <f>"775.625,00"</f>
        <v>775.625,00</v>
      </c>
      <c r="N2330" s="8" t="s">
        <v>124</v>
      </c>
      <c r="O2330" s="7"/>
      <c r="P2330" s="2" t="s">
        <v>6930</v>
      </c>
      <c r="Q2330" s="7"/>
      <c r="R2330" s="1"/>
      <c r="S2330" s="1" t="str">
        <f>"N-17-1/21"</f>
        <v>N-17-1/21</v>
      </c>
      <c r="T2330" s="1" t="s">
        <v>452</v>
      </c>
    </row>
    <row r="2331" spans="1:20" ht="76.5" x14ac:dyDescent="0.25">
      <c r="A2331" s="6">
        <v>2327</v>
      </c>
      <c r="B2331" s="1" t="str">
        <f>"2021-1821"</f>
        <v>2021-1821</v>
      </c>
      <c r="C2331" s="1" t="s">
        <v>1880</v>
      </c>
      <c r="D2331" s="1" t="s">
        <v>1881</v>
      </c>
      <c r="E2331" s="1" t="str">
        <f>"2021/S 0F2-0039694"</f>
        <v>2021/S 0F2-0039694</v>
      </c>
      <c r="F2331" s="1" t="s">
        <v>22</v>
      </c>
      <c r="G2331" s="1" t="str">
        <f>CONCATENATE("TEKNOXGROUP HRVATSKA D.O.O.,"," ZASTAVNICE 25D,"," 10251 HRVATSKI LESKOVAC,"," OIB: 31826907316")</f>
        <v>TEKNOXGROUP HRVATSKA D.O.O., ZASTAVNICE 25D, 10251 HRVATSKI LESKOVAC, OIB: 31826907316</v>
      </c>
      <c r="H2331" s="7"/>
      <c r="I2331" s="8" t="s">
        <v>398</v>
      </c>
      <c r="J2331" s="8" t="s">
        <v>1882</v>
      </c>
      <c r="K2331" s="6" t="str">
        <f>"1.285.476,00"</f>
        <v>1.285.476,00</v>
      </c>
      <c r="L2331" s="6" t="str">
        <f>"321.369,00"</f>
        <v>321.369,00</v>
      </c>
      <c r="M2331" s="6" t="str">
        <f>"1.606.845,00"</f>
        <v>1.606.845,00</v>
      </c>
      <c r="N2331" s="8" t="s">
        <v>124</v>
      </c>
      <c r="O2331" s="7"/>
      <c r="P2331" s="2" t="s">
        <v>5614</v>
      </c>
      <c r="Q2331" s="7"/>
      <c r="R2331" s="1"/>
      <c r="S2331" s="1" t="str">
        <f>"N-24-1/21"</f>
        <v>N-24-1/21</v>
      </c>
      <c r="T2331" s="1" t="s">
        <v>32</v>
      </c>
    </row>
    <row r="2332" spans="1:20" ht="51" x14ac:dyDescent="0.25">
      <c r="A2332" s="6">
        <v>2328</v>
      </c>
      <c r="B2332" s="1" t="str">
        <f>"2020-1879-A"</f>
        <v>2020-1879-A</v>
      </c>
      <c r="C2332" s="1" t="s">
        <v>1883</v>
      </c>
      <c r="D2332" s="1" t="s">
        <v>1884</v>
      </c>
      <c r="E2332" s="1" t="str">
        <f>"2020/S 0F2-0044401"</f>
        <v>2020/S 0F2-0044401</v>
      </c>
      <c r="F2332" s="1" t="s">
        <v>22</v>
      </c>
      <c r="G2332" s="1" t="str">
        <f>CONCATENATE("TRIDION D.O.O.,"," ZAPADNA LOZICA 10,"," 10000 ZAGREB,"," OIB: 79247590666")</f>
        <v>TRIDION D.O.O., ZAPADNA LOZICA 10, 10000 ZAGREB, OIB: 79247590666</v>
      </c>
      <c r="H2332" s="7"/>
      <c r="I2332" s="8" t="s">
        <v>840</v>
      </c>
      <c r="J2332" s="8" t="s">
        <v>424</v>
      </c>
      <c r="K2332" s="6" t="str">
        <f>"299.900,00"</f>
        <v>299.900,00</v>
      </c>
      <c r="L2332" s="6" t="str">
        <f>"74.975,00"</f>
        <v>74.975,00</v>
      </c>
      <c r="M2332" s="6" t="str">
        <f>"374.875,00"</f>
        <v>374.875,00</v>
      </c>
      <c r="N2332" s="8" t="s">
        <v>134</v>
      </c>
      <c r="O2332" s="7"/>
      <c r="P2332" s="2" t="s">
        <v>6931</v>
      </c>
      <c r="Q2332" s="7"/>
      <c r="R2332" s="1"/>
      <c r="S2332" s="1" t="str">
        <f>"N-79-1/20"</f>
        <v>N-79-1/20</v>
      </c>
      <c r="T2332" s="1" t="s">
        <v>32</v>
      </c>
    </row>
    <row r="2333" spans="1:20" ht="51" x14ac:dyDescent="0.25">
      <c r="A2333" s="6">
        <v>2329</v>
      </c>
      <c r="B2333" s="1" t="str">
        <f>"2020-1549"</f>
        <v>2020-1549</v>
      </c>
      <c r="C2333" s="1" t="s">
        <v>1885</v>
      </c>
      <c r="D2333" s="1" t="s">
        <v>1886</v>
      </c>
      <c r="E2333" s="1" t="str">
        <f>"2020/S 0F2-0042644"</f>
        <v>2020/S 0F2-0042644</v>
      </c>
      <c r="F2333" s="1" t="s">
        <v>22</v>
      </c>
      <c r="G2333" s="1" t="str">
        <f>CONCATENATE("DELTRON D.O.O.,"," VUKOVARSKA 148,"," 21000 SPLIT,"," OIB: 36118056137")</f>
        <v>DELTRON D.O.O., VUKOVARSKA 148, 21000 SPLIT, OIB: 36118056137</v>
      </c>
      <c r="H2333" s="7"/>
      <c r="I2333" s="8" t="s">
        <v>1298</v>
      </c>
      <c r="J2333" s="8" t="s">
        <v>521</v>
      </c>
      <c r="K2333" s="6" t="str">
        <f>"226.618,00"</f>
        <v>226.618,00</v>
      </c>
      <c r="L2333" s="6" t="str">
        <f>"56.654,50"</f>
        <v>56.654,50</v>
      </c>
      <c r="M2333" s="6" t="str">
        <f>"283.272,50"</f>
        <v>283.272,50</v>
      </c>
      <c r="N2333" s="8" t="s">
        <v>202</v>
      </c>
      <c r="O2333" s="7"/>
      <c r="P2333" s="2" t="s">
        <v>6932</v>
      </c>
      <c r="Q2333" s="7"/>
      <c r="R2333" s="1"/>
      <c r="S2333" s="1" t="str">
        <f>"N-101-1/20"</f>
        <v>N-101-1/20</v>
      </c>
      <c r="T2333" s="1" t="s">
        <v>32</v>
      </c>
    </row>
    <row r="2334" spans="1:20" ht="89.25" x14ac:dyDescent="0.25">
      <c r="A2334" s="6">
        <v>2330</v>
      </c>
      <c r="B2334" s="1" t="str">
        <f>"2020-1815"</f>
        <v>2020-1815</v>
      </c>
      <c r="C2334" s="1" t="s">
        <v>1887</v>
      </c>
      <c r="D2334" s="1" t="s">
        <v>1888</v>
      </c>
      <c r="E2334" s="1" t="str">
        <f>"2020/S 0F2-0045900"</f>
        <v>2020/S 0F2-0045900</v>
      </c>
      <c r="F2334" s="1" t="s">
        <v>22</v>
      </c>
      <c r="G2334" s="1" t="str">
        <f>CONCATENATE("AUTO HRVATSKA PRODAJNO SERVISNI CENTRI D.O.O.,"," ZASTAVNICE 25/C,"," 10251 HRVATSKI LESKOVAC,"," OIB: 87682591133")</f>
        <v>AUTO HRVATSKA PRODAJNO SERVISNI CENTRI D.O.O., ZASTAVNICE 25/C, 10251 HRVATSKI LESKOVAC, OIB: 87682591133</v>
      </c>
      <c r="H2334" s="7"/>
      <c r="I2334" s="8" t="s">
        <v>1889</v>
      </c>
      <c r="J2334" s="8" t="s">
        <v>1890</v>
      </c>
      <c r="K2334" s="6" t="str">
        <f>"96.434,82"</f>
        <v>96.434,82</v>
      </c>
      <c r="L2334" s="6" t="str">
        <f>"24.108,71"</f>
        <v>24.108,71</v>
      </c>
      <c r="M2334" s="6" t="str">
        <f>"120.543,53"</f>
        <v>120.543,53</v>
      </c>
      <c r="N2334" s="8" t="s">
        <v>1891</v>
      </c>
      <c r="O2334" s="7"/>
      <c r="P2334" s="2" t="s">
        <v>6933</v>
      </c>
      <c r="Q2334" s="7"/>
      <c r="R2334" s="1"/>
      <c r="S2334" s="1" t="str">
        <f>"N-102-1/20"</f>
        <v>N-102-1/20</v>
      </c>
      <c r="T2334" s="1" t="s">
        <v>32</v>
      </c>
    </row>
    <row r="2335" spans="1:20" ht="63.75" x14ac:dyDescent="0.25">
      <c r="A2335" s="6">
        <v>2331</v>
      </c>
      <c r="B2335" s="1" t="str">
        <f>"2019-419"</f>
        <v>2019-419</v>
      </c>
      <c r="C2335" s="1" t="s">
        <v>1892</v>
      </c>
      <c r="D2335" s="1" t="s">
        <v>1877</v>
      </c>
      <c r="E2335" s="1" t="str">
        <f>"2020/S 0F2-0037780"</f>
        <v>2020/S 0F2-0037780</v>
      </c>
      <c r="F2335" s="1" t="s">
        <v>22</v>
      </c>
      <c r="G2335" s="1" t="str">
        <f>CONCATENATE("ANDEL D.O.O.,"," MAJSTORSKA 1/G,"," 10000 ZAGREB,"," OIB: 81891996613")</f>
        <v>ANDEL D.O.O., MAJSTORSKA 1/G, 10000 ZAGREB, OIB: 81891996613</v>
      </c>
      <c r="H2335" s="7"/>
      <c r="I2335" s="8" t="s">
        <v>811</v>
      </c>
      <c r="J2335" s="8" t="s">
        <v>835</v>
      </c>
      <c r="K2335" s="6" t="str">
        <f>"422.000,00"</f>
        <v>422.000,00</v>
      </c>
      <c r="L2335" s="6" t="str">
        <f>"105.500,00"</f>
        <v>105.500,00</v>
      </c>
      <c r="M2335" s="6" t="str">
        <f>"527.500,00"</f>
        <v>527.500,00</v>
      </c>
      <c r="N2335" s="8" t="s">
        <v>392</v>
      </c>
      <c r="O2335" s="7"/>
      <c r="P2335" s="2" t="s">
        <v>6934</v>
      </c>
      <c r="Q2335" s="7"/>
      <c r="R2335" s="1"/>
      <c r="S2335" s="1" t="str">
        <f>"N-171-1/19"</f>
        <v>N-171-1/19</v>
      </c>
      <c r="T2335" s="1" t="s">
        <v>452</v>
      </c>
    </row>
    <row r="2336" spans="1:20" ht="63.75" x14ac:dyDescent="0.25">
      <c r="A2336" s="6">
        <v>2332</v>
      </c>
      <c r="B2336" s="1" t="str">
        <f>"2022-1785"</f>
        <v>2022-1785</v>
      </c>
      <c r="C2336" s="1" t="s">
        <v>1893</v>
      </c>
      <c r="D2336" s="1" t="s">
        <v>1894</v>
      </c>
      <c r="E2336" s="1" t="str">
        <f>"2022/S 0F2-0023231"</f>
        <v>2022/S 0F2-0023231</v>
      </c>
      <c r="F2336" s="1" t="s">
        <v>22</v>
      </c>
      <c r="G2336" s="1" t="str">
        <f>CONCATENATE("EURO-V.A.L. D.O.O.,"," MIRNA ULICA 11,"," 10000 ZAGREB,"," OIB: 57964358389")</f>
        <v>EURO-V.A.L. D.O.O., MIRNA ULICA 11, 10000 ZAGREB, OIB: 57964358389</v>
      </c>
      <c r="H2336" s="7"/>
      <c r="I2336" s="8" t="s">
        <v>438</v>
      </c>
      <c r="J2336" s="8" t="s">
        <v>1895</v>
      </c>
      <c r="K2336" s="6" t="str">
        <f>"140.073,00"</f>
        <v>140.073,00</v>
      </c>
      <c r="L2336" s="6" t="str">
        <f>"35.018,25"</f>
        <v>35.018,25</v>
      </c>
      <c r="M2336" s="6" t="str">
        <f>"175.091,25"</f>
        <v>175.091,25</v>
      </c>
      <c r="N2336" s="8" t="s">
        <v>1099</v>
      </c>
      <c r="O2336" s="7"/>
      <c r="P2336" s="2" t="s">
        <v>6935</v>
      </c>
      <c r="Q2336" s="7"/>
      <c r="R2336" s="1"/>
      <c r="S2336" s="1" t="str">
        <f>"N-6-2/22"</f>
        <v>N-6-2/22</v>
      </c>
      <c r="T2336" s="1" t="s">
        <v>32</v>
      </c>
    </row>
    <row r="2337" spans="1:20" ht="102" x14ac:dyDescent="0.25">
      <c r="A2337" s="6">
        <v>2333</v>
      </c>
      <c r="B2337" s="1" t="str">
        <f>"2022-1944"</f>
        <v>2022-1944</v>
      </c>
      <c r="C2337" s="1" t="s">
        <v>1896</v>
      </c>
      <c r="D2337" s="1" t="s">
        <v>1865</v>
      </c>
      <c r="E2337" s="1" t="str">
        <f>"2022/S 0F2-0030045"</f>
        <v>2022/S 0F2-0030045</v>
      </c>
      <c r="F2337" s="1" t="s">
        <v>22</v>
      </c>
      <c r="G2337" s="1" t="str">
        <f>CONCATENATE("SM STUDIO MARKETING KOMUNIKACIJE D.O.O.,"," PETRINJSKA ULICA 31,"," 10000 ZAGREB,"," OIB: 52844677197")</f>
        <v>SM STUDIO MARKETING KOMUNIKACIJE D.O.O., PETRINJSKA ULICA 31, 10000 ZAGREB, OIB: 52844677197</v>
      </c>
      <c r="H2337" s="7"/>
      <c r="I2337" s="8" t="s">
        <v>1025</v>
      </c>
      <c r="J2337" s="8" t="s">
        <v>1866</v>
      </c>
      <c r="K2337" s="6" t="str">
        <f>"27.100,00"</f>
        <v>27.100,00</v>
      </c>
      <c r="L2337" s="6" t="str">
        <f>"6.775,00"</f>
        <v>6.775,00</v>
      </c>
      <c r="M2337" s="6" t="str">
        <f>"33.875,00"</f>
        <v>33.875,00</v>
      </c>
      <c r="N2337" s="8" t="s">
        <v>124</v>
      </c>
      <c r="O2337" s="7"/>
      <c r="P2337" s="2" t="s">
        <v>6936</v>
      </c>
      <c r="Q2337" s="7"/>
      <c r="R2337" s="1"/>
      <c r="S2337" s="1" t="str">
        <f>"N-8-2/22"</f>
        <v>N-8-2/22</v>
      </c>
      <c r="T2337" s="1" t="s">
        <v>32</v>
      </c>
    </row>
    <row r="2338" spans="1:20" ht="51" x14ac:dyDescent="0.25">
      <c r="A2338" s="6">
        <v>2334</v>
      </c>
      <c r="B2338" s="1" t="str">
        <f>"2022-1739"</f>
        <v>2022-1739</v>
      </c>
      <c r="C2338" s="1" t="s">
        <v>1897</v>
      </c>
      <c r="D2338" s="1" t="s">
        <v>1868</v>
      </c>
      <c r="E2338" s="1" t="str">
        <f>"2022/S 0F2-0018383"</f>
        <v>2022/S 0F2-0018383</v>
      </c>
      <c r="F2338" s="1" t="s">
        <v>22</v>
      </c>
      <c r="G2338" s="1" t="str">
        <f>CONCATENATE("TEHNOMODELI D.O.O.,"," GRUŠKA ULICA 2,"," 10000 ZAGREB,"," OIB: 10698571703")</f>
        <v>TEHNOMODELI D.O.O., GRUŠKA ULICA 2, 10000 ZAGREB, OIB: 10698571703</v>
      </c>
      <c r="H2338" s="7"/>
      <c r="I2338" s="8" t="s">
        <v>214</v>
      </c>
      <c r="J2338" s="8" t="s">
        <v>1898</v>
      </c>
      <c r="K2338" s="6" t="str">
        <f>"1.982.332,88"</f>
        <v>1.982.332,88</v>
      </c>
      <c r="L2338" s="6" t="str">
        <f>"495.583,22"</f>
        <v>495.583,22</v>
      </c>
      <c r="M2338" s="6" t="str">
        <f>"2.477.916,10"</f>
        <v>2.477.916,10</v>
      </c>
      <c r="N2338" s="8" t="s">
        <v>124</v>
      </c>
      <c r="O2338" s="7"/>
      <c r="P2338" s="2" t="s">
        <v>6937</v>
      </c>
      <c r="Q2338" s="7"/>
      <c r="R2338" s="1"/>
      <c r="S2338" s="1" t="str">
        <f>"N-11-2/22"</f>
        <v>N-11-2/22</v>
      </c>
      <c r="T2338" s="1" t="s">
        <v>32</v>
      </c>
    </row>
    <row r="2339" spans="1:20" ht="89.25" x14ac:dyDescent="0.25">
      <c r="A2339" s="6">
        <v>2335</v>
      </c>
      <c r="B2339" s="1" t="str">
        <f>"2021-1973"</f>
        <v>2021-1973</v>
      </c>
      <c r="C2339" s="1" t="s">
        <v>1899</v>
      </c>
      <c r="D2339" s="1" t="s">
        <v>1871</v>
      </c>
      <c r="E2339" s="1" t="str">
        <f>"2021/S 0F2-0018108"</f>
        <v>2021/S 0F2-0018108</v>
      </c>
      <c r="F2339" s="1" t="s">
        <v>22</v>
      </c>
      <c r="G2339" s="1" t="str">
        <f>CONCATENATE("BINĐO D.O.O.,"," MAJDEKOVA 17,"," 10310 IVANIĆ-GRAD,"," OIB: 49733628869")</f>
        <v>BINĐO D.O.O., MAJDEKOVA 17, 10310 IVANIĆ-GRAD, OIB: 49733628869</v>
      </c>
      <c r="H2339" s="1" t="str">
        <f>CONCATENATE("MAČARMONT D.O.O.,"," OIB: 90448336887")</f>
        <v>MAČARMONT D.O.O., OIB: 90448336887</v>
      </c>
      <c r="I2339" s="8" t="s">
        <v>225</v>
      </c>
      <c r="J2339" s="8" t="s">
        <v>1872</v>
      </c>
      <c r="K2339" s="6" t="str">
        <f>"2.768.882,00"</f>
        <v>2.768.882,00</v>
      </c>
      <c r="L2339" s="6" t="str">
        <f>"692.220,50"</f>
        <v>692.220,50</v>
      </c>
      <c r="M2339" s="6" t="str">
        <f>"3.461.102,50"</f>
        <v>3.461.102,50</v>
      </c>
      <c r="N2339" s="8" t="s">
        <v>124</v>
      </c>
      <c r="O2339" s="7"/>
      <c r="P2339" s="2" t="s">
        <v>5614</v>
      </c>
      <c r="Q2339" s="7"/>
      <c r="R2339" s="1"/>
      <c r="S2339" s="1" t="str">
        <f>"N-12-2/21"</f>
        <v>N-12-2/21</v>
      </c>
      <c r="T2339" s="1" t="s">
        <v>55</v>
      </c>
    </row>
    <row r="2340" spans="1:20" ht="89.25" x14ac:dyDescent="0.25">
      <c r="A2340" s="6">
        <v>2336</v>
      </c>
      <c r="B2340" s="1" t="str">
        <f>"2022-1735"</f>
        <v>2022-1735</v>
      </c>
      <c r="C2340" s="1" t="s">
        <v>1900</v>
      </c>
      <c r="D2340" s="1" t="s">
        <v>1877</v>
      </c>
      <c r="E2340" s="1" t="str">
        <f>"2022/S 0F2-0015473"</f>
        <v>2022/S 0F2-0015473</v>
      </c>
      <c r="F2340" s="1" t="s">
        <v>22</v>
      </c>
      <c r="G2340" s="1" t="str">
        <f>CONCATENATE("ANDEL D.O.O.,"," MAJSTORSKA 1/G,"," 10000 ZAGREB,"," OIB: 81891996613")</f>
        <v>ANDEL D.O.O., MAJSTORSKA 1/G, 10000 ZAGREB, OIB: 81891996613</v>
      </c>
      <c r="H2340" s="7"/>
      <c r="I2340" s="8" t="s">
        <v>1157</v>
      </c>
      <c r="J2340" s="8" t="s">
        <v>1497</v>
      </c>
      <c r="K2340" s="6" t="str">
        <f>"45.000,00"</f>
        <v>45.000,00</v>
      </c>
      <c r="L2340" s="6" t="str">
        <f>"11.250,00"</f>
        <v>11.250,00</v>
      </c>
      <c r="M2340" s="6" t="str">
        <f>"56.250,00"</f>
        <v>56.250,00</v>
      </c>
      <c r="N2340" s="8" t="s">
        <v>124</v>
      </c>
      <c r="O2340" s="7"/>
      <c r="P2340" s="2" t="s">
        <v>5614</v>
      </c>
      <c r="Q2340" s="7"/>
      <c r="R2340" s="1"/>
      <c r="S2340" s="1" t="str">
        <f>"N-16-2/22"</f>
        <v>N-16-2/22</v>
      </c>
      <c r="T2340" s="1" t="s">
        <v>452</v>
      </c>
    </row>
    <row r="2341" spans="1:20" ht="51" x14ac:dyDescent="0.25">
      <c r="A2341" s="6">
        <v>2337</v>
      </c>
      <c r="B2341" s="1" t="str">
        <f>"2021-2246"</f>
        <v>2021-2246</v>
      </c>
      <c r="C2341" s="1" t="s">
        <v>1901</v>
      </c>
      <c r="D2341" s="1" t="s">
        <v>1877</v>
      </c>
      <c r="E2341" s="1" t="str">
        <f>"2021/S 0F2-0030105"</f>
        <v>2021/S 0F2-0030105</v>
      </c>
      <c r="F2341" s="1" t="s">
        <v>22</v>
      </c>
      <c r="G2341" s="1" t="str">
        <f>CONCATENATE("IKOM D.O.O.,"," KOVINSKA 7,"," 10090 ZAGREB-SUSEDGRAD,"," OIB: 86247075815")</f>
        <v>IKOM D.O.O., KOVINSKA 7, 10090 ZAGREB-SUSEDGRAD, OIB: 86247075815</v>
      </c>
      <c r="H2341" s="7"/>
      <c r="I2341" s="8" t="s">
        <v>757</v>
      </c>
      <c r="J2341" s="8" t="s">
        <v>1879</v>
      </c>
      <c r="K2341" s="6" t="str">
        <f>"156.800,00"</f>
        <v>156.800,00</v>
      </c>
      <c r="L2341" s="6" t="str">
        <f>"39.200,00"</f>
        <v>39.200,00</v>
      </c>
      <c r="M2341" s="6" t="str">
        <f>"196.000,00"</f>
        <v>196.000,00</v>
      </c>
      <c r="N2341" s="8" t="s">
        <v>779</v>
      </c>
      <c r="O2341" s="7"/>
      <c r="P2341" s="2" t="s">
        <v>6938</v>
      </c>
      <c r="Q2341" s="7"/>
      <c r="R2341" s="1"/>
      <c r="S2341" s="1" t="str">
        <f>"N-17-2/21"</f>
        <v>N-17-2/21</v>
      </c>
      <c r="T2341" s="1" t="s">
        <v>452</v>
      </c>
    </row>
    <row r="2342" spans="1:20" ht="63.75" x14ac:dyDescent="0.25">
      <c r="A2342" s="6">
        <v>2338</v>
      </c>
      <c r="B2342" s="1" t="str">
        <f>"2021-1821"</f>
        <v>2021-1821</v>
      </c>
      <c r="C2342" s="1" t="s">
        <v>1902</v>
      </c>
      <c r="D2342" s="1" t="s">
        <v>1881</v>
      </c>
      <c r="E2342" s="1" t="str">
        <f>"2021/S 0F2-0039694"</f>
        <v>2021/S 0F2-0039694</v>
      </c>
      <c r="F2342" s="1" t="s">
        <v>22</v>
      </c>
      <c r="G2342" s="1" t="str">
        <f>CONCATENATE("O-K-TEH d.o.o.,"," VUČAK 16A,"," 10000 ZAGREB,"," OIB: 37322381288")</f>
        <v>O-K-TEH d.o.o., VUČAK 16A, 10000 ZAGREB, OIB: 37322381288</v>
      </c>
      <c r="H2342" s="7"/>
      <c r="I2342" s="8" t="s">
        <v>41</v>
      </c>
      <c r="J2342" s="8" t="s">
        <v>490</v>
      </c>
      <c r="K2342" s="6" t="str">
        <f>"3.950.000,00"</f>
        <v>3.950.000,00</v>
      </c>
      <c r="L2342" s="6" t="str">
        <f>"987.500,00"</f>
        <v>987.500,00</v>
      </c>
      <c r="M2342" s="6" t="str">
        <f>"4.937.500,00"</f>
        <v>4.937.500,00</v>
      </c>
      <c r="N2342" s="8" t="s">
        <v>215</v>
      </c>
      <c r="O2342" s="7"/>
      <c r="P2342" s="2" t="s">
        <v>6939</v>
      </c>
      <c r="Q2342" s="7"/>
      <c r="R2342" s="1"/>
      <c r="S2342" s="1" t="str">
        <f>"N-24-2/21"</f>
        <v>N-24-2/21</v>
      </c>
      <c r="T2342" s="1" t="s">
        <v>32</v>
      </c>
    </row>
    <row r="2343" spans="1:20" ht="51" x14ac:dyDescent="0.25">
      <c r="A2343" s="6">
        <v>2339</v>
      </c>
      <c r="B2343" s="1" t="str">
        <f>"2020-1879-A"</f>
        <v>2020-1879-A</v>
      </c>
      <c r="C2343" s="1" t="s">
        <v>1903</v>
      </c>
      <c r="D2343" s="1" t="s">
        <v>1884</v>
      </c>
      <c r="E2343" s="1" t="str">
        <f>"2020/S 0F2-0044401"</f>
        <v>2020/S 0F2-0044401</v>
      </c>
      <c r="F2343" s="1" t="s">
        <v>22</v>
      </c>
      <c r="G2343" s="1" t="str">
        <f>CONCATENATE("POLJOOPSKRBA-TEHNO D.D.,"," SAMOBORSKA 96,"," 10000 ZAGREB,"," OIB: 5372167324")</f>
        <v>POLJOOPSKRBA-TEHNO D.D., SAMOBORSKA 96, 10000 ZAGREB, OIB: 5372167324</v>
      </c>
      <c r="H2343" s="7"/>
      <c r="I2343" s="8" t="s">
        <v>1904</v>
      </c>
      <c r="J2343" s="8" t="s">
        <v>238</v>
      </c>
      <c r="K2343" s="6" t="str">
        <f>"134.985,00"</f>
        <v>134.985,00</v>
      </c>
      <c r="L2343" s="6" t="str">
        <f>"33.746,25"</f>
        <v>33.746,25</v>
      </c>
      <c r="M2343" s="6" t="str">
        <f>"168.731,25"</f>
        <v>168.731,25</v>
      </c>
      <c r="N2343" s="8" t="s">
        <v>1905</v>
      </c>
      <c r="O2343" s="7"/>
      <c r="P2343" s="2" t="s">
        <v>6940</v>
      </c>
      <c r="Q2343" s="7"/>
      <c r="R2343" s="1"/>
      <c r="S2343" s="1" t="str">
        <f>"N-79-2/20"</f>
        <v>N-79-2/20</v>
      </c>
      <c r="T2343" s="1" t="s">
        <v>32</v>
      </c>
    </row>
    <row r="2344" spans="1:20" ht="51" x14ac:dyDescent="0.25">
      <c r="A2344" s="6">
        <v>2340</v>
      </c>
      <c r="B2344" s="1" t="str">
        <f>"2020-1549"</f>
        <v>2020-1549</v>
      </c>
      <c r="C2344" s="1" t="s">
        <v>1906</v>
      </c>
      <c r="D2344" s="1" t="s">
        <v>1886</v>
      </c>
      <c r="E2344" s="1" t="str">
        <f>"2020/S 0F2-0042644"</f>
        <v>2020/S 0F2-0042644</v>
      </c>
      <c r="F2344" s="1" t="s">
        <v>22</v>
      </c>
      <c r="G2344" s="1" t="str">
        <f>CONCATENATE("DELTRON D.O.O.,"," VUKOVARSKA 148,"," 21000 SPLIT,"," OIB: 36118056137")</f>
        <v>DELTRON D.O.O., VUKOVARSKA 148, 21000 SPLIT, OIB: 36118056137</v>
      </c>
      <c r="H2344" s="7"/>
      <c r="I2344" s="8" t="s">
        <v>1298</v>
      </c>
      <c r="J2344" s="8" t="s">
        <v>521</v>
      </c>
      <c r="K2344" s="6" t="str">
        <f>"58.578,00"</f>
        <v>58.578,00</v>
      </c>
      <c r="L2344" s="6" t="str">
        <f>"14.644,50"</f>
        <v>14.644,50</v>
      </c>
      <c r="M2344" s="6" t="str">
        <f>"73.222,50"</f>
        <v>73.222,50</v>
      </c>
      <c r="N2344" s="8" t="s">
        <v>188</v>
      </c>
      <c r="O2344" s="7"/>
      <c r="P2344" s="2" t="s">
        <v>6941</v>
      </c>
      <c r="Q2344" s="7"/>
      <c r="R2344" s="1"/>
      <c r="S2344" s="1" t="str">
        <f>"N-101-2/20"</f>
        <v>N-101-2/20</v>
      </c>
      <c r="T2344" s="1" t="s">
        <v>32</v>
      </c>
    </row>
    <row r="2345" spans="1:20" ht="63.75" x14ac:dyDescent="0.25">
      <c r="A2345" s="6">
        <v>2341</v>
      </c>
      <c r="B2345" s="1" t="str">
        <f>"2019-419"</f>
        <v>2019-419</v>
      </c>
      <c r="C2345" s="1" t="s">
        <v>1907</v>
      </c>
      <c r="D2345" s="1" t="s">
        <v>1877</v>
      </c>
      <c r="E2345" s="1" t="str">
        <f>"2020/S 0F2-0037780"</f>
        <v>2020/S 0F2-0037780</v>
      </c>
      <c r="F2345" s="1" t="s">
        <v>22</v>
      </c>
      <c r="G2345" s="1" t="str">
        <f>CONCATENATE("MACEL PLIN D.O.O.,"," MALEŠNICA 3C,"," 10000 ZAGREB,"," OIB: 36043571166")</f>
        <v>MACEL PLIN D.O.O., MALEŠNICA 3C, 10000 ZAGREB, OIB: 36043571166</v>
      </c>
      <c r="H2345" s="7"/>
      <c r="I2345" s="8" t="s">
        <v>1479</v>
      </c>
      <c r="J2345" s="8" t="s">
        <v>1908</v>
      </c>
      <c r="K2345" s="6" t="str">
        <f>"1.228.546,00"</f>
        <v>1.228.546,00</v>
      </c>
      <c r="L2345" s="6" t="str">
        <f>"307.136,50"</f>
        <v>307.136,50</v>
      </c>
      <c r="M2345" s="6" t="str">
        <f>"1.535.682,50"</f>
        <v>1.535.682,50</v>
      </c>
      <c r="N2345" s="8" t="s">
        <v>707</v>
      </c>
      <c r="O2345" s="7"/>
      <c r="P2345" s="2" t="s">
        <v>6942</v>
      </c>
      <c r="Q2345" s="7"/>
      <c r="R2345" s="1"/>
      <c r="S2345" s="1" t="str">
        <f>"N-171-2/19"</f>
        <v>N-171-2/19</v>
      </c>
      <c r="T2345" s="1" t="s">
        <v>452</v>
      </c>
    </row>
    <row r="2346" spans="1:20" ht="89.25" x14ac:dyDescent="0.25">
      <c r="A2346" s="6">
        <v>2342</v>
      </c>
      <c r="B2346" s="1" t="str">
        <f>"2022-1944"</f>
        <v>2022-1944</v>
      </c>
      <c r="C2346" s="1" t="s">
        <v>1909</v>
      </c>
      <c r="D2346" s="1" t="s">
        <v>1865</v>
      </c>
      <c r="E2346" s="1" t="str">
        <f>"2022/S 0F2-0030045"</f>
        <v>2022/S 0F2-0030045</v>
      </c>
      <c r="F2346" s="1" t="s">
        <v>22</v>
      </c>
      <c r="G2346" s="1" t="str">
        <f>CONCATENATE("AKTER-PUBLIC d.o.o.,"," REMETINEČKA CESTA 9/D,"," 10000 ZAGREB,"," OIB: 60260099259")</f>
        <v>AKTER-PUBLIC d.o.o., REMETINEČKA CESTA 9/D, 10000 ZAGREB, OIB: 60260099259</v>
      </c>
      <c r="H2346" s="7"/>
      <c r="I2346" s="8" t="s">
        <v>1025</v>
      </c>
      <c r="J2346" s="8" t="s">
        <v>1866</v>
      </c>
      <c r="K2346" s="6" t="str">
        <f>"88.500,00"</f>
        <v>88.500,00</v>
      </c>
      <c r="L2346" s="6" t="str">
        <f>"22.125,00"</f>
        <v>22.125,00</v>
      </c>
      <c r="M2346" s="6" t="str">
        <f>"110.625,00"</f>
        <v>110.625,00</v>
      </c>
      <c r="N2346" s="8" t="s">
        <v>124</v>
      </c>
      <c r="O2346" s="7"/>
      <c r="P2346" s="2" t="s">
        <v>5614</v>
      </c>
      <c r="Q2346" s="7"/>
      <c r="R2346" s="1"/>
      <c r="S2346" s="1" t="str">
        <f>"N-8-3/22"</f>
        <v>N-8-3/22</v>
      </c>
      <c r="T2346" s="1" t="s">
        <v>32</v>
      </c>
    </row>
    <row r="2347" spans="1:20" ht="51" x14ac:dyDescent="0.25">
      <c r="A2347" s="6">
        <v>2343</v>
      </c>
      <c r="B2347" s="1" t="str">
        <f>"2022-1739"</f>
        <v>2022-1739</v>
      </c>
      <c r="C2347" s="1" t="s">
        <v>1910</v>
      </c>
      <c r="D2347" s="1" t="s">
        <v>1868</v>
      </c>
      <c r="E2347" s="1" t="str">
        <f>"2022/S 0F2-0018383"</f>
        <v>2022/S 0F2-0018383</v>
      </c>
      <c r="F2347" s="1" t="s">
        <v>22</v>
      </c>
      <c r="G2347" s="1" t="str">
        <f>CONCATENATE("TEHNOMODELI D.O.O.,"," GRUŠKA ULICA 2,"," 10000 ZAGREB,"," OIB: 10698571703")</f>
        <v>TEHNOMODELI D.O.O., GRUŠKA ULICA 2, 10000 ZAGREB, OIB: 10698571703</v>
      </c>
      <c r="H2347" s="7"/>
      <c r="I2347" s="8" t="s">
        <v>285</v>
      </c>
      <c r="J2347" s="8" t="s">
        <v>1898</v>
      </c>
      <c r="K2347" s="6" t="str">
        <f>"478.149,28"</f>
        <v>478.149,28</v>
      </c>
      <c r="L2347" s="6" t="str">
        <f>"119.537,32"</f>
        <v>119.537,32</v>
      </c>
      <c r="M2347" s="6" t="str">
        <f>"597.686,60"</f>
        <v>597.686,60</v>
      </c>
      <c r="N2347" s="8" t="s">
        <v>124</v>
      </c>
      <c r="O2347" s="7"/>
      <c r="P2347" s="2" t="s">
        <v>5614</v>
      </c>
      <c r="Q2347" s="7"/>
      <c r="R2347" s="1"/>
      <c r="S2347" s="1" t="str">
        <f>"N-11-3/22"</f>
        <v>N-11-3/22</v>
      </c>
      <c r="T2347" s="1" t="s">
        <v>32</v>
      </c>
    </row>
    <row r="2348" spans="1:20" ht="63.75" x14ac:dyDescent="0.25">
      <c r="A2348" s="6">
        <v>2344</v>
      </c>
      <c r="B2348" s="1" t="str">
        <f>"2022-1735"</f>
        <v>2022-1735</v>
      </c>
      <c r="C2348" s="1" t="s">
        <v>1911</v>
      </c>
      <c r="D2348" s="1" t="s">
        <v>1877</v>
      </c>
      <c r="E2348" s="1" t="str">
        <f>"2022/S 0F2-0015473"</f>
        <v>2022/S 0F2-0015473</v>
      </c>
      <c r="F2348" s="1" t="s">
        <v>22</v>
      </c>
      <c r="G2348" s="1" t="str">
        <f>CONCATENATE("ANDEL D.O.O.,"," MAJSTORSKA 1/G,"," 10000 ZAGREB,"," OIB: 81891996613")</f>
        <v>ANDEL D.O.O., MAJSTORSKA 1/G, 10000 ZAGREB, OIB: 81891996613</v>
      </c>
      <c r="H2348" s="7"/>
      <c r="I2348" s="8" t="s">
        <v>1157</v>
      </c>
      <c r="J2348" s="8" t="s">
        <v>1497</v>
      </c>
      <c r="K2348" s="6" t="str">
        <f>"76.400,00"</f>
        <v>76.400,00</v>
      </c>
      <c r="L2348" s="6" t="str">
        <f>"19.100,00"</f>
        <v>19.100,00</v>
      </c>
      <c r="M2348" s="6" t="str">
        <f>"95.500,00"</f>
        <v>95.500,00</v>
      </c>
      <c r="N2348" s="8" t="s">
        <v>124</v>
      </c>
      <c r="O2348" s="7"/>
      <c r="P2348" s="2" t="s">
        <v>5614</v>
      </c>
      <c r="Q2348" s="7"/>
      <c r="R2348" s="1"/>
      <c r="S2348" s="1" t="str">
        <f>"N-16-3/22"</f>
        <v>N-16-3/22</v>
      </c>
      <c r="T2348" s="1" t="s">
        <v>452</v>
      </c>
    </row>
    <row r="2349" spans="1:20" ht="51" x14ac:dyDescent="0.25">
      <c r="A2349" s="6">
        <v>2345</v>
      </c>
      <c r="B2349" s="1" t="str">
        <f>"2021-1821"</f>
        <v>2021-1821</v>
      </c>
      <c r="C2349" s="1" t="s">
        <v>1912</v>
      </c>
      <c r="D2349" s="1" t="s">
        <v>1881</v>
      </c>
      <c r="E2349" s="1" t="str">
        <f>"2021/S 0F2-0039694"</f>
        <v>2021/S 0F2-0039694</v>
      </c>
      <c r="F2349" s="1" t="s">
        <v>22</v>
      </c>
      <c r="G2349" s="1" t="str">
        <f>CONCATENATE("GRADATIN D.O.O.,"," LIVADARSKI PUT 19,"," 10360 SESVETE,"," OIB: 79147056526")</f>
        <v>GRADATIN D.O.O., LIVADARSKI PUT 19, 10360 SESVETE, OIB: 79147056526</v>
      </c>
      <c r="H2349" s="7"/>
      <c r="I2349" s="8" t="s">
        <v>398</v>
      </c>
      <c r="J2349" s="8" t="s">
        <v>1882</v>
      </c>
      <c r="K2349" s="6" t="str">
        <f>"2.444.600,00"</f>
        <v>2.444.600,00</v>
      </c>
      <c r="L2349" s="6" t="str">
        <f>"611.150,00"</f>
        <v>611.150,00</v>
      </c>
      <c r="M2349" s="6" t="str">
        <f>"3.055.750,00"</f>
        <v>3.055.750,00</v>
      </c>
      <c r="N2349" s="8" t="s">
        <v>404</v>
      </c>
      <c r="O2349" s="7"/>
      <c r="P2349" s="2" t="s">
        <v>6943</v>
      </c>
      <c r="Q2349" s="7"/>
      <c r="R2349" s="1"/>
      <c r="S2349" s="1" t="str">
        <f>"N-24-3/21"</f>
        <v>N-24-3/21</v>
      </c>
      <c r="T2349" s="1" t="s">
        <v>32</v>
      </c>
    </row>
    <row r="2350" spans="1:20" ht="63.75" x14ac:dyDescent="0.25">
      <c r="A2350" s="6">
        <v>2346</v>
      </c>
      <c r="B2350" s="1" t="str">
        <f>"2021-945"</f>
        <v>2021-945</v>
      </c>
      <c r="C2350" s="1" t="s">
        <v>1913</v>
      </c>
      <c r="D2350" s="1" t="s">
        <v>1914</v>
      </c>
      <c r="E2350" s="1" t="str">
        <f>"2021/S 0F2-0034740"</f>
        <v>2021/S 0F2-0034740</v>
      </c>
      <c r="F2350" s="1" t="s">
        <v>22</v>
      </c>
      <c r="G2350" s="1" t="str">
        <f>CONCATENATE("ORTO REA D.O.O.,"," ULICA BRAĆE RADIĆ 52B,"," 42000 VARAŽDIN (JALKOVEC),"," OIB: 49311953202")</f>
        <v>ORTO REA D.O.O., ULICA BRAĆE RADIĆ 52B, 42000 VARAŽDIN (JALKOVEC), OIB: 49311953202</v>
      </c>
      <c r="H2350" s="7"/>
      <c r="I2350" s="8" t="s">
        <v>263</v>
      </c>
      <c r="J2350" s="8" t="s">
        <v>570</v>
      </c>
      <c r="K2350" s="6" t="str">
        <f>"1.696.690,00"</f>
        <v>1.696.690,00</v>
      </c>
      <c r="L2350" s="6" t="str">
        <f>"424.172,50"</f>
        <v>424.172,50</v>
      </c>
      <c r="M2350" s="6" t="str">
        <f>"2.120.862,50"</f>
        <v>2.120.862,50</v>
      </c>
      <c r="N2350" s="8" t="s">
        <v>124</v>
      </c>
      <c r="O2350" s="7"/>
      <c r="P2350" s="2" t="s">
        <v>6944</v>
      </c>
      <c r="Q2350" s="7"/>
      <c r="R2350" s="1"/>
      <c r="S2350" s="1" t="str">
        <f>"N-48-3/21"</f>
        <v>N-48-3/21</v>
      </c>
      <c r="T2350" s="1" t="s">
        <v>32</v>
      </c>
    </row>
    <row r="2351" spans="1:20" ht="51" x14ac:dyDescent="0.25">
      <c r="A2351" s="6">
        <v>2347</v>
      </c>
      <c r="B2351" s="1" t="str">
        <f>"2020-1879-A"</f>
        <v>2020-1879-A</v>
      </c>
      <c r="C2351" s="1" t="s">
        <v>1915</v>
      </c>
      <c r="D2351" s="1" t="s">
        <v>1884</v>
      </c>
      <c r="E2351" s="1" t="str">
        <f>"2020/S 0F2-0044401"</f>
        <v>2020/S 0F2-0044401</v>
      </c>
      <c r="F2351" s="1" t="s">
        <v>22</v>
      </c>
      <c r="G2351" s="1" t="str">
        <f>CONCATENATE("POLJOOPSKRBA-TEHNO D.D.,"," SAMOBORSKA 96,"," 10000 ZAGREB,"," OIB: 5372167324")</f>
        <v>POLJOOPSKRBA-TEHNO D.D., SAMOBORSKA 96, 10000 ZAGREB, OIB: 5372167324</v>
      </c>
      <c r="H2351" s="7"/>
      <c r="I2351" s="8" t="s">
        <v>1904</v>
      </c>
      <c r="J2351" s="8" t="s">
        <v>238</v>
      </c>
      <c r="K2351" s="6" t="str">
        <f>"44.390,00"</f>
        <v>44.390,00</v>
      </c>
      <c r="L2351" s="6" t="str">
        <f>"11.097,50"</f>
        <v>11.097,50</v>
      </c>
      <c r="M2351" s="6" t="str">
        <f>"55.487,50"</f>
        <v>55.487,50</v>
      </c>
      <c r="N2351" s="8" t="s">
        <v>1905</v>
      </c>
      <c r="O2351" s="7"/>
      <c r="P2351" s="2" t="s">
        <v>6945</v>
      </c>
      <c r="Q2351" s="7"/>
      <c r="R2351" s="1"/>
      <c r="S2351" s="1" t="str">
        <f>"N-79-3/20"</f>
        <v>N-79-3/20</v>
      </c>
      <c r="T2351" s="1" t="s">
        <v>32</v>
      </c>
    </row>
    <row r="2352" spans="1:20" ht="51" x14ac:dyDescent="0.25">
      <c r="A2352" s="6">
        <v>2348</v>
      </c>
      <c r="B2352" s="1" t="str">
        <f>"2020-1549"</f>
        <v>2020-1549</v>
      </c>
      <c r="C2352" s="1" t="s">
        <v>1916</v>
      </c>
      <c r="D2352" s="1" t="s">
        <v>1886</v>
      </c>
      <c r="E2352" s="1" t="str">
        <f>"2020/S 0F2-0042644"</f>
        <v>2020/S 0F2-0042644</v>
      </c>
      <c r="F2352" s="1" t="s">
        <v>22</v>
      </c>
      <c r="G2352" s="1" t="str">
        <f>CONCATENATE("INDUSTRY IMPEX D.O.O.,"," VRANJIČKI PUT 48,"," 21000 SPLIT,"," OIB: 91625159237")</f>
        <v>INDUSTRY IMPEX D.O.O., VRANJIČKI PUT 48, 21000 SPLIT, OIB: 91625159237</v>
      </c>
      <c r="H2352" s="7"/>
      <c r="I2352" s="8" t="s">
        <v>1298</v>
      </c>
      <c r="J2352" s="8" t="s">
        <v>1917</v>
      </c>
      <c r="K2352" s="6" t="str">
        <f>"680.441,00"</f>
        <v>680.441,00</v>
      </c>
      <c r="L2352" s="6" t="str">
        <f>"170.110,25"</f>
        <v>170.110,25</v>
      </c>
      <c r="M2352" s="6" t="str">
        <f>"850.551,25"</f>
        <v>850.551,25</v>
      </c>
      <c r="N2352" s="8" t="s">
        <v>616</v>
      </c>
      <c r="O2352" s="7"/>
      <c r="P2352" s="2" t="s">
        <v>6946</v>
      </c>
      <c r="Q2352" s="7"/>
      <c r="R2352" s="1"/>
      <c r="S2352" s="1" t="str">
        <f>"N-101-3/20"</f>
        <v>N-101-3/20</v>
      </c>
      <c r="T2352" s="1" t="s">
        <v>32</v>
      </c>
    </row>
    <row r="2353" spans="1:20" ht="51" x14ac:dyDescent="0.25">
      <c r="A2353" s="6">
        <v>2349</v>
      </c>
      <c r="B2353" s="1" t="str">
        <f>"2022-1739"</f>
        <v>2022-1739</v>
      </c>
      <c r="C2353" s="1" t="s">
        <v>1918</v>
      </c>
      <c r="D2353" s="1" t="s">
        <v>1868</v>
      </c>
      <c r="E2353" s="1" t="str">
        <f>"2022/S 0F2-0018383"</f>
        <v>2022/S 0F2-0018383</v>
      </c>
      <c r="F2353" s="1" t="s">
        <v>22</v>
      </c>
      <c r="G2353" s="1" t="str">
        <f>CONCATENATE("CROM D.O.O.,"," OBRTNIČKA 2,"," 10000 ZAGREB,"," OIB: 17145318195")</f>
        <v>CROM D.O.O., OBRTNIČKA 2, 10000 ZAGREB, OIB: 17145318195</v>
      </c>
      <c r="H2353" s="7"/>
      <c r="I2353" s="8" t="s">
        <v>285</v>
      </c>
      <c r="J2353" s="8" t="s">
        <v>1898</v>
      </c>
      <c r="K2353" s="6" t="str">
        <f>"212.733,00"</f>
        <v>212.733,00</v>
      </c>
      <c r="L2353" s="6" t="str">
        <f>"53.183,25"</f>
        <v>53.183,25</v>
      </c>
      <c r="M2353" s="6" t="str">
        <f>"265.916,25"</f>
        <v>265.916,25</v>
      </c>
      <c r="N2353" s="8" t="s">
        <v>124</v>
      </c>
      <c r="O2353" s="7"/>
      <c r="P2353" s="2" t="s">
        <v>5614</v>
      </c>
      <c r="Q2353" s="7"/>
      <c r="R2353" s="1"/>
      <c r="S2353" s="1" t="str">
        <f>"N-11-4/22"</f>
        <v>N-11-4/22</v>
      </c>
      <c r="T2353" s="1" t="s">
        <v>32</v>
      </c>
    </row>
    <row r="2354" spans="1:20" ht="63.75" x14ac:dyDescent="0.25">
      <c r="A2354" s="6">
        <v>2350</v>
      </c>
      <c r="B2354" s="1" t="str">
        <f>"2022-1735"</f>
        <v>2022-1735</v>
      </c>
      <c r="C2354" s="1" t="s">
        <v>1919</v>
      </c>
      <c r="D2354" s="1" t="s">
        <v>1877</v>
      </c>
      <c r="E2354" s="1" t="str">
        <f>"2022/S 0F2-0015473"</f>
        <v>2022/S 0F2-0015473</v>
      </c>
      <c r="F2354" s="1" t="s">
        <v>22</v>
      </c>
      <c r="G2354" s="1" t="str">
        <f>CONCATENATE("ANDEL D.O.O.,"," MAJSTORSKA 1/G,"," 10000 ZAGREB,"," OIB: 81891996613")</f>
        <v>ANDEL D.O.O., MAJSTORSKA 1/G, 10000 ZAGREB, OIB: 81891996613</v>
      </c>
      <c r="H2354" s="7"/>
      <c r="I2354" s="8" t="s">
        <v>374</v>
      </c>
      <c r="J2354" s="8" t="s">
        <v>1920</v>
      </c>
      <c r="K2354" s="6" t="str">
        <f>"47.750,00"</f>
        <v>47.750,00</v>
      </c>
      <c r="L2354" s="6" t="str">
        <f>"11.937,50"</f>
        <v>11.937,50</v>
      </c>
      <c r="M2354" s="6" t="str">
        <f>"59.687,50"</f>
        <v>59.687,50</v>
      </c>
      <c r="N2354" s="8" t="s">
        <v>124</v>
      </c>
      <c r="O2354" s="7"/>
      <c r="P2354" s="2" t="s">
        <v>5614</v>
      </c>
      <c r="Q2354" s="7"/>
      <c r="R2354" s="1"/>
      <c r="S2354" s="1" t="str">
        <f>"N-16-4/22"</f>
        <v>N-16-4/22</v>
      </c>
      <c r="T2354" s="1" t="s">
        <v>452</v>
      </c>
    </row>
    <row r="2355" spans="1:20" ht="63.75" x14ac:dyDescent="0.25">
      <c r="A2355" s="6">
        <v>2351</v>
      </c>
      <c r="B2355" s="1" t="str">
        <f>"2021-1821"</f>
        <v>2021-1821</v>
      </c>
      <c r="C2355" s="1" t="s">
        <v>1921</v>
      </c>
      <c r="D2355" s="1" t="s">
        <v>1881</v>
      </c>
      <c r="E2355" s="1" t="str">
        <f>"2021/S 0F2-0039694"</f>
        <v>2021/S 0F2-0039694</v>
      </c>
      <c r="F2355" s="1" t="s">
        <v>22</v>
      </c>
      <c r="G2355" s="1" t="str">
        <f>CONCATENATE("TRIDION D.O.O.,"," ZAPADNA LOZICA 10,"," 10000 ZAGREB,"," OIB: 79247590666")</f>
        <v>TRIDION D.O.O., ZAPADNA LOZICA 10, 10000 ZAGREB, OIB: 79247590666</v>
      </c>
      <c r="H2355" s="7"/>
      <c r="I2355" s="8" t="s">
        <v>398</v>
      </c>
      <c r="J2355" s="8" t="s">
        <v>1882</v>
      </c>
      <c r="K2355" s="6" t="str">
        <f>"1.669.000,00"</f>
        <v>1.669.000,00</v>
      </c>
      <c r="L2355" s="6" t="str">
        <f>"417.250,00"</f>
        <v>417.250,00</v>
      </c>
      <c r="M2355" s="6" t="str">
        <f>"2.086.250,00"</f>
        <v>2.086.250,00</v>
      </c>
      <c r="N2355" s="8" t="s">
        <v>124</v>
      </c>
      <c r="O2355" s="7"/>
      <c r="P2355" s="2" t="s">
        <v>5614</v>
      </c>
      <c r="Q2355" s="7"/>
      <c r="R2355" s="1"/>
      <c r="S2355" s="1" t="str">
        <f>"N-24-4/21"</f>
        <v>N-24-4/21</v>
      </c>
      <c r="T2355" s="1" t="s">
        <v>32</v>
      </c>
    </row>
    <row r="2356" spans="1:20" ht="76.5" x14ac:dyDescent="0.25">
      <c r="A2356" s="6">
        <v>2352</v>
      </c>
      <c r="B2356" s="1" t="str">
        <f>"2020-1815"</f>
        <v>2020-1815</v>
      </c>
      <c r="C2356" s="1" t="s">
        <v>1922</v>
      </c>
      <c r="D2356" s="1" t="s">
        <v>1888</v>
      </c>
      <c r="E2356" s="1" t="str">
        <f>"2020/S 0F2-0045900"</f>
        <v>2020/S 0F2-0045900</v>
      </c>
      <c r="F2356" s="1" t="s">
        <v>22</v>
      </c>
      <c r="G2356" s="1" t="str">
        <f>CONCATENATE("SMIT-COMMERCE D.O.O.,"," GORNJOSTUPNIČKA 9B,"," 10255 GORNJI STUPNIK,"," OIB: 9524348214")</f>
        <v>SMIT-COMMERCE D.O.O., GORNJOSTUPNIČKA 9B, 10255 GORNJI STUPNIK, OIB: 9524348214</v>
      </c>
      <c r="H2356" s="7"/>
      <c r="I2356" s="8" t="s">
        <v>1889</v>
      </c>
      <c r="J2356" s="8" t="s">
        <v>1890</v>
      </c>
      <c r="K2356" s="6" t="str">
        <f>"17.333,89"</f>
        <v>17.333,89</v>
      </c>
      <c r="L2356" s="6" t="str">
        <f>"4.333,47"</f>
        <v>4.333,47</v>
      </c>
      <c r="M2356" s="6" t="str">
        <f>"21.667,36"</f>
        <v>21.667,36</v>
      </c>
      <c r="N2356" s="8" t="s">
        <v>1923</v>
      </c>
      <c r="O2356" s="7"/>
      <c r="P2356" s="2" t="s">
        <v>6947</v>
      </c>
      <c r="Q2356" s="1" t="s">
        <v>5601</v>
      </c>
      <c r="R2356" s="1"/>
      <c r="S2356" s="1" t="str">
        <f>"N-102-4/20"</f>
        <v>N-102-4/20</v>
      </c>
      <c r="T2356" s="1" t="s">
        <v>32</v>
      </c>
    </row>
    <row r="2357" spans="1:20" ht="38.25" x14ac:dyDescent="0.25">
      <c r="A2357" s="6">
        <v>2353</v>
      </c>
      <c r="B2357" s="1" t="str">
        <f>"2022-1739"</f>
        <v>2022-1739</v>
      </c>
      <c r="C2357" s="1" t="s">
        <v>1924</v>
      </c>
      <c r="D2357" s="1" t="s">
        <v>1868</v>
      </c>
      <c r="E2357" s="1" t="str">
        <f>"2022/S 0F2-0018383"</f>
        <v>2022/S 0F2-0018383</v>
      </c>
      <c r="F2357" s="1" t="s">
        <v>22</v>
      </c>
      <c r="G2357" s="1" t="str">
        <f>CONCATENATE("SYGMA D.O.O.,"," DRINSKA 85,"," 31000 OSIJEK")</f>
        <v>SYGMA D.O.O., DRINSKA 85, 31000 OSIJEK</v>
      </c>
      <c r="H2357" s="7"/>
      <c r="I2357" s="8" t="s">
        <v>285</v>
      </c>
      <c r="J2357" s="8" t="s">
        <v>1925</v>
      </c>
      <c r="K2357" s="6" t="str">
        <f>"337.460,00"</f>
        <v>337.460,00</v>
      </c>
      <c r="L2357" s="6" t="str">
        <f>"84.365,00"</f>
        <v>84.365,00</v>
      </c>
      <c r="M2357" s="6" t="str">
        <f>"421.825,00"</f>
        <v>421.825,00</v>
      </c>
      <c r="N2357" s="8" t="s">
        <v>124</v>
      </c>
      <c r="O2357" s="7"/>
      <c r="P2357" s="2" t="s">
        <v>5614</v>
      </c>
      <c r="Q2357" s="7"/>
      <c r="R2357" s="1"/>
      <c r="S2357" s="1" t="str">
        <f>"N-11-5/22"</f>
        <v>N-11-5/22</v>
      </c>
      <c r="T2357" s="1" t="s">
        <v>32</v>
      </c>
    </row>
    <row r="2358" spans="1:20" ht="89.25" x14ac:dyDescent="0.25">
      <c r="A2358" s="6">
        <v>2354</v>
      </c>
      <c r="B2358" s="1" t="str">
        <f>"2022-1735"</f>
        <v>2022-1735</v>
      </c>
      <c r="C2358" s="1" t="s">
        <v>1926</v>
      </c>
      <c r="D2358" s="1" t="s">
        <v>1877</v>
      </c>
      <c r="E2358" s="1" t="str">
        <f>"2022/S 0F2-0015473"</f>
        <v>2022/S 0F2-0015473</v>
      </c>
      <c r="F2358" s="1" t="s">
        <v>22</v>
      </c>
      <c r="G2358" s="1" t="str">
        <f>CONCATENATE("ANDEL D.O.O.,"," MAJSTORSKA 1/G,"," 10000 ZAGREB,"," OIB: 81891996613")</f>
        <v>ANDEL D.O.O., MAJSTORSKA 1/G, 10000 ZAGREB, OIB: 81891996613</v>
      </c>
      <c r="H2358" s="7"/>
      <c r="I2358" s="8" t="s">
        <v>374</v>
      </c>
      <c r="J2358" s="8" t="s">
        <v>1920</v>
      </c>
      <c r="K2358" s="6" t="str">
        <f>"115.680,00"</f>
        <v>115.680,00</v>
      </c>
      <c r="L2358" s="6" t="str">
        <f>"28.920,00"</f>
        <v>28.920,00</v>
      </c>
      <c r="M2358" s="6" t="str">
        <f>"144.600,00"</f>
        <v>144.600,00</v>
      </c>
      <c r="N2358" s="8" t="s">
        <v>124</v>
      </c>
      <c r="O2358" s="7"/>
      <c r="P2358" s="2" t="s">
        <v>5614</v>
      </c>
      <c r="Q2358" s="7"/>
      <c r="R2358" s="1"/>
      <c r="S2358" s="1" t="str">
        <f>"N-16-5/22"</f>
        <v>N-16-5/22</v>
      </c>
      <c r="T2358" s="1" t="s">
        <v>452</v>
      </c>
    </row>
    <row r="2359" spans="1:20" ht="63.75" x14ac:dyDescent="0.25">
      <c r="A2359" s="6">
        <v>2355</v>
      </c>
      <c r="B2359" s="1" t="str">
        <f>"2021-945"</f>
        <v>2021-945</v>
      </c>
      <c r="C2359" s="1" t="s">
        <v>1927</v>
      </c>
      <c r="D2359" s="1" t="s">
        <v>1914</v>
      </c>
      <c r="E2359" s="1" t="str">
        <f>"2021/S 0F2-0034740"</f>
        <v>2021/S 0F2-0034740</v>
      </c>
      <c r="F2359" s="1" t="s">
        <v>22</v>
      </c>
      <c r="G2359" s="1" t="str">
        <f>CONCATENATE("ORTO REA D.O.O.,"," ULICA BRAĆE RADIĆ 52B,"," 42000 VARAŽDIN (JALKOVEC),"," OIB: 49311953202")</f>
        <v>ORTO REA D.O.O., ULICA BRAĆE RADIĆ 52B, 42000 VARAŽDIN (JALKOVEC), OIB: 49311953202</v>
      </c>
      <c r="H2359" s="7"/>
      <c r="I2359" s="8" t="s">
        <v>263</v>
      </c>
      <c r="J2359" s="8" t="s">
        <v>570</v>
      </c>
      <c r="K2359" s="6" t="str">
        <f>"386.832,00"</f>
        <v>386.832,00</v>
      </c>
      <c r="L2359" s="6" t="str">
        <f>"96.708,00"</f>
        <v>96.708,00</v>
      </c>
      <c r="M2359" s="6" t="str">
        <f>"483.540,00"</f>
        <v>483.540,00</v>
      </c>
      <c r="N2359" s="8" t="s">
        <v>124</v>
      </c>
      <c r="O2359" s="7"/>
      <c r="P2359" s="2" t="s">
        <v>6948</v>
      </c>
      <c r="Q2359" s="7"/>
      <c r="R2359" s="1"/>
      <c r="S2359" s="1" t="str">
        <f>"N-48-5/21"</f>
        <v>N-48-5/21</v>
      </c>
      <c r="T2359" s="1" t="s">
        <v>32</v>
      </c>
    </row>
    <row r="2360" spans="1:20" ht="76.5" x14ac:dyDescent="0.25">
      <c r="A2360" s="6">
        <v>2356</v>
      </c>
      <c r="B2360" s="1" t="str">
        <f>"2020-1815"</f>
        <v>2020-1815</v>
      </c>
      <c r="C2360" s="1" t="s">
        <v>1928</v>
      </c>
      <c r="D2360" s="1" t="s">
        <v>1888</v>
      </c>
      <c r="E2360" s="1" t="str">
        <f>"2020/S 0F2-0045900"</f>
        <v>2020/S 0F2-0045900</v>
      </c>
      <c r="F2360" s="1" t="s">
        <v>22</v>
      </c>
      <c r="G2360" s="1" t="str">
        <f>CONCATENATE("SMIT-COMMERCE D.O.O.,"," GORNJOSTUPNIČKA 9B,"," 10255 GORNJI STUPNIK,"," OIB: 9524348214")</f>
        <v>SMIT-COMMERCE D.O.O., GORNJOSTUPNIČKA 9B, 10255 GORNJI STUPNIK, OIB: 9524348214</v>
      </c>
      <c r="H2360" s="7"/>
      <c r="I2360" s="8" t="s">
        <v>1889</v>
      </c>
      <c r="J2360" s="8" t="s">
        <v>1890</v>
      </c>
      <c r="K2360" s="6" t="str">
        <f>"18.180,76"</f>
        <v>18.180,76</v>
      </c>
      <c r="L2360" s="6" t="str">
        <f>"4.545,19"</f>
        <v>4.545,19</v>
      </c>
      <c r="M2360" s="6" t="str">
        <f>"22.725,95"</f>
        <v>22.725,95</v>
      </c>
      <c r="N2360" s="8" t="s">
        <v>1929</v>
      </c>
      <c r="O2360" s="7"/>
      <c r="P2360" s="2" t="s">
        <v>6949</v>
      </c>
      <c r="Q2360" s="1" t="s">
        <v>5601</v>
      </c>
      <c r="R2360" s="1"/>
      <c r="S2360" s="1" t="str">
        <f>"N-102-5/20"</f>
        <v>N-102-5/20</v>
      </c>
      <c r="T2360" s="1" t="s">
        <v>32</v>
      </c>
    </row>
    <row r="2361" spans="1:20" ht="111" customHeight="1" x14ac:dyDescent="0.25">
      <c r="A2361" s="6">
        <v>2357</v>
      </c>
      <c r="B2361" s="1" t="str">
        <f>"2013-61-A"</f>
        <v>2013-61-A</v>
      </c>
      <c r="C2361" s="1" t="s">
        <v>1930</v>
      </c>
      <c r="D2361" s="1" t="s">
        <v>1931</v>
      </c>
      <c r="E2361" s="1" t="str">
        <f>"2013/S  002-0004766"</f>
        <v>2013/S  002-0004766</v>
      </c>
      <c r="F2361" s="1" t="s">
        <v>22</v>
      </c>
      <c r="G2361" s="1" t="str">
        <f>CONCATENATE("HYPO ALPE-ADRIA-LEASING D.O.O.,"," SLAVONSKA AVENIJA 6A,"," 10000 ZAGREB,"," OIB: 03153152979")</f>
        <v>HYPO ALPE-ADRIA-LEASING D.O.O., SLAVONSKA AVENIJA 6A, 10000 ZAGREB, OIB: 03153152979</v>
      </c>
      <c r="H2361" s="7"/>
      <c r="I2361" s="8" t="s">
        <v>1932</v>
      </c>
      <c r="J2361" s="8" t="s">
        <v>1220</v>
      </c>
      <c r="K2361" s="6" t="str">
        <f>"208.231.013,76"</f>
        <v>208.231.013,76</v>
      </c>
      <c r="L2361" s="6" t="str">
        <f>"52.057.753,44"</f>
        <v>52.057.753,44</v>
      </c>
      <c r="M2361" s="6" t="str">
        <f>"260.288.767,20"</f>
        <v>260.288.767,20</v>
      </c>
      <c r="N2361" s="8" t="s">
        <v>124</v>
      </c>
      <c r="O2361" s="7"/>
      <c r="P2361" s="2" t="s">
        <v>5614</v>
      </c>
      <c r="Q2361" s="7"/>
      <c r="R2361" s="1" t="s">
        <v>1933</v>
      </c>
      <c r="S2361" s="1" t="str">
        <f>"N-41/13"</f>
        <v>N-41/13</v>
      </c>
      <c r="T2361" s="1" t="s">
        <v>32</v>
      </c>
    </row>
    <row r="2362" spans="1:20" ht="107.25" customHeight="1" x14ac:dyDescent="0.25">
      <c r="A2362" s="6">
        <v>2358</v>
      </c>
      <c r="B2362" s="1" t="str">
        <f>"2013-61-B"</f>
        <v>2013-61-B</v>
      </c>
      <c r="C2362" s="1" t="s">
        <v>1930</v>
      </c>
      <c r="D2362" s="1" t="s">
        <v>1931</v>
      </c>
      <c r="E2362" s="1" t="str">
        <f>"2013/S 002-0004771"</f>
        <v>2013/S 002-0004771</v>
      </c>
      <c r="F2362" s="1" t="s">
        <v>22</v>
      </c>
      <c r="G2362" s="1" t="str">
        <f>CONCATENATE("ERSTE &amp; STEIERMÄRKISCHE S-LEASING D.O.O.,"," ZELINSKA 3,"," 10000 ZAGREB,"," OIB: 4655067166")</f>
        <v>ERSTE &amp; STEIERMÄRKISCHE S-LEASING D.O.O., ZELINSKA 3, 10000 ZAGREB, OIB: 4655067166</v>
      </c>
      <c r="H2362" s="7"/>
      <c r="I2362" s="8" t="s">
        <v>1932</v>
      </c>
      <c r="J2362" s="8" t="s">
        <v>1220</v>
      </c>
      <c r="K2362" s="6" t="str">
        <f>"149.779.433,24"</f>
        <v>149.779.433,24</v>
      </c>
      <c r="L2362" s="6" t="str">
        <f>"37.444.858,31"</f>
        <v>37.444.858,31</v>
      </c>
      <c r="M2362" s="6" t="str">
        <f>"187.224.291,55"</f>
        <v>187.224.291,55</v>
      </c>
      <c r="N2362" s="8" t="s">
        <v>124</v>
      </c>
      <c r="O2362" s="7"/>
      <c r="P2362" s="2" t="s">
        <v>5614</v>
      </c>
      <c r="Q2362" s="7"/>
      <c r="R2362" s="1" t="s">
        <v>1933</v>
      </c>
      <c r="S2362" s="1" t="str">
        <f>"N-42/13"</f>
        <v>N-42/13</v>
      </c>
      <c r="T2362" s="1" t="s">
        <v>32</v>
      </c>
    </row>
    <row r="2363" spans="1:20" ht="63.75" x14ac:dyDescent="0.25">
      <c r="A2363" s="6">
        <v>2359</v>
      </c>
      <c r="B2363" s="1" t="str">
        <f>"2013-3478"</f>
        <v>2013-3478</v>
      </c>
      <c r="C2363" s="1" t="s">
        <v>1934</v>
      </c>
      <c r="D2363" s="1" t="s">
        <v>1935</v>
      </c>
      <c r="E2363" s="1" t="str">
        <f>"2013/S  002-0065819"</f>
        <v>2013/S  002-0065819</v>
      </c>
      <c r="F2363" s="1" t="s">
        <v>22</v>
      </c>
      <c r="G2363" s="1" t="str">
        <f>CONCATENATE("PRIVREDNA BANKA ZAGREB D.D.,"," RADNIČKA CESTA 50,"," 10000 ZAGREB,"," OIB: 02535697732")</f>
        <v>PRIVREDNA BANKA ZAGREB D.D., RADNIČKA CESTA 50, 10000 ZAGREB, OIB: 02535697732</v>
      </c>
      <c r="H2363" s="7"/>
      <c r="I2363" s="8" t="s">
        <v>1936</v>
      </c>
      <c r="J2363" s="8" t="s">
        <v>1541</v>
      </c>
      <c r="K2363" s="6" t="str">
        <f>"15.973.896,74"</f>
        <v>15.973.896,74</v>
      </c>
      <c r="L2363" s="6" t="str">
        <f>"3.993.474,19"</f>
        <v>3.993.474,19</v>
      </c>
      <c r="M2363" s="6" t="str">
        <f>"19.967.370,93"</f>
        <v>19.967.370,93</v>
      </c>
      <c r="N2363" s="8" t="s">
        <v>124</v>
      </c>
      <c r="O2363" s="7"/>
      <c r="P2363" s="2" t="s">
        <v>5614</v>
      </c>
      <c r="Q2363" s="7"/>
      <c r="R2363" s="1"/>
      <c r="S2363" s="1" t="str">
        <f>"N-92/13"</f>
        <v>N-92/13</v>
      </c>
      <c r="T2363" s="1" t="s">
        <v>32</v>
      </c>
    </row>
    <row r="2364" spans="1:20" ht="76.5" x14ac:dyDescent="0.25">
      <c r="A2364" s="6">
        <v>2360</v>
      </c>
      <c r="B2364" s="1" t="str">
        <f>"2013-3584"</f>
        <v>2013-3584</v>
      </c>
      <c r="C2364" s="1" t="s">
        <v>1937</v>
      </c>
      <c r="D2364" s="1" t="s">
        <v>1935</v>
      </c>
      <c r="E2364" s="1" t="str">
        <f>""</f>
        <v/>
      </c>
      <c r="F2364" s="1" t="s">
        <v>1040</v>
      </c>
      <c r="G2364" s="1" t="str">
        <f>CONCATENATE("ZAGREBAČKA BANKA D.D.,"," TRG BANA JOSIPA JELAČIĆA 10,"," 10000 ZAGREB,"," OIB: 92963223473")</f>
        <v>ZAGREBAČKA BANKA D.D., TRG BANA JOSIPA JELAČIĆA 10, 10000 ZAGREB, OIB: 92963223473</v>
      </c>
      <c r="H2364" s="7"/>
      <c r="I2364" s="8" t="s">
        <v>1938</v>
      </c>
      <c r="J2364" s="8" t="s">
        <v>1541</v>
      </c>
      <c r="K2364" s="6" t="str">
        <f>"29.942.550,77"</f>
        <v>29.942.550,77</v>
      </c>
      <c r="L2364" s="6" t="str">
        <f>"7.485.637,69"</f>
        <v>7.485.637,69</v>
      </c>
      <c r="M2364" s="6" t="str">
        <f>"37.428.188,46"</f>
        <v>37.428.188,46</v>
      </c>
      <c r="N2364" s="8" t="s">
        <v>124</v>
      </c>
      <c r="O2364" s="7"/>
      <c r="P2364" s="2" t="s">
        <v>5614</v>
      </c>
      <c r="Q2364" s="7"/>
      <c r="R2364" s="1"/>
      <c r="S2364" s="1" t="str">
        <f>"N-98/13"</f>
        <v>N-98/13</v>
      </c>
      <c r="T2364" s="1" t="s">
        <v>32</v>
      </c>
    </row>
    <row r="2365" spans="1:20" ht="63.75" x14ac:dyDescent="0.25">
      <c r="A2365" s="6">
        <v>2361</v>
      </c>
      <c r="B2365" s="1" t="str">
        <f>"2014-2032"</f>
        <v>2014-2032</v>
      </c>
      <c r="C2365" s="1" t="s">
        <v>1939</v>
      </c>
      <c r="D2365" s="1" t="s">
        <v>1935</v>
      </c>
      <c r="E2365" s="1" t="str">
        <f>"2014/S 002-0010405"</f>
        <v>2014/S 002-0010405</v>
      </c>
      <c r="F2365" s="1" t="s">
        <v>22</v>
      </c>
      <c r="G2365" s="1" t="str">
        <f>CONCATENATE("PRIVREDNA BANKA ZAGREB D.D.,"," RADNIČKA CESTA 50,"," 10000 ZAGREB,"," OIB: 02535697732")</f>
        <v>PRIVREDNA BANKA ZAGREB D.D., RADNIČKA CESTA 50, 10000 ZAGREB, OIB: 02535697732</v>
      </c>
      <c r="H2365" s="7"/>
      <c r="I2365" s="8" t="s">
        <v>1940</v>
      </c>
      <c r="J2365" s="8" t="s">
        <v>1538</v>
      </c>
      <c r="K2365" s="6" t="str">
        <f>"18.999.573,75"</f>
        <v>18.999.573,75</v>
      </c>
      <c r="L2365" s="6" t="str">
        <f>"4.749.893,44"</f>
        <v>4.749.893,44</v>
      </c>
      <c r="M2365" s="6" t="str">
        <f>"23.749.467,19"</f>
        <v>23.749.467,19</v>
      </c>
      <c r="N2365" s="8" t="s">
        <v>124</v>
      </c>
      <c r="O2365" s="7"/>
      <c r="P2365" s="2" t="s">
        <v>5614</v>
      </c>
      <c r="Q2365" s="7"/>
      <c r="R2365" s="1"/>
      <c r="S2365" s="1" t="str">
        <f>"N-1/14"</f>
        <v>N-1/14</v>
      </c>
      <c r="T2365" s="1" t="s">
        <v>32</v>
      </c>
    </row>
    <row r="2366" spans="1:20" ht="76.5" x14ac:dyDescent="0.25">
      <c r="A2366" s="6">
        <v>2362</v>
      </c>
      <c r="B2366" s="1" t="str">
        <f>"2014-2033"</f>
        <v>2014-2033</v>
      </c>
      <c r="C2366" s="1" t="s">
        <v>1941</v>
      </c>
      <c r="D2366" s="1" t="s">
        <v>1935</v>
      </c>
      <c r="E2366" s="1" t="str">
        <f>"2014/S 002-0010392"</f>
        <v>2014/S 002-0010392</v>
      </c>
      <c r="F2366" s="1" t="s">
        <v>22</v>
      </c>
      <c r="G2366" s="1" t="str">
        <f>CONCATENATE("ERSTE&amp;STEIERMÄRKISCHE BANK D. D.,"," JADRANSKI TRG 3/A,"," 51000 RIJEKA,"," OIB: 2305703932")</f>
        <v>ERSTE&amp;STEIERMÄRKISCHE BANK D. D., JADRANSKI TRG 3/A, 51000 RIJEKA, OIB: 2305703932</v>
      </c>
      <c r="H2366" s="7"/>
      <c r="I2366" s="8" t="s">
        <v>1942</v>
      </c>
      <c r="J2366" s="8" t="s">
        <v>1538</v>
      </c>
      <c r="K2366" s="6" t="str">
        <f>"6.980.298,52"</f>
        <v>6.980.298,52</v>
      </c>
      <c r="L2366" s="6" t="str">
        <f>"1.745.074,63"</f>
        <v>1.745.074,63</v>
      </c>
      <c r="M2366" s="6" t="str">
        <f>"8.725.373,15"</f>
        <v>8.725.373,15</v>
      </c>
      <c r="N2366" s="8" t="s">
        <v>124</v>
      </c>
      <c r="O2366" s="7"/>
      <c r="P2366" s="2" t="s">
        <v>5614</v>
      </c>
      <c r="Q2366" s="7"/>
      <c r="R2366" s="1"/>
      <c r="S2366" s="1" t="str">
        <f>"N-2/14"</f>
        <v>N-2/14</v>
      </c>
      <c r="T2366" s="1" t="s">
        <v>32</v>
      </c>
    </row>
    <row r="2367" spans="1:20" ht="63.75" x14ac:dyDescent="0.25">
      <c r="A2367" s="6">
        <v>2363</v>
      </c>
      <c r="B2367" s="1" t="str">
        <f>"2015-604"</f>
        <v>2015-604</v>
      </c>
      <c r="C2367" s="1" t="s">
        <v>1943</v>
      </c>
      <c r="D2367" s="1" t="s">
        <v>1833</v>
      </c>
      <c r="E2367" s="1" t="str">
        <f>"2015/S 002-0039692"</f>
        <v>2015/S 002-0039692</v>
      </c>
      <c r="F2367" s="1" t="s">
        <v>22</v>
      </c>
      <c r="G2367" s="1" t="str">
        <f>CONCATENATE("BKS - LEASING CROATIA D.O.O.,"," IVANA LUČIĆA 2/A,"," 10000 ZAGREB,"," OIB: 52277663197")</f>
        <v>BKS - LEASING CROATIA D.O.O., IVANA LUČIĆA 2/A, 10000 ZAGREB, OIB: 52277663197</v>
      </c>
      <c r="H2367" s="7"/>
      <c r="I2367" s="8" t="s">
        <v>1944</v>
      </c>
      <c r="J2367" s="8" t="s">
        <v>160</v>
      </c>
      <c r="K2367" s="6" t="str">
        <f>"200.834,64"</f>
        <v>200.834,64</v>
      </c>
      <c r="L2367" s="6" t="str">
        <f>"50.208,66"</f>
        <v>50.208,66</v>
      </c>
      <c r="M2367" s="6" t="str">
        <f>"251.043,30"</f>
        <v>251.043,30</v>
      </c>
      <c r="N2367" s="8" t="s">
        <v>1945</v>
      </c>
      <c r="O2367" s="7"/>
      <c r="P2367" s="2" t="s">
        <v>6950</v>
      </c>
      <c r="Q2367" s="7"/>
      <c r="R2367" s="1"/>
      <c r="S2367" s="1" t="str">
        <f>"N-88-A/15"</f>
        <v>N-88-A/15</v>
      </c>
      <c r="T2367" s="1" t="s">
        <v>55</v>
      </c>
    </row>
    <row r="2368" spans="1:20" ht="63.75" x14ac:dyDescent="0.25">
      <c r="A2368" s="6">
        <v>2364</v>
      </c>
      <c r="B2368" s="1" t="str">
        <f>"2015-604"</f>
        <v>2015-604</v>
      </c>
      <c r="C2368" s="1" t="s">
        <v>1946</v>
      </c>
      <c r="D2368" s="1" t="s">
        <v>1833</v>
      </c>
      <c r="E2368" s="1" t="str">
        <f>"2015/S 002-0039692"</f>
        <v>2015/S 002-0039692</v>
      </c>
      <c r="F2368" s="1" t="s">
        <v>22</v>
      </c>
      <c r="G2368" s="1" t="str">
        <f>CONCATENATE("BKS - LEASING CROATIA D.O.O.,"," IVANA LUČIĆA 2/A,"," 10000 ZAGREB,"," OIB: 52277663197")</f>
        <v>BKS - LEASING CROATIA D.O.O., IVANA LUČIĆA 2/A, 10000 ZAGREB, OIB: 52277663197</v>
      </c>
      <c r="H2368" s="7"/>
      <c r="I2368" s="8" t="s">
        <v>1947</v>
      </c>
      <c r="J2368" s="8" t="s">
        <v>1948</v>
      </c>
      <c r="K2368" s="6" t="str">
        <f>"7.598.442,60"</f>
        <v>7.598.442,60</v>
      </c>
      <c r="L2368" s="6" t="str">
        <f>"1.899.610,65"</f>
        <v>1.899.610,65</v>
      </c>
      <c r="M2368" s="6" t="str">
        <f>"9.498.053,25"</f>
        <v>9.498.053,25</v>
      </c>
      <c r="N2368" s="8" t="s">
        <v>124</v>
      </c>
      <c r="O2368" s="7"/>
      <c r="P2368" s="2" t="s">
        <v>5614</v>
      </c>
      <c r="Q2368" s="7"/>
      <c r="R2368" s="1"/>
      <c r="S2368" s="1" t="str">
        <f>"N-88-B/15"</f>
        <v>N-88-B/15</v>
      </c>
      <c r="T2368" s="1" t="s">
        <v>55</v>
      </c>
    </row>
    <row r="2369" spans="1:20" ht="63.75" x14ac:dyDescent="0.25">
      <c r="A2369" s="6">
        <v>2365</v>
      </c>
      <c r="B2369" s="1" t="str">
        <f>"2015-604"</f>
        <v>2015-604</v>
      </c>
      <c r="C2369" s="1" t="s">
        <v>1949</v>
      </c>
      <c r="D2369" s="1" t="s">
        <v>1833</v>
      </c>
      <c r="E2369" s="1" t="str">
        <f>"2015/S 002-0039692"</f>
        <v>2015/S 002-0039692</v>
      </c>
      <c r="F2369" s="1" t="s">
        <v>22</v>
      </c>
      <c r="G2369" s="1" t="str">
        <f>CONCATENATE("UNICREDIT LEASING CROATIA D.O.O.,"," HEINZELOVA 33,"," 10000 ZAGREB,"," OIB: 187361412")</f>
        <v>UNICREDIT LEASING CROATIA D.O.O., HEINZELOVA 33, 10000 ZAGREB, OIB: 187361412</v>
      </c>
      <c r="H2369" s="7"/>
      <c r="I2369" s="8" t="s">
        <v>1950</v>
      </c>
      <c r="J2369" s="8" t="s">
        <v>287</v>
      </c>
      <c r="K2369" s="6" t="str">
        <f>"696.687,12"</f>
        <v>696.687,12</v>
      </c>
      <c r="L2369" s="6" t="str">
        <f>"174.171,78"</f>
        <v>174.171,78</v>
      </c>
      <c r="M2369" s="6" t="str">
        <f>"870.858,90"</f>
        <v>870.858,90</v>
      </c>
      <c r="N2369" s="8" t="s">
        <v>124</v>
      </c>
      <c r="O2369" s="7"/>
      <c r="P2369" s="2" t="s">
        <v>5614</v>
      </c>
      <c r="Q2369" s="7"/>
      <c r="R2369" s="1"/>
      <c r="S2369" s="1" t="str">
        <f>"N-88-C/15"</f>
        <v>N-88-C/15</v>
      </c>
      <c r="T2369" s="1" t="s">
        <v>55</v>
      </c>
    </row>
    <row r="2370" spans="1:20" ht="51" x14ac:dyDescent="0.25">
      <c r="A2370" s="6">
        <v>2366</v>
      </c>
      <c r="B2370" s="1" t="str">
        <f>"2017-1003"</f>
        <v>2017-1003</v>
      </c>
      <c r="C2370" s="1" t="s">
        <v>1951</v>
      </c>
      <c r="D2370" s="1" t="s">
        <v>1824</v>
      </c>
      <c r="E2370" s="1" t="str">
        <f>"2017/S 0F2-0024717"</f>
        <v>2017/S 0F2-0024717</v>
      </c>
      <c r="F2370" s="1" t="s">
        <v>22</v>
      </c>
      <c r="G2370" s="1" t="str">
        <f>CONCATENATE("EKSPERT D.O.O.,"," SELSKA CESTA 126,"," 10000 ZAGREB,"," OIB: 5054290785")</f>
        <v>EKSPERT D.O.O., SELSKA CESTA 126, 10000 ZAGREB, OIB: 5054290785</v>
      </c>
      <c r="H2370" s="7"/>
      <c r="I2370" s="8" t="s">
        <v>196</v>
      </c>
      <c r="J2370" s="8" t="s">
        <v>197</v>
      </c>
      <c r="K2370" s="6" t="str">
        <f>"230.400,00"</f>
        <v>230.400,00</v>
      </c>
      <c r="L2370" s="6" t="str">
        <f>"57.600,00"</f>
        <v>57.600,00</v>
      </c>
      <c r="M2370" s="6" t="str">
        <f>"288.000,00"</f>
        <v>288.000,00</v>
      </c>
      <c r="N2370" s="8" t="s">
        <v>1952</v>
      </c>
      <c r="O2370" s="7"/>
      <c r="P2370" s="2" t="s">
        <v>6951</v>
      </c>
      <c r="Q2370" s="7"/>
      <c r="R2370" s="1"/>
      <c r="S2370" s="1" t="str">
        <f>"N-117/17"</f>
        <v>N-117/17</v>
      </c>
      <c r="T2370" s="1" t="s">
        <v>32</v>
      </c>
    </row>
    <row r="2371" spans="1:20" ht="76.5" x14ac:dyDescent="0.25">
      <c r="A2371" s="6">
        <v>2367</v>
      </c>
      <c r="B2371" s="1" t="str">
        <f>"2017-2458"</f>
        <v>2017-2458</v>
      </c>
      <c r="C2371" s="1" t="s">
        <v>1953</v>
      </c>
      <c r="D2371" s="1" t="s">
        <v>1352</v>
      </c>
      <c r="E2371" s="1" t="str">
        <f>"2017/S 0F2-0028137"</f>
        <v>2017/S 0F2-0028137</v>
      </c>
      <c r="F2371" s="1" t="s">
        <v>22</v>
      </c>
      <c r="G2371" s="1" t="str">
        <f>CONCATENATE("BKS - LEASING CROATIA D.O.O.,"," IVANA LUČIĆA 2/A,"," 10000 ZAGREB,"," OIB: 52277663197")</f>
        <v>BKS - LEASING CROATIA D.O.O., IVANA LUČIĆA 2/A, 10000 ZAGREB, OIB: 52277663197</v>
      </c>
      <c r="H2371" s="1" t="str">
        <f>CONCATENATE("UPGRADE D.O.O.,"," OIB: 69048614769",CHAR(10),"GRADATIN D.O.O.,"," OIB: 79147056526")</f>
        <v>UPGRADE D.O.O., OIB: 69048614769
GRADATIN D.O.O., OIB: 79147056526</v>
      </c>
      <c r="I2371" s="8" t="s">
        <v>1954</v>
      </c>
      <c r="J2371" s="8" t="s">
        <v>258</v>
      </c>
      <c r="K2371" s="6" t="str">
        <f>"1.701.562,56"</f>
        <v>1.701.562,56</v>
      </c>
      <c r="L2371" s="6" t="str">
        <f>"425.390,64"</f>
        <v>425.390,64</v>
      </c>
      <c r="M2371" s="6" t="str">
        <f>"2.126.953,20"</f>
        <v>2.126.953,20</v>
      </c>
      <c r="N2371" s="8" t="s">
        <v>458</v>
      </c>
      <c r="O2371" s="7"/>
      <c r="P2371" s="2" t="s">
        <v>6952</v>
      </c>
      <c r="Q2371" s="7"/>
      <c r="R2371" s="1"/>
      <c r="S2371" s="1" t="str">
        <f>"N-153-B/17"</f>
        <v>N-153-B/17</v>
      </c>
      <c r="T2371" s="1" t="s">
        <v>32</v>
      </c>
    </row>
    <row r="2372" spans="1:20" ht="76.5" x14ac:dyDescent="0.25">
      <c r="A2372" s="6">
        <v>2368</v>
      </c>
      <c r="B2372" s="1" t="str">
        <f>"2017-2458"</f>
        <v>2017-2458</v>
      </c>
      <c r="C2372" s="1" t="s">
        <v>1955</v>
      </c>
      <c r="D2372" s="1" t="s">
        <v>1352</v>
      </c>
      <c r="E2372" s="1" t="str">
        <f>"2017/S 0F2-0028137"</f>
        <v>2017/S 0F2-0028137</v>
      </c>
      <c r="F2372" s="1" t="s">
        <v>22</v>
      </c>
      <c r="G2372" s="1" t="str">
        <f>CONCATENATE("BKS - LEASING CROATIA D.O.O.,"," IVANA LUČIĆA 2/A,"," 10000 ZAGREB,"," OIB: 52277663197")</f>
        <v>BKS - LEASING CROATIA D.O.O., IVANA LUČIĆA 2/A, 10000 ZAGREB, OIB: 52277663197</v>
      </c>
      <c r="H2372" s="1" t="str">
        <f>CONCATENATE("UPGRADE D.O.O.,"," OIB: 69048614769",CHAR(10),"GRADATIN D.O.O.,"," OIB: 79147056526")</f>
        <v>UPGRADE D.O.O., OIB: 69048614769
GRADATIN D.O.O., OIB: 79147056526</v>
      </c>
      <c r="I2372" s="8" t="s">
        <v>1954</v>
      </c>
      <c r="J2372" s="8" t="s">
        <v>258</v>
      </c>
      <c r="K2372" s="6" t="str">
        <f>"4.913.925,00"</f>
        <v>4.913.925,00</v>
      </c>
      <c r="L2372" s="6" t="str">
        <f>"1.228.481,25"</f>
        <v>1.228.481,25</v>
      </c>
      <c r="M2372" s="6" t="str">
        <f>"6.142.406,25"</f>
        <v>6.142.406,25</v>
      </c>
      <c r="N2372" s="8" t="s">
        <v>458</v>
      </c>
      <c r="O2372" s="7"/>
      <c r="P2372" s="2" t="s">
        <v>6953</v>
      </c>
      <c r="Q2372" s="7"/>
      <c r="R2372" s="1"/>
      <c r="S2372" s="1" t="str">
        <f>"N-153-C/17"</f>
        <v>N-153-C/17</v>
      </c>
      <c r="T2372" s="1" t="s">
        <v>32</v>
      </c>
    </row>
    <row r="2373" spans="1:20" ht="76.5" x14ac:dyDescent="0.25">
      <c r="A2373" s="6">
        <v>2369</v>
      </c>
      <c r="B2373" s="1" t="str">
        <f>"2017-2458"</f>
        <v>2017-2458</v>
      </c>
      <c r="C2373" s="1" t="s">
        <v>1956</v>
      </c>
      <c r="D2373" s="1" t="s">
        <v>1352</v>
      </c>
      <c r="E2373" s="1" t="str">
        <f>"2017/S 0F2-0028137"</f>
        <v>2017/S 0F2-0028137</v>
      </c>
      <c r="F2373" s="1" t="s">
        <v>22</v>
      </c>
      <c r="G2373" s="1" t="str">
        <f>CONCATENATE("BKS - LEASING CROATIA D.O.O.,"," IVANA LUČIĆA 2/A,"," 10000 ZAGREB,"," OIB: 52277663197")</f>
        <v>BKS - LEASING CROATIA D.O.O., IVANA LUČIĆA 2/A, 10000 ZAGREB, OIB: 52277663197</v>
      </c>
      <c r="H2373" s="1" t="str">
        <f>CONCATENATE("UPGRADE D.O.O.,"," OIB: 69048614769",CHAR(10),"GRADATIN D.O.O.,"," OIB: 79147056526")</f>
        <v>UPGRADE D.O.O., OIB: 69048614769
GRADATIN D.O.O., OIB: 79147056526</v>
      </c>
      <c r="I2373" s="8" t="s">
        <v>1954</v>
      </c>
      <c r="J2373" s="8" t="s">
        <v>258</v>
      </c>
      <c r="K2373" s="6" t="str">
        <f>"5.561.255,52"</f>
        <v>5.561.255,52</v>
      </c>
      <c r="L2373" s="6" t="str">
        <f>"1.390.313,88"</f>
        <v>1.390.313,88</v>
      </c>
      <c r="M2373" s="6" t="str">
        <f>"6.951.569,40"</f>
        <v>6.951.569,40</v>
      </c>
      <c r="N2373" s="8" t="s">
        <v>458</v>
      </c>
      <c r="O2373" s="7"/>
      <c r="P2373" s="2" t="s">
        <v>6954</v>
      </c>
      <c r="Q2373" s="7"/>
      <c r="R2373" s="1"/>
      <c r="S2373" s="1" t="str">
        <f>"N-153-D/17"</f>
        <v>N-153-D/17</v>
      </c>
      <c r="T2373" s="1" t="s">
        <v>32</v>
      </c>
    </row>
    <row r="2374" spans="1:20" ht="76.5" x14ac:dyDescent="0.25">
      <c r="A2374" s="6">
        <v>2370</v>
      </c>
      <c r="B2374" s="1" t="str">
        <f>"2017-2458"</f>
        <v>2017-2458</v>
      </c>
      <c r="C2374" s="1" t="s">
        <v>1957</v>
      </c>
      <c r="D2374" s="1" t="s">
        <v>1352</v>
      </c>
      <c r="E2374" s="1" t="str">
        <f>"2017/S 0F2-0028137"</f>
        <v>2017/S 0F2-0028137</v>
      </c>
      <c r="F2374" s="1" t="s">
        <v>22</v>
      </c>
      <c r="G2374" s="1" t="str">
        <f>CONCATENATE("BKS - LEASING CROATIA D.O.O.,"," IVANA LUČIĆA 2/A,"," 10000 ZAGREB,"," OIB: 52277663197")</f>
        <v>BKS - LEASING CROATIA D.O.O., IVANA LUČIĆA 2/A, 10000 ZAGREB, OIB: 52277663197</v>
      </c>
      <c r="H2374" s="1" t="str">
        <f>CONCATENATE("UPGRADE D.O.O.,"," OIB: 69048614769",CHAR(10),"GRADATIN D.O.O.,"," OIB: 79147056526")</f>
        <v>UPGRADE D.O.O., OIB: 69048614769
GRADATIN D.O.O., OIB: 79147056526</v>
      </c>
      <c r="I2374" s="8" t="s">
        <v>1954</v>
      </c>
      <c r="J2374" s="8" t="s">
        <v>258</v>
      </c>
      <c r="K2374" s="6" t="str">
        <f>"810.235,20"</f>
        <v>810.235,20</v>
      </c>
      <c r="L2374" s="6" t="str">
        <f>"202.558,80"</f>
        <v>202.558,80</v>
      </c>
      <c r="M2374" s="6" t="str">
        <f>"1.012.794,00"</f>
        <v>1.012.794,00</v>
      </c>
      <c r="N2374" s="8" t="s">
        <v>458</v>
      </c>
      <c r="O2374" s="7"/>
      <c r="P2374" s="2" t="s">
        <v>6955</v>
      </c>
      <c r="Q2374" s="7"/>
      <c r="R2374" s="1"/>
      <c r="S2374" s="1" t="str">
        <f>"N-153-E/17"</f>
        <v>N-153-E/17</v>
      </c>
      <c r="T2374" s="1" t="s">
        <v>32</v>
      </c>
    </row>
    <row r="2375" spans="1:20" ht="89.25" x14ac:dyDescent="0.25">
      <c r="A2375" s="6">
        <v>2371</v>
      </c>
      <c r="B2375" s="1" t="str">
        <f>"2017-885"</f>
        <v>2017-885</v>
      </c>
      <c r="C2375" s="1" t="s">
        <v>1958</v>
      </c>
      <c r="D2375" s="1" t="s">
        <v>1830</v>
      </c>
      <c r="E2375" s="1" t="str">
        <f>"2017/S 0F2-0028143"</f>
        <v>2017/S 0F2-0028143</v>
      </c>
      <c r="F2375" s="1" t="s">
        <v>22</v>
      </c>
      <c r="G2375" s="1" t="str">
        <f>CONCATENATE("ERSTE &amp; STEIERMÄRKISCHE S-LEASING D.O.O.,"," ZELINSKA 3,"," 10000 ZAGREB,"," OIB: 4655067166")</f>
        <v>ERSTE &amp; STEIERMÄRKISCHE S-LEASING D.O.O., ZELINSKA 3, 10000 ZAGREB, OIB: 4655067166</v>
      </c>
      <c r="H2375" s="1" t="str">
        <f>CONCATENATE("O-K-TEH d.o.o.,"," OIB: 37322381288",CHAR(10),"GRADATIN D.O.O.,"," OIB: 79147056526")</f>
        <v>O-K-TEH d.o.o., OIB: 37322381288
GRADATIN D.O.O., OIB: 79147056526</v>
      </c>
      <c r="I2375" s="8" t="s">
        <v>1959</v>
      </c>
      <c r="J2375" s="8" t="s">
        <v>1960</v>
      </c>
      <c r="K2375" s="6" t="str">
        <f>"5.200.360,80"</f>
        <v>5.200.360,80</v>
      </c>
      <c r="L2375" s="6" t="str">
        <f>"1.300.090,20"</f>
        <v>1.300.090,20</v>
      </c>
      <c r="M2375" s="6" t="str">
        <f>"6.500.451,00"</f>
        <v>6.500.451,00</v>
      </c>
      <c r="N2375" s="8" t="s">
        <v>1123</v>
      </c>
      <c r="O2375" s="7"/>
      <c r="P2375" s="2" t="s">
        <v>6956</v>
      </c>
      <c r="Q2375" s="7"/>
      <c r="R2375" s="1"/>
      <c r="S2375" s="1" t="str">
        <f>"N-154-D/17"</f>
        <v>N-154-D/17</v>
      </c>
      <c r="T2375" s="1" t="s">
        <v>32</v>
      </c>
    </row>
    <row r="2376" spans="1:20" ht="63.75" x14ac:dyDescent="0.25">
      <c r="A2376" s="6">
        <v>2372</v>
      </c>
      <c r="B2376" s="1" t="str">
        <f>"2018-3015"</f>
        <v>2018-3015</v>
      </c>
      <c r="C2376" s="1" t="s">
        <v>1961</v>
      </c>
      <c r="D2376" s="1" t="s">
        <v>1962</v>
      </c>
      <c r="E2376" s="1" t="str">
        <f>"2018/S 0F2-0019547"</f>
        <v>2018/S 0F2-0019547</v>
      </c>
      <c r="F2376" s="1" t="s">
        <v>1963</v>
      </c>
      <c r="G2376" s="1" t="str">
        <f>CONCATENATE("OTP LEASING D.D.,"," AVENUE CENTER,"," AVENIJA DUBROVNIK 16/5,"," 10000 ZAGREB,"," OIB: 23780250353")</f>
        <v>OTP LEASING D.D., AVENUE CENTER, AVENIJA DUBROVNIK 16/5, 10000 ZAGREB, OIB: 23780250353</v>
      </c>
      <c r="H2376" s="7"/>
      <c r="I2376" s="8" t="s">
        <v>1964</v>
      </c>
      <c r="J2376" s="8" t="s">
        <v>391</v>
      </c>
      <c r="K2376" s="6" t="str">
        <f>"6.459.530,40"</f>
        <v>6.459.530,40</v>
      </c>
      <c r="L2376" s="6" t="str">
        <f>"1.614.882,60"</f>
        <v>1.614.882,60</v>
      </c>
      <c r="M2376" s="6" t="str">
        <f>"8.074.413,00"</f>
        <v>8.074.413,00</v>
      </c>
      <c r="N2376" s="8" t="s">
        <v>287</v>
      </c>
      <c r="O2376" s="7"/>
      <c r="P2376" s="2" t="s">
        <v>6957</v>
      </c>
      <c r="Q2376" s="1"/>
      <c r="R2376" s="1"/>
      <c r="S2376" s="1" t="str">
        <f>"N-32/18"</f>
        <v>N-32/18</v>
      </c>
      <c r="T2376" s="1" t="s">
        <v>32</v>
      </c>
    </row>
    <row r="2377" spans="1:20" ht="114.75" x14ac:dyDescent="0.25">
      <c r="A2377" s="6">
        <v>2373</v>
      </c>
      <c r="B2377" s="1" t="str">
        <f>"2018-2398"</f>
        <v>2018-2398</v>
      </c>
      <c r="C2377" s="1" t="s">
        <v>1965</v>
      </c>
      <c r="D2377" s="1" t="s">
        <v>1641</v>
      </c>
      <c r="E2377" s="1" t="str">
        <f>"2018/S 0F2-0031244"</f>
        <v>2018/S 0F2-0031244</v>
      </c>
      <c r="F2377" s="1" t="s">
        <v>22</v>
      </c>
      <c r="G2377" s="1"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377" s="7"/>
      <c r="I2377" s="8" t="s">
        <v>1966</v>
      </c>
      <c r="J2377" s="8" t="s">
        <v>1967</v>
      </c>
      <c r="K2377" s="6" t="str">
        <f>"87.000,00"</f>
        <v>87.000,00</v>
      </c>
      <c r="L2377" s="6" t="str">
        <f>"21.750,00"</f>
        <v>21.750,00</v>
      </c>
      <c r="M2377" s="6" t="str">
        <f>"108.750,00"</f>
        <v>108.750,00</v>
      </c>
      <c r="N2377" s="8" t="s">
        <v>1968</v>
      </c>
      <c r="O2377" s="7"/>
      <c r="P2377" s="2" t="s">
        <v>6958</v>
      </c>
      <c r="Q2377" s="7"/>
      <c r="R2377" s="1"/>
      <c r="S2377" s="1" t="str">
        <f>"N-77/18"</f>
        <v>N-77/18</v>
      </c>
      <c r="T2377" s="1" t="s">
        <v>55</v>
      </c>
    </row>
    <row r="2378" spans="1:20" ht="114.75" x14ac:dyDescent="0.25">
      <c r="A2378" s="6">
        <v>2374</v>
      </c>
      <c r="B2378" s="1" t="str">
        <f>"2018-2398"</f>
        <v>2018-2398</v>
      </c>
      <c r="C2378" s="1" t="s">
        <v>1965</v>
      </c>
      <c r="D2378" s="1" t="s">
        <v>1641</v>
      </c>
      <c r="E2378" s="1" t="str">
        <f>"2018/S 0F2-0031244"</f>
        <v>2018/S 0F2-0031244</v>
      </c>
      <c r="F2378" s="1" t="s">
        <v>1969</v>
      </c>
      <c r="G2378" s="1"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2378" s="7"/>
      <c r="I2378" s="8" t="s">
        <v>1970</v>
      </c>
      <c r="J2378" s="8" t="s">
        <v>53</v>
      </c>
      <c r="K2378" s="6" t="str">
        <f>""</f>
        <v/>
      </c>
      <c r="L2378" s="6" t="str">
        <f>"0,00"</f>
        <v>0,00</v>
      </c>
      <c r="M2378" s="6" t="str">
        <f>"0,00"</f>
        <v>0,00</v>
      </c>
      <c r="N2378" s="8" t="s">
        <v>1968</v>
      </c>
      <c r="O2378" s="7"/>
      <c r="P2378" s="2" t="s">
        <v>5614</v>
      </c>
      <c r="Q2378" s="7"/>
      <c r="R2378" s="1"/>
      <c r="S2378" s="1" t="str">
        <f>"N-77/18-1"</f>
        <v>N-77/18-1</v>
      </c>
      <c r="T2378" s="1" t="s">
        <v>55</v>
      </c>
    </row>
    <row r="2379" spans="1:20" ht="63.75" x14ac:dyDescent="0.25">
      <c r="A2379" s="6">
        <v>2375</v>
      </c>
      <c r="B2379" s="1" t="str">
        <f>"2018-1924"</f>
        <v>2018-1924</v>
      </c>
      <c r="C2379" s="1" t="s">
        <v>1971</v>
      </c>
      <c r="D2379" s="1" t="s">
        <v>1833</v>
      </c>
      <c r="E2379" s="1" t="str">
        <f>"2018/S 0F2-0020167"</f>
        <v>2018/S 0F2-0020167</v>
      </c>
      <c r="F2379" s="1" t="s">
        <v>22</v>
      </c>
      <c r="G2379" s="1" t="str">
        <f>CONCATENATE("UNICREDIT LEASING CROATIA D.O.O.,"," HEINZELOVA 33,"," 10000 ZAGREB,"," OIB: 187361412")</f>
        <v>UNICREDIT LEASING CROATIA D.O.O., HEINZELOVA 33, 10000 ZAGREB, OIB: 187361412</v>
      </c>
      <c r="H2379" s="7"/>
      <c r="I2379" s="8" t="s">
        <v>1972</v>
      </c>
      <c r="J2379" s="8" t="s">
        <v>1973</v>
      </c>
      <c r="K2379" s="6" t="str">
        <f>"4.797.388,80"</f>
        <v>4.797.388,80</v>
      </c>
      <c r="L2379" s="6" t="str">
        <f>"1.199.347,20"</f>
        <v>1.199.347,20</v>
      </c>
      <c r="M2379" s="6" t="str">
        <f>"5.996.736,00"</f>
        <v>5.996.736,00</v>
      </c>
      <c r="N2379" s="8" t="s">
        <v>124</v>
      </c>
      <c r="O2379" s="7"/>
      <c r="P2379" s="2" t="s">
        <v>5614</v>
      </c>
      <c r="Q2379" s="7"/>
      <c r="R2379" s="1"/>
      <c r="S2379" s="1" t="str">
        <f>"N-79-A/18"</f>
        <v>N-79-A/18</v>
      </c>
      <c r="T2379" s="1" t="s">
        <v>55</v>
      </c>
    </row>
    <row r="2380" spans="1:20" ht="102" x14ac:dyDescent="0.25">
      <c r="A2380" s="6">
        <v>2376</v>
      </c>
      <c r="B2380" s="1" t="str">
        <f>"2018-1924"</f>
        <v>2018-1924</v>
      </c>
      <c r="C2380" s="1" t="s">
        <v>1974</v>
      </c>
      <c r="D2380" s="1" t="s">
        <v>1833</v>
      </c>
      <c r="E2380" s="1" t="str">
        <f>"2018/S 0F2-0020167"</f>
        <v>2018/S 0F2-0020167</v>
      </c>
      <c r="F2380" s="1" t="s">
        <v>22</v>
      </c>
      <c r="G2380" s="1" t="str">
        <f>CONCATENATE("UNICREDIT LEASING CROATIA D.O.O.,"," HEINZELOVA 33,"," 10000 ZAGREB,"," OIB: 187361412")</f>
        <v>UNICREDIT LEASING CROATIA D.O.O., HEINZELOVA 33, 10000 ZAGREB, OIB: 187361412</v>
      </c>
      <c r="H2380" s="7"/>
      <c r="I2380" s="8" t="s">
        <v>1972</v>
      </c>
      <c r="J2380" s="8" t="s">
        <v>1973</v>
      </c>
      <c r="K2380" s="6" t="str">
        <f>"6.462.686,40"</f>
        <v>6.462.686,40</v>
      </c>
      <c r="L2380" s="6" t="str">
        <f>"1.615.671,60"</f>
        <v>1.615.671,60</v>
      </c>
      <c r="M2380" s="6" t="str">
        <f>"8.078.358,00"</f>
        <v>8.078.358,00</v>
      </c>
      <c r="N2380" s="8" t="s">
        <v>124</v>
      </c>
      <c r="O2380" s="7"/>
      <c r="P2380" s="2" t="s">
        <v>5614</v>
      </c>
      <c r="Q2380" s="7"/>
      <c r="R2380" s="1"/>
      <c r="S2380" s="1" t="str">
        <f>"N-79-B/18"</f>
        <v>N-79-B/18</v>
      </c>
      <c r="T2380" s="1" t="s">
        <v>55</v>
      </c>
    </row>
    <row r="2381" spans="1:20" ht="63.75" x14ac:dyDescent="0.25">
      <c r="A2381" s="6">
        <v>2377</v>
      </c>
      <c r="B2381" s="1" t="str">
        <f>"2018-716"</f>
        <v>2018-716</v>
      </c>
      <c r="C2381" s="1" t="s">
        <v>1975</v>
      </c>
      <c r="D2381" s="1" t="s">
        <v>1976</v>
      </c>
      <c r="E2381" s="1" t="str">
        <f>"2018/S 0F2-0035198"</f>
        <v>2018/S 0F2-0035198</v>
      </c>
      <c r="F2381" s="1" t="s">
        <v>22</v>
      </c>
      <c r="G2381" s="1" t="str">
        <f>CONCATENATE("UNICREDIT LEASING CROATIA D.O.O.,"," HEINZELOVA 33,"," 10000 ZAGREB,"," OIB: 187361412")</f>
        <v>UNICREDIT LEASING CROATIA D.O.O., HEINZELOVA 33, 10000 ZAGREB, OIB: 187361412</v>
      </c>
      <c r="H2381" s="7"/>
      <c r="I2381" s="8" t="s">
        <v>1977</v>
      </c>
      <c r="J2381" s="8" t="s">
        <v>1075</v>
      </c>
      <c r="K2381" s="6" t="str">
        <f>"242.332,68"</f>
        <v>242.332,68</v>
      </c>
      <c r="L2381" s="6" t="str">
        <f>"60.583,17"</f>
        <v>60.583,17</v>
      </c>
      <c r="M2381" s="6" t="str">
        <f>"302.915,85"</f>
        <v>302.915,85</v>
      </c>
      <c r="N2381" s="8" t="s">
        <v>801</v>
      </c>
      <c r="O2381" s="7"/>
      <c r="P2381" s="2" t="s">
        <v>6959</v>
      </c>
      <c r="Q2381" s="7"/>
      <c r="R2381" s="1"/>
      <c r="S2381" s="1" t="str">
        <f>"N-92-A/18"</f>
        <v>N-92-A/18</v>
      </c>
      <c r="T2381" s="1" t="s">
        <v>32</v>
      </c>
    </row>
    <row r="2382" spans="1:20" ht="102" x14ac:dyDescent="0.25">
      <c r="A2382" s="6">
        <v>2378</v>
      </c>
      <c r="B2382" s="1" t="str">
        <f>"2018-1975"</f>
        <v>2018-1975</v>
      </c>
      <c r="C2382" s="1" t="s">
        <v>1978</v>
      </c>
      <c r="D2382" s="1" t="s">
        <v>1979</v>
      </c>
      <c r="E2382" s="1" t="str">
        <f>"2018/S 0F2-0030546"</f>
        <v>2018/S 0F2-0030546</v>
      </c>
      <c r="F2382" s="1" t="s">
        <v>22</v>
      </c>
      <c r="G2382" s="1"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382" s="7"/>
      <c r="I2382" s="8" t="s">
        <v>511</v>
      </c>
      <c r="J2382" s="8" t="s">
        <v>1980</v>
      </c>
      <c r="K2382" s="6" t="str">
        <f>"4.300.000,00"</f>
        <v>4.300.000,00</v>
      </c>
      <c r="L2382" s="6" t="str">
        <f>"1.075.000,00"</f>
        <v>1.075.000,00</v>
      </c>
      <c r="M2382" s="6" t="str">
        <f>"5.375.000,00"</f>
        <v>5.375.000,00</v>
      </c>
      <c r="N2382" s="8" t="s">
        <v>124</v>
      </c>
      <c r="O2382" s="7"/>
      <c r="P2382" s="2" t="s">
        <v>5614</v>
      </c>
      <c r="Q2382" s="7"/>
      <c r="R2382" s="1"/>
      <c r="S2382" s="1" t="str">
        <f>"N-134/18"</f>
        <v>N-134/18</v>
      </c>
      <c r="T2382" s="1" t="s">
        <v>55</v>
      </c>
    </row>
    <row r="2383" spans="1:20" ht="102" x14ac:dyDescent="0.25">
      <c r="A2383" s="6">
        <v>2379</v>
      </c>
      <c r="B2383" s="1" t="str">
        <f>"2018-1975"</f>
        <v>2018-1975</v>
      </c>
      <c r="C2383" s="1" t="s">
        <v>1978</v>
      </c>
      <c r="D2383" s="1" t="s">
        <v>1979</v>
      </c>
      <c r="E2383" s="1" t="str">
        <f>"2018/S 0F2-0030546"</f>
        <v>2018/S 0F2-0030546</v>
      </c>
      <c r="F2383" s="1" t="s">
        <v>1969</v>
      </c>
      <c r="G2383" s="1"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383" s="7"/>
      <c r="I2383" s="8" t="s">
        <v>589</v>
      </c>
      <c r="J2383" s="8" t="s">
        <v>71</v>
      </c>
      <c r="K2383" s="6" t="str">
        <f>""</f>
        <v/>
      </c>
      <c r="L2383" s="6" t="str">
        <f>"0,00"</f>
        <v>0,00</v>
      </c>
      <c r="M2383" s="6" t="str">
        <f>"0,00"</f>
        <v>0,00</v>
      </c>
      <c r="N2383" s="8" t="s">
        <v>124</v>
      </c>
      <c r="O2383" s="7"/>
      <c r="P2383" s="2" t="s">
        <v>5614</v>
      </c>
      <c r="Q2383" s="7"/>
      <c r="R2383" s="1"/>
      <c r="S2383" s="1" t="str">
        <f>"N-134/18-3"</f>
        <v>N-134/18-3</v>
      </c>
      <c r="T2383" s="1" t="s">
        <v>55</v>
      </c>
    </row>
    <row r="2384" spans="1:20" ht="102" x14ac:dyDescent="0.25">
      <c r="A2384" s="6">
        <v>2380</v>
      </c>
      <c r="B2384" s="1" t="str">
        <f>"2018-1975"</f>
        <v>2018-1975</v>
      </c>
      <c r="C2384" s="1" t="s">
        <v>1978</v>
      </c>
      <c r="D2384" s="1" t="s">
        <v>1979</v>
      </c>
      <c r="E2384" s="1" t="str">
        <f>"2018/S 0F2-0030546"</f>
        <v>2018/S 0F2-0030546</v>
      </c>
      <c r="F2384" s="1" t="s">
        <v>1981</v>
      </c>
      <c r="G2384" s="1"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2384" s="7"/>
      <c r="I2384" s="8" t="s">
        <v>589</v>
      </c>
      <c r="J2384" s="8" t="s">
        <v>71</v>
      </c>
      <c r="K2384" s="6" t="str">
        <f>"430.000,00"</f>
        <v>430.000,00</v>
      </c>
      <c r="L2384" s="6" t="str">
        <f>"107.500,00"</f>
        <v>107.500,00</v>
      </c>
      <c r="M2384" s="6" t="str">
        <f>"537.500,00"</f>
        <v>537.500,00</v>
      </c>
      <c r="N2384" s="8" t="s">
        <v>124</v>
      </c>
      <c r="O2384" s="7"/>
      <c r="P2384" s="2" t="s">
        <v>5614</v>
      </c>
      <c r="Q2384" s="7"/>
      <c r="R2384" s="1"/>
      <c r="S2384" s="1" t="str">
        <f>"N-134/18-4"</f>
        <v>N-134/18-4</v>
      </c>
      <c r="T2384" s="1" t="s">
        <v>55</v>
      </c>
    </row>
    <row r="2385" spans="1:20" ht="153" x14ac:dyDescent="0.25">
      <c r="A2385" s="6">
        <v>2381</v>
      </c>
      <c r="B2385" s="1" t="str">
        <f>"2018-2919"</f>
        <v>2018-2919</v>
      </c>
      <c r="C2385" s="1" t="s">
        <v>1982</v>
      </c>
      <c r="D2385" s="1" t="s">
        <v>1983</v>
      </c>
      <c r="E2385" s="1" t="str">
        <f>"2019/S 0F2-0000365"</f>
        <v>2019/S 0F2-0000365</v>
      </c>
      <c r="F2385" s="1" t="s">
        <v>22</v>
      </c>
      <c r="G2385" s="1"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2385" s="7"/>
      <c r="I2385" s="8" t="s">
        <v>1984</v>
      </c>
      <c r="J2385" s="8" t="s">
        <v>1448</v>
      </c>
      <c r="K2385" s="6" t="str">
        <f>"8.492.830,00"</f>
        <v>8.492.830,00</v>
      </c>
      <c r="L2385" s="6" t="str">
        <f>"2.123.207,50"</f>
        <v>2.123.207,50</v>
      </c>
      <c r="M2385" s="6" t="str">
        <f>"10.616.037,50"</f>
        <v>10.616.037,50</v>
      </c>
      <c r="N2385" s="8" t="s">
        <v>1271</v>
      </c>
      <c r="O2385" s="7"/>
      <c r="P2385" s="2" t="s">
        <v>6960</v>
      </c>
      <c r="Q2385" s="7"/>
      <c r="R2385" s="1"/>
      <c r="S2385" s="1" t="str">
        <f>"N-138/18"</f>
        <v>N-138/18</v>
      </c>
      <c r="T2385" s="1" t="s">
        <v>32</v>
      </c>
    </row>
    <row r="2386" spans="1:20" ht="153" x14ac:dyDescent="0.25">
      <c r="A2386" s="6">
        <v>2382</v>
      </c>
      <c r="B2386" s="1" t="str">
        <f>"2018-2919"</f>
        <v>2018-2919</v>
      </c>
      <c r="C2386" s="1" t="s">
        <v>1982</v>
      </c>
      <c r="D2386" s="1" t="s">
        <v>1983</v>
      </c>
      <c r="E2386" s="1" t="str">
        <f>"2019/S 0F2-0000365"</f>
        <v>2019/S 0F2-0000365</v>
      </c>
      <c r="F2386" s="1" t="s">
        <v>1969</v>
      </c>
      <c r="G2386" s="1"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2386" s="7"/>
      <c r="I2386" s="8" t="s">
        <v>1350</v>
      </c>
      <c r="J2386" s="8" t="s">
        <v>875</v>
      </c>
      <c r="K2386" s="6" t="str">
        <f>""</f>
        <v/>
      </c>
      <c r="L2386" s="6" t="str">
        <f>"0,00"</f>
        <v>0,00</v>
      </c>
      <c r="M2386" s="6" t="str">
        <f>"0,00"</f>
        <v>0,00</v>
      </c>
      <c r="N2386" s="8" t="s">
        <v>408</v>
      </c>
      <c r="O2386" s="7"/>
      <c r="P2386" s="2" t="s">
        <v>6960</v>
      </c>
      <c r="Q2386" s="7"/>
      <c r="R2386" s="1"/>
      <c r="S2386" s="1" t="str">
        <f>"N-138/18-1"</f>
        <v>N-138/18-1</v>
      </c>
      <c r="T2386" s="1" t="s">
        <v>32</v>
      </c>
    </row>
    <row r="2387" spans="1:20" ht="76.5" x14ac:dyDescent="0.25">
      <c r="A2387" s="6">
        <v>2383</v>
      </c>
      <c r="B2387" s="1" t="str">
        <f>"2019-1568"</f>
        <v>2019-1568</v>
      </c>
      <c r="C2387" s="1" t="s">
        <v>1985</v>
      </c>
      <c r="D2387" s="1" t="s">
        <v>1986</v>
      </c>
      <c r="E2387" s="1" t="str">
        <f>""</f>
        <v/>
      </c>
      <c r="F2387" s="1" t="s">
        <v>1040</v>
      </c>
      <c r="G2387" s="1" t="str">
        <f>CONCATENATE("INSTITUT IGH D.D.,"," JANKA RAKUŠE 1,"," 10000 ZAGREB,"," OIB: 79766124714")</f>
        <v>INSTITUT IGH D.D., JANKA RAKUŠE 1, 10000 ZAGREB, OIB: 79766124714</v>
      </c>
      <c r="H2387" s="7"/>
      <c r="I2387" s="8" t="s">
        <v>1987</v>
      </c>
      <c r="J2387" s="8" t="s">
        <v>920</v>
      </c>
      <c r="K2387" s="6" t="str">
        <f>"531.951,00"</f>
        <v>531.951,00</v>
      </c>
      <c r="L2387" s="6" t="str">
        <f>"132.987,75"</f>
        <v>132.987,75</v>
      </c>
      <c r="M2387" s="6" t="str">
        <f>"664.938,75"</f>
        <v>664.938,75</v>
      </c>
      <c r="N2387" s="8" t="s">
        <v>1988</v>
      </c>
      <c r="O2387" s="7"/>
      <c r="P2387" s="2" t="s">
        <v>6961</v>
      </c>
      <c r="Q2387" s="7"/>
      <c r="R2387" s="1"/>
      <c r="S2387" s="1" t="str">
        <f>"N-4/19"</f>
        <v>N-4/19</v>
      </c>
      <c r="T2387" s="1" t="s">
        <v>32</v>
      </c>
    </row>
    <row r="2388" spans="1:20" ht="63.75" x14ac:dyDescent="0.25">
      <c r="A2388" s="6">
        <v>2384</v>
      </c>
      <c r="B2388" s="1" t="str">
        <f>"2019-1568"</f>
        <v>2019-1568</v>
      </c>
      <c r="C2388" s="1" t="s">
        <v>1985</v>
      </c>
      <c r="D2388" s="1" t="s">
        <v>1986</v>
      </c>
      <c r="E2388" s="1" t="str">
        <f>""</f>
        <v/>
      </c>
      <c r="F2388" s="1" t="s">
        <v>1969</v>
      </c>
      <c r="G2388" s="1" t="str">
        <f>CONCATENATE("INSTITUT IGH D.D.,"," JANKA RAKUŠE 1,"," 10000 ZAGREB,"," OIB: 79766124714")</f>
        <v>INSTITUT IGH D.D., JANKA RAKUŠE 1, 10000 ZAGREB, OIB: 79766124714</v>
      </c>
      <c r="H2388" s="7"/>
      <c r="I2388" s="8" t="s">
        <v>396</v>
      </c>
      <c r="J2388" s="8" t="s">
        <v>169</v>
      </c>
      <c r="K2388" s="6" t="str">
        <f>""</f>
        <v/>
      </c>
      <c r="L2388" s="6" t="str">
        <f>"0,00"</f>
        <v>0,00</v>
      </c>
      <c r="M2388" s="6" t="str">
        <f>"0,00"</f>
        <v>0,00</v>
      </c>
      <c r="N2388" s="8" t="s">
        <v>124</v>
      </c>
      <c r="O2388" s="7"/>
      <c r="P2388" s="2" t="s">
        <v>5614</v>
      </c>
      <c r="Q2388" s="7"/>
      <c r="R2388" s="1"/>
      <c r="S2388" s="1" t="str">
        <f>"N-4/19-1"</f>
        <v>N-4/19-1</v>
      </c>
      <c r="T2388" s="1" t="s">
        <v>32</v>
      </c>
    </row>
    <row r="2389" spans="1:20" ht="63.75" x14ac:dyDescent="0.25">
      <c r="A2389" s="6">
        <v>2385</v>
      </c>
      <c r="B2389" s="1" t="str">
        <f>"2019-1568"</f>
        <v>2019-1568</v>
      </c>
      <c r="C2389" s="1" t="s">
        <v>1985</v>
      </c>
      <c r="D2389" s="1" t="s">
        <v>1986</v>
      </c>
      <c r="E2389" s="1" t="str">
        <f>""</f>
        <v/>
      </c>
      <c r="F2389" s="1" t="s">
        <v>1969</v>
      </c>
      <c r="G2389" s="1" t="str">
        <f>CONCATENATE("INSTITUT IGH D.D.,"," JANKA RAKUŠE 1,"," 10000 ZAGREB,"," OIB: 79766124714")</f>
        <v>INSTITUT IGH D.D., JANKA RAKUŠE 1, 10000 ZAGREB, OIB: 79766124714</v>
      </c>
      <c r="H2389" s="7"/>
      <c r="I2389" s="8" t="s">
        <v>430</v>
      </c>
      <c r="J2389" s="8" t="s">
        <v>931</v>
      </c>
      <c r="K2389" s="6" t="str">
        <f>""</f>
        <v/>
      </c>
      <c r="L2389" s="6" t="str">
        <f>"0,00"</f>
        <v>0,00</v>
      </c>
      <c r="M2389" s="6" t="str">
        <f>"0,00"</f>
        <v>0,00</v>
      </c>
      <c r="N2389" s="8" t="s">
        <v>124</v>
      </c>
      <c r="O2389" s="7"/>
      <c r="P2389" s="2" t="s">
        <v>5614</v>
      </c>
      <c r="Q2389" s="7"/>
      <c r="R2389" s="1"/>
      <c r="S2389" s="1" t="str">
        <f>"N-4/19-2"</f>
        <v>N-4/19-2</v>
      </c>
      <c r="T2389" s="1" t="s">
        <v>32</v>
      </c>
    </row>
    <row r="2390" spans="1:20" ht="76.5" x14ac:dyDescent="0.25">
      <c r="A2390" s="6">
        <v>2386</v>
      </c>
      <c r="B2390" s="1" t="str">
        <f>"2019-85"</f>
        <v>2019-85</v>
      </c>
      <c r="C2390" s="1" t="s">
        <v>1989</v>
      </c>
      <c r="D2390" s="1" t="s">
        <v>1979</v>
      </c>
      <c r="E2390" s="1" t="str">
        <f>"2019/S 0F2-0024276"</f>
        <v>2019/S 0F2-0024276</v>
      </c>
      <c r="F2390" s="1" t="s">
        <v>22</v>
      </c>
      <c r="G2390" s="1" t="str">
        <f>CONCATENATE("HIDROTECH D.O.O.,"," CAVTATSKA ULICA 2/B,"," 51000 RIJEKA,"," OIB: 76278756422")</f>
        <v>HIDROTECH D.O.O., CAVTATSKA ULICA 2/B, 51000 RIJEKA, OIB: 76278756422</v>
      </c>
      <c r="H2390" s="7"/>
      <c r="I2390" s="8" t="s">
        <v>1990</v>
      </c>
      <c r="J2390" s="8" t="s">
        <v>1991</v>
      </c>
      <c r="K2390" s="6" t="str">
        <f>"439.000,00"</f>
        <v>439.000,00</v>
      </c>
      <c r="L2390" s="6" t="str">
        <f>"109.750,00"</f>
        <v>109.750,00</v>
      </c>
      <c r="M2390" s="6" t="str">
        <f>"548.750,00"</f>
        <v>548.750,00</v>
      </c>
      <c r="N2390" s="8" t="s">
        <v>124</v>
      </c>
      <c r="O2390" s="7"/>
      <c r="P2390" s="2" t="s">
        <v>5614</v>
      </c>
      <c r="Q2390" s="7"/>
      <c r="R2390" s="1"/>
      <c r="S2390" s="1" t="str">
        <f>"N-38/19"</f>
        <v>N-38/19</v>
      </c>
      <c r="T2390" s="1" t="s">
        <v>55</v>
      </c>
    </row>
    <row r="2391" spans="1:20" ht="76.5" x14ac:dyDescent="0.25">
      <c r="A2391" s="6">
        <v>2387</v>
      </c>
      <c r="B2391" s="1" t="str">
        <f>"2019-85"</f>
        <v>2019-85</v>
      </c>
      <c r="C2391" s="1" t="s">
        <v>1989</v>
      </c>
      <c r="D2391" s="1" t="s">
        <v>1979</v>
      </c>
      <c r="E2391" s="1" t="str">
        <f>"2019/S 0F2-0024276"</f>
        <v>2019/S 0F2-0024276</v>
      </c>
      <c r="F2391" s="1" t="s">
        <v>1969</v>
      </c>
      <c r="G2391" s="1" t="str">
        <f>CONCATENATE("HIDROTECH D.O.O.,"," CAVTATSKA ULICA 2/B,"," 51000 RIJEKA,"," OIB: 76278756422")</f>
        <v>HIDROTECH D.O.O., CAVTATSKA ULICA 2/B, 51000 RIJEKA, OIB: 76278756422</v>
      </c>
      <c r="H2391" s="7"/>
      <c r="I2391" s="8" t="s">
        <v>40</v>
      </c>
      <c r="J2391" s="8" t="s">
        <v>1992</v>
      </c>
      <c r="K2391" s="6" t="str">
        <f>""</f>
        <v/>
      </c>
      <c r="L2391" s="6" t="str">
        <f t="shared" ref="L2391:M2393" si="216">"0,00"</f>
        <v>0,00</v>
      </c>
      <c r="M2391" s="6" t="str">
        <f t="shared" si="216"/>
        <v>0,00</v>
      </c>
      <c r="N2391" s="8" t="s">
        <v>124</v>
      </c>
      <c r="O2391" s="7"/>
      <c r="P2391" s="2" t="s">
        <v>5614</v>
      </c>
      <c r="Q2391" s="7"/>
      <c r="R2391" s="1"/>
      <c r="S2391" s="1" t="str">
        <f>"N-38/19-1"</f>
        <v>N-38/19-1</v>
      </c>
      <c r="T2391" s="1" t="s">
        <v>55</v>
      </c>
    </row>
    <row r="2392" spans="1:20" ht="76.5" x14ac:dyDescent="0.25">
      <c r="A2392" s="6">
        <v>2388</v>
      </c>
      <c r="B2392" s="1" t="str">
        <f>"2019-85"</f>
        <v>2019-85</v>
      </c>
      <c r="C2392" s="1" t="s">
        <v>1989</v>
      </c>
      <c r="D2392" s="1" t="s">
        <v>1979</v>
      </c>
      <c r="E2392" s="1" t="str">
        <f>"2019/S 0F2-0024276"</f>
        <v>2019/S 0F2-0024276</v>
      </c>
      <c r="F2392" s="1" t="s">
        <v>1969</v>
      </c>
      <c r="G2392" s="1" t="str">
        <f>CONCATENATE("HIDROTECH D.O.O.,"," CAVTATSKA ULICA 2/B,"," 51000 RIJEKA,"," OIB: 76278756422")</f>
        <v>HIDROTECH D.O.O., CAVTATSKA ULICA 2/B, 51000 RIJEKA, OIB: 76278756422</v>
      </c>
      <c r="H2392" s="7"/>
      <c r="I2392" s="8" t="s">
        <v>586</v>
      </c>
      <c r="J2392" s="8" t="s">
        <v>596</v>
      </c>
      <c r="K2392" s="6" t="str">
        <f>""</f>
        <v/>
      </c>
      <c r="L2392" s="6" t="str">
        <f t="shared" si="216"/>
        <v>0,00</v>
      </c>
      <c r="M2392" s="6" t="str">
        <f t="shared" si="216"/>
        <v>0,00</v>
      </c>
      <c r="N2392" s="8" t="s">
        <v>124</v>
      </c>
      <c r="O2392" s="7"/>
      <c r="P2392" s="2" t="s">
        <v>5614</v>
      </c>
      <c r="Q2392" s="7"/>
      <c r="R2392" s="1"/>
      <c r="S2392" s="1" t="str">
        <f>"N-38/19-2"</f>
        <v>N-38/19-2</v>
      </c>
      <c r="T2392" s="1" t="s">
        <v>55</v>
      </c>
    </row>
    <row r="2393" spans="1:20" ht="76.5" x14ac:dyDescent="0.25">
      <c r="A2393" s="6">
        <v>2389</v>
      </c>
      <c r="B2393" s="1" t="str">
        <f>"2019-85"</f>
        <v>2019-85</v>
      </c>
      <c r="C2393" s="1" t="s">
        <v>1989</v>
      </c>
      <c r="D2393" s="1" t="s">
        <v>1979</v>
      </c>
      <c r="E2393" s="1" t="str">
        <f>"2019/S 0F2-0024276"</f>
        <v>2019/S 0F2-0024276</v>
      </c>
      <c r="F2393" s="1" t="s">
        <v>1969</v>
      </c>
      <c r="G2393" s="1" t="str">
        <f>CONCATENATE("HIDROTECH D.O.O.,"," CAVTATSKA ULICA 2/B,"," 51000 RIJEKA,"," OIB: 76278756422")</f>
        <v>HIDROTECH D.O.O., CAVTATSKA ULICA 2/B, 51000 RIJEKA, OIB: 76278756422</v>
      </c>
      <c r="H2393" s="7"/>
      <c r="I2393" s="8" t="s">
        <v>520</v>
      </c>
      <c r="J2393" s="8" t="s">
        <v>490</v>
      </c>
      <c r="K2393" s="6" t="str">
        <f>""</f>
        <v/>
      </c>
      <c r="L2393" s="6" t="str">
        <f t="shared" si="216"/>
        <v>0,00</v>
      </c>
      <c r="M2393" s="6" t="str">
        <f t="shared" si="216"/>
        <v>0,00</v>
      </c>
      <c r="N2393" s="8" t="s">
        <v>124</v>
      </c>
      <c r="O2393" s="7"/>
      <c r="P2393" s="2" t="s">
        <v>5614</v>
      </c>
      <c r="Q2393" s="7"/>
      <c r="R2393" s="1"/>
      <c r="S2393" s="1" t="str">
        <f>"N-38/19-3"</f>
        <v>N-38/19-3</v>
      </c>
      <c r="T2393" s="1" t="s">
        <v>55</v>
      </c>
    </row>
    <row r="2394" spans="1:20" ht="76.5" x14ac:dyDescent="0.25">
      <c r="A2394" s="6">
        <v>2390</v>
      </c>
      <c r="B2394" s="1" t="str">
        <f>"2019-2886"</f>
        <v>2019-2886</v>
      </c>
      <c r="C2394" s="1" t="s">
        <v>1993</v>
      </c>
      <c r="D2394" s="1" t="s">
        <v>925</v>
      </c>
      <c r="E2394" s="1" t="str">
        <f>"2019/S 0F2-0037873"</f>
        <v>2019/S 0F2-0037873</v>
      </c>
      <c r="F2394" s="1" t="s">
        <v>22</v>
      </c>
      <c r="G2394" s="1" t="str">
        <f>CONCATENATE("GEOANDA D.O.O.,"," PETROVARADINSKA 1/B,"," 10000 ZAGREB,"," OIB: 70840886172")</f>
        <v>GEOANDA D.O.O., PETROVARADINSKA 1/B, 10000 ZAGREB, OIB: 70840886172</v>
      </c>
      <c r="H2394" s="1" t="str">
        <f>CONCATENATE("GEOFORMAT D.O.O.,"," OIB: 11342631919",CHAR(10),"GEODETIKA D.O.O.,"," OIB: 92364669796")</f>
        <v>GEOFORMAT D.O.O., OIB: 11342631919
GEODETIKA D.O.O., OIB: 92364669796</v>
      </c>
      <c r="I2394" s="8" t="s">
        <v>1994</v>
      </c>
      <c r="J2394" s="8" t="s">
        <v>211</v>
      </c>
      <c r="K2394" s="6" t="str">
        <f>"4.709.650,00"</f>
        <v>4.709.650,00</v>
      </c>
      <c r="L2394" s="6" t="str">
        <f>"1.177.412,50"</f>
        <v>1.177.412,50</v>
      </c>
      <c r="M2394" s="6" t="str">
        <f>"5.887.062,50"</f>
        <v>5.887.062,50</v>
      </c>
      <c r="N2394" s="8" t="s">
        <v>124</v>
      </c>
      <c r="O2394" s="7"/>
      <c r="P2394" s="2" t="s">
        <v>5614</v>
      </c>
      <c r="Q2394" s="7"/>
      <c r="R2394" s="1"/>
      <c r="S2394" s="1" t="str">
        <f>"N-99/19"</f>
        <v>N-99/19</v>
      </c>
      <c r="T2394" s="1" t="s">
        <v>55</v>
      </c>
    </row>
    <row r="2395" spans="1:20" ht="76.5" x14ac:dyDescent="0.25">
      <c r="A2395" s="6">
        <v>2391</v>
      </c>
      <c r="B2395" s="1" t="str">
        <f>"2019-2886"</f>
        <v>2019-2886</v>
      </c>
      <c r="C2395" s="1" t="s">
        <v>1993</v>
      </c>
      <c r="D2395" s="1" t="s">
        <v>925</v>
      </c>
      <c r="E2395" s="1" t="str">
        <f>"2019/S 0F2-0037873"</f>
        <v>2019/S 0F2-0037873</v>
      </c>
      <c r="F2395" s="1" t="s">
        <v>1969</v>
      </c>
      <c r="G2395" s="1" t="str">
        <f>CONCATENATE("GEOANDA D.O.O.,"," PETROVARADINSKA 1/B,"," 10000 ZAGREB,"," OIB: 70840886172")</f>
        <v>GEOANDA D.O.O., PETROVARADINSKA 1/B, 10000 ZAGREB, OIB: 70840886172</v>
      </c>
      <c r="H2395" s="1" t="str">
        <f>CONCATENATE("GEOFORMAT D.O.O.,"," OIB: 11342631919",CHAR(10),"GEODETIKA D.O.O.,"," OIB: 92364669796")</f>
        <v>GEOFORMAT D.O.O., OIB: 11342631919
GEODETIKA D.O.O., OIB: 92364669796</v>
      </c>
      <c r="I2395" s="8" t="s">
        <v>425</v>
      </c>
      <c r="J2395" s="8" t="s">
        <v>1995</v>
      </c>
      <c r="K2395" s="6" t="str">
        <f>""</f>
        <v/>
      </c>
      <c r="L2395" s="6" t="str">
        <f>"0,00"</f>
        <v>0,00</v>
      </c>
      <c r="M2395" s="6" t="str">
        <f>"0,00"</f>
        <v>0,00</v>
      </c>
      <c r="N2395" s="8" t="s">
        <v>124</v>
      </c>
      <c r="O2395" s="7"/>
      <c r="P2395" s="2" t="s">
        <v>5614</v>
      </c>
      <c r="Q2395" s="7"/>
      <c r="R2395" s="1"/>
      <c r="S2395" s="1" t="str">
        <f>"N-99/19-1"</f>
        <v>N-99/19-1</v>
      </c>
      <c r="T2395" s="1" t="s">
        <v>55</v>
      </c>
    </row>
    <row r="2396" spans="1:20" ht="102" x14ac:dyDescent="0.25">
      <c r="A2396" s="6">
        <v>2392</v>
      </c>
      <c r="B2396" s="1" t="str">
        <f>"2019-2763"</f>
        <v>2019-2763</v>
      </c>
      <c r="C2396" s="1" t="s">
        <v>1996</v>
      </c>
      <c r="D2396" s="1" t="s">
        <v>1641</v>
      </c>
      <c r="E2396" s="1" t="str">
        <f>"2019/S 0F2-0045554"</f>
        <v>2019/S 0F2-0045554</v>
      </c>
      <c r="F2396" s="1" t="s">
        <v>22</v>
      </c>
      <c r="G2396" s="1"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2396" s="1" t="str">
        <f>CONCATENATE("GEODETIKA D.O.O.,"," OIB: 92364669796",CHAR(10),"ECOINA D.O.O.,"," OIB: 98219968247")</f>
        <v>GEODETIKA D.O.O., OIB: 92364669796
ECOINA D.O.O., OIB: 98219968247</v>
      </c>
      <c r="I2396" s="8" t="s">
        <v>751</v>
      </c>
      <c r="J2396" s="8" t="s">
        <v>1997</v>
      </c>
      <c r="K2396" s="6" t="str">
        <f>"4.989.600,00"</f>
        <v>4.989.600,00</v>
      </c>
      <c r="L2396" s="6" t="str">
        <f>"1.247.400,00"</f>
        <v>1.247.400,00</v>
      </c>
      <c r="M2396" s="6" t="str">
        <f>"6.237.000,00"</f>
        <v>6.237.000,00</v>
      </c>
      <c r="N2396" s="8" t="s">
        <v>124</v>
      </c>
      <c r="O2396" s="7"/>
      <c r="P2396" s="2" t="s">
        <v>6962</v>
      </c>
      <c r="Q2396" s="7"/>
      <c r="R2396" s="1"/>
      <c r="S2396" s="1" t="str">
        <f>"N-115/19"</f>
        <v>N-115/19</v>
      </c>
      <c r="T2396" s="1" t="s">
        <v>32</v>
      </c>
    </row>
    <row r="2397" spans="1:20" ht="51" x14ac:dyDescent="0.25">
      <c r="A2397" s="6">
        <v>2393</v>
      </c>
      <c r="B2397" s="1" t="str">
        <f>"2019-3069"</f>
        <v>2019-3069</v>
      </c>
      <c r="C2397" s="1" t="s">
        <v>887</v>
      </c>
      <c r="D2397" s="1" t="s">
        <v>888</v>
      </c>
      <c r="E2397" s="1" t="str">
        <f>"2019/S 0F2-0049479"</f>
        <v>2019/S 0F2-0049479</v>
      </c>
      <c r="F2397" s="1" t="s">
        <v>22</v>
      </c>
      <c r="G2397" s="1" t="str">
        <f>CONCATENATE("MESSER CROATIA PLIN  D.O.O.,"," INDUSTRIJSKA 1,"," 10290 ZAPREŠIĆ,"," OIB: 32179081874")</f>
        <v>MESSER CROATIA PLIN  D.O.O., INDUSTRIJSKA 1, 10290 ZAPREŠIĆ, OIB: 32179081874</v>
      </c>
      <c r="H2397" s="7"/>
      <c r="I2397" s="8" t="s">
        <v>1998</v>
      </c>
      <c r="J2397" s="8" t="s">
        <v>123</v>
      </c>
      <c r="K2397" s="6" t="str">
        <f>"370.342,80"</f>
        <v>370.342,80</v>
      </c>
      <c r="L2397" s="6" t="str">
        <f>"92.585,70"</f>
        <v>92.585,70</v>
      </c>
      <c r="M2397" s="6" t="str">
        <f>"462.928,50"</f>
        <v>462.928,50</v>
      </c>
      <c r="N2397" s="8" t="s">
        <v>124</v>
      </c>
      <c r="O2397" s="7"/>
      <c r="P2397" s="2" t="s">
        <v>6963</v>
      </c>
      <c r="Q2397" s="7"/>
      <c r="R2397" s="1"/>
      <c r="S2397" s="1" t="str">
        <f>"N-129/19"</f>
        <v>N-129/19</v>
      </c>
      <c r="T2397" s="1" t="s">
        <v>452</v>
      </c>
    </row>
    <row r="2398" spans="1:20" ht="255" x14ac:dyDescent="0.25">
      <c r="A2398" s="6">
        <v>2394</v>
      </c>
      <c r="B2398" s="1" t="str">
        <f t="shared" ref="B2398:B2403" si="217">"2019-2584"</f>
        <v>2019-2584</v>
      </c>
      <c r="C2398" s="1" t="s">
        <v>1999</v>
      </c>
      <c r="D2398" s="1" t="s">
        <v>1833</v>
      </c>
      <c r="E2398" s="1" t="str">
        <f t="shared" ref="E2398:E2403" si="218">"2019/S 0F2-0035116"</f>
        <v>2019/S 0F2-0035116</v>
      </c>
      <c r="F2398" s="1" t="s">
        <v>22</v>
      </c>
      <c r="G2398" s="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398" s="7"/>
      <c r="I2398" s="8" t="s">
        <v>2000</v>
      </c>
      <c r="J2398" s="8" t="s">
        <v>2001</v>
      </c>
      <c r="K2398" s="6" t="str">
        <f>"4.230.011,40"</f>
        <v>4.230.011,40</v>
      </c>
      <c r="L2398" s="6" t="str">
        <f>"1.057.502,85"</f>
        <v>1.057.502,85</v>
      </c>
      <c r="M2398" s="6" t="str">
        <f>"5.287.514,25"</f>
        <v>5.287.514,25</v>
      </c>
      <c r="N2398" s="8" t="s">
        <v>124</v>
      </c>
      <c r="O2398" s="7"/>
      <c r="P2398" s="2" t="s">
        <v>5614</v>
      </c>
      <c r="Q2398" s="7"/>
      <c r="R2398" s="1"/>
      <c r="S2398" s="1" t="str">
        <f>"N-131-A/19"</f>
        <v>N-131-A/19</v>
      </c>
      <c r="T2398" s="1" t="s">
        <v>55</v>
      </c>
    </row>
    <row r="2399" spans="1:20" ht="76.5" x14ac:dyDescent="0.25">
      <c r="A2399" s="6">
        <v>2395</v>
      </c>
      <c r="B2399" s="1" t="str">
        <f t="shared" si="217"/>
        <v>2019-2584</v>
      </c>
      <c r="C2399" s="1" t="s">
        <v>2002</v>
      </c>
      <c r="D2399" s="1" t="s">
        <v>1833</v>
      </c>
      <c r="E2399" s="1" t="str">
        <f t="shared" si="218"/>
        <v>2019/S 0F2-0035116</v>
      </c>
      <c r="F2399" s="1" t="s">
        <v>22</v>
      </c>
      <c r="G2399" s="1" t="str">
        <f>CONCATENATE("BKS - LEASING CROATIA D.O.O.,"," IVANA LUČIĆA 2/A,"," 10000 ZAGREB,"," OIB: 52277663197")</f>
        <v>BKS - LEASING CROATIA D.O.O., IVANA LUČIĆA 2/A, 10000 ZAGREB, OIB: 52277663197</v>
      </c>
      <c r="H2399" s="7"/>
      <c r="I2399" s="8" t="s">
        <v>2003</v>
      </c>
      <c r="J2399" s="8" t="s">
        <v>2004</v>
      </c>
      <c r="K2399" s="6" t="str">
        <f>"4.284.586,00"</f>
        <v>4.284.586,00</v>
      </c>
      <c r="L2399" s="6" t="str">
        <f>"1.071.146,50"</f>
        <v>1.071.146,50</v>
      </c>
      <c r="M2399" s="6" t="str">
        <f>"5.355.732,50"</f>
        <v>5.355.732,50</v>
      </c>
      <c r="N2399" s="8" t="s">
        <v>124</v>
      </c>
      <c r="O2399" s="7"/>
      <c r="P2399" s="2" t="s">
        <v>5614</v>
      </c>
      <c r="Q2399" s="7"/>
      <c r="R2399" s="1"/>
      <c r="S2399" s="1" t="str">
        <f>"N-131-B/19"</f>
        <v>N-131-B/19</v>
      </c>
      <c r="T2399" s="1" t="s">
        <v>55</v>
      </c>
    </row>
    <row r="2400" spans="1:20" ht="255" x14ac:dyDescent="0.25">
      <c r="A2400" s="6">
        <v>2396</v>
      </c>
      <c r="B2400" s="1" t="str">
        <f t="shared" si="217"/>
        <v>2019-2584</v>
      </c>
      <c r="C2400" s="1" t="s">
        <v>2005</v>
      </c>
      <c r="D2400" s="1" t="s">
        <v>1833</v>
      </c>
      <c r="E2400" s="1" t="str">
        <f t="shared" si="218"/>
        <v>2019/S 0F2-0035116</v>
      </c>
      <c r="F2400" s="1" t="s">
        <v>22</v>
      </c>
      <c r="G2400" s="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400" s="7"/>
      <c r="I2400" s="8" t="s">
        <v>2000</v>
      </c>
      <c r="J2400" s="8" t="s">
        <v>2001</v>
      </c>
      <c r="K2400" s="6" t="str">
        <f>"7.298.180,60"</f>
        <v>7.298.180,60</v>
      </c>
      <c r="L2400" s="6" t="str">
        <f>"1.824.545,15"</f>
        <v>1.824.545,15</v>
      </c>
      <c r="M2400" s="6" t="str">
        <f>"9.122.725,75"</f>
        <v>9.122.725,75</v>
      </c>
      <c r="N2400" s="8" t="s">
        <v>124</v>
      </c>
      <c r="O2400" s="7"/>
      <c r="P2400" s="2" t="s">
        <v>5614</v>
      </c>
      <c r="Q2400" s="7"/>
      <c r="R2400" s="1"/>
      <c r="S2400" s="1" t="str">
        <f>"N-131-C/19"</f>
        <v>N-131-C/19</v>
      </c>
      <c r="T2400" s="1" t="s">
        <v>55</v>
      </c>
    </row>
    <row r="2401" spans="1:20" ht="255" x14ac:dyDescent="0.25">
      <c r="A2401" s="6">
        <v>2397</v>
      </c>
      <c r="B2401" s="1" t="str">
        <f t="shared" si="217"/>
        <v>2019-2584</v>
      </c>
      <c r="C2401" s="1" t="s">
        <v>2006</v>
      </c>
      <c r="D2401" s="1" t="s">
        <v>1833</v>
      </c>
      <c r="E2401" s="1" t="str">
        <f t="shared" si="218"/>
        <v>2019/S 0F2-0035116</v>
      </c>
      <c r="F2401" s="1" t="s">
        <v>22</v>
      </c>
      <c r="G2401" s="1"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2401" s="7"/>
      <c r="I2401" s="8" t="s">
        <v>2000</v>
      </c>
      <c r="J2401" s="8" t="s">
        <v>2001</v>
      </c>
      <c r="K2401" s="6" t="str">
        <f>"6.810.321,93"</f>
        <v>6.810.321,93</v>
      </c>
      <c r="L2401" s="6" t="str">
        <f>"1.702.580,48"</f>
        <v>1.702.580,48</v>
      </c>
      <c r="M2401" s="6" t="str">
        <f>"8.512.902,41"</f>
        <v>8.512.902,41</v>
      </c>
      <c r="N2401" s="8" t="s">
        <v>124</v>
      </c>
      <c r="O2401" s="7"/>
      <c r="P2401" s="2" t="s">
        <v>5614</v>
      </c>
      <c r="Q2401" s="7"/>
      <c r="R2401" s="1"/>
      <c r="S2401" s="1" t="str">
        <f>"N-131-D/19"</f>
        <v>N-131-D/19</v>
      </c>
      <c r="T2401" s="1" t="s">
        <v>55</v>
      </c>
    </row>
    <row r="2402" spans="1:20" ht="51" x14ac:dyDescent="0.25">
      <c r="A2402" s="6">
        <v>2398</v>
      </c>
      <c r="B2402" s="1" t="str">
        <f t="shared" si="217"/>
        <v>2019-2584</v>
      </c>
      <c r="C2402" s="1" t="s">
        <v>2007</v>
      </c>
      <c r="D2402" s="1" t="s">
        <v>1833</v>
      </c>
      <c r="E2402" s="1" t="str">
        <f t="shared" si="218"/>
        <v>2019/S 0F2-0035116</v>
      </c>
      <c r="F2402" s="1" t="s">
        <v>22</v>
      </c>
      <c r="G2402" s="1" t="str">
        <f>CONCATENATE("BKS - LEASING CROATIA D.O.O.,"," IVANA LUČIĆA 2/A,"," 10000 ZAGREB,"," OIB: 52277663197")</f>
        <v>BKS - LEASING CROATIA D.O.O., IVANA LUČIĆA 2/A, 10000 ZAGREB, OIB: 52277663197</v>
      </c>
      <c r="H2402" s="7"/>
      <c r="I2402" s="8" t="s">
        <v>2003</v>
      </c>
      <c r="J2402" s="8" t="s">
        <v>2004</v>
      </c>
      <c r="K2402" s="6" t="str">
        <f>"2.035.110,95"</f>
        <v>2.035.110,95</v>
      </c>
      <c r="L2402" s="6" t="str">
        <f>"508.777,74"</f>
        <v>508.777,74</v>
      </c>
      <c r="M2402" s="6" t="str">
        <f>"2.543.888,69"</f>
        <v>2.543.888,69</v>
      </c>
      <c r="N2402" s="8" t="s">
        <v>124</v>
      </c>
      <c r="O2402" s="7"/>
      <c r="P2402" s="2" t="s">
        <v>5614</v>
      </c>
      <c r="Q2402" s="7"/>
      <c r="R2402" s="1"/>
      <c r="S2402" s="1" t="str">
        <f>"N-131-E/19"</f>
        <v>N-131-E/19</v>
      </c>
      <c r="T2402" s="1" t="s">
        <v>55</v>
      </c>
    </row>
    <row r="2403" spans="1:20" ht="51" x14ac:dyDescent="0.25">
      <c r="A2403" s="6">
        <v>2399</v>
      </c>
      <c r="B2403" s="1" t="str">
        <f t="shared" si="217"/>
        <v>2019-2584</v>
      </c>
      <c r="C2403" s="1" t="s">
        <v>2008</v>
      </c>
      <c r="D2403" s="1" t="s">
        <v>1833</v>
      </c>
      <c r="E2403" s="1" t="str">
        <f t="shared" si="218"/>
        <v>2019/S 0F2-0035116</v>
      </c>
      <c r="F2403" s="1" t="s">
        <v>22</v>
      </c>
      <c r="G2403" s="1" t="str">
        <f>CONCATENATE("BKS - LEASING CROATIA D.O.O.,"," IVANA LUČIĆA 2/A,"," 10000 ZAGREB,"," OIB: 52277663197")</f>
        <v>BKS - LEASING CROATIA D.O.O., IVANA LUČIĆA 2/A, 10000 ZAGREB, OIB: 52277663197</v>
      </c>
      <c r="H2403" s="7"/>
      <c r="I2403" s="8" t="s">
        <v>2003</v>
      </c>
      <c r="J2403" s="8" t="s">
        <v>2004</v>
      </c>
      <c r="K2403" s="6" t="str">
        <f>"2.055.029,25"</f>
        <v>2.055.029,25</v>
      </c>
      <c r="L2403" s="6" t="str">
        <f>"513.757,31"</f>
        <v>513.757,31</v>
      </c>
      <c r="M2403" s="6" t="str">
        <f>"2.568.786,56"</f>
        <v>2.568.786,56</v>
      </c>
      <c r="N2403" s="8" t="s">
        <v>124</v>
      </c>
      <c r="O2403" s="7"/>
      <c r="P2403" s="2" t="s">
        <v>5614</v>
      </c>
      <c r="Q2403" s="7"/>
      <c r="R2403" s="1"/>
      <c r="S2403" s="1" t="str">
        <f>"N-131-F/19"</f>
        <v>N-131-F/19</v>
      </c>
      <c r="T2403" s="1" t="s">
        <v>55</v>
      </c>
    </row>
    <row r="2404" spans="1:20" ht="51" x14ac:dyDescent="0.25">
      <c r="A2404" s="6">
        <v>2400</v>
      </c>
      <c r="B2404" s="1" t="str">
        <f>"2019-2582"</f>
        <v>2019-2582</v>
      </c>
      <c r="C2404" s="1" t="s">
        <v>2009</v>
      </c>
      <c r="D2404" s="1" t="s">
        <v>2010</v>
      </c>
      <c r="E2404" s="1" t="str">
        <f>"2019/S 0F2-0050351"</f>
        <v>2019/S 0F2-0050351</v>
      </c>
      <c r="F2404" s="1" t="s">
        <v>22</v>
      </c>
      <c r="G2404" s="1" t="str">
        <f>CONCATENATE("JASIKA D.O.O.,"," DOLENICA 55,"," 10250 LUČKO,"," OIB: 62815184072")</f>
        <v>JASIKA D.O.O., DOLENICA 55, 10250 LUČKO, OIB: 62815184072</v>
      </c>
      <c r="H2404" s="7"/>
      <c r="I2404" s="8" t="s">
        <v>2011</v>
      </c>
      <c r="J2404" s="8" t="s">
        <v>317</v>
      </c>
      <c r="K2404" s="6" t="str">
        <f>"119.828,00"</f>
        <v>119.828,00</v>
      </c>
      <c r="L2404" s="6" t="str">
        <f>"29.957,00"</f>
        <v>29.957,00</v>
      </c>
      <c r="M2404" s="6" t="str">
        <f>"149.785,00"</f>
        <v>149.785,00</v>
      </c>
      <c r="N2404" s="8" t="s">
        <v>187</v>
      </c>
      <c r="O2404" s="7"/>
      <c r="P2404" s="2" t="s">
        <v>6964</v>
      </c>
      <c r="Q2404" s="7"/>
      <c r="R2404" s="1"/>
      <c r="S2404" s="1" t="str">
        <f>"N-167-H/19"</f>
        <v>N-167-H/19</v>
      </c>
      <c r="T2404" s="1" t="s">
        <v>55</v>
      </c>
    </row>
    <row r="2405" spans="1:20" ht="76.5" x14ac:dyDescent="0.25">
      <c r="A2405" s="6">
        <v>2401</v>
      </c>
      <c r="B2405" s="1" t="str">
        <f>"2020-2853"</f>
        <v>2020-2853</v>
      </c>
      <c r="C2405" s="1" t="s">
        <v>2012</v>
      </c>
      <c r="D2405" s="1" t="s">
        <v>2013</v>
      </c>
      <c r="E2405" s="1" t="str">
        <f>""</f>
        <v/>
      </c>
      <c r="F2405" s="1" t="s">
        <v>1040</v>
      </c>
      <c r="G2405" s="1" t="str">
        <f>CONCATENATE("SPECIJALNA OPREMA - LUČKO D.O.O.,"," DONJI STUPNIK,"," DOLENICA 20,"," 10250 LUČKO,"," OIB: 3557766515")</f>
        <v>SPECIJALNA OPREMA - LUČKO D.O.O., DONJI STUPNIK, DOLENICA 20, 10250 LUČKO, OIB: 3557766515</v>
      </c>
      <c r="H2405" s="7"/>
      <c r="I2405" s="8" t="s">
        <v>868</v>
      </c>
      <c r="J2405" s="8" t="s">
        <v>869</v>
      </c>
      <c r="K2405" s="6" t="str">
        <f>"1.481.283,00"</f>
        <v>1.481.283,00</v>
      </c>
      <c r="L2405" s="6" t="str">
        <f>"370.320,75"</f>
        <v>370.320,75</v>
      </c>
      <c r="M2405" s="6" t="str">
        <f>"1.851.603,75"</f>
        <v>1.851.603,75</v>
      </c>
      <c r="N2405" s="8" t="s">
        <v>208</v>
      </c>
      <c r="O2405" s="7"/>
      <c r="P2405" s="2" t="s">
        <v>6965</v>
      </c>
      <c r="Q2405" s="7"/>
      <c r="R2405" s="1"/>
      <c r="S2405" s="1" t="str">
        <f>"N-2/20"</f>
        <v>N-2/20</v>
      </c>
      <c r="T2405" s="1" t="s">
        <v>452</v>
      </c>
    </row>
    <row r="2406" spans="1:20" ht="76.5" x14ac:dyDescent="0.25">
      <c r="A2406" s="6">
        <v>2402</v>
      </c>
      <c r="B2406" s="1" t="str">
        <f>"2020-2199"</f>
        <v>2020-2199</v>
      </c>
      <c r="C2406" s="1" t="s">
        <v>2014</v>
      </c>
      <c r="D2406" s="1" t="s">
        <v>2015</v>
      </c>
      <c r="E2406" s="1" t="str">
        <f>""</f>
        <v/>
      </c>
      <c r="F2406" s="1" t="s">
        <v>1040</v>
      </c>
      <c r="G2406" s="1" t="str">
        <f>CONCATENATE("KONČAR - INŽENJERING ZA ENERGETIKU I TRANSPORT D.D.,"," FALLEROVO ŠETALIŠTE 22,"," 10000 ZAGREB,"," OIB: 29898970552")</f>
        <v>KONČAR - INŽENJERING ZA ENERGETIKU I TRANSPORT D.D., FALLEROVO ŠETALIŠTE 22, 10000 ZAGREB, OIB: 29898970552</v>
      </c>
      <c r="H2406" s="7"/>
      <c r="I2406" s="8" t="s">
        <v>2016</v>
      </c>
      <c r="J2406" s="8" t="s">
        <v>80</v>
      </c>
      <c r="K2406" s="6" t="str">
        <f>"349.800,00"</f>
        <v>349.800,00</v>
      </c>
      <c r="L2406" s="6" t="str">
        <f>"87.450,00"</f>
        <v>87.450,00</v>
      </c>
      <c r="M2406" s="6" t="str">
        <f>"437.250,00"</f>
        <v>437.250,00</v>
      </c>
      <c r="N2406" s="8" t="s">
        <v>392</v>
      </c>
      <c r="O2406" s="7"/>
      <c r="P2406" s="2" t="s">
        <v>6966</v>
      </c>
      <c r="Q2406" s="7"/>
      <c r="R2406" s="1"/>
      <c r="S2406" s="1" t="str">
        <f>"N-35/20"</f>
        <v>N-35/20</v>
      </c>
      <c r="T2406" s="1" t="s">
        <v>452</v>
      </c>
    </row>
    <row r="2407" spans="1:20" ht="76.5" x14ac:dyDescent="0.25">
      <c r="A2407" s="6">
        <v>2403</v>
      </c>
      <c r="B2407" s="1" t="str">
        <f>"2020-2694"</f>
        <v>2020-2694</v>
      </c>
      <c r="C2407" s="1" t="s">
        <v>2017</v>
      </c>
      <c r="D2407" s="1" t="s">
        <v>941</v>
      </c>
      <c r="E2407" s="1" t="str">
        <f>"2020/S 0F2-0037936"</f>
        <v>2020/S 0F2-0037936</v>
      </c>
      <c r="F2407" s="1" t="s">
        <v>22</v>
      </c>
      <c r="G2407" s="1" t="str">
        <f>CONCATENATE("GRADEX &amp; CO D.O.O.,"," PAVLOVEC ZABOČKI,"," PRILAZ DR. FRANJE TUĐMANA 4,"," 49210 ZABOK,"," OIB: 73369080939")</f>
        <v>GRADEX &amp; CO D.O.O., PAVLOVEC ZABOČKI, PRILAZ DR. FRANJE TUĐMANA 4, 49210 ZABOK, OIB: 73369080939</v>
      </c>
      <c r="H2407" s="7"/>
      <c r="I2407" s="8" t="s">
        <v>2018</v>
      </c>
      <c r="J2407" s="8" t="s">
        <v>2019</v>
      </c>
      <c r="K2407" s="6" t="str">
        <f>"370.246,70"</f>
        <v>370.246,70</v>
      </c>
      <c r="L2407" s="6" t="str">
        <f>"92.561,68"</f>
        <v>92.561,68</v>
      </c>
      <c r="M2407" s="6" t="str">
        <f>"462.808,38"</f>
        <v>462.808,38</v>
      </c>
      <c r="N2407" s="8" t="s">
        <v>1118</v>
      </c>
      <c r="O2407" s="7"/>
      <c r="P2407" s="2" t="s">
        <v>6967</v>
      </c>
      <c r="Q2407" s="7"/>
      <c r="R2407" s="1"/>
      <c r="S2407" s="1" t="str">
        <f>"N-36/20"</f>
        <v>N-36/20</v>
      </c>
      <c r="T2407" s="1" t="s">
        <v>55</v>
      </c>
    </row>
    <row r="2408" spans="1:20" ht="63.75" x14ac:dyDescent="0.25">
      <c r="A2408" s="6">
        <v>2404</v>
      </c>
      <c r="B2408" s="1" t="str">
        <f>"2020-882"</f>
        <v>2020-882</v>
      </c>
      <c r="C2408" s="1" t="s">
        <v>2020</v>
      </c>
      <c r="D2408" s="1" t="s">
        <v>2021</v>
      </c>
      <c r="E2408" s="1" t="str">
        <f>"2020/S 0F2-0041345"</f>
        <v>2020/S 0F2-0041345</v>
      </c>
      <c r="F2408" s="1" t="s">
        <v>22</v>
      </c>
      <c r="G2408" s="1" t="str">
        <f>CONCATENATE("GEOMATIKA-SMOLČAK D.O.O.,"," MAJDAČKA 18,"," 10255 GORNJI STUPNIK,"," OIB: 0635435037")</f>
        <v>GEOMATIKA-SMOLČAK D.O.O., MAJDAČKA 18, 10255 GORNJI STUPNIK, OIB: 0635435037</v>
      </c>
      <c r="H2408" s="7"/>
      <c r="I2408" s="8" t="s">
        <v>1278</v>
      </c>
      <c r="J2408" s="8" t="s">
        <v>1072</v>
      </c>
      <c r="K2408" s="6" t="str">
        <f>"214.036,07"</f>
        <v>214.036,07</v>
      </c>
      <c r="L2408" s="6" t="str">
        <f>"53.509,02"</f>
        <v>53.509,02</v>
      </c>
      <c r="M2408" s="6" t="str">
        <f>"267.545,09"</f>
        <v>267.545,09</v>
      </c>
      <c r="N2408" s="8" t="s">
        <v>2022</v>
      </c>
      <c r="O2408" s="7"/>
      <c r="P2408" s="2" t="s">
        <v>6968</v>
      </c>
      <c r="Q2408" s="7"/>
      <c r="R2408" s="1"/>
      <c r="S2408" s="1" t="str">
        <f>"N-37/20"</f>
        <v>N-37/20</v>
      </c>
      <c r="T2408" s="1" t="s">
        <v>55</v>
      </c>
    </row>
    <row r="2409" spans="1:20" ht="76.5" x14ac:dyDescent="0.25">
      <c r="A2409" s="6">
        <v>2405</v>
      </c>
      <c r="B2409" s="1" t="str">
        <f>"2020-2663"</f>
        <v>2020-2663</v>
      </c>
      <c r="C2409" s="1" t="s">
        <v>2023</v>
      </c>
      <c r="D2409" s="1" t="s">
        <v>941</v>
      </c>
      <c r="E2409" s="1" t="str">
        <f>"2020/S 0F2-0035815"</f>
        <v>2020/S 0F2-0035815</v>
      </c>
      <c r="F2409" s="1" t="s">
        <v>22</v>
      </c>
      <c r="G2409" s="1" t="str">
        <f>CONCATENATE("AMB GRADNJA D.O.O.,"," PRILAZ BARUNA FILIPOVIĆA 15,"," 10000 ZAGREB,"," OIB: 8527265147")</f>
        <v>AMB GRADNJA D.O.O., PRILAZ BARUNA FILIPOVIĆA 15, 10000 ZAGREB, OIB: 8527265147</v>
      </c>
      <c r="H2409" s="7"/>
      <c r="I2409" s="8" t="s">
        <v>313</v>
      </c>
      <c r="J2409" s="8" t="s">
        <v>496</v>
      </c>
      <c r="K2409" s="6" t="str">
        <f>"1.459.284,00"</f>
        <v>1.459.284,00</v>
      </c>
      <c r="L2409" s="6" t="str">
        <f>"364.821,00"</f>
        <v>364.821,00</v>
      </c>
      <c r="M2409" s="6" t="str">
        <f>"1.824.105,00"</f>
        <v>1.824.105,00</v>
      </c>
      <c r="N2409" s="8" t="s">
        <v>921</v>
      </c>
      <c r="O2409" s="7"/>
      <c r="P2409" s="2" t="s">
        <v>6969</v>
      </c>
      <c r="Q2409" s="7"/>
      <c r="R2409" s="1"/>
      <c r="S2409" s="1" t="str">
        <f>"N-38/20"</f>
        <v>N-38/20</v>
      </c>
      <c r="T2409" s="1" t="s">
        <v>55</v>
      </c>
    </row>
    <row r="2410" spans="1:20" ht="51" x14ac:dyDescent="0.25">
      <c r="A2410" s="6">
        <v>2406</v>
      </c>
      <c r="B2410" s="1" t="str">
        <f>"2020-2865"</f>
        <v>2020-2865</v>
      </c>
      <c r="C2410" s="1" t="s">
        <v>2024</v>
      </c>
      <c r="D2410" s="1" t="s">
        <v>2025</v>
      </c>
      <c r="E2410" s="1" t="str">
        <f>"2020/S 0F2-0040364"</f>
        <v>2020/S 0F2-0040364</v>
      </c>
      <c r="F2410" s="1" t="s">
        <v>22</v>
      </c>
      <c r="G2410" s="1" t="str">
        <f>CONCATENATE("FRIGOEKSPERT D.O.O.,"," SUTLANSKE DOLINE 40,"," 10293 DUBRAVICA,"," OIB: 5586067133")</f>
        <v>FRIGOEKSPERT D.O.O., SUTLANSKE DOLINE 40, 10293 DUBRAVICA, OIB: 5586067133</v>
      </c>
      <c r="H2410" s="7"/>
      <c r="I2410" s="8" t="s">
        <v>1254</v>
      </c>
      <c r="J2410" s="8" t="s">
        <v>663</v>
      </c>
      <c r="K2410" s="6" t="str">
        <f>"208.950,00"</f>
        <v>208.950,00</v>
      </c>
      <c r="L2410" s="6" t="str">
        <f>"52.237,50"</f>
        <v>52.237,50</v>
      </c>
      <c r="M2410" s="6" t="str">
        <f>"261.187,50"</f>
        <v>261.187,50</v>
      </c>
      <c r="N2410" s="8" t="s">
        <v>1397</v>
      </c>
      <c r="O2410" s="7"/>
      <c r="P2410" s="2" t="s">
        <v>6970</v>
      </c>
      <c r="Q2410" s="7"/>
      <c r="R2410" s="1"/>
      <c r="S2410" s="1" t="str">
        <f>"N-39/20"</f>
        <v>N-39/20</v>
      </c>
      <c r="T2410" s="1" t="s">
        <v>32</v>
      </c>
    </row>
    <row r="2411" spans="1:20" ht="63.75" x14ac:dyDescent="0.25">
      <c r="A2411" s="6">
        <v>2407</v>
      </c>
      <c r="B2411" s="1" t="str">
        <f>"2020-2665"</f>
        <v>2020-2665</v>
      </c>
      <c r="C2411" s="1" t="s">
        <v>2026</v>
      </c>
      <c r="D2411" s="1" t="s">
        <v>941</v>
      </c>
      <c r="E2411" s="1" t="str">
        <f>"2020/S 0F2-0036931"</f>
        <v>2020/S 0F2-0036931</v>
      </c>
      <c r="F2411" s="1" t="s">
        <v>22</v>
      </c>
      <c r="G2411" s="1" t="str">
        <f>CONCATENATE("TEMPORIUM GRADNJA D.O.O.,"," LJUTOMERSKA ULICA 33A,"," 10000 ZAGREB,"," OIB: 6285048268")</f>
        <v>TEMPORIUM GRADNJA D.O.O., LJUTOMERSKA ULICA 33A, 10000 ZAGREB, OIB: 6285048268</v>
      </c>
      <c r="H2411" s="1" t="str">
        <f>CONCATENATE("KAPITEL D.O.O.,"," OIB: 44838895379")</f>
        <v>KAPITEL D.O.O., OIB: 44838895379</v>
      </c>
      <c r="I2411" s="8" t="s">
        <v>313</v>
      </c>
      <c r="J2411" s="8" t="s">
        <v>496</v>
      </c>
      <c r="K2411" s="6" t="str">
        <f>"467.757,80"</f>
        <v>467.757,80</v>
      </c>
      <c r="L2411" s="6" t="str">
        <f>"116.939,45"</f>
        <v>116.939,45</v>
      </c>
      <c r="M2411" s="6" t="str">
        <f>"584.697,25"</f>
        <v>584.697,25</v>
      </c>
      <c r="N2411" s="8" t="s">
        <v>124</v>
      </c>
      <c r="O2411" s="7"/>
      <c r="P2411" s="2" t="s">
        <v>5614</v>
      </c>
      <c r="Q2411" s="7"/>
      <c r="R2411" s="1"/>
      <c r="S2411" s="1" t="str">
        <f>"N-42/20"</f>
        <v>N-42/20</v>
      </c>
      <c r="T2411" s="1" t="s">
        <v>55</v>
      </c>
    </row>
    <row r="2412" spans="1:20" ht="51" x14ac:dyDescent="0.25">
      <c r="A2412" s="6">
        <v>2408</v>
      </c>
      <c r="B2412" s="1" t="str">
        <f>"2020-638"</f>
        <v>2020-638</v>
      </c>
      <c r="C2412" s="1" t="s">
        <v>2027</v>
      </c>
      <c r="D2412" s="1" t="s">
        <v>1976</v>
      </c>
      <c r="E2412" s="1" t="str">
        <f>"2020/S 0F2-0041853"</f>
        <v>2020/S 0F2-0041853</v>
      </c>
      <c r="F2412" s="1" t="s">
        <v>22</v>
      </c>
      <c r="G2412" s="1" t="str">
        <f>CONCATENATE("TORBARINA D.O.O.,"," NOVA CESTA 3,"," 10412 DONJA LOMNICA,"," OIB: 02603292627")</f>
        <v>TORBARINA D.O.O., NOVA CESTA 3, 10412 DONJA LOMNICA, OIB: 02603292627</v>
      </c>
      <c r="H2412" s="7"/>
      <c r="I2412" s="8" t="s">
        <v>1344</v>
      </c>
      <c r="J2412" s="8" t="s">
        <v>1140</v>
      </c>
      <c r="K2412" s="6" t="str">
        <f>"386.200,00"</f>
        <v>386.200,00</v>
      </c>
      <c r="L2412" s="6" t="str">
        <f>"96.550,00"</f>
        <v>96.550,00</v>
      </c>
      <c r="M2412" s="6" t="str">
        <f>"482.750,00"</f>
        <v>482.750,00</v>
      </c>
      <c r="N2412" s="8" t="s">
        <v>403</v>
      </c>
      <c r="O2412" s="7"/>
      <c r="P2412" s="2" t="s">
        <v>6971</v>
      </c>
      <c r="Q2412" s="7"/>
      <c r="R2412" s="1"/>
      <c r="S2412" s="1" t="str">
        <f>"N-43/20"</f>
        <v>N-43/20</v>
      </c>
      <c r="T2412" s="1" t="s">
        <v>32</v>
      </c>
    </row>
    <row r="2413" spans="1:20" ht="51" x14ac:dyDescent="0.25">
      <c r="A2413" s="6">
        <v>2409</v>
      </c>
      <c r="B2413" s="1" t="str">
        <f>"2020-2963"</f>
        <v>2020-2963</v>
      </c>
      <c r="C2413" s="1" t="s">
        <v>2028</v>
      </c>
      <c r="D2413" s="1" t="s">
        <v>2029</v>
      </c>
      <c r="E2413" s="1" t="str">
        <f>"2020/S 0F2-0045590"</f>
        <v>2020/S 0F2-0045590</v>
      </c>
      <c r="F2413" s="1" t="s">
        <v>22</v>
      </c>
      <c r="G2413" s="1" t="str">
        <f>CONCATENATE("DIVERTO D.O.O.,"," GRADA MAINZA 19,"," 10000 ZAGREB,"," OIB: 13965292158")</f>
        <v>DIVERTO D.O.O., GRADA MAINZA 19, 10000 ZAGREB, OIB: 13965292158</v>
      </c>
      <c r="H2413" s="7"/>
      <c r="I2413" s="8" t="s">
        <v>1344</v>
      </c>
      <c r="J2413" s="8" t="s">
        <v>1140</v>
      </c>
      <c r="K2413" s="6" t="str">
        <f>"197.400,00"</f>
        <v>197.400,00</v>
      </c>
      <c r="L2413" s="6" t="str">
        <f>"49.350,00"</f>
        <v>49.350,00</v>
      </c>
      <c r="M2413" s="6" t="str">
        <f>"246.750,00"</f>
        <v>246.750,00</v>
      </c>
      <c r="N2413" s="8" t="s">
        <v>2030</v>
      </c>
      <c r="O2413" s="7"/>
      <c r="P2413" s="2" t="s">
        <v>6972</v>
      </c>
      <c r="Q2413" s="7"/>
      <c r="R2413" s="1"/>
      <c r="S2413" s="1" t="str">
        <f>"N-44/20"</f>
        <v>N-44/20</v>
      </c>
      <c r="T2413" s="1" t="s">
        <v>452</v>
      </c>
    </row>
    <row r="2414" spans="1:20" ht="63.75" x14ac:dyDescent="0.25">
      <c r="A2414" s="6">
        <v>2410</v>
      </c>
      <c r="B2414" s="1" t="str">
        <f>"2020-2158"</f>
        <v>2020-2158</v>
      </c>
      <c r="C2414" s="1" t="s">
        <v>2031</v>
      </c>
      <c r="D2414" s="1" t="s">
        <v>2032</v>
      </c>
      <c r="E2414" s="1" t="str">
        <f>"2020/S 0F2-0043415"</f>
        <v>2020/S 0F2-0043415</v>
      </c>
      <c r="F2414" s="1" t="s">
        <v>22</v>
      </c>
      <c r="G2414" s="1" t="str">
        <f>CONCATENATE("FALCON ELECTRONIC  D.O.O.,"," VINOGRADSKA CESTA 2B3,"," 35000 SLAVONSKI BROD,"," OIB: 08554241826")</f>
        <v>FALCON ELECTRONIC  D.O.O., VINOGRADSKA CESTA 2B3, 35000 SLAVONSKI BROD, OIB: 08554241826</v>
      </c>
      <c r="H2414" s="7"/>
      <c r="I2414" s="8" t="s">
        <v>1335</v>
      </c>
      <c r="J2414" s="8" t="s">
        <v>697</v>
      </c>
      <c r="K2414" s="6" t="str">
        <f>"798.600,00"</f>
        <v>798.600,00</v>
      </c>
      <c r="L2414" s="6" t="str">
        <f>"199.650,00"</f>
        <v>199.650,00</v>
      </c>
      <c r="M2414" s="6" t="str">
        <f>"998.250,00"</f>
        <v>998.250,00</v>
      </c>
      <c r="N2414" s="8" t="s">
        <v>93</v>
      </c>
      <c r="O2414" s="7"/>
      <c r="P2414" s="2" t="s">
        <v>6973</v>
      </c>
      <c r="Q2414" s="7"/>
      <c r="R2414" s="1"/>
      <c r="S2414" s="1" t="str">
        <f>"N-45/20"</f>
        <v>N-45/20</v>
      </c>
      <c r="T2414" s="1" t="s">
        <v>32</v>
      </c>
    </row>
    <row r="2415" spans="1:20" ht="89.25" x14ac:dyDescent="0.25">
      <c r="A2415" s="6">
        <v>2411</v>
      </c>
      <c r="B2415" s="1" t="str">
        <f>"2020-2960"</f>
        <v>2020-2960</v>
      </c>
      <c r="C2415" s="1" t="s">
        <v>2033</v>
      </c>
      <c r="D2415" s="1" t="s">
        <v>702</v>
      </c>
      <c r="E2415" s="1" t="str">
        <f>"2020/S 0F2-0044188"</f>
        <v>2020/S 0F2-0044188</v>
      </c>
      <c r="F2415" s="1" t="s">
        <v>22</v>
      </c>
      <c r="G2415" s="1" t="str">
        <f>CONCATENATE("KINDER OBRT ZA GRADNJU I USLUGE VL. TOMISLAV KINDER,"," VINKA KINDERA 10,"," 10361 SESVETE-KRALJEVEC,"," OIB: 36605135183")</f>
        <v>KINDER OBRT ZA GRADNJU I USLUGE VL. TOMISLAV KINDER, VINKA KINDERA 10, 10361 SESVETE-KRALJEVEC, OIB: 36605135183</v>
      </c>
      <c r="H2415" s="1" t="str">
        <f>CONCATENATE("GEO 6 D.O.O.,"," OIB: 56516261347")</f>
        <v>GEO 6 D.O.O., OIB: 56516261347</v>
      </c>
      <c r="I2415" s="8" t="s">
        <v>1050</v>
      </c>
      <c r="J2415" s="8" t="s">
        <v>202</v>
      </c>
      <c r="K2415" s="6" t="str">
        <f>"494.852,50"</f>
        <v>494.852,50</v>
      </c>
      <c r="L2415" s="6" t="str">
        <f>"123.713,13"</f>
        <v>123.713,13</v>
      </c>
      <c r="M2415" s="6" t="str">
        <f>"618.565,63"</f>
        <v>618.565,63</v>
      </c>
      <c r="N2415" s="8" t="s">
        <v>1988</v>
      </c>
      <c r="O2415" s="7"/>
      <c r="P2415" s="2" t="s">
        <v>6974</v>
      </c>
      <c r="Q2415" s="7"/>
      <c r="R2415" s="1"/>
      <c r="S2415" s="1" t="str">
        <f>"N-46/20"</f>
        <v>N-46/20</v>
      </c>
      <c r="T2415" s="1" t="s">
        <v>452</v>
      </c>
    </row>
    <row r="2416" spans="1:20" ht="51" x14ac:dyDescent="0.25">
      <c r="A2416" s="6">
        <v>2412</v>
      </c>
      <c r="B2416" s="1" t="str">
        <f>"2020-2967"</f>
        <v>2020-2967</v>
      </c>
      <c r="C2416" s="1" t="s">
        <v>2034</v>
      </c>
      <c r="D2416" s="1" t="s">
        <v>2035</v>
      </c>
      <c r="E2416" s="1" t="str">
        <f>"2020/S 0F2-0045931"</f>
        <v>2020/S 0F2-0045931</v>
      </c>
      <c r="F2416" s="1" t="s">
        <v>22</v>
      </c>
      <c r="G2416" s="1" t="str">
        <f>CONCATENATE("STORM COMPUTERS D.O.O.,"," SAVICA I. 127,"," 10000 ZAGREB,"," OIB: 20142998436")</f>
        <v>STORM COMPUTERS D.O.O., SAVICA I. 127, 10000 ZAGREB, OIB: 20142998436</v>
      </c>
      <c r="H2416" s="7"/>
      <c r="I2416" s="8" t="s">
        <v>2036</v>
      </c>
      <c r="J2416" s="8" t="s">
        <v>598</v>
      </c>
      <c r="K2416" s="6" t="str">
        <f>"332.510,00"</f>
        <v>332.510,00</v>
      </c>
      <c r="L2416" s="6" t="str">
        <f>"83.127,50"</f>
        <v>83.127,50</v>
      </c>
      <c r="M2416" s="6" t="str">
        <f>"415.637,50"</f>
        <v>415.637,50</v>
      </c>
      <c r="N2416" s="8" t="s">
        <v>1402</v>
      </c>
      <c r="O2416" s="7"/>
      <c r="P2416" s="2" t="s">
        <v>6975</v>
      </c>
      <c r="Q2416" s="7"/>
      <c r="R2416" s="1"/>
      <c r="S2416" s="1" t="str">
        <f>"N-47/20"</f>
        <v>N-47/20</v>
      </c>
      <c r="T2416" s="1" t="s">
        <v>452</v>
      </c>
    </row>
    <row r="2417" spans="1:20" ht="51" x14ac:dyDescent="0.25">
      <c r="A2417" s="6">
        <v>2413</v>
      </c>
      <c r="B2417" s="1" t="str">
        <f>"2020-2379"</f>
        <v>2020-2379</v>
      </c>
      <c r="C2417" s="1" t="s">
        <v>2037</v>
      </c>
      <c r="D2417" s="1" t="s">
        <v>1109</v>
      </c>
      <c r="E2417" s="1" t="str">
        <f>"2020/S 0F2-0043430"</f>
        <v>2020/S 0F2-0043430</v>
      </c>
      <c r="F2417" s="1" t="s">
        <v>22</v>
      </c>
      <c r="G2417" s="1" t="str">
        <f>CONCATENATE("TIGRA D.O.O.,"," IVANIĆGRADSKA 22,"," 10000 ZAGREB,"," OIB: 2983006023")</f>
        <v>TIGRA D.O.O., IVANIĆGRADSKA 22, 10000 ZAGREB, OIB: 2983006023</v>
      </c>
      <c r="H2417" s="7"/>
      <c r="I2417" s="8" t="s">
        <v>2038</v>
      </c>
      <c r="J2417" s="8" t="s">
        <v>219</v>
      </c>
      <c r="K2417" s="6" t="str">
        <f>"1.798.611,50"</f>
        <v>1.798.611,50</v>
      </c>
      <c r="L2417" s="6" t="str">
        <f>"449.652,88"</f>
        <v>449.652,88</v>
      </c>
      <c r="M2417" s="6" t="str">
        <f>"2.248.264,38"</f>
        <v>2.248.264,38</v>
      </c>
      <c r="N2417" s="8" t="s">
        <v>124</v>
      </c>
      <c r="O2417" s="7"/>
      <c r="P2417" s="2" t="s">
        <v>5614</v>
      </c>
      <c r="Q2417" s="7"/>
      <c r="R2417" s="1"/>
      <c r="S2417" s="1" t="str">
        <f>"N-48/20"</f>
        <v>N-48/20</v>
      </c>
      <c r="T2417" s="1" t="s">
        <v>55</v>
      </c>
    </row>
    <row r="2418" spans="1:20" ht="63.75" x14ac:dyDescent="0.25">
      <c r="A2418" s="6">
        <v>2414</v>
      </c>
      <c r="B2418" s="1" t="str">
        <f>"2020-69"</f>
        <v>2020-69</v>
      </c>
      <c r="C2418" s="1" t="s">
        <v>2039</v>
      </c>
      <c r="D2418" s="1" t="s">
        <v>941</v>
      </c>
      <c r="E2418" s="1" t="str">
        <f>"2020/S 0F2-0043189"</f>
        <v>2020/S 0F2-0043189</v>
      </c>
      <c r="F2418" s="1" t="s">
        <v>22</v>
      </c>
      <c r="G2418" s="1" t="str">
        <f>CONCATENATE("BOLČEVIĆ-GRADNJA D.O.O.,"," DUGOSELSKA CESTA 56,"," 10361 SESVETSKI KRALJEVEC,"," OIB: 520986705")</f>
        <v>BOLČEVIĆ-GRADNJA D.O.O., DUGOSELSKA CESTA 56, 10361 SESVETSKI KRALJEVEC, OIB: 520986705</v>
      </c>
      <c r="H2418" s="1" t="str">
        <f>CONCATENATE("MGV D.O.O.,"," OIB: 07790118186")</f>
        <v>MGV D.O.O., OIB: 07790118186</v>
      </c>
      <c r="I2418" s="8" t="s">
        <v>1335</v>
      </c>
      <c r="J2418" s="8" t="s">
        <v>697</v>
      </c>
      <c r="K2418" s="6" t="str">
        <f>"1.142.346,20"</f>
        <v>1.142.346,20</v>
      </c>
      <c r="L2418" s="6" t="str">
        <f>"285.586,55"</f>
        <v>285.586,55</v>
      </c>
      <c r="M2418" s="6" t="str">
        <f>"1.427.932,75"</f>
        <v>1.427.932,75</v>
      </c>
      <c r="N2418" s="8" t="s">
        <v>124</v>
      </c>
      <c r="O2418" s="7"/>
      <c r="P2418" s="2" t="s">
        <v>5614</v>
      </c>
      <c r="Q2418" s="7"/>
      <c r="R2418" s="1"/>
      <c r="S2418" s="1" t="str">
        <f>"N-49/20"</f>
        <v>N-49/20</v>
      </c>
      <c r="T2418" s="1" t="s">
        <v>55</v>
      </c>
    </row>
    <row r="2419" spans="1:20" ht="63.75" x14ac:dyDescent="0.25">
      <c r="A2419" s="6">
        <v>2415</v>
      </c>
      <c r="B2419" s="1" t="str">
        <f>"2020-1435"</f>
        <v>2020-1435</v>
      </c>
      <c r="C2419" s="1" t="s">
        <v>2040</v>
      </c>
      <c r="D2419" s="1" t="s">
        <v>941</v>
      </c>
      <c r="E2419" s="1" t="str">
        <f>"2020/S 0F2-0043135"</f>
        <v>2020/S 0F2-0043135</v>
      </c>
      <c r="F2419" s="1" t="s">
        <v>22</v>
      </c>
      <c r="G2419" s="1" t="str">
        <f>CONCATENATE("BOLČEVIĆ-GRADNJA D.O.O.,"," DUGOSELSKA CESTA 56,"," 10361 SESVETSKI KRALJEVEC,"," OIB: 520986705")</f>
        <v>BOLČEVIĆ-GRADNJA D.O.O., DUGOSELSKA CESTA 56, 10361 SESVETSKI KRALJEVEC, OIB: 520986705</v>
      </c>
      <c r="H2419" s="1" t="str">
        <f>CONCATENATE("MGV D.O.O.,"," OIB: 07790118186")</f>
        <v>MGV D.O.O., OIB: 07790118186</v>
      </c>
      <c r="I2419" s="8" t="s">
        <v>1335</v>
      </c>
      <c r="J2419" s="8" t="s">
        <v>697</v>
      </c>
      <c r="K2419" s="6" t="str">
        <f>"3.668.429,25"</f>
        <v>3.668.429,25</v>
      </c>
      <c r="L2419" s="6" t="str">
        <f>"917.107,31"</f>
        <v>917.107,31</v>
      </c>
      <c r="M2419" s="6" t="str">
        <f>"4.585.536,56"</f>
        <v>4.585.536,56</v>
      </c>
      <c r="N2419" s="8" t="s">
        <v>124</v>
      </c>
      <c r="O2419" s="7"/>
      <c r="P2419" s="2" t="s">
        <v>5614</v>
      </c>
      <c r="Q2419" s="7"/>
      <c r="R2419" s="1"/>
      <c r="S2419" s="1" t="str">
        <f>"N-50/20"</f>
        <v>N-50/20</v>
      </c>
      <c r="T2419" s="1" t="s">
        <v>55</v>
      </c>
    </row>
    <row r="2420" spans="1:20" ht="63.75" x14ac:dyDescent="0.25">
      <c r="A2420" s="6">
        <v>2416</v>
      </c>
      <c r="B2420" s="1" t="str">
        <f>"2020-1435"</f>
        <v>2020-1435</v>
      </c>
      <c r="C2420" s="1" t="s">
        <v>2040</v>
      </c>
      <c r="D2420" s="1" t="s">
        <v>941</v>
      </c>
      <c r="E2420" s="1" t="str">
        <f>"2020/S 0F2-0043135"</f>
        <v>2020/S 0F2-0043135</v>
      </c>
      <c r="F2420" s="1" t="s">
        <v>1969</v>
      </c>
      <c r="G2420" s="1" t="str">
        <f>CONCATENATE("BOLČEVIĆ-GRADNJA D.O.O.,"," DUGOSELSKA CESTA 56,"," 10361 SESVETSKI KRALJEVEC,"," OIB: 520986705")</f>
        <v>BOLČEVIĆ-GRADNJA D.O.O., DUGOSELSKA CESTA 56, 10361 SESVETSKI KRALJEVEC, OIB: 520986705</v>
      </c>
      <c r="H2420" s="1" t="str">
        <f>CONCATENATE("MGV D.O.O.,"," OIB: 07790118186")</f>
        <v>MGV D.O.O., OIB: 07790118186</v>
      </c>
      <c r="I2420" s="8" t="s">
        <v>172</v>
      </c>
      <c r="J2420" s="8" t="s">
        <v>927</v>
      </c>
      <c r="K2420" s="6" t="str">
        <f>""</f>
        <v/>
      </c>
      <c r="L2420" s="6" t="str">
        <f>"0,00"</f>
        <v>0,00</v>
      </c>
      <c r="M2420" s="6" t="str">
        <f>"0,00"</f>
        <v>0,00</v>
      </c>
      <c r="N2420" s="8" t="s">
        <v>124</v>
      </c>
      <c r="O2420" s="7"/>
      <c r="P2420" s="2" t="s">
        <v>5614</v>
      </c>
      <c r="Q2420" s="7"/>
      <c r="R2420" s="1"/>
      <c r="S2420" s="1" t="str">
        <f>"N-50/20-1"</f>
        <v>N-50/20-1</v>
      </c>
      <c r="T2420" s="1" t="s">
        <v>55</v>
      </c>
    </row>
    <row r="2421" spans="1:20" ht="51" x14ac:dyDescent="0.25">
      <c r="A2421" s="6">
        <v>2417</v>
      </c>
      <c r="B2421" s="1" t="str">
        <f>"2020-569"</f>
        <v>2020-569</v>
      </c>
      <c r="C2421" s="1" t="s">
        <v>2041</v>
      </c>
      <c r="D2421" s="1" t="s">
        <v>1109</v>
      </c>
      <c r="E2421" s="1" t="str">
        <f>"2020/S 0F2-0044686"</f>
        <v>2020/S 0F2-0044686</v>
      </c>
      <c r="F2421" s="1" t="s">
        <v>22</v>
      </c>
      <c r="G2421" s="1" t="str">
        <f>CONCATENATE("TIGRA D.O.O.,"," IVANIĆGRADSKA 22,"," 10000 ZAGREB,"," OIB: 2983006023")</f>
        <v>TIGRA D.O.O., IVANIĆGRADSKA 22, 10000 ZAGREB, OIB: 2983006023</v>
      </c>
      <c r="H2421" s="7"/>
      <c r="I2421" s="8" t="s">
        <v>1317</v>
      </c>
      <c r="J2421" s="8" t="s">
        <v>103</v>
      </c>
      <c r="K2421" s="6" t="str">
        <f>"2.938.956,00"</f>
        <v>2.938.956,00</v>
      </c>
      <c r="L2421" s="6" t="str">
        <f>"734.739,00"</f>
        <v>734.739,00</v>
      </c>
      <c r="M2421" s="6" t="str">
        <f>"3.673.695,00"</f>
        <v>3.673.695,00</v>
      </c>
      <c r="N2421" s="8" t="s">
        <v>124</v>
      </c>
      <c r="O2421" s="7"/>
      <c r="P2421" s="2" t="s">
        <v>5614</v>
      </c>
      <c r="Q2421" s="7"/>
      <c r="R2421" s="1"/>
      <c r="S2421" s="1" t="str">
        <f>"N-51/20"</f>
        <v>N-51/20</v>
      </c>
      <c r="T2421" s="1" t="s">
        <v>55</v>
      </c>
    </row>
    <row r="2422" spans="1:20" ht="51" x14ac:dyDescent="0.25">
      <c r="A2422" s="6">
        <v>2418</v>
      </c>
      <c r="B2422" s="1" t="str">
        <f>"2020-2716"</f>
        <v>2020-2716</v>
      </c>
      <c r="C2422" s="1" t="s">
        <v>2042</v>
      </c>
      <c r="D2422" s="1" t="s">
        <v>2043</v>
      </c>
      <c r="E2422" s="1" t="str">
        <f>"2020/S 0F2-0039705"</f>
        <v>2020/S 0F2-0039705</v>
      </c>
      <c r="F2422" s="1" t="s">
        <v>22</v>
      </c>
      <c r="G2422" s="1" t="str">
        <f>CONCATENATE("ABSOLUTE D.O.O.,"," STORŽIČKA 21,"," 10000 ZAGREB,"," OIB: 97586475497")</f>
        <v>ABSOLUTE D.O.O., STORŽIČKA 21, 10000 ZAGREB, OIB: 97586475497</v>
      </c>
      <c r="H2422" s="7"/>
      <c r="I2422" s="8" t="s">
        <v>1317</v>
      </c>
      <c r="J2422" s="8" t="s">
        <v>103</v>
      </c>
      <c r="K2422" s="6" t="str">
        <f>"101.979,00"</f>
        <v>101.979,00</v>
      </c>
      <c r="L2422" s="6" t="str">
        <f>"25.494,75"</f>
        <v>25.494,75</v>
      </c>
      <c r="M2422" s="6" t="str">
        <f>"127.473,75"</f>
        <v>127.473,75</v>
      </c>
      <c r="N2422" s="8" t="s">
        <v>25</v>
      </c>
      <c r="O2422" s="7"/>
      <c r="P2422" s="2" t="s">
        <v>6976</v>
      </c>
      <c r="Q2422" s="1" t="s">
        <v>488</v>
      </c>
      <c r="R2422" s="1"/>
      <c r="S2422" s="1" t="str">
        <f>"N-52/20"</f>
        <v>N-52/20</v>
      </c>
      <c r="T2422" s="1" t="s">
        <v>32</v>
      </c>
    </row>
    <row r="2423" spans="1:20" ht="76.5" x14ac:dyDescent="0.25">
      <c r="A2423" s="6">
        <v>2419</v>
      </c>
      <c r="B2423" s="1" t="str">
        <f>"2020-2378"</f>
        <v>2020-2378</v>
      </c>
      <c r="C2423" s="1" t="s">
        <v>2044</v>
      </c>
      <c r="D2423" s="1" t="s">
        <v>1109</v>
      </c>
      <c r="E2423" s="1" t="str">
        <f>"2020/S 0F2-0042579"</f>
        <v>2020/S 0F2-0042579</v>
      </c>
      <c r="F2423" s="1" t="s">
        <v>22</v>
      </c>
      <c r="G2423" s="1" t="str">
        <f>CONCATENATE("GRADEX &amp; CO D.O.O.,"," PAVLOVEC ZABOČKI,"," PRILAZ DR. FRANJE TUĐMANA 4,"," 49210 ZABOK,"," OIB: 73369080939")</f>
        <v>GRADEX &amp; CO D.O.O., PAVLOVEC ZABOČKI, PRILAZ DR. FRANJE TUĐMANA 4, 49210 ZABOK, OIB: 73369080939</v>
      </c>
      <c r="H2423" s="7"/>
      <c r="I2423" s="8" t="s">
        <v>1317</v>
      </c>
      <c r="J2423" s="8" t="s">
        <v>103</v>
      </c>
      <c r="K2423" s="6" t="str">
        <f>"511.486,50"</f>
        <v>511.486,50</v>
      </c>
      <c r="L2423" s="6" t="str">
        <f>"127.871,63"</f>
        <v>127.871,63</v>
      </c>
      <c r="M2423" s="6" t="str">
        <f>"639.358,13"</f>
        <v>639.358,13</v>
      </c>
      <c r="N2423" s="8" t="s">
        <v>124</v>
      </c>
      <c r="O2423" s="7"/>
      <c r="P2423" s="2" t="s">
        <v>5614</v>
      </c>
      <c r="Q2423" s="7"/>
      <c r="R2423" s="1"/>
      <c r="S2423" s="1" t="str">
        <f>"N-53/20"</f>
        <v>N-53/20</v>
      </c>
      <c r="T2423" s="1" t="s">
        <v>55</v>
      </c>
    </row>
    <row r="2424" spans="1:20" ht="51" x14ac:dyDescent="0.25">
      <c r="A2424" s="6">
        <v>2420</v>
      </c>
      <c r="B2424" s="1" t="str">
        <f>"2020-1675"</f>
        <v>2020-1675</v>
      </c>
      <c r="C2424" s="1" t="s">
        <v>2045</v>
      </c>
      <c r="D2424" s="1" t="s">
        <v>941</v>
      </c>
      <c r="E2424" s="1" t="str">
        <f>"2020/S 0F2-0042021"</f>
        <v>2020/S 0F2-0042021</v>
      </c>
      <c r="F2424" s="1" t="s">
        <v>22</v>
      </c>
      <c r="G2424" s="1" t="str">
        <f>CONCATENATE("KINDER GRADNJA D.O.O.,"," SELSKA 57,"," 10360 SESVETE,"," OIB: 71001411174")</f>
        <v>KINDER GRADNJA D.O.O., SELSKA 57, 10360 SESVETE, OIB: 71001411174</v>
      </c>
      <c r="H2424" s="1" t="str">
        <f>CONCATENATE("GEOFORMAT D.O.O.,"," OIB: 11342631919")</f>
        <v>GEOFORMAT D.O.O., OIB: 11342631919</v>
      </c>
      <c r="I2424" s="8" t="s">
        <v>1317</v>
      </c>
      <c r="J2424" s="8" t="s">
        <v>103</v>
      </c>
      <c r="K2424" s="6" t="str">
        <f>"1.635.268,00"</f>
        <v>1.635.268,00</v>
      </c>
      <c r="L2424" s="6" t="str">
        <f>"408.817,00"</f>
        <v>408.817,00</v>
      </c>
      <c r="M2424" s="6" t="str">
        <f>"2.044.085,00"</f>
        <v>2.044.085,00</v>
      </c>
      <c r="N2424" s="8" t="s">
        <v>124</v>
      </c>
      <c r="O2424" s="7"/>
      <c r="P2424" s="2" t="s">
        <v>6977</v>
      </c>
      <c r="Q2424" s="7"/>
      <c r="R2424" s="1"/>
      <c r="S2424" s="1" t="str">
        <f>"N-54/20"</f>
        <v>N-54/20</v>
      </c>
      <c r="T2424" s="1" t="s">
        <v>55</v>
      </c>
    </row>
    <row r="2425" spans="1:20" ht="51" x14ac:dyDescent="0.25">
      <c r="A2425" s="6">
        <v>2421</v>
      </c>
      <c r="B2425" s="1" t="str">
        <f>"2020-1675"</f>
        <v>2020-1675</v>
      </c>
      <c r="C2425" s="1" t="s">
        <v>2045</v>
      </c>
      <c r="D2425" s="1" t="s">
        <v>941</v>
      </c>
      <c r="E2425" s="1" t="str">
        <f>"2020/S 0F2-0042021"</f>
        <v>2020/S 0F2-0042021</v>
      </c>
      <c r="F2425" s="1" t="s">
        <v>1969</v>
      </c>
      <c r="G2425" s="1" t="str">
        <f>CONCATENATE("KINDER GRADNJA D.O.O.,"," SELSKA 57,"," 10360 SESVETE,"," OIB: 71001411174")</f>
        <v>KINDER GRADNJA D.O.O., SELSKA 57, 10360 SESVETE, OIB: 71001411174</v>
      </c>
      <c r="H2425" s="1" t="str">
        <f>CONCATENATE("GEOFORMAT D.O.O.,"," OIB: 11342631919")</f>
        <v>GEOFORMAT D.O.O., OIB: 11342631919</v>
      </c>
      <c r="I2425" s="8" t="s">
        <v>90</v>
      </c>
      <c r="J2425" s="8" t="s">
        <v>90</v>
      </c>
      <c r="K2425" s="6" t="str">
        <f>""</f>
        <v/>
      </c>
      <c r="L2425" s="6" t="str">
        <f>"0,00"</f>
        <v>0,00</v>
      </c>
      <c r="M2425" s="6" t="str">
        <f>"0,00"</f>
        <v>0,00</v>
      </c>
      <c r="N2425" s="8" t="s">
        <v>124</v>
      </c>
      <c r="O2425" s="7"/>
      <c r="P2425" s="2" t="s">
        <v>5614</v>
      </c>
      <c r="Q2425" s="7"/>
      <c r="R2425" s="1"/>
      <c r="S2425" s="1" t="str">
        <f>"N-54/20-1"</f>
        <v>N-54/20-1</v>
      </c>
      <c r="T2425" s="1" t="s">
        <v>55</v>
      </c>
    </row>
    <row r="2426" spans="1:20" ht="76.5" x14ac:dyDescent="0.25">
      <c r="A2426" s="6">
        <v>2422</v>
      </c>
      <c r="B2426" s="1" t="str">
        <f>"2020-1046"</f>
        <v>2020-1046</v>
      </c>
      <c r="C2426" s="1" t="s">
        <v>2046</v>
      </c>
      <c r="D2426" s="1" t="s">
        <v>941</v>
      </c>
      <c r="E2426" s="1" t="str">
        <f>"2020/S 0F2-0044716"</f>
        <v>2020/S 0F2-0044716</v>
      </c>
      <c r="F2426" s="1" t="s">
        <v>22</v>
      </c>
      <c r="G2426" s="1" t="str">
        <f>CONCATENATE("GRADEX &amp; CO D.O.O.,"," PAVLOVEC ZABOČKI,"," PRILAZ DR. FRANJE TUĐMANA 4,"," 49210 ZABOK,"," OIB: 73369080939")</f>
        <v>GRADEX &amp; CO D.O.O., PAVLOVEC ZABOČKI, PRILAZ DR. FRANJE TUĐMANA 4, 49210 ZABOK, OIB: 73369080939</v>
      </c>
      <c r="H2426" s="7"/>
      <c r="I2426" s="8" t="s">
        <v>2047</v>
      </c>
      <c r="J2426" s="8" t="s">
        <v>779</v>
      </c>
      <c r="K2426" s="6" t="str">
        <f>"1.099.362,00"</f>
        <v>1.099.362,00</v>
      </c>
      <c r="L2426" s="6" t="str">
        <f>"274.840,50"</f>
        <v>274.840,50</v>
      </c>
      <c r="M2426" s="6" t="str">
        <f>"1.374.202,50"</f>
        <v>1.374.202,50</v>
      </c>
      <c r="N2426" s="8" t="s">
        <v>124</v>
      </c>
      <c r="O2426" s="7"/>
      <c r="P2426" s="2" t="s">
        <v>5614</v>
      </c>
      <c r="Q2426" s="7"/>
      <c r="R2426" s="1"/>
      <c r="S2426" s="1" t="str">
        <f>"N-55/20"</f>
        <v>N-55/20</v>
      </c>
      <c r="T2426" s="1" t="s">
        <v>55</v>
      </c>
    </row>
    <row r="2427" spans="1:20" ht="51" x14ac:dyDescent="0.25">
      <c r="A2427" s="6">
        <v>2423</v>
      </c>
      <c r="B2427" s="1" t="str">
        <f>"2020-2385"</f>
        <v>2020-2385</v>
      </c>
      <c r="C2427" s="1" t="s">
        <v>2048</v>
      </c>
      <c r="D2427" s="1" t="s">
        <v>2049</v>
      </c>
      <c r="E2427" s="1" t="str">
        <f>"2020/S 0F2-0023470"</f>
        <v>2020/S 0F2-0023470</v>
      </c>
      <c r="F2427" s="1" t="s">
        <v>22</v>
      </c>
      <c r="G2427" s="1" t="str">
        <f>CONCATENATE("IKOM D.O.O.,"," KOVINSKA 7,"," 10090 ZAGREB-SUSEDGRAD,"," OIB: 86247075815")</f>
        <v>IKOM D.O.O., KOVINSKA 7, 10090 ZAGREB-SUSEDGRAD, OIB: 86247075815</v>
      </c>
      <c r="H2427" s="7"/>
      <c r="I2427" s="8" t="s">
        <v>1364</v>
      </c>
      <c r="J2427" s="8" t="s">
        <v>613</v>
      </c>
      <c r="K2427" s="6" t="str">
        <f>"221.250,00"</f>
        <v>221.250,00</v>
      </c>
      <c r="L2427" s="6" t="str">
        <f>"55.312,50"</f>
        <v>55.312,50</v>
      </c>
      <c r="M2427" s="6" t="str">
        <f>"276.562,50"</f>
        <v>276.562,50</v>
      </c>
      <c r="N2427" s="8" t="s">
        <v>918</v>
      </c>
      <c r="O2427" s="7"/>
      <c r="P2427" s="2" t="s">
        <v>6978</v>
      </c>
      <c r="Q2427" s="7"/>
      <c r="R2427" s="1"/>
      <c r="S2427" s="1" t="str">
        <f>"N-56/20"</f>
        <v>N-56/20</v>
      </c>
      <c r="T2427" s="1" t="s">
        <v>452</v>
      </c>
    </row>
    <row r="2428" spans="1:20" ht="216.75" x14ac:dyDescent="0.25">
      <c r="A2428" s="6">
        <v>2424</v>
      </c>
      <c r="B2428" s="1" t="str">
        <f>"2020-701"</f>
        <v>2020-701</v>
      </c>
      <c r="C2428" s="1" t="s">
        <v>2050</v>
      </c>
      <c r="D2428" s="1" t="s">
        <v>2051</v>
      </c>
      <c r="E2428" s="1" t="str">
        <f>"2020/S 0F2-0045069"</f>
        <v>2020/S 0F2-0045069</v>
      </c>
      <c r="F2428" s="1" t="s">
        <v>22</v>
      </c>
      <c r="G2428" s="1" t="str">
        <f>CONCATENATE("GTM D.O.O.,"," JURAJA HABDELIĆA 14,"," 10410 VELIKA GORICA,"," OIB: 42349541784")</f>
        <v>GTM D.O.O., JURAJA HABDELIĆA 14, 10410 VELIKA GORICA, OIB: 42349541784</v>
      </c>
      <c r="H2428" s="1" t="str">
        <f>CONCATENATE("PRISTAN D.O.O.,"," OIB: 23582531617",CHAR(10),"FRIGO PARTNER INSTALACIJE,"," OIB: 71449090213",CHAR(10),"SOLARVENT D.O.O.,"," OIB: 46431403298",CHAR(10),"MGV D.O.O.,"," OIB: 07790118186",CHAR(10),"ALARMNI SUSTAVI SECURE D.O.O.,"," OIB: 07704321466")</f>
        <v>PRISTAN D.O.O., OIB: 23582531617
FRIGO PARTNER INSTALACIJE, OIB: 71449090213
SOLARVENT D.O.O., OIB: 46431403298
MGV D.O.O., OIB: 07790118186
ALARMNI SUSTAVI SECURE D.O.O., OIB: 07704321466</v>
      </c>
      <c r="I2428" s="8" t="s">
        <v>2038</v>
      </c>
      <c r="J2428" s="8" t="s">
        <v>219</v>
      </c>
      <c r="K2428" s="6" t="str">
        <f>"2.258.880,51"</f>
        <v>2.258.880,51</v>
      </c>
      <c r="L2428" s="6" t="str">
        <f>"564.720,13"</f>
        <v>564.720,13</v>
      </c>
      <c r="M2428" s="6" t="str">
        <f>"2.823.600,64"</f>
        <v>2.823.600,64</v>
      </c>
      <c r="N2428" s="8" t="s">
        <v>124</v>
      </c>
      <c r="O2428" s="7"/>
      <c r="P2428" s="2" t="s">
        <v>5614</v>
      </c>
      <c r="Q2428" s="7"/>
      <c r="R2428" s="1"/>
      <c r="S2428" s="1" t="str">
        <f>"N-57/20"</f>
        <v>N-57/20</v>
      </c>
      <c r="T2428" s="1" t="s">
        <v>55</v>
      </c>
    </row>
    <row r="2429" spans="1:20" ht="63.75" x14ac:dyDescent="0.25">
      <c r="A2429" s="6">
        <v>2425</v>
      </c>
      <c r="B2429" s="1" t="str">
        <f>"2020-1200"</f>
        <v>2020-1200</v>
      </c>
      <c r="C2429" s="1" t="s">
        <v>2052</v>
      </c>
      <c r="D2429" s="1" t="s">
        <v>941</v>
      </c>
      <c r="E2429" s="1" t="str">
        <f>"2020/S 0F2-0041044"</f>
        <v>2020/S 0F2-0041044</v>
      </c>
      <c r="F2429" s="1" t="s">
        <v>22</v>
      </c>
      <c r="G2429" s="1" t="str">
        <f>CONCATENATE("BOLČEVIĆ-GRADNJA D.O.O.,"," DUGOSELSKA CESTA 56,"," 10361 SESVETSKI KRALJEVEC,"," OIB: 520986705")</f>
        <v>BOLČEVIĆ-GRADNJA D.O.O., DUGOSELSKA CESTA 56, 10361 SESVETSKI KRALJEVEC, OIB: 520986705</v>
      </c>
      <c r="H2429" s="1" t="str">
        <f>CONCATENATE("MGV D.O.O.,"," OIB: 07790118186")</f>
        <v>MGV D.O.O., OIB: 07790118186</v>
      </c>
      <c r="I2429" s="8" t="s">
        <v>2053</v>
      </c>
      <c r="J2429" s="8" t="s">
        <v>396</v>
      </c>
      <c r="K2429" s="6" t="str">
        <f>"1.144.032,50"</f>
        <v>1.144.032,50</v>
      </c>
      <c r="L2429" s="6" t="str">
        <f>"286.008,13"</f>
        <v>286.008,13</v>
      </c>
      <c r="M2429" s="6" t="str">
        <f>"1.430.040,63"</f>
        <v>1.430.040,63</v>
      </c>
      <c r="N2429" s="8" t="s">
        <v>124</v>
      </c>
      <c r="O2429" s="7"/>
      <c r="P2429" s="2" t="s">
        <v>5614</v>
      </c>
      <c r="Q2429" s="7"/>
      <c r="R2429" s="1"/>
      <c r="S2429" s="1" t="str">
        <f>"N-58/20"</f>
        <v>N-58/20</v>
      </c>
      <c r="T2429" s="1" t="s">
        <v>55</v>
      </c>
    </row>
    <row r="2430" spans="1:20" ht="51" x14ac:dyDescent="0.25">
      <c r="A2430" s="6">
        <v>2426</v>
      </c>
      <c r="B2430" s="1" t="str">
        <f>"2020-2961"</f>
        <v>2020-2961</v>
      </c>
      <c r="C2430" s="1" t="s">
        <v>2054</v>
      </c>
      <c r="D2430" s="1" t="s">
        <v>2055</v>
      </c>
      <c r="E2430" s="1" t="str">
        <f>"2020/S 0F2-0044314"</f>
        <v>2020/S 0F2-0044314</v>
      </c>
      <c r="F2430" s="1" t="s">
        <v>22</v>
      </c>
      <c r="G2430" s="1" t="str">
        <f>CONCATENATE("STORM COMPUTERS D.O.O.,"," SAVICA I. 127,"," 10000 ZAGREB,"," OIB: 20142998436")</f>
        <v>STORM COMPUTERS D.O.O., SAVICA I. 127, 10000 ZAGREB, OIB: 20142998436</v>
      </c>
      <c r="H2430" s="7"/>
      <c r="I2430" s="8" t="s">
        <v>1069</v>
      </c>
      <c r="J2430" s="8" t="s">
        <v>1591</v>
      </c>
      <c r="K2430" s="6" t="str">
        <f>"969.314,00"</f>
        <v>969.314,00</v>
      </c>
      <c r="L2430" s="6" t="str">
        <f>"242.328,50"</f>
        <v>242.328,50</v>
      </c>
      <c r="M2430" s="6" t="str">
        <f>"1.211.642,50"</f>
        <v>1.211.642,50</v>
      </c>
      <c r="N2430" s="8" t="s">
        <v>1129</v>
      </c>
      <c r="O2430" s="7"/>
      <c r="P2430" s="2" t="s">
        <v>6979</v>
      </c>
      <c r="Q2430" s="7"/>
      <c r="R2430" s="1"/>
      <c r="S2430" s="1" t="str">
        <f>"N-59/20"</f>
        <v>N-59/20</v>
      </c>
      <c r="T2430" s="1" t="s">
        <v>452</v>
      </c>
    </row>
    <row r="2431" spans="1:20" ht="114.75" x14ac:dyDescent="0.25">
      <c r="A2431" s="6">
        <v>2427</v>
      </c>
      <c r="B2431" s="1" t="str">
        <f>"2020-659"</f>
        <v>2020-659</v>
      </c>
      <c r="C2431" s="1" t="s">
        <v>2056</v>
      </c>
      <c r="D2431" s="1" t="s">
        <v>2057</v>
      </c>
      <c r="E2431" s="1" t="str">
        <f>"2020/S 0F2-0040932"</f>
        <v>2020/S 0F2-0040932</v>
      </c>
      <c r="F2431" s="1" t="s">
        <v>22</v>
      </c>
      <c r="G2431" s="1" t="str">
        <f>CONCATENATE("Zajednica ponuditelja",CHAR(10),"INVESTINŽENJERING D.O.O.,"," TUŠKANOVA 41,"," 10000 ZAGREB,"," OIB: 78904416556AD CON D.O.O. BANA JOSIPA JELAČIĆA 28/A,"," 23000 ZADAR,"," OIB: 35985815579")</f>
        <v>Zajednica ponuditelja
INVESTINŽENJERING D.O.O., TUŠKANOVA 41, 10000 ZAGREB, OIB: 78904416556AD CON D.O.O. BANA JOSIPA JELAČIĆA 28/A, 23000 ZADAR, OIB: 35985815579</v>
      </c>
      <c r="H2431" s="7"/>
      <c r="I2431" s="8" t="s">
        <v>2058</v>
      </c>
      <c r="J2431" s="8" t="s">
        <v>2059</v>
      </c>
      <c r="K2431" s="6" t="str">
        <f>"2.065.000,00"</f>
        <v>2.065.000,00</v>
      </c>
      <c r="L2431" s="6" t="str">
        <f>"516.250,00"</f>
        <v>516.250,00</v>
      </c>
      <c r="M2431" s="6" t="str">
        <f>"2.581.250,00"</f>
        <v>2.581.250,00</v>
      </c>
      <c r="N2431" s="8" t="s">
        <v>124</v>
      </c>
      <c r="O2431" s="7"/>
      <c r="P2431" s="2" t="s">
        <v>5614</v>
      </c>
      <c r="Q2431" s="7"/>
      <c r="R2431" s="1"/>
      <c r="S2431" s="1" t="str">
        <f>"N-60/20"</f>
        <v>N-60/20</v>
      </c>
      <c r="T2431" s="1" t="s">
        <v>2060</v>
      </c>
    </row>
    <row r="2432" spans="1:20" ht="63.75" x14ac:dyDescent="0.25">
      <c r="A2432" s="6">
        <v>2428</v>
      </c>
      <c r="B2432" s="1" t="str">
        <f>"2020-951"</f>
        <v>2020-951</v>
      </c>
      <c r="C2432" s="1" t="s">
        <v>2061</v>
      </c>
      <c r="D2432" s="1" t="s">
        <v>1641</v>
      </c>
      <c r="E2432" s="1" t="str">
        <f>"2020/S 0F2-0044077"</f>
        <v>2020/S 0F2-0044077</v>
      </c>
      <c r="F2432" s="1" t="s">
        <v>22</v>
      </c>
      <c r="G2432" s="1" t="str">
        <f>CONCATENATE("INTERKONZALTING D.O.O.,"," ULICA GRADA VUKOVARA 43/A,"," 10000 ZAGREB,"," OIB: 23141220773")</f>
        <v>INTERKONZALTING D.O.O., ULICA GRADA VUKOVARA 43/A, 10000 ZAGREB, OIB: 23141220773</v>
      </c>
      <c r="H2432" s="1" t="str">
        <f>CONCATENATE("MODUM GEODETSKI URED D.O.O.,"," OIB: 94431724365")</f>
        <v>MODUM GEODETSKI URED D.O.O., OIB: 94431724365</v>
      </c>
      <c r="I2432" s="8" t="s">
        <v>1388</v>
      </c>
      <c r="J2432" s="8" t="s">
        <v>215</v>
      </c>
      <c r="K2432" s="6" t="str">
        <f>"792.000,00"</f>
        <v>792.000,00</v>
      </c>
      <c r="L2432" s="6" t="str">
        <f>"198.000,00"</f>
        <v>198.000,00</v>
      </c>
      <c r="M2432" s="6" t="str">
        <f>"990.000,00"</f>
        <v>990.000,00</v>
      </c>
      <c r="N2432" s="8" t="s">
        <v>169</v>
      </c>
      <c r="O2432" s="7"/>
      <c r="P2432" s="2" t="s">
        <v>6980</v>
      </c>
      <c r="Q2432" s="7"/>
      <c r="R2432" s="1"/>
      <c r="S2432" s="1" t="str">
        <f>"N-61/20"</f>
        <v>N-61/20</v>
      </c>
      <c r="T2432" s="1" t="s">
        <v>32</v>
      </c>
    </row>
    <row r="2433" spans="1:20" ht="51" x14ac:dyDescent="0.25">
      <c r="A2433" s="6">
        <v>2429</v>
      </c>
      <c r="B2433" s="1" t="str">
        <f>"2020-935"</f>
        <v>2020-935</v>
      </c>
      <c r="C2433" s="1" t="s">
        <v>2062</v>
      </c>
      <c r="D2433" s="1" t="s">
        <v>2057</v>
      </c>
      <c r="E2433" s="1" t="str">
        <f>"2020/S 0F2-0044096"</f>
        <v>2020/S 0F2-0044096</v>
      </c>
      <c r="F2433" s="1" t="s">
        <v>22</v>
      </c>
      <c r="G2433" s="1" t="str">
        <f>CONCATENATE("EKONERG D.O.O.,"," KORANSKA ULICA 5,"," 10000 ZAGREB,"," OIB: 71690188016")</f>
        <v>EKONERG D.O.O., KORANSKA ULICA 5, 10000 ZAGREB, OIB: 71690188016</v>
      </c>
      <c r="H2433" s="1" t="str">
        <f>CONCATENATE("BIM PROJEKT D.O.O.,"," OIB: 64500625635")</f>
        <v>BIM PROJEKT D.O.O., OIB: 64500625635</v>
      </c>
      <c r="I2433" s="8" t="s">
        <v>1388</v>
      </c>
      <c r="J2433" s="8" t="s">
        <v>215</v>
      </c>
      <c r="K2433" s="6" t="str">
        <f>"1.397.484,00"</f>
        <v>1.397.484,00</v>
      </c>
      <c r="L2433" s="6" t="str">
        <f>"349.371,00"</f>
        <v>349.371,00</v>
      </c>
      <c r="M2433" s="6" t="str">
        <f>"1.746.855,00"</f>
        <v>1.746.855,00</v>
      </c>
      <c r="N2433" s="8" t="s">
        <v>365</v>
      </c>
      <c r="O2433" s="7"/>
      <c r="P2433" s="2" t="s">
        <v>6981</v>
      </c>
      <c r="Q2433" s="7"/>
      <c r="R2433" s="1"/>
      <c r="S2433" s="1" t="str">
        <f>"N-62/20"</f>
        <v>N-62/20</v>
      </c>
      <c r="T2433" s="1" t="s">
        <v>32</v>
      </c>
    </row>
    <row r="2434" spans="1:20" ht="89.25" x14ac:dyDescent="0.25">
      <c r="A2434" s="6">
        <v>2430</v>
      </c>
      <c r="B2434" s="1" t="str">
        <f>"2020-167"</f>
        <v>2020-167</v>
      </c>
      <c r="C2434" s="1" t="s">
        <v>2063</v>
      </c>
      <c r="D2434" s="1" t="s">
        <v>2064</v>
      </c>
      <c r="E2434" s="1" t="str">
        <f>"2021/S 0F2-0000635"</f>
        <v>2021/S 0F2-0000635</v>
      </c>
      <c r="F2434" s="1" t="s">
        <v>22</v>
      </c>
      <c r="G2434" s="1" t="str">
        <f>CONCATENATE("SVEUČILIŠTE U ZAGREBU,"," RUDARSKO-GEOLOŠKO-NAFTNI FAKULTET,"," PIEROTTIJEVA 6,"," 10000 ZAGREB,"," OIB: 99534693762")</f>
        <v>SVEUČILIŠTE U ZAGREBU, RUDARSKO-GEOLOŠKO-NAFTNI FAKULTET, PIEROTTIJEVA 6, 10000 ZAGREB, OIB: 99534693762</v>
      </c>
      <c r="H2434" s="7"/>
      <c r="I2434" s="8" t="s">
        <v>2065</v>
      </c>
      <c r="J2434" s="8" t="s">
        <v>397</v>
      </c>
      <c r="K2434" s="6" t="str">
        <f>"1.372.572,00"</f>
        <v>1.372.572,00</v>
      </c>
      <c r="L2434" s="6" t="str">
        <f>"343.143,00"</f>
        <v>343.143,00</v>
      </c>
      <c r="M2434" s="6" t="str">
        <f>"1.715.715,00"</f>
        <v>1.715.715,00</v>
      </c>
      <c r="N2434" s="8" t="s">
        <v>124</v>
      </c>
      <c r="O2434" s="7"/>
      <c r="P2434" s="2" t="s">
        <v>5614</v>
      </c>
      <c r="Q2434" s="7"/>
      <c r="R2434" s="1"/>
      <c r="S2434" s="1" t="str">
        <f>"N-63/20"</f>
        <v>N-63/20</v>
      </c>
      <c r="T2434" s="1" t="s">
        <v>55</v>
      </c>
    </row>
    <row r="2435" spans="1:20" ht="89.25" x14ac:dyDescent="0.25">
      <c r="A2435" s="6">
        <v>2431</v>
      </c>
      <c r="B2435" s="1" t="str">
        <f>"2020-167"</f>
        <v>2020-167</v>
      </c>
      <c r="C2435" s="1" t="s">
        <v>2063</v>
      </c>
      <c r="D2435" s="1" t="s">
        <v>2064</v>
      </c>
      <c r="E2435" s="1" t="str">
        <f>"2021/S 0F2-0000635"</f>
        <v>2021/S 0F2-0000635</v>
      </c>
      <c r="F2435" s="1" t="s">
        <v>1969</v>
      </c>
      <c r="G2435" s="1" t="str">
        <f>CONCATENATE("SVEUČILIŠTE U ZAGREBU,"," RUDARSKO-GEOLOŠKO-NAFTNI FAKULTET,"," PIEROTTIJEVA 6,"," 10000 ZAGREB,"," OIB: 99534693762")</f>
        <v>SVEUČILIŠTE U ZAGREBU, RUDARSKO-GEOLOŠKO-NAFTNI FAKULTET, PIEROTTIJEVA 6, 10000 ZAGREB, OIB: 99534693762</v>
      </c>
      <c r="H2435" s="7"/>
      <c r="I2435" s="8" t="s">
        <v>222</v>
      </c>
      <c r="J2435" s="8" t="s">
        <v>222</v>
      </c>
      <c r="K2435" s="6" t="str">
        <f>""</f>
        <v/>
      </c>
      <c r="L2435" s="6" t="str">
        <f>"0,00"</f>
        <v>0,00</v>
      </c>
      <c r="M2435" s="6" t="str">
        <f>"0,00"</f>
        <v>0,00</v>
      </c>
      <c r="N2435" s="8" t="s">
        <v>124</v>
      </c>
      <c r="O2435" s="7"/>
      <c r="P2435" s="2" t="s">
        <v>5614</v>
      </c>
      <c r="Q2435" s="7"/>
      <c r="R2435" s="1"/>
      <c r="S2435" s="1" t="str">
        <f>"N-63/20-1"</f>
        <v>N-63/20-1</v>
      </c>
      <c r="T2435" s="1" t="s">
        <v>55</v>
      </c>
    </row>
    <row r="2436" spans="1:20" ht="89.25" x14ac:dyDescent="0.25">
      <c r="A2436" s="6">
        <v>2432</v>
      </c>
      <c r="B2436" s="1" t="str">
        <f>"2020-167"</f>
        <v>2020-167</v>
      </c>
      <c r="C2436" s="1" t="s">
        <v>2063</v>
      </c>
      <c r="D2436" s="1" t="s">
        <v>2064</v>
      </c>
      <c r="E2436" s="1" t="str">
        <f>"2021/S 0F2-0000635"</f>
        <v>2021/S 0F2-0000635</v>
      </c>
      <c r="F2436" s="1" t="s">
        <v>1969</v>
      </c>
      <c r="G2436" s="1" t="str">
        <f>CONCATENATE("SVEUČILIŠTE U ZAGREBU,"," RUDARSKO-GEOLOŠKO-NAFTNI FAKULTET,"," PIEROTTIJEVA 6,"," 10000 ZAGREB,"," OIB: 99534693762")</f>
        <v>SVEUČILIŠTE U ZAGREBU, RUDARSKO-GEOLOŠKO-NAFTNI FAKULTET, PIEROTTIJEVA 6, 10000 ZAGREB, OIB: 99534693762</v>
      </c>
      <c r="H2436" s="7"/>
      <c r="I2436" s="8" t="s">
        <v>1099</v>
      </c>
      <c r="J2436" s="8" t="s">
        <v>489</v>
      </c>
      <c r="K2436" s="6" t="str">
        <f>""</f>
        <v/>
      </c>
      <c r="L2436" s="6" t="str">
        <f>"0,00"</f>
        <v>0,00</v>
      </c>
      <c r="M2436" s="6" t="str">
        <f>"0,00"</f>
        <v>0,00</v>
      </c>
      <c r="N2436" s="8" t="s">
        <v>124</v>
      </c>
      <c r="O2436" s="7"/>
      <c r="P2436" s="2" t="s">
        <v>5614</v>
      </c>
      <c r="Q2436" s="7"/>
      <c r="R2436" s="1"/>
      <c r="S2436" s="1" t="str">
        <f>"N-63/20-2"</f>
        <v>N-63/20-2</v>
      </c>
      <c r="T2436" s="1" t="s">
        <v>55</v>
      </c>
    </row>
    <row r="2437" spans="1:20" ht="63.75" x14ac:dyDescent="0.25">
      <c r="A2437" s="6">
        <v>2433</v>
      </c>
      <c r="B2437" s="1" t="str">
        <f>"2020-1391"</f>
        <v>2020-1391</v>
      </c>
      <c r="C2437" s="1" t="s">
        <v>2066</v>
      </c>
      <c r="D2437" s="1" t="s">
        <v>941</v>
      </c>
      <c r="E2437" s="1" t="str">
        <f>"2020/S 0F2-0043167"</f>
        <v>2020/S 0F2-0043167</v>
      </c>
      <c r="F2437" s="1" t="s">
        <v>22</v>
      </c>
      <c r="G2437" s="1" t="str">
        <f>CONCATENATE("TEMPORIUM GRADNJA D.O.O.,"," LJUTOMERSKA ULICA 33A,"," 10000 ZAGREB,"," OIB: 6285048268")</f>
        <v>TEMPORIUM GRADNJA D.O.O., LJUTOMERSKA ULICA 33A, 10000 ZAGREB, OIB: 6285048268</v>
      </c>
      <c r="H2437" s="7"/>
      <c r="I2437" s="8" t="s">
        <v>1388</v>
      </c>
      <c r="J2437" s="8" t="s">
        <v>1117</v>
      </c>
      <c r="K2437" s="6" t="str">
        <f>"2.276.796,50"</f>
        <v>2.276.796,50</v>
      </c>
      <c r="L2437" s="6" t="str">
        <f>"569.199,13"</f>
        <v>569.199,13</v>
      </c>
      <c r="M2437" s="6" t="str">
        <f>"2.845.995,63"</f>
        <v>2.845.995,63</v>
      </c>
      <c r="N2437" s="8" t="s">
        <v>124</v>
      </c>
      <c r="O2437" s="7"/>
      <c r="P2437" s="2" t="s">
        <v>5614</v>
      </c>
      <c r="Q2437" s="7"/>
      <c r="R2437" s="1"/>
      <c r="S2437" s="1" t="str">
        <f>"N-64/20"</f>
        <v>N-64/20</v>
      </c>
      <c r="T2437" s="1" t="s">
        <v>55</v>
      </c>
    </row>
    <row r="2438" spans="1:20" ht="63.75" x14ac:dyDescent="0.25">
      <c r="A2438" s="6">
        <v>2434</v>
      </c>
      <c r="B2438" s="1" t="str">
        <f>"2020-1391"</f>
        <v>2020-1391</v>
      </c>
      <c r="C2438" s="1" t="s">
        <v>2066</v>
      </c>
      <c r="D2438" s="1" t="s">
        <v>941</v>
      </c>
      <c r="E2438" s="1" t="str">
        <f>"2020/S 0F2-0043167"</f>
        <v>2020/S 0F2-0043167</v>
      </c>
      <c r="F2438" s="1" t="s">
        <v>1969</v>
      </c>
      <c r="G2438" s="1" t="str">
        <f>CONCATENATE("TEMPORIUM GRADNJA D.O.O.,"," LJUTOMERSKA ULICA 33A,"," 10000 ZAGREB,"," OIB: 6285048268")</f>
        <v>TEMPORIUM GRADNJA D.O.O., LJUTOMERSKA ULICA 33A, 10000 ZAGREB, OIB: 6285048268</v>
      </c>
      <c r="H2438" s="7"/>
      <c r="I2438" s="8" t="s">
        <v>723</v>
      </c>
      <c r="J2438" s="8" t="s">
        <v>1551</v>
      </c>
      <c r="K2438" s="6" t="str">
        <f>""</f>
        <v/>
      </c>
      <c r="L2438" s="6" t="str">
        <f>"0,00"</f>
        <v>0,00</v>
      </c>
      <c r="M2438" s="6" t="str">
        <f>"0,00"</f>
        <v>0,00</v>
      </c>
      <c r="N2438" s="8" t="s">
        <v>124</v>
      </c>
      <c r="O2438" s="7"/>
      <c r="P2438" s="2" t="s">
        <v>5614</v>
      </c>
      <c r="Q2438" s="7"/>
      <c r="R2438" s="1"/>
      <c r="S2438" s="1" t="str">
        <f>"N-64/20-1"</f>
        <v>N-64/20-1</v>
      </c>
      <c r="T2438" s="1" t="s">
        <v>55</v>
      </c>
    </row>
    <row r="2439" spans="1:20" ht="63.75" x14ac:dyDescent="0.25">
      <c r="A2439" s="6">
        <v>2435</v>
      </c>
      <c r="B2439" s="1" t="str">
        <f>"2020-2336"</f>
        <v>2020-2336</v>
      </c>
      <c r="C2439" s="1" t="s">
        <v>2067</v>
      </c>
      <c r="D2439" s="1" t="s">
        <v>2068</v>
      </c>
      <c r="E2439" s="1" t="str">
        <f>"2021/S 0F2-0003574"</f>
        <v>2021/S 0F2-0003574</v>
      </c>
      <c r="F2439" s="1" t="s">
        <v>22</v>
      </c>
      <c r="G2439" s="1" t="str">
        <f>CONCATENATE("MULTIGRAD D.O.O.,"," LUKAVEČKA 7,"," 10412 DONJA LOMNICA,"," OIB: 33615517007")</f>
        <v>MULTIGRAD D.O.O., LUKAVEČKA 7, 10412 DONJA LOMNICA, OIB: 33615517007</v>
      </c>
      <c r="H2439" s="1" t="str">
        <f>CONCATENATE("GEO MEDIA D.O.O.,"," OIB: 63264844366")</f>
        <v>GEO MEDIA D.O.O., OIB: 63264844366</v>
      </c>
      <c r="I2439" s="8" t="s">
        <v>1388</v>
      </c>
      <c r="J2439" s="8" t="s">
        <v>1117</v>
      </c>
      <c r="K2439" s="6" t="str">
        <f>"1.310.901,00"</f>
        <v>1.310.901,00</v>
      </c>
      <c r="L2439" s="6" t="str">
        <f>"327.725,25"</f>
        <v>327.725,25</v>
      </c>
      <c r="M2439" s="6" t="str">
        <f>"1.638.626,25"</f>
        <v>1.638.626,25</v>
      </c>
      <c r="N2439" s="8" t="s">
        <v>124</v>
      </c>
      <c r="O2439" s="7"/>
      <c r="P2439" s="2" t="s">
        <v>5614</v>
      </c>
      <c r="Q2439" s="7"/>
      <c r="R2439" s="1"/>
      <c r="S2439" s="1" t="str">
        <f>"N-65/20"</f>
        <v>N-65/20</v>
      </c>
      <c r="T2439" s="1" t="s">
        <v>55</v>
      </c>
    </row>
    <row r="2440" spans="1:20" ht="63.75" x14ac:dyDescent="0.25">
      <c r="A2440" s="6">
        <v>2436</v>
      </c>
      <c r="B2440" s="1" t="str">
        <f>"2020-1455"</f>
        <v>2020-1455</v>
      </c>
      <c r="C2440" s="1" t="s">
        <v>2069</v>
      </c>
      <c r="D2440" s="1" t="s">
        <v>2068</v>
      </c>
      <c r="E2440" s="1" t="str">
        <f>"2020/S 0F2-0043422"</f>
        <v>2020/S 0F2-0043422</v>
      </c>
      <c r="F2440" s="1" t="s">
        <v>22</v>
      </c>
      <c r="G2440" s="1" t="str">
        <f>CONCATENATE("BOLČEVIĆ-GRADNJA D.O.O.,"," DUGOSELSKA CESTA 56,"," 10361 SESVETSKI KRALJEVEC,"," OIB: 520986705")</f>
        <v>BOLČEVIĆ-GRADNJA D.O.O., DUGOSELSKA CESTA 56, 10361 SESVETSKI KRALJEVEC, OIB: 520986705</v>
      </c>
      <c r="H2440" s="1" t="str">
        <f>CONCATENATE("MGV D.O.O.,"," OIB: 07790118186")</f>
        <v>MGV D.O.O., OIB: 07790118186</v>
      </c>
      <c r="I2440" s="8" t="s">
        <v>1388</v>
      </c>
      <c r="J2440" s="8" t="s">
        <v>1117</v>
      </c>
      <c r="K2440" s="6" t="str">
        <f>"749.540,64"</f>
        <v>749.540,64</v>
      </c>
      <c r="L2440" s="6" t="str">
        <f>"187.385,16"</f>
        <v>187.385,16</v>
      </c>
      <c r="M2440" s="6" t="str">
        <f>"936.925,80"</f>
        <v>936.925,80</v>
      </c>
      <c r="N2440" s="8" t="s">
        <v>124</v>
      </c>
      <c r="O2440" s="7"/>
      <c r="P2440" s="2" t="s">
        <v>5614</v>
      </c>
      <c r="Q2440" s="7"/>
      <c r="R2440" s="1"/>
      <c r="S2440" s="1" t="str">
        <f>"N-66/20"</f>
        <v>N-66/20</v>
      </c>
      <c r="T2440" s="1" t="s">
        <v>55</v>
      </c>
    </row>
    <row r="2441" spans="1:20" ht="63.75" x14ac:dyDescent="0.25">
      <c r="A2441" s="6">
        <v>2437</v>
      </c>
      <c r="B2441" s="1" t="str">
        <f>"2020-2558"</f>
        <v>2020-2558</v>
      </c>
      <c r="C2441" s="1" t="s">
        <v>2070</v>
      </c>
      <c r="D2441" s="1" t="s">
        <v>941</v>
      </c>
      <c r="E2441" s="1" t="str">
        <f>"2020/S 0F2-0045728"</f>
        <v>2020/S 0F2-0045728</v>
      </c>
      <c r="F2441" s="1" t="s">
        <v>22</v>
      </c>
      <c r="G2441" s="1" t="str">
        <f>CONCATENATE("BUBANJ - NISKOGRADNJA D.O.O.,"," KRUGE 7,"," 10000 ZAGREB,"," OIB: 29539944583")</f>
        <v>BUBANJ - NISKOGRADNJA D.O.O., KRUGE 7, 10000 ZAGREB, OIB: 29539944583</v>
      </c>
      <c r="H2441" s="1" t="str">
        <f>CONCATENATE("GEODIST D.O.O.,"," OIB: 709786718")</f>
        <v>GEODIST D.O.O., OIB: 709786718</v>
      </c>
      <c r="I2441" s="8" t="s">
        <v>1388</v>
      </c>
      <c r="J2441" s="8" t="s">
        <v>1117</v>
      </c>
      <c r="K2441" s="6" t="str">
        <f>"1.451.362,00"</f>
        <v>1.451.362,00</v>
      </c>
      <c r="L2441" s="6" t="str">
        <f>"362.840,50"</f>
        <v>362.840,50</v>
      </c>
      <c r="M2441" s="6" t="str">
        <f>"1.814.202,50"</f>
        <v>1.814.202,50</v>
      </c>
      <c r="N2441" s="8" t="s">
        <v>124</v>
      </c>
      <c r="O2441" s="7"/>
      <c r="P2441" s="2" t="s">
        <v>5614</v>
      </c>
      <c r="Q2441" s="7"/>
      <c r="R2441" s="1"/>
      <c r="S2441" s="1" t="str">
        <f>"N-67/20"</f>
        <v>N-67/20</v>
      </c>
      <c r="T2441" s="1" t="s">
        <v>55</v>
      </c>
    </row>
    <row r="2442" spans="1:20" ht="51" x14ac:dyDescent="0.25">
      <c r="A2442" s="6">
        <v>2438</v>
      </c>
      <c r="B2442" s="1" t="str">
        <f>"2020-1545"</f>
        <v>2020-1545</v>
      </c>
      <c r="C2442" s="1" t="s">
        <v>2071</v>
      </c>
      <c r="D2442" s="1" t="s">
        <v>941</v>
      </c>
      <c r="E2442" s="1" t="str">
        <f>"2020/S 0F2-0046742"</f>
        <v>2020/S 0F2-0046742</v>
      </c>
      <c r="F2442" s="1" t="s">
        <v>22</v>
      </c>
      <c r="G2442" s="1" t="str">
        <f>CONCATENATE("TIGRA D.O.O.,"," IVANIĆGRADSKA 22,"," 10000 ZAGREB,"," OIB: 2983006023")</f>
        <v>TIGRA D.O.O., IVANIĆGRADSKA 22, 10000 ZAGREB, OIB: 2983006023</v>
      </c>
      <c r="H2442" s="7"/>
      <c r="I2442" s="8" t="s">
        <v>1069</v>
      </c>
      <c r="J2442" s="8" t="s">
        <v>768</v>
      </c>
      <c r="K2442" s="6" t="str">
        <f>"746.634,16"</f>
        <v>746.634,16</v>
      </c>
      <c r="L2442" s="6" t="str">
        <f>"186.658,54"</f>
        <v>186.658,54</v>
      </c>
      <c r="M2442" s="6" t="str">
        <f>"933.292,70"</f>
        <v>933.292,70</v>
      </c>
      <c r="N2442" s="8" t="s">
        <v>124</v>
      </c>
      <c r="O2442" s="7"/>
      <c r="P2442" s="2" t="s">
        <v>5614</v>
      </c>
      <c r="Q2442" s="7"/>
      <c r="R2442" s="1"/>
      <c r="S2442" s="1" t="str">
        <f>"N-68/20"</f>
        <v>N-68/20</v>
      </c>
      <c r="T2442" s="1" t="s">
        <v>55</v>
      </c>
    </row>
    <row r="2443" spans="1:20" ht="63.75" x14ac:dyDescent="0.25">
      <c r="A2443" s="6">
        <v>2439</v>
      </c>
      <c r="B2443" s="1" t="str">
        <f>"2020-2377"</f>
        <v>2020-2377</v>
      </c>
      <c r="C2443" s="1" t="s">
        <v>2072</v>
      </c>
      <c r="D2443" s="1" t="s">
        <v>1109</v>
      </c>
      <c r="E2443" s="1" t="str">
        <f>"2020/S 0F2-0044712"</f>
        <v>2020/S 0F2-0044712</v>
      </c>
      <c r="F2443" s="1" t="s">
        <v>22</v>
      </c>
      <c r="G2443" s="1" t="str">
        <f>CONCATENATE("KOLEKTOR-ZAGREB D.O.O.,"," IVANIĆGRADSKA 22,"," 10000 ZAGREB,"," OIB: 73209542242")</f>
        <v>KOLEKTOR-ZAGREB D.O.O., IVANIĆGRADSKA 22, 10000 ZAGREB, OIB: 73209542242</v>
      </c>
      <c r="H2443" s="7"/>
      <c r="I2443" s="8" t="s">
        <v>1459</v>
      </c>
      <c r="J2443" s="8" t="s">
        <v>287</v>
      </c>
      <c r="K2443" s="6" t="str">
        <f>"696.427,92"</f>
        <v>696.427,92</v>
      </c>
      <c r="L2443" s="6" t="str">
        <f>"174.106,98"</f>
        <v>174.106,98</v>
      </c>
      <c r="M2443" s="6" t="str">
        <f>"870.534,90"</f>
        <v>870.534,90</v>
      </c>
      <c r="N2443" s="8" t="s">
        <v>53</v>
      </c>
      <c r="O2443" s="7"/>
      <c r="P2443" s="2" t="s">
        <v>6982</v>
      </c>
      <c r="Q2443" s="7"/>
      <c r="R2443" s="1"/>
      <c r="S2443" s="1" t="str">
        <f>"N-69/20"</f>
        <v>N-69/20</v>
      </c>
      <c r="T2443" s="1" t="s">
        <v>55</v>
      </c>
    </row>
    <row r="2444" spans="1:20" ht="51" x14ac:dyDescent="0.25">
      <c r="A2444" s="6">
        <v>2440</v>
      </c>
      <c r="B2444" s="1" t="str">
        <f>"2020-1705"</f>
        <v>2020-1705</v>
      </c>
      <c r="C2444" s="1" t="s">
        <v>2073</v>
      </c>
      <c r="D2444" s="1" t="s">
        <v>941</v>
      </c>
      <c r="E2444" s="1" t="str">
        <f>"2020/S 0F2-0041963"</f>
        <v>2020/S 0F2-0041963</v>
      </c>
      <c r="F2444" s="1" t="s">
        <v>22</v>
      </c>
      <c r="G2444" s="1" t="str">
        <f>CONCATENATE("NERING D.O.O.,"," LIVADARSKI PUT 24,"," 10360 SESVETE,"," OIB: 85965934616")</f>
        <v>NERING D.O.O., LIVADARSKI PUT 24, 10360 SESVETE, OIB: 85965934616</v>
      </c>
      <c r="H2444" s="1" t="str">
        <f>CONCATENATE("GEOFORMAT D.O.O.,"," OIB: 11342631919")</f>
        <v>GEOFORMAT D.O.O., OIB: 11342631919</v>
      </c>
      <c r="I2444" s="8" t="s">
        <v>2074</v>
      </c>
      <c r="J2444" s="8" t="s">
        <v>421</v>
      </c>
      <c r="K2444" s="6" t="str">
        <f>"1.530.782,00"</f>
        <v>1.530.782,00</v>
      </c>
      <c r="L2444" s="6" t="str">
        <f>"382.695,50"</f>
        <v>382.695,50</v>
      </c>
      <c r="M2444" s="6" t="str">
        <f>"1.913.477,50"</f>
        <v>1.913.477,50</v>
      </c>
      <c r="N2444" s="8" t="s">
        <v>124</v>
      </c>
      <c r="O2444" s="7"/>
      <c r="P2444" s="2" t="s">
        <v>5614</v>
      </c>
      <c r="Q2444" s="7"/>
      <c r="R2444" s="1"/>
      <c r="S2444" s="1" t="str">
        <f>"N-70/20"</f>
        <v>N-70/20</v>
      </c>
      <c r="T2444" s="1" t="s">
        <v>55</v>
      </c>
    </row>
    <row r="2445" spans="1:20" ht="51" x14ac:dyDescent="0.25">
      <c r="A2445" s="6">
        <v>2441</v>
      </c>
      <c r="B2445" s="1" t="str">
        <f>"2020-2293"</f>
        <v>2020-2293</v>
      </c>
      <c r="C2445" s="1" t="s">
        <v>2075</v>
      </c>
      <c r="D2445" s="1" t="s">
        <v>941</v>
      </c>
      <c r="E2445" s="1" t="str">
        <f>"2020/S 0F2-0041725"</f>
        <v>2020/S 0F2-0041725</v>
      </c>
      <c r="F2445" s="1" t="s">
        <v>22</v>
      </c>
      <c r="G2445" s="1" t="str">
        <f>CONCATENATE("GEORAD D.O.O.,"," KORNATSKA 1,"," 10000 ZAGREB,"," OIB: 49756748234")</f>
        <v>GEORAD D.O.O., KORNATSKA 1, 10000 ZAGREB, OIB: 49756748234</v>
      </c>
      <c r="H2445" s="7"/>
      <c r="I2445" s="8" t="s">
        <v>1459</v>
      </c>
      <c r="J2445" s="8" t="s">
        <v>918</v>
      </c>
      <c r="K2445" s="6" t="str">
        <f>"793.796,80"</f>
        <v>793.796,80</v>
      </c>
      <c r="L2445" s="6" t="str">
        <f>"198.449,20"</f>
        <v>198.449,20</v>
      </c>
      <c r="M2445" s="6" t="str">
        <f>"992.246,00"</f>
        <v>992.246,00</v>
      </c>
      <c r="N2445" s="8" t="s">
        <v>124</v>
      </c>
      <c r="O2445" s="7"/>
      <c r="P2445" s="2" t="s">
        <v>5614</v>
      </c>
      <c r="Q2445" s="7"/>
      <c r="R2445" s="1"/>
      <c r="S2445" s="1" t="str">
        <f>"N-71/20"</f>
        <v>N-71/20</v>
      </c>
      <c r="T2445" s="1" t="s">
        <v>55</v>
      </c>
    </row>
    <row r="2446" spans="1:20" ht="63.75" x14ac:dyDescent="0.25">
      <c r="A2446" s="6">
        <v>2442</v>
      </c>
      <c r="B2446" s="1" t="str">
        <f>"2020-1652"</f>
        <v>2020-1652</v>
      </c>
      <c r="C2446" s="1" t="s">
        <v>2076</v>
      </c>
      <c r="D2446" s="1" t="s">
        <v>2068</v>
      </c>
      <c r="E2446" s="1" t="str">
        <f>"2020/S 0F2-0041193"</f>
        <v>2020/S 0F2-0041193</v>
      </c>
      <c r="F2446" s="1" t="s">
        <v>22</v>
      </c>
      <c r="G2446" s="1" t="str">
        <f>CONCATENATE("TIGRA D.O.O.,"," IVANIĆGRADSKA 22,"," 10000 ZAGREB,"," OIB: 2983006023")</f>
        <v>TIGRA D.O.O., IVANIĆGRADSKA 22, 10000 ZAGREB, OIB: 2983006023</v>
      </c>
      <c r="H2446" s="7"/>
      <c r="I2446" s="8" t="s">
        <v>2077</v>
      </c>
      <c r="J2446" s="8" t="s">
        <v>748</v>
      </c>
      <c r="K2446" s="6" t="str">
        <f>"2.893.829,50"</f>
        <v>2.893.829,50</v>
      </c>
      <c r="L2446" s="6" t="str">
        <f>"723.457,38"</f>
        <v>723.457,38</v>
      </c>
      <c r="M2446" s="6" t="str">
        <f>"3.617.286,88"</f>
        <v>3.617.286,88</v>
      </c>
      <c r="N2446" s="8" t="s">
        <v>124</v>
      </c>
      <c r="O2446" s="7"/>
      <c r="P2446" s="2" t="s">
        <v>5614</v>
      </c>
      <c r="Q2446" s="7"/>
      <c r="R2446" s="1"/>
      <c r="S2446" s="1" t="str">
        <f>"N-72/20"</f>
        <v>N-72/20</v>
      </c>
      <c r="T2446" s="1" t="s">
        <v>55</v>
      </c>
    </row>
    <row r="2447" spans="1:20" ht="63.75" x14ac:dyDescent="0.25">
      <c r="A2447" s="6">
        <v>2443</v>
      </c>
      <c r="B2447" s="1" t="str">
        <f>"2020-473"</f>
        <v>2020-473</v>
      </c>
      <c r="C2447" s="1" t="s">
        <v>2078</v>
      </c>
      <c r="D2447" s="1" t="s">
        <v>941</v>
      </c>
      <c r="E2447" s="1" t="str">
        <f>"2020/S 0F2-0046485"</f>
        <v>2020/S 0F2-0046485</v>
      </c>
      <c r="F2447" s="1" t="s">
        <v>22</v>
      </c>
      <c r="G2447" s="1" t="str">
        <f>CONCATENATE("BOLČEVIĆ-GRADNJA D.O.O.,"," DUGOSELSKA CESTA 56,"," 10361 SESVETSKI KRALJEVEC,"," OIB: 520986705")</f>
        <v>BOLČEVIĆ-GRADNJA D.O.O., DUGOSELSKA CESTA 56, 10361 SESVETSKI KRALJEVEC, OIB: 520986705</v>
      </c>
      <c r="H2447" s="1" t="str">
        <f>CONCATENATE("MGV D.O.O.,"," OIB: 07790118186")</f>
        <v>MGV D.O.O., OIB: 07790118186</v>
      </c>
      <c r="I2447" s="8" t="s">
        <v>2079</v>
      </c>
      <c r="J2447" s="8" t="s">
        <v>2080</v>
      </c>
      <c r="K2447" s="6" t="str">
        <f>"412.192,00"</f>
        <v>412.192,00</v>
      </c>
      <c r="L2447" s="6" t="str">
        <f>"103.048,00"</f>
        <v>103.048,00</v>
      </c>
      <c r="M2447" s="6" t="str">
        <f>"515.240,00"</f>
        <v>515.240,00</v>
      </c>
      <c r="N2447" s="8" t="s">
        <v>124</v>
      </c>
      <c r="O2447" s="7"/>
      <c r="P2447" s="2" t="s">
        <v>5614</v>
      </c>
      <c r="Q2447" s="7"/>
      <c r="R2447" s="1"/>
      <c r="S2447" s="1" t="str">
        <f>"N-73/20"</f>
        <v>N-73/20</v>
      </c>
      <c r="T2447" s="1" t="s">
        <v>55</v>
      </c>
    </row>
    <row r="2448" spans="1:20" ht="51" x14ac:dyDescent="0.25">
      <c r="A2448" s="6">
        <v>2444</v>
      </c>
      <c r="B2448" s="1" t="str">
        <f>"2020-877"</f>
        <v>2020-877</v>
      </c>
      <c r="C2448" s="1" t="s">
        <v>2081</v>
      </c>
      <c r="D2448" s="1" t="s">
        <v>2082</v>
      </c>
      <c r="E2448" s="1" t="str">
        <f>"2020/S 0F2-0045582"</f>
        <v>2020/S 0F2-0045582</v>
      </c>
      <c r="F2448" s="1" t="s">
        <v>22</v>
      </c>
      <c r="G2448" s="1" t="str">
        <f>CONCATENATE("ING-GRAD D.O.O.,"," KALINOVICA 3/IV,"," 10000 ZAGREB,"," OIB: 93245284305")</f>
        <v>ING-GRAD D.O.O., KALINOVICA 3/IV, 10000 ZAGREB, OIB: 93245284305</v>
      </c>
      <c r="H2448" s="1" t="str">
        <f>CONCATENATE("D.B.C.GROUP D.O.O.,"," OIB: 8518478717")</f>
        <v>D.B.C.GROUP D.O.O., OIB: 8518478717</v>
      </c>
      <c r="I2448" s="8" t="s">
        <v>2083</v>
      </c>
      <c r="J2448" s="8" t="s">
        <v>2084</v>
      </c>
      <c r="K2448" s="6" t="str">
        <f>"105.899.944,47"</f>
        <v>105.899.944,47</v>
      </c>
      <c r="L2448" s="6" t="str">
        <f>"26.474.986,12"</f>
        <v>26.474.986,12</v>
      </c>
      <c r="M2448" s="6" t="str">
        <f>"132.374.930,59"</f>
        <v>132.374.930,59</v>
      </c>
      <c r="N2448" s="8" t="s">
        <v>875</v>
      </c>
      <c r="O2448" s="7"/>
      <c r="P2448" s="2" t="s">
        <v>6983</v>
      </c>
      <c r="Q2448" s="7"/>
      <c r="R2448" s="1"/>
      <c r="S2448" s="1" t="str">
        <f>"N-74/20"</f>
        <v>N-74/20</v>
      </c>
      <c r="T2448" s="1" t="s">
        <v>32</v>
      </c>
    </row>
    <row r="2449" spans="1:20" ht="76.5" x14ac:dyDescent="0.25">
      <c r="A2449" s="6">
        <v>2445</v>
      </c>
      <c r="B2449" s="1" t="str">
        <f>"2020-877"</f>
        <v>2020-877</v>
      </c>
      <c r="C2449" s="1" t="s">
        <v>2081</v>
      </c>
      <c r="D2449" s="1" t="s">
        <v>2082</v>
      </c>
      <c r="E2449" s="1" t="str">
        <f>"2020/S 0F2-0045582"</f>
        <v>2020/S 0F2-0045582</v>
      </c>
      <c r="F2449" s="1" t="s">
        <v>1848</v>
      </c>
      <c r="G2449" s="1" t="str">
        <f>CONCATENATE("ING-GRAD D.O.O.,"," KALINOVICA 3/IV,"," 10000 ZAGREB,"," OIB: 93245284305")</f>
        <v>ING-GRAD D.O.O., KALINOVICA 3/IV, 10000 ZAGREB, OIB: 93245284305</v>
      </c>
      <c r="H2449" s="1" t="str">
        <f>CONCATENATE("D.B.C.GROUP D.O.O.,"," OIB: 8518478717")</f>
        <v>D.B.C.GROUP D.O.O., OIB: 8518478717</v>
      </c>
      <c r="I2449" s="8" t="s">
        <v>90</v>
      </c>
      <c r="J2449" s="8" t="s">
        <v>2084</v>
      </c>
      <c r="K2449" s="6" t="str">
        <f>"105.899.944,47"</f>
        <v>105.899.944,47</v>
      </c>
      <c r="L2449" s="6" t="str">
        <f>"26.474.986,12"</f>
        <v>26.474.986,12</v>
      </c>
      <c r="M2449" s="6" t="str">
        <f>"132.374.930,59"</f>
        <v>132.374.930,59</v>
      </c>
      <c r="N2449" s="8" t="s">
        <v>124</v>
      </c>
      <c r="O2449" s="7"/>
      <c r="P2449" s="2" t="s">
        <v>5614</v>
      </c>
      <c r="Q2449" s="7"/>
      <c r="R2449" s="1"/>
      <c r="S2449" s="1" t="str">
        <f>"N-74/20-1"</f>
        <v>N-74/20-1</v>
      </c>
      <c r="T2449" s="1" t="s">
        <v>32</v>
      </c>
    </row>
    <row r="2450" spans="1:20" ht="76.5" x14ac:dyDescent="0.25">
      <c r="A2450" s="6">
        <v>2446</v>
      </c>
      <c r="B2450" s="1" t="str">
        <f>"2020-492"</f>
        <v>2020-492</v>
      </c>
      <c r="C2450" s="1" t="s">
        <v>2085</v>
      </c>
      <c r="D2450" s="1" t="s">
        <v>1125</v>
      </c>
      <c r="E2450" s="1" t="str">
        <f>"2020/S 0F2-0040863"</f>
        <v>2020/S 0F2-0040863</v>
      </c>
      <c r="F2450" s="1" t="s">
        <v>22</v>
      </c>
      <c r="G2450" s="1" t="str">
        <f>CONCATENATE("TEMPORIUM GRADNJA D.O.O.,"," LJUTOMERSKA ULICA 33A,"," 10000 ZAGREB,"," OIB: 6285048268")</f>
        <v>TEMPORIUM GRADNJA D.O.O., LJUTOMERSKA ULICA 33A, 10000 ZAGREB, OIB: 6285048268</v>
      </c>
      <c r="H2450" s="1" t="str">
        <f>CONCATENATE("KINDER OBRT ZA GRADNJU I USLUGE VL. TOMISLAV KINDER,"," OIB: 36605135183")</f>
        <v>KINDER OBRT ZA GRADNJU I USLUGE VL. TOMISLAV KINDER, OIB: 36605135183</v>
      </c>
      <c r="I2450" s="8" t="s">
        <v>1271</v>
      </c>
      <c r="J2450" s="8" t="s">
        <v>41</v>
      </c>
      <c r="K2450" s="6" t="str">
        <f>"955.466,10"</f>
        <v>955.466,10</v>
      </c>
      <c r="L2450" s="6" t="str">
        <f>"238.866,53"</f>
        <v>238.866,53</v>
      </c>
      <c r="M2450" s="6" t="str">
        <f>"1.194.332,63"</f>
        <v>1.194.332,63</v>
      </c>
      <c r="N2450" s="8" t="s">
        <v>335</v>
      </c>
      <c r="O2450" s="7"/>
      <c r="P2450" s="2" t="s">
        <v>6984</v>
      </c>
      <c r="Q2450" s="7"/>
      <c r="R2450" s="1"/>
      <c r="S2450" s="1" t="str">
        <f>"N-75/20"</f>
        <v>N-75/20</v>
      </c>
      <c r="T2450" s="1" t="s">
        <v>32</v>
      </c>
    </row>
    <row r="2451" spans="1:20" ht="76.5" x14ac:dyDescent="0.25">
      <c r="A2451" s="6">
        <v>2447</v>
      </c>
      <c r="B2451" s="1" t="str">
        <f>"2020-492"</f>
        <v>2020-492</v>
      </c>
      <c r="C2451" s="1" t="s">
        <v>2085</v>
      </c>
      <c r="D2451" s="1" t="s">
        <v>1125</v>
      </c>
      <c r="E2451" s="1" t="str">
        <f>"2020/S 0F2-0040863"</f>
        <v>2020/S 0F2-0040863</v>
      </c>
      <c r="F2451" s="1" t="s">
        <v>1848</v>
      </c>
      <c r="G2451" s="1" t="str">
        <f>CONCATENATE("TEMPORIUM GRADNJA D.O.O.,"," LJUTOMERSKA ULICA 33A,"," 10000 ZAGREB,"," OIB: 6285048268")</f>
        <v>TEMPORIUM GRADNJA D.O.O., LJUTOMERSKA ULICA 33A, 10000 ZAGREB, OIB: 6285048268</v>
      </c>
      <c r="H2451" s="1" t="str">
        <f>CONCATENATE("KINDER OBRT ZA GRADNJU I USLUGE VL. TOMISLAV KINDER,"," OIB: 36605135183")</f>
        <v>KINDER OBRT ZA GRADNJU I USLUGE VL. TOMISLAV KINDER, OIB: 36605135183</v>
      </c>
      <c r="I2451" s="8" t="s">
        <v>134</v>
      </c>
      <c r="J2451" s="8" t="s">
        <v>41</v>
      </c>
      <c r="K2451" s="6" t="str">
        <f>"955.466,10"</f>
        <v>955.466,10</v>
      </c>
      <c r="L2451" s="6" t="str">
        <f>"238.866,53"</f>
        <v>238.866,53</v>
      </c>
      <c r="M2451" s="6" t="str">
        <f>"1.194.332,63"</f>
        <v>1.194.332,63</v>
      </c>
      <c r="N2451" s="8" t="s">
        <v>124</v>
      </c>
      <c r="O2451" s="7"/>
      <c r="P2451" s="2" t="s">
        <v>5614</v>
      </c>
      <c r="Q2451" s="7"/>
      <c r="R2451" s="1"/>
      <c r="S2451" s="1" t="str">
        <f>"N-75/20-1"</f>
        <v>N-75/20-1</v>
      </c>
      <c r="T2451" s="1" t="s">
        <v>32</v>
      </c>
    </row>
    <row r="2452" spans="1:20" ht="51" x14ac:dyDescent="0.25">
      <c r="A2452" s="6">
        <v>2448</v>
      </c>
      <c r="B2452" s="1" t="str">
        <f>"2020-2969"</f>
        <v>2020-2969</v>
      </c>
      <c r="C2452" s="1" t="s">
        <v>2086</v>
      </c>
      <c r="D2452" s="1" t="s">
        <v>2035</v>
      </c>
      <c r="E2452" s="1" t="str">
        <f>"2020/S 0F2-0046946"</f>
        <v>2020/S 0F2-0046946</v>
      </c>
      <c r="F2452" s="1" t="s">
        <v>22</v>
      </c>
      <c r="G2452" s="1" t="str">
        <f>CONCATENATE("STORM COMPUTERS D.O.O.,"," SAVICA I. 127,"," 10000 ZAGREB,"," OIB: 20142998436")</f>
        <v>STORM COMPUTERS D.O.O., SAVICA I. 127, 10000 ZAGREB, OIB: 20142998436</v>
      </c>
      <c r="H2452" s="1" t="str">
        <f>CONCATENATE("AVOLA SOLUTIONS D.O.O.,"," OIB: 78288303547")</f>
        <v>AVOLA SOLUTIONS D.O.O., OIB: 78288303547</v>
      </c>
      <c r="I2452" s="8" t="s">
        <v>1459</v>
      </c>
      <c r="J2452" s="8" t="s">
        <v>918</v>
      </c>
      <c r="K2452" s="6" t="str">
        <f>"647.524,00"</f>
        <v>647.524,00</v>
      </c>
      <c r="L2452" s="6" t="str">
        <f>"161.881,00"</f>
        <v>161.881,00</v>
      </c>
      <c r="M2452" s="6" t="str">
        <f>"809.405,00"</f>
        <v>809.405,00</v>
      </c>
      <c r="N2452" s="8" t="s">
        <v>2030</v>
      </c>
      <c r="O2452" s="7"/>
      <c r="P2452" s="2" t="s">
        <v>6985</v>
      </c>
      <c r="Q2452" s="7"/>
      <c r="R2452" s="1"/>
      <c r="S2452" s="1" t="str">
        <f>"N-77/20"</f>
        <v>N-77/20</v>
      </c>
      <c r="T2452" s="1" t="s">
        <v>452</v>
      </c>
    </row>
    <row r="2453" spans="1:20" ht="51" x14ac:dyDescent="0.25">
      <c r="A2453" s="6">
        <v>2449</v>
      </c>
      <c r="B2453" s="1" t="str">
        <f>"2020-2869"</f>
        <v>2020-2869</v>
      </c>
      <c r="C2453" s="1" t="s">
        <v>2087</v>
      </c>
      <c r="D2453" s="1" t="s">
        <v>2088</v>
      </c>
      <c r="E2453" s="1" t="str">
        <f>"2020/S 0F2-0045613"</f>
        <v>2020/S 0F2-0045613</v>
      </c>
      <c r="F2453" s="1" t="s">
        <v>22</v>
      </c>
      <c r="G2453" s="1" t="str">
        <f>CONCATENATE("O.K.I. MONT D.O.O.,"," DANKOVEČKA 87,"," 10000 ZAGREB,"," OIB: 98039404134")</f>
        <v>O.K.I. MONT D.O.O., DANKOVEČKA 87, 10000 ZAGREB, OIB: 98039404134</v>
      </c>
      <c r="H2453" s="7"/>
      <c r="I2453" s="8" t="s">
        <v>473</v>
      </c>
      <c r="J2453" s="8" t="s">
        <v>480</v>
      </c>
      <c r="K2453" s="6" t="str">
        <f>"597.570,00"</f>
        <v>597.570,00</v>
      </c>
      <c r="L2453" s="6" t="str">
        <f>"149.392,50"</f>
        <v>149.392,50</v>
      </c>
      <c r="M2453" s="6" t="str">
        <f>"746.962,50"</f>
        <v>746.962,50</v>
      </c>
      <c r="N2453" s="8" t="s">
        <v>179</v>
      </c>
      <c r="O2453" s="7"/>
      <c r="P2453" s="2" t="s">
        <v>6986</v>
      </c>
      <c r="Q2453" s="7"/>
      <c r="R2453" s="1"/>
      <c r="S2453" s="1" t="str">
        <f>"N-78/20"</f>
        <v>N-78/20</v>
      </c>
      <c r="T2453" s="1" t="s">
        <v>32</v>
      </c>
    </row>
    <row r="2454" spans="1:20" ht="51" x14ac:dyDescent="0.25">
      <c r="A2454" s="6">
        <v>2450</v>
      </c>
      <c r="B2454" s="1" t="str">
        <f>"2020-1879"</f>
        <v>2020-1879</v>
      </c>
      <c r="C2454" s="1" t="s">
        <v>2089</v>
      </c>
      <c r="D2454" s="1" t="s">
        <v>1884</v>
      </c>
      <c r="E2454" s="1" t="str">
        <f>"2020/S 0F2-0044139"</f>
        <v>2020/S 0F2-0044139</v>
      </c>
      <c r="F2454" s="1" t="s">
        <v>22</v>
      </c>
      <c r="G2454" s="1" t="str">
        <f>CONCATENATE("LAGER BAŠIĆ D.O.O.,"," TRGOVAČKA 3,"," 10255 DONJI STUPNIK,"," OIB: 49617677906")</f>
        <v>LAGER BAŠIĆ D.O.O., TRGOVAČKA 3, 10255 DONJI STUPNIK, OIB: 49617677906</v>
      </c>
      <c r="H2454" s="7"/>
      <c r="I2454" s="8" t="s">
        <v>1402</v>
      </c>
      <c r="J2454" s="8" t="s">
        <v>400</v>
      </c>
      <c r="K2454" s="6" t="str">
        <f>"1.489.900,00"</f>
        <v>1.489.900,00</v>
      </c>
      <c r="L2454" s="6" t="str">
        <f>"372.475,00"</f>
        <v>372.475,00</v>
      </c>
      <c r="M2454" s="6" t="str">
        <f>"1.862.375,00"</f>
        <v>1.862.375,00</v>
      </c>
      <c r="N2454" s="8" t="s">
        <v>2090</v>
      </c>
      <c r="O2454" s="7"/>
      <c r="P2454" s="2" t="s">
        <v>6987</v>
      </c>
      <c r="Q2454" s="7"/>
      <c r="R2454" s="1"/>
      <c r="S2454" s="1" t="str">
        <f>"N-79/20"</f>
        <v>N-79/20</v>
      </c>
      <c r="T2454" s="1" t="s">
        <v>55</v>
      </c>
    </row>
    <row r="2455" spans="1:20" ht="51" x14ac:dyDescent="0.25">
      <c r="A2455" s="6">
        <v>2451</v>
      </c>
      <c r="B2455" s="1" t="str">
        <f>"2020-1956"</f>
        <v>2020-1956</v>
      </c>
      <c r="C2455" s="1" t="s">
        <v>2091</v>
      </c>
      <c r="D2455" s="1" t="s">
        <v>2092</v>
      </c>
      <c r="E2455" s="1" t="str">
        <f>"2020/S 0F2-0043977"</f>
        <v>2020/S 0F2-0043977</v>
      </c>
      <c r="F2455" s="1" t="s">
        <v>22</v>
      </c>
      <c r="G2455" s="1" t="str">
        <f>CONCATENATE("TIGRA D.O.O.,"," IVANIĆGRADSKA 22,"," 10000 ZAGREB,"," OIB: 2983006023")</f>
        <v>TIGRA D.O.O., IVANIĆGRADSKA 22, 10000 ZAGREB, OIB: 2983006023</v>
      </c>
      <c r="H2455" s="7"/>
      <c r="I2455" s="8" t="s">
        <v>1402</v>
      </c>
      <c r="J2455" s="8" t="s">
        <v>2093</v>
      </c>
      <c r="K2455" s="6" t="str">
        <f>"14.047.113,52"</f>
        <v>14.047.113,52</v>
      </c>
      <c r="L2455" s="6" t="str">
        <f>"3.511.778,38"</f>
        <v>3.511.778,38</v>
      </c>
      <c r="M2455" s="6" t="str">
        <f>"17.558.891,90"</f>
        <v>17.558.891,90</v>
      </c>
      <c r="N2455" s="8" t="s">
        <v>124</v>
      </c>
      <c r="O2455" s="7"/>
      <c r="P2455" s="2" t="s">
        <v>5614</v>
      </c>
      <c r="Q2455" s="7"/>
      <c r="R2455" s="1"/>
      <c r="S2455" s="1" t="str">
        <f>"N-80/20"</f>
        <v>N-80/20</v>
      </c>
      <c r="T2455" s="1" t="s">
        <v>55</v>
      </c>
    </row>
    <row r="2456" spans="1:20" ht="76.5" x14ac:dyDescent="0.25">
      <c r="A2456" s="6">
        <v>2452</v>
      </c>
      <c r="B2456" s="1" t="str">
        <f>"2020-455"</f>
        <v>2020-455</v>
      </c>
      <c r="C2456" s="1" t="s">
        <v>2094</v>
      </c>
      <c r="D2456" s="1" t="s">
        <v>2095</v>
      </c>
      <c r="E2456" s="1" t="str">
        <f>""</f>
        <v/>
      </c>
      <c r="F2456" s="1" t="s">
        <v>22</v>
      </c>
      <c r="G2456" s="1" t="str">
        <f>CONCATENATE("E.G.S.-ELEKTROGRADITELJSTVO D.O.O.,"," ALBERTA FORTISA 10,"," 10090 ZAGREB,"," OIB: 83439900916")</f>
        <v>E.G.S.-ELEKTROGRADITELJSTVO D.O.O., ALBERTA FORTISA 10, 10090 ZAGREB, OIB: 83439900916</v>
      </c>
      <c r="H2456" s="7"/>
      <c r="I2456" s="8" t="s">
        <v>1402</v>
      </c>
      <c r="J2456" s="8" t="s">
        <v>400</v>
      </c>
      <c r="K2456" s="6" t="str">
        <f>"632.112,90"</f>
        <v>632.112,90</v>
      </c>
      <c r="L2456" s="6" t="str">
        <f>"158.028,23"</f>
        <v>158.028,23</v>
      </c>
      <c r="M2456" s="6" t="str">
        <f>"790.141,13"</f>
        <v>790.141,13</v>
      </c>
      <c r="N2456" s="8" t="s">
        <v>126</v>
      </c>
      <c r="O2456" s="7"/>
      <c r="P2456" s="2" t="s">
        <v>6988</v>
      </c>
      <c r="Q2456" s="1"/>
      <c r="R2456" s="1"/>
      <c r="S2456" s="1" t="str">
        <f>"N-81/20"</f>
        <v>N-81/20</v>
      </c>
      <c r="T2456" s="1" t="s">
        <v>32</v>
      </c>
    </row>
    <row r="2457" spans="1:20" ht="76.5" x14ac:dyDescent="0.25">
      <c r="A2457" s="6">
        <v>2453</v>
      </c>
      <c r="B2457" s="1" t="str">
        <f>"2020-455"</f>
        <v>2020-455</v>
      </c>
      <c r="C2457" s="1" t="s">
        <v>2094</v>
      </c>
      <c r="D2457" s="1" t="s">
        <v>2095</v>
      </c>
      <c r="E2457" s="1" t="str">
        <f>""</f>
        <v/>
      </c>
      <c r="F2457" s="1" t="s">
        <v>1848</v>
      </c>
      <c r="G2457" s="1" t="str">
        <f>CONCATENATE("E.G.S.-ELEKTROGRADITELJSTVO D.O.O.,"," ALBERTA FORTISA 10,"," 10090 ZAGREB,"," OIB: 83439900916")</f>
        <v>E.G.S.-ELEKTROGRADITELJSTVO D.O.O., ALBERTA FORTISA 10, 10090 ZAGREB, OIB: 83439900916</v>
      </c>
      <c r="H2457" s="7"/>
      <c r="I2457" s="8" t="s">
        <v>1029</v>
      </c>
      <c r="J2457" s="8" t="s">
        <v>400</v>
      </c>
      <c r="K2457" s="6" t="str">
        <f>"632.112,90"</f>
        <v>632.112,90</v>
      </c>
      <c r="L2457" s="6" t="str">
        <f>"158.028,23"</f>
        <v>158.028,23</v>
      </c>
      <c r="M2457" s="6" t="str">
        <f>"790.141,13"</f>
        <v>790.141,13</v>
      </c>
      <c r="N2457" s="8" t="s">
        <v>124</v>
      </c>
      <c r="O2457" s="7"/>
      <c r="P2457" s="2" t="s">
        <v>5614</v>
      </c>
      <c r="Q2457" s="7"/>
      <c r="R2457" s="1"/>
      <c r="S2457" s="1" t="str">
        <f>"N-81/20-1"</f>
        <v>N-81/20-1</v>
      </c>
      <c r="T2457" s="1" t="s">
        <v>32</v>
      </c>
    </row>
    <row r="2458" spans="1:20" ht="63.75" x14ac:dyDescent="0.25">
      <c r="A2458" s="6">
        <v>2454</v>
      </c>
      <c r="B2458" s="1" t="str">
        <f>"2020-1701"</f>
        <v>2020-1701</v>
      </c>
      <c r="C2458" s="1" t="s">
        <v>2096</v>
      </c>
      <c r="D2458" s="1" t="s">
        <v>941</v>
      </c>
      <c r="E2458" s="1" t="str">
        <f>"2020/S F14-0046818"</f>
        <v>2020/S F14-0046818</v>
      </c>
      <c r="F2458" s="1" t="s">
        <v>22</v>
      </c>
      <c r="G2458" s="1" t="str">
        <f>CONCATENATE("BUBANJ - NISKOGRADNJA D.O.O.,"," KRUGE 7,"," 10000 ZAGREB,"," OIB: 29539944583")</f>
        <v>BUBANJ - NISKOGRADNJA D.O.O., KRUGE 7, 10000 ZAGREB, OIB: 29539944583</v>
      </c>
      <c r="H2458" s="1" t="str">
        <f>CONCATENATE("GEODIST D.O.O.,"," OIB: 709786718")</f>
        <v>GEODIST D.O.O., OIB: 709786718</v>
      </c>
      <c r="I2458" s="8" t="s">
        <v>2097</v>
      </c>
      <c r="J2458" s="8" t="s">
        <v>273</v>
      </c>
      <c r="K2458" s="6" t="str">
        <f>"2.421.925,50"</f>
        <v>2.421.925,50</v>
      </c>
      <c r="L2458" s="6" t="str">
        <f>"605.481,38"</f>
        <v>605.481,38</v>
      </c>
      <c r="M2458" s="6" t="str">
        <f>"3.027.406,88"</f>
        <v>3.027.406,88</v>
      </c>
      <c r="N2458" s="8" t="s">
        <v>124</v>
      </c>
      <c r="O2458" s="7"/>
      <c r="P2458" s="2" t="s">
        <v>5614</v>
      </c>
      <c r="Q2458" s="7"/>
      <c r="R2458" s="1"/>
      <c r="S2458" s="1" t="str">
        <f>"N-82/20"</f>
        <v>N-82/20</v>
      </c>
      <c r="T2458" s="1" t="s">
        <v>55</v>
      </c>
    </row>
    <row r="2459" spans="1:20" ht="63.75" x14ac:dyDescent="0.25">
      <c r="A2459" s="6">
        <v>2455</v>
      </c>
      <c r="B2459" s="1" t="str">
        <f>"2020-1701"</f>
        <v>2020-1701</v>
      </c>
      <c r="C2459" s="1" t="s">
        <v>2096</v>
      </c>
      <c r="D2459" s="1" t="s">
        <v>941</v>
      </c>
      <c r="E2459" s="1" t="str">
        <f>"2020/S F14-0046818"</f>
        <v>2020/S F14-0046818</v>
      </c>
      <c r="F2459" s="1" t="s">
        <v>1969</v>
      </c>
      <c r="G2459" s="1" t="str">
        <f>CONCATENATE("BUBANJ - NISKOGRADNJA D.O.O.,"," KRUGE 7,"," 10000 ZAGREB,"," OIB: 29539944583")</f>
        <v>BUBANJ - NISKOGRADNJA D.O.O., KRUGE 7, 10000 ZAGREB, OIB: 29539944583</v>
      </c>
      <c r="H2459" s="1" t="str">
        <f>CONCATENATE("GEODIST D.O.O.,"," OIB: 709786718")</f>
        <v>GEODIST D.O.O., OIB: 709786718</v>
      </c>
      <c r="I2459" s="8" t="s">
        <v>172</v>
      </c>
      <c r="J2459" s="8" t="s">
        <v>1155</v>
      </c>
      <c r="K2459" s="6" t="str">
        <f>""</f>
        <v/>
      </c>
      <c r="L2459" s="6" t="str">
        <f>"0,00"</f>
        <v>0,00</v>
      </c>
      <c r="M2459" s="6" t="str">
        <f>"0,00"</f>
        <v>0,00</v>
      </c>
      <c r="N2459" s="8" t="s">
        <v>124</v>
      </c>
      <c r="O2459" s="7"/>
      <c r="P2459" s="2" t="s">
        <v>5614</v>
      </c>
      <c r="Q2459" s="7"/>
      <c r="R2459" s="1"/>
      <c r="S2459" s="1" t="str">
        <f>"N-82/20-1"</f>
        <v>N-82/20-1</v>
      </c>
      <c r="T2459" s="1" t="s">
        <v>55</v>
      </c>
    </row>
    <row r="2460" spans="1:20" ht="63.75" x14ac:dyDescent="0.25">
      <c r="A2460" s="6">
        <v>2456</v>
      </c>
      <c r="B2460" s="1" t="str">
        <f>"2020-1105"</f>
        <v>2020-1105</v>
      </c>
      <c r="C2460" s="1" t="s">
        <v>2098</v>
      </c>
      <c r="D2460" s="1" t="s">
        <v>941</v>
      </c>
      <c r="E2460" s="1" t="str">
        <f>"2020/S 0F2-0042362"</f>
        <v>2020/S 0F2-0042362</v>
      </c>
      <c r="F2460" s="1" t="s">
        <v>22</v>
      </c>
      <c r="G2460" s="1" t="str">
        <f>CONCATENATE("TEHNO-ELEKTRO D.O.O.,"," AUGUSTA CESARCA 3,"," 31400 ĐAKOVO,"," OIB: 1165756075")</f>
        <v>TEHNO-ELEKTRO D.O.O., AUGUSTA CESARCA 3, 31400 ĐAKOVO, OIB: 1165756075</v>
      </c>
      <c r="H2460" s="7"/>
      <c r="I2460" s="8" t="s">
        <v>2077</v>
      </c>
      <c r="J2460" s="8" t="s">
        <v>748</v>
      </c>
      <c r="K2460" s="6" t="str">
        <f>"1.145.472,10"</f>
        <v>1.145.472,10</v>
      </c>
      <c r="L2460" s="6" t="str">
        <f>"286.368,03"</f>
        <v>286.368,03</v>
      </c>
      <c r="M2460" s="6" t="str">
        <f>"1.431.840,13"</f>
        <v>1.431.840,13</v>
      </c>
      <c r="N2460" s="8" t="s">
        <v>30</v>
      </c>
      <c r="O2460" s="7"/>
      <c r="P2460" s="2" t="s">
        <v>6989</v>
      </c>
      <c r="Q2460" s="7"/>
      <c r="R2460" s="1"/>
      <c r="S2460" s="1" t="str">
        <f>"N-83/20"</f>
        <v>N-83/20</v>
      </c>
      <c r="T2460" s="1" t="s">
        <v>55</v>
      </c>
    </row>
    <row r="2461" spans="1:20" ht="76.5" x14ac:dyDescent="0.25">
      <c r="A2461" s="6">
        <v>2457</v>
      </c>
      <c r="B2461" s="1" t="str">
        <f>"2020-1589"</f>
        <v>2020-1589</v>
      </c>
      <c r="C2461" s="1" t="s">
        <v>2099</v>
      </c>
      <c r="D2461" s="1" t="s">
        <v>941</v>
      </c>
      <c r="E2461" s="1" t="str">
        <f>"2021/S 0F2-0001570"</f>
        <v>2021/S 0F2-0001570</v>
      </c>
      <c r="F2461" s="1" t="s">
        <v>22</v>
      </c>
      <c r="G2461" s="1" t="str">
        <f>CONCATENATE("GRADEX &amp; CO D.O.O.,"," PAVLOVEC ZABOČKI,"," PRILAZ DR. FRANJE TUĐMANA 4,"," 49210 ZABOK,"," OIB: 73369080939")</f>
        <v>GRADEX &amp; CO D.O.O., PAVLOVEC ZABOČKI, PRILAZ DR. FRANJE TUĐMANA 4, 49210 ZABOK, OIB: 73369080939</v>
      </c>
      <c r="H2461" s="7"/>
      <c r="I2461" s="8" t="s">
        <v>1079</v>
      </c>
      <c r="J2461" s="8" t="s">
        <v>921</v>
      </c>
      <c r="K2461" s="6" t="str">
        <f>"394.785,65"</f>
        <v>394.785,65</v>
      </c>
      <c r="L2461" s="6" t="str">
        <f>"98.696,41"</f>
        <v>98.696,41</v>
      </c>
      <c r="M2461" s="6" t="str">
        <f>"493.482,06"</f>
        <v>493.482,06</v>
      </c>
      <c r="N2461" s="8" t="s">
        <v>124</v>
      </c>
      <c r="O2461" s="7"/>
      <c r="P2461" s="2" t="s">
        <v>5614</v>
      </c>
      <c r="Q2461" s="7"/>
      <c r="R2461" s="1"/>
      <c r="S2461" s="1" t="str">
        <f>"N-84/20"</f>
        <v>N-84/20</v>
      </c>
      <c r="T2461" s="1" t="s">
        <v>55</v>
      </c>
    </row>
    <row r="2462" spans="1:20" ht="63.75" x14ac:dyDescent="0.25">
      <c r="A2462" s="6">
        <v>2458</v>
      </c>
      <c r="B2462" s="1" t="str">
        <f>"2020-2973"</f>
        <v>2020-2973</v>
      </c>
      <c r="C2462" s="1" t="s">
        <v>2100</v>
      </c>
      <c r="D2462" s="1" t="s">
        <v>2035</v>
      </c>
      <c r="E2462" s="1" t="str">
        <f>"2020/S 0F2-0046954"</f>
        <v>2020/S 0F2-0046954</v>
      </c>
      <c r="F2462" s="1" t="s">
        <v>22</v>
      </c>
      <c r="G2462" s="1" t="str">
        <f>CONCATENATE("STORM COMPUTERS D.O.O.,"," SAVICA I. 127,"," 10000 ZAGREB,"," OIB: 20142998436")</f>
        <v>STORM COMPUTERS D.O.O., SAVICA I. 127, 10000 ZAGREB, OIB: 20142998436</v>
      </c>
      <c r="H2462" s="1" t="str">
        <f>CONCATENATE("AVOLA SOLUTIONS D.O.O.,"," OIB: 78288303547")</f>
        <v>AVOLA SOLUTIONS D.O.O., OIB: 78288303547</v>
      </c>
      <c r="I2462" s="8" t="s">
        <v>465</v>
      </c>
      <c r="J2462" s="8" t="s">
        <v>53</v>
      </c>
      <c r="K2462" s="6" t="str">
        <f>"539.276,00"</f>
        <v>539.276,00</v>
      </c>
      <c r="L2462" s="6" t="str">
        <f>"134.819,00"</f>
        <v>134.819,00</v>
      </c>
      <c r="M2462" s="6" t="str">
        <f>"674.095,00"</f>
        <v>674.095,00</v>
      </c>
      <c r="N2462" s="8" t="s">
        <v>2101</v>
      </c>
      <c r="O2462" s="7"/>
      <c r="P2462" s="2" t="s">
        <v>6990</v>
      </c>
      <c r="Q2462" s="7"/>
      <c r="R2462" s="1"/>
      <c r="S2462" s="1" t="str">
        <f>"N-85/20"</f>
        <v>N-85/20</v>
      </c>
      <c r="T2462" s="1" t="s">
        <v>452</v>
      </c>
    </row>
    <row r="2463" spans="1:20" ht="178.5" x14ac:dyDescent="0.25">
      <c r="A2463" s="6">
        <v>2459</v>
      </c>
      <c r="B2463" s="1" t="str">
        <f>"2020-238"</f>
        <v>2020-238</v>
      </c>
      <c r="C2463" s="1" t="s">
        <v>2102</v>
      </c>
      <c r="D2463" s="1" t="s">
        <v>2103</v>
      </c>
      <c r="E2463" s="1" t="str">
        <f>""</f>
        <v/>
      </c>
      <c r="F2463" s="1" t="s">
        <v>22</v>
      </c>
      <c r="G2463" s="1" t="str">
        <f>CONCATENATE("Zajednica ponuditelja",CHAR(10),"MONTER-STROJARSKE MONTAŽE D.D.,"," VELIMIRA ŠKORPIKA 28,"," 10000 ZAGREB,"," OIB: 13887374452FASEK  D.O.O. ZVONIGRADSKA 43,"," 10000 ZAGREB,"," OIB: 12310313467ARP LUČKO,"," D.O.O. LUČKO ROŽMANKA 14,"," 10250 ZAGREB,"," OIB: 91287071627")</f>
        <v>Zajednica ponuditelja
MONTER-STROJARSKE MONTAŽE D.D., VELIMIRA ŠKORPIKA 28, 10000 ZAGREB, OIB: 13887374452FASEK  D.O.O. ZVONIGRADSKA 43, 10000 ZAGREB, OIB: 12310313467ARP LUČKO, D.O.O. LUČKO ROŽMANKA 14, 10250 ZAGREB, OIB: 91287071627</v>
      </c>
      <c r="H2463" s="1" t="str">
        <f>CONCATENATE("PA-EL D.O.O.,"," OIB: 56740849320",CHAR(10),"FEROMIHIN D.O.O.,"," OIB: 34404573953")</f>
        <v>PA-EL D.O.O., OIB: 56740849320
FEROMIHIN D.O.O., OIB: 34404573953</v>
      </c>
      <c r="I2463" s="8" t="s">
        <v>187</v>
      </c>
      <c r="J2463" s="8" t="s">
        <v>403</v>
      </c>
      <c r="K2463" s="6" t="str">
        <f>"2.358.012,64"</f>
        <v>2.358.012,64</v>
      </c>
      <c r="L2463" s="6" t="str">
        <f>"589.503,16"</f>
        <v>589.503,16</v>
      </c>
      <c r="M2463" s="6" t="str">
        <f>"2.947.515,80"</f>
        <v>2.947.515,80</v>
      </c>
      <c r="N2463" s="8" t="s">
        <v>169</v>
      </c>
      <c r="O2463" s="7"/>
      <c r="P2463" s="2" t="s">
        <v>6991</v>
      </c>
      <c r="Q2463" s="7"/>
      <c r="R2463" s="1"/>
      <c r="S2463" s="1" t="str">
        <f>"N-86/20"</f>
        <v>N-86/20</v>
      </c>
      <c r="T2463" s="1" t="s">
        <v>452</v>
      </c>
    </row>
    <row r="2464" spans="1:20" ht="51" x14ac:dyDescent="0.25">
      <c r="A2464" s="6">
        <v>2460</v>
      </c>
      <c r="B2464" s="1" t="str">
        <f>"2020-2668"</f>
        <v>2020-2668</v>
      </c>
      <c r="C2464" s="1" t="s">
        <v>2104</v>
      </c>
      <c r="D2464" s="1" t="s">
        <v>1125</v>
      </c>
      <c r="E2464" s="1" t="str">
        <f>"2021/S 0F2-0010656"</f>
        <v>2021/S 0F2-0010656</v>
      </c>
      <c r="F2464" s="1" t="s">
        <v>22</v>
      </c>
      <c r="G2464" s="1" t="str">
        <f>CONCATENATE("VODOTEHNIKA D.D.,"," KOTURAŠKA CESTA 49,"," 10000 ZAGREB,"," OIB: 1763143132")</f>
        <v>VODOTEHNIKA D.D., KOTURAŠKA CESTA 49, 10000 ZAGREB, OIB: 1763143132</v>
      </c>
      <c r="H2464" s="7"/>
      <c r="I2464" s="8" t="s">
        <v>2105</v>
      </c>
      <c r="J2464" s="8" t="s">
        <v>1112</v>
      </c>
      <c r="K2464" s="6" t="str">
        <f>"4.965.989,91"</f>
        <v>4.965.989,91</v>
      </c>
      <c r="L2464" s="6" t="str">
        <f>"1.241.497,48"</f>
        <v>1.241.497,48</v>
      </c>
      <c r="M2464" s="6" t="str">
        <f>"6.207.487,39"</f>
        <v>6.207.487,39</v>
      </c>
      <c r="N2464" s="7" t="s">
        <v>2807</v>
      </c>
      <c r="O2464" s="9"/>
      <c r="P2464" s="2" t="s">
        <v>5614</v>
      </c>
      <c r="Q2464" s="7"/>
      <c r="R2464" s="1"/>
      <c r="S2464" s="1" t="str">
        <f>"N-87/20"</f>
        <v>N-87/20</v>
      </c>
      <c r="T2464" s="1" t="s">
        <v>55</v>
      </c>
    </row>
    <row r="2465" spans="1:20" ht="127.5" x14ac:dyDescent="0.25">
      <c r="A2465" s="6">
        <v>2461</v>
      </c>
      <c r="B2465" s="1" t="str">
        <f>"2020-2937"</f>
        <v>2020-2937</v>
      </c>
      <c r="C2465" s="1" t="s">
        <v>2106</v>
      </c>
      <c r="D2465" s="1" t="s">
        <v>2107</v>
      </c>
      <c r="E2465" s="1" t="str">
        <f>"2020/S 0F2-0044078"</f>
        <v>2020/S 0F2-0044078</v>
      </c>
      <c r="F2465" s="1" t="s">
        <v>22</v>
      </c>
      <c r="G2465" s="1" t="str">
        <f>CONCATENATE("EXPERT D.O.O.,"," TRG DR. F. TUĐMANA 15/I/1,"," 31500 NAŠICE,"," OIB: 89249500835")</f>
        <v>EXPERT D.O.O., TRG DR. F. TUĐMANA 15/I/1, 31500 NAŠICE, OIB: 89249500835</v>
      </c>
      <c r="H2465" s="1" t="str">
        <f>CONCATENATE("BAS D.O.O.,"," OIB: 56517096516",CHAR(10),"ANDINO D.O.O.,"," OIB: 69390117920",CHAR(10),"EPIK D.O.O.,"," OIB: 15822966955",CHAR(10),"REŠETAR D.O.O.,"," OIB: 18254316188")</f>
        <v>BAS D.O.O., OIB: 56517096516
ANDINO D.O.O., OIB: 69390117920
EPIK D.O.O., OIB: 15822966955
REŠETAR D.O.O., OIB: 18254316188</v>
      </c>
      <c r="I2465" s="8" t="s">
        <v>532</v>
      </c>
      <c r="J2465" s="8" t="s">
        <v>354</v>
      </c>
      <c r="K2465" s="6" t="str">
        <f>"382.000,00"</f>
        <v>382.000,00</v>
      </c>
      <c r="L2465" s="6" t="str">
        <f>"95.500,00"</f>
        <v>95.500,00</v>
      </c>
      <c r="M2465" s="6" t="str">
        <f>"477.500,00"</f>
        <v>477.500,00</v>
      </c>
      <c r="N2465" s="8" t="s">
        <v>120</v>
      </c>
      <c r="O2465" s="7"/>
      <c r="P2465" s="2" t="s">
        <v>6992</v>
      </c>
      <c r="Q2465" s="7"/>
      <c r="R2465" s="1"/>
      <c r="S2465" s="1" t="str">
        <f>"N-88/20"</f>
        <v>N-88/20</v>
      </c>
      <c r="T2465" s="1" t="s">
        <v>32</v>
      </c>
    </row>
    <row r="2466" spans="1:20" ht="51" x14ac:dyDescent="0.25">
      <c r="A2466" s="6">
        <v>2462</v>
      </c>
      <c r="B2466" s="1" t="str">
        <f>"2020-1404"</f>
        <v>2020-1404</v>
      </c>
      <c r="C2466" s="1" t="s">
        <v>2108</v>
      </c>
      <c r="D2466" s="1" t="s">
        <v>2109</v>
      </c>
      <c r="E2466" s="1" t="str">
        <f>"2020/S 0F2-0043983"</f>
        <v>2020/S 0F2-0043983</v>
      </c>
      <c r="F2466" s="1" t="s">
        <v>22</v>
      </c>
      <c r="G2466" s="1" t="str">
        <f>CONCATENATE("ELICOM D.O.O.,"," ŠTEFANOVEC 138,"," 10000 ZAGREB,"," OIB: 76370234816")</f>
        <v>ELICOM D.O.O., ŠTEFANOVEC 138, 10000 ZAGREB, OIB: 76370234816</v>
      </c>
      <c r="H2466" s="7"/>
      <c r="I2466" s="8" t="s">
        <v>2105</v>
      </c>
      <c r="J2466" s="8" t="s">
        <v>1112</v>
      </c>
      <c r="K2466" s="6" t="str">
        <f>"1.214.419,07"</f>
        <v>1.214.419,07</v>
      </c>
      <c r="L2466" s="6" t="str">
        <f>"303.604,77"</f>
        <v>303.604,77</v>
      </c>
      <c r="M2466" s="6" t="str">
        <f>"1.518.023,84"</f>
        <v>1.518.023,84</v>
      </c>
      <c r="N2466" s="8" t="s">
        <v>124</v>
      </c>
      <c r="O2466" s="7"/>
      <c r="P2466" s="2" t="s">
        <v>5614</v>
      </c>
      <c r="Q2466" s="7"/>
      <c r="R2466" s="1"/>
      <c r="S2466" s="1" t="str">
        <f>"N-89/20"</f>
        <v>N-89/20</v>
      </c>
      <c r="T2466" s="1" t="s">
        <v>55</v>
      </c>
    </row>
    <row r="2467" spans="1:20" ht="140.25" x14ac:dyDescent="0.25">
      <c r="A2467" s="6">
        <v>2463</v>
      </c>
      <c r="B2467" s="1" t="str">
        <f>"2020-2170"</f>
        <v>2020-2170</v>
      </c>
      <c r="C2467" s="1" t="s">
        <v>2110</v>
      </c>
      <c r="D2467" s="1" t="s">
        <v>941</v>
      </c>
      <c r="E2467" s="1" t="str">
        <f>"2021/S 0F2-0003576"</f>
        <v>2021/S 0F2-0003576</v>
      </c>
      <c r="F2467" s="1" t="s">
        <v>22</v>
      </c>
      <c r="G2467" s="1"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2467" s="1" t="str">
        <f>CONCATENATE("AMB GRADNJA D.O.O.,"," OIB: 8527265147")</f>
        <v>AMB GRADNJA D.O.O., OIB: 8527265147</v>
      </c>
      <c r="I2467" s="8" t="s">
        <v>2111</v>
      </c>
      <c r="J2467" s="8" t="s">
        <v>882</v>
      </c>
      <c r="K2467" s="6" t="str">
        <f>"1.134.381,51"</f>
        <v>1.134.381,51</v>
      </c>
      <c r="L2467" s="6" t="str">
        <f>"283.595,38"</f>
        <v>283.595,38</v>
      </c>
      <c r="M2467" s="6" t="str">
        <f>"1.417.976,89"</f>
        <v>1.417.976,89</v>
      </c>
      <c r="N2467" s="8" t="s">
        <v>124</v>
      </c>
      <c r="O2467" s="7"/>
      <c r="P2467" s="2" t="s">
        <v>5614</v>
      </c>
      <c r="Q2467" s="7"/>
      <c r="R2467" s="1"/>
      <c r="S2467" s="1" t="str">
        <f>"N-90/20"</f>
        <v>N-90/20</v>
      </c>
      <c r="T2467" s="1" t="s">
        <v>55</v>
      </c>
    </row>
    <row r="2468" spans="1:20" ht="140.25" x14ac:dyDescent="0.25">
      <c r="A2468" s="6">
        <v>2464</v>
      </c>
      <c r="B2468" s="1" t="str">
        <f>"2020-2170"</f>
        <v>2020-2170</v>
      </c>
      <c r="C2468" s="1" t="s">
        <v>2110</v>
      </c>
      <c r="D2468" s="1" t="s">
        <v>941</v>
      </c>
      <c r="E2468" s="1" t="str">
        <f>"2021/S 0F2-0003576"</f>
        <v>2021/S 0F2-0003576</v>
      </c>
      <c r="F2468" s="1" t="s">
        <v>1969</v>
      </c>
      <c r="G2468" s="1" t="str">
        <f>CONCATENATE("Zajednica ponuditelja",CHAR(10),"ORASAC GRADNJA D.O.O.,"," KAMENARSKI BREG 26A,"," 10000 ZAGREB,"," OIB: 91167486374DUPLICO D.O.O. SVETONEDELJSKA CESTA,"," KALINOVICA 18,"," 10436 RAKOV POTOK,"," OIB: 41025754642")</f>
        <v>Zajednica ponuditelja
ORASAC GRADNJA D.O.O., KAMENARSKI BREG 26A, 10000 ZAGREB, OIB: 91167486374DUPLICO D.O.O. SVETONEDELJSKA CESTA, KALINOVICA 18, 10436 RAKOV POTOK, OIB: 41025754642</v>
      </c>
      <c r="H2468" s="1" t="str">
        <f>CONCATENATE("AMB GRADNJA D.O.O.,"," OIB: 8527265147")</f>
        <v>AMB GRADNJA D.O.O., OIB: 8527265147</v>
      </c>
      <c r="I2468" s="8" t="s">
        <v>433</v>
      </c>
      <c r="J2468" s="8" t="s">
        <v>123</v>
      </c>
      <c r="K2468" s="6" t="str">
        <f>""</f>
        <v/>
      </c>
      <c r="L2468" s="6" t="str">
        <f>"0,00"</f>
        <v>0,00</v>
      </c>
      <c r="M2468" s="6" t="str">
        <f>"0,00"</f>
        <v>0,00</v>
      </c>
      <c r="N2468" s="8" t="s">
        <v>124</v>
      </c>
      <c r="O2468" s="7"/>
      <c r="P2468" s="2" t="s">
        <v>5614</v>
      </c>
      <c r="Q2468" s="7"/>
      <c r="R2468" s="1"/>
      <c r="S2468" s="1" t="str">
        <f>"N-90/20-1"</f>
        <v>N-90/20-1</v>
      </c>
      <c r="T2468" s="1" t="s">
        <v>55</v>
      </c>
    </row>
    <row r="2469" spans="1:20" ht="76.5" x14ac:dyDescent="0.25">
      <c r="A2469" s="6">
        <v>2465</v>
      </c>
      <c r="B2469" s="1" t="str">
        <f>"2020-1733"</f>
        <v>2020-1733</v>
      </c>
      <c r="C2469" s="1" t="s">
        <v>2112</v>
      </c>
      <c r="D2469" s="1" t="s">
        <v>2113</v>
      </c>
      <c r="E2469" s="1" t="str">
        <f>"2020/S 0F2-0041017"</f>
        <v>2020/S 0F2-0041017</v>
      </c>
      <c r="F2469" s="1" t="s">
        <v>22</v>
      </c>
      <c r="G2469" s="1" t="str">
        <f>CONCATENATE("MEŠIĆ COM D.O.O.,"," STROJARSKA 22,"," 10 000 ZAGREB,"," OIB: 16308837296")</f>
        <v>MEŠIĆ COM D.O.O., STROJARSKA 22, 10 000 ZAGREB, OIB: 16308837296</v>
      </c>
      <c r="H2469" s="1" t="str">
        <f>CONCATENATE("JID ELECTRIC D.O.O.,"," OIB: 95636092646",CHAR(10),"IS-GRIJANJE D.O.O.,"," OIB: 20874782919")</f>
        <v>JID ELECTRIC D.O.O., OIB: 95636092646
IS-GRIJANJE D.O.O., OIB: 20874782919</v>
      </c>
      <c r="I2469" s="8" t="s">
        <v>2114</v>
      </c>
      <c r="J2469" s="8" t="s">
        <v>269</v>
      </c>
      <c r="K2469" s="6" t="str">
        <f>"25.635.255,66"</f>
        <v>25.635.255,66</v>
      </c>
      <c r="L2469" s="6" t="str">
        <f>"6.408.813,92"</f>
        <v>6.408.813,92</v>
      </c>
      <c r="M2469" s="6" t="str">
        <f>"32.044.069,58"</f>
        <v>32.044.069,58</v>
      </c>
      <c r="N2469" s="7"/>
      <c r="O2469" s="9" t="s">
        <v>5608</v>
      </c>
      <c r="P2469" s="2" t="s">
        <v>5614</v>
      </c>
      <c r="Q2469" s="7"/>
      <c r="R2469" s="1"/>
      <c r="S2469" s="1" t="str">
        <f>"N-100/20"</f>
        <v>N-100/20</v>
      </c>
      <c r="T2469" s="1" t="s">
        <v>55</v>
      </c>
    </row>
    <row r="2470" spans="1:20" ht="51" x14ac:dyDescent="0.25">
      <c r="A2470" s="6">
        <v>2466</v>
      </c>
      <c r="B2470" s="1" t="str">
        <f>"2020-989"</f>
        <v>2020-989</v>
      </c>
      <c r="C2470" s="1" t="s">
        <v>2115</v>
      </c>
      <c r="D2470" s="1" t="s">
        <v>2116</v>
      </c>
      <c r="E2470" s="1" t="str">
        <f>"2020/S 0F2-0045599"</f>
        <v>2020/S 0F2-0045599</v>
      </c>
      <c r="F2470" s="1" t="s">
        <v>22</v>
      </c>
      <c r="G2470" s="1" t="str">
        <f>CONCATENATE("TRILIX D.O.O.,"," SAVSKA 32,"," 10000 ZAGREB,"," OIB: 23149457295")</f>
        <v>TRILIX D.O.O., SAVSKA 32, 10000 ZAGREB, OIB: 23149457295</v>
      </c>
      <c r="H2470" s="7"/>
      <c r="I2470" s="8" t="s">
        <v>1356</v>
      </c>
      <c r="J2470" s="8" t="s">
        <v>2084</v>
      </c>
      <c r="K2470" s="6" t="str">
        <f>"400.000,00"</f>
        <v>400.000,00</v>
      </c>
      <c r="L2470" s="6" t="str">
        <f>"100.000,00"</f>
        <v>100.000,00</v>
      </c>
      <c r="M2470" s="6" t="str">
        <f>"500.000,00"</f>
        <v>500.000,00</v>
      </c>
      <c r="N2470" s="8" t="s">
        <v>898</v>
      </c>
      <c r="O2470" s="7"/>
      <c r="P2470" s="2" t="s">
        <v>6993</v>
      </c>
      <c r="Q2470" s="7"/>
      <c r="R2470" s="1"/>
      <c r="S2470" s="1" t="str">
        <f>"N-103/20"</f>
        <v>N-103/20</v>
      </c>
      <c r="T2470" s="1" t="s">
        <v>32</v>
      </c>
    </row>
    <row r="2471" spans="1:20" ht="51" x14ac:dyDescent="0.25">
      <c r="A2471" s="6">
        <v>2467</v>
      </c>
      <c r="B2471" s="1" t="str">
        <f>"2020-1433"</f>
        <v>2020-1433</v>
      </c>
      <c r="C2471" s="1" t="s">
        <v>2117</v>
      </c>
      <c r="D2471" s="1" t="s">
        <v>2118</v>
      </c>
      <c r="E2471" s="1" t="str">
        <f>"2021/S 0F2-0002422"</f>
        <v>2021/S 0F2-0002422</v>
      </c>
      <c r="F2471" s="1" t="s">
        <v>22</v>
      </c>
      <c r="G2471" s="1" t="str">
        <f>CONCATENATE("HOLOSYS D.O.O.,"," KOVINSKA 4 A,"," 10000 ZAGREB,"," OIB: 79084286928")</f>
        <v>HOLOSYS D.O.O., KOVINSKA 4 A, 10000 ZAGREB, OIB: 79084286928</v>
      </c>
      <c r="H2471" s="7"/>
      <c r="I2471" s="8" t="s">
        <v>1350</v>
      </c>
      <c r="J2471" s="8" t="s">
        <v>947</v>
      </c>
      <c r="K2471" s="6" t="str">
        <f>"771.048,40"</f>
        <v>771.048,40</v>
      </c>
      <c r="L2471" s="6" t="str">
        <f>"192.762,10"</f>
        <v>192.762,10</v>
      </c>
      <c r="M2471" s="6" t="str">
        <f>"963.810,50"</f>
        <v>963.810,50</v>
      </c>
      <c r="N2471" s="8" t="s">
        <v>163</v>
      </c>
      <c r="O2471" s="7"/>
      <c r="P2471" s="2" t="s">
        <v>6994</v>
      </c>
      <c r="Q2471" s="1" t="s">
        <v>5601</v>
      </c>
      <c r="R2471" s="1"/>
      <c r="S2471" s="1" t="str">
        <f>"N-104/20"</f>
        <v>N-104/20</v>
      </c>
      <c r="T2471" s="1" t="s">
        <v>452</v>
      </c>
    </row>
    <row r="2472" spans="1:20" ht="51" x14ac:dyDescent="0.25">
      <c r="A2472" s="6">
        <v>2468</v>
      </c>
      <c r="B2472" s="1" t="str">
        <f>"2020-2264"</f>
        <v>2020-2264</v>
      </c>
      <c r="C2472" s="1" t="s">
        <v>2119</v>
      </c>
      <c r="D2472" s="1" t="s">
        <v>867</v>
      </c>
      <c r="E2472" s="1" t="str">
        <f>"2021/S F14-0005632"</f>
        <v>2021/S F14-0005632</v>
      </c>
      <c r="F2472" s="1" t="s">
        <v>22</v>
      </c>
      <c r="G2472" s="1" t="str">
        <f>CONCATENATE("ENDRESS + HAUSER D.O.O.,"," JARUŠČICA 23,"," 10000 ZAGREB,"," OIB: 7265450036")</f>
        <v>ENDRESS + HAUSER D.O.O., JARUŠČICA 23, 10000 ZAGREB, OIB: 7265450036</v>
      </c>
      <c r="H2472" s="7"/>
      <c r="I2472" s="8" t="s">
        <v>598</v>
      </c>
      <c r="J2472" s="8" t="s">
        <v>2120</v>
      </c>
      <c r="K2472" s="6" t="str">
        <f>"695.347,01"</f>
        <v>695.347,01</v>
      </c>
      <c r="L2472" s="6" t="str">
        <f>"173.836,75"</f>
        <v>173.836,75</v>
      </c>
      <c r="M2472" s="6" t="str">
        <f>"869.183,76"</f>
        <v>869.183,76</v>
      </c>
      <c r="N2472" s="8" t="s">
        <v>124</v>
      </c>
      <c r="O2472" s="7"/>
      <c r="P2472" s="2" t="s">
        <v>5614</v>
      </c>
      <c r="Q2472" s="7"/>
      <c r="R2472" s="1"/>
      <c r="S2472" s="1" t="str">
        <f>"N-105/20"</f>
        <v>N-105/20</v>
      </c>
      <c r="T2472" s="1" t="s">
        <v>55</v>
      </c>
    </row>
    <row r="2473" spans="1:20" ht="127.5" x14ac:dyDescent="0.25">
      <c r="A2473" s="6">
        <v>2469</v>
      </c>
      <c r="B2473" s="1" t="str">
        <f>"2020-134"</f>
        <v>2020-134</v>
      </c>
      <c r="C2473" s="1" t="s">
        <v>2121</v>
      </c>
      <c r="D2473" s="1" t="s">
        <v>2122</v>
      </c>
      <c r="E2473" s="1" t="str">
        <f>"2020/S 0F2-0041044"</f>
        <v>2020/S 0F2-0041044</v>
      </c>
      <c r="F2473" s="1" t="s">
        <v>22</v>
      </c>
      <c r="G2473" s="1" t="str">
        <f>CONCATENATE("DUPLICO D.O.O.,"," SVETONEDELJSKA CESTA,"," KALINOVICA 18,"," 10436 RAKOV POTOK,"," OIB: 41025754642")</f>
        <v>DUPLICO D.O.O., SVETONEDELJSKA CESTA, KALINOVICA 18, 10436 RAKOV POTOK, OIB: 41025754642</v>
      </c>
      <c r="H2473" s="1" t="str">
        <f>CONCATENATE("SCHNEIDER ELECTRIC ESPANA SA,"," OIB: ESA08008450",CHAR(10),"SCHNEIDER ELECTRIC D.O.O.,"," OIB: 23810712767",CHAR(10),"PROTOK D.O.O.,"," OIB: 47432555")</f>
        <v>SCHNEIDER ELECTRIC ESPANA SA, OIB: ESA08008450
SCHNEIDER ELECTRIC D.O.O., OIB: 23810712767
PROTOK D.O.O., OIB: 47432555</v>
      </c>
      <c r="I2473" s="8" t="s">
        <v>431</v>
      </c>
      <c r="J2473" s="8" t="s">
        <v>2123</v>
      </c>
      <c r="K2473" s="6" t="str">
        <f>"12.470.000,00"</f>
        <v>12.470.000,00</v>
      </c>
      <c r="L2473" s="6" t="str">
        <f>"3.117.500,00"</f>
        <v>3.117.500,00</v>
      </c>
      <c r="M2473" s="6" t="str">
        <f>"15.587.500,00"</f>
        <v>15.587.500,00</v>
      </c>
      <c r="N2473" s="8" t="s">
        <v>124</v>
      </c>
      <c r="O2473" s="7"/>
      <c r="P2473" s="2" t="s">
        <v>5614</v>
      </c>
      <c r="Q2473" s="7"/>
      <c r="R2473" s="1"/>
      <c r="S2473" s="1" t="str">
        <f>"N-106/20"</f>
        <v>N-106/20</v>
      </c>
      <c r="T2473" s="1" t="s">
        <v>55</v>
      </c>
    </row>
    <row r="2474" spans="1:20" ht="114.75" x14ac:dyDescent="0.25">
      <c r="A2474" s="6">
        <v>2470</v>
      </c>
      <c r="B2474" s="1" t="str">
        <f>"2021-5"</f>
        <v>2021-5</v>
      </c>
      <c r="C2474" s="1" t="s">
        <v>2124</v>
      </c>
      <c r="D2474" s="1" t="s">
        <v>467</v>
      </c>
      <c r="E2474" s="1" t="str">
        <f>""</f>
        <v/>
      </c>
      <c r="F2474" s="1" t="s">
        <v>22</v>
      </c>
      <c r="G2474" s="1"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474" s="7"/>
      <c r="I2474" s="8" t="s">
        <v>1429</v>
      </c>
      <c r="J2474" s="8" t="s">
        <v>855</v>
      </c>
      <c r="K2474" s="6" t="str">
        <f>"969.960,00"</f>
        <v>969.960,00</v>
      </c>
      <c r="L2474" s="6" t="str">
        <f>"242.490,00"</f>
        <v>242.490,00</v>
      </c>
      <c r="M2474" s="6" t="str">
        <f>"1.212.450,00"</f>
        <v>1.212.450,00</v>
      </c>
      <c r="N2474" s="8" t="s">
        <v>53</v>
      </c>
      <c r="O2474" s="7"/>
      <c r="P2474" s="2" t="s">
        <v>6995</v>
      </c>
      <c r="Q2474" s="7"/>
      <c r="R2474" s="1"/>
      <c r="S2474" s="1" t="str">
        <f>"N-1/21"</f>
        <v>N-1/21</v>
      </c>
      <c r="T2474" s="1" t="s">
        <v>452</v>
      </c>
    </row>
    <row r="2475" spans="1:20" ht="51" x14ac:dyDescent="0.25">
      <c r="A2475" s="6">
        <v>2471</v>
      </c>
      <c r="B2475" s="1" t="str">
        <f>"2021-30"</f>
        <v>2021-30</v>
      </c>
      <c r="C2475" s="1" t="s">
        <v>2125</v>
      </c>
      <c r="D2475" s="1" t="s">
        <v>2126</v>
      </c>
      <c r="E2475" s="1" t="str">
        <f>"2021/S 0F2-0010725"</f>
        <v>2021/S 0F2-0010725</v>
      </c>
      <c r="F2475" s="1" t="s">
        <v>22</v>
      </c>
      <c r="G2475" s="1" t="str">
        <f>CONCATENATE("ELOB D.O.O.,"," AVENIJA V. HOLJEVCA 20,"," 10020 ZAGREB,"," OIB: 90957063004")</f>
        <v>ELOB D.O.O., AVENIJA V. HOLJEVCA 20, 10020 ZAGREB, OIB: 90957063004</v>
      </c>
      <c r="H2475" s="7"/>
      <c r="I2475" s="8" t="s">
        <v>1052</v>
      </c>
      <c r="J2475" s="8" t="s">
        <v>2127</v>
      </c>
      <c r="K2475" s="6" t="str">
        <f>"313.774,00"</f>
        <v>313.774,00</v>
      </c>
      <c r="L2475" s="6" t="str">
        <f>"78.443,50"</f>
        <v>78.443,50</v>
      </c>
      <c r="M2475" s="6" t="str">
        <f>"392.217,50"</f>
        <v>392.217,50</v>
      </c>
      <c r="N2475" s="8" t="s">
        <v>273</v>
      </c>
      <c r="O2475" s="7"/>
      <c r="P2475" s="2" t="s">
        <v>6996</v>
      </c>
      <c r="Q2475" s="7"/>
      <c r="R2475" s="1"/>
      <c r="S2475" s="1" t="str">
        <f>"N-2/21"</f>
        <v>N-2/21</v>
      </c>
      <c r="T2475" s="1" t="s">
        <v>452</v>
      </c>
    </row>
    <row r="2476" spans="1:20" ht="63.75" x14ac:dyDescent="0.25">
      <c r="A2476" s="6">
        <v>2472</v>
      </c>
      <c r="B2476" s="1" t="str">
        <f>"2021-2114"</f>
        <v>2021-2114</v>
      </c>
      <c r="C2476" s="1" t="s">
        <v>2128</v>
      </c>
      <c r="D2476" s="1" t="s">
        <v>1979</v>
      </c>
      <c r="E2476" s="1" t="str">
        <f>"2021/S 0F2-0015153"</f>
        <v>2021/S 0F2-0015153</v>
      </c>
      <c r="F2476" s="1" t="s">
        <v>22</v>
      </c>
      <c r="G2476" s="1" t="str">
        <f>CONCATENATE("IPZ D.D.,"," PRILAZ BARUNA FILIPOVIĆA 21,"," 10000 ZAGREB,"," OIB: 9481097846")</f>
        <v>IPZ D.D., PRILAZ BARUNA FILIPOVIĆA 21, 10000 ZAGREB, OIB: 9481097846</v>
      </c>
      <c r="H2476" s="1" t="str">
        <f>CONCATENATE("GEODEZIJA D.O.O.,"," OIB: 0369872283")</f>
        <v>GEODEZIJA D.O.O., OIB: 0369872283</v>
      </c>
      <c r="I2476" s="8" t="s">
        <v>1889</v>
      </c>
      <c r="J2476" s="8" t="s">
        <v>1890</v>
      </c>
      <c r="K2476" s="6" t="str">
        <f>"121.000,00"</f>
        <v>121.000,00</v>
      </c>
      <c r="L2476" s="6" t="str">
        <f>"30.250,00"</f>
        <v>30.250,00</v>
      </c>
      <c r="M2476" s="6" t="str">
        <f>"151.250,00"</f>
        <v>151.250,00</v>
      </c>
      <c r="N2476" s="8" t="s">
        <v>124</v>
      </c>
      <c r="O2476" s="7"/>
      <c r="P2476" s="2" t="s">
        <v>5614</v>
      </c>
      <c r="Q2476" s="7"/>
      <c r="R2476" s="1"/>
      <c r="S2476" s="1" t="str">
        <f>"N-4/21"</f>
        <v>N-4/21</v>
      </c>
      <c r="T2476" s="1" t="s">
        <v>55</v>
      </c>
    </row>
    <row r="2477" spans="1:20" ht="63.75" x14ac:dyDescent="0.25">
      <c r="A2477" s="6">
        <v>2473</v>
      </c>
      <c r="B2477" s="1" t="str">
        <f>"2021-1850"</f>
        <v>2021-1850</v>
      </c>
      <c r="C2477" s="1" t="s">
        <v>2129</v>
      </c>
      <c r="D2477" s="1" t="s">
        <v>2130</v>
      </c>
      <c r="E2477" s="1" t="str">
        <f>"2021/S 0F2-0013437"</f>
        <v>2021/S 0F2-0013437</v>
      </c>
      <c r="F2477" s="1" t="s">
        <v>22</v>
      </c>
      <c r="G2477" s="1" t="str">
        <f>CONCATENATE("DIVERTO D.O.O.,"," GRADA MAINZA 19,"," 10000 ZAGREB,"," OIB: 13965292158")</f>
        <v>DIVERTO D.O.O., GRADA MAINZA 19, 10000 ZAGREB, OIB: 13965292158</v>
      </c>
      <c r="H2477" s="7"/>
      <c r="I2477" s="8" t="s">
        <v>872</v>
      </c>
      <c r="J2477" s="8" t="s">
        <v>852</v>
      </c>
      <c r="K2477" s="6" t="str">
        <f>"620.700,00"</f>
        <v>620.700,00</v>
      </c>
      <c r="L2477" s="6" t="str">
        <f>"155.175,00"</f>
        <v>155.175,00</v>
      </c>
      <c r="M2477" s="6" t="str">
        <f>"775.875,00"</f>
        <v>775.875,00</v>
      </c>
      <c r="N2477" s="8" t="s">
        <v>169</v>
      </c>
      <c r="O2477" s="7"/>
      <c r="P2477" s="2" t="s">
        <v>6997</v>
      </c>
      <c r="Q2477" s="7"/>
      <c r="R2477" s="1"/>
      <c r="S2477" s="1" t="str">
        <f>"N-5/21"</f>
        <v>N-5/21</v>
      </c>
      <c r="T2477" s="1" t="s">
        <v>452</v>
      </c>
    </row>
    <row r="2478" spans="1:20" ht="51" x14ac:dyDescent="0.25">
      <c r="A2478" s="6">
        <v>2474</v>
      </c>
      <c r="B2478" s="1" t="str">
        <f>"2021-572"</f>
        <v>2021-572</v>
      </c>
      <c r="C2478" s="1" t="s">
        <v>2131</v>
      </c>
      <c r="D2478" s="1" t="s">
        <v>2132</v>
      </c>
      <c r="E2478" s="1" t="str">
        <f>"2021/S 0F2-0015168"</f>
        <v>2021/S 0F2-0015168</v>
      </c>
      <c r="F2478" s="1" t="s">
        <v>22</v>
      </c>
      <c r="G2478" s="1" t="str">
        <f>CONCATENATE("ANDEL D.O.O.,"," MAJSTORSKA 1/G,"," 10000 ZAGREB,"," OIB: 81891996613")</f>
        <v>ANDEL D.O.O., MAJSTORSKA 1/G, 10000 ZAGREB, OIB: 81891996613</v>
      </c>
      <c r="H2478" s="7"/>
      <c r="I2478" s="8" t="s">
        <v>872</v>
      </c>
      <c r="J2478" s="8" t="s">
        <v>852</v>
      </c>
      <c r="K2478" s="6" t="str">
        <f>"828.340,00"</f>
        <v>828.340,00</v>
      </c>
      <c r="L2478" s="6" t="str">
        <f>"207.085,00"</f>
        <v>207.085,00</v>
      </c>
      <c r="M2478" s="6" t="str">
        <f>"1.035.425,00"</f>
        <v>1.035.425,00</v>
      </c>
      <c r="N2478" s="8" t="s">
        <v>226</v>
      </c>
      <c r="O2478" s="7"/>
      <c r="P2478" s="2" t="s">
        <v>6998</v>
      </c>
      <c r="Q2478" s="7"/>
      <c r="R2478" s="1"/>
      <c r="S2478" s="1" t="str">
        <f>"N-6/21"</f>
        <v>N-6/21</v>
      </c>
      <c r="T2478" s="1" t="s">
        <v>452</v>
      </c>
    </row>
    <row r="2479" spans="1:20" ht="153" x14ac:dyDescent="0.25">
      <c r="A2479" s="6">
        <v>2475</v>
      </c>
      <c r="B2479" s="1" t="str">
        <f>"2021-2040"</f>
        <v>2021-2040</v>
      </c>
      <c r="C2479" s="1" t="s">
        <v>2133</v>
      </c>
      <c r="D2479" s="1" t="s">
        <v>2068</v>
      </c>
      <c r="E2479" s="1" t="str">
        <f>"2021/S 0F2-0017184"</f>
        <v>2021/S 0F2-0017184</v>
      </c>
      <c r="F2479" s="1" t="s">
        <v>22</v>
      </c>
      <c r="G2479" s="1"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H2479" s="1" t="str">
        <f>CONCATENATE("DAGOR D.O.O.,"," OIB: 50966188893")</f>
        <v>DAGOR D.O.O., OIB: 50966188893</v>
      </c>
      <c r="I2479" s="8" t="s">
        <v>2134</v>
      </c>
      <c r="J2479" s="8" t="s">
        <v>2135</v>
      </c>
      <c r="K2479" s="6" t="str">
        <f>"7.197.300,50"</f>
        <v>7.197.300,50</v>
      </c>
      <c r="L2479" s="6" t="str">
        <f>"1.799.325,13"</f>
        <v>1.799.325,13</v>
      </c>
      <c r="M2479" s="6" t="str">
        <f>"8.996.625,63"</f>
        <v>8.996.625,63</v>
      </c>
      <c r="N2479" s="8" t="s">
        <v>124</v>
      </c>
      <c r="O2479" s="7"/>
      <c r="P2479" s="2" t="s">
        <v>5614</v>
      </c>
      <c r="Q2479" s="7"/>
      <c r="R2479" s="1"/>
      <c r="S2479" s="1" t="str">
        <f>"N-7/21"</f>
        <v>N-7/21</v>
      </c>
      <c r="T2479" s="1" t="s">
        <v>55</v>
      </c>
    </row>
    <row r="2480" spans="1:20" ht="153" x14ac:dyDescent="0.25">
      <c r="A2480" s="6">
        <v>2476</v>
      </c>
      <c r="B2480" s="1" t="str">
        <f>"2021-2040"</f>
        <v>2021-2040</v>
      </c>
      <c r="C2480" s="1" t="s">
        <v>2133</v>
      </c>
      <c r="D2480" s="1" t="s">
        <v>2068</v>
      </c>
      <c r="E2480" s="1" t="str">
        <f>"2021/S 0F2-0017184"</f>
        <v>2021/S 0F2-0017184</v>
      </c>
      <c r="F2480" s="1" t="s">
        <v>1848</v>
      </c>
      <c r="G2480" s="1" t="str">
        <f>CONCATENATE("Zajednica ponuditelja",CHAR(10),"SKEN - MONT D.O.O.,"," GAJEVA 62,"," 10430 SAMOBOR,"," OIB: 29785127309AMB GRADNJA D.O.O. PRILAZ BARUNA FILIPOVIĆA 15,"," 10000 ZAGREB,"," OIB: 85272651470KINDER GRADNJA D.O.O. SELSKA 57,"," 10360 SESVETE,"," OIB: 71001411174")</f>
        <v>Zajednica ponuditelja
SKEN - MONT D.O.O., GAJEVA 62, 10430 SAMOBOR, OIB: 29785127309AMB GRADNJA D.O.O. PRILAZ BARUNA FILIPOVIĆA 15, 10000 ZAGREB, OIB: 85272651470KINDER GRADNJA D.O.O. SELSKA 57, 10360 SESVETE, OIB: 71001411174</v>
      </c>
      <c r="H2480" s="1" t="str">
        <f>CONCATENATE("DAGOR D.O.O.,"," OIB: 50966188893")</f>
        <v>DAGOR D.O.O., OIB: 50966188893</v>
      </c>
      <c r="I2480" s="8" t="s">
        <v>93</v>
      </c>
      <c r="J2480" s="8" t="s">
        <v>2135</v>
      </c>
      <c r="K2480" s="6" t="str">
        <f>"7.197.300,50"</f>
        <v>7.197.300,50</v>
      </c>
      <c r="L2480" s="6" t="str">
        <f>"1.799.325,13"</f>
        <v>1.799.325,13</v>
      </c>
      <c r="M2480" s="6" t="str">
        <f>"8.996.625,63"</f>
        <v>8.996.625,63</v>
      </c>
      <c r="N2480" s="8" t="s">
        <v>124</v>
      </c>
      <c r="O2480" s="7"/>
      <c r="P2480" s="2" t="s">
        <v>5614</v>
      </c>
      <c r="Q2480" s="7"/>
      <c r="R2480" s="1"/>
      <c r="S2480" s="1" t="str">
        <f>"N-7/21-1"</f>
        <v>N-7/21-1</v>
      </c>
      <c r="T2480" s="1" t="s">
        <v>55</v>
      </c>
    </row>
    <row r="2481" spans="1:20" ht="63.75" x14ac:dyDescent="0.25">
      <c r="A2481" s="6">
        <v>2477</v>
      </c>
      <c r="B2481" s="1" t="str">
        <f>"2021-2009"</f>
        <v>2021-2009</v>
      </c>
      <c r="C2481" s="1" t="s">
        <v>2136</v>
      </c>
      <c r="D2481" s="1" t="s">
        <v>941</v>
      </c>
      <c r="E2481" s="1" t="str">
        <f>"2021/S 0F2-0014879"</f>
        <v>2021/S 0F2-0014879</v>
      </c>
      <c r="F2481" s="1" t="s">
        <v>22</v>
      </c>
      <c r="G2481" s="1" t="str">
        <f>CONCATENATE("MONTER-STROJARSKE MONTAŽE D.D.,"," VELIMIRA ŠKORPIKA 28,"," 10000 ZAGREB,"," OIB: 13887374452")</f>
        <v>MONTER-STROJARSKE MONTAŽE D.D., VELIMIRA ŠKORPIKA 28, 10000 ZAGREB, OIB: 13887374452</v>
      </c>
      <c r="H2481" s="1" t="str">
        <f>CONCATENATE("GEOANDA D.O.O.,"," OIB: 70840886172")</f>
        <v>GEOANDA D.O.O., OIB: 70840886172</v>
      </c>
      <c r="I2481" s="8" t="s">
        <v>1356</v>
      </c>
      <c r="J2481" s="8" t="s">
        <v>2084</v>
      </c>
      <c r="K2481" s="6" t="str">
        <f>"1.927.276,81"</f>
        <v>1.927.276,81</v>
      </c>
      <c r="L2481" s="6" t="str">
        <f>"481.819,20"</f>
        <v>481.819,20</v>
      </c>
      <c r="M2481" s="6" t="str">
        <f>"2.409.096,01"</f>
        <v>2.409.096,01</v>
      </c>
      <c r="N2481" s="8" t="s">
        <v>124</v>
      </c>
      <c r="O2481" s="7"/>
      <c r="P2481" s="2" t="s">
        <v>5614</v>
      </c>
      <c r="Q2481" s="7"/>
      <c r="R2481" s="1"/>
      <c r="S2481" s="1" t="str">
        <f>"N-8/21"</f>
        <v>N-8/21</v>
      </c>
      <c r="T2481" s="1" t="s">
        <v>55</v>
      </c>
    </row>
    <row r="2482" spans="1:20" ht="76.5" x14ac:dyDescent="0.25">
      <c r="A2482" s="6">
        <v>2478</v>
      </c>
      <c r="B2482" s="1" t="str">
        <f>"2021-2170"</f>
        <v>2021-2170</v>
      </c>
      <c r="C2482" s="1" t="s">
        <v>2137</v>
      </c>
      <c r="D2482" s="1" t="s">
        <v>2015</v>
      </c>
      <c r="E2482" s="1" t="str">
        <f>""</f>
        <v/>
      </c>
      <c r="F2482" s="1" t="s">
        <v>1040</v>
      </c>
      <c r="G2482" s="1" t="str">
        <f>CONCATENATE("KONČAR - INŽENJERING ZA ENERGETIKU I TRANSPORT D.D.,"," FALLEROVO ŠETALIŠTE 22,"," 10000 ZAGREB,"," OIB: 29898970552")</f>
        <v>KONČAR - INŽENJERING ZA ENERGETIKU I TRANSPORT D.D., FALLEROVO ŠETALIŠTE 22, 10000 ZAGREB, OIB: 29898970552</v>
      </c>
      <c r="H2482" s="7"/>
      <c r="I2482" s="8" t="s">
        <v>1929</v>
      </c>
      <c r="J2482" s="8" t="s">
        <v>287</v>
      </c>
      <c r="K2482" s="6" t="str">
        <f>"369.600,00"</f>
        <v>369.600,00</v>
      </c>
      <c r="L2482" s="6" t="str">
        <f>"92.400,00"</f>
        <v>92.400,00</v>
      </c>
      <c r="M2482" s="6" t="str">
        <f>"462.000,00"</f>
        <v>462.000,00</v>
      </c>
      <c r="N2482" s="8" t="s">
        <v>169</v>
      </c>
      <c r="O2482" s="7"/>
      <c r="P2482" s="2" t="s">
        <v>6999</v>
      </c>
      <c r="Q2482" s="7"/>
      <c r="R2482" s="1"/>
      <c r="S2482" s="1" t="str">
        <f>"N-9/21"</f>
        <v>N-9/21</v>
      </c>
      <c r="T2482" s="1" t="s">
        <v>452</v>
      </c>
    </row>
    <row r="2483" spans="1:20" ht="63.75" x14ac:dyDescent="0.25">
      <c r="A2483" s="6">
        <v>2479</v>
      </c>
      <c r="B2483" s="1" t="str">
        <f>"2021-1972"</f>
        <v>2021-1972</v>
      </c>
      <c r="C2483" s="1" t="s">
        <v>2138</v>
      </c>
      <c r="D2483" s="1" t="s">
        <v>1109</v>
      </c>
      <c r="E2483" s="1" t="str">
        <f>"2021/S 0F2-0018085"</f>
        <v>2021/S 0F2-0018085</v>
      </c>
      <c r="F2483" s="1" t="s">
        <v>22</v>
      </c>
      <c r="G2483" s="1" t="str">
        <f>CONCATENATE("NEVING D.O.O.,"," PAVLA RADIĆA 3,"," 10000 ZAGREB,"," OIB: 70989676533")</f>
        <v>NEVING D.O.O., PAVLA RADIĆA 3, 10000 ZAGREB, OIB: 70989676533</v>
      </c>
      <c r="H2483" s="7"/>
      <c r="I2483" s="8" t="s">
        <v>1171</v>
      </c>
      <c r="J2483" s="8" t="s">
        <v>939</v>
      </c>
      <c r="K2483" s="6" t="str">
        <f>"1.552.306,00"</f>
        <v>1.552.306,00</v>
      </c>
      <c r="L2483" s="6" t="str">
        <f>"388.076,50"</f>
        <v>388.076,50</v>
      </c>
      <c r="M2483" s="6" t="str">
        <f>"1.940.382,50"</f>
        <v>1.940.382,50</v>
      </c>
      <c r="N2483" s="8" t="s">
        <v>124</v>
      </c>
      <c r="O2483" s="7"/>
      <c r="P2483" s="2" t="s">
        <v>5614</v>
      </c>
      <c r="Q2483" s="7"/>
      <c r="R2483" s="1"/>
      <c r="S2483" s="1" t="str">
        <f>"N-10/21"</f>
        <v>N-10/21</v>
      </c>
      <c r="T2483" s="1" t="s">
        <v>55</v>
      </c>
    </row>
    <row r="2484" spans="1:20" ht="63.75" x14ac:dyDescent="0.25">
      <c r="A2484" s="6">
        <v>2480</v>
      </c>
      <c r="B2484" s="1" t="str">
        <f>"2021-1999"</f>
        <v>2021-1999</v>
      </c>
      <c r="C2484" s="1" t="s">
        <v>2139</v>
      </c>
      <c r="D2484" s="1" t="s">
        <v>941</v>
      </c>
      <c r="E2484" s="1" t="str">
        <f>"2021/S F14-0022319"</f>
        <v>2021/S F14-0022319</v>
      </c>
      <c r="F2484" s="1" t="s">
        <v>22</v>
      </c>
      <c r="G2484" s="1" t="str">
        <f>CONCATENATE("BOLČEVIĆ-GRADNJA D.O.O.,"," DUGOSELSKA CESTA 56,"," 10361 SESVETSKI KRALJEVEC,"," OIB: 520986705")</f>
        <v>BOLČEVIĆ-GRADNJA D.O.O., DUGOSELSKA CESTA 56, 10361 SESVETSKI KRALJEVEC, OIB: 520986705</v>
      </c>
      <c r="H2484" s="1" t="str">
        <f>CONCATENATE("MGV D.O.O.,"," OIB: 07790118186",CHAR(10),"ENA D.O.O.,"," OIB: 24759414355")</f>
        <v>MGV D.O.O., OIB: 07790118186
ENA D.O.O., OIB: 24759414355</v>
      </c>
      <c r="I2484" s="8" t="s">
        <v>1029</v>
      </c>
      <c r="J2484" s="8" t="s">
        <v>509</v>
      </c>
      <c r="K2484" s="6" t="str">
        <f>"6.157.408,40"</f>
        <v>6.157.408,40</v>
      </c>
      <c r="L2484" s="6" t="str">
        <f>"1.539.352,10"</f>
        <v>1.539.352,10</v>
      </c>
      <c r="M2484" s="6" t="str">
        <f>"7.696.760,50"</f>
        <v>7.696.760,50</v>
      </c>
      <c r="N2484" s="8" t="s">
        <v>124</v>
      </c>
      <c r="O2484" s="7"/>
      <c r="P2484" s="2" t="s">
        <v>5614</v>
      </c>
      <c r="Q2484" s="7"/>
      <c r="R2484" s="1"/>
      <c r="S2484" s="1" t="str">
        <f>"N-11/21"</f>
        <v>N-11/21</v>
      </c>
      <c r="T2484" s="1" t="s">
        <v>55</v>
      </c>
    </row>
    <row r="2485" spans="1:20" ht="51" x14ac:dyDescent="0.25">
      <c r="A2485" s="6">
        <v>2481</v>
      </c>
      <c r="B2485" s="1" t="str">
        <f>"2021-2213"</f>
        <v>2021-2213</v>
      </c>
      <c r="C2485" s="1" t="s">
        <v>2140</v>
      </c>
      <c r="D2485" s="1" t="s">
        <v>867</v>
      </c>
      <c r="E2485" s="1" t="str">
        <f>"2021/S 0F2-0036155"</f>
        <v>2021/S 0F2-0036155</v>
      </c>
      <c r="F2485" s="1" t="s">
        <v>22</v>
      </c>
      <c r="G2485" s="1" t="str">
        <f>CONCATENATE("MACEL PLIN D.O.O.,"," MALEŠNICA 3C,"," 10000 ZAGREB,"," OIB: 36043571166")</f>
        <v>MACEL PLIN D.O.O., MALEŠNICA 3C, 10000 ZAGREB, OIB: 36043571166</v>
      </c>
      <c r="H2485" s="7"/>
      <c r="I2485" s="8" t="s">
        <v>177</v>
      </c>
      <c r="J2485" s="8" t="s">
        <v>193</v>
      </c>
      <c r="K2485" s="6" t="str">
        <f>"323.601,00"</f>
        <v>323.601,00</v>
      </c>
      <c r="L2485" s="6" t="str">
        <f>"80.900,25"</f>
        <v>80.900,25</v>
      </c>
      <c r="M2485" s="6" t="str">
        <f>"404.501,25"</f>
        <v>404.501,25</v>
      </c>
      <c r="N2485" s="7"/>
      <c r="O2485" s="9">
        <v>44739</v>
      </c>
      <c r="P2485" s="2" t="s">
        <v>5614</v>
      </c>
      <c r="Q2485" s="7"/>
      <c r="R2485" s="1"/>
      <c r="S2485" s="1" t="str">
        <f>"N-13/21"</f>
        <v>N-13/21</v>
      </c>
      <c r="T2485" s="1" t="s">
        <v>452</v>
      </c>
    </row>
    <row r="2486" spans="1:20" ht="51" x14ac:dyDescent="0.25">
      <c r="A2486" s="6">
        <v>2482</v>
      </c>
      <c r="B2486" s="1" t="str">
        <f>"2021-2001"</f>
        <v>2021-2001</v>
      </c>
      <c r="C2486" s="1" t="s">
        <v>2141</v>
      </c>
      <c r="D2486" s="1" t="s">
        <v>941</v>
      </c>
      <c r="E2486" s="1" t="str">
        <f>"2021/S 0F2-0022540"</f>
        <v>2021/S 0F2-0022540</v>
      </c>
      <c r="F2486" s="1" t="s">
        <v>22</v>
      </c>
      <c r="G2486" s="1" t="str">
        <f>CONCATENATE("GEORAD D.O.O.,"," KORNATSKA 1,"," 10000 ZAGREB,"," OIB: 49756748234")</f>
        <v>GEORAD D.O.O., KORNATSKA 1, 10000 ZAGREB, OIB: 49756748234</v>
      </c>
      <c r="H2486" s="7"/>
      <c r="I2486" s="8" t="s">
        <v>120</v>
      </c>
      <c r="J2486" s="8" t="s">
        <v>1400</v>
      </c>
      <c r="K2486" s="6" t="str">
        <f>"3.593.795,00"</f>
        <v>3.593.795,00</v>
      </c>
      <c r="L2486" s="6" t="str">
        <f>"898.448,75"</f>
        <v>898.448,75</v>
      </c>
      <c r="M2486" s="6" t="str">
        <f>"4.492.243,75"</f>
        <v>4.492.243,75</v>
      </c>
      <c r="N2486" s="8" t="s">
        <v>124</v>
      </c>
      <c r="O2486" s="7"/>
      <c r="P2486" s="2" t="s">
        <v>5614</v>
      </c>
      <c r="Q2486" s="7"/>
      <c r="R2486" s="1"/>
      <c r="S2486" s="1" t="str">
        <f>"N-15/21"</f>
        <v>N-15/21</v>
      </c>
      <c r="T2486" s="1" t="s">
        <v>55</v>
      </c>
    </row>
    <row r="2487" spans="1:20" ht="114.75" x14ac:dyDescent="0.25">
      <c r="A2487" s="6">
        <v>2483</v>
      </c>
      <c r="B2487" s="1" t="str">
        <f>"2021-2164"</f>
        <v>2021-2164</v>
      </c>
      <c r="C2487" s="1" t="s">
        <v>2142</v>
      </c>
      <c r="D2487" s="1" t="s">
        <v>2107</v>
      </c>
      <c r="E2487" s="1" t="str">
        <f>"2021/S 0F2-0022569"</f>
        <v>2021/S 0F2-0022569</v>
      </c>
      <c r="F2487" s="1" t="s">
        <v>22</v>
      </c>
      <c r="G2487" s="1" t="str">
        <f>CONCATENATE("Zajednica ponuditelja",CHAR(10),"INSTITUT IGH D.D.,"," JANKA RAKUŠE 1,"," 10000 ZAGREB,"," OIB: 79766124714HIDROPLAN D.O.O. HORVAĆANSKA 17A,"," 10000 ZAGREB,"," OIB: 60793646418")</f>
        <v>Zajednica ponuditelja
INSTITUT IGH D.D., JANKA RAKUŠE 1, 10000 ZAGREB, OIB: 79766124714HIDROPLAN D.O.O. HORVAĆANSKA 17A, 10000 ZAGREB, OIB: 60793646418</v>
      </c>
      <c r="H2487" s="1" t="str">
        <f>CONCATENATE("AC PLUS D.O.O.,"," OIB: 78333787947",CHAR(10),"PERGER D.O.O.,"," OIB: 46240466333",CHAR(10),"ESP D.O.O.,"," OIB: 99891593")</f>
        <v>AC PLUS D.O.O., OIB: 78333787947
PERGER D.O.O., OIB: 46240466333
ESP D.O.O., OIB: 99891593</v>
      </c>
      <c r="I2487" s="8" t="s">
        <v>790</v>
      </c>
      <c r="J2487" s="8" t="s">
        <v>2143</v>
      </c>
      <c r="K2487" s="6" t="str">
        <f>"423.600,00"</f>
        <v>423.600,00</v>
      </c>
      <c r="L2487" s="6" t="str">
        <f>"105.900,00"</f>
        <v>105.900,00</v>
      </c>
      <c r="M2487" s="6" t="str">
        <f>"529.500,00"</f>
        <v>529.500,00</v>
      </c>
      <c r="N2487" s="8" t="s">
        <v>124</v>
      </c>
      <c r="O2487" s="7"/>
      <c r="P2487" s="2" t="s">
        <v>5614</v>
      </c>
      <c r="Q2487" s="7"/>
      <c r="R2487" s="1"/>
      <c r="S2487" s="1" t="str">
        <f>"N-16/21"</f>
        <v>N-16/21</v>
      </c>
      <c r="T2487" s="1" t="s">
        <v>32</v>
      </c>
    </row>
    <row r="2488" spans="1:20" ht="51" x14ac:dyDescent="0.25">
      <c r="A2488" s="6">
        <v>2484</v>
      </c>
      <c r="B2488" s="1" t="str">
        <f>"2021-2011"</f>
        <v>2021-2011</v>
      </c>
      <c r="C2488" s="1" t="s">
        <v>2144</v>
      </c>
      <c r="D2488" s="1" t="s">
        <v>941</v>
      </c>
      <c r="E2488" s="1" t="str">
        <f>"2021/S 0F2-0033691"</f>
        <v>2021/S 0F2-0033691</v>
      </c>
      <c r="F2488" s="1" t="s">
        <v>22</v>
      </c>
      <c r="G2488" s="1" t="str">
        <f>CONCATENATE("MEBELT D.O.O.,"," POSAVSKI ČRET 58,"," 10411 ORLE,"," OIB: 31272534129")</f>
        <v>MEBELT D.O.O., POSAVSKI ČRET 58, 10411 ORLE, OIB: 31272534129</v>
      </c>
      <c r="H2488" s="1" t="str">
        <f>CONCATENATE("GEODETIKA D.O.O.,"," OIB: 92364669796")</f>
        <v>GEODETIKA D.O.O., OIB: 92364669796</v>
      </c>
      <c r="I2488" s="8" t="s">
        <v>616</v>
      </c>
      <c r="J2488" s="8" t="s">
        <v>121</v>
      </c>
      <c r="K2488" s="6" t="str">
        <f>"1.821.537,00"</f>
        <v>1.821.537,00</v>
      </c>
      <c r="L2488" s="6" t="str">
        <f>"455.384,25"</f>
        <v>455.384,25</v>
      </c>
      <c r="M2488" s="6" t="str">
        <f>"2.276.921,25"</f>
        <v>2.276.921,25</v>
      </c>
      <c r="N2488" s="8" t="s">
        <v>124</v>
      </c>
      <c r="O2488" s="7"/>
      <c r="P2488" s="2" t="s">
        <v>5614</v>
      </c>
      <c r="Q2488" s="7"/>
      <c r="R2488" s="1"/>
      <c r="S2488" s="1" t="str">
        <f>"N-19/21"</f>
        <v>N-19/21</v>
      </c>
      <c r="T2488" s="1" t="s">
        <v>55</v>
      </c>
    </row>
    <row r="2489" spans="1:20" ht="102" x14ac:dyDescent="0.25">
      <c r="A2489" s="6">
        <v>2485</v>
      </c>
      <c r="B2489" s="1" t="str">
        <f>"2021-2262"</f>
        <v>2021-2262</v>
      </c>
      <c r="C2489" s="1" t="s">
        <v>2145</v>
      </c>
      <c r="D2489" s="1" t="s">
        <v>2107</v>
      </c>
      <c r="E2489" s="1" t="str">
        <f>"2021/S 0F2-0035460"</f>
        <v>2021/S 0F2-0035460</v>
      </c>
      <c r="F2489" s="1" t="s">
        <v>22</v>
      </c>
      <c r="G2489" s="1"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2489" s="7"/>
      <c r="I2489" s="8" t="s">
        <v>93</v>
      </c>
      <c r="J2489" s="8" t="s">
        <v>917</v>
      </c>
      <c r="K2489" s="6" t="str">
        <f>"395.000,00"</f>
        <v>395.000,00</v>
      </c>
      <c r="L2489" s="6" t="str">
        <f>"98.750,00"</f>
        <v>98.750,00</v>
      </c>
      <c r="M2489" s="6" t="str">
        <f>"493.750,00"</f>
        <v>493.750,00</v>
      </c>
      <c r="N2489" s="8" t="s">
        <v>124</v>
      </c>
      <c r="O2489" s="7"/>
      <c r="P2489" s="2" t="s">
        <v>5614</v>
      </c>
      <c r="Q2489" s="7"/>
      <c r="R2489" s="1"/>
      <c r="S2489" s="1" t="str">
        <f>"N-21/21"</f>
        <v>N-21/21</v>
      </c>
      <c r="T2489" s="1" t="s">
        <v>32</v>
      </c>
    </row>
    <row r="2490" spans="1:20" ht="102" x14ac:dyDescent="0.25">
      <c r="A2490" s="6">
        <v>2486</v>
      </c>
      <c r="B2490" s="1" t="str">
        <f>"2021-2262"</f>
        <v>2021-2262</v>
      </c>
      <c r="C2490" s="1" t="s">
        <v>2145</v>
      </c>
      <c r="D2490" s="1" t="s">
        <v>2107</v>
      </c>
      <c r="E2490" s="1" t="str">
        <f>"2021/S 0F2-0035460"</f>
        <v>2021/S 0F2-0035460</v>
      </c>
      <c r="F2490" s="1" t="s">
        <v>1848</v>
      </c>
      <c r="G2490" s="1" t="str">
        <f>CONCATENATE("Zajednica ponuditelja",CHAR(10),"PLANETARIS D.O.O.,"," VLAŠKA 58,"," 10000 ZAGREB,"," OIB: 60424552301URBANE TEHNIKE D.O.O. VRBIK 8A,"," 10000 ZAGREB,"," OIB: 52201457254")</f>
        <v>Zajednica ponuditelja
PLANETARIS D.O.O., VLAŠKA 58, 10000 ZAGREB, OIB: 60424552301URBANE TEHNIKE D.O.O. VRBIK 8A, 10000 ZAGREB, OIB: 52201457254</v>
      </c>
      <c r="H2490" s="7"/>
      <c r="I2490" s="8" t="s">
        <v>947</v>
      </c>
      <c r="J2490" s="8" t="s">
        <v>917</v>
      </c>
      <c r="K2490" s="6" t="str">
        <f>"395.000,00"</f>
        <v>395.000,00</v>
      </c>
      <c r="L2490" s="6" t="str">
        <f>"98.750,00"</f>
        <v>98.750,00</v>
      </c>
      <c r="M2490" s="6" t="str">
        <f>"493.750,00"</f>
        <v>493.750,00</v>
      </c>
      <c r="N2490" s="8" t="s">
        <v>124</v>
      </c>
      <c r="O2490" s="7"/>
      <c r="P2490" s="2" t="s">
        <v>5614</v>
      </c>
      <c r="Q2490" s="7"/>
      <c r="R2490" s="1"/>
      <c r="S2490" s="1" t="str">
        <f>"N-21/21-2"</f>
        <v>N-21/21-2</v>
      </c>
      <c r="T2490" s="1" t="s">
        <v>32</v>
      </c>
    </row>
    <row r="2491" spans="1:20" ht="51" x14ac:dyDescent="0.25">
      <c r="A2491" s="6">
        <v>2487</v>
      </c>
      <c r="B2491" s="1" t="str">
        <f>"2021-2211"</f>
        <v>2021-2211</v>
      </c>
      <c r="C2491" s="1" t="s">
        <v>2146</v>
      </c>
      <c r="D2491" s="1" t="s">
        <v>2147</v>
      </c>
      <c r="E2491" s="1" t="str">
        <f>"2021/S 0F2-0034938"</f>
        <v>2021/S 0F2-0034938</v>
      </c>
      <c r="F2491" s="1" t="s">
        <v>22</v>
      </c>
      <c r="G2491" s="1" t="str">
        <f>CONCATENATE("FASEK  D.O.O.,"," ZVONIGRADSKA 43,"," 10000 ZAGREB,"," OIB: 12310313467")</f>
        <v>FASEK  D.O.O., ZVONIGRADSKA 43, 10000 ZAGREB, OIB: 12310313467</v>
      </c>
      <c r="H2491" s="7"/>
      <c r="I2491" s="8" t="s">
        <v>744</v>
      </c>
      <c r="J2491" s="8" t="s">
        <v>2148</v>
      </c>
      <c r="K2491" s="6" t="str">
        <f>"563.690,00"</f>
        <v>563.690,00</v>
      </c>
      <c r="L2491" s="6" t="str">
        <f>"140.922,50"</f>
        <v>140.922,50</v>
      </c>
      <c r="M2491" s="6" t="str">
        <f>"704.612,50"</f>
        <v>704.612,50</v>
      </c>
      <c r="N2491" s="8" t="s">
        <v>124</v>
      </c>
      <c r="O2491" s="7"/>
      <c r="P2491" s="2" t="s">
        <v>7000</v>
      </c>
      <c r="Q2491" s="7"/>
      <c r="R2491" s="1"/>
      <c r="S2491" s="1" t="str">
        <f>"N-22/21"</f>
        <v>N-22/21</v>
      </c>
      <c r="T2491" s="1" t="s">
        <v>452</v>
      </c>
    </row>
    <row r="2492" spans="1:20" ht="38.25" x14ac:dyDescent="0.25">
      <c r="A2492" s="6">
        <v>2488</v>
      </c>
      <c r="B2492" s="1" t="str">
        <f>"2021-2192"</f>
        <v>2021-2192</v>
      </c>
      <c r="C2492" s="1" t="s">
        <v>2149</v>
      </c>
      <c r="D2492" s="1" t="s">
        <v>2150</v>
      </c>
      <c r="E2492" s="1" t="str">
        <f>"2021/S 0F2-0045406"</f>
        <v>2021/S 0F2-0045406</v>
      </c>
      <c r="F2492" s="1" t="s">
        <v>22</v>
      </c>
      <c r="G2492" s="1" t="str">
        <f>CONCATENATE("HIDROTERM-SD D.O.O.,"," ,"," OIB: 929030013")</f>
        <v>HIDROTERM-SD D.O.O., , OIB: 929030013</v>
      </c>
      <c r="H2492" s="7"/>
      <c r="I2492" s="8" t="s">
        <v>831</v>
      </c>
      <c r="J2492" s="8" t="s">
        <v>2151</v>
      </c>
      <c r="K2492" s="6" t="str">
        <f>"699.933,43"</f>
        <v>699.933,43</v>
      </c>
      <c r="L2492" s="6" t="str">
        <f>"174.983,36"</f>
        <v>174.983,36</v>
      </c>
      <c r="M2492" s="6" t="str">
        <f>"874.916,79"</f>
        <v>874.916,79</v>
      </c>
      <c r="N2492" s="8" t="s">
        <v>57</v>
      </c>
      <c r="O2492" s="7"/>
      <c r="P2492" s="2" t="s">
        <v>7001</v>
      </c>
      <c r="Q2492" s="7"/>
      <c r="R2492" s="1"/>
      <c r="S2492" s="1" t="str">
        <f>"N-23/21"</f>
        <v>N-23/21</v>
      </c>
      <c r="T2492" s="1" t="s">
        <v>32</v>
      </c>
    </row>
    <row r="2493" spans="1:20" ht="76.5" x14ac:dyDescent="0.25">
      <c r="A2493" s="6">
        <v>2489</v>
      </c>
      <c r="B2493" s="1" t="str">
        <f>"2021-2146"</f>
        <v>2021-2146</v>
      </c>
      <c r="C2493" s="1" t="s">
        <v>2152</v>
      </c>
      <c r="D2493" s="1" t="s">
        <v>2153</v>
      </c>
      <c r="E2493" s="1" t="str">
        <f>"2021/S 0F2-0038107"</f>
        <v>2021/S 0F2-0038107</v>
      </c>
      <c r="F2493" s="1" t="s">
        <v>22</v>
      </c>
      <c r="G2493" s="1" t="str">
        <f>CONCATENATE("NASTAVNI ZAVOD ZA JAVNO ZDRAVSTVO DR. ANDRIJA ŠTAMPAR,"," MIROGOJSKA CESTA 16,"," 10000 ZAGREB,"," OIB: 3339200596")</f>
        <v>NASTAVNI ZAVOD ZA JAVNO ZDRAVSTVO DR. ANDRIJA ŠTAMPAR, MIROGOJSKA CESTA 16, 10000 ZAGREB, OIB: 3339200596</v>
      </c>
      <c r="H2493" s="7"/>
      <c r="I2493" s="8" t="s">
        <v>258</v>
      </c>
      <c r="J2493" s="8" t="s">
        <v>2154</v>
      </c>
      <c r="K2493" s="6" t="str">
        <f>"275.411,50"</f>
        <v>275.411,50</v>
      </c>
      <c r="L2493" s="6" t="str">
        <f>"68.852,88"</f>
        <v>68.852,88</v>
      </c>
      <c r="M2493" s="6" t="str">
        <f>"344.264,38"</f>
        <v>344.264,38</v>
      </c>
      <c r="N2493" s="8" t="s">
        <v>169</v>
      </c>
      <c r="O2493" s="7"/>
      <c r="P2493" s="2" t="s">
        <v>7002</v>
      </c>
      <c r="Q2493" s="7"/>
      <c r="R2493" s="1"/>
      <c r="S2493" s="1" t="str">
        <f>"N-25/21"</f>
        <v>N-25/21</v>
      </c>
      <c r="T2493" s="1" t="s">
        <v>55</v>
      </c>
    </row>
    <row r="2494" spans="1:20" ht="51" x14ac:dyDescent="0.25">
      <c r="A2494" s="6">
        <v>2490</v>
      </c>
      <c r="B2494" s="1" t="str">
        <f>"2021-2172"</f>
        <v>2021-2172</v>
      </c>
      <c r="C2494" s="1" t="s">
        <v>2155</v>
      </c>
      <c r="D2494" s="1" t="s">
        <v>2156</v>
      </c>
      <c r="E2494" s="1" t="str">
        <f>"2022/S 0F2-0000200"</f>
        <v>2022/S 0F2-0000200</v>
      </c>
      <c r="F2494" s="1" t="s">
        <v>22</v>
      </c>
      <c r="G2494" s="1" t="str">
        <f>CONCATENATE("XAGENT D.O.O.,"," SAMOBORSKA CESTA 145,"," 10000 ZAGREB,"," OIB: 98512685259")</f>
        <v>XAGENT D.O.O., SAMOBORSKA CESTA 145, 10000 ZAGREB, OIB: 98512685259</v>
      </c>
      <c r="H2494" s="7"/>
      <c r="I2494" s="8" t="s">
        <v>918</v>
      </c>
      <c r="J2494" s="8" t="s">
        <v>1255</v>
      </c>
      <c r="K2494" s="6" t="str">
        <f>"499.000,00"</f>
        <v>499.000,00</v>
      </c>
      <c r="L2494" s="6" t="str">
        <f>"124.750,00"</f>
        <v>124.750,00</v>
      </c>
      <c r="M2494" s="6" t="str">
        <f>"623.750,00"</f>
        <v>623.750,00</v>
      </c>
      <c r="N2494" s="8" t="s">
        <v>207</v>
      </c>
      <c r="O2494" s="7"/>
      <c r="P2494" s="2" t="s">
        <v>7003</v>
      </c>
      <c r="Q2494" s="1" t="s">
        <v>488</v>
      </c>
      <c r="R2494" s="1"/>
      <c r="S2494" s="1" t="str">
        <f>"N-26/21"</f>
        <v>N-26/21</v>
      </c>
      <c r="T2494" s="1" t="s">
        <v>43</v>
      </c>
    </row>
    <row r="2495" spans="1:20" ht="165.75" x14ac:dyDescent="0.25">
      <c r="A2495" s="6">
        <v>2491</v>
      </c>
      <c r="B2495" s="1" t="str">
        <f>"2021-2261"</f>
        <v>2021-2261</v>
      </c>
      <c r="C2495" s="1" t="s">
        <v>2157</v>
      </c>
      <c r="D2495" s="1" t="s">
        <v>2107</v>
      </c>
      <c r="E2495" s="1" t="str">
        <f>"2021/S 0F2-0040812"</f>
        <v>2021/S 0F2-0040812</v>
      </c>
      <c r="F2495" s="1" t="s">
        <v>22</v>
      </c>
      <c r="G2495" s="1" t="str">
        <f>CONCATENATE("JURCON PROJEKT D.O.O.,"," GOTALOVEČKA 4/A,"," 10000 ZAGREB,"," OIB: 55345087244")</f>
        <v>JURCON PROJEKT D.O.O., GOTALOVEČKA 4/A, 10000 ZAGREB, OIB: 55345087244</v>
      </c>
      <c r="H2495" s="1"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2495" s="8" t="s">
        <v>163</v>
      </c>
      <c r="J2495" s="8" t="s">
        <v>2158</v>
      </c>
      <c r="K2495" s="6" t="str">
        <f>"187.000,00"</f>
        <v>187.000,00</v>
      </c>
      <c r="L2495" s="6" t="str">
        <f>"46.750,00"</f>
        <v>46.750,00</v>
      </c>
      <c r="M2495" s="6" t="str">
        <f>"233.750,00"</f>
        <v>233.750,00</v>
      </c>
      <c r="N2495" s="8" t="s">
        <v>124</v>
      </c>
      <c r="O2495" s="7"/>
      <c r="P2495" s="2" t="s">
        <v>5614</v>
      </c>
      <c r="Q2495" s="7"/>
      <c r="R2495" s="1"/>
      <c r="S2495" s="1" t="str">
        <f>"N-27/21"</f>
        <v>N-27/21</v>
      </c>
      <c r="T2495" s="1" t="s">
        <v>32</v>
      </c>
    </row>
    <row r="2496" spans="1:20" ht="165.75" x14ac:dyDescent="0.25">
      <c r="A2496" s="6">
        <v>2492</v>
      </c>
      <c r="B2496" s="1" t="str">
        <f>"2021-2261"</f>
        <v>2021-2261</v>
      </c>
      <c r="C2496" s="1" t="s">
        <v>2157</v>
      </c>
      <c r="D2496" s="1" t="s">
        <v>2107</v>
      </c>
      <c r="E2496" s="1" t="str">
        <f>"2021/S 0F2-0040812"</f>
        <v>2021/S 0F2-0040812</v>
      </c>
      <c r="F2496" s="1" t="s">
        <v>1969</v>
      </c>
      <c r="G2496" s="1" t="str">
        <f>CONCATENATE("JURCON PROJEKT D.O.O.,"," GOTALOVEČKA 4/A,"," 10000 ZAGREB,"," OIB: 55345087244")</f>
        <v>JURCON PROJEKT D.O.O., GOTALOVEČKA 4/A, 10000 ZAGREB, OIB: 55345087244</v>
      </c>
      <c r="H2496" s="1" t="str">
        <f>CONCATENATE("PROING D.O.O.,"," OIB: 33487743969",CHAR(10),"EPIK D.O.O.,"," OIB: 15822966955",CHAR(10),"ZAST D.O.O.,"," OIB: 55945864193",CHAR(10),"INSTITUT ZA POVIJEST UMJETNOSTI,"," OIB: 59451980348")</f>
        <v>PROING D.O.O., OIB: 33487743969
EPIK D.O.O., OIB: 15822966955
ZAST D.O.O., OIB: 55945864193
INSTITUT ZA POVIJEST UMJETNOSTI, OIB: 59451980348</v>
      </c>
      <c r="I2496" s="8" t="s">
        <v>81</v>
      </c>
      <c r="J2496" s="8" t="s">
        <v>2159</v>
      </c>
      <c r="K2496" s="6" t="str">
        <f>""</f>
        <v/>
      </c>
      <c r="L2496" s="6" t="str">
        <f>"0,00"</f>
        <v>0,00</v>
      </c>
      <c r="M2496" s="6" t="str">
        <f>"0,00"</f>
        <v>0,00</v>
      </c>
      <c r="N2496" s="8" t="s">
        <v>124</v>
      </c>
      <c r="O2496" s="7"/>
      <c r="P2496" s="2" t="s">
        <v>5614</v>
      </c>
      <c r="Q2496" s="7"/>
      <c r="R2496" s="1"/>
      <c r="S2496" s="1" t="str">
        <f>"N-27/21-2"</f>
        <v>N-27/21-2</v>
      </c>
      <c r="T2496" s="1" t="s">
        <v>32</v>
      </c>
    </row>
    <row r="2497" spans="1:20" ht="76.5" x14ac:dyDescent="0.25">
      <c r="A2497" s="6">
        <v>2493</v>
      </c>
      <c r="B2497" s="1" t="str">
        <f>"2021-2115"</f>
        <v>2021-2115</v>
      </c>
      <c r="C2497" s="1" t="s">
        <v>2160</v>
      </c>
      <c r="D2497" s="1" t="s">
        <v>1979</v>
      </c>
      <c r="E2497" s="1" t="str">
        <f>"2021/S 0F2-0035366"</f>
        <v>2021/S 0F2-0035366</v>
      </c>
      <c r="F2497" s="1" t="s">
        <v>22</v>
      </c>
      <c r="G2497" s="1" t="str">
        <f>CONCATENATE("PROJEKTNI URED MI2A D.O.O.,"," ULICA OTONA IVEKOVIĆA 25,"," 10 360 ZAGREB,"," OIB: 038974508")</f>
        <v>PROJEKTNI URED MI2A D.O.O., ULICA OTONA IVEKOVIĆA 25, 10 360 ZAGREB, OIB: 038974508</v>
      </c>
      <c r="H2497" s="7"/>
      <c r="I2497" s="8" t="s">
        <v>163</v>
      </c>
      <c r="J2497" s="8" t="s">
        <v>2158</v>
      </c>
      <c r="K2497" s="6" t="str">
        <f>"97.200,00"</f>
        <v>97.200,00</v>
      </c>
      <c r="L2497" s="6" t="str">
        <f>"24.300,00"</f>
        <v>24.300,00</v>
      </c>
      <c r="M2497" s="6" t="str">
        <f>"121.500,00"</f>
        <v>121.500,00</v>
      </c>
      <c r="N2497" s="8" t="s">
        <v>124</v>
      </c>
      <c r="O2497" s="7"/>
      <c r="P2497" s="2" t="s">
        <v>5614</v>
      </c>
      <c r="Q2497" s="7"/>
      <c r="R2497" s="1"/>
      <c r="S2497" s="1" t="str">
        <f>"N-28/21"</f>
        <v>N-28/21</v>
      </c>
      <c r="T2497" s="1" t="s">
        <v>55</v>
      </c>
    </row>
    <row r="2498" spans="1:20" ht="63.75" x14ac:dyDescent="0.25">
      <c r="A2498" s="6">
        <v>2494</v>
      </c>
      <c r="B2498" s="1" t="str">
        <f>"2021-2023"</f>
        <v>2021-2023</v>
      </c>
      <c r="C2498" s="1" t="s">
        <v>2161</v>
      </c>
      <c r="D2498" s="1" t="s">
        <v>941</v>
      </c>
      <c r="E2498" s="1" t="str">
        <f>"2021/S 0F2-0041128"</f>
        <v>2021/S 0F2-0041128</v>
      </c>
      <c r="F2498" s="1" t="s">
        <v>22</v>
      </c>
      <c r="G2498" s="1" t="str">
        <f>CONCATENATE("HIDRO GRAD D.O.O.,"," GUSTAVA KRKLECA,"," RAKITJE 6,"," 10437 BESTOVJE,"," OIB: 49528301725")</f>
        <v>HIDRO GRAD D.O.O., GUSTAVA KRKLECA, RAKITJE 6, 10437 BESTOVJE, OIB: 49528301725</v>
      </c>
      <c r="H2498" s="7"/>
      <c r="I2498" s="8" t="s">
        <v>259</v>
      </c>
      <c r="J2498" s="8" t="s">
        <v>305</v>
      </c>
      <c r="K2498" s="6" t="str">
        <f>"570.700,00"</f>
        <v>570.700,00</v>
      </c>
      <c r="L2498" s="6" t="str">
        <f>"142.675,00"</f>
        <v>142.675,00</v>
      </c>
      <c r="M2498" s="6" t="str">
        <f>"713.375,00"</f>
        <v>713.375,00</v>
      </c>
      <c r="N2498" s="8" t="s">
        <v>124</v>
      </c>
      <c r="O2498" s="7"/>
      <c r="P2498" s="2" t="s">
        <v>5614</v>
      </c>
      <c r="Q2498" s="7"/>
      <c r="R2498" s="1"/>
      <c r="S2498" s="1" t="str">
        <f>"N-29/21"</f>
        <v>N-29/21</v>
      </c>
      <c r="T2498" s="1" t="s">
        <v>55</v>
      </c>
    </row>
    <row r="2499" spans="1:20" ht="63.75" x14ac:dyDescent="0.25">
      <c r="A2499" s="6">
        <v>2495</v>
      </c>
      <c r="B2499" s="1" t="str">
        <f>"2021-2225"</f>
        <v>2021-2225</v>
      </c>
      <c r="C2499" s="1" t="s">
        <v>2162</v>
      </c>
      <c r="D2499" s="1" t="s">
        <v>941</v>
      </c>
      <c r="E2499" s="1" t="str">
        <f>"2021/S 0F2-0047616"</f>
        <v>2021/S 0F2-0047616</v>
      </c>
      <c r="F2499" s="1" t="s">
        <v>22</v>
      </c>
      <c r="G2499" s="1" t="str">
        <f>CONCATENATE("KOLEKTOR-ZAGREB D.O.O.,"," IVANIĆGRADSKA 22,"," 10000 ZAGREB,"," OIB: 73209542242")</f>
        <v>KOLEKTOR-ZAGREB D.O.O., IVANIĆGRADSKA 22, 10000 ZAGREB, OIB: 73209542242</v>
      </c>
      <c r="H2499" s="7"/>
      <c r="I2499" s="8" t="s">
        <v>259</v>
      </c>
      <c r="J2499" s="8" t="s">
        <v>305</v>
      </c>
      <c r="K2499" s="6" t="str">
        <f>"397.225,10"</f>
        <v>397.225,10</v>
      </c>
      <c r="L2499" s="6" t="str">
        <f>"99.306,28"</f>
        <v>99.306,28</v>
      </c>
      <c r="M2499" s="6" t="str">
        <f>"496.531,38"</f>
        <v>496.531,38</v>
      </c>
      <c r="N2499" s="8" t="s">
        <v>124</v>
      </c>
      <c r="O2499" s="7"/>
      <c r="P2499" s="2" t="s">
        <v>5614</v>
      </c>
      <c r="Q2499" s="7"/>
      <c r="R2499" s="1"/>
      <c r="S2499" s="1" t="str">
        <f>"N-30/21"</f>
        <v>N-30/21</v>
      </c>
      <c r="T2499" s="1" t="s">
        <v>55</v>
      </c>
    </row>
    <row r="2500" spans="1:20" ht="63.75" x14ac:dyDescent="0.25">
      <c r="A2500" s="6">
        <v>2496</v>
      </c>
      <c r="B2500" s="1" t="str">
        <f>"2021-2013"</f>
        <v>2021-2013</v>
      </c>
      <c r="C2500" s="1" t="s">
        <v>2163</v>
      </c>
      <c r="D2500" s="1" t="s">
        <v>941</v>
      </c>
      <c r="E2500" s="1" t="str">
        <f>"2021/S 0F2-0034807"</f>
        <v>2021/S 0F2-0034807</v>
      </c>
      <c r="F2500" s="1" t="s">
        <v>22</v>
      </c>
      <c r="G2500" s="1" t="str">
        <f>CONCATENATE("TEMPORIUM GRADNJA D.O.O.,"," LJUTOMERSKA ULICA 33A,"," 10000 ZAGREB,"," OIB: 6285048268")</f>
        <v>TEMPORIUM GRADNJA D.O.O., LJUTOMERSKA ULICA 33A, 10000 ZAGREB, OIB: 6285048268</v>
      </c>
      <c r="H2500" s="7"/>
      <c r="I2500" s="8" t="s">
        <v>345</v>
      </c>
      <c r="J2500" s="8" t="s">
        <v>2164</v>
      </c>
      <c r="K2500" s="6" t="str">
        <f>"1.026.051,00"</f>
        <v>1.026.051,00</v>
      </c>
      <c r="L2500" s="6" t="str">
        <f>"256.512,75"</f>
        <v>256.512,75</v>
      </c>
      <c r="M2500" s="6" t="str">
        <f>"1.282.563,75"</f>
        <v>1.282.563,75</v>
      </c>
      <c r="N2500" s="8" t="s">
        <v>124</v>
      </c>
      <c r="O2500" s="7"/>
      <c r="P2500" s="2" t="s">
        <v>5614</v>
      </c>
      <c r="Q2500" s="7"/>
      <c r="R2500" s="1"/>
      <c r="S2500" s="1" t="str">
        <f>"N-31/21"</f>
        <v>N-31/21</v>
      </c>
      <c r="T2500" s="1" t="s">
        <v>55</v>
      </c>
    </row>
    <row r="2501" spans="1:20" ht="51" x14ac:dyDescent="0.25">
      <c r="A2501" s="6">
        <v>2497</v>
      </c>
      <c r="B2501" s="1" t="str">
        <f>"2021-2043"</f>
        <v>2021-2043</v>
      </c>
      <c r="C2501" s="1" t="s">
        <v>2165</v>
      </c>
      <c r="D2501" s="1" t="s">
        <v>2068</v>
      </c>
      <c r="E2501" s="1" t="str">
        <f>"2021/S 0F2-0047685"</f>
        <v>2021/S 0F2-0047685</v>
      </c>
      <c r="F2501" s="1" t="s">
        <v>22</v>
      </c>
      <c r="G2501" s="1" t="str">
        <f>CONCATENATE("NEVING D.O.O.,"," PAVLA RADIĆA 3,"," 10000 ZAGREB,"," OIB: 70989676533")</f>
        <v>NEVING D.O.O., PAVLA RADIĆA 3, 10000 ZAGREB, OIB: 70989676533</v>
      </c>
      <c r="H2501" s="7"/>
      <c r="I2501" s="8" t="s">
        <v>242</v>
      </c>
      <c r="J2501" s="8" t="s">
        <v>2166</v>
      </c>
      <c r="K2501" s="6" t="str">
        <f>"1.152.031,19"</f>
        <v>1.152.031,19</v>
      </c>
      <c r="L2501" s="6" t="str">
        <f>"288.007,80"</f>
        <v>288.007,80</v>
      </c>
      <c r="M2501" s="6" t="str">
        <f>"1.440.038,99"</f>
        <v>1.440.038,99</v>
      </c>
      <c r="N2501" s="8" t="s">
        <v>124</v>
      </c>
      <c r="O2501" s="7"/>
      <c r="P2501" s="2" t="s">
        <v>5614</v>
      </c>
      <c r="Q2501" s="7"/>
      <c r="R2501" s="1"/>
      <c r="S2501" s="1" t="str">
        <f>"N-32/21"</f>
        <v>N-32/21</v>
      </c>
      <c r="T2501" s="1" t="s">
        <v>55</v>
      </c>
    </row>
    <row r="2502" spans="1:20" ht="63.75" x14ac:dyDescent="0.25">
      <c r="A2502" s="6">
        <v>2498</v>
      </c>
      <c r="B2502" s="1" t="str">
        <f>"2021-2320"</f>
        <v>2021-2320</v>
      </c>
      <c r="C2502" s="1" t="s">
        <v>2167</v>
      </c>
      <c r="D2502" s="1" t="s">
        <v>2168</v>
      </c>
      <c r="E2502" s="1" t="str">
        <f>"2022/S 0F2-0007087"</f>
        <v>2022/S 0F2-0007087</v>
      </c>
      <c r="F2502" s="1" t="s">
        <v>22</v>
      </c>
      <c r="G2502" s="1" t="str">
        <f>CONCATENATE("GRADNJAPROJEKT-ZAGREB D.O.O.,"," TITA BREZOVAČKOG 6,"," 10000 ZAGREB,"," OIB: 71120174296")</f>
        <v>GRADNJAPROJEKT-ZAGREB D.O.O., TITA BREZOVAČKOG 6, 10000 ZAGREB, OIB: 71120174296</v>
      </c>
      <c r="H2502" s="7"/>
      <c r="I2502" s="8" t="s">
        <v>856</v>
      </c>
      <c r="J2502" s="8" t="s">
        <v>2169</v>
      </c>
      <c r="K2502" s="6" t="str">
        <f>"657.120,00"</f>
        <v>657.120,00</v>
      </c>
      <c r="L2502" s="6" t="str">
        <f>"164.280,00"</f>
        <v>164.280,00</v>
      </c>
      <c r="M2502" s="6" t="str">
        <f>"821.400,00"</f>
        <v>821.400,00</v>
      </c>
      <c r="N2502" s="8" t="s">
        <v>124</v>
      </c>
      <c r="O2502" s="7"/>
      <c r="P2502" s="2" t="s">
        <v>7004</v>
      </c>
      <c r="Q2502" s="1"/>
      <c r="R2502" s="1"/>
      <c r="S2502" s="1" t="str">
        <f>"N-33/21"</f>
        <v>N-33/21</v>
      </c>
      <c r="T2502" s="1" t="s">
        <v>32</v>
      </c>
    </row>
    <row r="2503" spans="1:20" ht="63.75" x14ac:dyDescent="0.25">
      <c r="A2503" s="6">
        <v>2499</v>
      </c>
      <c r="B2503" s="1" t="str">
        <f>"2021-2221"</f>
        <v>2021-2221</v>
      </c>
      <c r="C2503" s="1" t="s">
        <v>2170</v>
      </c>
      <c r="D2503" s="1" t="s">
        <v>1979</v>
      </c>
      <c r="E2503" s="1" t="str">
        <f>"2021/S 0F2-0047970"</f>
        <v>2021/S 0F2-0047970</v>
      </c>
      <c r="F2503" s="1" t="s">
        <v>22</v>
      </c>
      <c r="G2503" s="1" t="str">
        <f>CONCATENATE("PROJEKTNI URED MI2A D.O.O.,"," ULICA OTONA IVEKOVIĆA 25,"," 10 360 ZAGREB,"," OIB: 038974508")</f>
        <v>PROJEKTNI URED MI2A D.O.O., ULICA OTONA IVEKOVIĆA 25, 10 360 ZAGREB, OIB: 038974508</v>
      </c>
      <c r="H2503" s="7"/>
      <c r="I2503" s="8" t="s">
        <v>856</v>
      </c>
      <c r="J2503" s="8" t="s">
        <v>2169</v>
      </c>
      <c r="K2503" s="6" t="str">
        <f>"162.000,00"</f>
        <v>162.000,00</v>
      </c>
      <c r="L2503" s="6" t="str">
        <f>"40.500,00"</f>
        <v>40.500,00</v>
      </c>
      <c r="M2503" s="6" t="str">
        <f>"202.500,00"</f>
        <v>202.500,00</v>
      </c>
      <c r="N2503" s="8" t="s">
        <v>124</v>
      </c>
      <c r="O2503" s="7"/>
      <c r="P2503" s="2" t="s">
        <v>5614</v>
      </c>
      <c r="Q2503" s="7"/>
      <c r="R2503" s="1"/>
      <c r="S2503" s="1" t="str">
        <f>"N-34/21"</f>
        <v>N-34/21</v>
      </c>
      <c r="T2503" s="1" t="s">
        <v>55</v>
      </c>
    </row>
    <row r="2504" spans="1:20" ht="63.75" x14ac:dyDescent="0.25">
      <c r="A2504" s="6">
        <v>2500</v>
      </c>
      <c r="B2504" s="1" t="str">
        <f>"2021-2018"</f>
        <v>2021-2018</v>
      </c>
      <c r="C2504" s="1" t="s">
        <v>2171</v>
      </c>
      <c r="D2504" s="1" t="s">
        <v>941</v>
      </c>
      <c r="E2504" s="1" t="str">
        <f>"2021/S 0F2-0040734"</f>
        <v>2021/S 0F2-0040734</v>
      </c>
      <c r="F2504" s="1" t="s">
        <v>22</v>
      </c>
      <c r="G2504" s="1" t="str">
        <f>CONCATENATE("HIDRO GRAD D.O.O.,"," GUSTAVA KRKLECA,"," RAKITJE 6,"," 10437 BESTOVJE,"," OIB: 49528301725")</f>
        <v>HIDRO GRAD D.O.O., GUSTAVA KRKLECA, RAKITJE 6, 10437 BESTOVJE, OIB: 49528301725</v>
      </c>
      <c r="H2504" s="7"/>
      <c r="I2504" s="8" t="s">
        <v>72</v>
      </c>
      <c r="J2504" s="8" t="s">
        <v>2172</v>
      </c>
      <c r="K2504" s="6" t="str">
        <f>"1.119.301,82"</f>
        <v>1.119.301,82</v>
      </c>
      <c r="L2504" s="6" t="str">
        <f>"279.825,46"</f>
        <v>279.825,46</v>
      </c>
      <c r="M2504" s="6" t="str">
        <f>"1.399.127,28"</f>
        <v>1.399.127,28</v>
      </c>
      <c r="N2504" s="8" t="s">
        <v>124</v>
      </c>
      <c r="O2504" s="7"/>
      <c r="P2504" s="2" t="s">
        <v>5614</v>
      </c>
      <c r="Q2504" s="7"/>
      <c r="R2504" s="1"/>
      <c r="S2504" s="1" t="str">
        <f>"N-35/21"</f>
        <v>N-35/21</v>
      </c>
      <c r="T2504" s="1" t="s">
        <v>55</v>
      </c>
    </row>
    <row r="2505" spans="1:20" ht="51" x14ac:dyDescent="0.25">
      <c r="A2505" s="6">
        <v>2501</v>
      </c>
      <c r="B2505" s="1" t="str">
        <f>"2021-2010"</f>
        <v>2021-2010</v>
      </c>
      <c r="C2505" s="1" t="s">
        <v>2173</v>
      </c>
      <c r="D2505" s="1" t="s">
        <v>941</v>
      </c>
      <c r="E2505" s="1" t="str">
        <f>"2022/S F14-0007591"</f>
        <v>2022/S F14-0007591</v>
      </c>
      <c r="F2505" s="1" t="s">
        <v>22</v>
      </c>
      <c r="G2505" s="1" t="str">
        <f>CONCATENATE("NERING D.O.O.,"," LIVADARSKI PUT 24,"," 10360 SESVETE,"," OIB: 85965934616")</f>
        <v>NERING D.O.O., LIVADARSKI PUT 24, 10360 SESVETE, OIB: 85965934616</v>
      </c>
      <c r="H2505" s="1" t="str">
        <f>CONCATENATE("GEOFORMAT D.O.O.,"," OIB: 11342631919")</f>
        <v>GEOFORMAT D.O.O., OIB: 11342631919</v>
      </c>
      <c r="I2505" s="8" t="s">
        <v>835</v>
      </c>
      <c r="J2505" s="8" t="s">
        <v>2174</v>
      </c>
      <c r="K2505" s="6" t="str">
        <f>"712.901,60"</f>
        <v>712.901,60</v>
      </c>
      <c r="L2505" s="6" t="str">
        <f>"178.225,40"</f>
        <v>178.225,40</v>
      </c>
      <c r="M2505" s="6" t="str">
        <f>"891.127,00"</f>
        <v>891.127,00</v>
      </c>
      <c r="N2505" s="8" t="s">
        <v>124</v>
      </c>
      <c r="O2505" s="7"/>
      <c r="P2505" s="2" t="s">
        <v>5614</v>
      </c>
      <c r="Q2505" s="7"/>
      <c r="R2505" s="1"/>
      <c r="S2505" s="1" t="str">
        <f>"N-36/21"</f>
        <v>N-36/21</v>
      </c>
      <c r="T2505" s="1" t="s">
        <v>55</v>
      </c>
    </row>
    <row r="2506" spans="1:20" ht="76.5" x14ac:dyDescent="0.25">
      <c r="A2506" s="6">
        <v>2502</v>
      </c>
      <c r="B2506" s="1" t="str">
        <f>"2021-2218"</f>
        <v>2021-2218</v>
      </c>
      <c r="C2506" s="1" t="s">
        <v>2175</v>
      </c>
      <c r="D2506" s="1" t="s">
        <v>941</v>
      </c>
      <c r="E2506" s="1" t="str">
        <f>"2021/S 0F2-0032015"</f>
        <v>2021/S 0F2-0032015</v>
      </c>
      <c r="F2506" s="1" t="s">
        <v>22</v>
      </c>
      <c r="G2506" s="1" t="str">
        <f>CONCATENATE("BUBANJ - NISKOGRADNJA D.O.O.,"," KRUGE 7,"," 10000 ZAGREB,"," OIB: 29539944583")</f>
        <v>BUBANJ - NISKOGRADNJA D.O.O., KRUGE 7, 10000 ZAGREB, OIB: 29539944583</v>
      </c>
      <c r="H2506" s="1" t="str">
        <f>CONCATENATE("GEODIST D.O.O.,"," OIB: 709786718")</f>
        <v>GEODIST D.O.O., OIB: 709786718</v>
      </c>
      <c r="I2506" s="8" t="s">
        <v>835</v>
      </c>
      <c r="J2506" s="8" t="s">
        <v>2176</v>
      </c>
      <c r="K2506" s="6" t="str">
        <f>"19.199.603,78"</f>
        <v>19.199.603,78</v>
      </c>
      <c r="L2506" s="6" t="str">
        <f>"4.799.900,95"</f>
        <v>4.799.900,95</v>
      </c>
      <c r="M2506" s="6" t="str">
        <f>"23.999.504,73"</f>
        <v>23.999.504,73</v>
      </c>
      <c r="N2506" s="8" t="s">
        <v>124</v>
      </c>
      <c r="O2506" s="7"/>
      <c r="P2506" s="2" t="s">
        <v>5614</v>
      </c>
      <c r="Q2506" s="7"/>
      <c r="R2506" s="1"/>
      <c r="S2506" s="1" t="str">
        <f>"N-37/21"</f>
        <v>N-37/21</v>
      </c>
      <c r="T2506" s="1" t="s">
        <v>55</v>
      </c>
    </row>
    <row r="2507" spans="1:20" ht="51" x14ac:dyDescent="0.25">
      <c r="A2507" s="6">
        <v>2503</v>
      </c>
      <c r="B2507" s="1" t="str">
        <f>"2021-2285"</f>
        <v>2021-2285</v>
      </c>
      <c r="C2507" s="1" t="s">
        <v>2048</v>
      </c>
      <c r="D2507" s="1" t="s">
        <v>2049</v>
      </c>
      <c r="E2507" s="1" t="str">
        <f>"2021/S 0F2-0041316"</f>
        <v>2021/S 0F2-0041316</v>
      </c>
      <c r="F2507" s="1" t="s">
        <v>22</v>
      </c>
      <c r="G2507" s="1" t="str">
        <f>CONCATENATE("IKOM D.O.O.,"," KOVINSKA 7,"," 10090 ZAGREB-SUSEDGRAD,"," OIB: 86247075815")</f>
        <v>IKOM D.O.O., KOVINSKA 7, 10090 ZAGREB-SUSEDGRAD, OIB: 86247075815</v>
      </c>
      <c r="H2507" s="7"/>
      <c r="I2507" s="8" t="s">
        <v>835</v>
      </c>
      <c r="J2507" s="8" t="s">
        <v>2176</v>
      </c>
      <c r="K2507" s="6" t="str">
        <f>"300.000,00"</f>
        <v>300.000,00</v>
      </c>
      <c r="L2507" s="6" t="str">
        <f>"75.000,00"</f>
        <v>75.000,00</v>
      </c>
      <c r="M2507" s="6" t="str">
        <f>"375.000,00"</f>
        <v>375.000,00</v>
      </c>
      <c r="N2507" s="8" t="s">
        <v>124</v>
      </c>
      <c r="O2507" s="7"/>
      <c r="P2507" s="2" t="s">
        <v>7005</v>
      </c>
      <c r="Q2507" s="7"/>
      <c r="R2507" s="1"/>
      <c r="S2507" s="1" t="str">
        <f>"N-38/21"</f>
        <v>N-38/21</v>
      </c>
      <c r="T2507" s="1" t="s">
        <v>452</v>
      </c>
    </row>
    <row r="2508" spans="1:20" ht="51" x14ac:dyDescent="0.25">
      <c r="A2508" s="6">
        <v>2504</v>
      </c>
      <c r="B2508" s="1" t="str">
        <f>"2021-2219"</f>
        <v>2021-2219</v>
      </c>
      <c r="C2508" s="1" t="s">
        <v>2177</v>
      </c>
      <c r="D2508" s="1" t="s">
        <v>941</v>
      </c>
      <c r="E2508" s="1" t="str">
        <f>"2022/S 0F2-0000689"</f>
        <v>2022/S 0F2-0000689</v>
      </c>
      <c r="F2508" s="1" t="s">
        <v>22</v>
      </c>
      <c r="G2508" s="1" t="str">
        <f>CONCATENATE("NERING D.O.O.,"," LIVADARSKI PUT 24,"," 10360 SESVETE,"," OIB: 85965934616")</f>
        <v>NERING D.O.O., LIVADARSKI PUT 24, 10360 SESVETE, OIB: 85965934616</v>
      </c>
      <c r="H2508" s="1" t="str">
        <f>CONCATENATE("MJERNIK-LIMA D.O.O.,"," OIB: 00496607907")</f>
        <v>MJERNIK-LIMA D.O.O., OIB: 00496607907</v>
      </c>
      <c r="I2508" s="8" t="s">
        <v>487</v>
      </c>
      <c r="J2508" s="8" t="s">
        <v>2178</v>
      </c>
      <c r="K2508" s="6" t="str">
        <f>"305.885,50"</f>
        <v>305.885,50</v>
      </c>
      <c r="L2508" s="6" t="str">
        <f>"76.471,38"</f>
        <v>76.471,38</v>
      </c>
      <c r="M2508" s="6" t="str">
        <f>"382.356,88"</f>
        <v>382.356,88</v>
      </c>
      <c r="N2508" s="8" t="s">
        <v>124</v>
      </c>
      <c r="O2508" s="7"/>
      <c r="P2508" s="2" t="s">
        <v>5614</v>
      </c>
      <c r="Q2508" s="7"/>
      <c r="R2508" s="1"/>
      <c r="S2508" s="1" t="str">
        <f>"N-39/21"</f>
        <v>N-39/21</v>
      </c>
      <c r="T2508" s="1" t="s">
        <v>55</v>
      </c>
    </row>
    <row r="2509" spans="1:20" ht="76.5" x14ac:dyDescent="0.25">
      <c r="A2509" s="6">
        <v>2505</v>
      </c>
      <c r="B2509" s="1" t="str">
        <f>"2021-2044"</f>
        <v>2021-2044</v>
      </c>
      <c r="C2509" s="1" t="s">
        <v>2179</v>
      </c>
      <c r="D2509" s="1" t="s">
        <v>2068</v>
      </c>
      <c r="E2509" s="1" t="str">
        <f>"2022/S F14-0007473"</f>
        <v>2022/S F14-0007473</v>
      </c>
      <c r="F2509" s="1" t="s">
        <v>22</v>
      </c>
      <c r="G2509" s="1" t="str">
        <f>CONCATENATE("GRADEX &amp; CO D.O.O.,"," PAVLOVEC ZABOČKI,"," PRILAZ DR. FRANJE TUĐMANA 4,"," 49210 ZABOK,"," OIB: 73369080939")</f>
        <v>GRADEX &amp; CO D.O.O., PAVLOVEC ZABOČKI, PRILAZ DR. FRANJE TUĐMANA 4, 49210 ZABOK, OIB: 73369080939</v>
      </c>
      <c r="H2509" s="7"/>
      <c r="I2509" s="8" t="s">
        <v>424</v>
      </c>
      <c r="J2509" s="8" t="s">
        <v>2180</v>
      </c>
      <c r="K2509" s="6" t="str">
        <f>"932.427,70"</f>
        <v>932.427,70</v>
      </c>
      <c r="L2509" s="6" t="str">
        <f>"233.106,93"</f>
        <v>233.106,93</v>
      </c>
      <c r="M2509" s="6" t="str">
        <f>"1.165.534,63"</f>
        <v>1.165.534,63</v>
      </c>
      <c r="N2509" s="8" t="s">
        <v>124</v>
      </c>
      <c r="O2509" s="7"/>
      <c r="P2509" s="2" t="s">
        <v>5614</v>
      </c>
      <c r="Q2509" s="7"/>
      <c r="R2509" s="1"/>
      <c r="S2509" s="1" t="str">
        <f>"N-40/21"</f>
        <v>N-40/21</v>
      </c>
      <c r="T2509" s="1" t="s">
        <v>55</v>
      </c>
    </row>
    <row r="2510" spans="1:20" ht="51" x14ac:dyDescent="0.25">
      <c r="A2510" s="6">
        <v>2506</v>
      </c>
      <c r="B2510" s="1" t="str">
        <f>"2021-2360"</f>
        <v>2021-2360</v>
      </c>
      <c r="C2510" s="1" t="s">
        <v>2181</v>
      </c>
      <c r="D2510" s="1" t="s">
        <v>2182</v>
      </c>
      <c r="E2510" s="1" t="str">
        <f>"2022/S 0F2-0011666"</f>
        <v>2022/S 0F2-0011666</v>
      </c>
      <c r="F2510" s="1" t="s">
        <v>22</v>
      </c>
      <c r="G2510" s="1" t="str">
        <f>CONCATENATE("MEGA MONT D.O.O.,"," POPOVIĆEV PUT 2/D,"," 51211 MATULJI,"," OIB: 64536314217")</f>
        <v>MEGA MONT D.O.O., POPOVIĆEV PUT 2/D, 51211 MATULJI, OIB: 64536314217</v>
      </c>
      <c r="H2510" s="7"/>
      <c r="I2510" s="8" t="s">
        <v>425</v>
      </c>
      <c r="J2510" s="8" t="s">
        <v>2183</v>
      </c>
      <c r="K2510" s="6" t="str">
        <f>"342.700,00"</f>
        <v>342.700,00</v>
      </c>
      <c r="L2510" s="6" t="str">
        <f>"85.675,00"</f>
        <v>85.675,00</v>
      </c>
      <c r="M2510" s="6" t="str">
        <f>"428.375,00"</f>
        <v>428.375,00</v>
      </c>
      <c r="N2510" s="8" t="s">
        <v>124</v>
      </c>
      <c r="O2510" s="7"/>
      <c r="P2510" s="2" t="s">
        <v>5614</v>
      </c>
      <c r="Q2510" s="7"/>
      <c r="R2510" s="1"/>
      <c r="S2510" s="1" t="str">
        <f>"N-41/21"</f>
        <v>N-41/21</v>
      </c>
      <c r="T2510" s="1" t="s">
        <v>32</v>
      </c>
    </row>
    <row r="2511" spans="1:20" ht="76.5" x14ac:dyDescent="0.25">
      <c r="A2511" s="6">
        <v>2507</v>
      </c>
      <c r="B2511" s="1" t="str">
        <f>"2021-1969"</f>
        <v>2021-1969</v>
      </c>
      <c r="C2511" s="1" t="s">
        <v>2184</v>
      </c>
      <c r="D2511" s="1" t="s">
        <v>941</v>
      </c>
      <c r="E2511" s="1" t="str">
        <f>"2022/S 0F2-0000578"</f>
        <v>2022/S 0F2-0000578</v>
      </c>
      <c r="F2511" s="1" t="s">
        <v>22</v>
      </c>
      <c r="G2511" s="1" t="str">
        <f>CONCATENATE("GRADEX &amp; CO D.O.O.,"," PAVLOVEC ZABOČKI,"," PRILAZ DR. FRANJE TUĐMANA 4,"," 49210 ZABOK,"," OIB: 73369080939")</f>
        <v>GRADEX &amp; CO D.O.O., PAVLOVEC ZABOČKI, PRILAZ DR. FRANJE TUĐMANA 4, 49210 ZABOK, OIB: 73369080939</v>
      </c>
      <c r="H2511" s="7"/>
      <c r="I2511" s="8" t="s">
        <v>1073</v>
      </c>
      <c r="J2511" s="8" t="s">
        <v>2185</v>
      </c>
      <c r="K2511" s="6" t="str">
        <f>"727.867,85"</f>
        <v>727.867,85</v>
      </c>
      <c r="L2511" s="6" t="str">
        <f>"181.966,96"</f>
        <v>181.966,96</v>
      </c>
      <c r="M2511" s="6" t="str">
        <f>"909.834,81"</f>
        <v>909.834,81</v>
      </c>
      <c r="N2511" s="8" t="s">
        <v>124</v>
      </c>
      <c r="O2511" s="7"/>
      <c r="P2511" s="2" t="s">
        <v>5614</v>
      </c>
      <c r="Q2511" s="7"/>
      <c r="R2511" s="1"/>
      <c r="S2511" s="1" t="str">
        <f>"N-42/21"</f>
        <v>N-42/21</v>
      </c>
      <c r="T2511" s="1" t="s">
        <v>55</v>
      </c>
    </row>
    <row r="2512" spans="1:20" ht="63.75" x14ac:dyDescent="0.25">
      <c r="A2512" s="6">
        <v>2508</v>
      </c>
      <c r="B2512" s="1" t="str">
        <f>"2021-2266"</f>
        <v>2021-2266</v>
      </c>
      <c r="C2512" s="1" t="s">
        <v>2186</v>
      </c>
      <c r="D2512" s="1" t="s">
        <v>941</v>
      </c>
      <c r="E2512" s="1" t="str">
        <f>"2022/S 0F2-0002315"</f>
        <v>2022/S 0F2-0002315</v>
      </c>
      <c r="F2512" s="1" t="s">
        <v>22</v>
      </c>
      <c r="G2512" s="1" t="str">
        <f>CONCATENATE("TEMPORIUM GRADNJA D.O.O.,"," LJUTOMERSKA ULICA 33A,"," 10000 ZAGREB,"," OIB: 6285048268")</f>
        <v>TEMPORIUM GRADNJA D.O.O., LJUTOMERSKA ULICA 33A, 10000 ZAGREB, OIB: 6285048268</v>
      </c>
      <c r="H2512" s="7"/>
      <c r="I2512" s="8" t="s">
        <v>1073</v>
      </c>
      <c r="J2512" s="8" t="s">
        <v>1439</v>
      </c>
      <c r="K2512" s="6" t="str">
        <f>"522.617,15"</f>
        <v>522.617,15</v>
      </c>
      <c r="L2512" s="6" t="str">
        <f>"130.654,29"</f>
        <v>130.654,29</v>
      </c>
      <c r="M2512" s="6" t="str">
        <f>"653.271,44"</f>
        <v>653.271,44</v>
      </c>
      <c r="N2512" s="8" t="s">
        <v>124</v>
      </c>
      <c r="O2512" s="7"/>
      <c r="P2512" s="2" t="s">
        <v>5614</v>
      </c>
      <c r="Q2512" s="7"/>
      <c r="R2512" s="1"/>
      <c r="S2512" s="1" t="str">
        <f>"N-43/21"</f>
        <v>N-43/21</v>
      </c>
      <c r="T2512" s="1" t="s">
        <v>55</v>
      </c>
    </row>
    <row r="2513" spans="1:20" ht="51" x14ac:dyDescent="0.25">
      <c r="A2513" s="6">
        <v>2509</v>
      </c>
      <c r="B2513" s="1" t="str">
        <f>"2021-2343"</f>
        <v>2021-2343</v>
      </c>
      <c r="C2513" s="1" t="s">
        <v>2187</v>
      </c>
      <c r="D2513" s="1" t="s">
        <v>2188</v>
      </c>
      <c r="E2513" s="1" t="str">
        <f>"2022/S 0F2-0001996"</f>
        <v>2022/S 0F2-0001996</v>
      </c>
      <c r="F2513" s="1" t="s">
        <v>22</v>
      </c>
      <c r="G2513" s="1" t="str">
        <f>CONCATENATE("FASEK  D.O.O.,"," ZVONIGRADSKA 43,"," 10000 ZAGREB,"," OIB: 12310313467")</f>
        <v>FASEK  D.O.O., ZVONIGRADSKA 43, 10000 ZAGREB, OIB: 12310313467</v>
      </c>
      <c r="H2513" s="7"/>
      <c r="I2513" s="8" t="s">
        <v>1399</v>
      </c>
      <c r="J2513" s="8" t="s">
        <v>1813</v>
      </c>
      <c r="K2513" s="6" t="str">
        <f>"348.965,00"</f>
        <v>348.965,00</v>
      </c>
      <c r="L2513" s="6" t="str">
        <f>"87.241,25"</f>
        <v>87.241,25</v>
      </c>
      <c r="M2513" s="6" t="str">
        <f>"436.206,25"</f>
        <v>436.206,25</v>
      </c>
      <c r="N2513" s="8" t="s">
        <v>124</v>
      </c>
      <c r="O2513" s="7"/>
      <c r="P2513" s="2" t="s">
        <v>5614</v>
      </c>
      <c r="Q2513" s="7"/>
      <c r="R2513" s="1"/>
      <c r="S2513" s="1" t="str">
        <f>"N-45/21"</f>
        <v>N-45/21</v>
      </c>
      <c r="T2513" s="1" t="s">
        <v>452</v>
      </c>
    </row>
    <row r="2514" spans="1:20" ht="63.75" x14ac:dyDescent="0.25">
      <c r="A2514" s="6">
        <v>2510</v>
      </c>
      <c r="B2514" s="1" t="str">
        <f>"2021-2330"</f>
        <v>2021-2330</v>
      </c>
      <c r="C2514" s="1" t="s">
        <v>2189</v>
      </c>
      <c r="D2514" s="1" t="s">
        <v>2190</v>
      </c>
      <c r="E2514" s="1" t="str">
        <f>"2022/S 0F2-0002051"</f>
        <v>2022/S 0F2-0002051</v>
      </c>
      <c r="F2514" s="1" t="s">
        <v>22</v>
      </c>
      <c r="G2514" s="1" t="str">
        <f>CONCATENATE("ELOB D.O.O.,"," AVENIJA V. HOLJEVCA 20,"," 10020 ZAGREB,"," OIB: 90957063004")</f>
        <v>ELOB D.O.O., AVENIJA V. HOLJEVCA 20, 10020 ZAGREB, OIB: 90957063004</v>
      </c>
      <c r="H2514" s="7"/>
      <c r="I2514" s="8" t="s">
        <v>523</v>
      </c>
      <c r="J2514" s="8" t="s">
        <v>2191</v>
      </c>
      <c r="K2514" s="6" t="str">
        <f>"748.400,00"</f>
        <v>748.400,00</v>
      </c>
      <c r="L2514" s="6" t="str">
        <f>"187.100,00"</f>
        <v>187.100,00</v>
      </c>
      <c r="M2514" s="6" t="str">
        <f>"935.500,00"</f>
        <v>935.500,00</v>
      </c>
      <c r="N2514" s="8" t="s">
        <v>124</v>
      </c>
      <c r="O2514" s="7"/>
      <c r="P2514" s="2" t="s">
        <v>5614</v>
      </c>
      <c r="Q2514" s="7"/>
      <c r="R2514" s="1"/>
      <c r="S2514" s="1" t="str">
        <f>"N-46/21"</f>
        <v>N-46/21</v>
      </c>
      <c r="T2514" s="1" t="s">
        <v>452</v>
      </c>
    </row>
    <row r="2515" spans="1:20" ht="63.75" x14ac:dyDescent="0.25">
      <c r="A2515" s="6">
        <v>2511</v>
      </c>
      <c r="B2515" s="1" t="str">
        <f>"2021-2217"</f>
        <v>2021-2217</v>
      </c>
      <c r="C2515" s="1" t="s">
        <v>2192</v>
      </c>
      <c r="D2515" s="1" t="s">
        <v>941</v>
      </c>
      <c r="E2515" s="1" t="str">
        <f>"2022/S 0F2-0007921"</f>
        <v>2022/S 0F2-0007921</v>
      </c>
      <c r="F2515" s="1" t="s">
        <v>22</v>
      </c>
      <c r="G2515" s="1" t="str">
        <f>CONCATENATE("TEMPORIUM GRADNJA D.O.O.,"," LJUTOMERSKA ULICA 33A,"," 10000 ZAGREB,"," OIB: 6285048268")</f>
        <v>TEMPORIUM GRADNJA D.O.O., LJUTOMERSKA ULICA 33A, 10000 ZAGREB, OIB: 6285048268</v>
      </c>
      <c r="H2515" s="7"/>
      <c r="I2515" s="8" t="s">
        <v>278</v>
      </c>
      <c r="J2515" s="8" t="s">
        <v>2193</v>
      </c>
      <c r="K2515" s="6" t="str">
        <f>"660.003,09"</f>
        <v>660.003,09</v>
      </c>
      <c r="L2515" s="6" t="str">
        <f>"165.000,77"</f>
        <v>165.000,77</v>
      </c>
      <c r="M2515" s="6" t="str">
        <f>"825.003,86"</f>
        <v>825.003,86</v>
      </c>
      <c r="N2515" s="8" t="s">
        <v>124</v>
      </c>
      <c r="O2515" s="7"/>
      <c r="P2515" s="2" t="s">
        <v>5614</v>
      </c>
      <c r="Q2515" s="7"/>
      <c r="R2515" s="1"/>
      <c r="S2515" s="1" t="str">
        <f>"N-47/21"</f>
        <v>N-47/21</v>
      </c>
      <c r="T2515" s="1" t="s">
        <v>55</v>
      </c>
    </row>
    <row r="2516" spans="1:20" ht="51" x14ac:dyDescent="0.25">
      <c r="A2516" s="6">
        <v>2512</v>
      </c>
      <c r="B2516" s="1" t="str">
        <f>"2021-2342"</f>
        <v>2021-2342</v>
      </c>
      <c r="C2516" s="1" t="s">
        <v>2194</v>
      </c>
      <c r="D2516" s="1" t="s">
        <v>2195</v>
      </c>
      <c r="E2516" s="1" t="str">
        <f>"2022/S 0F2-0010451"</f>
        <v>2022/S 0F2-0010451</v>
      </c>
      <c r="F2516" s="1" t="s">
        <v>22</v>
      </c>
      <c r="G2516" s="1" t="str">
        <f>CONCATENATE("TERMORAD D.O.O.,"," PRISAVLJE 12,"," 10000 ZAGREB,"," OIB: 48737778965")</f>
        <v>TERMORAD D.O.O., PRISAVLJE 12, 10000 ZAGREB, OIB: 48737778965</v>
      </c>
      <c r="H2516" s="7"/>
      <c r="I2516" s="8" t="s">
        <v>160</v>
      </c>
      <c r="J2516" s="8" t="s">
        <v>2196</v>
      </c>
      <c r="K2516" s="6" t="str">
        <f>"461.074,00"</f>
        <v>461.074,00</v>
      </c>
      <c r="L2516" s="6" t="str">
        <f>"115.268,50"</f>
        <v>115.268,50</v>
      </c>
      <c r="M2516" s="6" t="str">
        <f>"576.342,50"</f>
        <v>576.342,50</v>
      </c>
      <c r="N2516" s="8" t="s">
        <v>124</v>
      </c>
      <c r="O2516" s="7"/>
      <c r="P2516" s="2" t="s">
        <v>7006</v>
      </c>
      <c r="Q2516" s="7"/>
      <c r="R2516" s="1"/>
      <c r="S2516" s="1" t="str">
        <f>"N-49/21"</f>
        <v>N-49/21</v>
      </c>
      <c r="T2516" s="1" t="s">
        <v>32</v>
      </c>
    </row>
    <row r="2517" spans="1:20" ht="63.75" x14ac:dyDescent="0.25">
      <c r="A2517" s="6">
        <v>2513</v>
      </c>
      <c r="B2517" s="1" t="str">
        <f>"2021-1968"</f>
        <v>2021-1968</v>
      </c>
      <c r="C2517" s="1" t="s">
        <v>2197</v>
      </c>
      <c r="D2517" s="1" t="s">
        <v>941</v>
      </c>
      <c r="E2517" s="1" t="str">
        <f>"2022/S F14-0007474"</f>
        <v>2022/S F14-0007474</v>
      </c>
      <c r="F2517" s="1" t="s">
        <v>22</v>
      </c>
      <c r="G2517" s="1" t="str">
        <f>CONCATENATE("HIDRO GRAD D.O.O.,"," GUSTAVA KRKLECA,"," RAKITJE 6,"," 10437 BESTOVJE,"," OIB: 49528301725")</f>
        <v>HIDRO GRAD D.O.O., GUSTAVA KRKLECA, RAKITJE 6, 10437 BESTOVJE, OIB: 49528301725</v>
      </c>
      <c r="H2517" s="7"/>
      <c r="I2517" s="8" t="s">
        <v>428</v>
      </c>
      <c r="J2517" s="8" t="s">
        <v>2198</v>
      </c>
      <c r="K2517" s="6" t="str">
        <f>"617.700,00"</f>
        <v>617.700,00</v>
      </c>
      <c r="L2517" s="6" t="str">
        <f>"154.425,00"</f>
        <v>154.425,00</v>
      </c>
      <c r="M2517" s="6" t="str">
        <f>"772.125,00"</f>
        <v>772.125,00</v>
      </c>
      <c r="N2517" s="8" t="s">
        <v>124</v>
      </c>
      <c r="O2517" s="7"/>
      <c r="P2517" s="2" t="s">
        <v>5614</v>
      </c>
      <c r="Q2517" s="7"/>
      <c r="R2517" s="1"/>
      <c r="S2517" s="1" t="str">
        <f>"N-50/21"</f>
        <v>N-50/21</v>
      </c>
      <c r="T2517" s="1" t="s">
        <v>55</v>
      </c>
    </row>
    <row r="2518" spans="1:20" ht="76.5" x14ac:dyDescent="0.25">
      <c r="A2518" s="6">
        <v>2514</v>
      </c>
      <c r="B2518" s="1" t="str">
        <f>"2021-2293"</f>
        <v>2021-2293</v>
      </c>
      <c r="C2518" s="1" t="s">
        <v>2199</v>
      </c>
      <c r="D2518" s="1" t="s">
        <v>185</v>
      </c>
      <c r="E2518" s="1" t="str">
        <f>"2022/S 0F2-0008469"</f>
        <v>2022/S 0F2-0008469</v>
      </c>
      <c r="F2518" s="1" t="s">
        <v>22</v>
      </c>
      <c r="G2518" s="1" t="str">
        <f>CONCATENATE("KUSTOŠIJA GRAĐENJE D.O.O.,"," KUSTOŠIJANSKA 8/1,"," 10000 ZAGREB,"," OIB: 90604644832")</f>
        <v>KUSTOŠIJA GRAĐENJE D.O.O., KUSTOŠIJANSKA 8/1, 10000 ZAGREB, OIB: 90604644832</v>
      </c>
      <c r="H2518" s="7"/>
      <c r="I2518" s="8" t="s">
        <v>923</v>
      </c>
      <c r="J2518" s="8" t="s">
        <v>2200</v>
      </c>
      <c r="K2518" s="6" t="str">
        <f>"369.598,40"</f>
        <v>369.598,40</v>
      </c>
      <c r="L2518" s="6" t="str">
        <f>"92.399,60"</f>
        <v>92.399,60</v>
      </c>
      <c r="M2518" s="6" t="str">
        <f>"461.998,00"</f>
        <v>461.998,00</v>
      </c>
      <c r="N2518" s="8" t="s">
        <v>124</v>
      </c>
      <c r="O2518" s="7"/>
      <c r="P2518" s="2" t="s">
        <v>5614</v>
      </c>
      <c r="Q2518" s="7"/>
      <c r="R2518" s="1"/>
      <c r="S2518" s="1" t="str">
        <f>"N-51/21"</f>
        <v>N-51/21</v>
      </c>
      <c r="T2518" s="1" t="s">
        <v>32</v>
      </c>
    </row>
    <row r="2519" spans="1:20" ht="76.5" x14ac:dyDescent="0.25">
      <c r="A2519" s="6">
        <v>2515</v>
      </c>
      <c r="B2519" s="1" t="str">
        <f>"2021-2000"</f>
        <v>2021-2000</v>
      </c>
      <c r="C2519" s="1" t="s">
        <v>2201</v>
      </c>
      <c r="D2519" s="1" t="s">
        <v>941</v>
      </c>
      <c r="E2519" s="1" t="str">
        <f>"2022/S 0F2-0000764"</f>
        <v>2022/S 0F2-0000764</v>
      </c>
      <c r="F2519" s="1" t="s">
        <v>22</v>
      </c>
      <c r="G2519" s="1" t="str">
        <f>CONCATENATE("GRADEX &amp; CO D.O.O.,"," PAVLOVEC ZABOČKI,"," PRILAZ DR. FRANJE TUĐMANA 4,"," 49210 ZABOK,"," OIB: 73369080939")</f>
        <v>GRADEX &amp; CO D.O.O., PAVLOVEC ZABOČKI, PRILAZ DR. FRANJE TUĐMANA 4, 49210 ZABOK, OIB: 73369080939</v>
      </c>
      <c r="H2519" s="7"/>
      <c r="I2519" s="8" t="s">
        <v>1025</v>
      </c>
      <c r="J2519" s="8" t="s">
        <v>1866</v>
      </c>
      <c r="K2519" s="6" t="str">
        <f>"7.000.878,00"</f>
        <v>7.000.878,00</v>
      </c>
      <c r="L2519" s="6" t="str">
        <f>"1.750.219,50"</f>
        <v>1.750.219,50</v>
      </c>
      <c r="M2519" s="6" t="str">
        <f>"8.751.097,50"</f>
        <v>8.751.097,50</v>
      </c>
      <c r="N2519" s="8" t="s">
        <v>124</v>
      </c>
      <c r="O2519" s="7"/>
      <c r="P2519" s="2" t="s">
        <v>5614</v>
      </c>
      <c r="Q2519" s="7"/>
      <c r="R2519" s="1"/>
      <c r="S2519" s="1" t="str">
        <f>"N-52/21"</f>
        <v>N-52/21</v>
      </c>
      <c r="T2519" s="1" t="s">
        <v>55</v>
      </c>
    </row>
    <row r="2520" spans="1:20" ht="89.25" x14ac:dyDescent="0.25">
      <c r="A2520" s="6">
        <v>2516</v>
      </c>
      <c r="B2520" s="1" t="str">
        <f>"2021-2339"</f>
        <v>2021-2339</v>
      </c>
      <c r="C2520" s="1" t="s">
        <v>2202</v>
      </c>
      <c r="D2520" s="1" t="s">
        <v>1226</v>
      </c>
      <c r="E2520" s="1" t="str">
        <f>"2021/S 0F2-0045620"</f>
        <v>2021/S 0F2-0045620</v>
      </c>
      <c r="F2520" s="1" t="s">
        <v>22</v>
      </c>
      <c r="G2520" s="1" t="str">
        <f>CONCATENATE("Zajednica ponuditelja",CHAR(10),"SOLANA PAG D.D.,"," SVILNO bb,"," 23250 PAG,"," OIB: 34949147151PAG 91 D.O.O. VELA ULICA 14,"," 23250 PAG,"," OIB: 7415562982")</f>
        <v>Zajednica ponuditelja
SOLANA PAG D.D., SVILNO bb, 23250 PAG, OIB: 34949147151PAG 91 D.O.O. VELA ULICA 14, 23250 PAG, OIB: 7415562982</v>
      </c>
      <c r="H2520" s="7"/>
      <c r="I2520" s="8" t="s">
        <v>31</v>
      </c>
      <c r="J2520" s="8" t="s">
        <v>2203</v>
      </c>
      <c r="K2520" s="6" t="str">
        <f>"5.490.000,00"</f>
        <v>5.490.000,00</v>
      </c>
      <c r="L2520" s="6" t="str">
        <f>"1.372.500,00"</f>
        <v>1.372.500,00</v>
      </c>
      <c r="M2520" s="6" t="str">
        <f>"6.862.500,00"</f>
        <v>6.862.500,00</v>
      </c>
      <c r="N2520" s="8" t="s">
        <v>124</v>
      </c>
      <c r="O2520" s="7"/>
      <c r="P2520" s="2" t="s">
        <v>5614</v>
      </c>
      <c r="Q2520" s="7"/>
      <c r="R2520" s="1"/>
      <c r="S2520" s="1" t="str">
        <f>"N-53/21"</f>
        <v>N-53/21</v>
      </c>
      <c r="T2520" s="1" t="s">
        <v>32</v>
      </c>
    </row>
    <row r="2521" spans="1:20" ht="76.5" x14ac:dyDescent="0.25">
      <c r="A2521" s="6">
        <v>2517</v>
      </c>
      <c r="B2521" s="1" t="str">
        <f>"2021-2047"</f>
        <v>2021-2047</v>
      </c>
      <c r="C2521" s="1" t="s">
        <v>2204</v>
      </c>
      <c r="D2521" s="1" t="s">
        <v>2068</v>
      </c>
      <c r="E2521" s="1" t="str">
        <f>"2022/S 0F2-0003256"</f>
        <v>2022/S 0F2-0003256</v>
      </c>
      <c r="F2521" s="1" t="s">
        <v>22</v>
      </c>
      <c r="G2521" s="1" t="str">
        <f>CONCATENATE("GRADEX &amp; CO D.O.O.,"," PAVLOVEC ZABOČKI,"," PRILAZ DR. FRANJE TUĐMANA 4,"," 49210 ZABOK,"," OIB: 73369080939")</f>
        <v>GRADEX &amp; CO D.O.O., PAVLOVEC ZABOČKI, PRILAZ DR. FRANJE TUĐMANA 4, 49210 ZABOK, OIB: 73369080939</v>
      </c>
      <c r="H2521" s="7"/>
      <c r="I2521" s="8" t="s">
        <v>508</v>
      </c>
      <c r="J2521" s="8" t="s">
        <v>2205</v>
      </c>
      <c r="K2521" s="6" t="str">
        <f>"834.864,71"</f>
        <v>834.864,71</v>
      </c>
      <c r="L2521" s="6" t="str">
        <f>"208.716,18"</f>
        <v>208.716,18</v>
      </c>
      <c r="M2521" s="6" t="str">
        <f>"1.043.580,89"</f>
        <v>1.043.580,89</v>
      </c>
      <c r="N2521" s="8" t="s">
        <v>124</v>
      </c>
      <c r="O2521" s="7"/>
      <c r="P2521" s="2" t="s">
        <v>5614</v>
      </c>
      <c r="Q2521" s="7"/>
      <c r="R2521" s="1"/>
      <c r="S2521" s="1" t="str">
        <f>"N-54/21"</f>
        <v>N-54/21</v>
      </c>
      <c r="T2521" s="1" t="s">
        <v>55</v>
      </c>
    </row>
    <row r="2522" spans="1:20" ht="114.75" x14ac:dyDescent="0.25">
      <c r="A2522" s="6">
        <v>2518</v>
      </c>
      <c r="B2522" s="1" t="str">
        <f>"2022-1503"</f>
        <v>2022-1503</v>
      </c>
      <c r="C2522" s="1" t="s">
        <v>2124</v>
      </c>
      <c r="D2522" s="1" t="s">
        <v>467</v>
      </c>
      <c r="E2522" s="1" t="str">
        <f>"2022/S 0F2-0011005"</f>
        <v>2022/S 0F2-0011005</v>
      </c>
      <c r="F2522" s="1" t="s">
        <v>22</v>
      </c>
      <c r="G2522" s="1"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2522" s="7"/>
      <c r="I2522" s="8" t="s">
        <v>71</v>
      </c>
      <c r="J2522" s="8" t="s">
        <v>2206</v>
      </c>
      <c r="K2522" s="6" t="str">
        <f>"1.059.984,00"</f>
        <v>1.059.984,00</v>
      </c>
      <c r="L2522" s="6" t="str">
        <f>"264.996,00"</f>
        <v>264.996,00</v>
      </c>
      <c r="M2522" s="6" t="str">
        <f>"1.324.980,00"</f>
        <v>1.324.980,00</v>
      </c>
      <c r="N2522" s="8" t="s">
        <v>124</v>
      </c>
      <c r="O2522" s="7"/>
      <c r="P2522" s="2" t="s">
        <v>7007</v>
      </c>
      <c r="Q2522" s="7"/>
      <c r="R2522" s="1"/>
      <c r="S2522" s="1" t="str">
        <f>"N-1/22"</f>
        <v>N-1/22</v>
      </c>
      <c r="T2522" s="1" t="s">
        <v>452</v>
      </c>
    </row>
    <row r="2523" spans="1:20" ht="51" x14ac:dyDescent="0.25">
      <c r="A2523" s="6">
        <v>2519</v>
      </c>
      <c r="B2523" s="1" t="str">
        <f>"2022-1736"</f>
        <v>2022-1736</v>
      </c>
      <c r="C2523" s="1" t="s">
        <v>2125</v>
      </c>
      <c r="D2523" s="1" t="s">
        <v>2126</v>
      </c>
      <c r="E2523" s="1" t="str">
        <f>"2022/S 0F2-0014136"</f>
        <v>2022/S 0F2-0014136</v>
      </c>
      <c r="F2523" s="1" t="s">
        <v>22</v>
      </c>
      <c r="G2523" s="1" t="str">
        <f>CONCATENATE("ELOB D.O.O.,"," AVENIJA V. HOLJEVCA 20,"," 10020 ZAGREB,"," OIB: 90957063004")</f>
        <v>ELOB D.O.O., AVENIJA V. HOLJEVCA 20, 10020 ZAGREB, OIB: 90957063004</v>
      </c>
      <c r="H2523" s="7"/>
      <c r="I2523" s="8" t="s">
        <v>72</v>
      </c>
      <c r="J2523" s="8" t="s">
        <v>2172</v>
      </c>
      <c r="K2523" s="6" t="str">
        <f>"298.950,00"</f>
        <v>298.950,00</v>
      </c>
      <c r="L2523" s="6" t="str">
        <f>"74.737,50"</f>
        <v>74.737,50</v>
      </c>
      <c r="M2523" s="6" t="str">
        <f>"373.687,50"</f>
        <v>373.687,50</v>
      </c>
      <c r="N2523" s="8" t="s">
        <v>124</v>
      </c>
      <c r="O2523" s="7"/>
      <c r="P2523" s="2" t="s">
        <v>7008</v>
      </c>
      <c r="Q2523" s="7"/>
      <c r="R2523" s="1"/>
      <c r="S2523" s="1" t="str">
        <f>"N-2/22"</f>
        <v>N-2/22</v>
      </c>
      <c r="T2523" s="1" t="s">
        <v>452</v>
      </c>
    </row>
    <row r="2524" spans="1:20" ht="89.25" x14ac:dyDescent="0.25">
      <c r="A2524" s="6">
        <v>2520</v>
      </c>
      <c r="B2524" s="1" t="str">
        <f>"2022-1606"</f>
        <v>2022-1606</v>
      </c>
      <c r="C2524" s="1" t="s">
        <v>2207</v>
      </c>
      <c r="D2524" s="1" t="s">
        <v>2208</v>
      </c>
      <c r="E2524" s="1" t="str">
        <f>"2022/S 0F2-0010714"</f>
        <v>2022/S 0F2-0010714</v>
      </c>
      <c r="F2524" s="1" t="s">
        <v>22</v>
      </c>
      <c r="G2524" s="1" t="str">
        <f>CONCATENATE("ODVJETNIČKO DRUŠTVO BEKINA ŠKURLA DURMIŠ I SPAJIĆ D.O.O.,"," PRERADOVIĆEVA ULICA 24,"," 10000 ZAGREB,"," OIB: 68178969783")</f>
        <v>ODVJETNIČKO DRUŠTVO BEKINA ŠKURLA DURMIŠ I SPAJIĆ D.O.O., PRERADOVIĆEVA ULICA 24, 10000 ZAGREB, OIB: 68178969783</v>
      </c>
      <c r="H2524" s="7"/>
      <c r="I2524" s="8" t="s">
        <v>350</v>
      </c>
      <c r="J2524" s="8" t="s">
        <v>2209</v>
      </c>
      <c r="K2524" s="6" t="str">
        <f>"375.000,00"</f>
        <v>375.000,00</v>
      </c>
      <c r="L2524" s="6" t="str">
        <f>"93.750,00"</f>
        <v>93.750,00</v>
      </c>
      <c r="M2524" s="6" t="str">
        <f>"468.750,00"</f>
        <v>468.750,00</v>
      </c>
      <c r="N2524" s="8" t="s">
        <v>124</v>
      </c>
      <c r="O2524" s="7"/>
      <c r="P2524" s="2" t="s">
        <v>5614</v>
      </c>
      <c r="Q2524" s="7"/>
      <c r="R2524" s="1"/>
      <c r="S2524" s="1" t="str">
        <f>"N-3/22"</f>
        <v>N-3/22</v>
      </c>
      <c r="T2524" s="1" t="s">
        <v>32</v>
      </c>
    </row>
    <row r="2525" spans="1:20" ht="76.5" x14ac:dyDescent="0.25">
      <c r="A2525" s="6">
        <v>2521</v>
      </c>
      <c r="B2525" s="1" t="str">
        <f>"2022-1505"</f>
        <v>2022-1505</v>
      </c>
      <c r="C2525" s="1" t="s">
        <v>2210</v>
      </c>
      <c r="D2525" s="1" t="s">
        <v>2211</v>
      </c>
      <c r="E2525" s="1" t="str">
        <f>"2022/S 0F2-0009565"</f>
        <v>2022/S 0F2-0009565</v>
      </c>
      <c r="F2525" s="1" t="s">
        <v>22</v>
      </c>
      <c r="G2525" s="1" t="str">
        <f>CONCATENATE("KPMG CROATIA D.O.O.,"," EUROTOWER,"," 17. KAT - IVANA LUČIĆA 2A,"," 10000 ZAGREB,"," OIB: 20963249418")</f>
        <v>KPMG CROATIA D.O.O., EUROTOWER, 17. KAT - IVANA LUČIĆA 2A, 10000 ZAGREB, OIB: 20963249418</v>
      </c>
      <c r="H2525" s="7"/>
      <c r="I2525" s="8" t="s">
        <v>2212</v>
      </c>
      <c r="J2525" s="8" t="s">
        <v>1484</v>
      </c>
      <c r="K2525" s="6" t="str">
        <f>"735.000,00"</f>
        <v>735.000,00</v>
      </c>
      <c r="L2525" s="6" t="str">
        <f>"183.750,00"</f>
        <v>183.750,00</v>
      </c>
      <c r="M2525" s="6" t="str">
        <f>"918.750,00"</f>
        <v>918.750,00</v>
      </c>
      <c r="N2525" s="8" t="s">
        <v>124</v>
      </c>
      <c r="O2525" s="7"/>
      <c r="P2525" s="2" t="s">
        <v>5614</v>
      </c>
      <c r="Q2525" s="7"/>
      <c r="R2525" s="1"/>
      <c r="S2525" s="1" t="str">
        <f>"N-4/22"</f>
        <v>N-4/22</v>
      </c>
      <c r="T2525" s="1" t="s">
        <v>32</v>
      </c>
    </row>
    <row r="2526" spans="1:20" ht="63.75" x14ac:dyDescent="0.25">
      <c r="A2526" s="6">
        <v>2522</v>
      </c>
      <c r="B2526" s="1" t="str">
        <f>"2022-116"</f>
        <v>2022-116</v>
      </c>
      <c r="C2526" s="1" t="s">
        <v>1038</v>
      </c>
      <c r="D2526" s="1" t="s">
        <v>1039</v>
      </c>
      <c r="E2526" s="1" t="str">
        <f>"2022/S 0F2-0015637"</f>
        <v>2022/S 0F2-0015637</v>
      </c>
      <c r="F2526" s="1" t="s">
        <v>22</v>
      </c>
      <c r="G2526" s="1" t="str">
        <f>CONCATENATE("P T M G D.O.O.,"," GORNJOSTUPNIČKA 18,"," 10255 GORNJI STUPNIK,"," OIB: 5061792625")</f>
        <v>P T M G D.O.O., GORNJOSTUPNIČKA 18, 10255 GORNJI STUPNIK, OIB: 5061792625</v>
      </c>
      <c r="H2526" s="7"/>
      <c r="I2526" s="8" t="s">
        <v>905</v>
      </c>
      <c r="J2526" s="8" t="s">
        <v>2213</v>
      </c>
      <c r="K2526" s="6" t="str">
        <f>"1.398.168,00"</f>
        <v>1.398.168,00</v>
      </c>
      <c r="L2526" s="6" t="str">
        <f>"349.542,00"</f>
        <v>349.542,00</v>
      </c>
      <c r="M2526" s="6" t="str">
        <f>"1.747.710,00"</f>
        <v>1.747.710,00</v>
      </c>
      <c r="N2526" s="8" t="s">
        <v>124</v>
      </c>
      <c r="O2526" s="7"/>
      <c r="P2526" s="2" t="s">
        <v>7009</v>
      </c>
      <c r="Q2526" s="7"/>
      <c r="R2526" s="1"/>
      <c r="S2526" s="1" t="str">
        <f>"N-5/22"</f>
        <v>N-5/22</v>
      </c>
      <c r="T2526" s="1" t="s">
        <v>452</v>
      </c>
    </row>
    <row r="2527" spans="1:20" ht="51" x14ac:dyDescent="0.25">
      <c r="A2527" s="6">
        <v>2523</v>
      </c>
      <c r="B2527" s="1" t="str">
        <f>"2022-1883"</f>
        <v>2022-1883</v>
      </c>
      <c r="C2527" s="1" t="s">
        <v>2214</v>
      </c>
      <c r="D2527" s="1" t="s">
        <v>867</v>
      </c>
      <c r="E2527" s="1" t="str">
        <f>"2022/S 0F2-0025599"</f>
        <v>2022/S 0F2-0025599</v>
      </c>
      <c r="F2527" s="1" t="s">
        <v>22</v>
      </c>
      <c r="G2527" s="1" t="str">
        <f>CONCATENATE("ANDEL D.O.O.,"," MAJSTORSKA 1/G,"," 10000 ZAGREB,"," OIB: 81891996613")</f>
        <v>ANDEL D.O.O., MAJSTORSKA 1/G, 10000 ZAGREB, OIB: 81891996613</v>
      </c>
      <c r="H2527" s="7"/>
      <c r="I2527" s="8" t="s">
        <v>1121</v>
      </c>
      <c r="J2527" s="8" t="s">
        <v>2215</v>
      </c>
      <c r="K2527" s="6" t="str">
        <f>"385.000,00"</f>
        <v>385.000,00</v>
      </c>
      <c r="L2527" s="6" t="str">
        <f>"96.250,00"</f>
        <v>96.250,00</v>
      </c>
      <c r="M2527" s="6" t="str">
        <f>"481.250,00"</f>
        <v>481.250,00</v>
      </c>
      <c r="N2527" s="8" t="s">
        <v>124</v>
      </c>
      <c r="O2527" s="7"/>
      <c r="P2527" s="2" t="s">
        <v>5614</v>
      </c>
      <c r="Q2527" s="7"/>
      <c r="R2527" s="1"/>
      <c r="S2527" s="1" t="str">
        <f>"N-7/22"</f>
        <v>N-7/22</v>
      </c>
      <c r="T2527" s="1" t="s">
        <v>452</v>
      </c>
    </row>
    <row r="2528" spans="1:20" ht="76.5" x14ac:dyDescent="0.25">
      <c r="A2528" s="6">
        <v>2524</v>
      </c>
      <c r="B2528" s="1" t="str">
        <f>"2022-1800"</f>
        <v>2022-1800</v>
      </c>
      <c r="C2528" s="1" t="s">
        <v>1985</v>
      </c>
      <c r="D2528" s="1" t="s">
        <v>1986</v>
      </c>
      <c r="E2528" s="1" t="str">
        <f>""</f>
        <v/>
      </c>
      <c r="F2528" s="1" t="s">
        <v>1040</v>
      </c>
      <c r="G2528" s="1" t="str">
        <f>CONCATENATE("INSTITUT IGH D.D.,"," JANKA RAKUŠE 1,"," 10000 ZAGREB,"," OIB: 79766124714")</f>
        <v>INSTITUT IGH D.D., JANKA RAKUŠE 1, 10000 ZAGREB, OIB: 79766124714</v>
      </c>
      <c r="H2528" s="7"/>
      <c r="I2528" s="8" t="s">
        <v>430</v>
      </c>
      <c r="J2528" s="8" t="s">
        <v>2216</v>
      </c>
      <c r="K2528" s="6" t="str">
        <f>"589.424,00"</f>
        <v>589.424,00</v>
      </c>
      <c r="L2528" s="6" t="str">
        <f>"147.356,00"</f>
        <v>147.356,00</v>
      </c>
      <c r="M2528" s="6" t="str">
        <f>"736.780,00"</f>
        <v>736.780,00</v>
      </c>
      <c r="N2528" s="8" t="s">
        <v>124</v>
      </c>
      <c r="O2528" s="7"/>
      <c r="P2528" s="2" t="s">
        <v>5614</v>
      </c>
      <c r="Q2528" s="7"/>
      <c r="R2528" s="1"/>
      <c r="S2528" s="1" t="str">
        <f>"N-9/22"</f>
        <v>N-9/22</v>
      </c>
      <c r="T2528" s="1" t="s">
        <v>32</v>
      </c>
    </row>
    <row r="2529" spans="1:20" ht="63.75" x14ac:dyDescent="0.25">
      <c r="A2529" s="6">
        <v>2525</v>
      </c>
      <c r="B2529" s="1" t="str">
        <f>"2022-1568"</f>
        <v>2022-1568</v>
      </c>
      <c r="C2529" s="1" t="s">
        <v>2217</v>
      </c>
      <c r="D2529" s="1" t="s">
        <v>941</v>
      </c>
      <c r="E2529" s="1" t="str">
        <f>"2022/S 0F2-0024933"</f>
        <v>2022/S 0F2-0024933</v>
      </c>
      <c r="F2529" s="1" t="s">
        <v>22</v>
      </c>
      <c r="G2529" s="1" t="str">
        <f>CONCATENATE("AMB GRADNJA D.O.O.,"," PRILAZ BARUNA FILIPOVIĆA 15,"," 10000 ZAGREB,"," OIB: 8527265147")</f>
        <v>AMB GRADNJA D.O.O., PRILAZ BARUNA FILIPOVIĆA 15, 10000 ZAGREB, OIB: 8527265147</v>
      </c>
      <c r="H2529" s="7"/>
      <c r="I2529" s="8" t="s">
        <v>1314</v>
      </c>
      <c r="J2529" s="8" t="s">
        <v>2218</v>
      </c>
      <c r="K2529" s="6" t="str">
        <f>"1.480.348,47"</f>
        <v>1.480.348,47</v>
      </c>
      <c r="L2529" s="6" t="str">
        <f>"370.087,12"</f>
        <v>370.087,12</v>
      </c>
      <c r="M2529" s="6" t="str">
        <f>"1.850.435,59"</f>
        <v>1.850.435,59</v>
      </c>
      <c r="N2529" s="8" t="s">
        <v>124</v>
      </c>
      <c r="O2529" s="7"/>
      <c r="P2529" s="2" t="s">
        <v>5614</v>
      </c>
      <c r="Q2529" s="7"/>
      <c r="R2529" s="1"/>
      <c r="S2529" s="1" t="str">
        <f>"N-10/22"</f>
        <v>N-10/22</v>
      </c>
      <c r="T2529" s="1" t="s">
        <v>55</v>
      </c>
    </row>
    <row r="2530" spans="1:20" ht="51" x14ac:dyDescent="0.25">
      <c r="A2530" s="6">
        <v>2526</v>
      </c>
      <c r="B2530" s="1" t="str">
        <f>"2022-1788"</f>
        <v>2022-1788</v>
      </c>
      <c r="C2530" s="1" t="s">
        <v>2219</v>
      </c>
      <c r="D2530" s="1" t="s">
        <v>2220</v>
      </c>
      <c r="E2530" s="1" t="str">
        <f>"2022/ 0BP-01802"</f>
        <v>2022/ 0BP-01802</v>
      </c>
      <c r="F2530" s="1" t="s">
        <v>2221</v>
      </c>
      <c r="G2530" s="1" t="str">
        <f>CONCATENATE("GEOKON-ZAGREB D.D.,"," STAROTRNJANSKA 16/A,"," 10000 ZAGREB,"," OIB: 61600467614")</f>
        <v>GEOKON-ZAGREB D.D., STAROTRNJANSKA 16/A, 10000 ZAGREB, OIB: 61600467614</v>
      </c>
      <c r="H2530" s="7"/>
      <c r="I2530" s="8" t="s">
        <v>1121</v>
      </c>
      <c r="J2530" s="8" t="s">
        <v>570</v>
      </c>
      <c r="K2530" s="6" t="str">
        <f>"1.215.000,00"</f>
        <v>1.215.000,00</v>
      </c>
      <c r="L2530" s="6" t="str">
        <f>"303.750,00"</f>
        <v>303.750,00</v>
      </c>
      <c r="M2530" s="6" t="str">
        <f>"1.518.750,00"</f>
        <v>1.518.750,00</v>
      </c>
      <c r="N2530" s="8" t="s">
        <v>124</v>
      </c>
      <c r="O2530" s="7"/>
      <c r="P2530" s="2" t="s">
        <v>5614</v>
      </c>
      <c r="Q2530" s="7"/>
      <c r="R2530" s="1"/>
      <c r="S2530" s="1" t="str">
        <f>"N-12/22"</f>
        <v>N-12/22</v>
      </c>
      <c r="T2530" s="1" t="s">
        <v>32</v>
      </c>
    </row>
    <row r="2531" spans="1:20" ht="76.5" x14ac:dyDescent="0.25">
      <c r="A2531" s="6">
        <v>2527</v>
      </c>
      <c r="B2531" s="1" t="str">
        <f>"2022-1788"</f>
        <v>2022-1788</v>
      </c>
      <c r="C2531" s="1" t="s">
        <v>2219</v>
      </c>
      <c r="D2531" s="1" t="s">
        <v>2220</v>
      </c>
      <c r="E2531" s="1" t="str">
        <f>"2022/ 0BP-01802"</f>
        <v>2022/ 0BP-01802</v>
      </c>
      <c r="F2531" s="1" t="s">
        <v>1848</v>
      </c>
      <c r="G2531" s="1" t="str">
        <f>CONCATENATE("GEOKON-ZAGREB D.D.,"," STAROTRNJANSKA 16/A,"," 10000 ZAGREB,"," OIB: 61600467614")</f>
        <v>GEOKON-ZAGREB D.D., STAROTRNJANSKA 16/A, 10000 ZAGREB, OIB: 61600467614</v>
      </c>
      <c r="H2531" s="7"/>
      <c r="I2531" s="8" t="s">
        <v>1147</v>
      </c>
      <c r="J2531" s="8" t="s">
        <v>570</v>
      </c>
      <c r="K2531" s="6" t="str">
        <f>"1.215.000,00"</f>
        <v>1.215.000,00</v>
      </c>
      <c r="L2531" s="6" t="str">
        <f>"303.750,00"</f>
        <v>303.750,00</v>
      </c>
      <c r="M2531" s="6" t="str">
        <f>"1.518.750,00"</f>
        <v>1.518.750,00</v>
      </c>
      <c r="N2531" s="8" t="s">
        <v>124</v>
      </c>
      <c r="O2531" s="7"/>
      <c r="P2531" s="2" t="s">
        <v>5614</v>
      </c>
      <c r="Q2531" s="7"/>
      <c r="R2531" s="1"/>
      <c r="S2531" s="1" t="str">
        <f>"N-12/22-1"</f>
        <v>N-12/22-1</v>
      </c>
      <c r="T2531" s="1" t="s">
        <v>32</v>
      </c>
    </row>
    <row r="2532" spans="1:20" ht="76.5" x14ac:dyDescent="0.25">
      <c r="A2532" s="6">
        <v>2528</v>
      </c>
      <c r="B2532" s="1" t="str">
        <f>"2022-1603"</f>
        <v>2022-1603</v>
      </c>
      <c r="C2532" s="1" t="s">
        <v>2222</v>
      </c>
      <c r="D2532" s="1" t="s">
        <v>2068</v>
      </c>
      <c r="E2532" s="1" t="str">
        <f>"2022/S 0F2-0029260"</f>
        <v>2022/S 0F2-0029260</v>
      </c>
      <c r="F2532" s="1" t="s">
        <v>22</v>
      </c>
      <c r="G2532" s="1" t="str">
        <f>CONCATENATE("GRADEX &amp; CO D.O.O.,"," PAVLOVEC ZABOČKI,"," PRILAZ DR. FRANJE TUĐMANA 4,"," 49210 ZABOK,"," OIB: 73369080939")</f>
        <v>GRADEX &amp; CO D.O.O., PAVLOVEC ZABOČKI, PRILAZ DR. FRANJE TUĐMANA 4, 49210 ZABOK, OIB: 73369080939</v>
      </c>
      <c r="H2532" s="7"/>
      <c r="I2532" s="8" t="s">
        <v>222</v>
      </c>
      <c r="J2532" s="8" t="s">
        <v>2223</v>
      </c>
      <c r="K2532" s="6" t="str">
        <f>"1.145.115,60"</f>
        <v>1.145.115,60</v>
      </c>
      <c r="L2532" s="6" t="str">
        <f>"286.278,90"</f>
        <v>286.278,90</v>
      </c>
      <c r="M2532" s="6" t="str">
        <f>"1.431.394,50"</f>
        <v>1.431.394,50</v>
      </c>
      <c r="N2532" s="8" t="s">
        <v>124</v>
      </c>
      <c r="O2532" s="7"/>
      <c r="P2532" s="2" t="s">
        <v>5614</v>
      </c>
      <c r="Q2532" s="7"/>
      <c r="R2532" s="1"/>
      <c r="S2532" s="1" t="str">
        <f>"N-13/22"</f>
        <v>N-13/22</v>
      </c>
      <c r="T2532" s="1" t="s">
        <v>55</v>
      </c>
    </row>
    <row r="2533" spans="1:20" ht="76.5" x14ac:dyDescent="0.25">
      <c r="A2533" s="6">
        <v>2529</v>
      </c>
      <c r="B2533" s="1" t="str">
        <f>"2022-1610"</f>
        <v>2022-1610</v>
      </c>
      <c r="C2533" s="1" t="s">
        <v>2224</v>
      </c>
      <c r="D2533" s="1" t="s">
        <v>2068</v>
      </c>
      <c r="E2533" s="1" t="str">
        <f>"2022/S 0F2-0031114"</f>
        <v>2022/S 0F2-0031114</v>
      </c>
      <c r="F2533" s="1" t="s">
        <v>22</v>
      </c>
      <c r="G2533" s="1" t="str">
        <f>CONCATENATE("GRADEX &amp; CO D.O.O.,"," PAVLOVEC ZABOČKI,"," PRILAZ DR. FRANJE TUĐMANA 4,"," 49210 ZABOK,"," OIB: 73369080939")</f>
        <v>GRADEX &amp; CO D.O.O., PAVLOVEC ZABOČKI, PRILAZ DR. FRANJE TUĐMANA 4, 49210 ZABOK, OIB: 73369080939</v>
      </c>
      <c r="H2533" s="7"/>
      <c r="I2533" s="8" t="s">
        <v>214</v>
      </c>
      <c r="J2533" s="8" t="s">
        <v>2225</v>
      </c>
      <c r="K2533" s="6" t="str">
        <f>"745.617,40"</f>
        <v>745.617,40</v>
      </c>
      <c r="L2533" s="6" t="str">
        <f>"186.404,35"</f>
        <v>186.404,35</v>
      </c>
      <c r="M2533" s="6" t="str">
        <f>"932.021,75"</f>
        <v>932.021,75</v>
      </c>
      <c r="N2533" s="8" t="s">
        <v>124</v>
      </c>
      <c r="O2533" s="7"/>
      <c r="P2533" s="2" t="s">
        <v>5614</v>
      </c>
      <c r="Q2533" s="7"/>
      <c r="R2533" s="1"/>
      <c r="S2533" s="1" t="str">
        <f>"N-15/22"</f>
        <v>N-15/22</v>
      </c>
      <c r="T2533" s="1" t="s">
        <v>55</v>
      </c>
    </row>
    <row r="2534" spans="1:20" ht="153" x14ac:dyDescent="0.25">
      <c r="A2534" s="6">
        <v>2530</v>
      </c>
      <c r="B2534" s="1" t="str">
        <f>"2022-1881"</f>
        <v>2022-1881</v>
      </c>
      <c r="C2534" s="1" t="s">
        <v>2226</v>
      </c>
      <c r="D2534" s="1" t="s">
        <v>702</v>
      </c>
      <c r="E2534" s="1" t="str">
        <f>"2022/S 0F2-0029236"</f>
        <v>2022/S 0F2-0029236</v>
      </c>
      <c r="F2534" s="1" t="s">
        <v>22</v>
      </c>
      <c r="G2534" s="1" t="str">
        <f>CONCATENATE("MONTER-STROJARSKE MONTAŽE D.D.,"," VELIMIRA ŠKORPIKA 28,"," 10000 ZAGREB,"," OIB: 13887374452")</f>
        <v>MONTER-STROJARSKE MONTAŽE D.D., VELIMIRA ŠKORPIKA 28, 10000 ZAGREB, OIB: 13887374452</v>
      </c>
      <c r="H2534" s="1" t="str">
        <f>CONCATENATE("PA-EL D.O.O.,"," OIB: 56740849320",CHAR(10),"GEOANDA D.O.O.,"," OIB: 70840886172",CHAR(10),"TPK-ZAVOD D.D.,"," OIB: 95418386802",CHAR(10),"ARP LUČKO,"," D.O.O.,"," OIB: 91287071627")</f>
        <v>PA-EL D.O.O., OIB: 56740849320
GEOANDA D.O.O., OIB: 70840886172
TPK-ZAVOD D.D., OIB: 95418386802
ARP LUČKO, D.O.O., OIB: 91287071627</v>
      </c>
      <c r="I2534" s="8" t="s">
        <v>564</v>
      </c>
      <c r="J2534" s="8" t="s">
        <v>2227</v>
      </c>
      <c r="K2534" s="6" t="str">
        <f>"1.849.983,68"</f>
        <v>1.849.983,68</v>
      </c>
      <c r="L2534" s="6" t="str">
        <f>"462.495,92"</f>
        <v>462.495,92</v>
      </c>
      <c r="M2534" s="6" t="str">
        <f>"2.312.479,60"</f>
        <v>2.312.479,60</v>
      </c>
      <c r="N2534" s="8" t="s">
        <v>124</v>
      </c>
      <c r="O2534" s="7"/>
      <c r="P2534" s="2" t="s">
        <v>5614</v>
      </c>
      <c r="Q2534" s="7"/>
      <c r="R2534" s="1"/>
      <c r="S2534" s="1" t="str">
        <f>"N-17/22"</f>
        <v>N-17/22</v>
      </c>
      <c r="T2534" s="1" t="s">
        <v>452</v>
      </c>
    </row>
    <row r="2535" spans="1:20" ht="63.75" x14ac:dyDescent="0.25">
      <c r="A2535" s="6">
        <v>2531</v>
      </c>
      <c r="B2535" s="1" t="str">
        <f>"2022-1618"</f>
        <v>2022-1618</v>
      </c>
      <c r="C2535" s="1" t="s">
        <v>2228</v>
      </c>
      <c r="D2535" s="1" t="s">
        <v>2068</v>
      </c>
      <c r="E2535" s="1" t="str">
        <f>"2022/S 0F2-0030722"</f>
        <v>2022/S 0F2-0030722</v>
      </c>
      <c r="F2535" s="1" t="s">
        <v>22</v>
      </c>
      <c r="G2535" s="1" t="str">
        <f>CONCATENATE("BOLČEVIĆ-GRADNJA D.O.O.,"," DUGOSELSKA CESTA 56,"," 10361 SESVETSKI KRALJEVEC,"," OIB: 520986705")</f>
        <v>BOLČEVIĆ-GRADNJA D.O.O., DUGOSELSKA CESTA 56, 10361 SESVETSKI KRALJEVEC, OIB: 520986705</v>
      </c>
      <c r="H2535" s="1" t="str">
        <f>CONCATENATE("MGV D.O.O.,"," OIB: 07790118186")</f>
        <v>MGV D.O.O., OIB: 07790118186</v>
      </c>
      <c r="I2535" s="8" t="s">
        <v>970</v>
      </c>
      <c r="J2535" s="8" t="s">
        <v>2229</v>
      </c>
      <c r="K2535" s="6" t="str">
        <f>"668.621,50"</f>
        <v>668.621,50</v>
      </c>
      <c r="L2535" s="6" t="str">
        <f>"167.155,38"</f>
        <v>167.155,38</v>
      </c>
      <c r="M2535" s="6" t="str">
        <f>"835.776,88"</f>
        <v>835.776,88</v>
      </c>
      <c r="N2535" s="8" t="s">
        <v>124</v>
      </c>
      <c r="O2535" s="7"/>
      <c r="P2535" s="2" t="s">
        <v>5614</v>
      </c>
      <c r="Q2535" s="7"/>
      <c r="R2535" s="1"/>
      <c r="S2535" s="1" t="str">
        <f>"N-18/22"</f>
        <v>N-18/22</v>
      </c>
      <c r="T2535" s="1" t="s">
        <v>55</v>
      </c>
    </row>
    <row r="2536" spans="1:20" ht="63.75" x14ac:dyDescent="0.25">
      <c r="A2536" s="6">
        <v>2532</v>
      </c>
      <c r="B2536" s="1" t="str">
        <f>"2022-1609"</f>
        <v>2022-1609</v>
      </c>
      <c r="C2536" s="1" t="s">
        <v>2230</v>
      </c>
      <c r="D2536" s="1" t="s">
        <v>2068</v>
      </c>
      <c r="E2536" s="1" t="str">
        <f>"2022/S 0F2-0030518"</f>
        <v>2022/S 0F2-0030518</v>
      </c>
      <c r="F2536" s="1" t="s">
        <v>22</v>
      </c>
      <c r="G2536" s="1" t="str">
        <f>CONCATENATE("HIDRO GRAD D.O.O.,"," GUSTAVA KRKLECA,"," RAKITJE 6,"," 10437 BESTOVJE,"," OIB: 49528301725")</f>
        <v>HIDRO GRAD D.O.O., GUSTAVA KRKLECA, RAKITJE 6, 10437 BESTOVJE, OIB: 49528301725</v>
      </c>
      <c r="H2536" s="7"/>
      <c r="I2536" s="8" t="s">
        <v>970</v>
      </c>
      <c r="J2536" s="8" t="s">
        <v>2231</v>
      </c>
      <c r="K2536" s="6" t="str">
        <f>"1.325.500,00"</f>
        <v>1.325.500,00</v>
      </c>
      <c r="L2536" s="6" t="str">
        <f>"331.375,00"</f>
        <v>331.375,00</v>
      </c>
      <c r="M2536" s="6" t="str">
        <f>"1.656.875,00"</f>
        <v>1.656.875,00</v>
      </c>
      <c r="N2536" s="8" t="s">
        <v>124</v>
      </c>
      <c r="O2536" s="7"/>
      <c r="P2536" s="2" t="s">
        <v>5614</v>
      </c>
      <c r="Q2536" s="7"/>
      <c r="R2536" s="1"/>
      <c r="S2536" s="1" t="str">
        <f>"N-19/22"</f>
        <v>N-19/22</v>
      </c>
      <c r="T2536" s="1" t="s">
        <v>55</v>
      </c>
    </row>
    <row r="2537" spans="1:20" ht="51" x14ac:dyDescent="0.25">
      <c r="A2537" s="6">
        <v>2533</v>
      </c>
      <c r="B2537" s="1" t="str">
        <f>"2022-1572"</f>
        <v>2022-1572</v>
      </c>
      <c r="C2537" s="1" t="s">
        <v>2232</v>
      </c>
      <c r="D2537" s="1" t="s">
        <v>941</v>
      </c>
      <c r="E2537" s="1" t="str">
        <f>"2022/S 0F2-0030294"</f>
        <v>2022/S 0F2-0030294</v>
      </c>
      <c r="F2537" s="1" t="s">
        <v>22</v>
      </c>
      <c r="G2537" s="1" t="str">
        <f>CONCATENATE("GEORAD D.O.O.,"," KORNATSKA 1,"," 10000 ZAGREB,"," OIB: 49756748234")</f>
        <v>GEORAD D.O.O., KORNATSKA 1, 10000 ZAGREB, OIB: 49756748234</v>
      </c>
      <c r="H2537" s="7"/>
      <c r="I2537" s="8" t="s">
        <v>970</v>
      </c>
      <c r="J2537" s="8" t="s">
        <v>2231</v>
      </c>
      <c r="K2537" s="6" t="str">
        <f>"343.840,42"</f>
        <v>343.840,42</v>
      </c>
      <c r="L2537" s="6" t="str">
        <f>"85.960,11"</f>
        <v>85.960,11</v>
      </c>
      <c r="M2537" s="6" t="str">
        <f>"429.800,53"</f>
        <v>429.800,53</v>
      </c>
      <c r="N2537" s="8" t="s">
        <v>124</v>
      </c>
      <c r="O2537" s="7"/>
      <c r="P2537" s="2" t="s">
        <v>5614</v>
      </c>
      <c r="Q2537" s="7"/>
      <c r="R2537" s="1"/>
      <c r="S2537" s="1" t="str">
        <f>"N-20/22"</f>
        <v>N-20/22</v>
      </c>
      <c r="T2537" s="1" t="s">
        <v>55</v>
      </c>
    </row>
    <row r="2538" spans="1:20" ht="165.75" x14ac:dyDescent="0.25">
      <c r="A2538" s="6">
        <v>2534</v>
      </c>
      <c r="B2538" s="1" t="str">
        <f>"2022-1813"</f>
        <v>2022-1813</v>
      </c>
      <c r="C2538" s="1" t="s">
        <v>1369</v>
      </c>
      <c r="D2538" s="1" t="s">
        <v>1370</v>
      </c>
      <c r="E2538" s="1" t="str">
        <f>"2022/S 0F2-0025328"</f>
        <v>2022/S 0F2-0025328</v>
      </c>
      <c r="F2538" s="1" t="s">
        <v>22</v>
      </c>
      <c r="G2538" s="1" t="str">
        <f>CONCATENATE("Zajednica ponuditelja",CHAR(10),"ZVIBOR D.O.O.,"," ZAVRTNICA 36,"," 10000 ZAGREB,"," OIB: 03454358063BIRODOM D.O.O. UL. HOJNIKOVA 19,"," 10250 LUČKO,"," OIB: 47794513055TIP - ZAGREB D.O.O. VINOGRADSKA 34,"," 10431 SVETA NEDELJA,"," OIB: 36198195227")</f>
        <v>Zajednica ponuditelja
ZVIBOR D.O.O., ZAVRTNICA 36, 10000 ZAGREB, OIB: 03454358063BIRODOM D.O.O. UL. HOJNIKOVA 19, 10250 LUČKO, OIB: 47794513055TIP - ZAGREB D.O.O. VINOGRADSKA 34, 10431 SVETA NEDELJA, OIB: 36198195227</v>
      </c>
      <c r="H2538" s="7"/>
      <c r="I2538" s="8" t="s">
        <v>214</v>
      </c>
      <c r="J2538" s="8" t="s">
        <v>1026</v>
      </c>
      <c r="K2538" s="6" t="str">
        <f>"895.438,60"</f>
        <v>895.438,60</v>
      </c>
      <c r="L2538" s="6" t="str">
        <f>"223.859,65"</f>
        <v>223.859,65</v>
      </c>
      <c r="M2538" s="6" t="str">
        <f>"1.119.298,25"</f>
        <v>1.119.298,25</v>
      </c>
      <c r="N2538" s="8" t="s">
        <v>124</v>
      </c>
      <c r="O2538" s="7"/>
      <c r="P2538" s="2" t="s">
        <v>7010</v>
      </c>
      <c r="Q2538" s="7"/>
      <c r="R2538" s="1"/>
      <c r="S2538" s="1" t="str">
        <f>"N-21-ZGH/22"</f>
        <v>N-21-ZGH/22</v>
      </c>
      <c r="T2538" s="1" t="s">
        <v>386</v>
      </c>
    </row>
    <row r="2539" spans="1:20" ht="76.5" x14ac:dyDescent="0.25">
      <c r="A2539" s="6">
        <v>2535</v>
      </c>
      <c r="B2539" s="1" t="str">
        <f>"2022-1808"</f>
        <v>2022-1808</v>
      </c>
      <c r="C2539" s="1" t="s">
        <v>2233</v>
      </c>
      <c r="D2539" s="1" t="s">
        <v>2234</v>
      </c>
      <c r="E2539" s="1" t="str">
        <f>"2022/S 0F2-0030718"</f>
        <v>2022/S 0F2-0030718</v>
      </c>
      <c r="F2539" s="1" t="s">
        <v>22</v>
      </c>
      <c r="G2539" s="1" t="str">
        <f>CONCATENATE("E.G.S.-ELEKTROGRADITELJSTVO D.O.O.,"," ALBERTA FORTISA 10,"," 10090 ZAGREB,"," OIB: 83439900916")</f>
        <v>E.G.S.-ELEKTROGRADITELJSTVO D.O.O., ALBERTA FORTISA 10, 10090 ZAGREB, OIB: 83439900916</v>
      </c>
      <c r="H2539" s="7"/>
      <c r="I2539" s="8" t="s">
        <v>964</v>
      </c>
      <c r="J2539" s="8" t="s">
        <v>2235</v>
      </c>
      <c r="K2539" s="6" t="str">
        <f>"872.414,00"</f>
        <v>872.414,00</v>
      </c>
      <c r="L2539" s="6" t="str">
        <f>"218.103,50"</f>
        <v>218.103,50</v>
      </c>
      <c r="M2539" s="6" t="str">
        <f>"1.090.517,50"</f>
        <v>1.090.517,50</v>
      </c>
      <c r="N2539" s="8" t="s">
        <v>124</v>
      </c>
      <c r="O2539" s="7"/>
      <c r="P2539" s="2" t="s">
        <v>5614</v>
      </c>
      <c r="Q2539" s="7"/>
      <c r="R2539" s="1"/>
      <c r="S2539" s="1" t="str">
        <f>"N-22/22"</f>
        <v>N-22/22</v>
      </c>
      <c r="T2539" s="1" t="s">
        <v>32</v>
      </c>
    </row>
    <row r="2540" spans="1:20" ht="63.75" x14ac:dyDescent="0.25">
      <c r="A2540" s="6">
        <v>2536</v>
      </c>
      <c r="B2540" s="1" t="str">
        <f>"2022-1612"</f>
        <v>2022-1612</v>
      </c>
      <c r="C2540" s="1" t="s">
        <v>2236</v>
      </c>
      <c r="D2540" s="1" t="s">
        <v>2068</v>
      </c>
      <c r="E2540" s="1" t="str">
        <f>"2022/S 0F2-0031076"</f>
        <v>2022/S 0F2-0031076</v>
      </c>
      <c r="F2540" s="1" t="s">
        <v>22</v>
      </c>
      <c r="G2540" s="1" t="str">
        <f>CONCATENATE("TEMPORIUM GRADNJA D.O.O.,"," LJUTOMERSKA ULICA 33A,"," 10000 ZAGREB,"," OIB: 6285048268")</f>
        <v>TEMPORIUM GRADNJA D.O.O., LJUTOMERSKA ULICA 33A, 10000 ZAGREB, OIB: 6285048268</v>
      </c>
      <c r="H2540" s="7"/>
      <c r="I2540" s="8" t="s">
        <v>875</v>
      </c>
      <c r="J2540" s="8" t="s">
        <v>1736</v>
      </c>
      <c r="K2540" s="6" t="str">
        <f>"531.767,20"</f>
        <v>531.767,20</v>
      </c>
      <c r="L2540" s="6" t="str">
        <f>"132.941,80"</f>
        <v>132.941,80</v>
      </c>
      <c r="M2540" s="6" t="str">
        <f>"664.709,00"</f>
        <v>664.709,00</v>
      </c>
      <c r="N2540" s="8" t="s">
        <v>124</v>
      </c>
      <c r="O2540" s="7"/>
      <c r="P2540" s="2" t="s">
        <v>5614</v>
      </c>
      <c r="Q2540" s="7"/>
      <c r="R2540" s="1"/>
      <c r="S2540" s="1" t="str">
        <f>"N-23/22"</f>
        <v>N-23/22</v>
      </c>
      <c r="T2540" s="1" t="s">
        <v>55</v>
      </c>
    </row>
    <row r="2541" spans="1:20" ht="51" x14ac:dyDescent="0.25">
      <c r="A2541" s="6">
        <v>2537</v>
      </c>
      <c r="B2541" s="1" t="str">
        <f>"2022-1599"</f>
        <v>2022-1599</v>
      </c>
      <c r="C2541" s="1" t="s">
        <v>2237</v>
      </c>
      <c r="D2541" s="1" t="s">
        <v>2068</v>
      </c>
      <c r="E2541" s="1" t="str">
        <f>"2022/S 0F2-0030539"</f>
        <v>2022/S 0F2-0030539</v>
      </c>
      <c r="F2541" s="1" t="s">
        <v>22</v>
      </c>
      <c r="G2541" s="1" t="str">
        <f>CONCATENATE("NERING D.O.O.,"," LIVADARSKI PUT 24,"," 10360 SESVETE,"," OIB: 85965934616")</f>
        <v>NERING D.O.O., LIVADARSKI PUT 24, 10360 SESVETE, OIB: 85965934616</v>
      </c>
      <c r="H2541" s="1" t="str">
        <f>CONCATENATE("GEOFORMAT D.O.O.,"," OIB: 11342631919")</f>
        <v>GEOFORMAT D.O.O., OIB: 11342631919</v>
      </c>
      <c r="I2541" s="8" t="s">
        <v>508</v>
      </c>
      <c r="J2541" s="8" t="s">
        <v>2238</v>
      </c>
      <c r="K2541" s="6" t="str">
        <f>"2.147.220,00"</f>
        <v>2.147.220,00</v>
      </c>
      <c r="L2541" s="6" t="str">
        <f>"536.805,00"</f>
        <v>536.805,00</v>
      </c>
      <c r="M2541" s="6" t="str">
        <f>"2.684.025,00"</f>
        <v>2.684.025,00</v>
      </c>
      <c r="N2541" s="8" t="s">
        <v>124</v>
      </c>
      <c r="O2541" s="7"/>
      <c r="P2541" s="2" t="s">
        <v>5614</v>
      </c>
      <c r="Q2541" s="7"/>
      <c r="R2541" s="1"/>
      <c r="S2541" s="1" t="str">
        <f>"N-24/22"</f>
        <v>N-24/22</v>
      </c>
      <c r="T2541" s="1" t="s">
        <v>55</v>
      </c>
    </row>
    <row r="2542" spans="1:20" ht="51" x14ac:dyDescent="0.25">
      <c r="A2542" s="6">
        <v>2538</v>
      </c>
      <c r="B2542" s="1" t="str">
        <f>"2022-316"</f>
        <v>2022-316</v>
      </c>
      <c r="C2542" s="1" t="s">
        <v>2239</v>
      </c>
      <c r="D2542" s="1" t="s">
        <v>2132</v>
      </c>
      <c r="E2542" s="1" t="str">
        <f>"2022/S 0F2-0033990"</f>
        <v>2022/S 0F2-0033990</v>
      </c>
      <c r="F2542" s="1" t="s">
        <v>22</v>
      </c>
      <c r="G2542" s="1" t="str">
        <f>CONCATENATE("ANDEL D.O.O.,"," MAJSTORSKA 1/G,"," 10000 ZAGREB,"," OIB: 81891996613")</f>
        <v>ANDEL D.O.O., MAJSTORSKA 1/G, 10000 ZAGREB, OIB: 81891996613</v>
      </c>
      <c r="H2542" s="7"/>
      <c r="I2542" s="8" t="s">
        <v>409</v>
      </c>
      <c r="J2542" s="8" t="s">
        <v>1574</v>
      </c>
      <c r="K2542" s="6" t="str">
        <f>"276.900,00"</f>
        <v>276.900,00</v>
      </c>
      <c r="L2542" s="6" t="str">
        <f>"69.225,00"</f>
        <v>69.225,00</v>
      </c>
      <c r="M2542" s="6" t="str">
        <f>"346.125,00"</f>
        <v>346.125,00</v>
      </c>
      <c r="N2542" s="8" t="s">
        <v>124</v>
      </c>
      <c r="O2542" s="7"/>
      <c r="P2542" s="2" t="s">
        <v>5614</v>
      </c>
      <c r="Q2542" s="7"/>
      <c r="R2542" s="1"/>
      <c r="S2542" s="1" t="str">
        <f>"N-25/22"</f>
        <v>N-25/22</v>
      </c>
      <c r="T2542" s="1" t="s">
        <v>452</v>
      </c>
    </row>
    <row r="2543" spans="1:20" ht="51" x14ac:dyDescent="0.25">
      <c r="A2543" s="6">
        <v>2539</v>
      </c>
      <c r="B2543" s="1" t="str">
        <f>"2022-1790"</f>
        <v>2022-1790</v>
      </c>
      <c r="C2543" s="1" t="s">
        <v>2240</v>
      </c>
      <c r="D2543" s="1" t="s">
        <v>2241</v>
      </c>
      <c r="E2543" s="1" t="str">
        <f>"2022/S 0F2-0034468"</f>
        <v>2022/S 0F2-0034468</v>
      </c>
      <c r="F2543" s="1" t="s">
        <v>22</v>
      </c>
      <c r="G2543" s="1" t="str">
        <f>CONCATENATE("GRADATIN D.O.O.,"," LIVADARSKI PUT 19,"," 10360 SESVETE,"," OIB: 79147056526")</f>
        <v>GRADATIN D.O.O., LIVADARSKI PUT 19, 10360 SESVETE, OIB: 79147056526</v>
      </c>
      <c r="H2543" s="7"/>
      <c r="I2543" s="8" t="s">
        <v>625</v>
      </c>
      <c r="J2543" s="8" t="s">
        <v>2242</v>
      </c>
      <c r="K2543" s="6" t="str">
        <f>"676.148,82"</f>
        <v>676.148,82</v>
      </c>
      <c r="L2543" s="6" t="str">
        <f>"169.037,21"</f>
        <v>169.037,21</v>
      </c>
      <c r="M2543" s="6" t="str">
        <f>"845.186,03"</f>
        <v>845.186,03</v>
      </c>
      <c r="N2543" s="8" t="s">
        <v>124</v>
      </c>
      <c r="O2543" s="7"/>
      <c r="P2543" s="2" t="s">
        <v>5614</v>
      </c>
      <c r="Q2543" s="7"/>
      <c r="R2543" s="1"/>
      <c r="S2543" s="1" t="str">
        <f>"N-26/22"</f>
        <v>N-26/22</v>
      </c>
      <c r="T2543" s="1" t="s">
        <v>32</v>
      </c>
    </row>
    <row r="2544" spans="1:20" ht="63.75" x14ac:dyDescent="0.25">
      <c r="A2544" s="6">
        <v>2540</v>
      </c>
      <c r="B2544" s="1" t="str">
        <f>"2022-1617"</f>
        <v>2022-1617</v>
      </c>
      <c r="C2544" s="1" t="s">
        <v>2243</v>
      </c>
      <c r="D2544" s="1" t="s">
        <v>2068</v>
      </c>
      <c r="E2544" s="1" t="str">
        <f>"2022/S 0F2-0029101"</f>
        <v>2022/S 0F2-0029101</v>
      </c>
      <c r="F2544" s="1" t="s">
        <v>22</v>
      </c>
      <c r="G2544" s="1" t="str">
        <f>CONCATENATE("TEMPORIUM GRADNJA D.O.O.,"," LJUTOMERSKA ULICA 33A,"," 10000 ZAGREB,"," OIB: 6285048268")</f>
        <v>TEMPORIUM GRADNJA D.O.O., LJUTOMERSKA ULICA 33A, 10000 ZAGREB, OIB: 6285048268</v>
      </c>
      <c r="H2544" s="7"/>
      <c r="I2544" s="8" t="s">
        <v>566</v>
      </c>
      <c r="J2544" s="8" t="s">
        <v>2244</v>
      </c>
      <c r="K2544" s="6" t="str">
        <f>"599.794,30"</f>
        <v>599.794,30</v>
      </c>
      <c r="L2544" s="6" t="str">
        <f>"149.948,58"</f>
        <v>149.948,58</v>
      </c>
      <c r="M2544" s="6" t="str">
        <f>"749.742,88"</f>
        <v>749.742,88</v>
      </c>
      <c r="N2544" s="8" t="s">
        <v>124</v>
      </c>
      <c r="O2544" s="7"/>
      <c r="P2544" s="2" t="s">
        <v>5614</v>
      </c>
      <c r="Q2544" s="7"/>
      <c r="R2544" s="1"/>
      <c r="S2544" s="1" t="str">
        <f>"N-28/22"</f>
        <v>N-28/22</v>
      </c>
      <c r="T2544" s="1" t="s">
        <v>55</v>
      </c>
    </row>
    <row r="2545" spans="1:20" ht="89.25" x14ac:dyDescent="0.25">
      <c r="A2545" s="6">
        <v>2541</v>
      </c>
      <c r="B2545" s="1" t="str">
        <f>"2022-1593"</f>
        <v>2022-1593</v>
      </c>
      <c r="C2545" s="1" t="s">
        <v>2245</v>
      </c>
      <c r="D2545" s="1" t="s">
        <v>2068</v>
      </c>
      <c r="E2545" s="1" t="str">
        <f>"2022/S 0F2-0028047"</f>
        <v>2022/S 0F2-0028047</v>
      </c>
      <c r="F2545" s="1" t="s">
        <v>22</v>
      </c>
      <c r="G2545" s="1" t="str">
        <f>CONCATENATE("AMB GRADNJA D.O.O.,"," PRILAZ BARUNA FILIPOVIĆA 15,"," 10000 ZAGREB,"," OIB: 8527265147")</f>
        <v>AMB GRADNJA D.O.O., PRILAZ BARUNA FILIPOVIĆA 15, 10000 ZAGREB, OIB: 8527265147</v>
      </c>
      <c r="H2545" s="7"/>
      <c r="I2545" s="8" t="s">
        <v>458</v>
      </c>
      <c r="J2545" s="8" t="s">
        <v>2246</v>
      </c>
      <c r="K2545" s="6" t="str">
        <f>"4.996.329,00"</f>
        <v>4.996.329,00</v>
      </c>
      <c r="L2545" s="6" t="str">
        <f>"1.249.082,25"</f>
        <v>1.249.082,25</v>
      </c>
      <c r="M2545" s="6" t="str">
        <f>"6.245.411,25"</f>
        <v>6.245.411,25</v>
      </c>
      <c r="N2545" s="8" t="s">
        <v>124</v>
      </c>
      <c r="O2545" s="7"/>
      <c r="P2545" s="2" t="s">
        <v>5614</v>
      </c>
      <c r="Q2545" s="7"/>
      <c r="R2545" s="1"/>
      <c r="S2545" s="1" t="str">
        <f>"N-29/22"</f>
        <v>N-29/22</v>
      </c>
      <c r="T2545" s="1" t="s">
        <v>55</v>
      </c>
    </row>
    <row r="2546" spans="1:20" ht="204" x14ac:dyDescent="0.25">
      <c r="A2546" s="6">
        <v>2542</v>
      </c>
      <c r="B2546" s="1" t="str">
        <f>"2022-1537"</f>
        <v>2022-1537</v>
      </c>
      <c r="C2546" s="1" t="s">
        <v>2247</v>
      </c>
      <c r="D2546" s="1" t="s">
        <v>2248</v>
      </c>
      <c r="E2546" s="1" t="str">
        <f>"2022/S 0F2-0030247"</f>
        <v>2022/S 0F2-0030247</v>
      </c>
      <c r="F2546" s="1" t="s">
        <v>22</v>
      </c>
      <c r="G2546" s="1" t="str">
        <f>CONCATENATE("Zajednica ponuditelja",CHAR(10),"HIDROING D.O.O.,"," TADIJE SMIČIKLASA 1,"," 31000 OSIJEK,"," OIB: 08428329477HIDROPROJEKT-ING,"," D.O.O. DRAŠKOVIĆEVA 35/I,"," 10000 ZAGREB,"," OIB: 07963942338DVOKUT - ECRO D.O.O. TRNJANSKA CESTA 37,"," 10000 ZAGREB,"," OIB: 29880496238PRONING DHI D.O.O. RAČKOGA 3,"," 10000 ZAGREB,"," OIB: 37633620694")</f>
        <v>Zajednica ponuditelja
HIDROING D.O.O., TADIJE SMIČIKLASA 1, 31000 OSIJEK, OIB: 08428329477HIDROPROJEKT-ING, D.O.O. DRAŠKOVIĆEVA 35/I, 10000 ZAGREB, OIB: 07963942338DVOKUT - ECRO D.O.O. TRNJANSKA CESTA 37, 10000 ZAGREB, OIB: 29880496238PRONING DHI D.O.O. RAČKOGA 3, 10000 ZAGREB, OIB: 37633620694</v>
      </c>
      <c r="H2546" s="7"/>
      <c r="I2546" s="8" t="s">
        <v>892</v>
      </c>
      <c r="J2546" s="8" t="s">
        <v>2249</v>
      </c>
      <c r="K2546" s="6" t="str">
        <f>"2.950.000,00"</f>
        <v>2.950.000,00</v>
      </c>
      <c r="L2546" s="6" t="str">
        <f>"737.500,00"</f>
        <v>737.500,00</v>
      </c>
      <c r="M2546" s="6" t="str">
        <f>"3.687.500,00"</f>
        <v>3.687.500,00</v>
      </c>
      <c r="N2546" s="8" t="s">
        <v>124</v>
      </c>
      <c r="O2546" s="7"/>
      <c r="P2546" s="2" t="s">
        <v>5614</v>
      </c>
      <c r="Q2546" s="7"/>
      <c r="R2546" s="1"/>
      <c r="S2546" s="1" t="str">
        <f>"N-30/22"</f>
        <v>N-30/22</v>
      </c>
      <c r="T2546" s="1" t="s">
        <v>55</v>
      </c>
    </row>
    <row r="2547" spans="1:20" ht="76.5" x14ac:dyDescent="0.25">
      <c r="A2547" s="6">
        <v>2543</v>
      </c>
      <c r="B2547" s="1" t="str">
        <f>"2022-1956"</f>
        <v>2022-1956</v>
      </c>
      <c r="C2547" s="1" t="s">
        <v>2250</v>
      </c>
      <c r="D2547" s="1" t="s">
        <v>702</v>
      </c>
      <c r="E2547" s="1" t="str">
        <f>"2022/S 0F2-0037219"</f>
        <v>2022/S 0F2-0037219</v>
      </c>
      <c r="F2547" s="1" t="s">
        <v>22</v>
      </c>
      <c r="G2547" s="1" t="str">
        <f>CONCATENATE("TEHNO-ELEKTRO D.O.O.,"," AUGUSTA CESARCA 3,"," 31400 ĐAKOVO,"," OIB: 1165756075")</f>
        <v>TEHNO-ELEKTRO D.O.O., AUGUSTA CESARCA 3, 31400 ĐAKOVO, OIB: 1165756075</v>
      </c>
      <c r="H2547" s="1" t="str">
        <f>CONCATENATE("URED OVLAŠTENOG INŽENJERA GEODEZIJE ZORAN MARČEC,"," OIB: 694009528")</f>
        <v>URED OVLAŠTENOG INŽENJERA GEODEZIJE ZORAN MARČEC, OIB: 694009528</v>
      </c>
      <c r="I2547" s="8" t="s">
        <v>1123</v>
      </c>
      <c r="J2547" s="8" t="s">
        <v>2251</v>
      </c>
      <c r="K2547" s="6" t="str">
        <f>"1.421.744,80"</f>
        <v>1.421.744,80</v>
      </c>
      <c r="L2547" s="6" t="str">
        <f>"355.436,20"</f>
        <v>355.436,20</v>
      </c>
      <c r="M2547" s="6" t="str">
        <f>"1.777.181,00"</f>
        <v>1.777.181,00</v>
      </c>
      <c r="N2547" s="8" t="s">
        <v>124</v>
      </c>
      <c r="O2547" s="7"/>
      <c r="P2547" s="2" t="s">
        <v>5614</v>
      </c>
      <c r="Q2547" s="7"/>
      <c r="R2547" s="1"/>
      <c r="S2547" s="1" t="str">
        <f>"N-32/22"</f>
        <v>N-32/22</v>
      </c>
      <c r="T2547" s="1" t="s">
        <v>452</v>
      </c>
    </row>
    <row r="2548" spans="1:20" ht="76.5" x14ac:dyDescent="0.25">
      <c r="A2548" s="6">
        <v>2544</v>
      </c>
      <c r="B2548" s="1" t="str">
        <f>"2022-1957"</f>
        <v>2022-1957</v>
      </c>
      <c r="C2548" s="1" t="s">
        <v>2252</v>
      </c>
      <c r="D2548" s="1" t="s">
        <v>702</v>
      </c>
      <c r="E2548" s="1" t="str">
        <f>"2022/S 0F2-0037181"</f>
        <v>2022/S 0F2-0037181</v>
      </c>
      <c r="F2548" s="1" t="s">
        <v>22</v>
      </c>
      <c r="G2548" s="1" t="str">
        <f>CONCATENATE("TEHNO-ELEKTRO D.O.O.,"," AUGUSTA CESARCA 3,"," 31400 ĐAKOVO,"," OIB: 1165756075")</f>
        <v>TEHNO-ELEKTRO D.O.O., AUGUSTA CESARCA 3, 31400 ĐAKOVO, OIB: 1165756075</v>
      </c>
      <c r="H2548" s="1" t="str">
        <f>CONCATENATE("URED OVLAŠTENOG INŽENJERA GEODEZIJE ZORAN MARČEC,"," OIB: 694009528")</f>
        <v>URED OVLAŠTENOG INŽENJERA GEODEZIJE ZORAN MARČEC, OIB: 694009528</v>
      </c>
      <c r="I2548" s="8" t="s">
        <v>146</v>
      </c>
      <c r="J2548" s="8" t="s">
        <v>2253</v>
      </c>
      <c r="K2548" s="6" t="str">
        <f>"544.972,50"</f>
        <v>544.972,50</v>
      </c>
      <c r="L2548" s="6" t="str">
        <f>"136.243,13"</f>
        <v>136.243,13</v>
      </c>
      <c r="M2548" s="6" t="str">
        <f>"681.215,63"</f>
        <v>681.215,63</v>
      </c>
      <c r="N2548" s="8" t="s">
        <v>124</v>
      </c>
      <c r="O2548" s="7"/>
      <c r="P2548" s="2" t="s">
        <v>5614</v>
      </c>
      <c r="Q2548" s="7"/>
      <c r="R2548" s="1"/>
      <c r="S2548" s="1" t="str">
        <f>"N-35/22"</f>
        <v>N-35/22</v>
      </c>
      <c r="T2548" s="1" t="s">
        <v>452</v>
      </c>
    </row>
    <row r="2549" spans="1:20" ht="76.5" x14ac:dyDescent="0.25">
      <c r="A2549" s="6">
        <v>2545</v>
      </c>
      <c r="B2549" s="1" t="str">
        <f>"2016-3193"</f>
        <v>2016-3193</v>
      </c>
      <c r="C2549" s="1" t="s">
        <v>2254</v>
      </c>
      <c r="D2549" s="1" t="s">
        <v>1641</v>
      </c>
      <c r="E2549" s="1" t="str">
        <f>""</f>
        <v/>
      </c>
      <c r="F2549" s="1" t="s">
        <v>1848</v>
      </c>
      <c r="G2549" s="1" t="str">
        <f>CONCATENATE("INTERKONZALTING D.O.O.,"," ULICA GRADA VUKOVARA 43/A,"," 10000 ZAGREB,"," OIB: 23141220773")</f>
        <v>INTERKONZALTING D.O.O., ULICA GRADA VUKOVARA 43/A, 10000 ZAGREB, OIB: 23141220773</v>
      </c>
      <c r="H2549" s="7"/>
      <c r="I2549" s="8" t="s">
        <v>2255</v>
      </c>
      <c r="J2549" s="8" t="s">
        <v>90</v>
      </c>
      <c r="K2549" s="6" t="str">
        <f>"243.000,00"</f>
        <v>243.000,00</v>
      </c>
      <c r="L2549" s="6" t="str">
        <f>"60.750,00"</f>
        <v>60.750,00</v>
      </c>
      <c r="M2549" s="6" t="str">
        <f>"303.750,00"</f>
        <v>303.750,00</v>
      </c>
      <c r="N2549" s="8" t="s">
        <v>2256</v>
      </c>
      <c r="O2549" s="7"/>
      <c r="P2549" s="2" t="s">
        <v>7011</v>
      </c>
      <c r="Q2549" s="7"/>
      <c r="R2549" s="1"/>
      <c r="S2549" s="1" t="str">
        <f>"N-163/16-1"</f>
        <v>N-163/16-1</v>
      </c>
      <c r="T2549" s="1" t="s">
        <v>32</v>
      </c>
    </row>
    <row r="2550" spans="1:20" ht="76.5" x14ac:dyDescent="0.25">
      <c r="A2550" s="6">
        <v>2546</v>
      </c>
      <c r="B2550" s="1" t="str">
        <f>"2016-3193"</f>
        <v>2016-3193</v>
      </c>
      <c r="C2550" s="1" t="s">
        <v>2254</v>
      </c>
      <c r="D2550" s="1" t="s">
        <v>1641</v>
      </c>
      <c r="E2550" s="1" t="str">
        <f>""</f>
        <v/>
      </c>
      <c r="F2550" s="1" t="s">
        <v>1848</v>
      </c>
      <c r="G2550" s="1" t="str">
        <f>CONCATENATE("INTERKONZALTING D.O.O.,"," ULICA GRADA VUKOVARA 43/A,"," 10000 ZAGREB,"," OIB: 23141220773")</f>
        <v>INTERKONZALTING D.O.O., ULICA GRADA VUKOVARA 43/A, 10000 ZAGREB, OIB: 23141220773</v>
      </c>
      <c r="H2550" s="7"/>
      <c r="I2550" s="8" t="s">
        <v>2257</v>
      </c>
      <c r="J2550" s="8" t="s">
        <v>90</v>
      </c>
      <c r="K2550" s="6" t="str">
        <f>"30.000,00"</f>
        <v>30.000,00</v>
      </c>
      <c r="L2550" s="6" t="str">
        <f>"7.500,00"</f>
        <v>7.500,00</v>
      </c>
      <c r="M2550" s="6" t="str">
        <f>"37.500,00"</f>
        <v>37.500,00</v>
      </c>
      <c r="N2550" s="8" t="s">
        <v>2258</v>
      </c>
      <c r="O2550" s="7"/>
      <c r="P2550" s="2" t="s">
        <v>5741</v>
      </c>
      <c r="Q2550" s="7"/>
      <c r="R2550" s="1"/>
      <c r="S2550" s="1" t="str">
        <f>"N-163/16-2"</f>
        <v>N-163/16-2</v>
      </c>
      <c r="T2550" s="1" t="s">
        <v>32</v>
      </c>
    </row>
    <row r="2551" spans="1:20" ht="76.5" x14ac:dyDescent="0.25">
      <c r="A2551" s="6">
        <v>2547</v>
      </c>
      <c r="B2551" s="1" t="str">
        <f>"2016-3193"</f>
        <v>2016-3193</v>
      </c>
      <c r="C2551" s="1" t="s">
        <v>2254</v>
      </c>
      <c r="D2551" s="1" t="s">
        <v>1641</v>
      </c>
      <c r="E2551" s="1" t="str">
        <f>""</f>
        <v/>
      </c>
      <c r="F2551" s="1" t="s">
        <v>1848</v>
      </c>
      <c r="G2551" s="1" t="str">
        <f>CONCATENATE("INTERKONZALTING D.O.O.,"," ULICA GRADA VUKOVARA 43/A,"," 10000 ZAGREB,"," OIB: 23141220773")</f>
        <v>INTERKONZALTING D.O.O., ULICA GRADA VUKOVARA 43/A, 10000 ZAGREB, OIB: 23141220773</v>
      </c>
      <c r="H2551" s="7"/>
      <c r="I2551" s="8" t="s">
        <v>2259</v>
      </c>
      <c r="J2551" s="8" t="s">
        <v>90</v>
      </c>
      <c r="K2551" s="6" t="str">
        <f>"232.170,00"</f>
        <v>232.170,00</v>
      </c>
      <c r="L2551" s="6" t="str">
        <f>"58.042,50"</f>
        <v>58.042,50</v>
      </c>
      <c r="M2551" s="6" t="str">
        <f>"290.212,50"</f>
        <v>290.212,50</v>
      </c>
      <c r="N2551" s="8" t="s">
        <v>520</v>
      </c>
      <c r="O2551" s="7"/>
      <c r="P2551" s="2" t="s">
        <v>7012</v>
      </c>
      <c r="Q2551" s="1"/>
      <c r="R2551" s="1"/>
      <c r="S2551" s="1" t="str">
        <f>"N-163/16-3"</f>
        <v>N-163/16-3</v>
      </c>
      <c r="T2551" s="1" t="s">
        <v>32</v>
      </c>
    </row>
    <row r="2552" spans="1:20" ht="76.5" x14ac:dyDescent="0.25">
      <c r="A2552" s="6">
        <v>2548</v>
      </c>
      <c r="B2552" s="1" t="str">
        <f>"2016-3193"</f>
        <v>2016-3193</v>
      </c>
      <c r="C2552" s="1" t="s">
        <v>2254</v>
      </c>
      <c r="D2552" s="1" t="s">
        <v>1641</v>
      </c>
      <c r="E2552" s="1" t="str">
        <f>""</f>
        <v/>
      </c>
      <c r="F2552" s="1" t="s">
        <v>1848</v>
      </c>
      <c r="G2552" s="1" t="str">
        <f>CONCATENATE("INTERKONZALTING D.O.O.,"," ULICA GRADA VUKOVARA 43/A,"," 10000 ZAGREB,"," OIB: 23141220773")</f>
        <v>INTERKONZALTING D.O.O., ULICA GRADA VUKOVARA 43/A, 10000 ZAGREB, OIB: 23141220773</v>
      </c>
      <c r="H2552" s="7"/>
      <c r="I2552" s="8" t="s">
        <v>473</v>
      </c>
      <c r="J2552" s="8" t="s">
        <v>90</v>
      </c>
      <c r="K2552" s="6" t="str">
        <f>"50.000,00"</f>
        <v>50.000,00</v>
      </c>
      <c r="L2552" s="6" t="str">
        <f>"12.500,00"</f>
        <v>12.500,00</v>
      </c>
      <c r="M2552" s="6" t="str">
        <f>"62.500,00"</f>
        <v>62.500,00</v>
      </c>
      <c r="N2552" s="8" t="s">
        <v>70</v>
      </c>
      <c r="O2552" s="7"/>
      <c r="P2552" s="2" t="s">
        <v>7013</v>
      </c>
      <c r="Q2552" s="7"/>
      <c r="R2552" s="1"/>
      <c r="S2552" s="1" t="str">
        <f>"N-163/16#4"</f>
        <v>N-163/16#4</v>
      </c>
      <c r="T2552" s="1" t="s">
        <v>32</v>
      </c>
    </row>
    <row r="2553" spans="1:20" ht="76.5" x14ac:dyDescent="0.25">
      <c r="A2553" s="6">
        <v>2549</v>
      </c>
      <c r="B2553" s="1" t="str">
        <f>"2017-1003"</f>
        <v>2017-1003</v>
      </c>
      <c r="C2553" s="1" t="s">
        <v>1951</v>
      </c>
      <c r="D2553" s="1" t="s">
        <v>2260</v>
      </c>
      <c r="E2553" s="1" t="str">
        <f>""</f>
        <v/>
      </c>
      <c r="F2553" s="1" t="s">
        <v>1848</v>
      </c>
      <c r="G2553" s="1" t="str">
        <f>CONCATENATE("EKSPERT D.O.O.,"," SELSKA CESTA 126,"," 10000 ZAGREB,"," OIB: 5054290785")</f>
        <v>EKSPERT D.O.O., SELSKA CESTA 126, 10000 ZAGREB, OIB: 5054290785</v>
      </c>
      <c r="H2553" s="7"/>
      <c r="I2553" s="8" t="s">
        <v>748</v>
      </c>
      <c r="J2553" s="8" t="s">
        <v>57</v>
      </c>
      <c r="K2553" s="6" t="str">
        <f>"19.200,00"</f>
        <v>19.200,00</v>
      </c>
      <c r="L2553" s="6" t="str">
        <f>"4.800,00"</f>
        <v>4.800,00</v>
      </c>
      <c r="M2553" s="6" t="str">
        <f>"24.000,00"</f>
        <v>24.000,00</v>
      </c>
      <c r="N2553" s="8" t="s">
        <v>124</v>
      </c>
      <c r="O2553" s="7"/>
      <c r="P2553" s="2" t="s">
        <v>5614</v>
      </c>
      <c r="Q2553" s="7"/>
      <c r="R2553" s="1"/>
      <c r="S2553" s="1" t="str">
        <f>"N-117/17#1"</f>
        <v>N-117/17#1</v>
      </c>
      <c r="T2553" s="1" t="s">
        <v>32</v>
      </c>
    </row>
    <row r="2554" spans="1:20" ht="76.5" x14ac:dyDescent="0.25">
      <c r="A2554" s="6">
        <v>2550</v>
      </c>
      <c r="B2554" s="1" t="str">
        <f>"2019-2446"</f>
        <v>2019-2446</v>
      </c>
      <c r="C2554" s="1" t="s">
        <v>2261</v>
      </c>
      <c r="D2554" s="1" t="s">
        <v>2262</v>
      </c>
      <c r="E2554" s="1" t="str">
        <f>""</f>
        <v/>
      </c>
      <c r="F2554" s="1" t="s">
        <v>1848</v>
      </c>
      <c r="G2554" s="1" t="str">
        <f>CONCATENATE("ING-GRAD D.O.O.,"," KALINOVICA 3/IV,"," 10000 ZAGREB,"," OIB: 93245284305")</f>
        <v>ING-GRAD D.O.O., KALINOVICA 3/IV, 10000 ZAGREB, OIB: 93245284305</v>
      </c>
      <c r="H2554" s="7"/>
      <c r="I2554" s="8" t="s">
        <v>450</v>
      </c>
      <c r="J2554" s="8" t="s">
        <v>450</v>
      </c>
      <c r="K2554" s="6" t="str">
        <f>"1.099.710,66"</f>
        <v>1.099.710,66</v>
      </c>
      <c r="L2554" s="6" t="str">
        <f>"274.927,67"</f>
        <v>274.927,67</v>
      </c>
      <c r="M2554" s="6" t="str">
        <f>"1.374.638,33"</f>
        <v>1.374.638,33</v>
      </c>
      <c r="N2554" s="8" t="s">
        <v>124</v>
      </c>
      <c r="O2554" s="7"/>
      <c r="P2554" s="2" t="s">
        <v>5614</v>
      </c>
      <c r="Q2554" s="7"/>
      <c r="R2554" s="1"/>
      <c r="S2554" s="1" t="str">
        <f>"N-47/19#1"</f>
        <v>N-47/19#1</v>
      </c>
      <c r="T2554" s="1" t="s">
        <v>32</v>
      </c>
    </row>
    <row r="2555" spans="1:20" ht="76.5" x14ac:dyDescent="0.25">
      <c r="A2555" s="6">
        <v>2551</v>
      </c>
      <c r="B2555" s="1" t="str">
        <f>"2019-2446"</f>
        <v>2019-2446</v>
      </c>
      <c r="C2555" s="1" t="s">
        <v>2261</v>
      </c>
      <c r="D2555" s="1" t="s">
        <v>2262</v>
      </c>
      <c r="E2555" s="1" t="str">
        <f>""</f>
        <v/>
      </c>
      <c r="F2555" s="1" t="s">
        <v>1848</v>
      </c>
      <c r="G2555" s="1" t="str">
        <f>CONCATENATE("ING-GRAD D.O.O.,"," KALINOVICA 3/IV,"," 10000 ZAGREB,"," OIB: 93245284305")</f>
        <v>ING-GRAD D.O.O., KALINOVICA 3/IV, 10000 ZAGREB, OIB: 93245284305</v>
      </c>
      <c r="H2555" s="7"/>
      <c r="I2555" s="8" t="s">
        <v>919</v>
      </c>
      <c r="J2555" s="8" t="s">
        <v>919</v>
      </c>
      <c r="K2555" s="6" t="str">
        <f>"811.649,95"</f>
        <v>811.649,95</v>
      </c>
      <c r="L2555" s="6" t="str">
        <f>"202.912,49"</f>
        <v>202.912,49</v>
      </c>
      <c r="M2555" s="6" t="str">
        <f>"1.014.562,44"</f>
        <v>1.014.562,44</v>
      </c>
      <c r="N2555" s="8" t="s">
        <v>124</v>
      </c>
      <c r="O2555" s="7"/>
      <c r="P2555" s="2" t="s">
        <v>5614</v>
      </c>
      <c r="Q2555" s="7"/>
      <c r="R2555" s="1"/>
      <c r="S2555" s="1" t="str">
        <f>"N-47/19#2"</f>
        <v>N-47/19#2</v>
      </c>
      <c r="T2555" s="1" t="s">
        <v>32</v>
      </c>
    </row>
    <row r="2556" spans="1:20" ht="76.5" x14ac:dyDescent="0.25">
      <c r="A2556" s="6">
        <v>2552</v>
      </c>
      <c r="B2556" s="1" t="str">
        <f>"2019-1279"</f>
        <v>2019-1279</v>
      </c>
      <c r="C2556" s="1" t="s">
        <v>2263</v>
      </c>
      <c r="D2556" s="1" t="s">
        <v>1109</v>
      </c>
      <c r="E2556" s="1" t="str">
        <f>""</f>
        <v/>
      </c>
      <c r="F2556" s="1" t="s">
        <v>1848</v>
      </c>
      <c r="G2556" s="1" t="str">
        <f>CONCATENATE("TIGRA D.O.O.,"," IVANIĆGRADSKA 22,"," 10000 ZAGREB,"," OIB: 2983006023")</f>
        <v>TIGRA D.O.O., IVANIĆGRADSKA 22, 10000 ZAGREB, OIB: 2983006023</v>
      </c>
      <c r="H2556" s="7"/>
      <c r="I2556" s="8" t="s">
        <v>706</v>
      </c>
      <c r="J2556" s="8" t="s">
        <v>598</v>
      </c>
      <c r="K2556" s="6" t="str">
        <f>"1.035.462,81"</f>
        <v>1.035.462,81</v>
      </c>
      <c r="L2556" s="6" t="str">
        <f>"258.865,70"</f>
        <v>258.865,70</v>
      </c>
      <c r="M2556" s="6" t="str">
        <f>"1.294.328,51"</f>
        <v>1.294.328,51</v>
      </c>
      <c r="N2556" s="8" t="s">
        <v>253</v>
      </c>
      <c r="O2556" s="7"/>
      <c r="P2556" s="2" t="s">
        <v>7014</v>
      </c>
      <c r="Q2556" s="7"/>
      <c r="R2556" s="1"/>
      <c r="S2556" s="1" t="str">
        <f>"N-58/19#2"</f>
        <v>N-58/19#2</v>
      </c>
      <c r="T2556" s="1" t="s">
        <v>55</v>
      </c>
    </row>
    <row r="2557" spans="1:20" ht="76.5" x14ac:dyDescent="0.25">
      <c r="A2557" s="6">
        <v>2553</v>
      </c>
      <c r="B2557" s="1" t="str">
        <f>"2019-1353"</f>
        <v>2019-1353</v>
      </c>
      <c r="C2557" s="1" t="s">
        <v>2264</v>
      </c>
      <c r="D2557" s="1" t="s">
        <v>941</v>
      </c>
      <c r="E2557" s="1" t="str">
        <f>""</f>
        <v/>
      </c>
      <c r="F2557" s="1" t="s">
        <v>1848</v>
      </c>
      <c r="G2557" s="1" t="str">
        <f>CONCATENATE("BOLČEVIĆ-GRADNJA D.O.O.,"," DUGOSELSKA CESTA 56,"," 10361 SESVETSKI KRALJEVEC,"," OIB: 520986705")</f>
        <v>BOLČEVIĆ-GRADNJA D.O.O., DUGOSELSKA CESTA 56, 10361 SESVETSKI KRALJEVEC, OIB: 520986705</v>
      </c>
      <c r="H2557" s="7"/>
      <c r="I2557" s="8" t="s">
        <v>748</v>
      </c>
      <c r="J2557" s="8" t="s">
        <v>847</v>
      </c>
      <c r="K2557" s="6" t="str">
        <f>"1.763.701,20"</f>
        <v>1.763.701,20</v>
      </c>
      <c r="L2557" s="6" t="str">
        <f>"440.925,30"</f>
        <v>440.925,30</v>
      </c>
      <c r="M2557" s="6" t="str">
        <f>"2.204.626,50"</f>
        <v>2.204.626,50</v>
      </c>
      <c r="N2557" s="8" t="s">
        <v>124</v>
      </c>
      <c r="O2557" s="7"/>
      <c r="P2557" s="2" t="s">
        <v>5614</v>
      </c>
      <c r="Q2557" s="7"/>
      <c r="R2557" s="1"/>
      <c r="S2557" s="1" t="str">
        <f>"N-66/19#1"</f>
        <v>N-66/19#1</v>
      </c>
      <c r="T2557" s="1" t="s">
        <v>55</v>
      </c>
    </row>
    <row r="2558" spans="1:20" ht="76.5" x14ac:dyDescent="0.25">
      <c r="A2558" s="6">
        <v>2554</v>
      </c>
      <c r="B2558" s="1" t="str">
        <f>"2019-2353"</f>
        <v>2019-2353</v>
      </c>
      <c r="C2558" s="1" t="s">
        <v>2265</v>
      </c>
      <c r="D2558" s="1" t="s">
        <v>1641</v>
      </c>
      <c r="E2558" s="1" t="str">
        <f>""</f>
        <v/>
      </c>
      <c r="F2558" s="1" t="s">
        <v>1848</v>
      </c>
      <c r="G2558" s="1" t="str">
        <f>CONCATENATE("APZ HIDRIA D.O.O.,"," ZAGREBAČKA 233,"," 10000 ZAGREB,"," OIB: 76901428643")</f>
        <v>APZ HIDRIA D.O.O., ZAGREBAČKA 233, 10000 ZAGREB, OIB: 76901428643</v>
      </c>
      <c r="H2558" s="7"/>
      <c r="I2558" s="8" t="s">
        <v>681</v>
      </c>
      <c r="J2558" s="8" t="s">
        <v>800</v>
      </c>
      <c r="K2558" s="6" t="str">
        <f>"110.000,00"</f>
        <v>110.000,00</v>
      </c>
      <c r="L2558" s="6" t="str">
        <f>"27.500,00"</f>
        <v>27.500,00</v>
      </c>
      <c r="M2558" s="6" t="str">
        <f>"137.500,00"</f>
        <v>137.500,00</v>
      </c>
      <c r="N2558" s="8" t="s">
        <v>124</v>
      </c>
      <c r="O2558" s="7"/>
      <c r="P2558" s="2" t="s">
        <v>5614</v>
      </c>
      <c r="Q2558" s="7"/>
      <c r="R2558" s="1"/>
      <c r="S2558" s="1" t="str">
        <f>"N-100/19#2"</f>
        <v>N-100/19#2</v>
      </c>
      <c r="T2558" s="1" t="s">
        <v>32</v>
      </c>
    </row>
    <row r="2559" spans="1:20" ht="76.5" x14ac:dyDescent="0.25">
      <c r="A2559" s="6">
        <v>2555</v>
      </c>
      <c r="B2559" s="1" t="str">
        <f>"2019-2482"</f>
        <v>2019-2482</v>
      </c>
      <c r="C2559" s="1" t="s">
        <v>2266</v>
      </c>
      <c r="D2559" s="1" t="s">
        <v>941</v>
      </c>
      <c r="E2559" s="1" t="str">
        <f>""</f>
        <v/>
      </c>
      <c r="F2559" s="1" t="s">
        <v>1848</v>
      </c>
      <c r="G2559" s="1" t="str">
        <f>CONCATENATE("GEORAD D.O.O.,"," KORNATSKA 1,"," 10000 ZAGREB,"," OIB: 49756748234")</f>
        <v>GEORAD D.O.O., KORNATSKA 1, 10000 ZAGREB, OIB: 49756748234</v>
      </c>
      <c r="H2559" s="7"/>
      <c r="I2559" s="8" t="s">
        <v>698</v>
      </c>
      <c r="J2559" s="8" t="s">
        <v>2267</v>
      </c>
      <c r="K2559" s="6" t="str">
        <f>"4.542.943,28"</f>
        <v>4.542.943,28</v>
      </c>
      <c r="L2559" s="6" t="str">
        <f>"1.135.735,82"</f>
        <v>1.135.735,82</v>
      </c>
      <c r="M2559" s="6" t="str">
        <f>"5.678.679,10"</f>
        <v>5.678.679,10</v>
      </c>
      <c r="N2559" s="8" t="s">
        <v>124</v>
      </c>
      <c r="O2559" s="7"/>
      <c r="P2559" s="2" t="s">
        <v>5614</v>
      </c>
      <c r="Q2559" s="7"/>
      <c r="R2559" s="1"/>
      <c r="S2559" s="1" t="str">
        <f>"N-102/19#1"</f>
        <v>N-102/19#1</v>
      </c>
      <c r="T2559" s="1" t="s">
        <v>55</v>
      </c>
    </row>
    <row r="2560" spans="1:20" ht="76.5" x14ac:dyDescent="0.25">
      <c r="A2560" s="6">
        <v>2556</v>
      </c>
      <c r="B2560" s="1" t="str">
        <f>"2019-2763"</f>
        <v>2019-2763</v>
      </c>
      <c r="C2560" s="1" t="s">
        <v>1996</v>
      </c>
      <c r="D2560" s="1" t="s">
        <v>1641</v>
      </c>
      <c r="E2560" s="1" t="str">
        <f>""</f>
        <v/>
      </c>
      <c r="F2560" s="1" t="s">
        <v>1848</v>
      </c>
      <c r="G2560" s="1" t="str">
        <f>CONCATENATE("INVESTINŽENJERING D.O.O.,"," TUŠKANOVA 41,"," 10000 ZAGREB,"," OIB: 78904416556")</f>
        <v>INVESTINŽENJERING D.O.O., TUŠKANOVA 41, 10000 ZAGREB, OIB: 78904416556</v>
      </c>
      <c r="H2560" s="7"/>
      <c r="I2560" s="8" t="s">
        <v>681</v>
      </c>
      <c r="J2560" s="8" t="s">
        <v>1997</v>
      </c>
      <c r="K2560" s="6" t="str">
        <f>"29.922,00"</f>
        <v>29.922,00</v>
      </c>
      <c r="L2560" s="6" t="str">
        <f>"7.480,50"</f>
        <v>7.480,50</v>
      </c>
      <c r="M2560" s="6" t="str">
        <f>"37.402,50"</f>
        <v>37.402,50</v>
      </c>
      <c r="N2560" s="8" t="s">
        <v>124</v>
      </c>
      <c r="O2560" s="7"/>
      <c r="P2560" s="2" t="s">
        <v>5614</v>
      </c>
      <c r="Q2560" s="7"/>
      <c r="R2560" s="1"/>
      <c r="S2560" s="1" t="str">
        <f>"N-115/19#1"</f>
        <v>N-115/19#1</v>
      </c>
      <c r="T2560" s="1" t="s">
        <v>32</v>
      </c>
    </row>
    <row r="2561" spans="1:20" ht="76.5" x14ac:dyDescent="0.25">
      <c r="A2561" s="6">
        <v>2557</v>
      </c>
      <c r="B2561" s="1" t="str">
        <f>"2019-2763"</f>
        <v>2019-2763</v>
      </c>
      <c r="C2561" s="1" t="s">
        <v>1996</v>
      </c>
      <c r="D2561" s="1" t="s">
        <v>1641</v>
      </c>
      <c r="E2561" s="1" t="str">
        <f>""</f>
        <v/>
      </c>
      <c r="F2561" s="1" t="s">
        <v>1848</v>
      </c>
      <c r="G2561" s="1" t="str">
        <f>CONCATENATE("INVESTINŽENJERING D.O.O.,"," TUŠKANOVA 41,"," 10000 ZAGREB,"," OIB: 78904416556")</f>
        <v>INVESTINŽENJERING D.O.O., TUŠKANOVA 41, 10000 ZAGREB, OIB: 78904416556</v>
      </c>
      <c r="H2561" s="7"/>
      <c r="I2561" s="8" t="s">
        <v>285</v>
      </c>
      <c r="J2561" s="8" t="s">
        <v>1997</v>
      </c>
      <c r="K2561" s="6" t="str">
        <f>"99.000,00"</f>
        <v>99.000,00</v>
      </c>
      <c r="L2561" s="6" t="str">
        <f>"24.750,00"</f>
        <v>24.750,00</v>
      </c>
      <c r="M2561" s="6" t="str">
        <f>"123.750,00"</f>
        <v>123.750,00</v>
      </c>
      <c r="N2561" s="8" t="s">
        <v>124</v>
      </c>
      <c r="O2561" s="7"/>
      <c r="P2561" s="2" t="s">
        <v>5614</v>
      </c>
      <c r="Q2561" s="7"/>
      <c r="R2561" s="1"/>
      <c r="S2561" s="1" t="str">
        <f>"N-115/19#2"</f>
        <v>N-115/19#2</v>
      </c>
      <c r="T2561" s="1" t="s">
        <v>32</v>
      </c>
    </row>
    <row r="2562" spans="1:20" ht="76.5" x14ac:dyDescent="0.25">
      <c r="A2562" s="6">
        <v>2558</v>
      </c>
      <c r="B2562" s="1" t="str">
        <f>"2020-2849"</f>
        <v>2020-2849</v>
      </c>
      <c r="C2562" s="1" t="s">
        <v>2268</v>
      </c>
      <c r="D2562" s="1" t="s">
        <v>2269</v>
      </c>
      <c r="E2562" s="1" t="str">
        <f>""</f>
        <v/>
      </c>
      <c r="F2562" s="1" t="s">
        <v>1848</v>
      </c>
      <c r="G2562" s="1" t="str">
        <f>CONCATENATE("STUDIO ZA ARHITEKTURU D.O.O.,"," PRILAZ GJURE DEŽELIĆA 52,"," 10000 ZAGREB,"," OIB: 5020505774")</f>
        <v>STUDIO ZA ARHITEKTURU D.O.O., PRILAZ GJURE DEŽELIĆA 52, 10000 ZAGREB, OIB: 5020505774</v>
      </c>
      <c r="H2562" s="7"/>
      <c r="I2562" s="8" t="s">
        <v>696</v>
      </c>
      <c r="J2562" s="8" t="s">
        <v>696</v>
      </c>
      <c r="K2562" s="6" t="str">
        <f>"107.437,00"</f>
        <v>107.437,00</v>
      </c>
      <c r="L2562" s="6" t="str">
        <f>"26.859,25"</f>
        <v>26.859,25</v>
      </c>
      <c r="M2562" s="6" t="str">
        <f>"134.296,25"</f>
        <v>134.296,25</v>
      </c>
      <c r="N2562" s="8" t="s">
        <v>124</v>
      </c>
      <c r="O2562" s="7"/>
      <c r="P2562" s="2" t="s">
        <v>5614</v>
      </c>
      <c r="Q2562" s="7"/>
      <c r="R2562" s="1"/>
      <c r="S2562" s="1" t="str">
        <f>"N-23/20#1"</f>
        <v>N-23/20#1</v>
      </c>
      <c r="T2562" s="1" t="s">
        <v>86</v>
      </c>
    </row>
    <row r="2563" spans="1:20" ht="76.5" x14ac:dyDescent="0.25">
      <c r="A2563" s="6">
        <v>2559</v>
      </c>
      <c r="B2563" s="1" t="str">
        <f>"2020-701"</f>
        <v>2020-701</v>
      </c>
      <c r="C2563" s="1" t="s">
        <v>2050</v>
      </c>
      <c r="D2563" s="1" t="s">
        <v>2051</v>
      </c>
      <c r="E2563" s="1" t="str">
        <f>""</f>
        <v/>
      </c>
      <c r="F2563" s="1" t="s">
        <v>1848</v>
      </c>
      <c r="G2563" s="1" t="str">
        <f>CONCATENATE("GTM D.O.O.,"," JURAJA HABDELIĆA 14,"," 10410 VELIKA GORICA,"," OIB: 42349541784")</f>
        <v>GTM D.O.O., JURAJA HABDELIĆA 14, 10410 VELIKA GORICA, OIB: 42349541784</v>
      </c>
      <c r="H2563" s="7"/>
      <c r="I2563" s="8" t="s">
        <v>117</v>
      </c>
      <c r="J2563" s="8" t="s">
        <v>259</v>
      </c>
      <c r="K2563" s="6" t="str">
        <f>"495.172,20"</f>
        <v>495.172,20</v>
      </c>
      <c r="L2563" s="6" t="str">
        <f>"123.793,05"</f>
        <v>123.793,05</v>
      </c>
      <c r="M2563" s="6" t="str">
        <f>"618.965,25"</f>
        <v>618.965,25</v>
      </c>
      <c r="N2563" s="8" t="s">
        <v>124</v>
      </c>
      <c r="O2563" s="7"/>
      <c r="P2563" s="2" t="s">
        <v>5614</v>
      </c>
      <c r="Q2563" s="7"/>
      <c r="R2563" s="1"/>
      <c r="S2563" s="1" t="str">
        <f>"N-57/20#1"</f>
        <v>N-57/20#1</v>
      </c>
      <c r="T2563" s="1" t="s">
        <v>55</v>
      </c>
    </row>
    <row r="2564" spans="1:20" ht="76.5" x14ac:dyDescent="0.25">
      <c r="A2564" s="6">
        <v>2560</v>
      </c>
      <c r="B2564" s="1" t="str">
        <f>"2020-701"</f>
        <v>2020-701</v>
      </c>
      <c r="C2564" s="1" t="s">
        <v>2050</v>
      </c>
      <c r="D2564" s="1" t="s">
        <v>2051</v>
      </c>
      <c r="E2564" s="1" t="str">
        <f>""</f>
        <v/>
      </c>
      <c r="F2564" s="1" t="s">
        <v>1848</v>
      </c>
      <c r="G2564" s="1" t="str">
        <f>CONCATENATE("GTM D.O.O.,"," JURAJA HABDELIĆA 14,"," 10410 VELIKA GORICA,"," OIB: 42349541784")</f>
        <v>GTM D.O.O., JURAJA HABDELIĆA 14, 10410 VELIKA GORICA, OIB: 42349541784</v>
      </c>
      <c r="H2564" s="7"/>
      <c r="I2564" s="8" t="s">
        <v>522</v>
      </c>
      <c r="J2564" s="8" t="s">
        <v>252</v>
      </c>
      <c r="K2564" s="6" t="str">
        <f>"87.213,13"</f>
        <v>87.213,13</v>
      </c>
      <c r="L2564" s="6" t="str">
        <f>"21.803,28"</f>
        <v>21.803,28</v>
      </c>
      <c r="M2564" s="6" t="str">
        <f>"109.016,41"</f>
        <v>109.016,41</v>
      </c>
      <c r="N2564" s="8" t="s">
        <v>124</v>
      </c>
      <c r="O2564" s="7"/>
      <c r="P2564" s="2" t="s">
        <v>5614</v>
      </c>
      <c r="Q2564" s="7"/>
      <c r="R2564" s="1"/>
      <c r="S2564" s="1" t="str">
        <f>"N-57/20#2"</f>
        <v>N-57/20#2</v>
      </c>
      <c r="T2564" s="1" t="s">
        <v>55</v>
      </c>
    </row>
    <row r="2565" spans="1:20" ht="76.5" x14ac:dyDescent="0.25">
      <c r="A2565" s="6">
        <v>2561</v>
      </c>
      <c r="B2565" s="1" t="str">
        <f>"2020-659"</f>
        <v>2020-659</v>
      </c>
      <c r="C2565" s="1" t="s">
        <v>2056</v>
      </c>
      <c r="D2565" s="1" t="s">
        <v>2057</v>
      </c>
      <c r="E2565" s="1" t="str">
        <f>""</f>
        <v/>
      </c>
      <c r="F2565" s="1" t="s">
        <v>1848</v>
      </c>
      <c r="G2565" s="1" t="str">
        <f>CONCATENATE("INVESTINŽENJERING D.O.O.,"," TUŠKANOVA 41,"," 10000 ZAGREB,"," OIB: 78904416556")</f>
        <v>INVESTINŽENJERING D.O.O., TUŠKANOVA 41, 10000 ZAGREB, OIB: 78904416556</v>
      </c>
      <c r="H2565" s="7"/>
      <c r="I2565" s="8" t="s">
        <v>402</v>
      </c>
      <c r="J2565" s="8" t="s">
        <v>2270</v>
      </c>
      <c r="K2565" s="6" t="str">
        <f>"35.214,09"</f>
        <v>35.214,09</v>
      </c>
      <c r="L2565" s="6" t="str">
        <f>"8.803,52"</f>
        <v>8.803,52</v>
      </c>
      <c r="M2565" s="6" t="str">
        <f>"44.017,61"</f>
        <v>44.017,61</v>
      </c>
      <c r="N2565" s="8" t="s">
        <v>124</v>
      </c>
      <c r="O2565" s="7"/>
      <c r="P2565" s="2" t="s">
        <v>5614</v>
      </c>
      <c r="Q2565" s="7"/>
      <c r="R2565" s="1"/>
      <c r="S2565" s="1" t="str">
        <f>"N-60/20#1"</f>
        <v>N-60/20#1</v>
      </c>
      <c r="T2565" s="1" t="s">
        <v>86</v>
      </c>
    </row>
    <row r="2566" spans="1:20" ht="76.5" x14ac:dyDescent="0.25">
      <c r="A2566" s="6">
        <v>2562</v>
      </c>
      <c r="B2566" s="1" t="str">
        <f>"2020-951"</f>
        <v>2020-951</v>
      </c>
      <c r="C2566" s="1" t="s">
        <v>2061</v>
      </c>
      <c r="D2566" s="1" t="s">
        <v>1641</v>
      </c>
      <c r="E2566" s="1" t="str">
        <f>""</f>
        <v/>
      </c>
      <c r="F2566" s="1" t="s">
        <v>1848</v>
      </c>
      <c r="G2566" s="1" t="str">
        <f>CONCATENATE("INTERKONZALTING D.O.O.,"," ULICA GRADA VUKOVARA 43/A,"," 10000 ZAGREB,"," OIB: 23141220773")</f>
        <v>INTERKONZALTING D.O.O., ULICA GRADA VUKOVARA 43/A, 10000 ZAGREB, OIB: 23141220773</v>
      </c>
      <c r="H2566" s="7"/>
      <c r="I2566" s="8" t="s">
        <v>509</v>
      </c>
      <c r="J2566" s="8" t="s">
        <v>2271</v>
      </c>
      <c r="K2566" s="6" t="str">
        <f>"132.000,00"</f>
        <v>132.000,00</v>
      </c>
      <c r="L2566" s="6" t="str">
        <f>"33.000,00"</f>
        <v>33.000,00</v>
      </c>
      <c r="M2566" s="6" t="str">
        <f>"165.000,00"</f>
        <v>165.000,00</v>
      </c>
      <c r="N2566" s="8" t="s">
        <v>124</v>
      </c>
      <c r="O2566" s="7"/>
      <c r="P2566" s="2" t="s">
        <v>5614</v>
      </c>
      <c r="Q2566" s="7"/>
      <c r="R2566" s="1"/>
      <c r="S2566" s="1" t="str">
        <f>"N-61/20#1"</f>
        <v>N-61/20#1</v>
      </c>
      <c r="T2566" s="1" t="s">
        <v>32</v>
      </c>
    </row>
    <row r="2567" spans="1:20" ht="76.5" x14ac:dyDescent="0.25">
      <c r="A2567" s="6">
        <v>2563</v>
      </c>
      <c r="B2567" s="1" t="str">
        <f>"2020-935"</f>
        <v>2020-935</v>
      </c>
      <c r="C2567" s="1" t="s">
        <v>2062</v>
      </c>
      <c r="D2567" s="1" t="s">
        <v>2057</v>
      </c>
      <c r="E2567" s="1" t="str">
        <f>""</f>
        <v/>
      </c>
      <c r="F2567" s="1" t="s">
        <v>1848</v>
      </c>
      <c r="G2567" s="1" t="str">
        <f>CONCATENATE("EKONERG D.O.O.,"," KORANSKA ULICA 5,"," 10000 ZAGREB,"," OIB: 71690188016")</f>
        <v>EKONERG D.O.O., KORANSKA ULICA 5, 10000 ZAGREB, OIB: 71690188016</v>
      </c>
      <c r="H2567" s="7"/>
      <c r="I2567" s="8" t="s">
        <v>1147</v>
      </c>
      <c r="J2567" s="8" t="s">
        <v>2271</v>
      </c>
      <c r="K2567" s="6" t="str">
        <f>"289.414,00"</f>
        <v>289.414,00</v>
      </c>
      <c r="L2567" s="6" t="str">
        <f>"72.353,50"</f>
        <v>72.353,50</v>
      </c>
      <c r="M2567" s="6" t="str">
        <f>"361.767,50"</f>
        <v>361.767,50</v>
      </c>
      <c r="N2567" s="8" t="s">
        <v>124</v>
      </c>
      <c r="O2567" s="7"/>
      <c r="P2567" s="2" t="s">
        <v>5614</v>
      </c>
      <c r="Q2567" s="7"/>
      <c r="R2567" s="1"/>
      <c r="S2567" s="1" t="str">
        <f>"N-62/20#1"</f>
        <v>N-62/20#1</v>
      </c>
      <c r="T2567" s="1" t="s">
        <v>32</v>
      </c>
    </row>
    <row r="2568" spans="1:20" ht="76.5" x14ac:dyDescent="0.25">
      <c r="A2568" s="6">
        <v>2564</v>
      </c>
      <c r="B2568" s="1" t="str">
        <f>"2020-1652"</f>
        <v>2020-1652</v>
      </c>
      <c r="C2568" s="1" t="s">
        <v>2076</v>
      </c>
      <c r="D2568" s="1" t="s">
        <v>2068</v>
      </c>
      <c r="E2568" s="1" t="str">
        <f>""</f>
        <v/>
      </c>
      <c r="F2568" s="1" t="s">
        <v>1848</v>
      </c>
      <c r="G2568" s="1" t="str">
        <f>CONCATENATE("TIGRA D.O.O.,"," IVANIĆGRADSKA 22,"," 10000 ZAGREB,"," OIB: 2983006023")</f>
        <v>TIGRA D.O.O., IVANIĆGRADSKA 22, 10000 ZAGREB, OIB: 2983006023</v>
      </c>
      <c r="H2568" s="7"/>
      <c r="I2568" s="8" t="s">
        <v>206</v>
      </c>
      <c r="J2568" s="8" t="s">
        <v>748</v>
      </c>
      <c r="K2568" s="6" t="str">
        <f>"203.204,72"</f>
        <v>203.204,72</v>
      </c>
      <c r="L2568" s="6" t="str">
        <f>"50.801,18"</f>
        <v>50.801,18</v>
      </c>
      <c r="M2568" s="6" t="str">
        <f>"254.005,90"</f>
        <v>254.005,90</v>
      </c>
      <c r="N2568" s="8" t="s">
        <v>124</v>
      </c>
      <c r="O2568" s="7"/>
      <c r="P2568" s="2" t="s">
        <v>5614</v>
      </c>
      <c r="Q2568" s="7"/>
      <c r="R2568" s="1"/>
      <c r="S2568" s="1" t="str">
        <f>"N-72/20#1"</f>
        <v>N-72/20#1</v>
      </c>
      <c r="T2568" s="1" t="s">
        <v>55</v>
      </c>
    </row>
    <row r="2569" spans="1:20" ht="76.5" x14ac:dyDescent="0.25">
      <c r="A2569" s="6">
        <v>2565</v>
      </c>
      <c r="B2569" s="1" t="str">
        <f>"2020-877"</f>
        <v>2020-877</v>
      </c>
      <c r="C2569" s="1" t="s">
        <v>2081</v>
      </c>
      <c r="D2569" s="1" t="s">
        <v>2082</v>
      </c>
      <c r="E2569" s="1" t="str">
        <f>""</f>
        <v/>
      </c>
      <c r="F2569" s="1" t="s">
        <v>1848</v>
      </c>
      <c r="G2569" s="1" t="str">
        <f>CONCATENATE("ING-GRAD D.O.O.,"," KALINOVICA 3/IV,"," 10000 ZAGREB,"," OIB: 93245284305")</f>
        <v>ING-GRAD D.O.O., KALINOVICA 3/IV, 10000 ZAGREB, OIB: 93245284305</v>
      </c>
      <c r="H2569" s="7"/>
      <c r="I2569" s="8" t="s">
        <v>1009</v>
      </c>
      <c r="J2569" s="8" t="s">
        <v>433</v>
      </c>
      <c r="K2569" s="6" t="str">
        <f>"4.901.173,22"</f>
        <v>4.901.173,22</v>
      </c>
      <c r="L2569" s="6" t="str">
        <f>"1.225.293,31"</f>
        <v>1.225.293,31</v>
      </c>
      <c r="M2569" s="6" t="str">
        <f>"6.126.466,53"</f>
        <v>6.126.466,53</v>
      </c>
      <c r="N2569" s="8" t="s">
        <v>124</v>
      </c>
      <c r="O2569" s="7"/>
      <c r="P2569" s="2" t="s">
        <v>5614</v>
      </c>
      <c r="Q2569" s="7"/>
      <c r="R2569" s="1"/>
      <c r="S2569" s="1" t="str">
        <f>"N-74/20#2"</f>
        <v>N-74/20#2</v>
      </c>
      <c r="T2569" s="1" t="s">
        <v>32</v>
      </c>
    </row>
    <row r="2570" spans="1:20" ht="76.5" x14ac:dyDescent="0.25">
      <c r="A2570" s="6">
        <v>2566</v>
      </c>
      <c r="B2570" s="1" t="str">
        <f>"2021-2262"</f>
        <v>2021-2262</v>
      </c>
      <c r="C2570" s="1" t="s">
        <v>2145</v>
      </c>
      <c r="D2570" s="1" t="s">
        <v>2107</v>
      </c>
      <c r="E2570" s="1" t="str">
        <f>""</f>
        <v/>
      </c>
      <c r="F2570" s="1" t="s">
        <v>1848</v>
      </c>
      <c r="G2570" s="1" t="str">
        <f>CONCATENATE("PLANETARIS D.O.O.,"," VLAŠKA 58,"," 10000 ZAGREB,"," OIB: 604245523")</f>
        <v>PLANETARIS D.O.O., VLAŠKA 58, 10000 ZAGREB, OIB: 604245523</v>
      </c>
      <c r="H2570" s="7"/>
      <c r="I2570" s="8" t="s">
        <v>408</v>
      </c>
      <c r="J2570" s="8" t="s">
        <v>917</v>
      </c>
      <c r="K2570" s="6" t="str">
        <f>"35.500,00"</f>
        <v>35.500,00</v>
      </c>
      <c r="L2570" s="6" t="str">
        <f>"8.875,00"</f>
        <v>8.875,00</v>
      </c>
      <c r="M2570" s="6" t="str">
        <f>"44.375,00"</f>
        <v>44.375,00</v>
      </c>
      <c r="N2570" s="8" t="s">
        <v>124</v>
      </c>
      <c r="O2570" s="7"/>
      <c r="P2570" s="2" t="s">
        <v>5614</v>
      </c>
      <c r="Q2570" s="7"/>
      <c r="R2570" s="1"/>
      <c r="S2570" s="1" t="str">
        <f>"N-21/21#1"</f>
        <v>N-21/21#1</v>
      </c>
      <c r="T2570" s="1" t="s">
        <v>32</v>
      </c>
    </row>
    <row r="2571" spans="1:20" ht="76.5" x14ac:dyDescent="0.25">
      <c r="A2571" s="6">
        <v>2567</v>
      </c>
      <c r="B2571" s="1" t="str">
        <f>"2021-2261"</f>
        <v>2021-2261</v>
      </c>
      <c r="C2571" s="1" t="s">
        <v>2157</v>
      </c>
      <c r="D2571" s="1" t="s">
        <v>2107</v>
      </c>
      <c r="E2571" s="1" t="str">
        <f>""</f>
        <v/>
      </c>
      <c r="F2571" s="1" t="s">
        <v>1848</v>
      </c>
      <c r="G2571" s="1" t="str">
        <f>CONCATENATE("JURCON PROJEKT D.O.O.,"," GOTALOVEČKA 4/A,"," 10000 ZAGREB,"," OIB: 55345087244")</f>
        <v>JURCON PROJEKT D.O.O., GOTALOVEČKA 4/A, 10000 ZAGREB, OIB: 55345087244</v>
      </c>
      <c r="H2571" s="7"/>
      <c r="I2571" s="8" t="s">
        <v>301</v>
      </c>
      <c r="J2571" s="8" t="s">
        <v>2159</v>
      </c>
      <c r="K2571" s="6" t="str">
        <f>"18.500,00"</f>
        <v>18.500,00</v>
      </c>
      <c r="L2571" s="6" t="str">
        <f>"4.625,00"</f>
        <v>4.625,00</v>
      </c>
      <c r="M2571" s="6" t="str">
        <f>"23.125,00"</f>
        <v>23.125,00</v>
      </c>
      <c r="N2571" s="8" t="s">
        <v>124</v>
      </c>
      <c r="O2571" s="7"/>
      <c r="P2571" s="2" t="s">
        <v>5614</v>
      </c>
      <c r="Q2571" s="7"/>
      <c r="R2571" s="1"/>
      <c r="S2571" s="1" t="str">
        <f>"N-27/21#1"</f>
        <v>N-27/21#1</v>
      </c>
      <c r="T2571" s="1" t="s">
        <v>32</v>
      </c>
    </row>
    <row r="2572" spans="1:20" ht="63.75" x14ac:dyDescent="0.25">
      <c r="A2572" s="6">
        <v>2568</v>
      </c>
      <c r="B2572" s="1" t="str">
        <f>"2019-2678"</f>
        <v>2019-2678</v>
      </c>
      <c r="C2572" s="1" t="s">
        <v>2272</v>
      </c>
      <c r="D2572" s="1" t="s">
        <v>2107</v>
      </c>
      <c r="E2572" s="1" t="str">
        <f>""</f>
        <v/>
      </c>
      <c r="F2572" s="1" t="s">
        <v>1860</v>
      </c>
      <c r="G2572" s="1" t="str">
        <f>CONCATENATE(" INSTITUT IGH D.D.,"," JANKA RAKUŠE 1,"," 10000 ZAGREB,"," OIB: 79766124714")</f>
        <v xml:space="preserve"> INSTITUT IGH D.D., JANKA RAKUŠE 1, 10000 ZAGREB, OIB: 79766124714</v>
      </c>
      <c r="H2572" s="7"/>
      <c r="I2572" s="8" t="s">
        <v>2273</v>
      </c>
      <c r="J2572" s="8" t="s">
        <v>421</v>
      </c>
      <c r="K2572" s="6" t="str">
        <f>"189.900,00"</f>
        <v>189.900,00</v>
      </c>
      <c r="L2572" s="6" t="str">
        <f>"47.475,00"</f>
        <v>47.475,00</v>
      </c>
      <c r="M2572" s="6" t="str">
        <f>"237.375,00"</f>
        <v>237.375,00</v>
      </c>
      <c r="N2572" s="8" t="s">
        <v>1988</v>
      </c>
      <c r="O2572" s="7"/>
      <c r="P2572" s="2" t="s">
        <v>7015</v>
      </c>
      <c r="Q2572" s="7"/>
      <c r="R2572" s="1"/>
      <c r="S2572" s="1" t="str">
        <f>"JNU-2019-3529"</f>
        <v>JNU-2019-3529</v>
      </c>
      <c r="T2572" s="1" t="s">
        <v>32</v>
      </c>
    </row>
    <row r="2573" spans="1:20" ht="63.75" x14ac:dyDescent="0.25">
      <c r="A2573" s="6">
        <v>2569</v>
      </c>
      <c r="B2573" s="1" t="str">
        <f>"2019-2678"</f>
        <v>2019-2678</v>
      </c>
      <c r="C2573" s="1" t="s">
        <v>2272</v>
      </c>
      <c r="D2573" s="1" t="s">
        <v>2107</v>
      </c>
      <c r="E2573" s="1" t="str">
        <f>""</f>
        <v/>
      </c>
      <c r="F2573" s="1" t="s">
        <v>1969</v>
      </c>
      <c r="G2573" s="1" t="str">
        <f>CONCATENATE(" INSTITUT IGH D.D.,"," JANKA RAKUŠE 1,"," 10000 ZAGREB,"," OIB: 79766124714")</f>
        <v xml:space="preserve"> INSTITUT IGH D.D., JANKA RAKUŠE 1, 10000 ZAGREB, OIB: 79766124714</v>
      </c>
      <c r="H2573" s="7"/>
      <c r="I2573" s="8" t="s">
        <v>831</v>
      </c>
      <c r="J2573" s="8" t="s">
        <v>278</v>
      </c>
      <c r="K2573" s="6" t="str">
        <f>""</f>
        <v/>
      </c>
      <c r="L2573" s="6" t="str">
        <f>"0,00"</f>
        <v>0,00</v>
      </c>
      <c r="M2573" s="6" t="str">
        <f>"0,00"</f>
        <v>0,00</v>
      </c>
      <c r="N2573" s="8" t="s">
        <v>124</v>
      </c>
      <c r="O2573" s="7"/>
      <c r="P2573" s="2" t="s">
        <v>5614</v>
      </c>
      <c r="Q2573" s="7"/>
      <c r="R2573" s="1"/>
      <c r="S2573" s="1" t="str">
        <f>"JNU-2019-3529-1"</f>
        <v>JNU-2019-3529-1</v>
      </c>
      <c r="T2573" s="1" t="s">
        <v>32</v>
      </c>
    </row>
    <row r="2574" spans="1:20" ht="51" x14ac:dyDescent="0.25">
      <c r="A2574" s="6">
        <v>2570</v>
      </c>
      <c r="B2574" s="1" t="str">
        <f>"2020-2515"</f>
        <v>2020-2515</v>
      </c>
      <c r="C2574" s="1" t="s">
        <v>1951</v>
      </c>
      <c r="D2574" s="1" t="s">
        <v>2274</v>
      </c>
      <c r="E2574" s="1" t="str">
        <f>""</f>
        <v/>
      </c>
      <c r="F2574" s="1" t="s">
        <v>1860</v>
      </c>
      <c r="G2574" s="1" t="str">
        <f>CONCATENATE(" INSPEKT D.O.O.,"," AVENIJA DUBROVNIK 15,"," 10020 ZAGREB,"," OIB: 24609583524")</f>
        <v xml:space="preserve"> INSPEKT D.O.O., AVENIJA DUBROVNIK 15, 10020 ZAGREB, OIB: 24609583524</v>
      </c>
      <c r="H2574" s="7"/>
      <c r="I2574" s="8" t="s">
        <v>2275</v>
      </c>
      <c r="J2574" s="8" t="s">
        <v>561</v>
      </c>
      <c r="K2574" s="6" t="str">
        <f>"9.750,00"</f>
        <v>9.750,00</v>
      </c>
      <c r="L2574" s="6" t="str">
        <f>"2.437,50"</f>
        <v>2.437,50</v>
      </c>
      <c r="M2574" s="6" t="str">
        <f>"12.187,50"</f>
        <v>12.187,50</v>
      </c>
      <c r="N2574" s="8" t="s">
        <v>124</v>
      </c>
      <c r="O2574" s="7"/>
      <c r="P2574" s="2" t="s">
        <v>5614</v>
      </c>
      <c r="Q2574" s="7"/>
      <c r="R2574" s="1"/>
      <c r="S2574" s="1" t="str">
        <f>"JNU-2020-2645"</f>
        <v>JNU-2020-2645</v>
      </c>
      <c r="T2574" s="1" t="s">
        <v>32</v>
      </c>
    </row>
    <row r="2575" spans="1:20" ht="51" x14ac:dyDescent="0.25">
      <c r="A2575" s="6">
        <v>2571</v>
      </c>
      <c r="B2575" s="1" t="str">
        <f>"2020-392"</f>
        <v>2020-392</v>
      </c>
      <c r="C2575" s="1" t="s">
        <v>2276</v>
      </c>
      <c r="D2575" s="1" t="s">
        <v>1641</v>
      </c>
      <c r="E2575" s="1" t="str">
        <f>""</f>
        <v/>
      </c>
      <c r="F2575" s="1" t="s">
        <v>1860</v>
      </c>
      <c r="G2575" s="1" t="str">
        <f>CONCATENATE(" BOLD D.O.O.,"," KSAVER 26,"," 10000 ZAGREB,"," OIB: 409650666")</f>
        <v xml:space="preserve"> BOLD D.O.O., KSAVER 26, 10000 ZAGREB, OIB: 409650666</v>
      </c>
      <c r="H2575" s="7"/>
      <c r="I2575" s="8" t="s">
        <v>2277</v>
      </c>
      <c r="J2575" s="8" t="s">
        <v>708</v>
      </c>
      <c r="K2575" s="6" t="str">
        <f>"58.700,00"</f>
        <v>58.700,00</v>
      </c>
      <c r="L2575" s="6" t="str">
        <f>"14.675,00"</f>
        <v>14.675,00</v>
      </c>
      <c r="M2575" s="6" t="str">
        <f>"73.375,00"</f>
        <v>73.375,00</v>
      </c>
      <c r="N2575" s="8" t="s">
        <v>335</v>
      </c>
      <c r="O2575" s="7"/>
      <c r="P2575" s="2" t="s">
        <v>7016</v>
      </c>
      <c r="Q2575" s="1"/>
      <c r="R2575" s="1"/>
      <c r="S2575" s="1" t="str">
        <f>"JNU-2020-2679"</f>
        <v>JNU-2020-2679</v>
      </c>
      <c r="T2575" s="1" t="s">
        <v>32</v>
      </c>
    </row>
    <row r="2576" spans="1:20" ht="51" x14ac:dyDescent="0.25">
      <c r="A2576" s="6">
        <v>2572</v>
      </c>
      <c r="B2576" s="1" t="str">
        <f>"2020-2979"</f>
        <v>2020-2979</v>
      </c>
      <c r="C2576" s="1" t="s">
        <v>2278</v>
      </c>
      <c r="D2576" s="1" t="s">
        <v>1641</v>
      </c>
      <c r="E2576" s="1" t="str">
        <f>""</f>
        <v/>
      </c>
      <c r="F2576" s="1" t="s">
        <v>1860</v>
      </c>
      <c r="G2576" s="1" t="str">
        <f>CONCATENATE(" DAYSEC D.O.O.,"," LUKŠIĆ GORNJI 20,"," 10000 ZAGREB,"," OIB: 84621393576")</f>
        <v xml:space="preserve"> DAYSEC D.O.O., LUKŠIĆ GORNJI 20, 10000 ZAGREB, OIB: 84621393576</v>
      </c>
      <c r="H2576" s="7"/>
      <c r="I2576" s="8" t="s">
        <v>107</v>
      </c>
      <c r="J2576" s="8" t="s">
        <v>111</v>
      </c>
      <c r="K2576" s="6" t="str">
        <f>"37.500,00"</f>
        <v>37.500,00</v>
      </c>
      <c r="L2576" s="6" t="str">
        <f>"9.375,00"</f>
        <v>9.375,00</v>
      </c>
      <c r="M2576" s="6" t="str">
        <f>"46.875,00"</f>
        <v>46.875,00</v>
      </c>
      <c r="N2576" s="8" t="s">
        <v>25</v>
      </c>
      <c r="O2576" s="7"/>
      <c r="P2576" s="2" t="s">
        <v>5857</v>
      </c>
      <c r="Q2576" s="7"/>
      <c r="R2576" s="1"/>
      <c r="S2576" s="1" t="str">
        <f>"JNU-2020-3155"</f>
        <v>JNU-2020-3155</v>
      </c>
      <c r="T2576" s="1" t="s">
        <v>32</v>
      </c>
    </row>
    <row r="2577" spans="1:20" ht="63.75" x14ac:dyDescent="0.25">
      <c r="A2577" s="6">
        <v>2573</v>
      </c>
      <c r="B2577" s="1" t="str">
        <f>"2020-2995"</f>
        <v>2020-2995</v>
      </c>
      <c r="C2577" s="1" t="s">
        <v>2279</v>
      </c>
      <c r="D2577" s="1" t="s">
        <v>2280</v>
      </c>
      <c r="E2577" s="1" t="str">
        <f>""</f>
        <v/>
      </c>
      <c r="F2577" s="1" t="s">
        <v>1860</v>
      </c>
      <c r="G2577" s="1" t="str">
        <f>CONCATENATE(" PISMORAD D.O.O.,"," INDUSTRIJSKA 5,"," 10431 SVETA NEDELJA-NOVAKI,"," OIB: 33260306505")</f>
        <v xml:space="preserve"> PISMORAD D.O.O., INDUSTRIJSKA 5, 10431 SVETA NEDELJA-NOVAKI, OIB: 33260306505</v>
      </c>
      <c r="H2577" s="7"/>
      <c r="I2577" s="8" t="s">
        <v>2281</v>
      </c>
      <c r="J2577" s="8" t="s">
        <v>930</v>
      </c>
      <c r="K2577" s="6" t="str">
        <f>"388.891,00"</f>
        <v>388.891,00</v>
      </c>
      <c r="L2577" s="6" t="str">
        <f>"97.222,75"</f>
        <v>97.222,75</v>
      </c>
      <c r="M2577" s="6" t="str">
        <f>"486.113,75"</f>
        <v>486.113,75</v>
      </c>
      <c r="N2577" s="8" t="s">
        <v>124</v>
      </c>
      <c r="O2577" s="7"/>
      <c r="P2577" s="2" t="s">
        <v>5614</v>
      </c>
      <c r="Q2577" s="7"/>
      <c r="R2577" s="1"/>
      <c r="S2577" s="1" t="str">
        <f>"JNU-2020-3308"</f>
        <v>JNU-2020-3308</v>
      </c>
      <c r="T2577" s="1" t="s">
        <v>32</v>
      </c>
    </row>
    <row r="2578" spans="1:20" ht="102" x14ac:dyDescent="0.25">
      <c r="A2578" s="6">
        <v>2574</v>
      </c>
      <c r="B2578" s="1" t="str">
        <f>"2020-2996"</f>
        <v>2020-2996</v>
      </c>
      <c r="C2578" s="1" t="s">
        <v>2282</v>
      </c>
      <c r="D2578" s="1" t="s">
        <v>2107</v>
      </c>
      <c r="E2578" s="1" t="str">
        <f>""</f>
        <v/>
      </c>
      <c r="F2578" s="1" t="s">
        <v>1860</v>
      </c>
      <c r="G2578" s="1" t="str">
        <f>CONCATENATE(" BOLD D.O.O.,"," KSAVER 26,"," 10000 ZAGREB,"," OIB: 409650666")</f>
        <v xml:space="preserve"> BOLD D.O.O., KSAVER 26, 10000 ZAGREB, OIB: 409650666</v>
      </c>
      <c r="H2578" s="7"/>
      <c r="I2578" s="8" t="s">
        <v>2275</v>
      </c>
      <c r="J2578" s="8" t="s">
        <v>561</v>
      </c>
      <c r="K2578" s="6" t="str">
        <f>"190.000,00"</f>
        <v>190.000,00</v>
      </c>
      <c r="L2578" s="6" t="str">
        <f>"47.500,00"</f>
        <v>47.500,00</v>
      </c>
      <c r="M2578" s="6" t="str">
        <f>"237.500,00"</f>
        <v>237.500,00</v>
      </c>
      <c r="N2578" s="8" t="s">
        <v>124</v>
      </c>
      <c r="O2578" s="7"/>
      <c r="P2578" s="2" t="s">
        <v>5614</v>
      </c>
      <c r="Q2578" s="7"/>
      <c r="R2578" s="1"/>
      <c r="S2578" s="1" t="str">
        <f>"JNU-2020-3367"</f>
        <v>JNU-2020-3367</v>
      </c>
      <c r="T2578" s="1" t="s">
        <v>32</v>
      </c>
    </row>
    <row r="2579" spans="1:20" ht="76.5" x14ac:dyDescent="0.25">
      <c r="A2579" s="6">
        <v>2575</v>
      </c>
      <c r="B2579" s="1" t="str">
        <f>"2021-2162"</f>
        <v>2021-2162</v>
      </c>
      <c r="C2579" s="1" t="s">
        <v>2283</v>
      </c>
      <c r="D2579" s="1" t="s">
        <v>2057</v>
      </c>
      <c r="E2579" s="1" t="str">
        <f>""</f>
        <v/>
      </c>
      <c r="F2579" s="1" t="s">
        <v>1860</v>
      </c>
      <c r="G2579" s="1" t="str">
        <f>CONCATENATE(" EKONERG D.O.O.,"," KORANSKA ULICA 5,"," 10000 ZAGREB,"," OIB: 71690188016")</f>
        <v xml:space="preserve"> EKONERG D.O.O., KORANSKA ULICA 5, 10000 ZAGREB, OIB: 71690188016</v>
      </c>
      <c r="H2579" s="7"/>
      <c r="I2579" s="8" t="s">
        <v>2114</v>
      </c>
      <c r="J2579" s="8" t="s">
        <v>269</v>
      </c>
      <c r="K2579" s="6" t="str">
        <f>"50.000,00"</f>
        <v>50.000,00</v>
      </c>
      <c r="L2579" s="6" t="str">
        <f>"12.500,00"</f>
        <v>12.500,00</v>
      </c>
      <c r="M2579" s="6" t="str">
        <f>"62.500,00"</f>
        <v>62.500,00</v>
      </c>
      <c r="N2579" s="8" t="s">
        <v>2111</v>
      </c>
      <c r="O2579" s="7"/>
      <c r="P2579" s="2" t="s">
        <v>7013</v>
      </c>
      <c r="Q2579" s="7"/>
      <c r="R2579" s="1"/>
      <c r="S2579" s="1" t="str">
        <f>"JNU-2021-370"</f>
        <v>JNU-2021-370</v>
      </c>
      <c r="T2579" s="1" t="s">
        <v>32</v>
      </c>
    </row>
    <row r="2580" spans="1:20" ht="76.5" x14ac:dyDescent="0.25">
      <c r="A2580" s="6">
        <v>2576</v>
      </c>
      <c r="B2580" s="1" t="str">
        <f>"2021-1525"</f>
        <v>2021-1525</v>
      </c>
      <c r="C2580" s="1" t="s">
        <v>2284</v>
      </c>
      <c r="D2580" s="1" t="s">
        <v>381</v>
      </c>
      <c r="E2580" s="1" t="str">
        <f>""</f>
        <v/>
      </c>
      <c r="F2580" s="1" t="s">
        <v>1860</v>
      </c>
      <c r="G2580" s="1" t="str">
        <f>CONCATENATE(" E.G.S.-ELEKTROGRADITELJSTVO D.O.O.,"," ALBERTA FORTISA 10,"," 10090 ZAGREB,"," OIB: 83439900916")</f>
        <v xml:space="preserve"> E.G.S.-ELEKTROGRADITELJSTVO D.O.O., ALBERTA FORTISA 10, 10090 ZAGREB, OIB: 83439900916</v>
      </c>
      <c r="H2580" s="7"/>
      <c r="I2580" s="8" t="s">
        <v>2285</v>
      </c>
      <c r="J2580" s="8" t="s">
        <v>600</v>
      </c>
      <c r="K2580" s="6" t="str">
        <f>"28.300,00"</f>
        <v>28.300,00</v>
      </c>
      <c r="L2580" s="6" t="str">
        <f>"7.075,00"</f>
        <v>7.075,00</v>
      </c>
      <c r="M2580" s="6" t="str">
        <f>"35.375,00"</f>
        <v>35.375,00</v>
      </c>
      <c r="N2580" s="8" t="s">
        <v>1058</v>
      </c>
      <c r="O2580" s="7"/>
      <c r="P2580" s="2" t="s">
        <v>7017</v>
      </c>
      <c r="Q2580" s="7"/>
      <c r="R2580" s="1"/>
      <c r="S2580" s="1" t="str">
        <f>"JNU-2021-396"</f>
        <v>JNU-2021-396</v>
      </c>
      <c r="T2580" s="1" t="s">
        <v>32</v>
      </c>
    </row>
    <row r="2581" spans="1:20" ht="51" x14ac:dyDescent="0.25">
      <c r="A2581" s="6">
        <v>2577</v>
      </c>
      <c r="B2581" s="1" t="str">
        <f>"2021-1050"</f>
        <v>2021-1050</v>
      </c>
      <c r="C2581" s="1" t="s">
        <v>2286</v>
      </c>
      <c r="D2581" s="1" t="s">
        <v>2287</v>
      </c>
      <c r="E2581" s="1" t="str">
        <f>""</f>
        <v/>
      </c>
      <c r="F2581" s="1" t="s">
        <v>1860</v>
      </c>
      <c r="G2581" s="1" t="str">
        <f>CONCATENATE(" STORM COMPUTERS D.O.O.,"," SAVICA I. 127,"," 10000 ZAGREB,"," OIB: 20142998436")</f>
        <v xml:space="preserve"> STORM COMPUTERS D.O.O., SAVICA I. 127, 10000 ZAGREB, OIB: 20142998436</v>
      </c>
      <c r="H2581" s="7"/>
      <c r="I2581" s="8" t="s">
        <v>1904</v>
      </c>
      <c r="J2581" s="8" t="s">
        <v>469</v>
      </c>
      <c r="K2581" s="6" t="str">
        <f>"51.758,10"</f>
        <v>51.758,10</v>
      </c>
      <c r="L2581" s="6" t="str">
        <f>"12.939,53"</f>
        <v>12.939,53</v>
      </c>
      <c r="M2581" s="6" t="str">
        <f>"64.697,63"</f>
        <v>64.697,63</v>
      </c>
      <c r="N2581" s="8" t="s">
        <v>506</v>
      </c>
      <c r="O2581" s="7"/>
      <c r="P2581" s="2" t="s">
        <v>7018</v>
      </c>
      <c r="Q2581" s="7"/>
      <c r="R2581" s="1"/>
      <c r="S2581" s="1" t="str">
        <f>"JNU-2021-489"</f>
        <v>JNU-2021-489</v>
      </c>
      <c r="T2581" s="1" t="s">
        <v>32</v>
      </c>
    </row>
    <row r="2582" spans="1:20" ht="51" x14ac:dyDescent="0.25">
      <c r="A2582" s="6">
        <v>2578</v>
      </c>
      <c r="B2582" s="1" t="str">
        <f>"2021-1121"</f>
        <v>2021-1121</v>
      </c>
      <c r="C2582" s="1" t="s">
        <v>2288</v>
      </c>
      <c r="D2582" s="1" t="s">
        <v>1007</v>
      </c>
      <c r="E2582" s="1" t="str">
        <f>""</f>
        <v/>
      </c>
      <c r="F2582" s="1" t="s">
        <v>1860</v>
      </c>
      <c r="G2582" s="1" t="str">
        <f>CONCATENATE(" CAMELOT SISTEMI D.O.O.,"," FRANKOPANSKA 22,"," 10000 ZAGREB,"," OIB: 79572418476")</f>
        <v xml:space="preserve"> CAMELOT SISTEMI D.O.O., FRANKOPANSKA 22, 10000 ZAGREB, OIB: 79572418476</v>
      </c>
      <c r="H2582" s="7"/>
      <c r="I2582" s="8" t="s">
        <v>223</v>
      </c>
      <c r="J2582" s="8" t="s">
        <v>524</v>
      </c>
      <c r="K2582" s="6" t="str">
        <f>"40.000,00"</f>
        <v>40.000,00</v>
      </c>
      <c r="L2582" s="6" t="str">
        <f>"10.000,00"</f>
        <v>10.000,00</v>
      </c>
      <c r="M2582" s="6" t="str">
        <f>"50.000,00"</f>
        <v>50.000,00</v>
      </c>
      <c r="N2582" s="8" t="s">
        <v>406</v>
      </c>
      <c r="O2582" s="7"/>
      <c r="P2582" s="2" t="s">
        <v>7019</v>
      </c>
      <c r="Q2582" s="1"/>
      <c r="R2582" s="1"/>
      <c r="S2582" s="1" t="str">
        <f>"JNU-2021-644"</f>
        <v>JNU-2021-644</v>
      </c>
      <c r="T2582" s="1" t="s">
        <v>32</v>
      </c>
    </row>
    <row r="2583" spans="1:20" ht="63.75" x14ac:dyDescent="0.25">
      <c r="A2583" s="6">
        <v>2579</v>
      </c>
      <c r="B2583" s="1" t="str">
        <f>"2021-482"</f>
        <v>2021-482</v>
      </c>
      <c r="C2583" s="1" t="s">
        <v>2289</v>
      </c>
      <c r="D2583" s="1" t="s">
        <v>2290</v>
      </c>
      <c r="E2583" s="1" t="str">
        <f>""</f>
        <v/>
      </c>
      <c r="F2583" s="1" t="s">
        <v>1860</v>
      </c>
      <c r="G2583" s="1" t="str">
        <f>CONCATENATE(" SISTEMI ZA PRANJE SZABO D.O.O.,"," KARLOVAČKA CESTA 4/H,"," 10000 ZAGREB,"," OIB: 18907358249")</f>
        <v xml:space="preserve"> SISTEMI ZA PRANJE SZABO D.O.O., KARLOVAČKA CESTA 4/H, 10000 ZAGREB, OIB: 18907358249</v>
      </c>
      <c r="H2583" s="7"/>
      <c r="I2583" s="8" t="s">
        <v>1923</v>
      </c>
      <c r="J2583" s="8" t="s">
        <v>563</v>
      </c>
      <c r="K2583" s="6" t="str">
        <f>"81.342,26"</f>
        <v>81.342,26</v>
      </c>
      <c r="L2583" s="6" t="str">
        <f>"20.335,57"</f>
        <v>20.335,57</v>
      </c>
      <c r="M2583" s="6" t="str">
        <f>"101.677,83"</f>
        <v>101.677,83</v>
      </c>
      <c r="N2583" s="8" t="s">
        <v>2291</v>
      </c>
      <c r="O2583" s="7"/>
      <c r="P2583" s="2" t="s">
        <v>7020</v>
      </c>
      <c r="Q2583" s="7"/>
      <c r="R2583" s="1"/>
      <c r="S2583" s="1" t="str">
        <f>"JNU-2021-1027"</f>
        <v>JNU-2021-1027</v>
      </c>
      <c r="T2583" s="1" t="s">
        <v>32</v>
      </c>
    </row>
    <row r="2584" spans="1:20" ht="63.75" x14ac:dyDescent="0.25">
      <c r="A2584" s="6">
        <v>2580</v>
      </c>
      <c r="B2584" s="1" t="str">
        <f>"2021-1465"</f>
        <v>2021-1465</v>
      </c>
      <c r="C2584" s="1" t="s">
        <v>2292</v>
      </c>
      <c r="D2584" s="1" t="s">
        <v>2260</v>
      </c>
      <c r="E2584" s="1" t="str">
        <f>""</f>
        <v/>
      </c>
      <c r="F2584" s="1" t="s">
        <v>1860</v>
      </c>
      <c r="G2584" s="1" t="str">
        <f>CONCATENATE(" ENERGETSKO EFIKASNI DIZAJN J.D.O.O.,"," ŠENOVA 5,"," 10000 ZAGREB,"," OIB: 19138657352")</f>
        <v xml:space="preserve"> ENERGETSKO EFIKASNI DIZAJN J.D.O.O., ŠENOVA 5, 10000 ZAGREB, OIB: 19138657352</v>
      </c>
      <c r="H2584" s="7"/>
      <c r="I2584" s="8" t="s">
        <v>182</v>
      </c>
      <c r="J2584" s="8" t="s">
        <v>910</v>
      </c>
      <c r="K2584" s="6" t="str">
        <f>"114.180,00"</f>
        <v>114.180,00</v>
      </c>
      <c r="L2584" s="6" t="str">
        <f>"28.545,00"</f>
        <v>28.545,00</v>
      </c>
      <c r="M2584" s="6" t="str">
        <f>"142.725,00"</f>
        <v>142.725,00</v>
      </c>
      <c r="N2584" s="8" t="s">
        <v>262</v>
      </c>
      <c r="O2584" s="7"/>
      <c r="P2584" s="2" t="s">
        <v>7021</v>
      </c>
      <c r="Q2584" s="7"/>
      <c r="R2584" s="1"/>
      <c r="S2584" s="1" t="str">
        <f>"JNU-2021-1062"</f>
        <v>JNU-2021-1062</v>
      </c>
      <c r="T2584" s="1" t="s">
        <v>32</v>
      </c>
    </row>
    <row r="2585" spans="1:20" ht="51" x14ac:dyDescent="0.25">
      <c r="A2585" s="6">
        <v>2581</v>
      </c>
      <c r="B2585" s="1" t="str">
        <f>"2021-1254"</f>
        <v>2021-1254</v>
      </c>
      <c r="C2585" s="1" t="s">
        <v>2293</v>
      </c>
      <c r="D2585" s="1" t="s">
        <v>900</v>
      </c>
      <c r="E2585" s="1" t="str">
        <f>""</f>
        <v/>
      </c>
      <c r="F2585" s="1" t="s">
        <v>1860</v>
      </c>
      <c r="G2585" s="1" t="str">
        <f>CONCATENATE(" ROYAL MEDIA D.O.O.,"," JABLANSKA ULICA 72,"," 10000 ZAGREB,"," OIB: 06246395862")</f>
        <v xml:space="preserve"> ROYAL MEDIA D.O.O., JABLANSKA ULICA 72, 10000 ZAGREB, OIB: 06246395862</v>
      </c>
      <c r="H2585" s="7"/>
      <c r="I2585" s="8" t="s">
        <v>182</v>
      </c>
      <c r="J2585" s="8" t="s">
        <v>910</v>
      </c>
      <c r="K2585" s="6" t="str">
        <f>"197.100,00"</f>
        <v>197.100,00</v>
      </c>
      <c r="L2585" s="6" t="str">
        <f>"49.275,00"</f>
        <v>49.275,00</v>
      </c>
      <c r="M2585" s="6" t="str">
        <f>"246.375,00"</f>
        <v>246.375,00</v>
      </c>
      <c r="N2585" s="8" t="s">
        <v>1058</v>
      </c>
      <c r="O2585" s="7"/>
      <c r="P2585" s="2" t="s">
        <v>7022</v>
      </c>
      <c r="Q2585" s="7"/>
      <c r="R2585" s="1"/>
      <c r="S2585" s="1" t="str">
        <f>"JNU-2021-1119"</f>
        <v>JNU-2021-1119</v>
      </c>
      <c r="T2585" s="1" t="s">
        <v>32</v>
      </c>
    </row>
    <row r="2586" spans="1:20" ht="51" x14ac:dyDescent="0.25">
      <c r="A2586" s="6">
        <v>2582</v>
      </c>
      <c r="B2586" s="1" t="str">
        <f>"2021-2284"</f>
        <v>2021-2284</v>
      </c>
      <c r="C2586" s="1" t="s">
        <v>2294</v>
      </c>
      <c r="D2586" s="1" t="s">
        <v>1672</v>
      </c>
      <c r="E2586" s="1" t="str">
        <f>""</f>
        <v/>
      </c>
      <c r="F2586" s="1" t="s">
        <v>1860</v>
      </c>
      <c r="G2586" s="1" t="str">
        <f>CONCATENATE(" ROYAL MEDIA D.O.O.,"," JABLANSKA ULICA 72,"," 10000 ZAGREB,"," OIB: 06246395862")</f>
        <v xml:space="preserve"> ROYAL MEDIA D.O.O., JABLANSKA ULICA 72, 10000 ZAGREB, OIB: 06246395862</v>
      </c>
      <c r="H2586" s="7"/>
      <c r="I2586" s="8" t="s">
        <v>182</v>
      </c>
      <c r="J2586" s="8" t="s">
        <v>910</v>
      </c>
      <c r="K2586" s="6" t="str">
        <f>"198.750,00"</f>
        <v>198.750,00</v>
      </c>
      <c r="L2586" s="6" t="str">
        <f>"49.687,50"</f>
        <v>49.687,50</v>
      </c>
      <c r="M2586" s="6" t="str">
        <f>"248.437,50"</f>
        <v>248.437,50</v>
      </c>
      <c r="N2586" s="8" t="s">
        <v>1058</v>
      </c>
      <c r="O2586" s="7"/>
      <c r="P2586" s="2" t="s">
        <v>7023</v>
      </c>
      <c r="Q2586" s="7"/>
      <c r="R2586" s="1"/>
      <c r="S2586" s="1" t="str">
        <f>"JNU-2021-1120"</f>
        <v>JNU-2021-1120</v>
      </c>
      <c r="T2586" s="1" t="s">
        <v>32</v>
      </c>
    </row>
    <row r="2587" spans="1:20" ht="38.25" x14ac:dyDescent="0.25">
      <c r="A2587" s="6">
        <v>2583</v>
      </c>
      <c r="B2587" s="1" t="str">
        <f>"2021-1082"</f>
        <v>2021-1082</v>
      </c>
      <c r="C2587" s="1" t="s">
        <v>2295</v>
      </c>
      <c r="D2587" s="1" t="s">
        <v>2296</v>
      </c>
      <c r="E2587" s="1" t="str">
        <f>""</f>
        <v/>
      </c>
      <c r="F2587" s="1" t="s">
        <v>1860</v>
      </c>
      <c r="G2587" s="1" t="str">
        <f>CONCATENATE(" PARTNER ELECTRIC D.O.O.,"," ,"," OIB: 2124600005")</f>
        <v xml:space="preserve"> PARTNER ELECTRIC D.O.O., , OIB: 2124600005</v>
      </c>
      <c r="H2587" s="7"/>
      <c r="I2587" s="8" t="s">
        <v>2297</v>
      </c>
      <c r="J2587" s="8" t="s">
        <v>1099</v>
      </c>
      <c r="K2587" s="6" t="str">
        <f>"27.550,00"</f>
        <v>27.550,00</v>
      </c>
      <c r="L2587" s="6" t="str">
        <f>"6.887,50"</f>
        <v>6.887,50</v>
      </c>
      <c r="M2587" s="6" t="str">
        <f>"34.437,50"</f>
        <v>34.437,50</v>
      </c>
      <c r="N2587" s="8" t="s">
        <v>203</v>
      </c>
      <c r="O2587" s="7"/>
      <c r="P2587" s="2" t="s">
        <v>7024</v>
      </c>
      <c r="Q2587" s="1" t="s">
        <v>2298</v>
      </c>
      <c r="R2587" s="1"/>
      <c r="S2587" s="1" t="str">
        <f>"JNU-2021-1264"</f>
        <v>JNU-2021-1264</v>
      </c>
      <c r="T2587" s="1" t="s">
        <v>32</v>
      </c>
    </row>
    <row r="2588" spans="1:20" ht="51" x14ac:dyDescent="0.25">
      <c r="A2588" s="6">
        <v>2584</v>
      </c>
      <c r="B2588" s="1" t="str">
        <f>"2021-1388"</f>
        <v>2021-1388</v>
      </c>
      <c r="C2588" s="1" t="s">
        <v>2299</v>
      </c>
      <c r="D2588" s="1" t="s">
        <v>74</v>
      </c>
      <c r="E2588" s="1" t="str">
        <f>""</f>
        <v/>
      </c>
      <c r="F2588" s="1" t="s">
        <v>1860</v>
      </c>
      <c r="G2588" s="1" t="str">
        <f>CONCATENATE(" TROL DK D.O.O.,"," BISAČKA 14,"," 10000 ZAGREB,"," OIB: 60610587089")</f>
        <v xml:space="preserve"> TROL DK D.O.O., BISAČKA 14, 10000 ZAGREB, OIB: 60610587089</v>
      </c>
      <c r="H2588" s="7"/>
      <c r="I2588" s="8" t="s">
        <v>2300</v>
      </c>
      <c r="J2588" s="8" t="s">
        <v>1159</v>
      </c>
      <c r="K2588" s="6" t="str">
        <f>"198.600,00"</f>
        <v>198.600,00</v>
      </c>
      <c r="L2588" s="6" t="str">
        <f>"49.650,00"</f>
        <v>49.650,00</v>
      </c>
      <c r="M2588" s="6" t="str">
        <f>"248.250,00"</f>
        <v>248.250,00</v>
      </c>
      <c r="N2588" s="8" t="s">
        <v>57</v>
      </c>
      <c r="O2588" s="7"/>
      <c r="P2588" s="2" t="s">
        <v>7025</v>
      </c>
      <c r="Q2588" s="7"/>
      <c r="R2588" s="1"/>
      <c r="S2588" s="1" t="str">
        <f>"JNU-2021-1325"</f>
        <v>JNU-2021-1325</v>
      </c>
      <c r="T2588" s="1" t="s">
        <v>32</v>
      </c>
    </row>
    <row r="2589" spans="1:20" ht="76.5" x14ac:dyDescent="0.25">
      <c r="A2589" s="6">
        <v>2585</v>
      </c>
      <c r="B2589" s="1" t="str">
        <f>"2021-2296"</f>
        <v>2021-2296</v>
      </c>
      <c r="C2589" s="1" t="s">
        <v>2301</v>
      </c>
      <c r="D2589" s="1" t="s">
        <v>2269</v>
      </c>
      <c r="E2589" s="1" t="str">
        <f>""</f>
        <v/>
      </c>
      <c r="F2589" s="1" t="s">
        <v>1860</v>
      </c>
      <c r="G2589" s="1" t="str">
        <f>CONCATENATE(" EKONERG D.O.O.,"," KORANSKA ULICA 5,"," 10000 ZAGREB,"," OIB: 71690188016")</f>
        <v xml:space="preserve"> EKONERG D.O.O., KORANSKA ULICA 5, 10000 ZAGREB, OIB: 71690188016</v>
      </c>
      <c r="H2589" s="7"/>
      <c r="I2589" s="8" t="s">
        <v>1350</v>
      </c>
      <c r="J2589" s="8" t="s">
        <v>947</v>
      </c>
      <c r="K2589" s="6" t="str">
        <f>"69.000,00"</f>
        <v>69.000,00</v>
      </c>
      <c r="L2589" s="6" t="str">
        <f>"17.250,00"</f>
        <v>17.250,00</v>
      </c>
      <c r="M2589" s="6" t="str">
        <f>"86.250,00"</f>
        <v>86.250,00</v>
      </c>
      <c r="N2589" s="8" t="s">
        <v>124</v>
      </c>
      <c r="O2589" s="7"/>
      <c r="P2589" s="2" t="s">
        <v>5614</v>
      </c>
      <c r="Q2589" s="7"/>
      <c r="R2589" s="1"/>
      <c r="S2589" s="1" t="str">
        <f>"JNU-2021-1359"</f>
        <v>JNU-2021-1359</v>
      </c>
      <c r="T2589" s="1" t="s">
        <v>32</v>
      </c>
    </row>
    <row r="2590" spans="1:20" ht="51" x14ac:dyDescent="0.25">
      <c r="A2590" s="6">
        <v>2586</v>
      </c>
      <c r="B2590" s="1" t="str">
        <f>"2021-203"</f>
        <v>2021-203</v>
      </c>
      <c r="C2590" s="1" t="s">
        <v>2302</v>
      </c>
      <c r="D2590" s="1" t="s">
        <v>689</v>
      </c>
      <c r="E2590" s="1" t="str">
        <f>""</f>
        <v/>
      </c>
      <c r="F2590" s="1" t="s">
        <v>1860</v>
      </c>
      <c r="G2590" s="1" t="str">
        <f>CONCATENATE(" FIRASTONE D.O.O.,"," DONJE SVETICE 31,"," 10000 ZAGREB,"," OIB: 2711712242")</f>
        <v xml:space="preserve"> FIRASTONE D.O.O., DONJE SVETICE 31, 10000 ZAGREB, OIB: 2711712242</v>
      </c>
      <c r="H2590" s="7"/>
      <c r="I2590" s="8" t="s">
        <v>707</v>
      </c>
      <c r="J2590" s="8" t="s">
        <v>892</v>
      </c>
      <c r="K2590" s="6" t="str">
        <f>"28.034,00"</f>
        <v>28.034,00</v>
      </c>
      <c r="L2590" s="6" t="str">
        <f>"7.008,50"</f>
        <v>7.008,50</v>
      </c>
      <c r="M2590" s="6" t="str">
        <f>"35.042,50"</f>
        <v>35.042,50</v>
      </c>
      <c r="N2590" s="8" t="s">
        <v>1320</v>
      </c>
      <c r="O2590" s="7"/>
      <c r="P2590" s="2" t="s">
        <v>7026</v>
      </c>
      <c r="Q2590" s="7"/>
      <c r="R2590" s="1"/>
      <c r="S2590" s="1" t="str">
        <f>"JNU-2021-1541"</f>
        <v>JNU-2021-1541</v>
      </c>
      <c r="T2590" s="1" t="s">
        <v>32</v>
      </c>
    </row>
    <row r="2591" spans="1:20" ht="63.75" x14ac:dyDescent="0.25">
      <c r="A2591" s="6">
        <v>2587</v>
      </c>
      <c r="B2591" s="1" t="str">
        <f>"2021-2331"</f>
        <v>2021-2331</v>
      </c>
      <c r="C2591" s="1" t="s">
        <v>2303</v>
      </c>
      <c r="D2591" s="1" t="s">
        <v>2107</v>
      </c>
      <c r="E2591" s="1" t="str">
        <f>""</f>
        <v/>
      </c>
      <c r="F2591" s="1" t="s">
        <v>1860</v>
      </c>
      <c r="G2591" s="1" t="str">
        <f>CONCATENATE(" DAYSEC D.O.O.,"," LUKŠIĆ GORNJI 20,"," 10000 ZAGREB,"," OIB: 84621393576")</f>
        <v xml:space="preserve"> DAYSEC D.O.O., LUKŠIĆ GORNJI 20, 10000 ZAGREB, OIB: 84621393576</v>
      </c>
      <c r="H2591" s="7"/>
      <c r="I2591" s="8" t="s">
        <v>1549</v>
      </c>
      <c r="J2591" s="8" t="s">
        <v>2304</v>
      </c>
      <c r="K2591" s="6" t="str">
        <f>"67.500,00"</f>
        <v>67.500,00</v>
      </c>
      <c r="L2591" s="6" t="str">
        <f>"16.875,00"</f>
        <v>16.875,00</v>
      </c>
      <c r="M2591" s="6" t="str">
        <f>"84.375,00"</f>
        <v>84.375,00</v>
      </c>
      <c r="N2591" s="8" t="s">
        <v>775</v>
      </c>
      <c r="O2591" s="7"/>
      <c r="P2591" s="2" t="s">
        <v>7027</v>
      </c>
      <c r="Q2591" s="7"/>
      <c r="R2591" s="1"/>
      <c r="S2591" s="1" t="str">
        <f>"JNU-2021-1877"</f>
        <v>JNU-2021-1877</v>
      </c>
      <c r="T2591" s="1" t="s">
        <v>32</v>
      </c>
    </row>
    <row r="2592" spans="1:20" ht="63.75" x14ac:dyDescent="0.25">
      <c r="A2592" s="6">
        <v>2588</v>
      </c>
      <c r="B2592" s="1" t="str">
        <f>"2021-1424"</f>
        <v>2021-1424</v>
      </c>
      <c r="C2592" s="1" t="s">
        <v>2305</v>
      </c>
      <c r="D2592" s="1" t="s">
        <v>2306</v>
      </c>
      <c r="E2592" s="1" t="str">
        <f>""</f>
        <v/>
      </c>
      <c r="F2592" s="1" t="s">
        <v>1860</v>
      </c>
      <c r="G2592" s="1" t="str">
        <f>CONCATENATE(" KPMG CROATIA D.O.O.,"," EUROTOWER,"," 17. KAT - IVANA LUČIĆA 2A,"," 10000 ZAGREB,"," OIB: 20963249418")</f>
        <v xml:space="preserve"> KPMG CROATIA D.O.O., EUROTOWER, 17. KAT - IVANA LUČIĆA 2A, 10000 ZAGREB, OIB: 20963249418</v>
      </c>
      <c r="H2592" s="7"/>
      <c r="I2592" s="8" t="s">
        <v>799</v>
      </c>
      <c r="J2592" s="8" t="s">
        <v>2307</v>
      </c>
      <c r="K2592" s="6" t="str">
        <f>"12.000,00"</f>
        <v>12.000,00</v>
      </c>
      <c r="L2592" s="6" t="str">
        <f>"3.000,00"</f>
        <v>3.000,00</v>
      </c>
      <c r="M2592" s="6" t="str">
        <f>"15.000,00"</f>
        <v>15.000,00</v>
      </c>
      <c r="N2592" s="8" t="s">
        <v>613</v>
      </c>
      <c r="O2592" s="7"/>
      <c r="P2592" s="2" t="s">
        <v>5902</v>
      </c>
      <c r="Q2592" s="7"/>
      <c r="R2592" s="1"/>
      <c r="S2592" s="1" t="str">
        <f>"JNU-2021-1900"</f>
        <v>JNU-2021-1900</v>
      </c>
      <c r="T2592" s="1" t="s">
        <v>32</v>
      </c>
    </row>
    <row r="2593" spans="1:20" ht="63.75" x14ac:dyDescent="0.25">
      <c r="A2593" s="6">
        <v>2589</v>
      </c>
      <c r="B2593" s="1" t="str">
        <f>"2021-1424"</f>
        <v>2021-1424</v>
      </c>
      <c r="C2593" s="1" t="s">
        <v>2305</v>
      </c>
      <c r="D2593" s="1" t="s">
        <v>2306</v>
      </c>
      <c r="E2593" s="1" t="str">
        <f>""</f>
        <v/>
      </c>
      <c r="F2593" s="1" t="s">
        <v>1860</v>
      </c>
      <c r="G2593" s="1" t="str">
        <f>CONCATENATE(" KPMG CROATIA D.O.O.,"," EUROTOWER,"," 17. KAT - IVANA LUČIĆA 2A,"," 10000 ZAGREB,"," OIB: 20963249418")</f>
        <v xml:space="preserve"> KPMG CROATIA D.O.O., EUROTOWER, 17. KAT - IVANA LUČIĆA 2A, 10000 ZAGREB, OIB: 20963249418</v>
      </c>
      <c r="H2593" s="7"/>
      <c r="I2593" s="8" t="s">
        <v>799</v>
      </c>
      <c r="J2593" s="8" t="s">
        <v>2307</v>
      </c>
      <c r="K2593" s="6" t="str">
        <f>"60.000,00"</f>
        <v>60.000,00</v>
      </c>
      <c r="L2593" s="6" t="str">
        <f>"15.000,00"</f>
        <v>15.000,00</v>
      </c>
      <c r="M2593" s="6" t="str">
        <f>"75.000,00"</f>
        <v>75.000,00</v>
      </c>
      <c r="N2593" s="8" t="s">
        <v>613</v>
      </c>
      <c r="O2593" s="7"/>
      <c r="P2593" s="2" t="s">
        <v>6622</v>
      </c>
      <c r="Q2593" s="7"/>
      <c r="R2593" s="1"/>
      <c r="S2593" s="1" t="str">
        <f>"JNU-2021-1901"</f>
        <v>JNU-2021-1901</v>
      </c>
      <c r="T2593" s="1" t="s">
        <v>32</v>
      </c>
    </row>
    <row r="2594" spans="1:20" ht="51" x14ac:dyDescent="0.25">
      <c r="A2594" s="6">
        <v>2590</v>
      </c>
      <c r="B2594" s="1" t="str">
        <f>"2021-71"</f>
        <v>2021-71</v>
      </c>
      <c r="C2594" s="1" t="s">
        <v>2308</v>
      </c>
      <c r="D2594" s="1" t="s">
        <v>2309</v>
      </c>
      <c r="E2594" s="1" t="str">
        <f>""</f>
        <v/>
      </c>
      <c r="F2594" s="1" t="s">
        <v>1860</v>
      </c>
      <c r="G2594" s="1" t="str">
        <f>CONCATENATE(" AGRO - VIR d.o.o.,"," SLAVONSKA AVENIJA 7,"," 10000 ZAGREB,"," OIB: 72415651667")</f>
        <v xml:space="preserve"> AGRO - VIR d.o.o., SLAVONSKA AVENIJA 7, 10000 ZAGREB, OIB: 72415651667</v>
      </c>
      <c r="H2594" s="7"/>
      <c r="I2594" s="8" t="s">
        <v>2310</v>
      </c>
      <c r="J2594" s="8" t="s">
        <v>2311</v>
      </c>
      <c r="K2594" s="6" t="str">
        <f>"88.765,00"</f>
        <v>88.765,00</v>
      </c>
      <c r="L2594" s="6" t="str">
        <f>"22.191,25"</f>
        <v>22.191,25</v>
      </c>
      <c r="M2594" s="6" t="str">
        <f>"110.956,25"</f>
        <v>110.956,25</v>
      </c>
      <c r="N2594" s="8" t="s">
        <v>124</v>
      </c>
      <c r="O2594" s="7"/>
      <c r="P2594" s="2" t="s">
        <v>7028</v>
      </c>
      <c r="Q2594" s="1"/>
      <c r="R2594" s="1"/>
      <c r="S2594" s="1" t="str">
        <f>"JNU-2021-1908"</f>
        <v>JNU-2021-1908</v>
      </c>
      <c r="T2594" s="1" t="s">
        <v>32</v>
      </c>
    </row>
    <row r="2595" spans="1:20" ht="51" x14ac:dyDescent="0.25">
      <c r="A2595" s="6">
        <v>2591</v>
      </c>
      <c r="B2595" s="1" t="str">
        <f>"2021-71"</f>
        <v>2021-71</v>
      </c>
      <c r="C2595" s="1" t="s">
        <v>2308</v>
      </c>
      <c r="D2595" s="1" t="s">
        <v>2309</v>
      </c>
      <c r="E2595" s="1" t="str">
        <f>""</f>
        <v/>
      </c>
      <c r="F2595" s="1" t="s">
        <v>1860</v>
      </c>
      <c r="G2595" s="1" t="str">
        <f>CONCATENATE(" KONZUM PLUS D.O.O.,"," MARIJANA ČAVIĆA 1,"," 10000 ZAGREB,"," OIB: 62226620908")</f>
        <v xml:space="preserve"> KONZUM PLUS D.O.O., MARIJANA ČAVIĆA 1, 10000 ZAGREB, OIB: 62226620908</v>
      </c>
      <c r="H2595" s="7"/>
      <c r="I2595" s="8" t="s">
        <v>450</v>
      </c>
      <c r="J2595" s="8" t="s">
        <v>2312</v>
      </c>
      <c r="K2595" s="6" t="str">
        <f>"28.525,23"</f>
        <v>28.525,23</v>
      </c>
      <c r="L2595" s="6" t="str">
        <f>"7.131,31"</f>
        <v>7.131,31</v>
      </c>
      <c r="M2595" s="6" t="str">
        <f>"35.656,54"</f>
        <v>35.656,54</v>
      </c>
      <c r="N2595" s="8" t="s">
        <v>124</v>
      </c>
      <c r="O2595" s="7"/>
      <c r="P2595" s="2" t="s">
        <v>7029</v>
      </c>
      <c r="Q2595" s="1"/>
      <c r="R2595" s="1"/>
      <c r="S2595" s="1" t="str">
        <f>"JNU-2021-2019"</f>
        <v>JNU-2021-2019</v>
      </c>
      <c r="T2595" s="1" t="s">
        <v>32</v>
      </c>
    </row>
    <row r="2596" spans="1:20" ht="63.75" x14ac:dyDescent="0.25">
      <c r="A2596" s="6">
        <v>2592</v>
      </c>
      <c r="B2596" s="1" t="str">
        <f>"2022-62"</f>
        <v>2022-62</v>
      </c>
      <c r="C2596" s="1" t="s">
        <v>2313</v>
      </c>
      <c r="D2596" s="1" t="s">
        <v>2211</v>
      </c>
      <c r="E2596" s="1" t="str">
        <f>""</f>
        <v/>
      </c>
      <c r="F2596" s="1" t="s">
        <v>1860</v>
      </c>
      <c r="G2596" s="1" t="str">
        <f>CONCATENATE(" KPMG CROATIA D.O.O.,"," EUROTOWER,"," 17. KAT - IVANA LUČIĆA 2A,"," 10000 ZAGREB,"," OIB: 20963249418")</f>
        <v xml:space="preserve"> KPMG CROATIA D.O.O., EUROTOWER, 17. KAT - IVANA LUČIĆA 2A, 10000 ZAGREB, OIB: 20963249418</v>
      </c>
      <c r="H2596" s="7"/>
      <c r="I2596" s="8" t="s">
        <v>744</v>
      </c>
      <c r="J2596" s="8" t="s">
        <v>2148</v>
      </c>
      <c r="K2596" s="6" t="str">
        <f>"18.750,00"</f>
        <v>18.750,00</v>
      </c>
      <c r="L2596" s="6" t="str">
        <f>"4.687,50"</f>
        <v>4.687,50</v>
      </c>
      <c r="M2596" s="6" t="str">
        <f>"23.437,50"</f>
        <v>23.437,50</v>
      </c>
      <c r="N2596" s="8" t="s">
        <v>247</v>
      </c>
      <c r="O2596" s="7"/>
      <c r="P2596" s="2" t="s">
        <v>7030</v>
      </c>
      <c r="Q2596" s="7"/>
      <c r="R2596" s="1"/>
      <c r="S2596" s="1" t="str">
        <f>"JNU-2022-159"</f>
        <v>JNU-2022-159</v>
      </c>
      <c r="T2596" s="1" t="s">
        <v>32</v>
      </c>
    </row>
    <row r="2597" spans="1:20" ht="76.5" x14ac:dyDescent="0.25">
      <c r="A2597" s="6">
        <v>2593</v>
      </c>
      <c r="B2597" s="1" t="str">
        <f>"2022-64"</f>
        <v>2022-64</v>
      </c>
      <c r="C2597" s="1" t="s">
        <v>2314</v>
      </c>
      <c r="D2597" s="1" t="s">
        <v>2211</v>
      </c>
      <c r="E2597" s="1" t="str">
        <f>""</f>
        <v/>
      </c>
      <c r="F2597" s="1" t="s">
        <v>1860</v>
      </c>
      <c r="G2597" s="1" t="str">
        <f>CONCATENATE(" DELOITTE SAVJETODAVNE USLUGE D.O.O.,"," RADNIČKA CESTA 80,"," 10000 ZAGREB,"," OIB: 69797026382")</f>
        <v xml:space="preserve"> DELOITTE SAVJETODAVNE USLUGE D.O.O., RADNIČKA CESTA 80, 10000 ZAGREB, OIB: 69797026382</v>
      </c>
      <c r="H2597" s="7"/>
      <c r="I2597" s="8" t="s">
        <v>775</v>
      </c>
      <c r="J2597" s="8" t="s">
        <v>2315</v>
      </c>
      <c r="K2597" s="6" t="str">
        <f>"195.000,00"</f>
        <v>195.000,00</v>
      </c>
      <c r="L2597" s="6" t="str">
        <f>"48.750,00"</f>
        <v>48.750,00</v>
      </c>
      <c r="M2597" s="6" t="str">
        <f>"243.750,00"</f>
        <v>243.750,00</v>
      </c>
      <c r="N2597" s="8" t="s">
        <v>397</v>
      </c>
      <c r="O2597" s="7"/>
      <c r="P2597" s="2" t="s">
        <v>7031</v>
      </c>
      <c r="Q2597" s="7"/>
      <c r="R2597" s="1"/>
      <c r="S2597" s="1" t="str">
        <f>"JNU-2022-160"</f>
        <v>JNU-2022-160</v>
      </c>
      <c r="T2597" s="1" t="s">
        <v>32</v>
      </c>
    </row>
    <row r="2598" spans="1:20" ht="76.5" x14ac:dyDescent="0.25">
      <c r="A2598" s="6">
        <v>2594</v>
      </c>
      <c r="B2598" s="1" t="str">
        <f>"2022-63"</f>
        <v>2022-63</v>
      </c>
      <c r="C2598" s="1" t="s">
        <v>2316</v>
      </c>
      <c r="D2598" s="1" t="s">
        <v>2211</v>
      </c>
      <c r="E2598" s="1" t="str">
        <f>""</f>
        <v/>
      </c>
      <c r="F2598" s="1" t="s">
        <v>1860</v>
      </c>
      <c r="G2598" s="1" t="str">
        <f>CONCATENATE(" DELOITTE SAVJETODAVNE USLUGE D.O.O.,"," RADNIČKA CESTA 80,"," 10000 ZAGREB,"," OIB: 69797026382")</f>
        <v xml:space="preserve"> DELOITTE SAVJETODAVNE USLUGE D.O.O., RADNIČKA CESTA 80, 10000 ZAGREB, OIB: 69797026382</v>
      </c>
      <c r="H2598" s="7"/>
      <c r="I2598" s="8" t="s">
        <v>1240</v>
      </c>
      <c r="J2598" s="8" t="s">
        <v>123</v>
      </c>
      <c r="K2598" s="6" t="str">
        <f>"75.000,00"</f>
        <v>75.000,00</v>
      </c>
      <c r="L2598" s="6" t="str">
        <f>"18.750,00"</f>
        <v>18.750,00</v>
      </c>
      <c r="M2598" s="6" t="str">
        <f>"93.750,00"</f>
        <v>93.750,00</v>
      </c>
      <c r="N2598" s="8" t="s">
        <v>698</v>
      </c>
      <c r="O2598" s="7"/>
      <c r="P2598" s="2" t="s">
        <v>7032</v>
      </c>
      <c r="Q2598" s="7"/>
      <c r="R2598" s="1"/>
      <c r="S2598" s="1" t="str">
        <f>"JNU-2022-161"</f>
        <v>JNU-2022-161</v>
      </c>
      <c r="T2598" s="1" t="s">
        <v>32</v>
      </c>
    </row>
    <row r="2599" spans="1:20" ht="203.25" customHeight="1" x14ac:dyDescent="0.25">
      <c r="A2599" s="6">
        <v>2595</v>
      </c>
      <c r="B2599" s="1" t="str">
        <f>"2022-40"</f>
        <v>2022-40</v>
      </c>
      <c r="C2599" s="1" t="s">
        <v>2317</v>
      </c>
      <c r="D2599" s="1" t="s">
        <v>837</v>
      </c>
      <c r="E2599" s="1" t="str">
        <f>""</f>
        <v/>
      </c>
      <c r="F2599" s="1" t="s">
        <v>1860</v>
      </c>
      <c r="G2599" s="1" t="str">
        <f>CONCATENATE(" KONZUM PLUS D.O.O.,"," MARIJANA ČAVIĆA 1,"," 10000 ZAGREB,"," OIB: 62226620908")</f>
        <v xml:space="preserve"> KONZUM PLUS D.O.O., MARIJANA ČAVIĆA 1, 10000 ZAGREB, OIB: 62226620908</v>
      </c>
      <c r="H2599" s="7"/>
      <c r="I2599" s="8" t="s">
        <v>768</v>
      </c>
      <c r="J2599" s="8" t="s">
        <v>2135</v>
      </c>
      <c r="K2599" s="6" t="str">
        <f>"54.428,05"</f>
        <v>54.428,05</v>
      </c>
      <c r="L2599" s="6" t="str">
        <f>"13.607,01"</f>
        <v>13.607,01</v>
      </c>
      <c r="M2599" s="6" t="str">
        <f>"68.035,06"</f>
        <v>68.035,06</v>
      </c>
      <c r="N2599" s="8" t="s">
        <v>124</v>
      </c>
      <c r="O2599" s="7"/>
      <c r="P2599" s="2" t="s">
        <v>7033</v>
      </c>
      <c r="Q2599" s="1" t="s">
        <v>2318</v>
      </c>
      <c r="R2599" s="1"/>
      <c r="S2599" s="1" t="str">
        <f>"JNU-2022-193"</f>
        <v>JNU-2022-193</v>
      </c>
      <c r="T2599" s="1" t="s">
        <v>32</v>
      </c>
    </row>
    <row r="2600" spans="1:20" ht="177" customHeight="1" x14ac:dyDescent="0.25">
      <c r="A2600" s="6">
        <v>2596</v>
      </c>
      <c r="B2600" s="1" t="str">
        <f>"2022-40"</f>
        <v>2022-40</v>
      </c>
      <c r="C2600" s="1" t="s">
        <v>2317</v>
      </c>
      <c r="D2600" s="1" t="s">
        <v>837</v>
      </c>
      <c r="E2600" s="1" t="str">
        <f>""</f>
        <v/>
      </c>
      <c r="F2600" s="1" t="s">
        <v>1860</v>
      </c>
      <c r="G2600" s="1" t="str">
        <f>CONCATENATE(" KONZUM PLUS D.O.O.,"," MARIJANA ČAVIĆA 1,"," 10000 ZAGREB,"," OIB: 62226620908")</f>
        <v xml:space="preserve"> KONZUM PLUS D.O.O., MARIJANA ČAVIĆA 1, 10000 ZAGREB, OIB: 62226620908</v>
      </c>
      <c r="H2600" s="7"/>
      <c r="I2600" s="8" t="s">
        <v>768</v>
      </c>
      <c r="J2600" s="8" t="s">
        <v>2135</v>
      </c>
      <c r="K2600" s="6" t="str">
        <f>"98.435,31"</f>
        <v>98.435,31</v>
      </c>
      <c r="L2600" s="6" t="str">
        <f>"24.608,83"</f>
        <v>24.608,83</v>
      </c>
      <c r="M2600" s="6" t="str">
        <f>"123.044,14"</f>
        <v>123.044,14</v>
      </c>
      <c r="N2600" s="8" t="s">
        <v>124</v>
      </c>
      <c r="O2600" s="7"/>
      <c r="P2600" s="2" t="s">
        <v>7034</v>
      </c>
      <c r="Q2600" s="1" t="s">
        <v>1172</v>
      </c>
      <c r="R2600" s="1"/>
      <c r="S2600" s="1" t="str">
        <f>"JNU-2022-194"</f>
        <v>JNU-2022-194</v>
      </c>
      <c r="T2600" s="1" t="s">
        <v>32</v>
      </c>
    </row>
    <row r="2601" spans="1:20" ht="51" x14ac:dyDescent="0.25">
      <c r="A2601" s="6">
        <v>2597</v>
      </c>
      <c r="B2601" s="1" t="str">
        <f>"2022-719"</f>
        <v>2022-719</v>
      </c>
      <c r="C2601" s="1" t="s">
        <v>2319</v>
      </c>
      <c r="D2601" s="1" t="s">
        <v>837</v>
      </c>
      <c r="E2601" s="1" t="str">
        <f>""</f>
        <v/>
      </c>
      <c r="F2601" s="1" t="s">
        <v>1860</v>
      </c>
      <c r="G2601" s="1" t="str">
        <f>CONCATENATE(" JADRANKA TRGOVINA D.O.O.,"," DRAŽICA 1,"," 51550 MALI LOŠINJ,"," OIB: 0219833759")</f>
        <v xml:space="preserve"> JADRANKA TRGOVINA D.O.O., DRAŽICA 1, 51550 MALI LOŠINJ, OIB: 0219833759</v>
      </c>
      <c r="H2601" s="7"/>
      <c r="I2601" s="8" t="s">
        <v>921</v>
      </c>
      <c r="J2601" s="8" t="s">
        <v>493</v>
      </c>
      <c r="K2601" s="6" t="str">
        <f>"179.988,34"</f>
        <v>179.988,34</v>
      </c>
      <c r="L2601" s="6" t="str">
        <f>"44.997,09"</f>
        <v>44.997,09</v>
      </c>
      <c r="M2601" s="6" t="str">
        <f>"224.985,43"</f>
        <v>224.985,43</v>
      </c>
      <c r="N2601" s="8" t="s">
        <v>1159</v>
      </c>
      <c r="O2601" s="7"/>
      <c r="P2601" s="2" t="s">
        <v>7035</v>
      </c>
      <c r="Q2601" s="1"/>
      <c r="R2601" s="1"/>
      <c r="S2601" s="1" t="str">
        <f>"JNU-2022-241"</f>
        <v>JNU-2022-241</v>
      </c>
      <c r="T2601" s="1" t="s">
        <v>32</v>
      </c>
    </row>
    <row r="2602" spans="1:20" ht="155.25" customHeight="1" x14ac:dyDescent="0.25">
      <c r="A2602" s="6">
        <v>2598</v>
      </c>
      <c r="B2602" s="1" t="str">
        <f>"2022-39"</f>
        <v>2022-39</v>
      </c>
      <c r="C2602" s="1" t="s">
        <v>2320</v>
      </c>
      <c r="D2602" s="1" t="s">
        <v>2321</v>
      </c>
      <c r="E2602" s="1" t="str">
        <f>""</f>
        <v/>
      </c>
      <c r="F2602" s="1" t="s">
        <v>1860</v>
      </c>
      <c r="G2602" s="1" t="str">
        <f>CONCATENATE(" LEDO PLUS D.O.O.,"," ČAVIĆEVA 1a,"," 10000 ZAGREB,"," OIB: 07179054")</f>
        <v xml:space="preserve"> LEDO PLUS D.O.O., ČAVIĆEVA 1a, 10000 ZAGREB, OIB: 07179054</v>
      </c>
      <c r="H2602" s="7"/>
      <c r="I2602" s="8" t="s">
        <v>345</v>
      </c>
      <c r="J2602" s="8" t="s">
        <v>2164</v>
      </c>
      <c r="K2602" s="6" t="str">
        <f>"64.494,10"</f>
        <v>64.494,10</v>
      </c>
      <c r="L2602" s="6" t="str">
        <f>"16.123,53"</f>
        <v>16.123,53</v>
      </c>
      <c r="M2602" s="6" t="str">
        <f>"80.617,63"</f>
        <v>80.617,63</v>
      </c>
      <c r="N2602" s="8" t="s">
        <v>124</v>
      </c>
      <c r="O2602" s="7"/>
      <c r="P2602" s="2" t="s">
        <v>7036</v>
      </c>
      <c r="Q2602" s="1" t="s">
        <v>2322</v>
      </c>
      <c r="R2602" s="1"/>
      <c r="S2602" s="1" t="str">
        <f>"JNU-2022-243"</f>
        <v>JNU-2022-243</v>
      </c>
      <c r="T2602" s="1" t="s">
        <v>32</v>
      </c>
    </row>
    <row r="2603" spans="1:20" ht="88.5" customHeight="1" x14ac:dyDescent="0.25">
      <c r="A2603" s="6">
        <v>2599</v>
      </c>
      <c r="B2603" s="1" t="str">
        <f>"2022-41"</f>
        <v>2022-41</v>
      </c>
      <c r="C2603" s="1" t="s">
        <v>2323</v>
      </c>
      <c r="D2603" s="1" t="s">
        <v>2324</v>
      </c>
      <c r="E2603" s="1" t="str">
        <f>""</f>
        <v/>
      </c>
      <c r="F2603" s="1" t="s">
        <v>1860</v>
      </c>
      <c r="G2603" s="1" t="str">
        <f>CONCATENATE(" PREHRAMBENA INDUSTRIJA VINDIJA D.D.,"," MEĐIMURSKA 6,"," 42000 VARAŽDIN,"," OIB: 44138062462")</f>
        <v xml:space="preserve"> PREHRAMBENA INDUSTRIJA VINDIJA D.D., MEĐIMURSKA 6, 42000 VARAŽDIN, OIB: 44138062462</v>
      </c>
      <c r="H2603" s="7"/>
      <c r="I2603" s="8" t="s">
        <v>499</v>
      </c>
      <c r="J2603" s="8" t="s">
        <v>2325</v>
      </c>
      <c r="K2603" s="6" t="str">
        <f>"97.428,90"</f>
        <v>97.428,90</v>
      </c>
      <c r="L2603" s="6" t="str">
        <f>"24.357,23"</f>
        <v>24.357,23</v>
      </c>
      <c r="M2603" s="6" t="str">
        <f>"121.786,13"</f>
        <v>121.786,13</v>
      </c>
      <c r="N2603" s="8" t="s">
        <v>124</v>
      </c>
      <c r="O2603" s="7"/>
      <c r="P2603" s="2" t="s">
        <v>7037</v>
      </c>
      <c r="Q2603" s="1" t="s">
        <v>1180</v>
      </c>
      <c r="R2603" s="1"/>
      <c r="S2603" s="1" t="str">
        <f>"JNU-2022-244"</f>
        <v>JNU-2022-244</v>
      </c>
      <c r="T2603" s="1" t="s">
        <v>32</v>
      </c>
    </row>
    <row r="2604" spans="1:20" ht="51" x14ac:dyDescent="0.25">
      <c r="A2604" s="6">
        <v>2600</v>
      </c>
      <c r="B2604" s="1" t="str">
        <f>"2022-1292"</f>
        <v>2022-1292</v>
      </c>
      <c r="C2604" s="1" t="s">
        <v>2326</v>
      </c>
      <c r="D2604" s="1" t="s">
        <v>1125</v>
      </c>
      <c r="E2604" s="1" t="str">
        <f>""</f>
        <v/>
      </c>
      <c r="F2604" s="1" t="s">
        <v>1860</v>
      </c>
      <c r="G2604" s="1" t="str">
        <f>CONCATENATE(" TEŽAK D.O.O.,"," BRUTIJA 16,"," 52470 UMAG (UMAGO),"," OIB: 733523924")</f>
        <v xml:space="preserve"> TEŽAK D.O.O., BRUTIJA 16, 52470 UMAG (UMAGO), OIB: 733523924</v>
      </c>
      <c r="H2604" s="7"/>
      <c r="I2604" s="8" t="s">
        <v>345</v>
      </c>
      <c r="J2604" s="8" t="s">
        <v>2164</v>
      </c>
      <c r="K2604" s="6" t="str">
        <f>"59.567,00"</f>
        <v>59.567,00</v>
      </c>
      <c r="L2604" s="6" t="str">
        <f>"14.891,75"</f>
        <v>14.891,75</v>
      </c>
      <c r="M2604" s="6" t="str">
        <f>"74.458,75"</f>
        <v>74.458,75</v>
      </c>
      <c r="N2604" s="8" t="s">
        <v>635</v>
      </c>
      <c r="O2604" s="7"/>
      <c r="P2604" s="2" t="s">
        <v>7038</v>
      </c>
      <c r="Q2604" s="7"/>
      <c r="R2604" s="1"/>
      <c r="S2604" s="1" t="str">
        <f>"JNU-2022-302"</f>
        <v>JNU-2022-302</v>
      </c>
      <c r="T2604" s="1" t="s">
        <v>32</v>
      </c>
    </row>
    <row r="2605" spans="1:20" ht="76.5" x14ac:dyDescent="0.25">
      <c r="A2605" s="6">
        <v>2601</v>
      </c>
      <c r="B2605" s="1" t="str">
        <f>"2022-1737"</f>
        <v>2022-1737</v>
      </c>
      <c r="C2605" s="1" t="s">
        <v>2327</v>
      </c>
      <c r="D2605" s="1" t="s">
        <v>2328</v>
      </c>
      <c r="E2605" s="1" t="str">
        <f>""</f>
        <v/>
      </c>
      <c r="F2605" s="1" t="s">
        <v>1860</v>
      </c>
      <c r="G2605" s="1" t="str">
        <f>CONCATENATE(" NAKIĆ-ALFIREVIĆ D.O.O.,"," NAKIĆA-ALFIREVIĆA 12,"," 22320 KADINA GLAVICA (GRAD DRNIŠ),"," OIB: 4862843077")</f>
        <v xml:space="preserve"> NAKIĆ-ALFIREVIĆ D.O.O., NAKIĆA-ALFIREVIĆA 12, 22320 KADINA GLAVICA (GRAD DRNIŠ), OIB: 4862843077</v>
      </c>
      <c r="H2605" s="7"/>
      <c r="I2605" s="8" t="s">
        <v>163</v>
      </c>
      <c r="J2605" s="8" t="s">
        <v>2158</v>
      </c>
      <c r="K2605" s="6" t="str">
        <f>"198.000,00"</f>
        <v>198.000,00</v>
      </c>
      <c r="L2605" s="6" t="str">
        <f>"49.500,00"</f>
        <v>49.500,00</v>
      </c>
      <c r="M2605" s="6" t="str">
        <f>"247.500,00"</f>
        <v>247.500,00</v>
      </c>
      <c r="N2605" s="8" t="s">
        <v>124</v>
      </c>
      <c r="O2605" s="7"/>
      <c r="P2605" s="2" t="s">
        <v>6484</v>
      </c>
      <c r="Q2605" s="7"/>
      <c r="R2605" s="1"/>
      <c r="S2605" s="1" t="str">
        <f>"JNU-2022-357"</f>
        <v>JNU-2022-357</v>
      </c>
      <c r="T2605" s="1" t="s">
        <v>32</v>
      </c>
    </row>
    <row r="2606" spans="1:20" ht="63.75" x14ac:dyDescent="0.25">
      <c r="A2606" s="6">
        <v>2602</v>
      </c>
      <c r="B2606" s="1" t="str">
        <f>"2022-1133"</f>
        <v>2022-1133</v>
      </c>
      <c r="C2606" s="1" t="s">
        <v>2305</v>
      </c>
      <c r="D2606" s="1" t="s">
        <v>2306</v>
      </c>
      <c r="E2606" s="1" t="str">
        <f>""</f>
        <v/>
      </c>
      <c r="F2606" s="1" t="s">
        <v>1860</v>
      </c>
      <c r="G2606" s="1" t="str">
        <f>CONCATENATE(" MAZARS CINOTTI TAX CONSULTING D.O.O.,"," STROJARSKA CESTA 20,"," 10000 ZAGREB,"," OIB: 31740458035")</f>
        <v xml:space="preserve"> MAZARS CINOTTI TAX CONSULTING D.O.O., STROJARSKA CESTA 20, 10000 ZAGREB, OIB: 31740458035</v>
      </c>
      <c r="H2606" s="7"/>
      <c r="I2606" s="8" t="s">
        <v>1119</v>
      </c>
      <c r="J2606" s="8" t="s">
        <v>2329</v>
      </c>
      <c r="K2606" s="6" t="str">
        <f>"28.500,00"</f>
        <v>28.500,00</v>
      </c>
      <c r="L2606" s="6" t="str">
        <f>"7.125,00"</f>
        <v>7.125,00</v>
      </c>
      <c r="M2606" s="6" t="str">
        <f>"35.625,00"</f>
        <v>35.625,00</v>
      </c>
      <c r="N2606" s="8" t="s">
        <v>57</v>
      </c>
      <c r="O2606" s="7"/>
      <c r="P2606" s="2" t="s">
        <v>7039</v>
      </c>
      <c r="Q2606" s="7"/>
      <c r="R2606" s="1"/>
      <c r="S2606" s="1" t="str">
        <f>"JNU-2022-358"</f>
        <v>JNU-2022-358</v>
      </c>
      <c r="T2606" s="1" t="s">
        <v>32</v>
      </c>
    </row>
    <row r="2607" spans="1:20" ht="63.75" x14ac:dyDescent="0.25">
      <c r="A2607" s="6">
        <v>2603</v>
      </c>
      <c r="B2607" s="1" t="str">
        <f>"2022-1782"</f>
        <v>2022-1782</v>
      </c>
      <c r="C2607" s="1" t="s">
        <v>2330</v>
      </c>
      <c r="D2607" s="1" t="s">
        <v>2331</v>
      </c>
      <c r="E2607" s="1" t="str">
        <f>""</f>
        <v/>
      </c>
      <c r="F2607" s="1" t="s">
        <v>1860</v>
      </c>
      <c r="G2607" s="1" t="str">
        <f>CONCATENATE(" HORA EST D.O.O.,"," PRILAZ BARUNA FILIPOVIĆA 6,"," 10000 ZAGREB,"," OIB: 29186924164")</f>
        <v xml:space="preserve"> HORA EST D.O.O., PRILAZ BARUNA FILIPOVIĆA 6, 10000 ZAGREB, OIB: 29186924164</v>
      </c>
      <c r="H2607" s="7"/>
      <c r="I2607" s="8" t="s">
        <v>921</v>
      </c>
      <c r="J2607" s="8" t="s">
        <v>493</v>
      </c>
      <c r="K2607" s="6" t="str">
        <f>"154.800,00"</f>
        <v>154.800,00</v>
      </c>
      <c r="L2607" s="6" t="str">
        <f>"38.700,00"</f>
        <v>38.700,00</v>
      </c>
      <c r="M2607" s="6" t="str">
        <f>"193.500,00"</f>
        <v>193.500,00</v>
      </c>
      <c r="N2607" s="8" t="s">
        <v>478</v>
      </c>
      <c r="O2607" s="7"/>
      <c r="P2607" s="2" t="s">
        <v>7040</v>
      </c>
      <c r="Q2607" s="7"/>
      <c r="R2607" s="1"/>
      <c r="S2607" s="1" t="str">
        <f>"JNU-2022-486"</f>
        <v>JNU-2022-486</v>
      </c>
      <c r="T2607" s="1" t="s">
        <v>32</v>
      </c>
    </row>
    <row r="2608" spans="1:20" ht="76.5" x14ac:dyDescent="0.25">
      <c r="A2608" s="6">
        <v>2604</v>
      </c>
      <c r="B2608" s="1" t="str">
        <f>"2022-1032"</f>
        <v>2022-1032</v>
      </c>
      <c r="C2608" s="1" t="s">
        <v>2332</v>
      </c>
      <c r="D2608" s="1" t="s">
        <v>2333</v>
      </c>
      <c r="E2608" s="1" t="str">
        <f>""</f>
        <v/>
      </c>
      <c r="F2608" s="1" t="s">
        <v>1860</v>
      </c>
      <c r="G2608" s="1" t="str">
        <f>CONCATENATE(" DELOITTE SAVJETODAVNE USLUGE D.O.O.,"," RADNIČKA CESTA 80,"," 10000 ZAGREB,"," OIB: 69797026382")</f>
        <v xml:space="preserve"> DELOITTE SAVJETODAVNE USLUGE D.O.O., RADNIČKA CESTA 80, 10000 ZAGREB, OIB: 69797026382</v>
      </c>
      <c r="H2608" s="7"/>
      <c r="I2608" s="8" t="s">
        <v>291</v>
      </c>
      <c r="J2608" s="8" t="s">
        <v>2334</v>
      </c>
      <c r="K2608" s="6" t="str">
        <f>"70.000,00"</f>
        <v>70.000,00</v>
      </c>
      <c r="L2608" s="6" t="str">
        <f>"17.500,00"</f>
        <v>17.500,00</v>
      </c>
      <c r="M2608" s="6" t="str">
        <f>"87.500,00"</f>
        <v>87.500,00</v>
      </c>
      <c r="N2608" s="8" t="s">
        <v>247</v>
      </c>
      <c r="O2608" s="7"/>
      <c r="P2608" s="2" t="s">
        <v>7041</v>
      </c>
      <c r="Q2608" s="7"/>
      <c r="R2608" s="1"/>
      <c r="S2608" s="1" t="str">
        <f>"JNU-2022-633"</f>
        <v>JNU-2022-633</v>
      </c>
      <c r="T2608" s="1" t="s">
        <v>32</v>
      </c>
    </row>
    <row r="2609" spans="1:20" ht="51" x14ac:dyDescent="0.25">
      <c r="A2609" s="6">
        <v>2605</v>
      </c>
      <c r="B2609" s="1" t="str">
        <f>"2022-1863"</f>
        <v>2022-1863</v>
      </c>
      <c r="C2609" s="1" t="s">
        <v>2335</v>
      </c>
      <c r="D2609" s="1" t="s">
        <v>2211</v>
      </c>
      <c r="E2609" s="1" t="str">
        <f>""</f>
        <v/>
      </c>
      <c r="F2609" s="1" t="s">
        <v>1860</v>
      </c>
      <c r="G2609" s="1" t="str">
        <f>CONCATENATE(" DELOITTE D.O.O.,"," RADNIČKA CESTA 80,"," 10000 ZAGREB,"," OIB: 1168645778")</f>
        <v xml:space="preserve"> DELOITTE D.O.O., RADNIČKA CESTA 80, 10000 ZAGREB, OIB: 1168645778</v>
      </c>
      <c r="H2609" s="7"/>
      <c r="I2609" s="8" t="s">
        <v>897</v>
      </c>
      <c r="J2609" s="8" t="s">
        <v>2336</v>
      </c>
      <c r="K2609" s="6" t="str">
        <f>"183.000,00"</f>
        <v>183.000,00</v>
      </c>
      <c r="L2609" s="6" t="str">
        <f>"45.750,00"</f>
        <v>45.750,00</v>
      </c>
      <c r="M2609" s="6" t="str">
        <f>"228.750,00"</f>
        <v>228.750,00</v>
      </c>
      <c r="N2609" s="8" t="s">
        <v>124</v>
      </c>
      <c r="O2609" s="7"/>
      <c r="P2609" s="2" t="s">
        <v>5614</v>
      </c>
      <c r="Q2609" s="7"/>
      <c r="R2609" s="1"/>
      <c r="S2609" s="1" t="str">
        <f>"JNU-2022-749"</f>
        <v>JNU-2022-749</v>
      </c>
      <c r="T2609" s="1" t="s">
        <v>32</v>
      </c>
    </row>
    <row r="2610" spans="1:20" ht="51" x14ac:dyDescent="0.25">
      <c r="A2610" s="6">
        <v>2606</v>
      </c>
      <c r="B2610" s="1" t="str">
        <f>"2022-1871"</f>
        <v>2022-1871</v>
      </c>
      <c r="C2610" s="1" t="s">
        <v>2337</v>
      </c>
      <c r="D2610" s="1" t="s">
        <v>2338</v>
      </c>
      <c r="E2610" s="1" t="str">
        <f>""</f>
        <v/>
      </c>
      <c r="F2610" s="1" t="s">
        <v>1860</v>
      </c>
      <c r="G2610" s="1" t="str">
        <f>CONCATENATE(" KING ICT D.O.O.,"," BUZINSKI PRILAZ 10,"," 10010 ZAGREB,"," OIB: 67001695549")</f>
        <v xml:space="preserve"> KING ICT D.O.O., BUZINSKI PRILAZ 10, 10010 ZAGREB, OIB: 67001695549</v>
      </c>
      <c r="H2610" s="7"/>
      <c r="I2610" s="8" t="s">
        <v>263</v>
      </c>
      <c r="J2610" s="8" t="s">
        <v>2339</v>
      </c>
      <c r="K2610" s="6" t="str">
        <f>"126.576,00"</f>
        <v>126.576,00</v>
      </c>
      <c r="L2610" s="6" t="str">
        <f>"31.644,00"</f>
        <v>31.644,00</v>
      </c>
      <c r="M2610" s="6" t="str">
        <f>"158.220,00"</f>
        <v>158.220,00</v>
      </c>
      <c r="N2610" s="8" t="s">
        <v>124</v>
      </c>
      <c r="O2610" s="7"/>
      <c r="P2610" s="2" t="s">
        <v>7042</v>
      </c>
      <c r="Q2610" s="7"/>
      <c r="R2610" s="1"/>
      <c r="S2610" s="1" t="str">
        <f>"JNU-2022-864"</f>
        <v>JNU-2022-864</v>
      </c>
      <c r="T2610" s="1" t="s">
        <v>32</v>
      </c>
    </row>
    <row r="2611" spans="1:20" ht="63.75" x14ac:dyDescent="0.25">
      <c r="A2611" s="6">
        <v>2607</v>
      </c>
      <c r="B2611" s="1" t="str">
        <f>"2022-1133"</f>
        <v>2022-1133</v>
      </c>
      <c r="C2611" s="1" t="s">
        <v>2305</v>
      </c>
      <c r="D2611" s="1" t="s">
        <v>2306</v>
      </c>
      <c r="E2611" s="1" t="str">
        <f>""</f>
        <v/>
      </c>
      <c r="F2611" s="1" t="s">
        <v>1860</v>
      </c>
      <c r="G2611" s="1" t="str">
        <f>CONCATENATE(" MAZARS CINOTTI TAX CONSULTING D.O.O.,"," STROJARSKA CESTA 20,"," 10000 ZAGREB,"," OIB: 31740458035")</f>
        <v xml:space="preserve"> MAZARS CINOTTI TAX CONSULTING D.O.O., STROJARSKA CESTA 20, 10000 ZAGREB, OIB: 31740458035</v>
      </c>
      <c r="H2611" s="7"/>
      <c r="I2611" s="8" t="s">
        <v>902</v>
      </c>
      <c r="J2611" s="8" t="s">
        <v>2191</v>
      </c>
      <c r="K2611" s="6" t="str">
        <f>"11.500,00"</f>
        <v>11.500,00</v>
      </c>
      <c r="L2611" s="6" t="str">
        <f>"2.875,00"</f>
        <v>2.875,00</v>
      </c>
      <c r="M2611" s="6" t="str">
        <f>"14.375,00"</f>
        <v>14.375,00</v>
      </c>
      <c r="N2611" s="8" t="s">
        <v>124</v>
      </c>
      <c r="O2611" s="7"/>
      <c r="P2611" s="2" t="s">
        <v>5614</v>
      </c>
      <c r="Q2611" s="7"/>
      <c r="R2611" s="1"/>
      <c r="S2611" s="1" t="str">
        <f>"JNU-2022-955"</f>
        <v>JNU-2022-955</v>
      </c>
      <c r="T2611" s="1" t="s">
        <v>32</v>
      </c>
    </row>
    <row r="2612" spans="1:20" ht="51" x14ac:dyDescent="0.25">
      <c r="A2612" s="6">
        <v>2608</v>
      </c>
      <c r="B2612" s="1" t="str">
        <f>"2022-32"</f>
        <v>2022-32</v>
      </c>
      <c r="C2612" s="1" t="s">
        <v>2340</v>
      </c>
      <c r="D2612" s="1" t="s">
        <v>2032</v>
      </c>
      <c r="E2612" s="1" t="str">
        <f>""</f>
        <v/>
      </c>
      <c r="F2612" s="1" t="s">
        <v>1860</v>
      </c>
      <c r="G2612" s="1" t="str">
        <f>CONCATENATE(" METUS D.O.O.,"," POLOŽNICA 5,"," 10431 SVETA NEDELJA,"," OIB: 24690129373")</f>
        <v xml:space="preserve"> METUS D.O.O., POLOŽNICA 5, 10431 SVETA NEDELJA, OIB: 24690129373</v>
      </c>
      <c r="H2612" s="7"/>
      <c r="I2612" s="8" t="s">
        <v>1121</v>
      </c>
      <c r="J2612" s="8" t="s">
        <v>2341</v>
      </c>
      <c r="K2612" s="6" t="str">
        <f>"399.162,50"</f>
        <v>399.162,50</v>
      </c>
      <c r="L2612" s="6" t="str">
        <f>"99.790,63"</f>
        <v>99.790,63</v>
      </c>
      <c r="M2612" s="6" t="str">
        <f>"498.953,13"</f>
        <v>498.953,13</v>
      </c>
      <c r="N2612" s="8" t="s">
        <v>124</v>
      </c>
      <c r="O2612" s="7"/>
      <c r="P2612" s="2" t="s">
        <v>5614</v>
      </c>
      <c r="Q2612" s="7"/>
      <c r="R2612" s="1"/>
      <c r="S2612" s="1" t="str">
        <f>"JNU-2022-1027"</f>
        <v>JNU-2022-1027</v>
      </c>
      <c r="T2612" s="1" t="s">
        <v>32</v>
      </c>
    </row>
    <row r="2613" spans="1:20" ht="51" x14ac:dyDescent="0.25">
      <c r="A2613" s="6">
        <v>2609</v>
      </c>
      <c r="B2613" s="1" t="str">
        <f>"2022-1094"</f>
        <v>2022-1094</v>
      </c>
      <c r="C2613" s="1" t="s">
        <v>2342</v>
      </c>
      <c r="D2613" s="1" t="s">
        <v>74</v>
      </c>
      <c r="E2613" s="1" t="str">
        <f>""</f>
        <v/>
      </c>
      <c r="F2613" s="1" t="s">
        <v>1860</v>
      </c>
      <c r="G2613" s="1" t="str">
        <f>CONCATENATE(" ZAGREB DATA D.O.O.,"," HRVATSKOG PROLJEĆA 28,"," 10000 ZAGREB,"," OIB: 27712717103")</f>
        <v xml:space="preserve"> ZAGREB DATA D.O.O., HRVATSKOG PROLJEĆA 28, 10000 ZAGREB, OIB: 27712717103</v>
      </c>
      <c r="H2613" s="7"/>
      <c r="I2613" s="8" t="s">
        <v>963</v>
      </c>
      <c r="J2613" s="8" t="s">
        <v>2343</v>
      </c>
      <c r="K2613" s="6" t="str">
        <f>"69.600,00"</f>
        <v>69.600,00</v>
      </c>
      <c r="L2613" s="6" t="str">
        <f>"17.400,00"</f>
        <v>17.400,00</v>
      </c>
      <c r="M2613" s="6" t="str">
        <f>"87.000,00"</f>
        <v>87.000,00</v>
      </c>
      <c r="N2613" s="8" t="s">
        <v>124</v>
      </c>
      <c r="O2613" s="7"/>
      <c r="P2613" s="2" t="s">
        <v>7043</v>
      </c>
      <c r="Q2613" s="7"/>
      <c r="R2613" s="1"/>
      <c r="S2613" s="1" t="str">
        <f>"JNU-2022-1089"</f>
        <v>JNU-2022-1089</v>
      </c>
      <c r="T2613" s="1" t="s">
        <v>32</v>
      </c>
    </row>
    <row r="2614" spans="1:20" ht="51" x14ac:dyDescent="0.25">
      <c r="A2614" s="6">
        <v>2610</v>
      </c>
      <c r="B2614" s="1" t="str">
        <f>"2022-1836"</f>
        <v>2022-1836</v>
      </c>
      <c r="C2614" s="1" t="s">
        <v>2344</v>
      </c>
      <c r="D2614" s="1" t="s">
        <v>2103</v>
      </c>
      <c r="E2614" s="1" t="str">
        <f>""</f>
        <v/>
      </c>
      <c r="F2614" s="1" t="s">
        <v>1860</v>
      </c>
      <c r="G2614" s="1" t="str">
        <f>CONCATENATE(" FRIGOEKSPERT D.O.O.,"," SUTLANSKE DOLINE 40,"," 10293 DUBRAVICA,"," OIB: 5586067133")</f>
        <v xml:space="preserve"> FRIGOEKSPERT D.O.O., SUTLANSKE DOLINE 40, 10293 DUBRAVICA, OIB: 5586067133</v>
      </c>
      <c r="H2614" s="7"/>
      <c r="I2614" s="8" t="s">
        <v>374</v>
      </c>
      <c r="J2614" s="8" t="s">
        <v>1920</v>
      </c>
      <c r="K2614" s="6" t="str">
        <f>"115.100,00"</f>
        <v>115.100,00</v>
      </c>
      <c r="L2614" s="6" t="str">
        <f>"28.775,00"</f>
        <v>28.775,00</v>
      </c>
      <c r="M2614" s="6" t="str">
        <f>"143.875,00"</f>
        <v>143.875,00</v>
      </c>
      <c r="N2614" s="8" t="s">
        <v>947</v>
      </c>
      <c r="O2614" s="7"/>
      <c r="P2614" s="2" t="s">
        <v>7044</v>
      </c>
      <c r="Q2614" s="7"/>
      <c r="R2614" s="1"/>
      <c r="S2614" s="1" t="str">
        <f>"JNU-2022-1188"</f>
        <v>JNU-2022-1188</v>
      </c>
      <c r="T2614" s="1" t="s">
        <v>32</v>
      </c>
    </row>
    <row r="2615" spans="1:20" ht="89.25" x14ac:dyDescent="0.25">
      <c r="A2615" s="6">
        <v>2611</v>
      </c>
      <c r="B2615" s="1" t="str">
        <f>"2022-63"</f>
        <v>2022-63</v>
      </c>
      <c r="C2615" s="1" t="s">
        <v>2316</v>
      </c>
      <c r="D2615" s="1" t="s">
        <v>2211</v>
      </c>
      <c r="E2615" s="1" t="str">
        <f>""</f>
        <v/>
      </c>
      <c r="F2615" s="1" t="s">
        <v>1860</v>
      </c>
      <c r="G2615" s="1" t="str">
        <f>CONCATENATE(" MADIRAZZA &amp; PARTNERI,"," ODVJETNIČKO DRUŠTVO D.O.O.,"," MASARYKOVA ULICA 21,"," 10000 ZAGREB,"," OIB: 37462847637")</f>
        <v xml:space="preserve"> MADIRAZZA &amp; PARTNERI, ODVJETNIČKO DRUŠTVO D.O.O., MASARYKOVA ULICA 21, 10000 ZAGREB, OIB: 37462847637</v>
      </c>
      <c r="H2615" s="7"/>
      <c r="I2615" s="8" t="s">
        <v>563</v>
      </c>
      <c r="J2615" s="8" t="s">
        <v>2345</v>
      </c>
      <c r="K2615" s="6" t="str">
        <f>"93.750,00"</f>
        <v>93.750,00</v>
      </c>
      <c r="L2615" s="6" t="str">
        <f>"23.437,50"</f>
        <v>23.437,50</v>
      </c>
      <c r="M2615" s="6" t="str">
        <f>"117.187,50"</f>
        <v>117.187,50</v>
      </c>
      <c r="N2615" s="8" t="s">
        <v>124</v>
      </c>
      <c r="O2615" s="7"/>
      <c r="P2615" s="2" t="s">
        <v>5614</v>
      </c>
      <c r="Q2615" s="7"/>
      <c r="R2615" s="1"/>
      <c r="S2615" s="1" t="str">
        <f>"JNU-2022-1224"</f>
        <v>JNU-2022-1224</v>
      </c>
      <c r="T2615" s="1" t="s">
        <v>32</v>
      </c>
    </row>
    <row r="2616" spans="1:20" ht="63.75" x14ac:dyDescent="0.25">
      <c r="A2616" s="6">
        <v>2612</v>
      </c>
      <c r="B2616" s="1" t="str">
        <f>"2022-1964"</f>
        <v>2022-1964</v>
      </c>
      <c r="C2616" s="1" t="s">
        <v>2346</v>
      </c>
      <c r="D2616" s="1" t="s">
        <v>1979</v>
      </c>
      <c r="E2616" s="1" t="str">
        <f>""</f>
        <v/>
      </c>
      <c r="F2616" s="1" t="s">
        <v>1860</v>
      </c>
      <c r="G2616" s="1" t="str">
        <f>CONCATENATE(" PROJEKTNI URED MI2A D.O.O.,"," ULICA OTONA IVEKOVIĆA 25,"," 10 360 ZAGREB,"," OIB: 038974508")</f>
        <v xml:space="preserve"> PROJEKTNI URED MI2A D.O.O., ULICA OTONA IVEKOVIĆA 25, 10 360 ZAGREB, OIB: 038974508</v>
      </c>
      <c r="H2616" s="7"/>
      <c r="I2616" s="8" t="s">
        <v>1157</v>
      </c>
      <c r="J2616" s="8" t="s">
        <v>1497</v>
      </c>
      <c r="K2616" s="6" t="str">
        <f>"176.400,00"</f>
        <v>176.400,00</v>
      </c>
      <c r="L2616" s="6" t="str">
        <f>"44.100,00"</f>
        <v>44.100,00</v>
      </c>
      <c r="M2616" s="6" t="str">
        <f>"220.500,00"</f>
        <v>220.500,00</v>
      </c>
      <c r="N2616" s="8" t="s">
        <v>124</v>
      </c>
      <c r="O2616" s="7"/>
      <c r="P2616" s="2" t="s">
        <v>5614</v>
      </c>
      <c r="Q2616" s="7"/>
      <c r="R2616" s="1"/>
      <c r="S2616" s="1" t="str">
        <f>"JNU-2022-1409"</f>
        <v>JNU-2022-1409</v>
      </c>
      <c r="T2616" s="1" t="s">
        <v>32</v>
      </c>
    </row>
    <row r="2617" spans="1:20" x14ac:dyDescent="0.25">
      <c r="A2617" s="27">
        <v>2613</v>
      </c>
      <c r="B2617" s="29" t="str">
        <f>"2022-1855"</f>
        <v>2022-1855</v>
      </c>
      <c r="C2617" s="29" t="s">
        <v>2347</v>
      </c>
      <c r="D2617" s="29" t="s">
        <v>2348</v>
      </c>
      <c r="E2617" s="29" t="str">
        <f>""</f>
        <v/>
      </c>
      <c r="F2617" s="29" t="s">
        <v>1860</v>
      </c>
      <c r="G2617" s="29" t="str">
        <f>CONCATENATE(" PARTNER ELECTRIC D.O.O.,"," ,"," OIB: 2124600005")</f>
        <v xml:space="preserve"> PARTNER ELECTRIC D.O.O., , OIB: 2124600005</v>
      </c>
      <c r="H2617" s="34"/>
      <c r="I2617" s="32" t="s">
        <v>414</v>
      </c>
      <c r="J2617" s="32" t="s">
        <v>1466</v>
      </c>
      <c r="K2617" s="27" t="str">
        <f>"396.836,75"</f>
        <v>396.836,75</v>
      </c>
      <c r="L2617" s="27" t="str">
        <f>"99.209,19"</f>
        <v>99.209,19</v>
      </c>
      <c r="M2617" s="27" t="str">
        <f>"496.045,94"</f>
        <v>496.045,94</v>
      </c>
      <c r="N2617" s="32" t="s">
        <v>124</v>
      </c>
      <c r="O2617" s="34"/>
      <c r="P2617" s="38" t="s">
        <v>7045</v>
      </c>
      <c r="Q2617" s="34"/>
      <c r="R2617" s="11"/>
      <c r="S2617" s="29" t="str">
        <f>"JNU-2022-1412"</f>
        <v>JNU-2022-1412</v>
      </c>
      <c r="T2617" s="29" t="s">
        <v>32</v>
      </c>
    </row>
    <row r="2618" spans="1:20" x14ac:dyDescent="0.25">
      <c r="A2618" s="36"/>
      <c r="B2618" s="31"/>
      <c r="C2618" s="31"/>
      <c r="D2618" s="31"/>
      <c r="E2618" s="31"/>
      <c r="F2618" s="31"/>
      <c r="G2618" s="31"/>
      <c r="H2618" s="37"/>
      <c r="I2618" s="40"/>
      <c r="J2618" s="40"/>
      <c r="K2618" s="36"/>
      <c r="L2618" s="36"/>
      <c r="M2618" s="36"/>
      <c r="N2618" s="40"/>
      <c r="O2618" s="37"/>
      <c r="P2618" s="41"/>
      <c r="Q2618" s="37"/>
      <c r="R2618" s="17"/>
      <c r="S2618" s="31"/>
      <c r="T2618" s="31"/>
    </row>
    <row r="2619" spans="1:20" x14ac:dyDescent="0.25">
      <c r="A2619" s="28"/>
      <c r="B2619" s="30"/>
      <c r="C2619" s="30"/>
      <c r="D2619" s="30"/>
      <c r="E2619" s="30"/>
      <c r="F2619" s="30"/>
      <c r="G2619" s="30"/>
      <c r="H2619" s="35"/>
      <c r="I2619" s="33"/>
      <c r="J2619" s="33"/>
      <c r="K2619" s="28"/>
      <c r="L2619" s="28"/>
      <c r="M2619" s="28"/>
      <c r="N2619" s="33"/>
      <c r="O2619" s="35"/>
      <c r="P2619" s="39"/>
      <c r="Q2619" s="35"/>
      <c r="R2619" s="15"/>
      <c r="S2619" s="30"/>
      <c r="T2619" s="30"/>
    </row>
    <row r="2620" spans="1:20" ht="51" x14ac:dyDescent="0.25">
      <c r="A2620" s="6">
        <v>2614</v>
      </c>
      <c r="B2620" s="1" t="str">
        <f>"2022-2009"</f>
        <v>2022-2009</v>
      </c>
      <c r="C2620" s="1" t="s">
        <v>2349</v>
      </c>
      <c r="D2620" s="1" t="s">
        <v>2350</v>
      </c>
      <c r="E2620" s="1" t="str">
        <f>""</f>
        <v/>
      </c>
      <c r="F2620" s="1" t="s">
        <v>1860</v>
      </c>
      <c r="G2620" s="1" t="str">
        <f>CONCATENATE(" AGRO - VIR d.o.o.,"," SLAVONSKA AVENIJA 7,"," 10000 ZAGREB,"," OIB: 72415651667")</f>
        <v xml:space="preserve"> AGRO - VIR d.o.o., SLAVONSKA AVENIJA 7, 10000 ZAGREB, OIB: 72415651667</v>
      </c>
      <c r="H2620" s="7"/>
      <c r="I2620" s="8" t="s">
        <v>1099</v>
      </c>
      <c r="J2620" s="8" t="s">
        <v>2351</v>
      </c>
      <c r="K2620" s="6" t="str">
        <f>"160.290,00"</f>
        <v>160.290,00</v>
      </c>
      <c r="L2620" s="6" t="str">
        <f>"40.072,50"</f>
        <v>40.072,50</v>
      </c>
      <c r="M2620" s="6" t="str">
        <f>"200.362,50"</f>
        <v>200.362,50</v>
      </c>
      <c r="N2620" s="8" t="s">
        <v>124</v>
      </c>
      <c r="O2620" s="7"/>
      <c r="P2620" s="2" t="s">
        <v>5614</v>
      </c>
      <c r="Q2620" s="7"/>
      <c r="R2620" s="1"/>
      <c r="S2620" s="1" t="str">
        <f>"JNU-2022-1613"</f>
        <v>JNU-2022-1613</v>
      </c>
      <c r="T2620" s="1" t="s">
        <v>32</v>
      </c>
    </row>
    <row r="2621" spans="1:20" ht="76.5" x14ac:dyDescent="0.25">
      <c r="A2621" s="6">
        <v>2615</v>
      </c>
      <c r="B2621" s="1" t="str">
        <f>"2022-2007"</f>
        <v>2022-2007</v>
      </c>
      <c r="C2621" s="1" t="s">
        <v>2352</v>
      </c>
      <c r="D2621" s="1" t="s">
        <v>1164</v>
      </c>
      <c r="E2621" s="1" t="str">
        <f>""</f>
        <v/>
      </c>
      <c r="F2621" s="1" t="s">
        <v>1860</v>
      </c>
      <c r="G2621" s="1" t="str">
        <f>CONCATENATE(" P P K D.D.,"," SELCE 33,"," 47000 KARLOVAC,"," OIB: 18257277698")</f>
        <v xml:space="preserve"> P P K D.D., SELCE 33, 47000 KARLOVAC, OIB: 18257277698</v>
      </c>
      <c r="H2621" s="7"/>
      <c r="I2621" s="8" t="s">
        <v>1099</v>
      </c>
      <c r="J2621" s="8" t="s">
        <v>2351</v>
      </c>
      <c r="K2621" s="6" t="str">
        <f>"142.402,50"</f>
        <v>142.402,50</v>
      </c>
      <c r="L2621" s="6" t="str">
        <f>"35.600,63"</f>
        <v>35.600,63</v>
      </c>
      <c r="M2621" s="6" t="str">
        <f>"178.003,13"</f>
        <v>178.003,13</v>
      </c>
      <c r="N2621" s="8" t="s">
        <v>124</v>
      </c>
      <c r="O2621" s="7"/>
      <c r="P2621" s="2" t="s">
        <v>7046</v>
      </c>
      <c r="Q2621" s="7"/>
      <c r="R2621" s="1"/>
      <c r="S2621" s="1" t="str">
        <f>"JNU-2022-1673"</f>
        <v>JNU-2022-1673</v>
      </c>
      <c r="T2621" s="1" t="s">
        <v>32</v>
      </c>
    </row>
    <row r="2622" spans="1:20" ht="63.75" x14ac:dyDescent="0.25">
      <c r="A2622" s="6">
        <v>2616</v>
      </c>
      <c r="B2622" s="1" t="str">
        <f>"2022-1133"</f>
        <v>2022-1133</v>
      </c>
      <c r="C2622" s="1" t="s">
        <v>2305</v>
      </c>
      <c r="D2622" s="1" t="s">
        <v>2306</v>
      </c>
      <c r="E2622" s="1" t="str">
        <f>""</f>
        <v/>
      </c>
      <c r="F2622" s="1" t="s">
        <v>1860</v>
      </c>
      <c r="G2622" s="1" t="str">
        <f>CONCATENATE(" KPMG CROATIA D.O.O.,"," EUROTOWER,"," 17. KAT - IVANA LUČIĆA 2A,"," 10000 ZAGREB,"," OIB: 20963249418")</f>
        <v xml:space="preserve"> KPMG CROATIA D.O.O., EUROTOWER, 17. KAT - IVANA LUČIĆA 2A, 10000 ZAGREB, OIB: 20963249418</v>
      </c>
      <c r="H2622" s="7"/>
      <c r="I2622" s="8" t="s">
        <v>1147</v>
      </c>
      <c r="J2622" s="8" t="s">
        <v>2353</v>
      </c>
      <c r="K2622" s="6" t="str">
        <f>"80.000,00"</f>
        <v>80.000,00</v>
      </c>
      <c r="L2622" s="6" t="str">
        <f>"20.000,00"</f>
        <v>20.000,00</v>
      </c>
      <c r="M2622" s="6" t="str">
        <f>"100.000,00"</f>
        <v>100.000,00</v>
      </c>
      <c r="N2622" s="8" t="s">
        <v>124</v>
      </c>
      <c r="O2622" s="7"/>
      <c r="P2622" s="2" t="s">
        <v>5614</v>
      </c>
      <c r="Q2622" s="7"/>
      <c r="R2622" s="1"/>
      <c r="S2622" s="1" t="str">
        <f>"JNU-2022-1761"</f>
        <v>JNU-2022-1761</v>
      </c>
      <c r="T2622" s="1" t="s">
        <v>32</v>
      </c>
    </row>
    <row r="2623" spans="1:20" ht="51" x14ac:dyDescent="0.25">
      <c r="A2623" s="6">
        <v>2617</v>
      </c>
      <c r="B2623" s="1" t="str">
        <f>"2022-2010"</f>
        <v>2022-2010</v>
      </c>
      <c r="C2623" s="1" t="s">
        <v>2354</v>
      </c>
      <c r="D2623" s="1" t="s">
        <v>2355</v>
      </c>
      <c r="E2623" s="1" t="str">
        <f>""</f>
        <v/>
      </c>
      <c r="F2623" s="1" t="s">
        <v>1860</v>
      </c>
      <c r="G2623" s="1" t="str">
        <f>CONCATENATE(" ROTO DINAMIC D.O.O.,"," ULICA GRADA WIRGESA 14,"," 10430 SAMOBOR,"," OIB: 24723122482")</f>
        <v xml:space="preserve"> ROTO DINAMIC D.O.O., ULICA GRADA WIRGESA 14, 10430 SAMOBOR, OIB: 24723122482</v>
      </c>
      <c r="H2623" s="7"/>
      <c r="I2623" s="8" t="s">
        <v>1092</v>
      </c>
      <c r="J2623" s="8" t="s">
        <v>123</v>
      </c>
      <c r="K2623" s="6" t="str">
        <f>"119.495,41"</f>
        <v>119.495,41</v>
      </c>
      <c r="L2623" s="6" t="str">
        <f>"29.873,85"</f>
        <v>29.873,85</v>
      </c>
      <c r="M2623" s="6" t="str">
        <f>"149.369,26"</f>
        <v>149.369,26</v>
      </c>
      <c r="N2623" s="8" t="s">
        <v>124</v>
      </c>
      <c r="O2623" s="7"/>
      <c r="P2623" s="2" t="s">
        <v>5614</v>
      </c>
      <c r="Q2623" s="7"/>
      <c r="R2623" s="1"/>
      <c r="S2623" s="1" t="str">
        <f>"JNU-2022-1837"</f>
        <v>JNU-2022-1837</v>
      </c>
      <c r="T2623" s="1" t="s">
        <v>32</v>
      </c>
    </row>
    <row r="2624" spans="1:20" ht="63.75" x14ac:dyDescent="0.25">
      <c r="A2624" s="6">
        <v>2618</v>
      </c>
      <c r="B2624" s="1" t="str">
        <f>"2022-627"</f>
        <v>2022-627</v>
      </c>
      <c r="C2624" s="1" t="s">
        <v>2356</v>
      </c>
      <c r="D2624" s="1" t="s">
        <v>2357</v>
      </c>
      <c r="E2624" s="1" t="str">
        <f>""</f>
        <v/>
      </c>
      <c r="F2624" s="1" t="s">
        <v>1860</v>
      </c>
      <c r="G2624" s="1" t="str">
        <f>CONCATENATE(" AUDIO VIDEO CONSULTING D.O.O.,"," HRASTOVIČKA 62,"," 10250 LUČKO,"," OIB: 62707927904")</f>
        <v xml:space="preserve"> AUDIO VIDEO CONSULTING D.O.O., HRASTOVIČKA 62, 10250 LUČKO, OIB: 62707927904</v>
      </c>
      <c r="H2624" s="7"/>
      <c r="I2624" s="8" t="s">
        <v>146</v>
      </c>
      <c r="J2624" s="8" t="s">
        <v>2253</v>
      </c>
      <c r="K2624" s="6" t="str">
        <f>"81.890,00"</f>
        <v>81.890,00</v>
      </c>
      <c r="L2624" s="6" t="str">
        <f>"20.472,50"</f>
        <v>20.472,50</v>
      </c>
      <c r="M2624" s="6" t="str">
        <f>"102.362,50"</f>
        <v>102.362,50</v>
      </c>
      <c r="N2624" s="8" t="s">
        <v>124</v>
      </c>
      <c r="O2624" s="7"/>
      <c r="P2624" s="2" t="s">
        <v>5614</v>
      </c>
      <c r="Q2624" s="7"/>
      <c r="R2624" s="1"/>
      <c r="S2624" s="1" t="str">
        <f>"JNU-2022-1905"</f>
        <v>JNU-2022-1905</v>
      </c>
      <c r="T2624" s="1" t="s">
        <v>32</v>
      </c>
    </row>
    <row r="2625" spans="1:20" ht="51" x14ac:dyDescent="0.25">
      <c r="A2625" s="6">
        <v>2619</v>
      </c>
      <c r="B2625" s="1" t="str">
        <f>"2022-1792"</f>
        <v>2022-1792</v>
      </c>
      <c r="C2625" s="1" t="s">
        <v>2358</v>
      </c>
      <c r="D2625" s="1" t="s">
        <v>2359</v>
      </c>
      <c r="E2625" s="1" t="str">
        <f>""</f>
        <v/>
      </c>
      <c r="F2625" s="1" t="s">
        <v>1860</v>
      </c>
      <c r="G2625" s="1" t="str">
        <f>CONCATENATE(" SENTA D.O.O.,"," SVETOKRIŠKA ULICA 17,"," 48260 KRIŽEVCI,"," OIB: 20997151105")</f>
        <v xml:space="preserve"> SENTA D.O.O., SVETOKRIŠKA ULICA 17, 48260 KRIŽEVCI, OIB: 20997151105</v>
      </c>
      <c r="H2625" s="7"/>
      <c r="I2625" s="8" t="s">
        <v>892</v>
      </c>
      <c r="J2625" s="8" t="s">
        <v>2174</v>
      </c>
      <c r="K2625" s="6" t="str">
        <f>"195.000,00"</f>
        <v>195.000,00</v>
      </c>
      <c r="L2625" s="6" t="str">
        <f>"48.750,00"</f>
        <v>48.750,00</v>
      </c>
      <c r="M2625" s="6" t="str">
        <f>"243.750,00"</f>
        <v>243.750,00</v>
      </c>
      <c r="N2625" s="8" t="s">
        <v>124</v>
      </c>
      <c r="O2625" s="7"/>
      <c r="P2625" s="2" t="s">
        <v>5614</v>
      </c>
      <c r="Q2625" s="7"/>
      <c r="R2625" s="1"/>
      <c r="S2625" s="1" t="str">
        <f>"JNU-2022-1967"</f>
        <v>JNU-2022-1967</v>
      </c>
      <c r="T2625" s="1" t="s">
        <v>32</v>
      </c>
    </row>
    <row r="2626" spans="1:20" ht="76.5" x14ac:dyDescent="0.25">
      <c r="A2626" s="6">
        <v>2620</v>
      </c>
      <c r="B2626" s="1" t="str">
        <f>"2022-2042"</f>
        <v>2022-2042</v>
      </c>
      <c r="C2626" s="1" t="s">
        <v>2360</v>
      </c>
      <c r="D2626" s="1" t="s">
        <v>1699</v>
      </c>
      <c r="E2626" s="1" t="str">
        <f>""</f>
        <v/>
      </c>
      <c r="F2626" s="1" t="s">
        <v>1860</v>
      </c>
      <c r="G2626" s="1" t="str">
        <f>CONCATENATE(" POLJO-PROM,"," VL. ZLATKO KRIŽANIĆ,"," HRAŠĆE TUROPOLJSKO,"," KRIŽANIĆI 27,"," 10020 ZAGREB-NOVI ZAGREB,"," OIB: 22277452223")</f>
        <v xml:space="preserve"> POLJO-PROM, VL. ZLATKO KRIŽANIĆ, HRAŠĆE TUROPOLJSKO, KRIŽANIĆI 27, 10020 ZAGREB-NOVI ZAGREB, OIB: 22277452223</v>
      </c>
      <c r="H2626" s="7"/>
      <c r="I2626" s="8" t="s">
        <v>170</v>
      </c>
      <c r="J2626" s="8" t="s">
        <v>1538</v>
      </c>
      <c r="K2626" s="6" t="str">
        <f>"196.000,00"</f>
        <v>196.000,00</v>
      </c>
      <c r="L2626" s="6" t="str">
        <f>"49.000,00"</f>
        <v>49.000,00</v>
      </c>
      <c r="M2626" s="6" t="str">
        <f>"245.000,00"</f>
        <v>245.000,00</v>
      </c>
      <c r="N2626" s="8" t="s">
        <v>124</v>
      </c>
      <c r="O2626" s="7"/>
      <c r="P2626" s="2" t="s">
        <v>5614</v>
      </c>
      <c r="Q2626" s="7"/>
      <c r="R2626" s="1"/>
      <c r="S2626" s="1" t="str">
        <f>"JNU-2022-1968"</f>
        <v>JNU-2022-1968</v>
      </c>
      <c r="T2626" s="1" t="s">
        <v>32</v>
      </c>
    </row>
    <row r="2627" spans="1:20" ht="51" x14ac:dyDescent="0.25">
      <c r="A2627" s="6">
        <v>2621</v>
      </c>
      <c r="B2627" s="1" t="str">
        <f>"2022-2040"</f>
        <v>2022-2040</v>
      </c>
      <c r="C2627" s="1" t="s">
        <v>2361</v>
      </c>
      <c r="D2627" s="1" t="s">
        <v>2362</v>
      </c>
      <c r="E2627" s="1" t="str">
        <f>""</f>
        <v/>
      </c>
      <c r="F2627" s="1" t="s">
        <v>1860</v>
      </c>
      <c r="G2627" s="1" t="str">
        <f>CONCATENATE(" SENTA D.O.O.,"," SVETOKRIŠKA ULICA 17,"," 48260 KRIŽEVCI,"," OIB: 20997151105")</f>
        <v xml:space="preserve"> SENTA D.O.O., SVETOKRIŠKA ULICA 17, 48260 KRIŽEVCI, OIB: 20997151105</v>
      </c>
      <c r="H2627" s="7"/>
      <c r="I2627" s="8" t="s">
        <v>892</v>
      </c>
      <c r="J2627" s="8" t="s">
        <v>2174</v>
      </c>
      <c r="K2627" s="6" t="str">
        <f>"120.000,00"</f>
        <v>120.000,00</v>
      </c>
      <c r="L2627" s="6" t="str">
        <f>"30.000,00"</f>
        <v>30.000,00</v>
      </c>
      <c r="M2627" s="6" t="str">
        <f>"150.000,00"</f>
        <v>150.000,00</v>
      </c>
      <c r="N2627" s="8" t="s">
        <v>124</v>
      </c>
      <c r="O2627" s="7"/>
      <c r="P2627" s="2" t="s">
        <v>5614</v>
      </c>
      <c r="Q2627" s="7"/>
      <c r="R2627" s="1"/>
      <c r="S2627" s="1" t="str">
        <f>"JNU-2022-1969"</f>
        <v>JNU-2022-1969</v>
      </c>
      <c r="T2627" s="1" t="s">
        <v>32</v>
      </c>
    </row>
    <row r="2628" spans="1:20" ht="51" x14ac:dyDescent="0.25">
      <c r="A2628" s="6">
        <v>2622</v>
      </c>
      <c r="B2628" s="1" t="str">
        <f>"2022-2045"</f>
        <v>2022-2045</v>
      </c>
      <c r="C2628" s="1" t="s">
        <v>2363</v>
      </c>
      <c r="D2628" s="1" t="s">
        <v>673</v>
      </c>
      <c r="E2628" s="1" t="str">
        <f>""</f>
        <v/>
      </c>
      <c r="F2628" s="1" t="s">
        <v>1860</v>
      </c>
      <c r="G2628" s="1" t="str">
        <f>CONCATENATE(" LEO GRAD D.O.O.,"," ZELINSKA 8,"," 10360 LUŽAN,"," OIB: 85068601099")</f>
        <v xml:space="preserve"> LEO GRAD D.O.O., ZELINSKA 8, 10360 LUŽAN, OIB: 85068601099</v>
      </c>
      <c r="H2628" s="7"/>
      <c r="I2628" s="8" t="s">
        <v>207</v>
      </c>
      <c r="J2628" s="8" t="s">
        <v>2364</v>
      </c>
      <c r="K2628" s="6" t="str">
        <f>"379.987,00"</f>
        <v>379.987,00</v>
      </c>
      <c r="L2628" s="6" t="str">
        <f>"94.996,75"</f>
        <v>94.996,75</v>
      </c>
      <c r="M2628" s="6" t="str">
        <f>"474.983,75"</f>
        <v>474.983,75</v>
      </c>
      <c r="N2628" s="8" t="s">
        <v>124</v>
      </c>
      <c r="O2628" s="7"/>
      <c r="P2628" s="2" t="s">
        <v>5614</v>
      </c>
      <c r="Q2628" s="7"/>
      <c r="R2628" s="1"/>
      <c r="S2628" s="1" t="str">
        <f>"JNU-2022-1974"</f>
        <v>JNU-2022-1974</v>
      </c>
      <c r="T2628" s="1" t="s">
        <v>32</v>
      </c>
    </row>
    <row r="2629" spans="1:20" ht="63.75" x14ac:dyDescent="0.25">
      <c r="A2629" s="6">
        <v>2623</v>
      </c>
      <c r="B2629" s="1" t="str">
        <f>"2022-2056"</f>
        <v>2022-2056</v>
      </c>
      <c r="C2629" s="1" t="s">
        <v>2365</v>
      </c>
      <c r="D2629" s="1" t="s">
        <v>2333</v>
      </c>
      <c r="E2629" s="1" t="str">
        <f>""</f>
        <v/>
      </c>
      <c r="F2629" s="1" t="s">
        <v>1860</v>
      </c>
      <c r="G2629" s="1" t="str">
        <f>CONCATENATE(" CROWE HORWATH REVIZIJA D.O.O.,"," HEKTOROVIĆEVA 2,"," 10000 ZAGREB,"," OIB: 9545428004")</f>
        <v xml:space="preserve"> CROWE HORWATH REVIZIJA D.O.O., HEKTOROVIĆEVA 2, 10000 ZAGREB, OIB: 9545428004</v>
      </c>
      <c r="H2629" s="7"/>
      <c r="I2629" s="8" t="s">
        <v>1092</v>
      </c>
      <c r="J2629" s="8" t="s">
        <v>123</v>
      </c>
      <c r="K2629" s="6" t="str">
        <f>"180.000,00"</f>
        <v>180.000,00</v>
      </c>
      <c r="L2629" s="6" t="str">
        <f>"45.000,00"</f>
        <v>45.000,00</v>
      </c>
      <c r="M2629" s="6" t="str">
        <f>"225.000,00"</f>
        <v>225.000,00</v>
      </c>
      <c r="N2629" s="8" t="s">
        <v>124</v>
      </c>
      <c r="O2629" s="7"/>
      <c r="P2629" s="2" t="s">
        <v>5614</v>
      </c>
      <c r="Q2629" s="7"/>
      <c r="R2629" s="1"/>
      <c r="S2629" s="1" t="str">
        <f>"JNU-2022-1977"</f>
        <v>JNU-2022-1977</v>
      </c>
      <c r="T2629" s="1" t="s">
        <v>32</v>
      </c>
    </row>
    <row r="2630" spans="1:20" ht="63.75" x14ac:dyDescent="0.25">
      <c r="A2630" s="6">
        <v>2624</v>
      </c>
      <c r="B2630" s="1" t="str">
        <f>"2022-2055"</f>
        <v>2022-2055</v>
      </c>
      <c r="C2630" s="1" t="s">
        <v>2366</v>
      </c>
      <c r="D2630" s="1" t="s">
        <v>2367</v>
      </c>
      <c r="E2630" s="1" t="str">
        <f>""</f>
        <v/>
      </c>
      <c r="F2630" s="1" t="s">
        <v>1860</v>
      </c>
      <c r="G2630" s="1" t="str">
        <f>CONCATENATE(" BDO SAVJETOVANJE D.O.O.,"," TRG JOHN FITZGERALD KENNEDY 6B,"," 10000 ZAGREB,"," OIB: 67503563095")</f>
        <v xml:space="preserve"> BDO SAVJETOVANJE D.O.O., TRG JOHN FITZGERALD KENNEDY 6B, 10000 ZAGREB, OIB: 67503563095</v>
      </c>
      <c r="H2630" s="7"/>
      <c r="I2630" s="8" t="s">
        <v>170</v>
      </c>
      <c r="J2630" s="8" t="s">
        <v>1538</v>
      </c>
      <c r="K2630" s="6" t="str">
        <f>"100.000,00"</f>
        <v>100.000,00</v>
      </c>
      <c r="L2630" s="6" t="str">
        <f>"25.000,00"</f>
        <v>25.000,00</v>
      </c>
      <c r="M2630" s="6" t="str">
        <f>"125.000,00"</f>
        <v>125.000,00</v>
      </c>
      <c r="N2630" s="8" t="s">
        <v>124</v>
      </c>
      <c r="O2630" s="7"/>
      <c r="P2630" s="2" t="s">
        <v>5614</v>
      </c>
      <c r="Q2630" s="7"/>
      <c r="R2630" s="1"/>
      <c r="S2630" s="1" t="str">
        <f>"JNU-2022-1978"</f>
        <v>JNU-2022-1978</v>
      </c>
      <c r="T2630" s="1" t="s">
        <v>32</v>
      </c>
    </row>
    <row r="2631" spans="1:20" ht="51" x14ac:dyDescent="0.25">
      <c r="A2631" s="6">
        <v>2625</v>
      </c>
      <c r="B2631" s="1" t="str">
        <f>"2022-1130"</f>
        <v>2022-1130</v>
      </c>
      <c r="C2631" s="1" t="s">
        <v>2368</v>
      </c>
      <c r="D2631" s="1" t="s">
        <v>2367</v>
      </c>
      <c r="E2631" s="1" t="str">
        <f>""</f>
        <v/>
      </c>
      <c r="F2631" s="1" t="s">
        <v>1860</v>
      </c>
      <c r="G2631" s="1" t="str">
        <f>CONCATENATE(" DELOITTE D.O.O.,"," RADNIČKA CESTA 80,"," 10000 ZAGREB,"," OIB: 1168645778")</f>
        <v xml:space="preserve"> DELOITTE D.O.O., RADNIČKA CESTA 80, 10000 ZAGREB, OIB: 1168645778</v>
      </c>
      <c r="H2631" s="7"/>
      <c r="I2631" s="8" t="s">
        <v>1092</v>
      </c>
      <c r="J2631" s="8" t="s">
        <v>123</v>
      </c>
      <c r="K2631" s="6" t="str">
        <f>"66.750,00"</f>
        <v>66.750,00</v>
      </c>
      <c r="L2631" s="6" t="str">
        <f>"16.687,50"</f>
        <v>16.687,50</v>
      </c>
      <c r="M2631" s="6" t="str">
        <f>"83.437,50"</f>
        <v>83.437,50</v>
      </c>
      <c r="N2631" s="8" t="s">
        <v>124</v>
      </c>
      <c r="O2631" s="7"/>
      <c r="P2631" s="2" t="s">
        <v>5614</v>
      </c>
      <c r="Q2631" s="7"/>
      <c r="R2631" s="1"/>
      <c r="S2631" s="1" t="str">
        <f>"JNU-2022-2073"</f>
        <v>JNU-2022-2073</v>
      </c>
      <c r="T2631" s="1" t="s">
        <v>32</v>
      </c>
    </row>
    <row r="2632" spans="1:20" ht="51" x14ac:dyDescent="0.25">
      <c r="A2632" s="6">
        <v>2626</v>
      </c>
      <c r="B2632" s="1" t="str">
        <f>"2022-1130"</f>
        <v>2022-1130</v>
      </c>
      <c r="C2632" s="1" t="s">
        <v>2368</v>
      </c>
      <c r="D2632" s="1" t="s">
        <v>2367</v>
      </c>
      <c r="E2632" s="1" t="str">
        <f>""</f>
        <v/>
      </c>
      <c r="F2632" s="1" t="s">
        <v>1860</v>
      </c>
      <c r="G2632" s="1" t="str">
        <f>CONCATENATE(" ERNST &amp; YOUNG D.O.O.,"," MILANA SACHSA 1,"," 10000 ZAGREB,"," OIB: 58960122779")</f>
        <v xml:space="preserve"> ERNST &amp; YOUNG D.O.O., MILANA SACHSA 1, 10000 ZAGREB, OIB: 58960122779</v>
      </c>
      <c r="H2632" s="7"/>
      <c r="I2632" s="8" t="s">
        <v>1092</v>
      </c>
      <c r="J2632" s="8" t="s">
        <v>123</v>
      </c>
      <c r="K2632" s="6" t="str">
        <f>"45.180,00"</f>
        <v>45.180,00</v>
      </c>
      <c r="L2632" s="6" t="str">
        <f>"11.295,00"</f>
        <v>11.295,00</v>
      </c>
      <c r="M2632" s="6" t="str">
        <f>"56.475,00"</f>
        <v>56.475,00</v>
      </c>
      <c r="N2632" s="8" t="s">
        <v>124</v>
      </c>
      <c r="O2632" s="7"/>
      <c r="P2632" s="2" t="s">
        <v>5614</v>
      </c>
      <c r="Q2632" s="7"/>
      <c r="R2632" s="1"/>
      <c r="S2632" s="1" t="str">
        <f>"JNU-2022-2231"</f>
        <v>JNU-2022-2231</v>
      </c>
      <c r="T2632" s="1" t="s">
        <v>32</v>
      </c>
    </row>
    <row r="2633" spans="1:20" ht="63.75" x14ac:dyDescent="0.25">
      <c r="A2633" s="6">
        <v>2627</v>
      </c>
      <c r="B2633" s="1" t="str">
        <f>"2022-2049"</f>
        <v>2022-2049</v>
      </c>
      <c r="C2633" s="1" t="s">
        <v>2369</v>
      </c>
      <c r="D2633" s="1" t="s">
        <v>2370</v>
      </c>
      <c r="E2633" s="1" t="str">
        <f>""</f>
        <v/>
      </c>
      <c r="F2633" s="1" t="s">
        <v>1860</v>
      </c>
      <c r="G2633" s="1" t="str">
        <f>CONCATENATE(" OMEGA SOFTWARE D.O.O.,"," KAMENARKA 37,"," 10010 ZAGREB-SLOBOŠTINA,"," OIB: 40102169932")</f>
        <v xml:space="preserve"> OMEGA SOFTWARE D.O.O., KAMENARKA 37, 10010 ZAGREB-SLOBOŠTINA, OIB: 40102169932</v>
      </c>
      <c r="H2633" s="7"/>
      <c r="I2633" s="8" t="s">
        <v>1092</v>
      </c>
      <c r="J2633" s="8" t="s">
        <v>123</v>
      </c>
      <c r="K2633" s="6" t="str">
        <f>"195.071,49"</f>
        <v>195.071,49</v>
      </c>
      <c r="L2633" s="6" t="str">
        <f>"48.767,87"</f>
        <v>48.767,87</v>
      </c>
      <c r="M2633" s="6" t="str">
        <f>"243.839,36"</f>
        <v>243.839,36</v>
      </c>
      <c r="N2633" s="8" t="s">
        <v>124</v>
      </c>
      <c r="O2633" s="7"/>
      <c r="P2633" s="2" t="s">
        <v>5614</v>
      </c>
      <c r="Q2633" s="7"/>
      <c r="R2633" s="1"/>
      <c r="S2633" s="1" t="str">
        <f>"JNU-2022-2257"</f>
        <v>JNU-2022-2257</v>
      </c>
      <c r="T2633" s="1" t="s">
        <v>32</v>
      </c>
    </row>
    <row r="2634" spans="1:20" ht="51" x14ac:dyDescent="0.25">
      <c r="A2634" s="6">
        <v>2628</v>
      </c>
      <c r="B2634" s="1" t="str">
        <f>"2020-1848"</f>
        <v>2020-1848</v>
      </c>
      <c r="C2634" s="1" t="s">
        <v>2371</v>
      </c>
      <c r="D2634" s="1" t="s">
        <v>2372</v>
      </c>
      <c r="E2634" s="1" t="str">
        <f>""</f>
        <v/>
      </c>
      <c r="F2634" s="1" t="s">
        <v>1860</v>
      </c>
      <c r="G2634" s="1" t="str">
        <f>CONCATENATE(" VELEBIT-PROMET D.O.O.,"," INDUSTRIJSKA 5,"," 10370 DUGO SELO,"," OIB: 67912509737")</f>
        <v xml:space="preserve"> VELEBIT-PROMET D.O.O., INDUSTRIJSKA 5, 10370 DUGO SELO, OIB: 67912509737</v>
      </c>
      <c r="H2634" s="7"/>
      <c r="I2634" s="8" t="s">
        <v>2373</v>
      </c>
      <c r="J2634" s="8" t="s">
        <v>671</v>
      </c>
      <c r="K2634" s="6" t="str">
        <f>"50.000,00"</f>
        <v>50.000,00</v>
      </c>
      <c r="L2634" s="6" t="str">
        <f>"12.500,00"</f>
        <v>12.500,00</v>
      </c>
      <c r="M2634" s="6" t="str">
        <f>"62.500,00"</f>
        <v>62.500,00</v>
      </c>
      <c r="N2634" s="8" t="s">
        <v>124</v>
      </c>
      <c r="O2634" s="7"/>
      <c r="P2634" s="2" t="s">
        <v>5614</v>
      </c>
      <c r="Q2634" s="7"/>
      <c r="R2634" s="1"/>
      <c r="S2634" s="1" t="str">
        <f>"GZ-30/2021"</f>
        <v>GZ-30/2021</v>
      </c>
      <c r="T2634" s="1" t="s">
        <v>55</v>
      </c>
    </row>
    <row r="2635" spans="1:20" ht="51" x14ac:dyDescent="0.25">
      <c r="A2635" s="6">
        <v>2629</v>
      </c>
      <c r="B2635" s="1" t="str">
        <f>"2021-2294"</f>
        <v>2021-2294</v>
      </c>
      <c r="C2635" s="1" t="s">
        <v>2374</v>
      </c>
      <c r="D2635" s="1" t="s">
        <v>185</v>
      </c>
      <c r="E2635" s="1" t="str">
        <f>""</f>
        <v/>
      </c>
      <c r="F2635" s="1" t="s">
        <v>1860</v>
      </c>
      <c r="G2635" s="1" t="str">
        <f>CONCATENATE(" FORSET D.O.O.,"," DAVORINA BAZJANCA 13,"," 10000 ZAGREB,"," OIB: 78226361004")</f>
        <v xml:space="preserve"> FORSET D.O.O., DAVORINA BAZJANCA 13, 10000 ZAGREB, OIB: 78226361004</v>
      </c>
      <c r="H2635" s="7"/>
      <c r="I2635" s="8" t="s">
        <v>1135</v>
      </c>
      <c r="J2635" s="8" t="s">
        <v>437</v>
      </c>
      <c r="K2635" s="6" t="str">
        <f>"98.888,40"</f>
        <v>98.888,40</v>
      </c>
      <c r="L2635" s="6" t="str">
        <f>"24.722,10"</f>
        <v>24.722,10</v>
      </c>
      <c r="M2635" s="6" t="str">
        <f>"123.610,50"</f>
        <v>123.610,50</v>
      </c>
      <c r="N2635" s="8" t="s">
        <v>124</v>
      </c>
      <c r="O2635" s="7"/>
      <c r="P2635" s="2" t="s">
        <v>7047</v>
      </c>
      <c r="Q2635" s="7"/>
      <c r="R2635" s="1"/>
      <c r="S2635" s="1" t="str">
        <f>"GZ-71/2022"</f>
        <v>GZ-71/2022</v>
      </c>
      <c r="T2635" s="1" t="s">
        <v>32</v>
      </c>
    </row>
    <row r="2636" spans="1:20" ht="51" x14ac:dyDescent="0.25">
      <c r="A2636" s="6">
        <v>2630</v>
      </c>
      <c r="B2636" s="1" t="str">
        <f>"2020-964"</f>
        <v>2020-964</v>
      </c>
      <c r="C2636" s="1" t="s">
        <v>2375</v>
      </c>
      <c r="D2636" s="1" t="s">
        <v>2376</v>
      </c>
      <c r="E2636" s="1" t="str">
        <f>""</f>
        <v/>
      </c>
      <c r="F2636" s="1" t="s">
        <v>1860</v>
      </c>
      <c r="G2636" s="1" t="str">
        <f>CONCATENATE(" OPTIMAR ADRIA D.O.O.,"," MARTINKOVAC 112,"," 51000 RIJEKA,"," OIB: 57802583362")</f>
        <v xml:space="preserve"> OPTIMAR ADRIA D.O.O., MARTINKOVAC 112, 51000 RIJEKA, OIB: 57802583362</v>
      </c>
      <c r="H2636" s="7"/>
      <c r="I2636" s="8" t="s">
        <v>2058</v>
      </c>
      <c r="J2636" s="8" t="s">
        <v>236</v>
      </c>
      <c r="K2636" s="6" t="str">
        <f>"178.200,00"</f>
        <v>178.200,00</v>
      </c>
      <c r="L2636" s="6" t="str">
        <f>"44.550,00"</f>
        <v>44.550,00</v>
      </c>
      <c r="M2636" s="6" t="str">
        <f>"222.750,00"</f>
        <v>222.750,00</v>
      </c>
      <c r="N2636" s="8" t="s">
        <v>124</v>
      </c>
      <c r="O2636" s="7"/>
      <c r="P2636" s="2" t="s">
        <v>5614</v>
      </c>
      <c r="Q2636" s="7"/>
      <c r="R2636" s="1"/>
      <c r="S2636" s="1" t="str">
        <f>"GZ-121/2021"</f>
        <v>GZ-121/2021</v>
      </c>
      <c r="T2636" s="1" t="s">
        <v>55</v>
      </c>
    </row>
    <row r="2637" spans="1:20" ht="63.75" x14ac:dyDescent="0.25">
      <c r="A2637" s="6">
        <v>2631</v>
      </c>
      <c r="B2637" s="1" t="str">
        <f>"2020-1923"</f>
        <v>2020-1923</v>
      </c>
      <c r="C2637" s="1" t="s">
        <v>2377</v>
      </c>
      <c r="D2637" s="1" t="s">
        <v>1065</v>
      </c>
      <c r="E2637" s="1" t="str">
        <f>""</f>
        <v/>
      </c>
      <c r="F2637" s="1" t="s">
        <v>1860</v>
      </c>
      <c r="G2637" s="1" t="str">
        <f>CONCATENATE(" AUTO HRVATSKA AUTOMOBILI d.o.o.,"," RADNIČKA CESTA 182,"," 10000 ZAGREB,"," OIB: 23035642859")</f>
        <v xml:space="preserve"> AUTO HRVATSKA AUTOMOBILI d.o.o., RADNIČKA CESTA 182, 10000 ZAGREB, OIB: 23035642859</v>
      </c>
      <c r="H2637" s="7"/>
      <c r="I2637" s="8" t="s">
        <v>1069</v>
      </c>
      <c r="J2637" s="8" t="s">
        <v>768</v>
      </c>
      <c r="K2637" s="6" t="str">
        <f>"126.873,44"</f>
        <v>126.873,44</v>
      </c>
      <c r="L2637" s="6" t="str">
        <f>"31.718,36"</f>
        <v>31.718,36</v>
      </c>
      <c r="M2637" s="6" t="str">
        <f>"158.591,80"</f>
        <v>158.591,80</v>
      </c>
      <c r="N2637" s="8" t="s">
        <v>124</v>
      </c>
      <c r="O2637" s="7"/>
      <c r="P2637" s="2" t="s">
        <v>5614</v>
      </c>
      <c r="Q2637" s="7"/>
      <c r="R2637" s="1"/>
      <c r="S2637" s="1" t="str">
        <f>"GZ-138/2021"</f>
        <v>GZ-138/2021</v>
      </c>
      <c r="T2637" s="1" t="s">
        <v>55</v>
      </c>
    </row>
    <row r="2638" spans="1:20" ht="76.5" x14ac:dyDescent="0.25">
      <c r="A2638" s="6">
        <v>2632</v>
      </c>
      <c r="B2638" s="1" t="str">
        <f>"2022-1472"</f>
        <v>2022-1472</v>
      </c>
      <c r="C2638" s="1" t="s">
        <v>2378</v>
      </c>
      <c r="D2638" s="1" t="s">
        <v>1641</v>
      </c>
      <c r="E2638" s="1" t="str">
        <f>""</f>
        <v/>
      </c>
      <c r="F2638" s="1" t="s">
        <v>1860</v>
      </c>
      <c r="G2638" s="1" t="str">
        <f>CONCATENATE(" PROJEKTNI URED MI2A D.O.O.,"," ULICA OTONA IVEKOVIĆA 25,"," 10 360 ZAGREB,"," OIB: 038974508")</f>
        <v xml:space="preserve"> PROJEKTNI URED MI2A D.O.O., ULICA OTONA IVEKOVIĆA 25, 10 360 ZAGREB, OIB: 038974508</v>
      </c>
      <c r="H2638" s="7"/>
      <c r="I2638" s="8" t="s">
        <v>1112</v>
      </c>
      <c r="J2638" s="8" t="s">
        <v>1515</v>
      </c>
      <c r="K2638" s="6" t="str">
        <f>"12.000,00"</f>
        <v>12.000,00</v>
      </c>
      <c r="L2638" s="6" t="str">
        <f>"3.000,00"</f>
        <v>3.000,00</v>
      </c>
      <c r="M2638" s="6" t="str">
        <f>"15.000,00"</f>
        <v>15.000,00</v>
      </c>
      <c r="N2638" s="8" t="s">
        <v>124</v>
      </c>
      <c r="O2638" s="7"/>
      <c r="P2638" s="2" t="s">
        <v>5614</v>
      </c>
      <c r="Q2638" s="7"/>
      <c r="R2638" s="1"/>
      <c r="S2638" s="1" t="str">
        <f>"GZ-404/2022"</f>
        <v>GZ-404/2022</v>
      </c>
      <c r="T2638" s="1" t="s">
        <v>55</v>
      </c>
    </row>
    <row r="2639" spans="1:20" ht="63.75" x14ac:dyDescent="0.25">
      <c r="A2639" s="6">
        <v>2633</v>
      </c>
      <c r="B2639" s="1" t="str">
        <f>"2021-1819"</f>
        <v>2021-1819</v>
      </c>
      <c r="C2639" s="1" t="s">
        <v>2379</v>
      </c>
      <c r="D2639" s="1" t="s">
        <v>547</v>
      </c>
      <c r="E2639" s="1" t="str">
        <f>""</f>
        <v/>
      </c>
      <c r="F2639" s="1" t="s">
        <v>1860</v>
      </c>
      <c r="G2639" s="1" t="str">
        <f>CONCATENATE(" KAMENOLOM GORJAK D.O.O.,"," GORNJE JESENJE bb,"," 49233 GORNJE JESENJE,"," OIB: 700926237")</f>
        <v xml:space="preserve"> KAMENOLOM GORJAK D.O.O., GORNJE JESENJE bb, 49233 GORNJE JESENJE, OIB: 700926237</v>
      </c>
      <c r="H2639" s="7"/>
      <c r="I2639" s="8" t="s">
        <v>2097</v>
      </c>
      <c r="J2639" s="8" t="s">
        <v>273</v>
      </c>
      <c r="K2639" s="6" t="str">
        <f>"174.200,00"</f>
        <v>174.200,00</v>
      </c>
      <c r="L2639" s="6" t="str">
        <f>"43.550,00"</f>
        <v>43.550,00</v>
      </c>
      <c r="M2639" s="6" t="str">
        <f>"217.750,00"</f>
        <v>217.750,00</v>
      </c>
      <c r="N2639" s="8" t="s">
        <v>124</v>
      </c>
      <c r="O2639" s="7"/>
      <c r="P2639" s="2" t="s">
        <v>5614</v>
      </c>
      <c r="Q2639" s="7"/>
      <c r="R2639" s="1"/>
      <c r="S2639" s="1" t="str">
        <f>"GZ-436/2021"</f>
        <v>GZ-436/2021</v>
      </c>
      <c r="T2639" s="1" t="s">
        <v>55</v>
      </c>
    </row>
    <row r="2640" spans="1:20" ht="51" x14ac:dyDescent="0.25">
      <c r="A2640" s="6">
        <v>2634</v>
      </c>
      <c r="B2640" s="1" t="str">
        <f>"2021-1888"</f>
        <v>2021-1888</v>
      </c>
      <c r="C2640" s="1" t="s">
        <v>2380</v>
      </c>
      <c r="D2640" s="1" t="s">
        <v>1391</v>
      </c>
      <c r="E2640" s="1" t="str">
        <f>""</f>
        <v/>
      </c>
      <c r="F2640" s="1" t="s">
        <v>1860</v>
      </c>
      <c r="G2640" s="1" t="str">
        <f>CONCATENATE(" HITRA PRODUKCIJA DOKUMENATA D.O.O.,"," ,"," OIB: 65443507068")</f>
        <v xml:space="preserve"> HITRA PRODUKCIJA DOKUMENATA D.O.O., , OIB: 65443507068</v>
      </c>
      <c r="H2640" s="7"/>
      <c r="I2640" s="8" t="s">
        <v>1392</v>
      </c>
      <c r="J2640" s="8" t="s">
        <v>500</v>
      </c>
      <c r="K2640" s="6" t="str">
        <f>"188.951,50"</f>
        <v>188.951,50</v>
      </c>
      <c r="L2640" s="6" t="str">
        <f>"47.237,88"</f>
        <v>47.237,88</v>
      </c>
      <c r="M2640" s="6" t="str">
        <f>"236.189,38"</f>
        <v>236.189,38</v>
      </c>
      <c r="N2640" s="8" t="s">
        <v>2381</v>
      </c>
      <c r="O2640" s="7"/>
      <c r="P2640" s="2" t="s">
        <v>7048</v>
      </c>
      <c r="Q2640" s="7"/>
      <c r="R2640" s="1"/>
      <c r="S2640" s="1" t="str">
        <f>"GZ-437/2021"</f>
        <v>GZ-437/2021</v>
      </c>
      <c r="T2640" s="1" t="s">
        <v>55</v>
      </c>
    </row>
    <row r="2641" spans="1:20" ht="63.75" x14ac:dyDescent="0.25">
      <c r="A2641" s="6">
        <v>2635</v>
      </c>
      <c r="B2641" s="1" t="str">
        <f>"2022-1550"</f>
        <v>2022-1550</v>
      </c>
      <c r="C2641" s="1" t="s">
        <v>2382</v>
      </c>
      <c r="D2641" s="1" t="s">
        <v>1641</v>
      </c>
      <c r="E2641" s="1" t="str">
        <f>""</f>
        <v/>
      </c>
      <c r="F2641" s="1" t="s">
        <v>1860</v>
      </c>
      <c r="G2641" s="1" t="str">
        <f>CONCATENATE(" PROJEKTNI URED MI2A D.O.O.,"," ULICA OTONA IVEKOVIĆA 25,"," 10 360 ZAGREB,"," OIB: 038974508")</f>
        <v xml:space="preserve"> PROJEKTNI URED MI2A D.O.O., ULICA OTONA IVEKOVIĆA 25, 10 360 ZAGREB, OIB: 038974508</v>
      </c>
      <c r="H2641" s="7"/>
      <c r="I2641" s="8" t="s">
        <v>521</v>
      </c>
      <c r="J2641" s="8" t="s">
        <v>1488</v>
      </c>
      <c r="K2641" s="6" t="str">
        <f>"19.600,00"</f>
        <v>19.600,00</v>
      </c>
      <c r="L2641" s="6" t="str">
        <f>"4.900,00"</f>
        <v>4.900,00</v>
      </c>
      <c r="M2641" s="6" t="str">
        <f>"24.500,00"</f>
        <v>24.500,00</v>
      </c>
      <c r="N2641" s="8" t="s">
        <v>124</v>
      </c>
      <c r="O2641" s="7"/>
      <c r="P2641" s="2" t="s">
        <v>5614</v>
      </c>
      <c r="Q2641" s="7"/>
      <c r="R2641" s="1"/>
      <c r="S2641" s="1" t="str">
        <f>"GZ-463/2022"</f>
        <v>GZ-463/2022</v>
      </c>
      <c r="T2641" s="1" t="s">
        <v>55</v>
      </c>
    </row>
    <row r="2642" spans="1:20" ht="51" x14ac:dyDescent="0.25">
      <c r="A2642" s="6">
        <v>2636</v>
      </c>
      <c r="B2642" s="1" t="str">
        <f>"2022-1138"</f>
        <v>2022-1138</v>
      </c>
      <c r="C2642" s="1" t="s">
        <v>2383</v>
      </c>
      <c r="D2642" s="1" t="s">
        <v>2384</v>
      </c>
      <c r="E2642" s="1" t="str">
        <f>""</f>
        <v/>
      </c>
      <c r="F2642" s="1" t="s">
        <v>1860</v>
      </c>
      <c r="G2642" s="1" t="str">
        <f>CONCATENATE(" GUARDIAN D.O.O.,"," LAVOSLAVA RUŽIČKE 28,"," 10000 ZAGREB,"," OIB: 32462058947")</f>
        <v xml:space="preserve"> GUARDIAN D.O.O., LAVOSLAVA RUŽIČKE 28, 10000 ZAGREB, OIB: 32462058947</v>
      </c>
      <c r="H2642" s="7"/>
      <c r="I2642" s="8" t="s">
        <v>635</v>
      </c>
      <c r="J2642" s="8" t="s">
        <v>2385</v>
      </c>
      <c r="K2642" s="6" t="str">
        <f>"184.500,00"</f>
        <v>184.500,00</v>
      </c>
      <c r="L2642" s="6" t="str">
        <f>"46.125,00"</f>
        <v>46.125,00</v>
      </c>
      <c r="M2642" s="6" t="str">
        <f>"230.625,00"</f>
        <v>230.625,00</v>
      </c>
      <c r="N2642" s="8" t="s">
        <v>124</v>
      </c>
      <c r="O2642" s="7"/>
      <c r="P2642" s="2" t="s">
        <v>5994</v>
      </c>
      <c r="Q2642" s="7"/>
      <c r="R2642" s="1"/>
      <c r="S2642" s="1" t="str">
        <f>"GZ-466/2022"</f>
        <v>GZ-466/2022</v>
      </c>
      <c r="T2642" s="1" t="s">
        <v>32</v>
      </c>
    </row>
    <row r="2643" spans="1:20" ht="76.5" x14ac:dyDescent="0.25">
      <c r="A2643" s="6">
        <v>2637</v>
      </c>
      <c r="B2643" s="1" t="str">
        <f>"2022-1554"</f>
        <v>2022-1554</v>
      </c>
      <c r="C2643" s="1" t="s">
        <v>2386</v>
      </c>
      <c r="D2643" s="1" t="s">
        <v>1641</v>
      </c>
      <c r="E2643" s="1" t="str">
        <f>""</f>
        <v/>
      </c>
      <c r="F2643" s="1" t="s">
        <v>1860</v>
      </c>
      <c r="G2643" s="1" t="str">
        <f>CONCATENATE(" KRIGRAD D.O.O. ZA PROJEKTIRANJE,"," NADZOR I GRAĐENJE,"," VOĆARSKA CESTA 26,"," 10000 ZAGREB,"," OIB: 45825378029")</f>
        <v xml:space="preserve"> KRIGRAD D.O.O. ZA PROJEKTIRANJE, NADZOR I GRAĐENJE, VOĆARSKA CESTA 26, 10000 ZAGREB, OIB: 45825378029</v>
      </c>
      <c r="H2643" s="7"/>
      <c r="I2643" s="8" t="s">
        <v>521</v>
      </c>
      <c r="J2643" s="8" t="s">
        <v>1488</v>
      </c>
      <c r="K2643" s="6" t="str">
        <f>"15.200,00"</f>
        <v>15.200,00</v>
      </c>
      <c r="L2643" s="6" t="str">
        <f>"3.800,00"</f>
        <v>3.800,00</v>
      </c>
      <c r="M2643" s="6" t="str">
        <f>"19.000,00"</f>
        <v>19.000,00</v>
      </c>
      <c r="N2643" s="8" t="s">
        <v>124</v>
      </c>
      <c r="O2643" s="7"/>
      <c r="P2643" s="2" t="s">
        <v>5614</v>
      </c>
      <c r="Q2643" s="7"/>
      <c r="R2643" s="1"/>
      <c r="S2643" s="1" t="str">
        <f>"GZ-480/2022"</f>
        <v>GZ-480/2022</v>
      </c>
      <c r="T2643" s="1" t="s">
        <v>55</v>
      </c>
    </row>
    <row r="2644" spans="1:20" ht="63.75" x14ac:dyDescent="0.25">
      <c r="A2644" s="6">
        <v>2638</v>
      </c>
      <c r="B2644" s="1" t="str">
        <f>"2022-1553"</f>
        <v>2022-1553</v>
      </c>
      <c r="C2644" s="1" t="s">
        <v>2387</v>
      </c>
      <c r="D2644" s="1" t="s">
        <v>1641</v>
      </c>
      <c r="E2644" s="1" t="str">
        <f>""</f>
        <v/>
      </c>
      <c r="F2644" s="1" t="s">
        <v>1860</v>
      </c>
      <c r="G2644" s="1" t="str">
        <f>CONCATENATE(" PROJEKTNI BIRO NAGLIĆ D.O.O.,"," OLIBSKA 17,"," 10000 ZAGREB,"," OIB: 18216105743")</f>
        <v xml:space="preserve"> PROJEKTNI BIRO NAGLIĆ D.O.O., OLIBSKA 17, 10000 ZAGREB, OIB: 18216105743</v>
      </c>
      <c r="H2644" s="7"/>
      <c r="I2644" s="8" t="s">
        <v>898</v>
      </c>
      <c r="J2644" s="8" t="s">
        <v>193</v>
      </c>
      <c r="K2644" s="6" t="str">
        <f>"18.000,00"</f>
        <v>18.000,00</v>
      </c>
      <c r="L2644" s="6" t="str">
        <f>"4.500,00"</f>
        <v>4.500,00</v>
      </c>
      <c r="M2644" s="6" t="str">
        <f>"22.500,00"</f>
        <v>22.500,00</v>
      </c>
      <c r="N2644" s="8" t="s">
        <v>124</v>
      </c>
      <c r="O2644" s="7"/>
      <c r="P2644" s="2" t="s">
        <v>5614</v>
      </c>
      <c r="Q2644" s="7"/>
      <c r="R2644" s="1"/>
      <c r="S2644" s="1" t="str">
        <f>"GZ-481/2022"</f>
        <v>GZ-481/2022</v>
      </c>
      <c r="T2644" s="1" t="s">
        <v>55</v>
      </c>
    </row>
    <row r="2645" spans="1:20" ht="76.5" x14ac:dyDescent="0.25">
      <c r="A2645" s="6">
        <v>2639</v>
      </c>
      <c r="B2645" s="1" t="str">
        <f>"2022-1556"</f>
        <v>2022-1556</v>
      </c>
      <c r="C2645" s="1" t="s">
        <v>2388</v>
      </c>
      <c r="D2645" s="1" t="s">
        <v>1641</v>
      </c>
      <c r="E2645" s="1" t="str">
        <f>""</f>
        <v/>
      </c>
      <c r="F2645" s="1" t="s">
        <v>1860</v>
      </c>
      <c r="G2645" s="1" t="str">
        <f>CONCATENATE(" KRIGRAD D.O.O. ZA PROJEKTIRANJE,"," NADZOR I GRAĐENJE,"," VOĆARSKA CESTA 26,"," 10000 ZAGREB,"," OIB: 45825378029")</f>
        <v xml:space="preserve"> KRIGRAD D.O.O. ZA PROJEKTIRANJE, NADZOR I GRAĐENJE, VOĆARSKA CESTA 26, 10000 ZAGREB, OIB: 45825378029</v>
      </c>
      <c r="H2645" s="7"/>
      <c r="I2645" s="8" t="s">
        <v>521</v>
      </c>
      <c r="J2645" s="8" t="s">
        <v>1488</v>
      </c>
      <c r="K2645" s="6" t="str">
        <f>"11.200,00"</f>
        <v>11.200,00</v>
      </c>
      <c r="L2645" s="6" t="str">
        <f>"2.800,00"</f>
        <v>2.800,00</v>
      </c>
      <c r="M2645" s="6" t="str">
        <f>"14.000,00"</f>
        <v>14.000,00</v>
      </c>
      <c r="N2645" s="8" t="s">
        <v>124</v>
      </c>
      <c r="O2645" s="7"/>
      <c r="P2645" s="2" t="s">
        <v>5614</v>
      </c>
      <c r="Q2645" s="7"/>
      <c r="R2645" s="1"/>
      <c r="S2645" s="1" t="str">
        <f>"GZ-493/2022"</f>
        <v>GZ-493/2022</v>
      </c>
      <c r="T2645" s="1" t="s">
        <v>55</v>
      </c>
    </row>
    <row r="2646" spans="1:20" ht="63.75" x14ac:dyDescent="0.25">
      <c r="A2646" s="6">
        <v>2640</v>
      </c>
      <c r="B2646" s="1" t="str">
        <f>"2022-1802"</f>
        <v>2022-1802</v>
      </c>
      <c r="C2646" s="1" t="s">
        <v>2389</v>
      </c>
      <c r="D2646" s="1" t="s">
        <v>1164</v>
      </c>
      <c r="E2646" s="1" t="str">
        <f>""</f>
        <v/>
      </c>
      <c r="F2646" s="1" t="s">
        <v>1860</v>
      </c>
      <c r="G2646" s="1" t="str">
        <f>CONCATENATE(" PREHRAMBENA INDUSTRIJA VINDIJA D.D.,"," MEĐIMURSKA 6,"," 42000 VARAŽDIN,"," OIB: 44138062462")</f>
        <v xml:space="preserve"> PREHRAMBENA INDUSTRIJA VINDIJA D.D., MEĐIMURSKA 6, 42000 VARAŽDIN, OIB: 44138062462</v>
      </c>
      <c r="H2646" s="7"/>
      <c r="I2646" s="8" t="s">
        <v>372</v>
      </c>
      <c r="J2646" s="8" t="s">
        <v>2390</v>
      </c>
      <c r="K2646" s="6" t="str">
        <f>"91.762,50"</f>
        <v>91.762,50</v>
      </c>
      <c r="L2646" s="6" t="str">
        <f>"22.940,63"</f>
        <v>22.940,63</v>
      </c>
      <c r="M2646" s="6" t="str">
        <f>"114.703,13"</f>
        <v>114.703,13</v>
      </c>
      <c r="N2646" s="8" t="s">
        <v>124</v>
      </c>
      <c r="O2646" s="7"/>
      <c r="P2646" s="2" t="s">
        <v>7049</v>
      </c>
      <c r="Q2646" s="7"/>
      <c r="R2646" s="1"/>
      <c r="S2646" s="1" t="str">
        <f>"GZ-496/2022"</f>
        <v>GZ-496/2022</v>
      </c>
      <c r="T2646" s="1" t="s">
        <v>32</v>
      </c>
    </row>
    <row r="2647" spans="1:20" ht="63.75" x14ac:dyDescent="0.25">
      <c r="A2647" s="6">
        <v>2641</v>
      </c>
      <c r="B2647" s="1" t="str">
        <f>"2022-1688"</f>
        <v>2022-1688</v>
      </c>
      <c r="C2647" s="1" t="s">
        <v>2391</v>
      </c>
      <c r="D2647" s="1" t="s">
        <v>1641</v>
      </c>
      <c r="E2647" s="1" t="str">
        <f>""</f>
        <v/>
      </c>
      <c r="F2647" s="1" t="s">
        <v>1860</v>
      </c>
      <c r="G2647" s="1" t="str">
        <f>CONCATENATE(" PROJEKTNI URED MI2A D.O.O.,"," ULICA OTONA IVEKOVIĆA 25,"," 10 360 ZAGREB,"," OIB: 038974508")</f>
        <v xml:space="preserve"> PROJEKTNI URED MI2A D.O.O., ULICA OTONA IVEKOVIĆA 25, 10 360 ZAGREB, OIB: 038974508</v>
      </c>
      <c r="H2647" s="7"/>
      <c r="I2647" s="8" t="s">
        <v>505</v>
      </c>
      <c r="J2647" s="8" t="s">
        <v>2392</v>
      </c>
      <c r="K2647" s="6" t="str">
        <f>"8.000,00"</f>
        <v>8.000,00</v>
      </c>
      <c r="L2647" s="6" t="str">
        <f>"2.000,00"</f>
        <v>2.000,00</v>
      </c>
      <c r="M2647" s="6" t="str">
        <f>"10.000,00"</f>
        <v>10.000,00</v>
      </c>
      <c r="N2647" s="8" t="s">
        <v>124</v>
      </c>
      <c r="O2647" s="7"/>
      <c r="P2647" s="2" t="s">
        <v>5614</v>
      </c>
      <c r="Q2647" s="7"/>
      <c r="R2647" s="1"/>
      <c r="S2647" s="1" t="str">
        <f>"GZ-505/2022"</f>
        <v>GZ-505/2022</v>
      </c>
      <c r="T2647" s="1" t="s">
        <v>55</v>
      </c>
    </row>
    <row r="2648" spans="1:20" ht="89.25" x14ac:dyDescent="0.25">
      <c r="A2648" s="6">
        <v>2642</v>
      </c>
      <c r="B2648" s="1" t="str">
        <f>"2022-1474"</f>
        <v>2022-1474</v>
      </c>
      <c r="C2648" s="1" t="s">
        <v>2393</v>
      </c>
      <c r="D2648" s="1" t="s">
        <v>2057</v>
      </c>
      <c r="E2648" s="1" t="str">
        <f>""</f>
        <v/>
      </c>
      <c r="F2648" s="1" t="s">
        <v>1860</v>
      </c>
      <c r="G2648" s="1" t="str">
        <f>CONCATENATE(" SEDRA CONSULTING D.O.O.,"," USKOPSKA 11,"," 10010 ZAGREB,"," OIB: 09177957072")</f>
        <v xml:space="preserve"> SEDRA CONSULTING D.O.O., USKOPSKA 11, 10010 ZAGREB, OIB: 09177957072</v>
      </c>
      <c r="H2648" s="7"/>
      <c r="I2648" s="8" t="s">
        <v>505</v>
      </c>
      <c r="J2648" s="8" t="s">
        <v>2392</v>
      </c>
      <c r="K2648" s="6" t="str">
        <f>"72.000,00"</f>
        <v>72.000,00</v>
      </c>
      <c r="L2648" s="6" t="str">
        <f>"18.000,00"</f>
        <v>18.000,00</v>
      </c>
      <c r="M2648" s="6" t="str">
        <f>"90.000,00"</f>
        <v>90.000,00</v>
      </c>
      <c r="N2648" s="8" t="s">
        <v>124</v>
      </c>
      <c r="O2648" s="7"/>
      <c r="P2648" s="2" t="s">
        <v>5614</v>
      </c>
      <c r="Q2648" s="7"/>
      <c r="R2648" s="1"/>
      <c r="S2648" s="1" t="str">
        <f>"GZ-506/2022"</f>
        <v>GZ-506/2022</v>
      </c>
      <c r="T2648" s="1" t="s">
        <v>55</v>
      </c>
    </row>
    <row r="2649" spans="1:20" ht="63.75" x14ac:dyDescent="0.25">
      <c r="A2649" s="6">
        <v>2643</v>
      </c>
      <c r="B2649" s="1" t="str">
        <f>"2022-1555"</f>
        <v>2022-1555</v>
      </c>
      <c r="C2649" s="1" t="s">
        <v>2394</v>
      </c>
      <c r="D2649" s="1" t="s">
        <v>1641</v>
      </c>
      <c r="E2649" s="1" t="str">
        <f>""</f>
        <v/>
      </c>
      <c r="F2649" s="1" t="s">
        <v>1860</v>
      </c>
      <c r="G2649" s="1" t="str">
        <f>CONCATENATE(" PROMPT PROJEKTIRANJE D.O.O.,"," TOMISLAVOVA 9,"," 10000 ZAGREB,"," OIB: 30094396634")</f>
        <v xml:space="preserve"> PROMPT PROJEKTIRANJE D.O.O., TOMISLAVOVA 9, 10000 ZAGREB, OIB: 30094396634</v>
      </c>
      <c r="H2649" s="7"/>
      <c r="I2649" s="8" t="s">
        <v>172</v>
      </c>
      <c r="J2649" s="8" t="s">
        <v>2395</v>
      </c>
      <c r="K2649" s="6" t="str">
        <f>"12.150,00"</f>
        <v>12.150,00</v>
      </c>
      <c r="L2649" s="6" t="str">
        <f>"3.037,50"</f>
        <v>3.037,50</v>
      </c>
      <c r="M2649" s="6" t="str">
        <f>"15.187,50"</f>
        <v>15.187,50</v>
      </c>
      <c r="N2649" s="8" t="s">
        <v>124</v>
      </c>
      <c r="O2649" s="7"/>
      <c r="P2649" s="2" t="s">
        <v>5614</v>
      </c>
      <c r="Q2649" s="7"/>
      <c r="R2649" s="1"/>
      <c r="S2649" s="1" t="str">
        <f>"GZ-544/2022"</f>
        <v>GZ-544/2022</v>
      </c>
      <c r="T2649" s="1" t="s">
        <v>55</v>
      </c>
    </row>
    <row r="2650" spans="1:20" ht="63.75" x14ac:dyDescent="0.25">
      <c r="A2650" s="6">
        <v>2644</v>
      </c>
      <c r="B2650" s="1" t="str">
        <f>"2022-1548"</f>
        <v>2022-1548</v>
      </c>
      <c r="C2650" s="1" t="s">
        <v>2396</v>
      </c>
      <c r="D2650" s="1" t="s">
        <v>1641</v>
      </c>
      <c r="E2650" s="1" t="str">
        <f>""</f>
        <v/>
      </c>
      <c r="F2650" s="1" t="s">
        <v>1860</v>
      </c>
      <c r="G2650" s="1" t="str">
        <f>CONCATENATE(" PROMPT PROJEKTIRANJE D.O.O.,"," TOMISLAVOVA 9,"," 10000 ZAGREB,"," OIB: 30094396634")</f>
        <v xml:space="preserve"> PROMPT PROJEKTIRANJE D.O.O., TOMISLAVOVA 9, 10000 ZAGREB, OIB: 30094396634</v>
      </c>
      <c r="H2650" s="7"/>
      <c r="I2650" s="8" t="s">
        <v>897</v>
      </c>
      <c r="J2650" s="8" t="s">
        <v>2397</v>
      </c>
      <c r="K2650" s="6" t="str">
        <f>"51.500,00"</f>
        <v>51.500,00</v>
      </c>
      <c r="L2650" s="6" t="str">
        <f>"12.875,00"</f>
        <v>12.875,00</v>
      </c>
      <c r="M2650" s="6" t="str">
        <f>"64.375,00"</f>
        <v>64.375,00</v>
      </c>
      <c r="N2650" s="8" t="s">
        <v>124</v>
      </c>
      <c r="O2650" s="7"/>
      <c r="P2650" s="2" t="s">
        <v>5614</v>
      </c>
      <c r="Q2650" s="7"/>
      <c r="R2650" s="1"/>
      <c r="S2650" s="1" t="str">
        <f>"GZ-546/2022"</f>
        <v>GZ-546/2022</v>
      </c>
      <c r="T2650" s="1" t="s">
        <v>55</v>
      </c>
    </row>
    <row r="2651" spans="1:20" ht="76.5" x14ac:dyDescent="0.25">
      <c r="A2651" s="6">
        <v>2645</v>
      </c>
      <c r="B2651" s="1" t="str">
        <f>"2022-1552"</f>
        <v>2022-1552</v>
      </c>
      <c r="C2651" s="1" t="s">
        <v>2398</v>
      </c>
      <c r="D2651" s="1" t="s">
        <v>1641</v>
      </c>
      <c r="E2651" s="1" t="str">
        <f>""</f>
        <v/>
      </c>
      <c r="F2651" s="1" t="s">
        <v>1860</v>
      </c>
      <c r="G2651" s="1" t="str">
        <f>CONCATENATE(" KRIGRAD D.O.O. ZA PROJEKTIRANJE,"," NADZOR I GRAĐENJE,"," VOĆARSKA CESTA 26,"," 10000 ZAGREB,"," OIB: 45825378029")</f>
        <v xml:space="preserve"> KRIGRAD D.O.O. ZA PROJEKTIRANJE, NADZOR I GRAĐENJE, VOĆARSKA CESTA 26, 10000 ZAGREB, OIB: 45825378029</v>
      </c>
      <c r="H2651" s="7"/>
      <c r="I2651" s="8" t="s">
        <v>963</v>
      </c>
      <c r="J2651" s="8" t="s">
        <v>2399</v>
      </c>
      <c r="K2651" s="6" t="str">
        <f>"17.700,00"</f>
        <v>17.700,00</v>
      </c>
      <c r="L2651" s="6" t="str">
        <f>"4.425,00"</f>
        <v>4.425,00</v>
      </c>
      <c r="M2651" s="6" t="str">
        <f>"22.125,00"</f>
        <v>22.125,00</v>
      </c>
      <c r="N2651" s="8" t="s">
        <v>124</v>
      </c>
      <c r="O2651" s="7"/>
      <c r="P2651" s="2" t="s">
        <v>5614</v>
      </c>
      <c r="Q2651" s="7"/>
      <c r="R2651" s="1"/>
      <c r="S2651" s="1" t="str">
        <f>"GZ-548/2022"</f>
        <v>GZ-548/2022</v>
      </c>
      <c r="T2651" s="1" t="s">
        <v>55</v>
      </c>
    </row>
    <row r="2652" spans="1:20" ht="89.25" x14ac:dyDescent="0.25">
      <c r="A2652" s="6">
        <v>2646</v>
      </c>
      <c r="B2652" s="1" t="str">
        <f>"2022-1471"</f>
        <v>2022-1471</v>
      </c>
      <c r="C2652" s="1" t="s">
        <v>2400</v>
      </c>
      <c r="D2652" s="1" t="s">
        <v>1641</v>
      </c>
      <c r="E2652" s="1" t="str">
        <f>""</f>
        <v/>
      </c>
      <c r="F2652" s="1" t="s">
        <v>1860</v>
      </c>
      <c r="G2652" s="1" t="str">
        <f>CONCATENATE(" PGT ŠKUNCA D.O.O.,"," JURJA ŠIŽGORIĆA 19,"," 10000 ZAGREB,"," OIB: 13759281212")</f>
        <v xml:space="preserve"> PGT ŠKUNCA D.O.O., JURJA ŠIŽGORIĆA 19, 10000 ZAGREB, OIB: 13759281212</v>
      </c>
      <c r="H2652" s="7"/>
      <c r="I2652" s="8" t="s">
        <v>963</v>
      </c>
      <c r="J2652" s="8" t="s">
        <v>2399</v>
      </c>
      <c r="K2652" s="6" t="str">
        <f>"90.200,00"</f>
        <v>90.200,00</v>
      </c>
      <c r="L2652" s="6" t="str">
        <f>"22.550,00"</f>
        <v>22.550,00</v>
      </c>
      <c r="M2652" s="6" t="str">
        <f>"112.750,00"</f>
        <v>112.750,00</v>
      </c>
      <c r="N2652" s="8" t="s">
        <v>124</v>
      </c>
      <c r="O2652" s="7"/>
      <c r="P2652" s="2" t="s">
        <v>5614</v>
      </c>
      <c r="Q2652" s="7"/>
      <c r="R2652" s="1"/>
      <c r="S2652" s="1" t="str">
        <f>"GZ-614/2022"</f>
        <v>GZ-614/2022</v>
      </c>
      <c r="T2652" s="1" t="s">
        <v>55</v>
      </c>
    </row>
    <row r="2653" spans="1:20" ht="63.75" x14ac:dyDescent="0.25">
      <c r="A2653" s="6">
        <v>2647</v>
      </c>
      <c r="B2653" s="1" t="str">
        <f>"2022-1621"</f>
        <v>2022-1621</v>
      </c>
      <c r="C2653" s="1" t="s">
        <v>2401</v>
      </c>
      <c r="D2653" s="1" t="s">
        <v>2068</v>
      </c>
      <c r="E2653" s="1" t="str">
        <f>""</f>
        <v/>
      </c>
      <c r="F2653" s="1" t="s">
        <v>1860</v>
      </c>
      <c r="G2653" s="1" t="str">
        <f>CONCATENATE(" TEMPORIUM GRADNJA D.O.O.,"," LJUTOMERSKA ULICA 33A,"," 10000 ZAGREB,"," OIB: 6285048268")</f>
        <v xml:space="preserve"> TEMPORIUM GRADNJA D.O.O., LJUTOMERSKA ULICA 33A, 10000 ZAGREB, OIB: 6285048268</v>
      </c>
      <c r="H2653" s="7"/>
      <c r="I2653" s="8" t="s">
        <v>1314</v>
      </c>
      <c r="J2653" s="8" t="s">
        <v>2402</v>
      </c>
      <c r="K2653" s="6" t="str">
        <f>"255.025,90"</f>
        <v>255.025,90</v>
      </c>
      <c r="L2653" s="6" t="str">
        <f>"63.756,48"</f>
        <v>63.756,48</v>
      </c>
      <c r="M2653" s="6" t="str">
        <f>"318.782,38"</f>
        <v>318.782,38</v>
      </c>
      <c r="N2653" s="8" t="s">
        <v>124</v>
      </c>
      <c r="O2653" s="7"/>
      <c r="P2653" s="2" t="s">
        <v>5614</v>
      </c>
      <c r="Q2653" s="7"/>
      <c r="R2653" s="1"/>
      <c r="S2653" s="1" t="str">
        <f>"GZ-639/2022"</f>
        <v>GZ-639/2022</v>
      </c>
      <c r="T2653" s="1" t="s">
        <v>55</v>
      </c>
    </row>
    <row r="2654" spans="1:20" ht="51" x14ac:dyDescent="0.25">
      <c r="A2654" s="6">
        <v>2648</v>
      </c>
      <c r="B2654" s="1" t="str">
        <f>"2021-1164"</f>
        <v>2021-1164</v>
      </c>
      <c r="C2654" s="1" t="s">
        <v>2403</v>
      </c>
      <c r="D2654" s="1" t="s">
        <v>2404</v>
      </c>
      <c r="E2654" s="1" t="str">
        <f>""</f>
        <v/>
      </c>
      <c r="F2654" s="1" t="s">
        <v>1860</v>
      </c>
      <c r="G2654" s="1" t="str">
        <f>CONCATENATE(" DOMIN-PLIN D.O.O.,"," G. PODOTOČJE 57,"," 10410 VELIKA GORICA,"," OIB: 90332893585")</f>
        <v xml:space="preserve"> DOMIN-PLIN D.O.O., G. PODOTOČJE 57, 10410 VELIKA GORICA, OIB: 90332893585</v>
      </c>
      <c r="H2654" s="7"/>
      <c r="I2654" s="8" t="s">
        <v>1356</v>
      </c>
      <c r="J2654" s="8" t="s">
        <v>2084</v>
      </c>
      <c r="K2654" s="6" t="str">
        <f>"90.500,00"</f>
        <v>90.500,00</v>
      </c>
      <c r="L2654" s="6" t="str">
        <f>"22.625,00"</f>
        <v>22.625,00</v>
      </c>
      <c r="M2654" s="6" t="str">
        <f>"113.125,00"</f>
        <v>113.125,00</v>
      </c>
      <c r="N2654" s="8" t="s">
        <v>124</v>
      </c>
      <c r="O2654" s="7"/>
      <c r="P2654" s="2" t="s">
        <v>5614</v>
      </c>
      <c r="Q2654" s="7"/>
      <c r="R2654" s="1"/>
      <c r="S2654" s="1" t="str">
        <f>"GZ-640/2021"</f>
        <v>GZ-640/2021</v>
      </c>
      <c r="T2654" s="1" t="s">
        <v>2060</v>
      </c>
    </row>
    <row r="2655" spans="1:20" ht="76.5" x14ac:dyDescent="0.25">
      <c r="A2655" s="6">
        <v>2649</v>
      </c>
      <c r="B2655" s="1" t="str">
        <f>"2021-1733"</f>
        <v>2021-1733</v>
      </c>
      <c r="C2655" s="1" t="s">
        <v>2405</v>
      </c>
      <c r="D2655" s="1" t="s">
        <v>880</v>
      </c>
      <c r="E2655" s="1" t="str">
        <f>""</f>
        <v/>
      </c>
      <c r="F2655" s="1" t="s">
        <v>1860</v>
      </c>
      <c r="G2655" s="1" t="str">
        <f>CONCATENATE(" NASTAVNI ZAVOD ZA JAVNO ZDRAVSTVO DR. ANDRIJA ŠTAMPAR,"," MIROGOJSKA CESTA 16,"," 10000 ZAGREB,"," OIB: 3339200596")</f>
        <v xml:space="preserve"> NASTAVNI ZAVOD ZA JAVNO ZDRAVSTVO DR. ANDRIJA ŠTAMPAR, MIROGOJSKA CESTA 16, 10000 ZAGREB, OIB: 3339200596</v>
      </c>
      <c r="H2655" s="7"/>
      <c r="I2655" s="8" t="s">
        <v>223</v>
      </c>
      <c r="J2655" s="8" t="s">
        <v>524</v>
      </c>
      <c r="K2655" s="6" t="str">
        <f>"43.650,00"</f>
        <v>43.650,00</v>
      </c>
      <c r="L2655" s="6" t="str">
        <f>"10.912,50"</f>
        <v>10.912,50</v>
      </c>
      <c r="M2655" s="6" t="str">
        <f>"54.562,50"</f>
        <v>54.562,50</v>
      </c>
      <c r="N2655" s="8" t="s">
        <v>124</v>
      </c>
      <c r="O2655" s="7"/>
      <c r="P2655" s="2" t="s">
        <v>5614</v>
      </c>
      <c r="Q2655" s="7"/>
      <c r="R2655" s="1"/>
      <c r="S2655" s="1" t="str">
        <f>"GZ-661/2021"</f>
        <v>GZ-661/2021</v>
      </c>
      <c r="T2655" s="1" t="s">
        <v>55</v>
      </c>
    </row>
    <row r="2656" spans="1:20" ht="63.75" x14ac:dyDescent="0.25">
      <c r="A2656" s="6">
        <v>2650</v>
      </c>
      <c r="B2656" s="1" t="str">
        <f>"2022-1217"</f>
        <v>2022-1217</v>
      </c>
      <c r="C2656" s="1" t="s">
        <v>2284</v>
      </c>
      <c r="D2656" s="1" t="s">
        <v>381</v>
      </c>
      <c r="E2656" s="1" t="str">
        <f>""</f>
        <v/>
      </c>
      <c r="F2656" s="1" t="s">
        <v>1860</v>
      </c>
      <c r="G2656" s="1" t="str">
        <f>CONCATENATE(" RADOŠEVIĆ D.O.O.,"," ZAGREB,"," GORNJOSTUPNIČKA 18A,"," 10000 ZAGREB,"," OIB: 2093011435")</f>
        <v xml:space="preserve"> RADOŠEVIĆ D.O.O., ZAGREB, GORNJOSTUPNIČKA 18A, 10000 ZAGREB, OIB: 2093011435</v>
      </c>
      <c r="H2656" s="7"/>
      <c r="I2656" s="8" t="s">
        <v>895</v>
      </c>
      <c r="J2656" s="8" t="s">
        <v>2406</v>
      </c>
      <c r="K2656" s="6" t="str">
        <f>"76.500,00"</f>
        <v>76.500,00</v>
      </c>
      <c r="L2656" s="6" t="str">
        <f>"19.125,00"</f>
        <v>19.125,00</v>
      </c>
      <c r="M2656" s="6" t="str">
        <f>"95.625,00"</f>
        <v>95.625,00</v>
      </c>
      <c r="N2656" s="8" t="s">
        <v>124</v>
      </c>
      <c r="O2656" s="7"/>
      <c r="P2656" s="2" t="s">
        <v>5614</v>
      </c>
      <c r="Q2656" s="7"/>
      <c r="R2656" s="1"/>
      <c r="S2656" s="1" t="str">
        <f>"GZ-665/2022"</f>
        <v>GZ-665/2022</v>
      </c>
      <c r="T2656" s="1" t="s">
        <v>55</v>
      </c>
    </row>
    <row r="2657" spans="1:20" ht="63.75" x14ac:dyDescent="0.25">
      <c r="A2657" s="6">
        <v>2651</v>
      </c>
      <c r="B2657" s="1" t="str">
        <f>"2022-1675"</f>
        <v>2022-1675</v>
      </c>
      <c r="C2657" s="1" t="s">
        <v>2407</v>
      </c>
      <c r="D2657" s="1" t="s">
        <v>1641</v>
      </c>
      <c r="E2657" s="1" t="str">
        <f>""</f>
        <v/>
      </c>
      <c r="F2657" s="1" t="s">
        <v>1860</v>
      </c>
      <c r="G2657" s="1" t="str">
        <f>CONCATENATE(" PROJEKTNI BIRO NAGLIĆ D.O.O.,"," OLIBSKA 17,"," 10000 ZAGREB,"," OIB: 18216105743")</f>
        <v xml:space="preserve"> PROJEKTNI BIRO NAGLIĆ D.O.O., OLIBSKA 17, 10000 ZAGREB, OIB: 18216105743</v>
      </c>
      <c r="H2657" s="7"/>
      <c r="I2657" s="8" t="s">
        <v>523</v>
      </c>
      <c r="J2657" s="8" t="s">
        <v>2408</v>
      </c>
      <c r="K2657" s="6" t="str">
        <f>"35.000,00"</f>
        <v>35.000,00</v>
      </c>
      <c r="L2657" s="6" t="str">
        <f>"8.750,00"</f>
        <v>8.750,00</v>
      </c>
      <c r="M2657" s="6" t="str">
        <f>"43.750,00"</f>
        <v>43.750,00</v>
      </c>
      <c r="N2657" s="8" t="s">
        <v>124</v>
      </c>
      <c r="O2657" s="7"/>
      <c r="P2657" s="2" t="s">
        <v>5614</v>
      </c>
      <c r="Q2657" s="7"/>
      <c r="R2657" s="1"/>
      <c r="S2657" s="1" t="str">
        <f>"GZ-684/2022"</f>
        <v>GZ-684/2022</v>
      </c>
      <c r="T2657" s="1" t="s">
        <v>55</v>
      </c>
    </row>
    <row r="2658" spans="1:20" ht="63.75" x14ac:dyDescent="0.25">
      <c r="A2658" s="6">
        <v>2652</v>
      </c>
      <c r="B2658" s="1" t="str">
        <f>"2022-1660"</f>
        <v>2022-1660</v>
      </c>
      <c r="C2658" s="1" t="s">
        <v>2409</v>
      </c>
      <c r="D2658" s="1" t="s">
        <v>1979</v>
      </c>
      <c r="E2658" s="1" t="str">
        <f>""</f>
        <v/>
      </c>
      <c r="F2658" s="1" t="s">
        <v>1860</v>
      </c>
      <c r="G2658" s="1" t="str">
        <f>CONCATENATE(" PROJEKTNI BIRO NAGLIĆ D.O.O.,"," OLIBSKA 17,"," 10000 ZAGREB,"," OIB: 18216105743")</f>
        <v xml:space="preserve"> PROJEKTNI BIRO NAGLIĆ D.O.O., OLIBSKA 17, 10000 ZAGREB, OIB: 18216105743</v>
      </c>
      <c r="H2658" s="7"/>
      <c r="I2658" s="8" t="s">
        <v>523</v>
      </c>
      <c r="J2658" s="8" t="s">
        <v>2408</v>
      </c>
      <c r="K2658" s="6" t="str">
        <f>"38.500,00"</f>
        <v>38.500,00</v>
      </c>
      <c r="L2658" s="6" t="str">
        <f>"9.625,00"</f>
        <v>9.625,00</v>
      </c>
      <c r="M2658" s="6" t="str">
        <f>"48.125,00"</f>
        <v>48.125,00</v>
      </c>
      <c r="N2658" s="8" t="s">
        <v>124</v>
      </c>
      <c r="O2658" s="7"/>
      <c r="P2658" s="2" t="s">
        <v>5614</v>
      </c>
      <c r="Q2658" s="7"/>
      <c r="R2658" s="1"/>
      <c r="S2658" s="1" t="str">
        <f>"GZ-685/2022"</f>
        <v>GZ-685/2022</v>
      </c>
      <c r="T2658" s="1" t="s">
        <v>55</v>
      </c>
    </row>
    <row r="2659" spans="1:20" ht="63.75" x14ac:dyDescent="0.25">
      <c r="A2659" s="6">
        <v>2653</v>
      </c>
      <c r="B2659" s="1" t="str">
        <f>"2022-1878"</f>
        <v>2022-1878</v>
      </c>
      <c r="C2659" s="1" t="s">
        <v>2410</v>
      </c>
      <c r="D2659" s="1" t="s">
        <v>941</v>
      </c>
      <c r="E2659" s="1" t="str">
        <f>""</f>
        <v/>
      </c>
      <c r="F2659" s="1" t="s">
        <v>1860</v>
      </c>
      <c r="G2659" s="1" t="str">
        <f>CONCATENATE(" TEMPORIUM GRADNJA D.O.O.,"," LJUTOMERSKA ULICA 33A,"," 10000 ZAGREB,"," OIB: 6285048268")</f>
        <v xml:space="preserve"> TEMPORIUM GRADNJA D.O.O., LJUTOMERSKA ULICA 33A, 10000 ZAGREB, OIB: 6285048268</v>
      </c>
      <c r="H2659" s="7"/>
      <c r="I2659" s="8" t="s">
        <v>281</v>
      </c>
      <c r="J2659" s="8" t="s">
        <v>2411</v>
      </c>
      <c r="K2659" s="6" t="str">
        <f>"164.866,50"</f>
        <v>164.866,50</v>
      </c>
      <c r="L2659" s="6" t="str">
        <f>"41.216,63"</f>
        <v>41.216,63</v>
      </c>
      <c r="M2659" s="6" t="str">
        <f>"206.083,13"</f>
        <v>206.083,13</v>
      </c>
      <c r="N2659" s="8" t="s">
        <v>124</v>
      </c>
      <c r="O2659" s="7"/>
      <c r="P2659" s="2" t="s">
        <v>5614</v>
      </c>
      <c r="Q2659" s="7"/>
      <c r="R2659" s="1"/>
      <c r="S2659" s="1" t="str">
        <f>"GZ-715/2022"</f>
        <v>GZ-715/2022</v>
      </c>
      <c r="T2659" s="1" t="s">
        <v>55</v>
      </c>
    </row>
    <row r="2660" spans="1:20" ht="51" x14ac:dyDescent="0.25">
      <c r="A2660" s="6">
        <v>2654</v>
      </c>
      <c r="B2660" s="1" t="str">
        <f>"2021-1281"</f>
        <v>2021-1281</v>
      </c>
      <c r="C2660" s="1" t="s">
        <v>2412</v>
      </c>
      <c r="D2660" s="1" t="s">
        <v>2413</v>
      </c>
      <c r="E2660" s="1" t="str">
        <f>""</f>
        <v/>
      </c>
      <c r="F2660" s="1" t="s">
        <v>1860</v>
      </c>
      <c r="G2660" s="1" t="str">
        <f>CONCATENATE(" ELEKTRONIČKI RAČUNI D.O.O.,"," ILICA 412A,"," 10000 ZAGREB,"," OIB: 42889250808")</f>
        <v xml:space="preserve"> ELEKTRONIČKI RAČUNI D.O.O., ILICA 412A, 10000 ZAGREB, OIB: 42889250808</v>
      </c>
      <c r="H2660" s="7"/>
      <c r="I2660" s="8" t="s">
        <v>1356</v>
      </c>
      <c r="J2660" s="8" t="s">
        <v>2084</v>
      </c>
      <c r="K2660" s="6" t="str">
        <f>"104.388,00"</f>
        <v>104.388,00</v>
      </c>
      <c r="L2660" s="6" t="str">
        <f>"26.097,00"</f>
        <v>26.097,00</v>
      </c>
      <c r="M2660" s="6" t="str">
        <f>"130.485,00"</f>
        <v>130.485,00</v>
      </c>
      <c r="N2660" s="8" t="s">
        <v>57</v>
      </c>
      <c r="O2660" s="7"/>
      <c r="P2660" s="2" t="s">
        <v>7050</v>
      </c>
      <c r="Q2660" s="7"/>
      <c r="R2660" s="1"/>
      <c r="S2660" s="1" t="str">
        <f>"GZ-725/2021"</f>
        <v>GZ-725/2021</v>
      </c>
      <c r="T2660" s="1" t="s">
        <v>43</v>
      </c>
    </row>
    <row r="2661" spans="1:20" ht="63.75" x14ac:dyDescent="0.25">
      <c r="A2661" s="6">
        <v>2655</v>
      </c>
      <c r="B2661" s="1" t="str">
        <f>"2022-1650"</f>
        <v>2022-1650</v>
      </c>
      <c r="C2661" s="1" t="s">
        <v>2414</v>
      </c>
      <c r="D2661" s="1" t="s">
        <v>1979</v>
      </c>
      <c r="E2661" s="1" t="str">
        <f>""</f>
        <v/>
      </c>
      <c r="F2661" s="1" t="s">
        <v>1860</v>
      </c>
      <c r="G2661" s="1" t="str">
        <f>CONCATENATE(" HIDRO-A D.O.O.,"," VRLIČKA 24,"," 10000 ZAGREB,"," OIB: 84077835296")</f>
        <v xml:space="preserve"> HIDRO-A D.O.O., VRLIČKA 24, 10000 ZAGREB, OIB: 84077835296</v>
      </c>
      <c r="H2661" s="7"/>
      <c r="I2661" s="8" t="s">
        <v>287</v>
      </c>
      <c r="J2661" s="8" t="s">
        <v>1758</v>
      </c>
      <c r="K2661" s="6" t="str">
        <f>"42.700,00"</f>
        <v>42.700,00</v>
      </c>
      <c r="L2661" s="6" t="str">
        <f>"10.675,00"</f>
        <v>10.675,00</v>
      </c>
      <c r="M2661" s="6" t="str">
        <f>"53.375,00"</f>
        <v>53.375,00</v>
      </c>
      <c r="N2661" s="8" t="s">
        <v>124</v>
      </c>
      <c r="O2661" s="7"/>
      <c r="P2661" s="2" t="s">
        <v>5614</v>
      </c>
      <c r="Q2661" s="7"/>
      <c r="R2661" s="1"/>
      <c r="S2661" s="1" t="str">
        <f>"GZ-727/2022"</f>
        <v>GZ-727/2022</v>
      </c>
      <c r="T2661" s="1" t="s">
        <v>55</v>
      </c>
    </row>
    <row r="2662" spans="1:20" ht="102" x14ac:dyDescent="0.25">
      <c r="A2662" s="6">
        <v>2656</v>
      </c>
      <c r="B2662" s="1" t="str">
        <f>"2022-1614"</f>
        <v>2022-1614</v>
      </c>
      <c r="C2662" s="1" t="s">
        <v>2415</v>
      </c>
      <c r="D2662" s="1" t="s">
        <v>1979</v>
      </c>
      <c r="E2662" s="1" t="str">
        <f>""</f>
        <v/>
      </c>
      <c r="F2662" s="1" t="s">
        <v>1860</v>
      </c>
      <c r="G2662" s="1" t="str">
        <f>CONCATENATE(" HIDRO-A D.O.O.,"," VRLIČKA 24,"," 10000 ZAGREB,"," OIB: 84077835296")</f>
        <v xml:space="preserve"> HIDRO-A D.O.O., VRLIČKA 24, 10000 ZAGREB, OIB: 84077835296</v>
      </c>
      <c r="H2662" s="7"/>
      <c r="I2662" s="8" t="s">
        <v>287</v>
      </c>
      <c r="J2662" s="8" t="s">
        <v>1491</v>
      </c>
      <c r="K2662" s="6" t="str">
        <f>"57.700,00"</f>
        <v>57.700,00</v>
      </c>
      <c r="L2662" s="6" t="str">
        <f>"14.425,00"</f>
        <v>14.425,00</v>
      </c>
      <c r="M2662" s="6" t="str">
        <f>"72.125,00"</f>
        <v>72.125,00</v>
      </c>
      <c r="N2662" s="8" t="s">
        <v>124</v>
      </c>
      <c r="O2662" s="7"/>
      <c r="P2662" s="2" t="s">
        <v>5614</v>
      </c>
      <c r="Q2662" s="7"/>
      <c r="R2662" s="1"/>
      <c r="S2662" s="1" t="str">
        <f>"GZ-732/2022"</f>
        <v>GZ-732/2022</v>
      </c>
      <c r="T2662" s="1" t="s">
        <v>55</v>
      </c>
    </row>
    <row r="2663" spans="1:20" ht="51" x14ac:dyDescent="0.25">
      <c r="A2663" s="6">
        <v>2657</v>
      </c>
      <c r="B2663" s="1" t="str">
        <f>"2022-1651"</f>
        <v>2022-1651</v>
      </c>
      <c r="C2663" s="1" t="s">
        <v>2416</v>
      </c>
      <c r="D2663" s="1" t="s">
        <v>1979</v>
      </c>
      <c r="E2663" s="1" t="str">
        <f>""</f>
        <v/>
      </c>
      <c r="F2663" s="1" t="s">
        <v>1860</v>
      </c>
      <c r="G2663" s="1" t="str">
        <f>CONCATENATE(" HIDRO-A D.O.O.,"," VRLIČKA 24,"," 10000 ZAGREB,"," OIB: 84077835296")</f>
        <v xml:space="preserve"> HIDRO-A D.O.O., VRLIČKA 24, 10000 ZAGREB, OIB: 84077835296</v>
      </c>
      <c r="H2663" s="7"/>
      <c r="I2663" s="8" t="s">
        <v>287</v>
      </c>
      <c r="J2663" s="8" t="s">
        <v>1491</v>
      </c>
      <c r="K2663" s="6" t="str">
        <f>"37.700,00"</f>
        <v>37.700,00</v>
      </c>
      <c r="L2663" s="6" t="str">
        <f>"9.425,00"</f>
        <v>9.425,00</v>
      </c>
      <c r="M2663" s="6" t="str">
        <f>"47.125,00"</f>
        <v>47.125,00</v>
      </c>
      <c r="N2663" s="8" t="s">
        <v>124</v>
      </c>
      <c r="O2663" s="7"/>
      <c r="P2663" s="2" t="s">
        <v>5614</v>
      </c>
      <c r="Q2663" s="7"/>
      <c r="R2663" s="1"/>
      <c r="S2663" s="1" t="str">
        <f>"GZ-757/2022"</f>
        <v>GZ-757/2022</v>
      </c>
      <c r="T2663" s="1" t="s">
        <v>55</v>
      </c>
    </row>
    <row r="2664" spans="1:20" ht="51" x14ac:dyDescent="0.25">
      <c r="A2664" s="6">
        <v>2658</v>
      </c>
      <c r="B2664" s="1" t="str">
        <f>"2021-1369"</f>
        <v>2021-1369</v>
      </c>
      <c r="C2664" s="1" t="s">
        <v>2342</v>
      </c>
      <c r="D2664" s="1" t="s">
        <v>74</v>
      </c>
      <c r="E2664" s="1" t="str">
        <f>""</f>
        <v/>
      </c>
      <c r="F2664" s="1" t="s">
        <v>1860</v>
      </c>
      <c r="G2664" s="1" t="str">
        <f>CONCATENATE(" ZAGREB DATA D.O.O.,"," HRVATSKOG PROLJEĆA 28,"," 10000 ZAGREB,"," OIB: 27712717103")</f>
        <v xml:space="preserve"> ZAGREB DATA D.O.O., HRVATSKOG PROLJEĆA 28, 10000 ZAGREB, OIB: 27712717103</v>
      </c>
      <c r="H2664" s="7"/>
      <c r="I2664" s="8" t="s">
        <v>1356</v>
      </c>
      <c r="J2664" s="8" t="s">
        <v>2084</v>
      </c>
      <c r="K2664" s="6" t="str">
        <f>"70.200,00"</f>
        <v>70.200,00</v>
      </c>
      <c r="L2664" s="6" t="str">
        <f>"17.550,00"</f>
        <v>17.550,00</v>
      </c>
      <c r="M2664" s="6" t="str">
        <f>"87.750,00"</f>
        <v>87.750,00</v>
      </c>
      <c r="N2664" s="8" t="s">
        <v>124</v>
      </c>
      <c r="O2664" s="7"/>
      <c r="P2664" s="2" t="s">
        <v>5614</v>
      </c>
      <c r="Q2664" s="7"/>
      <c r="R2664" s="1"/>
      <c r="S2664" s="1" t="str">
        <f>"GZ-790/2021"</f>
        <v>GZ-790/2021</v>
      </c>
      <c r="T2664" s="1" t="s">
        <v>1055</v>
      </c>
    </row>
    <row r="2665" spans="1:20" ht="63.75" x14ac:dyDescent="0.25">
      <c r="A2665" s="6">
        <v>2659</v>
      </c>
      <c r="B2665" s="1" t="str">
        <f>"2022-1833"</f>
        <v>2022-1833</v>
      </c>
      <c r="C2665" s="1" t="s">
        <v>2417</v>
      </c>
      <c r="D2665" s="1" t="s">
        <v>2418</v>
      </c>
      <c r="E2665" s="1" t="str">
        <f>""</f>
        <v/>
      </c>
      <c r="F2665" s="1" t="s">
        <v>1860</v>
      </c>
      <c r="G2665" s="1" t="str">
        <f>CONCATENATE(" ARHITEKTURA BOLANČA D.O.O.,"," HORVAĆANSKA CESTA 172,"," 10000 ZAGREB,"," OIB: 62737904112")</f>
        <v xml:space="preserve"> ARHITEKTURA BOLANČA D.O.O., HORVAĆANSKA CESTA 172, 10000 ZAGREB, OIB: 62737904112</v>
      </c>
      <c r="H2665" s="7"/>
      <c r="I2665" s="8" t="s">
        <v>535</v>
      </c>
      <c r="J2665" s="8" t="s">
        <v>1895</v>
      </c>
      <c r="K2665" s="6" t="str">
        <f>"35.000,00"</f>
        <v>35.000,00</v>
      </c>
      <c r="L2665" s="6" t="str">
        <f>"8.750,00"</f>
        <v>8.750,00</v>
      </c>
      <c r="M2665" s="6" t="str">
        <f>"43.750,00"</f>
        <v>43.750,00</v>
      </c>
      <c r="N2665" s="8" t="s">
        <v>124</v>
      </c>
      <c r="O2665" s="7"/>
      <c r="P2665" s="2" t="s">
        <v>5614</v>
      </c>
      <c r="Q2665" s="7"/>
      <c r="R2665" s="1"/>
      <c r="S2665" s="1" t="str">
        <f>"GZ-818/2022"</f>
        <v>GZ-818/2022</v>
      </c>
      <c r="T2665" s="1" t="s">
        <v>32</v>
      </c>
    </row>
    <row r="2666" spans="1:20" ht="63.75" x14ac:dyDescent="0.25">
      <c r="A2666" s="6">
        <v>2660</v>
      </c>
      <c r="B2666" s="1" t="str">
        <f>"2022-1851"</f>
        <v>2022-1851</v>
      </c>
      <c r="C2666" s="1" t="s">
        <v>2419</v>
      </c>
      <c r="D2666" s="1" t="s">
        <v>2420</v>
      </c>
      <c r="E2666" s="1" t="str">
        <f>""</f>
        <v/>
      </c>
      <c r="F2666" s="1" t="s">
        <v>1860</v>
      </c>
      <c r="G2666" s="1" t="str">
        <f>CONCATENATE(" BAU-GRAD J.D.O.O.,"," DALMATINSKA 15,"," 35214 DONJI ANDRIJEVCI,"," OIB: 0630097025")</f>
        <v xml:space="preserve"> BAU-GRAD J.D.O.O., DALMATINSKA 15, 35214 DONJI ANDRIJEVCI, OIB: 0630097025</v>
      </c>
      <c r="H2666" s="7"/>
      <c r="I2666" s="8" t="s">
        <v>208</v>
      </c>
      <c r="J2666" s="8" t="s">
        <v>2421</v>
      </c>
      <c r="K2666" s="6" t="str">
        <f>"294.906,00"</f>
        <v>294.906,00</v>
      </c>
      <c r="L2666" s="6" t="str">
        <f>"73.726,50"</f>
        <v>73.726,50</v>
      </c>
      <c r="M2666" s="6" t="str">
        <f>"368.632,50"</f>
        <v>368.632,50</v>
      </c>
      <c r="N2666" s="8" t="s">
        <v>124</v>
      </c>
      <c r="O2666" s="7"/>
      <c r="P2666" s="2" t="s">
        <v>5614</v>
      </c>
      <c r="Q2666" s="7"/>
      <c r="R2666" s="1"/>
      <c r="S2666" s="1" t="str">
        <f>"GZ-819/2022"</f>
        <v>GZ-819/2022</v>
      </c>
      <c r="T2666" s="1" t="s">
        <v>32</v>
      </c>
    </row>
    <row r="2667" spans="1:20" ht="63.75" x14ac:dyDescent="0.25">
      <c r="A2667" s="6">
        <v>2661</v>
      </c>
      <c r="B2667" s="1" t="str">
        <f>"2022-1622"</f>
        <v>2022-1622</v>
      </c>
      <c r="C2667" s="1" t="s">
        <v>2422</v>
      </c>
      <c r="D2667" s="1" t="s">
        <v>2068</v>
      </c>
      <c r="E2667" s="1" t="str">
        <f>""</f>
        <v/>
      </c>
      <c r="F2667" s="1" t="s">
        <v>1860</v>
      </c>
      <c r="G2667" s="1" t="str">
        <f>CONCATENATE(" TEMPORIUM GRADNJA D.O.O.,"," LJUTOMERSKA ULICA 33A,"," 10000 ZAGREB,"," OIB: 6285048268")</f>
        <v xml:space="preserve"> TEMPORIUM GRADNJA D.O.O., LJUTOMERSKA ULICA 33A, 10000 ZAGREB, OIB: 6285048268</v>
      </c>
      <c r="H2667" s="7"/>
      <c r="I2667" s="8" t="s">
        <v>215</v>
      </c>
      <c r="J2667" s="8" t="s">
        <v>2423</v>
      </c>
      <c r="K2667" s="6" t="str">
        <f>"259.945,60"</f>
        <v>259.945,60</v>
      </c>
      <c r="L2667" s="6" t="str">
        <f>"64.986,40"</f>
        <v>64.986,40</v>
      </c>
      <c r="M2667" s="6" t="str">
        <f>"324.932,00"</f>
        <v>324.932,00</v>
      </c>
      <c r="N2667" s="8" t="s">
        <v>124</v>
      </c>
      <c r="O2667" s="7"/>
      <c r="P2667" s="2" t="s">
        <v>5614</v>
      </c>
      <c r="Q2667" s="7"/>
      <c r="R2667" s="1"/>
      <c r="S2667" s="1" t="str">
        <f>"GZ-820/2022"</f>
        <v>GZ-820/2022</v>
      </c>
      <c r="T2667" s="1" t="s">
        <v>55</v>
      </c>
    </row>
    <row r="2668" spans="1:20" ht="102" x14ac:dyDescent="0.25">
      <c r="A2668" s="6">
        <v>2662</v>
      </c>
      <c r="B2668" s="1" t="str">
        <f>"2022-1582"</f>
        <v>2022-1582</v>
      </c>
      <c r="C2668" s="1" t="s">
        <v>2424</v>
      </c>
      <c r="D2668" s="1" t="s">
        <v>941</v>
      </c>
      <c r="E2668" s="1" t="str">
        <f>""</f>
        <v/>
      </c>
      <c r="F2668" s="1" t="s">
        <v>1860</v>
      </c>
      <c r="G2668" s="1" t="str">
        <f>CONCATENATE(" TEMEX D.O.O.,"," LABINSKA 6A,"," 10000 ZAGREB,"," OIB: 89610149986 MULTIGRAD D.O.O. LUKAVEČKA 7,"," 10412 DONJA LOMNICA,"," OIB: 33615517007")</f>
        <v xml:space="preserve"> TEMEX D.O.O., LABINSKA 6A, 10000 ZAGREB, OIB: 89610149986 MULTIGRAD D.O.O. LUKAVEČKA 7, 10412 DONJA LOMNICA, OIB: 33615517007</v>
      </c>
      <c r="H2668" s="7"/>
      <c r="I2668" s="8" t="s">
        <v>1314</v>
      </c>
      <c r="J2668" s="8" t="s">
        <v>2425</v>
      </c>
      <c r="K2668" s="6" t="str">
        <f>"211.145,00"</f>
        <v>211.145,00</v>
      </c>
      <c r="L2668" s="6" t="str">
        <f>"52.786,25"</f>
        <v>52.786,25</v>
      </c>
      <c r="M2668" s="6" t="str">
        <f>"263.931,25"</f>
        <v>263.931,25</v>
      </c>
      <c r="N2668" s="8" t="s">
        <v>124</v>
      </c>
      <c r="O2668" s="7"/>
      <c r="P2668" s="2" t="s">
        <v>5614</v>
      </c>
      <c r="Q2668" s="7"/>
      <c r="R2668" s="1"/>
      <c r="S2668" s="1" t="str">
        <f>"GZ-834/2022"</f>
        <v>GZ-834/2022</v>
      </c>
      <c r="T2668" s="1" t="s">
        <v>55</v>
      </c>
    </row>
    <row r="2669" spans="1:20" ht="63.75" x14ac:dyDescent="0.25">
      <c r="A2669" s="6">
        <v>2663</v>
      </c>
      <c r="B2669" s="1" t="str">
        <f>"2022-1652"</f>
        <v>2022-1652</v>
      </c>
      <c r="C2669" s="1" t="s">
        <v>2426</v>
      </c>
      <c r="D2669" s="1" t="s">
        <v>1979</v>
      </c>
      <c r="E2669" s="1" t="str">
        <f>""</f>
        <v/>
      </c>
      <c r="F2669" s="1" t="s">
        <v>1860</v>
      </c>
      <c r="G2669" s="1" t="str">
        <f>CONCATENATE(" INŽENJERING GRADNJA D.O.O.,"," DR. MILE BUDAKA 1,"," 35000 SLAVONSKI BROD,"," OIB: 15718789803")</f>
        <v xml:space="preserve"> INŽENJERING GRADNJA D.O.O., DR. MILE BUDAKA 1, 35000 SLAVONSKI BROD, OIB: 15718789803</v>
      </c>
      <c r="H2669" s="7"/>
      <c r="I2669" s="8" t="s">
        <v>1314</v>
      </c>
      <c r="J2669" s="8" t="s">
        <v>1804</v>
      </c>
      <c r="K2669" s="6" t="str">
        <f>"45.900,00"</f>
        <v>45.900,00</v>
      </c>
      <c r="L2669" s="6" t="str">
        <f>"11.475,00"</f>
        <v>11.475,00</v>
      </c>
      <c r="M2669" s="6" t="str">
        <f>"57.375,00"</f>
        <v>57.375,00</v>
      </c>
      <c r="N2669" s="8" t="s">
        <v>124</v>
      </c>
      <c r="O2669" s="7"/>
      <c r="P2669" s="2" t="s">
        <v>5614</v>
      </c>
      <c r="Q2669" s="7"/>
      <c r="R2669" s="1"/>
      <c r="S2669" s="1" t="str">
        <f>"GZ-837/2022"</f>
        <v>GZ-837/2022</v>
      </c>
      <c r="T2669" s="1" t="s">
        <v>55</v>
      </c>
    </row>
    <row r="2670" spans="1:20" ht="51" x14ac:dyDescent="0.25">
      <c r="A2670" s="6">
        <v>2664</v>
      </c>
      <c r="B2670" s="1" t="str">
        <f>"2022-1583"</f>
        <v>2022-1583</v>
      </c>
      <c r="C2670" s="1" t="s">
        <v>2427</v>
      </c>
      <c r="D2670" s="1" t="s">
        <v>941</v>
      </c>
      <c r="E2670" s="1" t="str">
        <f>""</f>
        <v/>
      </c>
      <c r="F2670" s="1" t="s">
        <v>1860</v>
      </c>
      <c r="G2670" s="1" t="str">
        <f>CONCATENATE(" NERING D.O.O.,"," LIVADARSKI PUT 24,"," 10360 SESVETE,"," OIB: 85965934616")</f>
        <v xml:space="preserve"> NERING D.O.O., LIVADARSKI PUT 24, 10360 SESVETE, OIB: 85965934616</v>
      </c>
      <c r="H2670" s="7"/>
      <c r="I2670" s="8" t="s">
        <v>1314</v>
      </c>
      <c r="J2670" s="8" t="s">
        <v>2425</v>
      </c>
      <c r="K2670" s="6" t="str">
        <f>"146.293,00"</f>
        <v>146.293,00</v>
      </c>
      <c r="L2670" s="6" t="str">
        <f>"36.573,25"</f>
        <v>36.573,25</v>
      </c>
      <c r="M2670" s="6" t="str">
        <f>"182.866,25"</f>
        <v>182.866,25</v>
      </c>
      <c r="N2670" s="8" t="s">
        <v>124</v>
      </c>
      <c r="O2670" s="7"/>
      <c r="P2670" s="2" t="s">
        <v>5614</v>
      </c>
      <c r="Q2670" s="7"/>
      <c r="R2670" s="1"/>
      <c r="S2670" s="1" t="str">
        <f>"GZ-855/2022"</f>
        <v>GZ-855/2022</v>
      </c>
      <c r="T2670" s="1" t="s">
        <v>55</v>
      </c>
    </row>
    <row r="2671" spans="1:20" ht="51" x14ac:dyDescent="0.25">
      <c r="A2671" s="6">
        <v>2665</v>
      </c>
      <c r="B2671" s="1" t="str">
        <f>"2022-1584"</f>
        <v>2022-1584</v>
      </c>
      <c r="C2671" s="1" t="s">
        <v>2428</v>
      </c>
      <c r="D2671" s="1" t="s">
        <v>941</v>
      </c>
      <c r="E2671" s="1" t="str">
        <f>""</f>
        <v/>
      </c>
      <c r="F2671" s="1" t="s">
        <v>1860</v>
      </c>
      <c r="G2671" s="1" t="str">
        <f>CONCATENATE(" NERING D.O.O.,"," LIVADARSKI PUT 24,"," 10360 SESVETE,"," OIB: 85965934616")</f>
        <v xml:space="preserve"> NERING D.O.O., LIVADARSKI PUT 24, 10360 SESVETE, OIB: 85965934616</v>
      </c>
      <c r="H2671" s="7"/>
      <c r="I2671" s="8" t="s">
        <v>1314</v>
      </c>
      <c r="J2671" s="8" t="s">
        <v>2425</v>
      </c>
      <c r="K2671" s="6" t="str">
        <f>"123.581,00"</f>
        <v>123.581,00</v>
      </c>
      <c r="L2671" s="6" t="str">
        <f>"30.895,25"</f>
        <v>30.895,25</v>
      </c>
      <c r="M2671" s="6" t="str">
        <f>"154.476,25"</f>
        <v>154.476,25</v>
      </c>
      <c r="N2671" s="8" t="s">
        <v>124</v>
      </c>
      <c r="O2671" s="7"/>
      <c r="P2671" s="2" t="s">
        <v>5614</v>
      </c>
      <c r="Q2671" s="7"/>
      <c r="R2671" s="1"/>
      <c r="S2671" s="1" t="str">
        <f>"GZ-856/2022"</f>
        <v>GZ-856/2022</v>
      </c>
      <c r="T2671" s="1" t="s">
        <v>55</v>
      </c>
    </row>
    <row r="2672" spans="1:20" ht="76.5" x14ac:dyDescent="0.25">
      <c r="A2672" s="6">
        <v>2666</v>
      </c>
      <c r="B2672" s="1" t="str">
        <f>"2022-1644"</f>
        <v>2022-1644</v>
      </c>
      <c r="C2672" s="1" t="s">
        <v>2429</v>
      </c>
      <c r="D2672" s="1" t="s">
        <v>1979</v>
      </c>
      <c r="E2672" s="1" t="str">
        <f>""</f>
        <v/>
      </c>
      <c r="F2672" s="1" t="s">
        <v>1860</v>
      </c>
      <c r="G2672" s="1" t="str">
        <f>CONCATENATE(" HIDRO-A D.O.O.,"," VRLIČKA 24,"," 10000 ZAGREB,"," OIB: 84077835296")</f>
        <v xml:space="preserve"> HIDRO-A D.O.O., VRLIČKA 24, 10000 ZAGREB, OIB: 84077835296</v>
      </c>
      <c r="H2672" s="7"/>
      <c r="I2672" s="8" t="s">
        <v>910</v>
      </c>
      <c r="J2672" s="8" t="s">
        <v>1587</v>
      </c>
      <c r="K2672" s="6" t="str">
        <f>"62.700,00"</f>
        <v>62.700,00</v>
      </c>
      <c r="L2672" s="6" t="str">
        <f>"15.675,00"</f>
        <v>15.675,00</v>
      </c>
      <c r="M2672" s="6" t="str">
        <f>"78.375,00"</f>
        <v>78.375,00</v>
      </c>
      <c r="N2672" s="8" t="s">
        <v>124</v>
      </c>
      <c r="O2672" s="7"/>
      <c r="P2672" s="2" t="s">
        <v>5614</v>
      </c>
      <c r="Q2672" s="7"/>
      <c r="R2672" s="1"/>
      <c r="S2672" s="1" t="str">
        <f>"GZ-859/2022"</f>
        <v>GZ-859/2022</v>
      </c>
      <c r="T2672" s="1" t="s">
        <v>55</v>
      </c>
    </row>
    <row r="2673" spans="1:20" ht="51" x14ac:dyDescent="0.25">
      <c r="A2673" s="6">
        <v>2667</v>
      </c>
      <c r="B2673" s="1" t="str">
        <f>"2021-1165"</f>
        <v>2021-1165</v>
      </c>
      <c r="C2673" s="1" t="s">
        <v>2430</v>
      </c>
      <c r="D2673" s="1" t="s">
        <v>2404</v>
      </c>
      <c r="E2673" s="1" t="str">
        <f>""</f>
        <v/>
      </c>
      <c r="F2673" s="1" t="s">
        <v>1860</v>
      </c>
      <c r="G2673" s="1" t="str">
        <f>CONCATENATE(" CIJAN D.O.O.,"," PUKLAVČEVA 9,"," 10000 ZAGREB,"," OIB: 17613720695")</f>
        <v xml:space="preserve"> CIJAN D.O.O., PUKLAVČEVA 9, 10000 ZAGREB, OIB: 17613720695</v>
      </c>
      <c r="H2673" s="7"/>
      <c r="I2673" s="8" t="s">
        <v>1929</v>
      </c>
      <c r="J2673" s="8" t="s">
        <v>287</v>
      </c>
      <c r="K2673" s="6" t="str">
        <f>"99.650,00"</f>
        <v>99.650,00</v>
      </c>
      <c r="L2673" s="6" t="str">
        <f>"24.912,50"</f>
        <v>24.912,50</v>
      </c>
      <c r="M2673" s="6" t="str">
        <f>"124.562,50"</f>
        <v>124.562,50</v>
      </c>
      <c r="N2673" s="8" t="s">
        <v>5607</v>
      </c>
      <c r="O2673" s="7"/>
      <c r="P2673" s="2" t="s">
        <v>5614</v>
      </c>
      <c r="Q2673" s="7"/>
      <c r="R2673" s="1"/>
      <c r="S2673" s="1" t="str">
        <f>"GZ-863/2021"</f>
        <v>GZ-863/2021</v>
      </c>
      <c r="T2673" s="1" t="s">
        <v>55</v>
      </c>
    </row>
    <row r="2674" spans="1:20" ht="76.5" x14ac:dyDescent="0.25">
      <c r="A2674" s="6">
        <v>2668</v>
      </c>
      <c r="B2674" s="1" t="str">
        <f>"2022-1557"</f>
        <v>2022-1557</v>
      </c>
      <c r="C2674" s="1" t="s">
        <v>2431</v>
      </c>
      <c r="D2674" s="1" t="s">
        <v>1641</v>
      </c>
      <c r="E2674" s="1" t="str">
        <f>""</f>
        <v/>
      </c>
      <c r="F2674" s="1" t="s">
        <v>1860</v>
      </c>
      <c r="G2674" s="1" t="str">
        <f>CONCATENATE(" PGT ŠKUNCA D.O.O.,"," JURJA ŠIŽGORIĆA 19,"," 10000 ZAGREB,"," OIB: 13759281212")</f>
        <v xml:space="preserve"> PGT ŠKUNCA D.O.O., JURJA ŠIŽGORIĆA 19, 10000 ZAGREB, OIB: 13759281212</v>
      </c>
      <c r="H2674" s="7"/>
      <c r="I2674" s="8" t="s">
        <v>567</v>
      </c>
      <c r="J2674" s="8" t="s">
        <v>2432</v>
      </c>
      <c r="K2674" s="6" t="str">
        <f>"12.100,00"</f>
        <v>12.100,00</v>
      </c>
      <c r="L2674" s="6" t="str">
        <f>"3.025,00"</f>
        <v>3.025,00</v>
      </c>
      <c r="M2674" s="6" t="str">
        <f>"15.125,00"</f>
        <v>15.125,00</v>
      </c>
      <c r="N2674" s="8" t="s">
        <v>124</v>
      </c>
      <c r="O2674" s="7"/>
      <c r="P2674" s="2" t="s">
        <v>5614</v>
      </c>
      <c r="Q2674" s="7"/>
      <c r="R2674" s="1"/>
      <c r="S2674" s="1" t="str">
        <f>"GZ-887/2022"</f>
        <v>GZ-887/2022</v>
      </c>
      <c r="T2674" s="1" t="s">
        <v>55</v>
      </c>
    </row>
    <row r="2675" spans="1:20" ht="63.75" x14ac:dyDescent="0.25">
      <c r="A2675" s="6">
        <v>2669</v>
      </c>
      <c r="B2675" s="1" t="str">
        <f>"2022-1679"</f>
        <v>2022-1679</v>
      </c>
      <c r="C2675" s="1" t="s">
        <v>2433</v>
      </c>
      <c r="D2675" s="1" t="s">
        <v>1641</v>
      </c>
      <c r="E2675" s="1" t="str">
        <f>""</f>
        <v/>
      </c>
      <c r="F2675" s="1" t="s">
        <v>1860</v>
      </c>
      <c r="G2675" s="1" t="str">
        <f>CONCATENATE(" PROMPT PROJEKTIRANJE D.O.O.,"," TOMISLAVOVA 9,"," 10000 ZAGREB,"," OIB: 30094396634")</f>
        <v xml:space="preserve"> PROMPT PROJEKTIRANJE D.O.O., TOMISLAVOVA 9, 10000 ZAGREB, OIB: 30094396634</v>
      </c>
      <c r="H2675" s="7"/>
      <c r="I2675" s="8" t="s">
        <v>365</v>
      </c>
      <c r="J2675" s="8" t="s">
        <v>2434</v>
      </c>
      <c r="K2675" s="6" t="str">
        <f>"18.670,00"</f>
        <v>18.670,00</v>
      </c>
      <c r="L2675" s="6" t="str">
        <f>"4.667,50"</f>
        <v>4.667,50</v>
      </c>
      <c r="M2675" s="6" t="str">
        <f>"23.337,50"</f>
        <v>23.337,50</v>
      </c>
      <c r="N2675" s="8" t="s">
        <v>124</v>
      </c>
      <c r="O2675" s="7"/>
      <c r="P2675" s="2" t="s">
        <v>5614</v>
      </c>
      <c r="Q2675" s="7"/>
      <c r="R2675" s="1"/>
      <c r="S2675" s="1" t="str">
        <f>"GZ-890/2022"</f>
        <v>GZ-890/2022</v>
      </c>
      <c r="T2675" s="1" t="s">
        <v>55</v>
      </c>
    </row>
    <row r="2676" spans="1:20" ht="76.5" x14ac:dyDescent="0.25">
      <c r="A2676" s="6">
        <v>2670</v>
      </c>
      <c r="B2676" s="1" t="str">
        <f>"2021-2277"</f>
        <v>2021-2277</v>
      </c>
      <c r="C2676" s="1" t="s">
        <v>2327</v>
      </c>
      <c r="D2676" s="1" t="s">
        <v>2328</v>
      </c>
      <c r="E2676" s="1" t="str">
        <f>""</f>
        <v/>
      </c>
      <c r="F2676" s="1" t="s">
        <v>1860</v>
      </c>
      <c r="G2676" s="1" t="str">
        <f>CONCATENATE(" NAKIĆ-ALFIREVIĆ D.O.O.,"," NAKIĆA-ALFIREVIĆA 12,"," 22320 KADINA GLAVICA (GRAD DRNIŠ),"," OIB: 4862843077")</f>
        <v xml:space="preserve"> NAKIĆ-ALFIREVIĆ D.O.O., NAKIĆA-ALFIREVIĆA 12, 22320 KADINA GLAVICA (GRAD DRNIŠ), OIB: 4862843077</v>
      </c>
      <c r="H2676" s="7"/>
      <c r="I2676" s="8" t="s">
        <v>578</v>
      </c>
      <c r="J2676" s="8" t="s">
        <v>102</v>
      </c>
      <c r="K2676" s="6" t="str">
        <f>"198.960,00"</f>
        <v>198.960,00</v>
      </c>
      <c r="L2676" s="6" t="str">
        <f>"49.740,00"</f>
        <v>49.740,00</v>
      </c>
      <c r="M2676" s="6" t="str">
        <f>"248.700,00"</f>
        <v>248.700,00</v>
      </c>
      <c r="N2676" s="8" t="s">
        <v>748</v>
      </c>
      <c r="O2676" s="7"/>
      <c r="P2676" s="2" t="s">
        <v>7051</v>
      </c>
      <c r="Q2676" s="7"/>
      <c r="R2676" s="1"/>
      <c r="S2676" s="1" t="str">
        <f>"GZ-903/2021"</f>
        <v>GZ-903/2021</v>
      </c>
      <c r="T2676" s="1" t="s">
        <v>32</v>
      </c>
    </row>
    <row r="2677" spans="1:20" ht="51" x14ac:dyDescent="0.25">
      <c r="A2677" s="6">
        <v>2671</v>
      </c>
      <c r="B2677" s="1" t="str">
        <f>"2021-145"</f>
        <v>2021-145</v>
      </c>
      <c r="C2677" s="1" t="s">
        <v>2435</v>
      </c>
      <c r="D2677" s="1" t="s">
        <v>2436</v>
      </c>
      <c r="E2677" s="1" t="str">
        <f>""</f>
        <v/>
      </c>
      <c r="F2677" s="1" t="s">
        <v>1860</v>
      </c>
      <c r="G2677" s="1" t="str">
        <f>CONCATENATE(" BIOVIT D.O.O.,"," MATKA LAGINJE 13,"," 42000 VARAŽDIN,"," OIB: 7327541289")</f>
        <v xml:space="preserve"> BIOVIT D.O.O., MATKA LAGINJE 13, 42000 VARAŽDIN, OIB: 7327541289</v>
      </c>
      <c r="H2677" s="7"/>
      <c r="I2677" s="8" t="s">
        <v>2134</v>
      </c>
      <c r="J2677" s="8" t="s">
        <v>520</v>
      </c>
      <c r="K2677" s="6" t="str">
        <f>"68.505,31"</f>
        <v>68.505,31</v>
      </c>
      <c r="L2677" s="6" t="str">
        <f>"17.126,33"</f>
        <v>17.126,33</v>
      </c>
      <c r="M2677" s="6" t="str">
        <f>"85.631,64"</f>
        <v>85.631,64</v>
      </c>
      <c r="N2677" s="8" t="s">
        <v>163</v>
      </c>
      <c r="O2677" s="7"/>
      <c r="P2677" s="2" t="s">
        <v>7052</v>
      </c>
      <c r="Q2677" s="7"/>
      <c r="R2677" s="1"/>
      <c r="S2677" s="1" t="str">
        <f>"GZ-913/2021"</f>
        <v>GZ-913/2021</v>
      </c>
      <c r="T2677" s="1" t="s">
        <v>55</v>
      </c>
    </row>
    <row r="2678" spans="1:20" ht="51" x14ac:dyDescent="0.25">
      <c r="A2678" s="6">
        <v>2672</v>
      </c>
      <c r="B2678" s="1" t="str">
        <f>"2022-1654"</f>
        <v>2022-1654</v>
      </c>
      <c r="C2678" s="1" t="s">
        <v>2437</v>
      </c>
      <c r="D2678" s="1" t="s">
        <v>1979</v>
      </c>
      <c r="E2678" s="1" t="str">
        <f>""</f>
        <v/>
      </c>
      <c r="F2678" s="1" t="s">
        <v>1860</v>
      </c>
      <c r="G2678" s="1" t="str">
        <f>CONCATENATE(" HIDRO-A D.O.O.,"," VRLIČKA 24,"," 10000 ZAGREB,"," OIB: 84077835296")</f>
        <v xml:space="preserve"> HIDRO-A D.O.O., VRLIČKA 24, 10000 ZAGREB, OIB: 84077835296</v>
      </c>
      <c r="H2678" s="7"/>
      <c r="I2678" s="8" t="s">
        <v>1157</v>
      </c>
      <c r="J2678" s="8" t="s">
        <v>2198</v>
      </c>
      <c r="K2678" s="6" t="str">
        <f>"32.700,00"</f>
        <v>32.700,00</v>
      </c>
      <c r="L2678" s="6" t="str">
        <f>"8.175,00"</f>
        <v>8.175,00</v>
      </c>
      <c r="M2678" s="6" t="str">
        <f>"40.875,00"</f>
        <v>40.875,00</v>
      </c>
      <c r="N2678" s="8" t="s">
        <v>124</v>
      </c>
      <c r="O2678" s="7"/>
      <c r="P2678" s="2" t="s">
        <v>5614</v>
      </c>
      <c r="Q2678" s="7"/>
      <c r="R2678" s="1"/>
      <c r="S2678" s="1" t="str">
        <f>"GZ-938/2022"</f>
        <v>GZ-938/2022</v>
      </c>
      <c r="T2678" s="1" t="s">
        <v>55</v>
      </c>
    </row>
    <row r="2679" spans="1:20" ht="51" x14ac:dyDescent="0.25">
      <c r="A2679" s="6">
        <v>2673</v>
      </c>
      <c r="B2679" s="1" t="str">
        <f>"2021-2168"</f>
        <v>2021-2168</v>
      </c>
      <c r="C2679" s="1" t="s">
        <v>2438</v>
      </c>
      <c r="D2679" s="1" t="s">
        <v>2439</v>
      </c>
      <c r="E2679" s="1" t="str">
        <f>""</f>
        <v/>
      </c>
      <c r="F2679" s="1" t="s">
        <v>1860</v>
      </c>
      <c r="G2679" s="1" t="str">
        <f>CONCATENATE(" INOVAPRO D.O.O.,"," RETKOVEC III 15/B,"," 10000 ZAGREB,"," OIB: 75232829086")</f>
        <v xml:space="preserve"> INOVAPRO D.O.O., RETKOVEC III 15/B, 10000 ZAGREB, OIB: 75232829086</v>
      </c>
      <c r="H2679" s="7"/>
      <c r="I2679" s="8" t="s">
        <v>934</v>
      </c>
      <c r="J2679" s="8" t="s">
        <v>1122</v>
      </c>
      <c r="K2679" s="6" t="str">
        <f>"124.000,00"</f>
        <v>124.000,00</v>
      </c>
      <c r="L2679" s="6" t="str">
        <f>"31.000,00"</f>
        <v>31.000,00</v>
      </c>
      <c r="M2679" s="6" t="str">
        <f>"155.000,00"</f>
        <v>155.000,00</v>
      </c>
      <c r="N2679" s="8" t="s">
        <v>41</v>
      </c>
      <c r="O2679" s="7"/>
      <c r="P2679" s="2" t="s">
        <v>7053</v>
      </c>
      <c r="Q2679" s="7"/>
      <c r="R2679" s="1"/>
      <c r="S2679" s="1" t="str">
        <f>"GZ-959/2021"</f>
        <v>GZ-959/2021</v>
      </c>
      <c r="T2679" s="1" t="s">
        <v>43</v>
      </c>
    </row>
    <row r="2680" spans="1:20" ht="51" x14ac:dyDescent="0.25">
      <c r="A2680" s="6">
        <v>2674</v>
      </c>
      <c r="B2680" s="1" t="str">
        <f>"2022-1681"</f>
        <v>2022-1681</v>
      </c>
      <c r="C2680" s="1" t="s">
        <v>2440</v>
      </c>
      <c r="D2680" s="1" t="s">
        <v>1641</v>
      </c>
      <c r="E2680" s="1" t="str">
        <f>""</f>
        <v/>
      </c>
      <c r="F2680" s="1" t="s">
        <v>1860</v>
      </c>
      <c r="G2680" s="1" t="str">
        <f>CONCATENATE(" HIDRO UNA D.O.O.,"," JOSIPA ANIĆA 14,"," 10000 ZAGREB,"," OIB: 60109409627")</f>
        <v xml:space="preserve"> HIDRO UNA D.O.O., JOSIPA ANIĆA 14, 10000 ZAGREB, OIB: 60109409627</v>
      </c>
      <c r="H2680" s="7"/>
      <c r="I2680" s="8" t="s">
        <v>414</v>
      </c>
      <c r="J2680" s="8" t="s">
        <v>2441</v>
      </c>
      <c r="K2680" s="6" t="str">
        <f>"12.300,00"</f>
        <v>12.300,00</v>
      </c>
      <c r="L2680" s="6" t="str">
        <f>"3.075,00"</f>
        <v>3.075,00</v>
      </c>
      <c r="M2680" s="6" t="str">
        <f>"15.375,00"</f>
        <v>15.375,00</v>
      </c>
      <c r="N2680" s="8" t="s">
        <v>124</v>
      </c>
      <c r="O2680" s="7"/>
      <c r="P2680" s="2" t="s">
        <v>5614</v>
      </c>
      <c r="Q2680" s="7"/>
      <c r="R2680" s="1"/>
      <c r="S2680" s="1" t="str">
        <f>"GZ-993/2022"</f>
        <v>GZ-993/2022</v>
      </c>
      <c r="T2680" s="1" t="s">
        <v>55</v>
      </c>
    </row>
    <row r="2681" spans="1:20" ht="51" x14ac:dyDescent="0.25">
      <c r="A2681" s="6">
        <v>2675</v>
      </c>
      <c r="B2681" s="1" t="str">
        <f>"2022-1151"</f>
        <v>2022-1151</v>
      </c>
      <c r="C2681" s="1" t="s">
        <v>2438</v>
      </c>
      <c r="D2681" s="1" t="s">
        <v>2439</v>
      </c>
      <c r="E2681" s="1" t="str">
        <f>""</f>
        <v/>
      </c>
      <c r="F2681" s="1" t="s">
        <v>1860</v>
      </c>
      <c r="G2681" s="1" t="str">
        <f>CONCATENATE(" ENERGETSKI INSTITUT HRVOJE POŽAR,"," SAVSKA 163,"," 10000 ZAGREB,"," OIB: 43980170614")</f>
        <v xml:space="preserve"> ENERGETSKI INSTITUT HRVOJE POŽAR, SAVSKA 163, 10000 ZAGREB, OIB: 43980170614</v>
      </c>
      <c r="H2681" s="7"/>
      <c r="I2681" s="8" t="s">
        <v>58</v>
      </c>
      <c r="J2681" s="8" t="s">
        <v>2442</v>
      </c>
      <c r="K2681" s="6" t="str">
        <f>"121.600,00"</f>
        <v>121.600,00</v>
      </c>
      <c r="L2681" s="6" t="str">
        <f>"30.400,00"</f>
        <v>30.400,00</v>
      </c>
      <c r="M2681" s="6" t="str">
        <f>"152.000,00"</f>
        <v>152.000,00</v>
      </c>
      <c r="N2681" s="8" t="s">
        <v>124</v>
      </c>
      <c r="O2681" s="7"/>
      <c r="P2681" s="2" t="s">
        <v>5614</v>
      </c>
      <c r="Q2681" s="7"/>
      <c r="R2681" s="1"/>
      <c r="S2681" s="1" t="str">
        <f>"GZ-994/2022"</f>
        <v>GZ-994/2022</v>
      </c>
      <c r="T2681" s="1" t="s">
        <v>43</v>
      </c>
    </row>
    <row r="2682" spans="1:20" ht="51" x14ac:dyDescent="0.25">
      <c r="A2682" s="6">
        <v>2676</v>
      </c>
      <c r="B2682" s="1" t="str">
        <f>"2022-1686"</f>
        <v>2022-1686</v>
      </c>
      <c r="C2682" s="1" t="s">
        <v>2443</v>
      </c>
      <c r="D2682" s="1" t="s">
        <v>1641</v>
      </c>
      <c r="E2682" s="1" t="str">
        <f>""</f>
        <v/>
      </c>
      <c r="F2682" s="1" t="s">
        <v>1860</v>
      </c>
      <c r="G2682" s="1" t="str">
        <f>CONCATENATE(" HIDRO UNA D.O.O.,"," JOSIPA ANIĆA 14,"," 10000 ZAGREB,"," OIB: 60109409627")</f>
        <v xml:space="preserve"> HIDRO UNA D.O.O., JOSIPA ANIĆA 14, 10000 ZAGREB, OIB: 60109409627</v>
      </c>
      <c r="H2682" s="7"/>
      <c r="I2682" s="8" t="s">
        <v>414</v>
      </c>
      <c r="J2682" s="8" t="s">
        <v>2441</v>
      </c>
      <c r="K2682" s="6" t="str">
        <f>"10.400,00"</f>
        <v>10.400,00</v>
      </c>
      <c r="L2682" s="6" t="str">
        <f>"2.600,00"</f>
        <v>2.600,00</v>
      </c>
      <c r="M2682" s="6" t="str">
        <f>"13.000,00"</f>
        <v>13.000,00</v>
      </c>
      <c r="N2682" s="8" t="s">
        <v>124</v>
      </c>
      <c r="O2682" s="7"/>
      <c r="P2682" s="2" t="s">
        <v>5614</v>
      </c>
      <c r="Q2682" s="7"/>
      <c r="R2682" s="1"/>
      <c r="S2682" s="1" t="str">
        <f>"GZ-995/2022"</f>
        <v>GZ-995/2022</v>
      </c>
      <c r="T2682" s="1" t="s">
        <v>55</v>
      </c>
    </row>
    <row r="2683" spans="1:20" ht="51" x14ac:dyDescent="0.25">
      <c r="A2683" s="6">
        <v>2677</v>
      </c>
      <c r="B2683" s="1" t="str">
        <f>"2022-1690"</f>
        <v>2022-1690</v>
      </c>
      <c r="C2683" s="1" t="s">
        <v>2444</v>
      </c>
      <c r="D2683" s="1" t="s">
        <v>1641</v>
      </c>
      <c r="E2683" s="1" t="str">
        <f>""</f>
        <v/>
      </c>
      <c r="F2683" s="1" t="s">
        <v>1860</v>
      </c>
      <c r="G2683" s="1" t="str">
        <f>CONCATENATE(" TRASAADRIA D.O.O.,"," IVANA STOŽIRA 6,"," 10000 ZAGREB,"," OIB: 85347478604")</f>
        <v xml:space="preserve"> TRASAADRIA D.O.O., IVANA STOŽIRA 6, 10000 ZAGREB, OIB: 85347478604</v>
      </c>
      <c r="H2683" s="7"/>
      <c r="I2683" s="8" t="s">
        <v>301</v>
      </c>
      <c r="J2683" s="8" t="s">
        <v>2229</v>
      </c>
      <c r="K2683" s="6" t="str">
        <f>"9.460,00"</f>
        <v>9.460,00</v>
      </c>
      <c r="L2683" s="6" t="str">
        <f>"2.365,00"</f>
        <v>2.365,00</v>
      </c>
      <c r="M2683" s="6" t="str">
        <f>"11.825,00"</f>
        <v>11.825,00</v>
      </c>
      <c r="N2683" s="8" t="s">
        <v>124</v>
      </c>
      <c r="O2683" s="7"/>
      <c r="P2683" s="2" t="s">
        <v>5614</v>
      </c>
      <c r="Q2683" s="7"/>
      <c r="R2683" s="1"/>
      <c r="S2683" s="1" t="str">
        <f>"GZ-1008/2022"</f>
        <v>GZ-1008/2022</v>
      </c>
      <c r="T2683" s="1" t="s">
        <v>55</v>
      </c>
    </row>
    <row r="2684" spans="1:20" ht="76.5" x14ac:dyDescent="0.25">
      <c r="A2684" s="6">
        <v>2678</v>
      </c>
      <c r="B2684" s="1" t="str">
        <f>"2022-1684"</f>
        <v>2022-1684</v>
      </c>
      <c r="C2684" s="1" t="s">
        <v>2445</v>
      </c>
      <c r="D2684" s="1" t="s">
        <v>1641</v>
      </c>
      <c r="E2684" s="1" t="str">
        <f>""</f>
        <v/>
      </c>
      <c r="F2684" s="1" t="s">
        <v>1860</v>
      </c>
      <c r="G2684" s="1" t="str">
        <f>CONCATENATE(" KRIGRAD D.O.O. ZA PROJEKTIRANJE,"," NADZOR I GRAĐENJE,"," VOĆARSKA CESTA 26,"," 10000 ZAGREB,"," OIB: 45825378029")</f>
        <v xml:space="preserve"> KRIGRAD D.O.O. ZA PROJEKTIRANJE, NADZOR I GRAĐENJE, VOĆARSKA CESTA 26, 10000 ZAGREB, OIB: 45825378029</v>
      </c>
      <c r="H2684" s="7"/>
      <c r="I2684" s="8" t="s">
        <v>81</v>
      </c>
      <c r="J2684" s="8" t="s">
        <v>2446</v>
      </c>
      <c r="K2684" s="6" t="str">
        <f>"9.700,00"</f>
        <v>9.700,00</v>
      </c>
      <c r="L2684" s="6" t="str">
        <f>"2.425,00"</f>
        <v>2.425,00</v>
      </c>
      <c r="M2684" s="6" t="str">
        <f>"12.125,00"</f>
        <v>12.125,00</v>
      </c>
      <c r="N2684" s="8" t="s">
        <v>124</v>
      </c>
      <c r="O2684" s="7"/>
      <c r="P2684" s="2" t="s">
        <v>5614</v>
      </c>
      <c r="Q2684" s="7"/>
      <c r="R2684" s="1"/>
      <c r="S2684" s="1" t="str">
        <f>"GZ-1018/2022"</f>
        <v>GZ-1018/2022</v>
      </c>
      <c r="T2684" s="1" t="s">
        <v>55</v>
      </c>
    </row>
    <row r="2685" spans="1:20" ht="76.5" x14ac:dyDescent="0.25">
      <c r="A2685" s="6">
        <v>2679</v>
      </c>
      <c r="B2685" s="1" t="str">
        <f>"2022-1684"</f>
        <v>2022-1684</v>
      </c>
      <c r="C2685" s="1" t="s">
        <v>2445</v>
      </c>
      <c r="D2685" s="1" t="s">
        <v>1641</v>
      </c>
      <c r="E2685" s="1" t="str">
        <f>""</f>
        <v/>
      </c>
      <c r="F2685" s="1" t="s">
        <v>1860</v>
      </c>
      <c r="G2685" s="1" t="str">
        <f>CONCATENATE(" KRIGRAD D.O.O. ZA PROJEKTIRANJE,"," NADZOR I GRAĐENJE,"," VOĆARSKA CESTA 26,"," 10000 ZAGREB,"," OIB: 45825378029")</f>
        <v xml:space="preserve"> KRIGRAD D.O.O. ZA PROJEKTIRANJE, NADZOR I GRAĐENJE, VOĆARSKA CESTA 26, 10000 ZAGREB, OIB: 45825378029</v>
      </c>
      <c r="H2685" s="7"/>
      <c r="I2685" s="8" t="s">
        <v>399</v>
      </c>
      <c r="J2685" s="8" t="s">
        <v>2446</v>
      </c>
      <c r="K2685" s="6" t="str">
        <f>"9.700,00"</f>
        <v>9.700,00</v>
      </c>
      <c r="L2685" s="6" t="str">
        <f>"2.425,00"</f>
        <v>2.425,00</v>
      </c>
      <c r="M2685" s="6" t="str">
        <f>"12.125,00"</f>
        <v>12.125,00</v>
      </c>
      <c r="N2685" s="8" t="s">
        <v>124</v>
      </c>
      <c r="O2685" s="7"/>
      <c r="P2685" s="2" t="s">
        <v>5614</v>
      </c>
      <c r="Q2685" s="7"/>
      <c r="R2685" s="1"/>
      <c r="S2685" s="1" t="str">
        <f>"GZ-1018/2022-1"</f>
        <v>GZ-1018/2022-1</v>
      </c>
      <c r="T2685" s="1" t="s">
        <v>55</v>
      </c>
    </row>
    <row r="2686" spans="1:20" ht="63.75" x14ac:dyDescent="0.25">
      <c r="A2686" s="6">
        <v>2680</v>
      </c>
      <c r="B2686" s="1" t="str">
        <f>"2022-1711"</f>
        <v>2022-1711</v>
      </c>
      <c r="C2686" s="1" t="s">
        <v>2447</v>
      </c>
      <c r="D2686" s="1" t="s">
        <v>1641</v>
      </c>
      <c r="E2686" s="1" t="str">
        <f>""</f>
        <v/>
      </c>
      <c r="F2686" s="1" t="s">
        <v>1860</v>
      </c>
      <c r="G2686" s="1" t="str">
        <f>CONCATENATE(" HIDRO UNA D.O.O.,"," JOSIPA ANIĆA 14,"," 10000 ZAGREB,"," OIB: 60109409627")</f>
        <v xml:space="preserve"> HIDRO UNA D.O.O., JOSIPA ANIĆA 14, 10000 ZAGREB, OIB: 60109409627</v>
      </c>
      <c r="H2686" s="7"/>
      <c r="I2686" s="8" t="s">
        <v>81</v>
      </c>
      <c r="J2686" s="8" t="s">
        <v>2446</v>
      </c>
      <c r="K2686" s="6" t="str">
        <f>"10.300,00"</f>
        <v>10.300,00</v>
      </c>
      <c r="L2686" s="6" t="str">
        <f>"2.575,00"</f>
        <v>2.575,00</v>
      </c>
      <c r="M2686" s="6" t="str">
        <f>"12.875,00"</f>
        <v>12.875,00</v>
      </c>
      <c r="N2686" s="8" t="s">
        <v>124</v>
      </c>
      <c r="O2686" s="7"/>
      <c r="P2686" s="2" t="s">
        <v>5614</v>
      </c>
      <c r="Q2686" s="7"/>
      <c r="R2686" s="1"/>
      <c r="S2686" s="1" t="str">
        <f>"GZ-1019/2022"</f>
        <v>GZ-1019/2022</v>
      </c>
      <c r="T2686" s="1" t="s">
        <v>55</v>
      </c>
    </row>
    <row r="2687" spans="1:20" ht="51" x14ac:dyDescent="0.25">
      <c r="A2687" s="6">
        <v>2681</v>
      </c>
      <c r="B2687" s="1" t="str">
        <f>"2022-1689"</f>
        <v>2022-1689</v>
      </c>
      <c r="C2687" s="1" t="s">
        <v>2448</v>
      </c>
      <c r="D2687" s="1" t="s">
        <v>1641</v>
      </c>
      <c r="E2687" s="1" t="str">
        <f>""</f>
        <v/>
      </c>
      <c r="F2687" s="1" t="s">
        <v>1860</v>
      </c>
      <c r="G2687" s="1" t="str">
        <f>CONCATENATE(" BOLD D.O.O.,"," KSAVER 26,"," 10000 ZAGREB,"," OIB: 409650666")</f>
        <v xml:space="preserve"> BOLD D.O.O., KSAVER 26, 10000 ZAGREB, OIB: 409650666</v>
      </c>
      <c r="H2687" s="7"/>
      <c r="I2687" s="8" t="s">
        <v>31</v>
      </c>
      <c r="J2687" s="8" t="s">
        <v>2203</v>
      </c>
      <c r="K2687" s="6" t="str">
        <f>"9.700,00"</f>
        <v>9.700,00</v>
      </c>
      <c r="L2687" s="6" t="str">
        <f>"2.425,00"</f>
        <v>2.425,00</v>
      </c>
      <c r="M2687" s="6" t="str">
        <f>"12.125,00"</f>
        <v>12.125,00</v>
      </c>
      <c r="N2687" s="8" t="s">
        <v>124</v>
      </c>
      <c r="O2687" s="7"/>
      <c r="P2687" s="2" t="s">
        <v>5614</v>
      </c>
      <c r="Q2687" s="7"/>
      <c r="R2687" s="1"/>
      <c r="S2687" s="1" t="str">
        <f>"GZ-1025/2022"</f>
        <v>GZ-1025/2022</v>
      </c>
      <c r="T2687" s="1" t="s">
        <v>55</v>
      </c>
    </row>
    <row r="2688" spans="1:20" ht="51" x14ac:dyDescent="0.25">
      <c r="A2688" s="6">
        <v>2682</v>
      </c>
      <c r="B2688" s="1" t="str">
        <f>"2022-1673"</f>
        <v>2022-1673</v>
      </c>
      <c r="C2688" s="1" t="s">
        <v>2449</v>
      </c>
      <c r="D2688" s="1" t="s">
        <v>1641</v>
      </c>
      <c r="E2688" s="1" t="str">
        <f>""</f>
        <v/>
      </c>
      <c r="F2688" s="1" t="s">
        <v>1860</v>
      </c>
      <c r="G2688" s="1" t="str">
        <f>CONCATENATE(" BOLD D.O.O.,"," KSAVER 26,"," 10000 ZAGREB,"," OIB: 409650666")</f>
        <v xml:space="preserve"> BOLD D.O.O., KSAVER 26, 10000 ZAGREB, OIB: 409650666</v>
      </c>
      <c r="H2688" s="7"/>
      <c r="I2688" s="8" t="s">
        <v>31</v>
      </c>
      <c r="J2688" s="8" t="s">
        <v>2203</v>
      </c>
      <c r="K2688" s="6" t="str">
        <f>"16.500,00"</f>
        <v>16.500,00</v>
      </c>
      <c r="L2688" s="6" t="str">
        <f>"4.125,00"</f>
        <v>4.125,00</v>
      </c>
      <c r="M2688" s="6" t="str">
        <f>"20.625,00"</f>
        <v>20.625,00</v>
      </c>
      <c r="N2688" s="8" t="s">
        <v>124</v>
      </c>
      <c r="O2688" s="7"/>
      <c r="P2688" s="2" t="s">
        <v>5614</v>
      </c>
      <c r="Q2688" s="7"/>
      <c r="R2688" s="1"/>
      <c r="S2688" s="1" t="str">
        <f>"GZ-1032/2022"</f>
        <v>GZ-1032/2022</v>
      </c>
      <c r="T2688" s="1" t="s">
        <v>55</v>
      </c>
    </row>
    <row r="2689" spans="1:20" ht="102" x14ac:dyDescent="0.25">
      <c r="A2689" s="6">
        <v>2683</v>
      </c>
      <c r="B2689" s="1" t="str">
        <f>"2022-1982"</f>
        <v>2022-1982</v>
      </c>
      <c r="C2689" s="1" t="s">
        <v>2450</v>
      </c>
      <c r="D2689" s="1" t="s">
        <v>1641</v>
      </c>
      <c r="E2689" s="1" t="str">
        <f>""</f>
        <v/>
      </c>
      <c r="F2689" s="1" t="s">
        <v>1860</v>
      </c>
      <c r="G2689" s="1" t="str">
        <f>CONCATENATE(" PGT ŠKUNCA D.O.O.,"," JURJA ŠIŽGORIĆA 19,"," 10000 ZAGREB,"," OIB: 13759281212")</f>
        <v xml:space="preserve"> PGT ŠKUNCA D.O.O., JURJA ŠIŽGORIĆA 19, 10000 ZAGREB, OIB: 13759281212</v>
      </c>
      <c r="H2689" s="7"/>
      <c r="I2689" s="8" t="s">
        <v>1009</v>
      </c>
      <c r="J2689" s="8" t="s">
        <v>2451</v>
      </c>
      <c r="K2689" s="6" t="str">
        <f>"69.630,00"</f>
        <v>69.630,00</v>
      </c>
      <c r="L2689" s="6" t="str">
        <f>"17.407,50"</f>
        <v>17.407,50</v>
      </c>
      <c r="M2689" s="6" t="str">
        <f>"87.037,50"</f>
        <v>87.037,50</v>
      </c>
      <c r="N2689" s="8" t="s">
        <v>124</v>
      </c>
      <c r="O2689" s="7"/>
      <c r="P2689" s="2" t="s">
        <v>5614</v>
      </c>
      <c r="Q2689" s="7"/>
      <c r="R2689" s="1"/>
      <c r="S2689" s="1" t="str">
        <f>"GZ-1100/2022"</f>
        <v>GZ-1100/2022</v>
      </c>
      <c r="T2689" s="1" t="s">
        <v>55</v>
      </c>
    </row>
    <row r="2690" spans="1:20" ht="51" x14ac:dyDescent="0.25">
      <c r="A2690" s="6">
        <v>2684</v>
      </c>
      <c r="B2690" s="1" t="str">
        <f>"2022-1770"</f>
        <v>2022-1770</v>
      </c>
      <c r="C2690" s="1" t="s">
        <v>2452</v>
      </c>
      <c r="D2690" s="1" t="s">
        <v>1979</v>
      </c>
      <c r="E2690" s="1" t="str">
        <f>""</f>
        <v/>
      </c>
      <c r="F2690" s="1" t="s">
        <v>1860</v>
      </c>
      <c r="G2690" s="1" t="str">
        <f>CONCATENATE(" HIDROKON D.O.O.,"," TRGOVAČKA 8,"," 10000 ZAGREB,"," OIB: 31977725905")</f>
        <v xml:space="preserve"> HIDROKON D.O.O., TRGOVAČKA 8, 10000 ZAGREB, OIB: 31977725905</v>
      </c>
      <c r="H2690" s="7"/>
      <c r="I2690" s="8" t="s">
        <v>892</v>
      </c>
      <c r="J2690" s="8" t="s">
        <v>2174</v>
      </c>
      <c r="K2690" s="6" t="str">
        <f>"28.700,00"</f>
        <v>28.700,00</v>
      </c>
      <c r="L2690" s="6" t="str">
        <f>"7.175,00"</f>
        <v>7.175,00</v>
      </c>
      <c r="M2690" s="6" t="str">
        <f>"35.875,00"</f>
        <v>35.875,00</v>
      </c>
      <c r="N2690" s="8" t="s">
        <v>124</v>
      </c>
      <c r="O2690" s="7"/>
      <c r="P2690" s="2" t="s">
        <v>5614</v>
      </c>
      <c r="Q2690" s="7"/>
      <c r="R2690" s="1"/>
      <c r="S2690" s="1" t="str">
        <f>"GZ-1103/2022"</f>
        <v>GZ-1103/2022</v>
      </c>
      <c r="T2690" s="1" t="s">
        <v>55</v>
      </c>
    </row>
    <row r="2691" spans="1:20" ht="63.75" x14ac:dyDescent="0.25">
      <c r="A2691" s="6">
        <v>2685</v>
      </c>
      <c r="B2691" s="1" t="str">
        <f>"2022-1576"</f>
        <v>2022-1576</v>
      </c>
      <c r="C2691" s="1" t="s">
        <v>2453</v>
      </c>
      <c r="D2691" s="1" t="s">
        <v>941</v>
      </c>
      <c r="E2691" s="1" t="str">
        <f>""</f>
        <v/>
      </c>
      <c r="F2691" s="1" t="s">
        <v>1860</v>
      </c>
      <c r="G2691" s="1" t="str">
        <f>CONCATENATE(" BOLČEVIĆ-GRADNJA D.O.O.,"," DUGOSELSKA CESTA 56,"," 10361 SESVETSKI KRALJEVEC,"," OIB: 520986705")</f>
        <v xml:space="preserve"> BOLČEVIĆ-GRADNJA D.O.O., DUGOSELSKA CESTA 56, 10361 SESVETSKI KRALJEVEC, OIB: 520986705</v>
      </c>
      <c r="H2691" s="7"/>
      <c r="I2691" s="8" t="s">
        <v>1147</v>
      </c>
      <c r="J2691" s="8" t="s">
        <v>2454</v>
      </c>
      <c r="K2691" s="6" t="str">
        <f>"336.540,00"</f>
        <v>336.540,00</v>
      </c>
      <c r="L2691" s="6" t="str">
        <f>"84.135,00"</f>
        <v>84.135,00</v>
      </c>
      <c r="M2691" s="6" t="str">
        <f>"420.675,00"</f>
        <v>420.675,00</v>
      </c>
      <c r="N2691" s="8" t="s">
        <v>124</v>
      </c>
      <c r="O2691" s="7"/>
      <c r="P2691" s="2" t="s">
        <v>5614</v>
      </c>
      <c r="Q2691" s="7"/>
      <c r="R2691" s="1"/>
      <c r="S2691" s="1" t="str">
        <f>"GZ-1108/2022"</f>
        <v>GZ-1108/2022</v>
      </c>
      <c r="T2691" s="1" t="s">
        <v>55</v>
      </c>
    </row>
    <row r="2692" spans="1:20" ht="76.5" x14ac:dyDescent="0.25">
      <c r="A2692" s="6">
        <v>2686</v>
      </c>
      <c r="B2692" s="1" t="str">
        <f>"2021-2132"</f>
        <v>2021-2132</v>
      </c>
      <c r="C2692" s="1" t="s">
        <v>2455</v>
      </c>
      <c r="D2692" s="1" t="s">
        <v>174</v>
      </c>
      <c r="E2692" s="1" t="str">
        <f>""</f>
        <v/>
      </c>
      <c r="F2692" s="1" t="s">
        <v>1860</v>
      </c>
      <c r="G2692" s="1" t="str">
        <f>CONCATENATE(" FIMAK NEKRETNINE D.O.O.,"," STRMEČKA CESTA 35,"," 10020 ZAGREB,"," OIB: 7145828752")</f>
        <v xml:space="preserve"> FIMAK NEKRETNINE D.O.O., STRMEČKA CESTA 35, 10020 ZAGREB, OIB: 7145828752</v>
      </c>
      <c r="H2692" s="7"/>
      <c r="I2692" s="8" t="s">
        <v>134</v>
      </c>
      <c r="J2692" s="8" t="s">
        <v>383</v>
      </c>
      <c r="K2692" s="6" t="str">
        <f>"284.700,00"</f>
        <v>284.700,00</v>
      </c>
      <c r="L2692" s="6" t="str">
        <f>"71.175,00"</f>
        <v>71.175,00</v>
      </c>
      <c r="M2692" s="6" t="str">
        <f>"355.875,00"</f>
        <v>355.875,00</v>
      </c>
      <c r="N2692" s="8" t="s">
        <v>124</v>
      </c>
      <c r="O2692" s="7"/>
      <c r="P2692" s="2" t="s">
        <v>5614</v>
      </c>
      <c r="Q2692" s="7"/>
      <c r="R2692" s="1"/>
      <c r="S2692" s="1" t="str">
        <f>"GZ-1131/2021"</f>
        <v>GZ-1131/2021</v>
      </c>
      <c r="T2692" s="1" t="s">
        <v>55</v>
      </c>
    </row>
    <row r="2693" spans="1:20" ht="51" x14ac:dyDescent="0.25">
      <c r="A2693" s="6">
        <v>2687</v>
      </c>
      <c r="B2693" s="1" t="str">
        <f>"2021-2133"</f>
        <v>2021-2133</v>
      </c>
      <c r="C2693" s="1" t="s">
        <v>2371</v>
      </c>
      <c r="D2693" s="1" t="s">
        <v>2372</v>
      </c>
      <c r="E2693" s="1" t="str">
        <f>""</f>
        <v/>
      </c>
      <c r="F2693" s="1" t="s">
        <v>1860</v>
      </c>
      <c r="G2693" s="1" t="str">
        <f>CONCATENATE(" VELEBIT-PROMET D.O.O.,"," INDUSTRIJSKA 5,"," 10370 DUGO SELO,"," OIB: 67912509737")</f>
        <v xml:space="preserve"> VELEBIT-PROMET D.O.O., INDUSTRIJSKA 5, 10370 DUGO SELO, OIB: 67912509737</v>
      </c>
      <c r="H2693" s="7"/>
      <c r="I2693" s="8" t="s">
        <v>134</v>
      </c>
      <c r="J2693" s="8" t="s">
        <v>383</v>
      </c>
      <c r="K2693" s="6" t="str">
        <f>"147.500,00"</f>
        <v>147.500,00</v>
      </c>
      <c r="L2693" s="6" t="str">
        <f>"36.875,00"</f>
        <v>36.875,00</v>
      </c>
      <c r="M2693" s="6" t="str">
        <f>"184.375,00"</f>
        <v>184.375,00</v>
      </c>
      <c r="N2693" s="8" t="s">
        <v>124</v>
      </c>
      <c r="O2693" s="7"/>
      <c r="P2693" s="2" t="s">
        <v>5614</v>
      </c>
      <c r="Q2693" s="7"/>
      <c r="R2693" s="1"/>
      <c r="S2693" s="1" t="str">
        <f>"GZ-1132/2021"</f>
        <v>GZ-1132/2021</v>
      </c>
      <c r="T2693" s="1" t="s">
        <v>55</v>
      </c>
    </row>
    <row r="2694" spans="1:20" ht="63.75" x14ac:dyDescent="0.25">
      <c r="A2694" s="6">
        <v>2688</v>
      </c>
      <c r="B2694" s="1" t="str">
        <f>"2022-1911"</f>
        <v>2022-1911</v>
      </c>
      <c r="C2694" s="1" t="s">
        <v>2456</v>
      </c>
      <c r="D2694" s="1" t="s">
        <v>1979</v>
      </c>
      <c r="E2694" s="1" t="str">
        <f>""</f>
        <v/>
      </c>
      <c r="F2694" s="1" t="s">
        <v>1860</v>
      </c>
      <c r="G2694" s="1" t="str">
        <f>CONCATENATE(" HIDRO-A D.O.O.,"," VRLIČKA 24,"," 10000 ZAGREB,"," OIB: 84077835296")</f>
        <v xml:space="preserve"> HIDRO-A D.O.O., VRLIČKA 24, 10000 ZAGREB, OIB: 84077835296</v>
      </c>
      <c r="H2694" s="7"/>
      <c r="I2694" s="8" t="s">
        <v>112</v>
      </c>
      <c r="J2694" s="8" t="s">
        <v>1488</v>
      </c>
      <c r="K2694" s="6" t="str">
        <f>"23.700,00"</f>
        <v>23.700,00</v>
      </c>
      <c r="L2694" s="6" t="str">
        <f>"5.925,00"</f>
        <v>5.925,00</v>
      </c>
      <c r="M2694" s="6" t="str">
        <f>"29.625,00"</f>
        <v>29.625,00</v>
      </c>
      <c r="N2694" s="8" t="s">
        <v>124</v>
      </c>
      <c r="O2694" s="7"/>
      <c r="P2694" s="2" t="s">
        <v>5614</v>
      </c>
      <c r="Q2694" s="7"/>
      <c r="R2694" s="1"/>
      <c r="S2694" s="1" t="str">
        <f>"GZ-1196/2022"</f>
        <v>GZ-1196/2022</v>
      </c>
      <c r="T2694" s="1" t="s">
        <v>55</v>
      </c>
    </row>
    <row r="2695" spans="1:20" ht="76.5" x14ac:dyDescent="0.25">
      <c r="A2695" s="6">
        <v>2689</v>
      </c>
      <c r="B2695" s="1" t="str">
        <f>"2022-1540"</f>
        <v>2022-1540</v>
      </c>
      <c r="C2695" s="1" t="s">
        <v>2457</v>
      </c>
      <c r="D2695" s="1" t="s">
        <v>1979</v>
      </c>
      <c r="E2695" s="1" t="str">
        <f>""</f>
        <v/>
      </c>
      <c r="F2695" s="1" t="s">
        <v>1860</v>
      </c>
      <c r="G2695" s="1" t="str">
        <f>CONCATENATE(" HIDRO-A D.O.O.,"," VRLIČKA 24,"," 10000 ZAGREB,"," OIB: 84077835296")</f>
        <v xml:space="preserve"> HIDRO-A D.O.O., VRLIČKA 24, 10000 ZAGREB, OIB: 84077835296</v>
      </c>
      <c r="H2695" s="7"/>
      <c r="I2695" s="8" t="s">
        <v>112</v>
      </c>
      <c r="J2695" s="8" t="s">
        <v>1488</v>
      </c>
      <c r="K2695" s="6" t="str">
        <f>"72.700,00"</f>
        <v>72.700,00</v>
      </c>
      <c r="L2695" s="6" t="str">
        <f>"18.175,00"</f>
        <v>18.175,00</v>
      </c>
      <c r="M2695" s="6" t="str">
        <f>"90.875,00"</f>
        <v>90.875,00</v>
      </c>
      <c r="N2695" s="8" t="s">
        <v>124</v>
      </c>
      <c r="O2695" s="7"/>
      <c r="P2695" s="2" t="s">
        <v>5614</v>
      </c>
      <c r="Q2695" s="7"/>
      <c r="R2695" s="1"/>
      <c r="S2695" s="1" t="str">
        <f>"GZ-1210/2022"</f>
        <v>GZ-1210/2022</v>
      </c>
      <c r="T2695" s="1" t="s">
        <v>55</v>
      </c>
    </row>
    <row r="2696" spans="1:20" ht="51" x14ac:dyDescent="0.25">
      <c r="A2696" s="6">
        <v>2690</v>
      </c>
      <c r="B2696" s="1" t="str">
        <f>"2020-324"</f>
        <v>2020-324</v>
      </c>
      <c r="C2696" s="1" t="s">
        <v>2458</v>
      </c>
      <c r="D2696" s="1" t="s">
        <v>267</v>
      </c>
      <c r="E2696" s="1" t="str">
        <f>""</f>
        <v/>
      </c>
      <c r="F2696" s="1" t="s">
        <v>1860</v>
      </c>
      <c r="G2696" s="1" t="str">
        <f>CONCATENATE(" SIGET DIZALA D.O.O.,"," PREČKO 61,"," 10000 ZAGREB,"," OIB: 19841995263")</f>
        <v xml:space="preserve"> SIGET DIZALA D.O.O., PREČKO 61, 10000 ZAGREB, OIB: 19841995263</v>
      </c>
      <c r="H2696" s="7"/>
      <c r="I2696" s="8" t="s">
        <v>2016</v>
      </c>
      <c r="J2696" s="8" t="s">
        <v>80</v>
      </c>
      <c r="K2696" s="6" t="str">
        <f>"78.000,00"</f>
        <v>78.000,00</v>
      </c>
      <c r="L2696" s="6" t="str">
        <f>"19.500,00"</f>
        <v>19.500,00</v>
      </c>
      <c r="M2696" s="6" t="str">
        <f>"97.500,00"</f>
        <v>97.500,00</v>
      </c>
      <c r="N2696" s="8" t="s">
        <v>137</v>
      </c>
      <c r="O2696" s="7"/>
      <c r="P2696" s="2" t="s">
        <v>7054</v>
      </c>
      <c r="Q2696" s="7"/>
      <c r="R2696" s="1"/>
      <c r="S2696" s="1" t="str">
        <f>"GZ-UN-2021-96"</f>
        <v>GZ-UN-2021-96</v>
      </c>
      <c r="T2696" s="1" t="s">
        <v>86</v>
      </c>
    </row>
    <row r="2697" spans="1:20" ht="51" x14ac:dyDescent="0.25">
      <c r="A2697" s="6">
        <v>2691</v>
      </c>
      <c r="B2697" s="1" t="str">
        <f>"2020-2566"</f>
        <v>2020-2566</v>
      </c>
      <c r="C2697" s="1" t="s">
        <v>2459</v>
      </c>
      <c r="D2697" s="1" t="s">
        <v>745</v>
      </c>
      <c r="E2697" s="1" t="str">
        <f>""</f>
        <v/>
      </c>
      <c r="F2697" s="1" t="s">
        <v>1860</v>
      </c>
      <c r="G2697" s="1" t="str">
        <f>CONCATENATE(" MEDIC D.O.O.,"," TRG DRAŽENA PETROVIĆA 3,"," 10000 ZAGREB,"," OIB: 36228944903")</f>
        <v xml:space="preserve"> MEDIC D.O.O., TRG DRAŽENA PETROVIĆA 3, 10000 ZAGREB, OIB: 36228944903</v>
      </c>
      <c r="H2697" s="7"/>
      <c r="I2697" s="8" t="s">
        <v>2277</v>
      </c>
      <c r="J2697" s="8" t="s">
        <v>708</v>
      </c>
      <c r="K2697" s="6" t="str">
        <f>"48.430,00"</f>
        <v>48.430,00</v>
      </c>
      <c r="L2697" s="6" t="str">
        <f>"12.107,50"</f>
        <v>12.107,50</v>
      </c>
      <c r="M2697" s="6" t="str">
        <f>"60.537,50"</f>
        <v>60.537,50</v>
      </c>
      <c r="N2697" s="8" t="s">
        <v>124</v>
      </c>
      <c r="O2697" s="7"/>
      <c r="P2697" s="2" t="s">
        <v>5614</v>
      </c>
      <c r="Q2697" s="7"/>
      <c r="R2697" s="1"/>
      <c r="S2697" s="1" t="str">
        <f>"GZ-UN-2021-474"</f>
        <v>GZ-UN-2021-474</v>
      </c>
      <c r="T2697" s="1" t="s">
        <v>55</v>
      </c>
    </row>
    <row r="2698" spans="1:20" ht="51" x14ac:dyDescent="0.25">
      <c r="A2698" s="6">
        <v>2692</v>
      </c>
      <c r="B2698" s="1" t="str">
        <f>"2020-1232"</f>
        <v>2020-1232</v>
      </c>
      <c r="C2698" s="1" t="s">
        <v>2460</v>
      </c>
      <c r="D2698" s="1" t="s">
        <v>2461</v>
      </c>
      <c r="E2698" s="1" t="str">
        <f>""</f>
        <v/>
      </c>
      <c r="F2698" s="1" t="s">
        <v>1860</v>
      </c>
      <c r="G2698" s="1" t="str">
        <f>CONCATENATE(" INSTALACIJE KOTARSKI J.D.O.O.,"," MIRNOVEČKA 10,"," 10430 KLADJE,"," OIB: 26978969269")</f>
        <v xml:space="preserve"> INSTALACIJE KOTARSKI J.D.O.O., MIRNOVEČKA 10, 10430 KLADJE, OIB: 26978969269</v>
      </c>
      <c r="H2698" s="7"/>
      <c r="I2698" s="8" t="s">
        <v>2462</v>
      </c>
      <c r="J2698" s="8" t="s">
        <v>1549</v>
      </c>
      <c r="K2698" s="6" t="str">
        <f>"168.836,00"</f>
        <v>168.836,00</v>
      </c>
      <c r="L2698" s="6" t="str">
        <f>"42.209,00"</f>
        <v>42.209,00</v>
      </c>
      <c r="M2698" s="6" t="str">
        <f>"211.045,00"</f>
        <v>211.045,00</v>
      </c>
      <c r="N2698" s="8" t="s">
        <v>124</v>
      </c>
      <c r="O2698" s="7"/>
      <c r="P2698" s="2" t="s">
        <v>5614</v>
      </c>
      <c r="Q2698" s="7"/>
      <c r="R2698" s="1"/>
      <c r="S2698" s="1" t="str">
        <f>"GZ-UN-2021-1091"</f>
        <v>GZ-UN-2021-1091</v>
      </c>
      <c r="T2698" s="1" t="s">
        <v>55</v>
      </c>
    </row>
    <row r="2699" spans="1:20" ht="51" x14ac:dyDescent="0.25">
      <c r="A2699" s="6">
        <v>2693</v>
      </c>
      <c r="B2699" s="1" t="str">
        <f>"2020-2486"</f>
        <v>2020-2486</v>
      </c>
      <c r="C2699" s="1" t="s">
        <v>2463</v>
      </c>
      <c r="D2699" s="1" t="s">
        <v>745</v>
      </c>
      <c r="E2699" s="1" t="str">
        <f>""</f>
        <v/>
      </c>
      <c r="F2699" s="1" t="s">
        <v>1860</v>
      </c>
      <c r="G2699" s="1" t="str">
        <f>CONCATENATE(" KEMIKA D.D.,"," HEINZELOVA 53,"," 10000 ZAGREB,"," OIB: 38181641213")</f>
        <v xml:space="preserve"> KEMIKA D.D., HEINZELOVA 53, 10000 ZAGREB, OIB: 38181641213</v>
      </c>
      <c r="H2699" s="7"/>
      <c r="I2699" s="8" t="s">
        <v>2275</v>
      </c>
      <c r="J2699" s="8" t="s">
        <v>561</v>
      </c>
      <c r="K2699" s="6" t="str">
        <f>"51.046,00"</f>
        <v>51.046,00</v>
      </c>
      <c r="L2699" s="6" t="str">
        <f>"12.761,50"</f>
        <v>12.761,50</v>
      </c>
      <c r="M2699" s="6" t="str">
        <f>"63.807,50"</f>
        <v>63.807,50</v>
      </c>
      <c r="N2699" s="8" t="s">
        <v>124</v>
      </c>
      <c r="O2699" s="7"/>
      <c r="P2699" s="2" t="s">
        <v>5614</v>
      </c>
      <c r="Q2699" s="7"/>
      <c r="R2699" s="1"/>
      <c r="S2699" s="1" t="str">
        <f>"GZ-UN-2021-1313"</f>
        <v>GZ-UN-2021-1313</v>
      </c>
      <c r="T2699" s="1" t="s">
        <v>55</v>
      </c>
    </row>
    <row r="2700" spans="1:20" ht="38.25" x14ac:dyDescent="0.25">
      <c r="A2700" s="6">
        <v>2694</v>
      </c>
      <c r="B2700" s="1" t="str">
        <f>"2020-2011"</f>
        <v>2020-2011</v>
      </c>
      <c r="C2700" s="1" t="s">
        <v>2464</v>
      </c>
      <c r="D2700" s="1" t="s">
        <v>745</v>
      </c>
      <c r="E2700" s="1" t="str">
        <f>""</f>
        <v/>
      </c>
      <c r="F2700" s="1" t="s">
        <v>1860</v>
      </c>
      <c r="G2700" s="1" t="str">
        <f>CONCATENATE(" DEM D.O.O.,"," ,"," OIB: 82497118239")</f>
        <v xml:space="preserve"> DEM D.O.O., , OIB: 82497118239</v>
      </c>
      <c r="H2700" s="7"/>
      <c r="I2700" s="8" t="s">
        <v>2465</v>
      </c>
      <c r="J2700" s="8" t="s">
        <v>1139</v>
      </c>
      <c r="K2700" s="6" t="str">
        <f>"39.334,00"</f>
        <v>39.334,00</v>
      </c>
      <c r="L2700" s="6" t="str">
        <f>"9.833,50"</f>
        <v>9.833,50</v>
      </c>
      <c r="M2700" s="6" t="str">
        <f>"49.167,50"</f>
        <v>49.167,50</v>
      </c>
      <c r="N2700" s="8" t="s">
        <v>124</v>
      </c>
      <c r="O2700" s="7"/>
      <c r="P2700" s="2" t="s">
        <v>5614</v>
      </c>
      <c r="Q2700" s="7"/>
      <c r="R2700" s="1"/>
      <c r="S2700" s="1" t="str">
        <f>"GZ-UN-2021-2808"</f>
        <v>GZ-UN-2021-2808</v>
      </c>
      <c r="T2700" s="1" t="s">
        <v>55</v>
      </c>
    </row>
    <row r="2701" spans="1:20" ht="51" x14ac:dyDescent="0.25">
      <c r="A2701" s="6">
        <v>2695</v>
      </c>
      <c r="B2701" s="1" t="str">
        <f>"2021-12"</f>
        <v>2021-12</v>
      </c>
      <c r="C2701" s="1" t="s">
        <v>2466</v>
      </c>
      <c r="D2701" s="1" t="s">
        <v>1326</v>
      </c>
      <c r="E2701" s="1" t="str">
        <f>""</f>
        <v/>
      </c>
      <c r="F2701" s="1" t="s">
        <v>1860</v>
      </c>
      <c r="G2701" s="1" t="str">
        <f>CONCATENATE(" EKO-DERATIZACIJA d.o.o.,"," ČRNKOVEČKA 9a,"," 10000 ZAGREB,"," OIB: 3800183172")</f>
        <v xml:space="preserve"> EKO-DERATIZACIJA d.o.o., ČRNKOVEČKA 9a, 10000 ZAGREB, OIB: 3800183172</v>
      </c>
      <c r="H2701" s="7"/>
      <c r="I2701" s="8" t="s">
        <v>2083</v>
      </c>
      <c r="J2701" s="8" t="s">
        <v>89</v>
      </c>
      <c r="K2701" s="6" t="str">
        <f>"25.488,00"</f>
        <v>25.488,00</v>
      </c>
      <c r="L2701" s="6" t="str">
        <f>"6.372,00"</f>
        <v>6.372,00</v>
      </c>
      <c r="M2701" s="6" t="str">
        <f>"31.860,00"</f>
        <v>31.860,00</v>
      </c>
      <c r="N2701" s="8" t="s">
        <v>1479</v>
      </c>
      <c r="O2701" s="7"/>
      <c r="P2701" s="2" t="s">
        <v>7055</v>
      </c>
      <c r="Q2701" s="7"/>
      <c r="R2701" s="1"/>
      <c r="S2701" s="1" t="str">
        <f>"GZ-UN-2021-8808"</f>
        <v>GZ-UN-2021-8808</v>
      </c>
      <c r="T2701" s="1" t="s">
        <v>43</v>
      </c>
    </row>
    <row r="2702" spans="1:20" ht="51" x14ac:dyDescent="0.25">
      <c r="A2702" s="6">
        <v>2696</v>
      </c>
      <c r="B2702" s="1" t="str">
        <f>"2021-1868"</f>
        <v>2021-1868</v>
      </c>
      <c r="C2702" s="1" t="s">
        <v>2467</v>
      </c>
      <c r="D2702" s="1" t="s">
        <v>267</v>
      </c>
      <c r="E2702" s="1" t="str">
        <f>""</f>
        <v/>
      </c>
      <c r="F2702" s="1" t="s">
        <v>1860</v>
      </c>
      <c r="G2702" s="1" t="str">
        <f>CONCATENATE(" METUS D.O.O.,"," POLOŽNICA 5,"," 10431 SVETA NEDELJA,"," OIB: 24690129373")</f>
        <v xml:space="preserve"> METUS D.O.O., POLOŽNICA 5, 10431 SVETA NEDELJA, OIB: 24690129373</v>
      </c>
      <c r="H2702" s="7"/>
      <c r="I2702" s="8" t="s">
        <v>2468</v>
      </c>
      <c r="J2702" s="8" t="s">
        <v>1119</v>
      </c>
      <c r="K2702" s="6" t="str">
        <f>"23.200,00"</f>
        <v>23.200,00</v>
      </c>
      <c r="L2702" s="6" t="str">
        <f>"5.800,00"</f>
        <v>5.800,00</v>
      </c>
      <c r="M2702" s="6" t="str">
        <f>"29.000,00"</f>
        <v>29.000,00</v>
      </c>
      <c r="N2702" s="8" t="s">
        <v>53</v>
      </c>
      <c r="O2702" s="7"/>
      <c r="P2702" s="2" t="s">
        <v>7056</v>
      </c>
      <c r="Q2702" s="7"/>
      <c r="R2702" s="1"/>
      <c r="S2702" s="1" t="str">
        <f>"GZ-UN-2021-10663"</f>
        <v>GZ-UN-2021-10663</v>
      </c>
      <c r="T2702" s="1" t="s">
        <v>86</v>
      </c>
    </row>
    <row r="2703" spans="1:20" ht="76.5" x14ac:dyDescent="0.25">
      <c r="A2703" s="6">
        <v>2697</v>
      </c>
      <c r="B2703" s="1" t="str">
        <f>"2021-1049"</f>
        <v>2021-1049</v>
      </c>
      <c r="C2703" s="1" t="s">
        <v>2469</v>
      </c>
      <c r="D2703" s="1" t="s">
        <v>2287</v>
      </c>
      <c r="E2703" s="1" t="str">
        <f>""</f>
        <v/>
      </c>
      <c r="F2703" s="1" t="s">
        <v>1860</v>
      </c>
      <c r="G2703" s="1" t="str">
        <f>CONCATENATE(" SALON BANKARSKE OPREME - OZIMEC D.O.O.,"," REMETINEČKA CESTA 28,"," 10000 ZAGREB,"," OIB: 743642364")</f>
        <v xml:space="preserve"> SALON BANKARSKE OPREME - OZIMEC D.O.O., REMETINEČKA CESTA 28, 10000 ZAGREB, OIB: 743642364</v>
      </c>
      <c r="H2703" s="7"/>
      <c r="I2703" s="8" t="s">
        <v>2097</v>
      </c>
      <c r="J2703" s="8" t="s">
        <v>273</v>
      </c>
      <c r="K2703" s="6" t="str">
        <f>"11.000,00"</f>
        <v>11.000,00</v>
      </c>
      <c r="L2703" s="6" t="str">
        <f>"2.750,00"</f>
        <v>2.750,00</v>
      </c>
      <c r="M2703" s="6" t="str">
        <f>"13.750,00"</f>
        <v>13.750,00</v>
      </c>
      <c r="N2703" s="8" t="s">
        <v>84</v>
      </c>
      <c r="O2703" s="7"/>
      <c r="P2703" s="2" t="s">
        <v>7057</v>
      </c>
      <c r="Q2703" s="7"/>
      <c r="R2703" s="1"/>
      <c r="S2703" s="1" t="str">
        <f>"GZ-UN-2021-12809"</f>
        <v>GZ-UN-2021-12809</v>
      </c>
      <c r="T2703" s="1" t="s">
        <v>43</v>
      </c>
    </row>
    <row r="2704" spans="1:20" ht="63.75" x14ac:dyDescent="0.25">
      <c r="A2704" s="6">
        <v>2698</v>
      </c>
      <c r="B2704" s="1" t="str">
        <f>"2021-714"</f>
        <v>2021-714</v>
      </c>
      <c r="C2704" s="1" t="s">
        <v>2470</v>
      </c>
      <c r="D2704" s="1" t="s">
        <v>1236</v>
      </c>
      <c r="E2704" s="1" t="str">
        <f>""</f>
        <v/>
      </c>
      <c r="F2704" s="1" t="s">
        <v>1860</v>
      </c>
      <c r="G2704" s="1" t="str">
        <f>CONCATENATE(" ELEKTROKEM D.O.O.,"," VUGROVEC,"," AUGUSTA ŠENOE 69,"," 10360 SESVETE,"," OIB: 38411868043")</f>
        <v xml:space="preserve"> ELEKTROKEM D.O.O., VUGROVEC, AUGUSTA ŠENOE 69, 10360 SESVETE, OIB: 38411868043</v>
      </c>
      <c r="H2704" s="7"/>
      <c r="I2704" s="8" t="s">
        <v>2471</v>
      </c>
      <c r="J2704" s="8" t="s">
        <v>260</v>
      </c>
      <c r="K2704" s="6" t="str">
        <f>"11.520,00"</f>
        <v>11.520,00</v>
      </c>
      <c r="L2704" s="6" t="str">
        <f>"2.880,00"</f>
        <v>2.880,00</v>
      </c>
      <c r="M2704" s="6" t="str">
        <f>"14.400,00"</f>
        <v>14.400,00</v>
      </c>
      <c r="N2704" s="8" t="s">
        <v>345</v>
      </c>
      <c r="O2704" s="7"/>
      <c r="P2704" s="2" t="s">
        <v>7058</v>
      </c>
      <c r="Q2704" s="7"/>
      <c r="R2704" s="1"/>
      <c r="S2704" s="1" t="str">
        <f>"GZ-UN-2021-12982"</f>
        <v>GZ-UN-2021-12982</v>
      </c>
      <c r="T2704" s="1" t="s">
        <v>86</v>
      </c>
    </row>
    <row r="2705" spans="1:20" ht="76.5" x14ac:dyDescent="0.25">
      <c r="A2705" s="6">
        <v>2699</v>
      </c>
      <c r="B2705" s="1" t="str">
        <f>"2021-1751"</f>
        <v>2021-1751</v>
      </c>
      <c r="C2705" s="1" t="s">
        <v>2472</v>
      </c>
      <c r="D2705" s="1" t="s">
        <v>2473</v>
      </c>
      <c r="E2705" s="1" t="str">
        <f>""</f>
        <v/>
      </c>
      <c r="F2705" s="1" t="s">
        <v>1860</v>
      </c>
      <c r="G2705" s="1" t="str">
        <f>CONCATENATE(" ZAGREBAČKI HOLDING D.O.O.,"," PODRUŽNICA ČISTOĆA,"," RADNIČKA CESTA 82,"," 10000 ZAGREB,"," OIB: 85584865987")</f>
        <v xml:space="preserve"> ZAGREBAČKI HOLDING D.O.O., PODRUŽNICA ČISTOĆA, RADNIČKA CESTA 82, 10000 ZAGREB, OIB: 85584865987</v>
      </c>
      <c r="H2705" s="7"/>
      <c r="I2705" s="8" t="s">
        <v>2474</v>
      </c>
      <c r="J2705" s="8" t="s">
        <v>920</v>
      </c>
      <c r="K2705" s="6" t="str">
        <f>"952,16"</f>
        <v>952,16</v>
      </c>
      <c r="L2705" s="6" t="str">
        <f>"238,04"</f>
        <v>238,04</v>
      </c>
      <c r="M2705" s="6" t="str">
        <f>"1.190,20"</f>
        <v>1.190,20</v>
      </c>
      <c r="N2705" s="8" t="s">
        <v>424</v>
      </c>
      <c r="O2705" s="7"/>
      <c r="P2705" s="2" t="s">
        <v>7059</v>
      </c>
      <c r="Q2705" s="7"/>
      <c r="R2705" s="1"/>
      <c r="S2705" s="1" t="str">
        <f>"GZ-UN-2021-13721"</f>
        <v>GZ-UN-2021-13721</v>
      </c>
      <c r="T2705" s="1" t="s">
        <v>43</v>
      </c>
    </row>
    <row r="2706" spans="1:20" ht="63.75" x14ac:dyDescent="0.25">
      <c r="A2706" s="6">
        <v>2700</v>
      </c>
      <c r="B2706" s="1" t="str">
        <f>"2021-1474"</f>
        <v>2021-1474</v>
      </c>
      <c r="C2706" s="1" t="s">
        <v>2475</v>
      </c>
      <c r="D2706" s="1" t="s">
        <v>1824</v>
      </c>
      <c r="E2706" s="1" t="str">
        <f>""</f>
        <v/>
      </c>
      <c r="F2706" s="1" t="s">
        <v>1860</v>
      </c>
      <c r="G2706" s="1" t="str">
        <f>CONCATENATE(" LECHER D.O.O.,"," SLAVKA BATUŠIĆA 41,"," 10000 ZAGREB,"," OIB: 6954475532")</f>
        <v xml:space="preserve"> LECHER D.O.O., SLAVKA BATUŠIĆA 41, 10000 ZAGREB, OIB: 6954475532</v>
      </c>
      <c r="H2706" s="7"/>
      <c r="I2706" s="8" t="s">
        <v>1079</v>
      </c>
      <c r="J2706" s="8" t="s">
        <v>921</v>
      </c>
      <c r="K2706" s="6" t="str">
        <f>"32.000,00"</f>
        <v>32.000,00</v>
      </c>
      <c r="L2706" s="6" t="str">
        <f>"8.000,00"</f>
        <v>8.000,00</v>
      </c>
      <c r="M2706" s="6" t="str">
        <f>"40.000,00"</f>
        <v>40.000,00</v>
      </c>
      <c r="N2706" s="8" t="s">
        <v>124</v>
      </c>
      <c r="O2706" s="7"/>
      <c r="P2706" s="2" t="s">
        <v>5614</v>
      </c>
      <c r="Q2706" s="7"/>
      <c r="R2706" s="1"/>
      <c r="S2706" s="1" t="str">
        <f>"GZ-UN-2021-14425"</f>
        <v>GZ-UN-2021-14425</v>
      </c>
      <c r="T2706" s="1" t="s">
        <v>55</v>
      </c>
    </row>
    <row r="2707" spans="1:20" ht="51" x14ac:dyDescent="0.25">
      <c r="A2707" s="6">
        <v>2701</v>
      </c>
      <c r="B2707" s="1" t="str">
        <f>"2021-1640"</f>
        <v>2021-1640</v>
      </c>
      <c r="C2707" s="1" t="s">
        <v>2476</v>
      </c>
      <c r="D2707" s="1" t="s">
        <v>244</v>
      </c>
      <c r="E2707" s="1" t="str">
        <f>""</f>
        <v/>
      </c>
      <c r="F2707" s="1" t="s">
        <v>1860</v>
      </c>
      <c r="G2707" s="1" t="str">
        <f>CONCATENATE(" DEUS MAGNUS J.D.O.O.,"," RUKAVEC 19,"," 10090 ZAGREB,"," OIB: 64001013893")</f>
        <v xml:space="preserve"> DEUS MAGNUS J.D.O.O., RUKAVEC 19, 10090 ZAGREB, OIB: 64001013893</v>
      </c>
      <c r="H2707" s="7"/>
      <c r="I2707" s="8" t="s">
        <v>2477</v>
      </c>
      <c r="J2707" s="8" t="s">
        <v>919</v>
      </c>
      <c r="K2707" s="6" t="str">
        <f>"67.680,00"</f>
        <v>67.680,00</v>
      </c>
      <c r="L2707" s="6" t="str">
        <f>"16.920,00"</f>
        <v>16.920,00</v>
      </c>
      <c r="M2707" s="6" t="str">
        <f>"84.600,00"</f>
        <v>84.600,00</v>
      </c>
      <c r="N2707" s="8" t="s">
        <v>242</v>
      </c>
      <c r="O2707" s="7"/>
      <c r="P2707" s="2" t="s">
        <v>7060</v>
      </c>
      <c r="Q2707" s="7"/>
      <c r="R2707" s="1"/>
      <c r="S2707" s="1" t="str">
        <f>"GZ-UN-2021-14855"</f>
        <v>GZ-UN-2021-14855</v>
      </c>
      <c r="T2707" s="1" t="s">
        <v>86</v>
      </c>
    </row>
    <row r="2708" spans="1:20" ht="51" x14ac:dyDescent="0.25">
      <c r="A2708" s="6">
        <v>2702</v>
      </c>
      <c r="B2708" s="1" t="str">
        <f>"2021-1042"</f>
        <v>2021-1042</v>
      </c>
      <c r="C2708" s="1" t="s">
        <v>2478</v>
      </c>
      <c r="D2708" s="1" t="s">
        <v>275</v>
      </c>
      <c r="E2708" s="1" t="str">
        <f>""</f>
        <v/>
      </c>
      <c r="F2708" s="1" t="s">
        <v>1860</v>
      </c>
      <c r="G2708" s="1" t="str">
        <f>CONCATENATE(" TEHMAR D.O.O.,"," STAJNIČKA 5,"," 10251 HRVATSKI LESKOVAC,"," OIB: 78055843019")</f>
        <v xml:space="preserve"> TEHMAR D.O.O., STAJNIČKA 5, 10251 HRVATSKI LESKOVAC, OIB: 78055843019</v>
      </c>
      <c r="H2708" s="7"/>
      <c r="I2708" s="8" t="s">
        <v>857</v>
      </c>
      <c r="J2708" s="8" t="s">
        <v>250</v>
      </c>
      <c r="K2708" s="6" t="str">
        <f>"99.335,00"</f>
        <v>99.335,00</v>
      </c>
      <c r="L2708" s="6" t="str">
        <f>"24.833,75"</f>
        <v>24.833,75</v>
      </c>
      <c r="M2708" s="6" t="str">
        <f>"124.168,75"</f>
        <v>124.168,75</v>
      </c>
      <c r="N2708" s="8" t="s">
        <v>487</v>
      </c>
      <c r="O2708" s="7"/>
      <c r="P2708" s="2" t="s">
        <v>7061</v>
      </c>
      <c r="Q2708" s="7"/>
      <c r="R2708" s="1"/>
      <c r="S2708" s="1" t="str">
        <f>"GZ-UN-2021-15411"</f>
        <v>GZ-UN-2021-15411</v>
      </c>
      <c r="T2708" s="1" t="s">
        <v>86</v>
      </c>
    </row>
    <row r="2709" spans="1:20" ht="38.25" x14ac:dyDescent="0.25">
      <c r="A2709" s="6">
        <v>2703</v>
      </c>
      <c r="B2709" s="1" t="str">
        <f>"2021-68"</f>
        <v>2021-68</v>
      </c>
      <c r="C2709" s="1" t="s">
        <v>2479</v>
      </c>
      <c r="D2709" s="1" t="s">
        <v>837</v>
      </c>
      <c r="E2709" s="1" t="str">
        <f>""</f>
        <v/>
      </c>
      <c r="F2709" s="1" t="s">
        <v>1860</v>
      </c>
      <c r="G2709" s="1" t="str">
        <f>CONCATENATE(" ROTO DINAMIC D.O.O.,"," ,"," OIB: 24723122482")</f>
        <v xml:space="preserve"> ROTO DINAMIC D.O.O., , OIB: 24723122482</v>
      </c>
      <c r="H2709" s="7"/>
      <c r="I2709" s="8" t="s">
        <v>857</v>
      </c>
      <c r="J2709" s="8" t="s">
        <v>250</v>
      </c>
      <c r="K2709" s="6" t="str">
        <f>"32.761,08"</f>
        <v>32.761,08</v>
      </c>
      <c r="L2709" s="6" t="str">
        <f>"8.190,27"</f>
        <v>8.190,27</v>
      </c>
      <c r="M2709" s="6" t="str">
        <f>"40.951,35"</f>
        <v>40.951,35</v>
      </c>
      <c r="N2709" s="8" t="s">
        <v>124</v>
      </c>
      <c r="O2709" s="7"/>
      <c r="P2709" s="2" t="s">
        <v>5614</v>
      </c>
      <c r="Q2709" s="7"/>
      <c r="R2709" s="1"/>
      <c r="S2709" s="1" t="str">
        <f>"GZ-UN-2021-15707"</f>
        <v>GZ-UN-2021-15707</v>
      </c>
      <c r="T2709" s="1" t="s">
        <v>55</v>
      </c>
    </row>
    <row r="2710" spans="1:20" ht="51" x14ac:dyDescent="0.25">
      <c r="A2710" s="6">
        <v>2704</v>
      </c>
      <c r="B2710" s="1" t="str">
        <f>"2021-1200"</f>
        <v>2021-1200</v>
      </c>
      <c r="C2710" s="1" t="s">
        <v>2480</v>
      </c>
      <c r="D2710" s="1" t="s">
        <v>87</v>
      </c>
      <c r="E2710" s="1" t="str">
        <f>""</f>
        <v/>
      </c>
      <c r="F2710" s="1" t="s">
        <v>1860</v>
      </c>
      <c r="G2710" s="1" t="str">
        <f>CONCATENATE(" PIRIĆ-PROMET D.O.O.,"," KOLAROVA 2,"," 10000 ZAGREB,"," OIB: 17094516543")</f>
        <v xml:space="preserve"> PIRIĆ-PROMET D.O.O., KOLAROVA 2, 10000 ZAGREB, OIB: 17094516543</v>
      </c>
      <c r="H2710" s="7"/>
      <c r="I2710" s="8" t="s">
        <v>2030</v>
      </c>
      <c r="J2710" s="8" t="s">
        <v>30</v>
      </c>
      <c r="K2710" s="6" t="str">
        <f>"68.867,00"</f>
        <v>68.867,00</v>
      </c>
      <c r="L2710" s="6" t="str">
        <f>"17.216,75"</f>
        <v>17.216,75</v>
      </c>
      <c r="M2710" s="6" t="str">
        <f>"86.083,75"</f>
        <v>86.083,75</v>
      </c>
      <c r="N2710" s="8" t="s">
        <v>1952</v>
      </c>
      <c r="O2710" s="7"/>
      <c r="P2710" s="2" t="s">
        <v>7062</v>
      </c>
      <c r="Q2710" s="7"/>
      <c r="R2710" s="1"/>
      <c r="S2710" s="1" t="str">
        <f>"GZ-UN-2021-16532"</f>
        <v>GZ-UN-2021-16532</v>
      </c>
      <c r="T2710" s="1" t="s">
        <v>86</v>
      </c>
    </row>
    <row r="2711" spans="1:20" ht="51" x14ac:dyDescent="0.25">
      <c r="A2711" s="6">
        <v>2705</v>
      </c>
      <c r="B2711" s="1" t="str">
        <f>"2021-1293"</f>
        <v>2021-1293</v>
      </c>
      <c r="C2711" s="1" t="s">
        <v>2481</v>
      </c>
      <c r="D2711" s="1" t="s">
        <v>2482</v>
      </c>
      <c r="E2711" s="1" t="str">
        <f>""</f>
        <v/>
      </c>
      <c r="F2711" s="1" t="s">
        <v>1860</v>
      </c>
      <c r="G2711" s="1" t="str">
        <f>CONCATENATE(" AQUA-BELL D.O.O.,"," LOVĆENSKA 110A,"," 10000 ZAGREB,"," OIB: 36792295897")</f>
        <v xml:space="preserve"> AQUA-BELL D.O.O., LOVĆENSKA 110A, 10000 ZAGREB, OIB: 36792295897</v>
      </c>
      <c r="H2711" s="7"/>
      <c r="I2711" s="8" t="s">
        <v>811</v>
      </c>
      <c r="J2711" s="8" t="s">
        <v>835</v>
      </c>
      <c r="K2711" s="6" t="str">
        <f>"14.850,00"</f>
        <v>14.850,00</v>
      </c>
      <c r="L2711" s="6" t="str">
        <f>"3.712,50"</f>
        <v>3.712,50</v>
      </c>
      <c r="M2711" s="6" t="str">
        <f>"18.562,50"</f>
        <v>18.562,50</v>
      </c>
      <c r="N2711" s="8" t="s">
        <v>1171</v>
      </c>
      <c r="O2711" s="7"/>
      <c r="P2711" s="2" t="s">
        <v>5731</v>
      </c>
      <c r="Q2711" s="7"/>
      <c r="R2711" s="1"/>
      <c r="S2711" s="1" t="str">
        <f>"GZ-UN-2021-16618"</f>
        <v>GZ-UN-2021-16618</v>
      </c>
      <c r="T2711" s="1" t="s">
        <v>86</v>
      </c>
    </row>
    <row r="2712" spans="1:20" ht="63.75" x14ac:dyDescent="0.25">
      <c r="A2712" s="6">
        <v>2706</v>
      </c>
      <c r="B2712" s="1" t="str">
        <f>"2021-1413"</f>
        <v>2021-1413</v>
      </c>
      <c r="C2712" s="1" t="s">
        <v>2483</v>
      </c>
      <c r="D2712" s="1" t="s">
        <v>2484</v>
      </c>
      <c r="E2712" s="1" t="str">
        <f>""</f>
        <v/>
      </c>
      <c r="F2712" s="1" t="s">
        <v>1860</v>
      </c>
      <c r="G2712" s="1" t="str">
        <f>CONCATENATE(" PRESS CLIPPING D.O.O.,"," FLORIJANA ANDRAŠECA 18A,"," 10000 ZAGREB,"," OIB: 36243340926")</f>
        <v xml:space="preserve"> PRESS CLIPPING D.O.O., FLORIJANA ANDRAŠECA 18A, 10000 ZAGREB, OIB: 36243340926</v>
      </c>
      <c r="H2712" s="7"/>
      <c r="I2712" s="8" t="s">
        <v>551</v>
      </c>
      <c r="J2712" s="8" t="s">
        <v>877</v>
      </c>
      <c r="K2712" s="6" t="str">
        <f>"19.999,60"</f>
        <v>19.999,60</v>
      </c>
      <c r="L2712" s="6" t="str">
        <f>"4.999,90"</f>
        <v>4.999,90</v>
      </c>
      <c r="M2712" s="6" t="str">
        <f>"24.999,50"</f>
        <v>24.999,50</v>
      </c>
      <c r="N2712" s="8" t="s">
        <v>801</v>
      </c>
      <c r="O2712" s="7"/>
      <c r="P2712" s="2" t="s">
        <v>7063</v>
      </c>
      <c r="Q2712" s="7"/>
      <c r="R2712" s="1"/>
      <c r="S2712" s="1" t="str">
        <f>"GZ-UN-2021-17016"</f>
        <v>GZ-UN-2021-17016</v>
      </c>
      <c r="T2712" s="1" t="s">
        <v>43</v>
      </c>
    </row>
    <row r="2713" spans="1:20" ht="63.75" x14ac:dyDescent="0.25">
      <c r="A2713" s="6">
        <v>2707</v>
      </c>
      <c r="B2713" s="1" t="str">
        <f>"2021-1114"</f>
        <v>2021-1114</v>
      </c>
      <c r="C2713" s="1" t="s">
        <v>2485</v>
      </c>
      <c r="D2713" s="1" t="s">
        <v>1007</v>
      </c>
      <c r="E2713" s="1" t="str">
        <f>""</f>
        <v/>
      </c>
      <c r="F2713" s="1" t="s">
        <v>1860</v>
      </c>
      <c r="G2713" s="1" t="str">
        <f>CONCATENATE(" DRÄGER SAFETY D.O.O.,"," AVENIJA VEĆESLAVA HOLJEVCA 40,"," 10010 ZAGREB,"," OIB: 32874587842")</f>
        <v xml:space="preserve"> DRÄGER SAFETY D.O.O., AVENIJA VEĆESLAVA HOLJEVCA 40, 10010 ZAGREB, OIB: 32874587842</v>
      </c>
      <c r="H2713" s="7"/>
      <c r="I2713" s="8" t="s">
        <v>811</v>
      </c>
      <c r="J2713" s="8" t="s">
        <v>835</v>
      </c>
      <c r="K2713" s="6" t="str">
        <f>"19.346,10"</f>
        <v>19.346,10</v>
      </c>
      <c r="L2713" s="6" t="str">
        <f>"4.836,53"</f>
        <v>4.836,53</v>
      </c>
      <c r="M2713" s="6" t="str">
        <f>"24.182,63"</f>
        <v>24.182,63</v>
      </c>
      <c r="N2713" s="8" t="s">
        <v>124</v>
      </c>
      <c r="O2713" s="7"/>
      <c r="P2713" s="2" t="s">
        <v>5614</v>
      </c>
      <c r="Q2713" s="7"/>
      <c r="R2713" s="1"/>
      <c r="S2713" s="1" t="str">
        <f>"GZ-UN-2021-17330"</f>
        <v>GZ-UN-2021-17330</v>
      </c>
      <c r="T2713" s="1" t="s">
        <v>55</v>
      </c>
    </row>
    <row r="2714" spans="1:20" ht="51" x14ac:dyDescent="0.25">
      <c r="A2714" s="6">
        <v>2708</v>
      </c>
      <c r="B2714" s="1" t="str">
        <f>"2021-1385"</f>
        <v>2021-1385</v>
      </c>
      <c r="C2714" s="1" t="s">
        <v>2486</v>
      </c>
      <c r="D2714" s="1" t="s">
        <v>74</v>
      </c>
      <c r="E2714" s="1" t="str">
        <f>""</f>
        <v/>
      </c>
      <c r="F2714" s="1" t="s">
        <v>1860</v>
      </c>
      <c r="G2714" s="1" t="str">
        <f>CONCATENATE(" CONSCIUS D.O.O.,"," KUTNJAČKI PUT 9,"," 10000 ZAGREB,"," OIB: 33925981016")</f>
        <v xml:space="preserve"> CONSCIUS D.O.O., KUTNJAČKI PUT 9, 10000 ZAGREB, OIB: 33925981016</v>
      </c>
      <c r="H2714" s="7"/>
      <c r="I2714" s="8" t="s">
        <v>2090</v>
      </c>
      <c r="J2714" s="8" t="s">
        <v>2212</v>
      </c>
      <c r="K2714" s="6" t="str">
        <f>"67.200,00"</f>
        <v>67.200,00</v>
      </c>
      <c r="L2714" s="6" t="str">
        <f>"16.800,00"</f>
        <v>16.800,00</v>
      </c>
      <c r="M2714" s="6" t="str">
        <f>"84.000,00"</f>
        <v>84.000,00</v>
      </c>
      <c r="N2714" s="8" t="s">
        <v>30</v>
      </c>
      <c r="O2714" s="7"/>
      <c r="P2714" s="2" t="s">
        <v>7064</v>
      </c>
      <c r="Q2714" s="7"/>
      <c r="R2714" s="1"/>
      <c r="S2714" s="1" t="str">
        <f>"GZ-UN-2021-18372"</f>
        <v>GZ-UN-2021-18372</v>
      </c>
      <c r="T2714" s="1" t="s">
        <v>43</v>
      </c>
    </row>
    <row r="2715" spans="1:20" ht="63.75" x14ac:dyDescent="0.25">
      <c r="A2715" s="6">
        <v>2709</v>
      </c>
      <c r="B2715" s="1" t="str">
        <f>"2021-1275"</f>
        <v>2021-1275</v>
      </c>
      <c r="C2715" s="1" t="s">
        <v>2487</v>
      </c>
      <c r="D2715" s="1" t="s">
        <v>2488</v>
      </c>
      <c r="E2715" s="1" t="str">
        <f>""</f>
        <v/>
      </c>
      <c r="F2715" s="1" t="s">
        <v>1860</v>
      </c>
      <c r="G2715" s="1" t="str">
        <f>CONCATENATE(" PRIVREDNA BANKA ZAGREB D.D.,"," RADNIČKA CESTA 50,"," 10000 ZAGREB,"," OIB: 02535697732")</f>
        <v xml:space="preserve"> PRIVREDNA BANKA ZAGREB D.D., RADNIČKA CESTA 50, 10000 ZAGREB, OIB: 02535697732</v>
      </c>
      <c r="H2715" s="7"/>
      <c r="I2715" s="8" t="s">
        <v>935</v>
      </c>
      <c r="J2715" s="8" t="s">
        <v>170</v>
      </c>
      <c r="K2715" s="6" t="str">
        <f>"75.130,70"</f>
        <v>75.130,70</v>
      </c>
      <c r="L2715" s="6" t="str">
        <f>"18.782,68"</f>
        <v>18.782,68</v>
      </c>
      <c r="M2715" s="6" t="str">
        <f>"93.913,38"</f>
        <v>93.913,38</v>
      </c>
      <c r="N2715" s="8" t="s">
        <v>553</v>
      </c>
      <c r="O2715" s="7"/>
      <c r="P2715" s="2" t="s">
        <v>7065</v>
      </c>
      <c r="Q2715" s="7"/>
      <c r="R2715" s="1"/>
      <c r="S2715" s="1" t="str">
        <f>"GZ-UN-2021-24489"</f>
        <v>GZ-UN-2021-24489</v>
      </c>
      <c r="T2715" s="1" t="s">
        <v>43</v>
      </c>
    </row>
    <row r="2716" spans="1:20" ht="51" x14ac:dyDescent="0.25">
      <c r="A2716" s="6">
        <v>2710</v>
      </c>
      <c r="B2716" s="1" t="str">
        <f>"2021-1200"</f>
        <v>2021-1200</v>
      </c>
      <c r="C2716" s="1" t="s">
        <v>2480</v>
      </c>
      <c r="D2716" s="1" t="s">
        <v>87</v>
      </c>
      <c r="E2716" s="1" t="str">
        <f>""</f>
        <v/>
      </c>
      <c r="F2716" s="1" t="s">
        <v>1860</v>
      </c>
      <c r="G2716" s="1" t="str">
        <f>CONCATENATE(" MONT-RA D.O.O.,"," II BARILOVIĆKA 5,"," 10000 ZAGREB,"," OIB: 91613881793")</f>
        <v xml:space="preserve"> MONT-RA D.O.O., II BARILOVIĆKA 5, 10000 ZAGREB, OIB: 91613881793</v>
      </c>
      <c r="H2716" s="7"/>
      <c r="I2716" s="8" t="s">
        <v>335</v>
      </c>
      <c r="J2716" s="8" t="s">
        <v>409</v>
      </c>
      <c r="K2716" s="6" t="str">
        <f>"912,50"</f>
        <v>912,50</v>
      </c>
      <c r="L2716" s="6" t="str">
        <f>"228,13"</f>
        <v>228,13</v>
      </c>
      <c r="M2716" s="6" t="str">
        <f>"1.140,63"</f>
        <v>1.140,63</v>
      </c>
      <c r="N2716" s="8" t="s">
        <v>308</v>
      </c>
      <c r="O2716" s="7"/>
      <c r="P2716" s="2" t="s">
        <v>7066</v>
      </c>
      <c r="Q2716" s="7"/>
      <c r="R2716" s="1"/>
      <c r="S2716" s="1" t="str">
        <f>"GZ-UN-2021-27027"</f>
        <v>GZ-UN-2021-27027</v>
      </c>
      <c r="T2716" s="1" t="s">
        <v>86</v>
      </c>
    </row>
    <row r="2717" spans="1:20" ht="51" x14ac:dyDescent="0.25">
      <c r="A2717" s="6">
        <v>2711</v>
      </c>
      <c r="B2717" s="1" t="str">
        <f>"2021-2255"</f>
        <v>2021-2255</v>
      </c>
      <c r="C2717" s="1" t="s">
        <v>2489</v>
      </c>
      <c r="D2717" s="1" t="s">
        <v>2490</v>
      </c>
      <c r="E2717" s="1" t="str">
        <f>""</f>
        <v/>
      </c>
      <c r="F2717" s="1" t="s">
        <v>1860</v>
      </c>
      <c r="G2717" s="1" t="str">
        <f>CONCATENATE(" HADO TECHNIK D.O.O.,"," IX. PODBREŽJE 5,"," 10000 ZAGREB,"," OIB: 9936883809")</f>
        <v xml:space="preserve"> HADO TECHNIK D.O.O., IX. PODBREŽJE 5, 10000 ZAGREB, OIB: 9936883809</v>
      </c>
      <c r="H2717" s="7"/>
      <c r="I2717" s="8" t="s">
        <v>2300</v>
      </c>
      <c r="J2717" s="8" t="s">
        <v>1159</v>
      </c>
      <c r="K2717" s="6" t="str">
        <f>"120.000,00"</f>
        <v>120.000,00</v>
      </c>
      <c r="L2717" s="6" t="str">
        <f>"30.000,00"</f>
        <v>30.000,00</v>
      </c>
      <c r="M2717" s="6" t="str">
        <f>"150.000,00"</f>
        <v>150.000,00</v>
      </c>
      <c r="N2717" s="8" t="s">
        <v>2310</v>
      </c>
      <c r="O2717" s="7"/>
      <c r="P2717" s="2" t="s">
        <v>7067</v>
      </c>
      <c r="Q2717" s="7"/>
      <c r="R2717" s="1"/>
      <c r="S2717" s="1" t="str">
        <f>"GZ-UN-2021-27135"</f>
        <v>GZ-UN-2021-27135</v>
      </c>
      <c r="T2717" s="1" t="s">
        <v>32</v>
      </c>
    </row>
    <row r="2718" spans="1:20" ht="51" x14ac:dyDescent="0.25">
      <c r="A2718" s="6">
        <v>2712</v>
      </c>
      <c r="B2718" s="1" t="str">
        <f>"2021-1424"</f>
        <v>2021-1424</v>
      </c>
      <c r="C2718" s="1" t="s">
        <v>2305</v>
      </c>
      <c r="D2718" s="1" t="s">
        <v>2306</v>
      </c>
      <c r="E2718" s="1" t="str">
        <f>""</f>
        <v/>
      </c>
      <c r="F2718" s="1" t="s">
        <v>1860</v>
      </c>
      <c r="G2718" s="1" t="str">
        <f>CONCATENATE(" DELOITTE D.O.O.,"," RADNIČKA CESTA 80,"," 10000 ZAGREB,"," OIB: 1168645778")</f>
        <v xml:space="preserve"> DELOITTE D.O.O., RADNIČKA CESTA 80, 10000 ZAGREB, OIB: 1168645778</v>
      </c>
      <c r="H2718" s="7"/>
      <c r="I2718" s="8" t="s">
        <v>1076</v>
      </c>
      <c r="J2718" s="8" t="s">
        <v>1104</v>
      </c>
      <c r="K2718" s="6" t="str">
        <f>"33.000,00"</f>
        <v>33.000,00</v>
      </c>
      <c r="L2718" s="6" t="str">
        <f>"8.250,00"</f>
        <v>8.250,00</v>
      </c>
      <c r="M2718" s="6" t="str">
        <f>"41.250,00"</f>
        <v>41.250,00</v>
      </c>
      <c r="N2718" s="8" t="s">
        <v>124</v>
      </c>
      <c r="O2718" s="7"/>
      <c r="P2718" s="2" t="s">
        <v>5614</v>
      </c>
      <c r="Q2718" s="7"/>
      <c r="R2718" s="1"/>
      <c r="S2718" s="1" t="str">
        <f>"GZ-UN-2021-29651"</f>
        <v>GZ-UN-2021-29651</v>
      </c>
      <c r="T2718" s="1" t="s">
        <v>43</v>
      </c>
    </row>
    <row r="2719" spans="1:20" ht="76.5" x14ac:dyDescent="0.25">
      <c r="A2719" s="6">
        <v>2713</v>
      </c>
      <c r="B2719" s="1" t="str">
        <f>"2021-1751"</f>
        <v>2021-1751</v>
      </c>
      <c r="C2719" s="1" t="s">
        <v>2472</v>
      </c>
      <c r="D2719" s="1" t="s">
        <v>2473</v>
      </c>
      <c r="E2719" s="1" t="str">
        <f>""</f>
        <v/>
      </c>
      <c r="F2719" s="1" t="s">
        <v>1860</v>
      </c>
      <c r="G2719" s="1" t="str">
        <f>CONCATENATE(" ZAGREBAČKI HOLDING D.O.O.,"," PODRUŽNICA ČISTOĆA,"," RADNIČKA CESTA 82,"," 10000 ZAGREB,"," OIB: 85584865987")</f>
        <v xml:space="preserve"> ZAGREBAČKI HOLDING D.O.O., PODRUŽNICA ČISTOĆA, RADNIČKA CESTA 82, 10000 ZAGREB, OIB: 85584865987</v>
      </c>
      <c r="H2719" s="7"/>
      <c r="I2719" s="8" t="s">
        <v>213</v>
      </c>
      <c r="J2719" s="8" t="s">
        <v>2491</v>
      </c>
      <c r="K2719" s="6" t="str">
        <f>"714,12"</f>
        <v>714,12</v>
      </c>
      <c r="L2719" s="6" t="str">
        <f>"178,53"</f>
        <v>178,53</v>
      </c>
      <c r="M2719" s="6" t="str">
        <f>"892,65"</f>
        <v>892,65</v>
      </c>
      <c r="N2719" s="8" t="s">
        <v>124</v>
      </c>
      <c r="O2719" s="7"/>
      <c r="P2719" s="2" t="s">
        <v>7068</v>
      </c>
      <c r="Q2719" s="7"/>
      <c r="R2719" s="1"/>
      <c r="S2719" s="1" t="str">
        <f>"GZ-UN-2021-31305"</f>
        <v>GZ-UN-2021-31305</v>
      </c>
      <c r="T2719" s="1" t="s">
        <v>43</v>
      </c>
    </row>
    <row r="2720" spans="1:20" ht="76.5" x14ac:dyDescent="0.25">
      <c r="A2720" s="6">
        <v>2714</v>
      </c>
      <c r="B2720" s="1" t="str">
        <f>"2021-1751"</f>
        <v>2021-1751</v>
      </c>
      <c r="C2720" s="1" t="s">
        <v>2472</v>
      </c>
      <c r="D2720" s="1" t="s">
        <v>2473</v>
      </c>
      <c r="E2720" s="1" t="str">
        <f>""</f>
        <v/>
      </c>
      <c r="F2720" s="1" t="s">
        <v>1860</v>
      </c>
      <c r="G2720" s="1" t="str">
        <f>CONCATENATE(" ZAGREBAČKI HOLDING D.O.O.,"," PODRUŽNICA ČISTOĆA,"," RADNIČKA CESTA 82,"," 10000 ZAGREB,"," OIB: 85584865987")</f>
        <v xml:space="preserve"> ZAGREBAČKI HOLDING D.O.O., PODRUŽNICA ČISTOĆA, RADNIČKA CESTA 82, 10000 ZAGREB, OIB: 85584865987</v>
      </c>
      <c r="H2720" s="7"/>
      <c r="I2720" s="8" t="s">
        <v>771</v>
      </c>
      <c r="J2720" s="8" t="s">
        <v>2209</v>
      </c>
      <c r="K2720" s="6" t="str">
        <f>"1.190,20"</f>
        <v>1.190,20</v>
      </c>
      <c r="L2720" s="6" t="str">
        <f>"297,55"</f>
        <v>297,55</v>
      </c>
      <c r="M2720" s="6" t="str">
        <f>"1.487,75"</f>
        <v>1.487,75</v>
      </c>
      <c r="N2720" s="8" t="s">
        <v>124</v>
      </c>
      <c r="O2720" s="7"/>
      <c r="P2720" s="2" t="s">
        <v>5614</v>
      </c>
      <c r="Q2720" s="7"/>
      <c r="R2720" s="1"/>
      <c r="S2720" s="1" t="str">
        <f>"GZ-UN-2021-31325"</f>
        <v>GZ-UN-2021-31325</v>
      </c>
      <c r="T2720" s="1" t="s">
        <v>43</v>
      </c>
    </row>
    <row r="2721" spans="1:20" ht="51" x14ac:dyDescent="0.25">
      <c r="A2721" s="6">
        <v>2715</v>
      </c>
      <c r="B2721" s="1" t="str">
        <f>"2021-1015"</f>
        <v>2021-1015</v>
      </c>
      <c r="C2721" s="1" t="s">
        <v>2492</v>
      </c>
      <c r="D2721" s="1" t="s">
        <v>2493</v>
      </c>
      <c r="E2721" s="1" t="str">
        <f>""</f>
        <v/>
      </c>
      <c r="F2721" s="1" t="s">
        <v>1860</v>
      </c>
      <c r="G2721" s="1" t="str">
        <f>CONCATENATE(" M.B. AUTO  d.o.o.,"," KOLEDOVČINA 8,"," 10000 ZAGREB,"," OIB: 8902734372")</f>
        <v xml:space="preserve"> M.B. AUTO  d.o.o., KOLEDOVČINA 8, 10000 ZAGREB, OIB: 8902734372</v>
      </c>
      <c r="H2721" s="7"/>
      <c r="I2721" s="8" t="s">
        <v>640</v>
      </c>
      <c r="J2721" s="8" t="s">
        <v>1107</v>
      </c>
      <c r="K2721" s="6" t="str">
        <f>"1.825,20"</f>
        <v>1.825,20</v>
      </c>
      <c r="L2721" s="6" t="str">
        <f>"456,30"</f>
        <v>456,30</v>
      </c>
      <c r="M2721" s="6" t="str">
        <f>"2.281,50"</f>
        <v>2.281,50</v>
      </c>
      <c r="N2721" s="8" t="s">
        <v>124</v>
      </c>
      <c r="O2721" s="7"/>
      <c r="P2721" s="2" t="s">
        <v>5614</v>
      </c>
      <c r="Q2721" s="7"/>
      <c r="R2721" s="1"/>
      <c r="S2721" s="1" t="str">
        <f>"GZ-UN-2021-31417"</f>
        <v>GZ-UN-2021-31417</v>
      </c>
      <c r="T2721" s="1" t="s">
        <v>55</v>
      </c>
    </row>
    <row r="2722" spans="1:20" ht="51" x14ac:dyDescent="0.25">
      <c r="A2722" s="6">
        <v>2716</v>
      </c>
      <c r="B2722" s="1" t="str">
        <f>"2021-714"</f>
        <v>2021-714</v>
      </c>
      <c r="C2722" s="1" t="s">
        <v>2470</v>
      </c>
      <c r="D2722" s="1" t="s">
        <v>1236</v>
      </c>
      <c r="E2722" s="1" t="str">
        <f>""</f>
        <v/>
      </c>
      <c r="F2722" s="1" t="s">
        <v>1860</v>
      </c>
      <c r="G2722" s="1" t="str">
        <f>CONCATENATE(" MONTERRA D. O. O.,"," SVETONEDELJSKA 19A,"," 10430 SAMOBOR,"," OIB: 03430970424")</f>
        <v xml:space="preserve"> MONTERRA D. O. O., SVETONEDELJSKA 19A, 10430 SAMOBOR, OIB: 03430970424</v>
      </c>
      <c r="H2722" s="7"/>
      <c r="I2722" s="8" t="s">
        <v>183</v>
      </c>
      <c r="J2722" s="8" t="s">
        <v>2494</v>
      </c>
      <c r="K2722" s="6" t="str">
        <f>"15.733,00"</f>
        <v>15.733,00</v>
      </c>
      <c r="L2722" s="6" t="str">
        <f>"3.933,25"</f>
        <v>3.933,25</v>
      </c>
      <c r="M2722" s="6" t="str">
        <f>"19.666,25"</f>
        <v>19.666,25</v>
      </c>
      <c r="N2722" s="8" t="s">
        <v>124</v>
      </c>
      <c r="O2722" s="7"/>
      <c r="P2722" s="2" t="s">
        <v>7069</v>
      </c>
      <c r="Q2722" s="7"/>
      <c r="R2722" s="1"/>
      <c r="S2722" s="1" t="str">
        <f>"GZ-UN-2021-31490"</f>
        <v>GZ-UN-2021-31490</v>
      </c>
      <c r="T2722" s="1" t="s">
        <v>86</v>
      </c>
    </row>
    <row r="2723" spans="1:20" ht="51" x14ac:dyDescent="0.25">
      <c r="A2723" s="6">
        <v>2717</v>
      </c>
      <c r="B2723" s="1" t="str">
        <f>"2021-1225"</f>
        <v>2021-1225</v>
      </c>
      <c r="C2723" s="1" t="s">
        <v>2458</v>
      </c>
      <c r="D2723" s="1" t="s">
        <v>267</v>
      </c>
      <c r="E2723" s="1" t="str">
        <f>""</f>
        <v/>
      </c>
      <c r="F2723" s="1" t="s">
        <v>1860</v>
      </c>
      <c r="G2723" s="1" t="str">
        <f>CONCATENATE(" SIGET DIZALA D.O.O.,"," PREČKO 61,"," 10000 ZAGREB,"," OIB: 19841995263")</f>
        <v xml:space="preserve"> SIGET DIZALA D.O.O., PREČKO 61, 10000 ZAGREB, OIB: 19841995263</v>
      </c>
      <c r="H2723" s="7"/>
      <c r="I2723" s="8" t="s">
        <v>183</v>
      </c>
      <c r="J2723" s="8" t="s">
        <v>2494</v>
      </c>
      <c r="K2723" s="6" t="str">
        <f>"78.000,00"</f>
        <v>78.000,00</v>
      </c>
      <c r="L2723" s="6" t="str">
        <f>"19.500,00"</f>
        <v>19.500,00</v>
      </c>
      <c r="M2723" s="6" t="str">
        <f>"97.500,00"</f>
        <v>97.500,00</v>
      </c>
      <c r="N2723" s="8" t="s">
        <v>420</v>
      </c>
      <c r="O2723" s="7"/>
      <c r="P2723" s="2" t="s">
        <v>7070</v>
      </c>
      <c r="Q2723" s="7"/>
      <c r="R2723" s="1"/>
      <c r="S2723" s="1" t="str">
        <f>"GZ-UN-2021-31530"</f>
        <v>GZ-UN-2021-31530</v>
      </c>
      <c r="T2723" s="1" t="s">
        <v>86</v>
      </c>
    </row>
    <row r="2724" spans="1:20" ht="76.5" x14ac:dyDescent="0.25">
      <c r="A2724" s="6">
        <v>2718</v>
      </c>
      <c r="B2724" s="1" t="str">
        <f>"2021-2355"</f>
        <v>2021-2355</v>
      </c>
      <c r="C2724" s="1" t="s">
        <v>2495</v>
      </c>
      <c r="D2724" s="1" t="s">
        <v>515</v>
      </c>
      <c r="E2724" s="1" t="str">
        <f>""</f>
        <v/>
      </c>
      <c r="F2724" s="1" t="s">
        <v>1860</v>
      </c>
      <c r="G2724" s="1" t="str">
        <f>CONCATENATE(" NASTAVNI ZAVOD ZA JAVNO ZDRAVSTVO DR. ANDRIJA ŠTAMPAR,"," MIROGOJSKA CESTA 16,"," 10000 ZAGREB,"," OIB: 3339200596")</f>
        <v xml:space="preserve"> NASTAVNI ZAVOD ZA JAVNO ZDRAVSTVO DR. ANDRIJA ŠTAMPAR, MIROGOJSKA CESTA 16, 10000 ZAGREB, OIB: 3339200596</v>
      </c>
      <c r="H2724" s="7"/>
      <c r="I2724" s="8" t="s">
        <v>416</v>
      </c>
      <c r="J2724" s="8" t="s">
        <v>2496</v>
      </c>
      <c r="K2724" s="6" t="str">
        <f>"49.816,80"</f>
        <v>49.816,80</v>
      </c>
      <c r="L2724" s="6" t="str">
        <f>"12.454,20"</f>
        <v>12.454,20</v>
      </c>
      <c r="M2724" s="6" t="str">
        <f>"62.271,00"</f>
        <v>62.271,00</v>
      </c>
      <c r="N2724" s="8" t="s">
        <v>53</v>
      </c>
      <c r="O2724" s="7"/>
      <c r="P2724" s="2" t="s">
        <v>7071</v>
      </c>
      <c r="Q2724" s="7"/>
      <c r="R2724" s="1"/>
      <c r="S2724" s="1" t="str">
        <f>"GZ-UN-2022-995"</f>
        <v>GZ-UN-2022-995</v>
      </c>
      <c r="T2724" s="1" t="s">
        <v>55</v>
      </c>
    </row>
    <row r="2725" spans="1:20" ht="51" x14ac:dyDescent="0.25">
      <c r="A2725" s="6">
        <v>2719</v>
      </c>
      <c r="B2725" s="1" t="str">
        <f>"2021-1015"</f>
        <v>2021-1015</v>
      </c>
      <c r="C2725" s="1" t="s">
        <v>2492</v>
      </c>
      <c r="D2725" s="1" t="s">
        <v>2493</v>
      </c>
      <c r="E2725" s="1" t="str">
        <f>""</f>
        <v/>
      </c>
      <c r="F2725" s="1" t="s">
        <v>1860</v>
      </c>
      <c r="G2725" s="1" t="str">
        <f>CONCATENATE(" ZUBAK GRUPA D.O.O.,"," ZAGREBAČKA 117,"," 10410 VELIKA GORICA,"," OIB: 39135989747")</f>
        <v xml:space="preserve"> ZUBAK GRUPA D.O.O., ZAGREBAČKA 117, 10410 VELIKA GORICA, OIB: 39135989747</v>
      </c>
      <c r="H2725" s="7"/>
      <c r="I2725" s="8" t="s">
        <v>561</v>
      </c>
      <c r="J2725" s="8" t="s">
        <v>1238</v>
      </c>
      <c r="K2725" s="6" t="str">
        <f>"8.652,42"</f>
        <v>8.652,42</v>
      </c>
      <c r="L2725" s="6" t="str">
        <f>"2.163,11"</f>
        <v>2.163,11</v>
      </c>
      <c r="M2725" s="6" t="str">
        <f>"10.815,53"</f>
        <v>10.815,53</v>
      </c>
      <c r="N2725" s="8" t="s">
        <v>124</v>
      </c>
      <c r="O2725" s="7"/>
      <c r="P2725" s="2" t="s">
        <v>5614</v>
      </c>
      <c r="Q2725" s="7"/>
      <c r="R2725" s="1"/>
      <c r="S2725" s="1" t="str">
        <f>"GZ-UN-2022-1931"</f>
        <v>GZ-UN-2022-1931</v>
      </c>
      <c r="T2725" s="1" t="s">
        <v>55</v>
      </c>
    </row>
    <row r="2726" spans="1:20" ht="51" x14ac:dyDescent="0.25">
      <c r="A2726" s="6">
        <v>2720</v>
      </c>
      <c r="B2726" s="1" t="str">
        <f>"2021-556"</f>
        <v>2021-556</v>
      </c>
      <c r="C2726" s="1" t="s">
        <v>2497</v>
      </c>
      <c r="D2726" s="1" t="s">
        <v>2498</v>
      </c>
      <c r="E2726" s="1" t="str">
        <f>""</f>
        <v/>
      </c>
      <c r="F2726" s="1" t="s">
        <v>1860</v>
      </c>
      <c r="G2726" s="1" t="str">
        <f>CONCATENATE(" CONTROLMATIK D.O.O.,"," PRIMORSKA 1,"," 42000 VARAŽDIN,"," OIB: 25020037517")</f>
        <v xml:space="preserve"> CONTROLMATIK D.O.O., PRIMORSKA 1, 42000 VARAŽDIN, OIB: 25020037517</v>
      </c>
      <c r="H2726" s="7"/>
      <c r="I2726" s="8" t="s">
        <v>1118</v>
      </c>
      <c r="J2726" s="8" t="s">
        <v>2499</v>
      </c>
      <c r="K2726" s="6" t="str">
        <f>"193.460,00"</f>
        <v>193.460,00</v>
      </c>
      <c r="L2726" s="6" t="str">
        <f>"48.365,00"</f>
        <v>48.365,00</v>
      </c>
      <c r="M2726" s="6" t="str">
        <f>"241.825,00"</f>
        <v>241.825,00</v>
      </c>
      <c r="N2726" s="8" t="s">
        <v>124</v>
      </c>
      <c r="O2726" s="7"/>
      <c r="P2726" s="2" t="s">
        <v>5614</v>
      </c>
      <c r="Q2726" s="7"/>
      <c r="R2726" s="1"/>
      <c r="S2726" s="1" t="str">
        <f>"GZ-UN-2022-2450"</f>
        <v>GZ-UN-2022-2450</v>
      </c>
      <c r="T2726" s="1" t="s">
        <v>55</v>
      </c>
    </row>
    <row r="2727" spans="1:20" ht="51" x14ac:dyDescent="0.25">
      <c r="A2727" s="6">
        <v>2721</v>
      </c>
      <c r="B2727" s="1" t="str">
        <f>"2021-1225"</f>
        <v>2021-1225</v>
      </c>
      <c r="C2727" s="1" t="s">
        <v>2458</v>
      </c>
      <c r="D2727" s="1" t="s">
        <v>267</v>
      </c>
      <c r="E2727" s="1" t="str">
        <f>""</f>
        <v/>
      </c>
      <c r="F2727" s="1" t="s">
        <v>1860</v>
      </c>
      <c r="G2727" s="1" t="str">
        <f>CONCATENATE(" PROJEKTI DIZALA D.O.O.,"," VRGADSKI PUT 1,"," 10000 ZAGREB,"," OIB: 21781373482")</f>
        <v xml:space="preserve"> PROJEKTI DIZALA D.O.O., VRGADSKI PUT 1, 10000 ZAGREB, OIB: 21781373482</v>
      </c>
      <c r="H2727" s="7"/>
      <c r="I2727" s="8" t="s">
        <v>93</v>
      </c>
      <c r="J2727" s="8" t="s">
        <v>917</v>
      </c>
      <c r="K2727" s="6" t="str">
        <f>"66.000,00"</f>
        <v>66.000,00</v>
      </c>
      <c r="L2727" s="6" t="str">
        <f>"16.500,00"</f>
        <v>16.500,00</v>
      </c>
      <c r="M2727" s="6" t="str">
        <f>"82.500,00"</f>
        <v>82.500,00</v>
      </c>
      <c r="N2727" s="8" t="s">
        <v>124</v>
      </c>
      <c r="O2727" s="7"/>
      <c r="P2727" s="2" t="s">
        <v>5902</v>
      </c>
      <c r="Q2727" s="7"/>
      <c r="R2727" s="1"/>
      <c r="S2727" s="1" t="str">
        <f>"GZ-UN-2022-5792"</f>
        <v>GZ-UN-2022-5792</v>
      </c>
      <c r="T2727" s="1" t="s">
        <v>86</v>
      </c>
    </row>
    <row r="2728" spans="1:20" ht="51" x14ac:dyDescent="0.25">
      <c r="A2728" s="6">
        <v>2722</v>
      </c>
      <c r="B2728" s="1" t="str">
        <f>"2022-1479"</f>
        <v>2022-1479</v>
      </c>
      <c r="C2728" s="1" t="s">
        <v>2500</v>
      </c>
      <c r="D2728" s="1" t="s">
        <v>544</v>
      </c>
      <c r="E2728" s="1" t="str">
        <f>""</f>
        <v/>
      </c>
      <c r="F2728" s="1" t="s">
        <v>1860</v>
      </c>
      <c r="G2728" s="1" t="str">
        <f>CONCATENATE(" VODOSKOK D.D.,"," ČULINEČKA CESTA 221/C,"," 10040 ZAGREB,"," OIB: 34134218058")</f>
        <v xml:space="preserve"> VODOSKOK D.D., ČULINEČKA CESTA 221/C, 10040 ZAGREB, OIB: 34134218058</v>
      </c>
      <c r="H2728" s="7"/>
      <c r="I2728" s="8" t="s">
        <v>754</v>
      </c>
      <c r="J2728" s="8" t="s">
        <v>1365</v>
      </c>
      <c r="K2728" s="6" t="str">
        <f>"103.215,00"</f>
        <v>103.215,00</v>
      </c>
      <c r="L2728" s="6" t="str">
        <f>"25.803,75"</f>
        <v>25.803,75</v>
      </c>
      <c r="M2728" s="6" t="str">
        <f>"129.018,75"</f>
        <v>129.018,75</v>
      </c>
      <c r="N2728" s="8" t="s">
        <v>124</v>
      </c>
      <c r="O2728" s="7"/>
      <c r="P2728" s="2" t="s">
        <v>5614</v>
      </c>
      <c r="Q2728" s="7"/>
      <c r="R2728" s="1"/>
      <c r="S2728" s="1" t="str">
        <f>"GZ-UN-2022-8540"</f>
        <v>GZ-UN-2022-8540</v>
      </c>
      <c r="T2728" s="1" t="s">
        <v>55</v>
      </c>
    </row>
    <row r="2729" spans="1:20" ht="63.75" x14ac:dyDescent="0.25">
      <c r="A2729" s="6">
        <v>2723</v>
      </c>
      <c r="B2729" s="1" t="str">
        <f>"2022-1482"</f>
        <v>2022-1482</v>
      </c>
      <c r="C2729" s="1" t="s">
        <v>2501</v>
      </c>
      <c r="D2729" s="1" t="s">
        <v>2502</v>
      </c>
      <c r="E2729" s="1" t="str">
        <f>""</f>
        <v/>
      </c>
      <c r="F2729" s="1" t="s">
        <v>1860</v>
      </c>
      <c r="G2729" s="1" t="str">
        <f>CONCATENATE(" VODOSKOK D.D.,"," ČULINEČKA CESTA 221/C,"," 10040 ZAGREB,"," OIB: 34134218058")</f>
        <v xml:space="preserve"> VODOSKOK D.D., ČULINEČKA CESTA 221/C, 10040 ZAGREB, OIB: 34134218058</v>
      </c>
      <c r="H2729" s="7"/>
      <c r="I2729" s="8" t="s">
        <v>754</v>
      </c>
      <c r="J2729" s="8" t="s">
        <v>1365</v>
      </c>
      <c r="K2729" s="6" t="str">
        <f>"134.829,34"</f>
        <v>134.829,34</v>
      </c>
      <c r="L2729" s="6" t="str">
        <f>"33.707,34"</f>
        <v>33.707,34</v>
      </c>
      <c r="M2729" s="6" t="str">
        <f>"168.536,68"</f>
        <v>168.536,68</v>
      </c>
      <c r="N2729" s="8" t="s">
        <v>521</v>
      </c>
      <c r="O2729" s="7"/>
      <c r="P2729" s="2" t="s">
        <v>7072</v>
      </c>
      <c r="Q2729" s="1" t="s">
        <v>488</v>
      </c>
      <c r="R2729" s="1"/>
      <c r="S2729" s="1" t="str">
        <f>"GZ-UN-2022-8557"</f>
        <v>GZ-UN-2022-8557</v>
      </c>
      <c r="T2729" s="1" t="s">
        <v>55</v>
      </c>
    </row>
    <row r="2730" spans="1:20" ht="51" x14ac:dyDescent="0.25">
      <c r="A2730" s="6">
        <v>2724</v>
      </c>
      <c r="B2730" s="1" t="str">
        <f>"2022-1478"</f>
        <v>2022-1478</v>
      </c>
      <c r="C2730" s="1" t="s">
        <v>2503</v>
      </c>
      <c r="D2730" s="1" t="s">
        <v>2504</v>
      </c>
      <c r="E2730" s="1" t="str">
        <f>""</f>
        <v/>
      </c>
      <c r="F2730" s="1" t="s">
        <v>1860</v>
      </c>
      <c r="G2730" s="1" t="str">
        <f>CONCATENATE(" VODOSKOK D.D.,"," ČULINEČKA CESTA 221/C,"," 10040 ZAGREB,"," OIB: 34134218058")</f>
        <v xml:space="preserve"> VODOSKOK D.D., ČULINEČKA CESTA 221/C, 10040 ZAGREB, OIB: 34134218058</v>
      </c>
      <c r="H2730" s="7"/>
      <c r="I2730" s="8" t="s">
        <v>1117</v>
      </c>
      <c r="J2730" s="8" t="s">
        <v>1389</v>
      </c>
      <c r="K2730" s="6" t="str">
        <f>"167.974,00"</f>
        <v>167.974,00</v>
      </c>
      <c r="L2730" s="6" t="str">
        <f>"41.993,50"</f>
        <v>41.993,50</v>
      </c>
      <c r="M2730" s="6" t="str">
        <f>"209.967,50"</f>
        <v>209.967,50</v>
      </c>
      <c r="N2730" s="8" t="s">
        <v>124</v>
      </c>
      <c r="O2730" s="7"/>
      <c r="P2730" s="2" t="s">
        <v>5614</v>
      </c>
      <c r="Q2730" s="7"/>
      <c r="R2730" s="1"/>
      <c r="S2730" s="1" t="str">
        <f>"GZ-UN-2022-9542"</f>
        <v>GZ-UN-2022-9542</v>
      </c>
      <c r="T2730" s="1" t="s">
        <v>55</v>
      </c>
    </row>
    <row r="2731" spans="1:20" ht="76.5" x14ac:dyDescent="0.25">
      <c r="A2731" s="6">
        <v>2725</v>
      </c>
      <c r="B2731" s="1" t="str">
        <f>"2022-1381"</f>
        <v>2022-1381</v>
      </c>
      <c r="C2731" s="1" t="s">
        <v>2405</v>
      </c>
      <c r="D2731" s="1" t="s">
        <v>880</v>
      </c>
      <c r="E2731" s="1" t="str">
        <f>""</f>
        <v/>
      </c>
      <c r="F2731" s="1" t="s">
        <v>1860</v>
      </c>
      <c r="G2731" s="1" t="str">
        <f>CONCATENATE(" NASTAVNI ZAVOD ZA JAVNO ZDRAVSTVO DR. ANDRIJA ŠTAMPAR,"," MIROGOJSKA CESTA 16,"," 10000 ZAGREB,"," OIB: 3339200596")</f>
        <v xml:space="preserve"> NASTAVNI ZAVOD ZA JAVNO ZDRAVSTVO DR. ANDRIJA ŠTAMPAR, MIROGOJSKA CESTA 16, 10000 ZAGREB, OIB: 3339200596</v>
      </c>
      <c r="H2731" s="7"/>
      <c r="I2731" s="8" t="s">
        <v>397</v>
      </c>
      <c r="J2731" s="8" t="s">
        <v>2505</v>
      </c>
      <c r="K2731" s="6" t="str">
        <f>"82.950,00"</f>
        <v>82.950,00</v>
      </c>
      <c r="L2731" s="6" t="str">
        <f>"20.737,50"</f>
        <v>20.737,50</v>
      </c>
      <c r="M2731" s="6" t="str">
        <f>"103.687,50"</f>
        <v>103.687,50</v>
      </c>
      <c r="N2731" s="8" t="s">
        <v>124</v>
      </c>
      <c r="O2731" s="7"/>
      <c r="P2731" s="2" t="s">
        <v>5614</v>
      </c>
      <c r="Q2731" s="7"/>
      <c r="R2731" s="1"/>
      <c r="S2731" s="1" t="str">
        <f>"GZ-UN-2022-9803"</f>
        <v>GZ-UN-2022-9803</v>
      </c>
      <c r="T2731" s="1" t="s">
        <v>55</v>
      </c>
    </row>
    <row r="2732" spans="1:20" ht="76.5" x14ac:dyDescent="0.25">
      <c r="A2732" s="6">
        <v>2726</v>
      </c>
      <c r="B2732" s="1" t="str">
        <f>"2022-1468"</f>
        <v>2022-1468</v>
      </c>
      <c r="C2732" s="1" t="s">
        <v>2506</v>
      </c>
      <c r="D2732" s="1" t="s">
        <v>1781</v>
      </c>
      <c r="E2732" s="1" t="str">
        <f>""</f>
        <v/>
      </c>
      <c r="F2732" s="1" t="s">
        <v>1860</v>
      </c>
      <c r="G2732" s="1" t="str">
        <f>CONCATENATE(" SMIT-COMMERCE D.O.O.,"," GORNJOSTUPNIČKA 9B,"," 10255 GORNJI STUPNIK,"," OIB: 9524348214")</f>
        <v xml:space="preserve"> SMIT-COMMERCE D.O.O., GORNJOSTUPNIČKA 9B, 10255 GORNJI STUPNIK, OIB: 9524348214</v>
      </c>
      <c r="H2732" s="7"/>
      <c r="I2732" s="8" t="s">
        <v>41</v>
      </c>
      <c r="J2732" s="8" t="s">
        <v>490</v>
      </c>
      <c r="K2732" s="6" t="str">
        <f>"189.588,72"</f>
        <v>189.588,72</v>
      </c>
      <c r="L2732" s="6" t="str">
        <f>"47.397,18"</f>
        <v>47.397,18</v>
      </c>
      <c r="M2732" s="6" t="str">
        <f>"236.985,90"</f>
        <v>236.985,90</v>
      </c>
      <c r="N2732" s="8" t="s">
        <v>2212</v>
      </c>
      <c r="O2732" s="7"/>
      <c r="P2732" s="2" t="s">
        <v>7073</v>
      </c>
      <c r="Q2732" s="1" t="s">
        <v>5601</v>
      </c>
      <c r="R2732" s="1"/>
      <c r="S2732" s="1" t="str">
        <f>"GZ-UN-2022-9901"</f>
        <v>GZ-UN-2022-9901</v>
      </c>
      <c r="T2732" s="1" t="s">
        <v>55</v>
      </c>
    </row>
    <row r="2733" spans="1:20" ht="63.75" x14ac:dyDescent="0.25">
      <c r="A2733" s="6">
        <v>2727</v>
      </c>
      <c r="B2733" s="1" t="str">
        <f>"2022-292"</f>
        <v>2022-292</v>
      </c>
      <c r="C2733" s="1" t="s">
        <v>2507</v>
      </c>
      <c r="D2733" s="1" t="s">
        <v>689</v>
      </c>
      <c r="E2733" s="1" t="str">
        <f>""</f>
        <v/>
      </c>
      <c r="F2733" s="1" t="s">
        <v>1860</v>
      </c>
      <c r="G2733" s="1" t="str">
        <f>CONCATENATE(" PISMORAD D.O.O.,"," INDUSTRIJSKA 5,"," 10431 SVETA NEDELJA-NOVAKI,"," OIB: 33260306505")</f>
        <v xml:space="preserve"> PISMORAD D.O.O., INDUSTRIJSKA 5, 10431 SVETA NEDELJA-NOVAKI, OIB: 33260306505</v>
      </c>
      <c r="H2733" s="7"/>
      <c r="I2733" s="8" t="s">
        <v>804</v>
      </c>
      <c r="J2733" s="8" t="s">
        <v>1327</v>
      </c>
      <c r="K2733" s="6" t="str">
        <f>"79.300,00"</f>
        <v>79.300,00</v>
      </c>
      <c r="L2733" s="6" t="str">
        <f>"19.825,00"</f>
        <v>19.825,00</v>
      </c>
      <c r="M2733" s="6" t="str">
        <f>"99.125,00"</f>
        <v>99.125,00</v>
      </c>
      <c r="N2733" s="8" t="s">
        <v>524</v>
      </c>
      <c r="O2733" s="7"/>
      <c r="P2733" s="2" t="s">
        <v>7074</v>
      </c>
      <c r="Q2733" s="7"/>
      <c r="R2733" s="1"/>
      <c r="S2733" s="1" t="str">
        <f>"GZ-UN-2022-10924"</f>
        <v>GZ-UN-2022-10924</v>
      </c>
      <c r="T2733" s="1" t="s">
        <v>32</v>
      </c>
    </row>
    <row r="2734" spans="1:20" ht="51" x14ac:dyDescent="0.25">
      <c r="A2734" s="6">
        <v>2728</v>
      </c>
      <c r="B2734" s="1" t="str">
        <f>"2022-1461"</f>
        <v>2022-1461</v>
      </c>
      <c r="C2734" s="1" t="s">
        <v>2508</v>
      </c>
      <c r="D2734" s="1" t="s">
        <v>2509</v>
      </c>
      <c r="E2734" s="1" t="str">
        <f>""</f>
        <v/>
      </c>
      <c r="F2734" s="1" t="s">
        <v>1860</v>
      </c>
      <c r="G2734" s="1" t="str">
        <f>CONCATENATE(" DELOITTE D.O.O.,"," RADNIČKA CESTA 80,"," 10000 ZAGREB,"," OIB: 1168645778")</f>
        <v xml:space="preserve"> DELOITTE D.O.O., RADNIČKA CESTA 80, 10000 ZAGREB, OIB: 1168645778</v>
      </c>
      <c r="H2734" s="7"/>
      <c r="I2734" s="8" t="s">
        <v>398</v>
      </c>
      <c r="J2734" s="8" t="s">
        <v>1882</v>
      </c>
      <c r="K2734" s="6" t="str">
        <f>"67.200,00"</f>
        <v>67.200,00</v>
      </c>
      <c r="L2734" s="6" t="str">
        <f>"16.800,00"</f>
        <v>16.800,00</v>
      </c>
      <c r="M2734" s="6" t="str">
        <f>"84.000,00"</f>
        <v>84.000,00</v>
      </c>
      <c r="N2734" s="8" t="s">
        <v>124</v>
      </c>
      <c r="O2734" s="7"/>
      <c r="P2734" s="2" t="s">
        <v>7075</v>
      </c>
      <c r="Q2734" s="7"/>
      <c r="R2734" s="1"/>
      <c r="S2734" s="1" t="str">
        <f>"GZ-UN-2022-10981"</f>
        <v>GZ-UN-2022-10981</v>
      </c>
      <c r="T2734" s="1" t="s">
        <v>32</v>
      </c>
    </row>
    <row r="2735" spans="1:20" ht="76.5" x14ac:dyDescent="0.25">
      <c r="A2735" s="6">
        <v>2729</v>
      </c>
      <c r="B2735" s="1" t="str">
        <f>"2022-153"</f>
        <v>2022-153</v>
      </c>
      <c r="C2735" s="1" t="s">
        <v>2510</v>
      </c>
      <c r="D2735" s="1" t="s">
        <v>1387</v>
      </c>
      <c r="E2735" s="1" t="str">
        <f>""</f>
        <v/>
      </c>
      <c r="F2735" s="1" t="s">
        <v>1860</v>
      </c>
      <c r="G2735" s="1" t="str">
        <f>CONCATENATE(" SERVIS IMP CRPKE,"," vl. Dražen Kovačić,"," STROSSMAYEROV TRG 12,"," 10450 JASTREBARSKO,"," OIB: 13145108322")</f>
        <v xml:space="preserve"> SERVIS IMP CRPKE, vl. Dražen Kovačić, STROSSMAYEROV TRG 12, 10450 JASTREBARSKO, OIB: 13145108322</v>
      </c>
      <c r="H2735" s="7"/>
      <c r="I2735" s="8" t="s">
        <v>242</v>
      </c>
      <c r="J2735" s="8" t="s">
        <v>2166</v>
      </c>
      <c r="K2735" s="6" t="str">
        <f>"87.850,00"</f>
        <v>87.850,00</v>
      </c>
      <c r="L2735" s="6" t="str">
        <f>"21.962,50"</f>
        <v>21.962,50</v>
      </c>
      <c r="M2735" s="6" t="str">
        <f>"109.812,50"</f>
        <v>109.812,50</v>
      </c>
      <c r="N2735" s="8" t="s">
        <v>371</v>
      </c>
      <c r="O2735" s="7"/>
      <c r="P2735" s="2" t="s">
        <v>7076</v>
      </c>
      <c r="Q2735" s="7"/>
      <c r="R2735" s="1"/>
      <c r="S2735" s="1" t="str">
        <f>"GZ-UN-2022-11115"</f>
        <v>GZ-UN-2022-11115</v>
      </c>
      <c r="T2735" s="1" t="s">
        <v>32</v>
      </c>
    </row>
    <row r="2736" spans="1:20" ht="51" x14ac:dyDescent="0.25">
      <c r="A2736" s="6">
        <v>2730</v>
      </c>
      <c r="B2736" s="1" t="str">
        <f>"2022-155"</f>
        <v>2022-155</v>
      </c>
      <c r="C2736" s="1" t="s">
        <v>2511</v>
      </c>
      <c r="D2736" s="1" t="s">
        <v>2032</v>
      </c>
      <c r="E2736" s="1" t="str">
        <f>""</f>
        <v/>
      </c>
      <c r="F2736" s="1" t="s">
        <v>1860</v>
      </c>
      <c r="G2736" s="1" t="str">
        <f>CONCATENATE(" PROJEKTI DIZALA D.O.O.,"," VRGADSKI PUT 71,"," 10 000 ZAGREB,"," OIB: 21871373482")</f>
        <v xml:space="preserve"> PROJEKTI DIZALA D.O.O., VRGADSKI PUT 71, 10 000 ZAGREB, OIB: 21871373482</v>
      </c>
      <c r="H2736" s="7"/>
      <c r="I2736" s="8" t="s">
        <v>371</v>
      </c>
      <c r="J2736" s="8" t="s">
        <v>2512</v>
      </c>
      <c r="K2736" s="6" t="str">
        <f>"348.930,00"</f>
        <v>348.930,00</v>
      </c>
      <c r="L2736" s="6" t="str">
        <f>"87.232,50"</f>
        <v>87.232,50</v>
      </c>
      <c r="M2736" s="6" t="str">
        <f>"436.162,50"</f>
        <v>436.162,50</v>
      </c>
      <c r="N2736" s="8" t="s">
        <v>124</v>
      </c>
      <c r="O2736" s="7"/>
      <c r="P2736" s="2" t="s">
        <v>7077</v>
      </c>
      <c r="Q2736" s="7"/>
      <c r="R2736" s="1"/>
      <c r="S2736" s="1" t="str">
        <f>"GZ-UN-2022-11563"</f>
        <v>GZ-UN-2022-11563</v>
      </c>
      <c r="T2736" s="1" t="s">
        <v>32</v>
      </c>
    </row>
    <row r="2737" spans="1:20" ht="51" x14ac:dyDescent="0.25">
      <c r="A2737" s="6">
        <v>2731</v>
      </c>
      <c r="B2737" s="1" t="str">
        <f>"2022-266"</f>
        <v>2022-266</v>
      </c>
      <c r="C2737" s="1" t="s">
        <v>2513</v>
      </c>
      <c r="D2737" s="1" t="s">
        <v>665</v>
      </c>
      <c r="E2737" s="1" t="str">
        <f>""</f>
        <v/>
      </c>
      <c r="F2737" s="1" t="s">
        <v>1860</v>
      </c>
      <c r="G2737" s="1" t="str">
        <f>CONCATENATE(" OLEUM FLEX D.O.O.,"," PUŠKARIĆEVA ULICA 11F,"," 10250 LUČKO,"," OIB: 53785632625")</f>
        <v xml:space="preserve"> OLEUM FLEX D.O.O., PUŠKARIĆEVA ULICA 11F, 10250 LUČKO, OIB: 53785632625</v>
      </c>
      <c r="H2737" s="7"/>
      <c r="I2737" s="8" t="s">
        <v>401</v>
      </c>
      <c r="J2737" s="8" t="s">
        <v>1398</v>
      </c>
      <c r="K2737" s="6" t="str">
        <f>"42.212,95"</f>
        <v>42.212,95</v>
      </c>
      <c r="L2737" s="6" t="str">
        <f>"10.553,24"</f>
        <v>10.553,24</v>
      </c>
      <c r="M2737" s="6" t="str">
        <f>"52.766,19"</f>
        <v>52.766,19</v>
      </c>
      <c r="N2737" s="8" t="s">
        <v>354</v>
      </c>
      <c r="O2737" s="7"/>
      <c r="P2737" s="2" t="s">
        <v>7078</v>
      </c>
      <c r="Q2737" s="7"/>
      <c r="R2737" s="1"/>
      <c r="S2737" s="1" t="str">
        <f>"GZ-UN-2022-12408"</f>
        <v>GZ-UN-2022-12408</v>
      </c>
      <c r="T2737" s="1" t="s">
        <v>32</v>
      </c>
    </row>
    <row r="2738" spans="1:20" ht="51" x14ac:dyDescent="0.25">
      <c r="A2738" s="6">
        <v>2732</v>
      </c>
      <c r="B2738" s="1" t="str">
        <f>"2022-1425"</f>
        <v>2022-1425</v>
      </c>
      <c r="C2738" s="1" t="s">
        <v>2514</v>
      </c>
      <c r="D2738" s="1" t="s">
        <v>2515</v>
      </c>
      <c r="E2738" s="1" t="str">
        <f>""</f>
        <v/>
      </c>
      <c r="F2738" s="1" t="s">
        <v>1860</v>
      </c>
      <c r="G2738" s="1" t="str">
        <f>CONCATENATE(" NEMO-EXPERT D.O.O.,"," ULICA ANTUNAŠOLJANA 33,"," 10090 ZAGREB,"," OIB: 82389777589")</f>
        <v xml:space="preserve"> NEMO-EXPERT D.O.O., ULICA ANTUNAŠOLJANA 33, 10090 ZAGREB, OIB: 82389777589</v>
      </c>
      <c r="H2738" s="7"/>
      <c r="I2738" s="8" t="s">
        <v>921</v>
      </c>
      <c r="J2738" s="8" t="s">
        <v>493</v>
      </c>
      <c r="K2738" s="6" t="str">
        <f>"197.620,00"</f>
        <v>197.620,00</v>
      </c>
      <c r="L2738" s="6" t="str">
        <f>"49.405,00"</f>
        <v>49.405,00</v>
      </c>
      <c r="M2738" s="6" t="str">
        <f>"247.025,00"</f>
        <v>247.025,00</v>
      </c>
      <c r="N2738" s="8" t="s">
        <v>169</v>
      </c>
      <c r="O2738" s="7"/>
      <c r="P2738" s="2" t="s">
        <v>7079</v>
      </c>
      <c r="Q2738" s="1" t="s">
        <v>488</v>
      </c>
      <c r="R2738" s="1"/>
      <c r="S2738" s="1" t="str">
        <f>"GZ-UN-2022-12847"</f>
        <v>GZ-UN-2022-12847</v>
      </c>
      <c r="T2738" s="1" t="s">
        <v>32</v>
      </c>
    </row>
    <row r="2739" spans="1:20" ht="51" x14ac:dyDescent="0.25">
      <c r="A2739" s="6">
        <v>2733</v>
      </c>
      <c r="B2739" s="1" t="str">
        <f>"2022-391"</f>
        <v>2022-391</v>
      </c>
      <c r="C2739" s="1" t="s">
        <v>2516</v>
      </c>
      <c r="D2739" s="1" t="s">
        <v>537</v>
      </c>
      <c r="E2739" s="1" t="str">
        <f>""</f>
        <v/>
      </c>
      <c r="F2739" s="1" t="s">
        <v>1860</v>
      </c>
      <c r="G2739" s="1" t="str">
        <f>CONCATENATE(" DOBRO RJEŠENJE D.O.O.,"," ZAVRTNICA 3,"," 10000 ZAGREB,"," OIB: 33104804103")</f>
        <v xml:space="preserve"> DOBRO RJEŠENJE D.O.O., ZAVRTNICA 3, 10000 ZAGREB, OIB: 33104804103</v>
      </c>
      <c r="H2739" s="7"/>
      <c r="I2739" s="8" t="s">
        <v>607</v>
      </c>
      <c r="J2739" s="8" t="s">
        <v>2517</v>
      </c>
      <c r="K2739" s="6" t="str">
        <f>"47.932,20"</f>
        <v>47.932,20</v>
      </c>
      <c r="L2739" s="6" t="str">
        <f>"11.983,05"</f>
        <v>11.983,05</v>
      </c>
      <c r="M2739" s="6" t="str">
        <f>"59.915,25"</f>
        <v>59.915,25</v>
      </c>
      <c r="N2739" s="8" t="s">
        <v>124</v>
      </c>
      <c r="O2739" s="7"/>
      <c r="P2739" s="2" t="s">
        <v>5614</v>
      </c>
      <c r="Q2739" s="7"/>
      <c r="R2739" s="1"/>
      <c r="S2739" s="1" t="str">
        <f>"GZ-UN-2022-13642"</f>
        <v>GZ-UN-2022-13642</v>
      </c>
      <c r="T2739" s="1" t="s">
        <v>32</v>
      </c>
    </row>
    <row r="2740" spans="1:20" ht="38.25" x14ac:dyDescent="0.25">
      <c r="A2740" s="6">
        <v>2734</v>
      </c>
      <c r="B2740" s="1" t="str">
        <f>"2022-1830"</f>
        <v>2022-1830</v>
      </c>
      <c r="C2740" s="1" t="s">
        <v>2518</v>
      </c>
      <c r="D2740" s="1" t="s">
        <v>2519</v>
      </c>
      <c r="E2740" s="1" t="str">
        <f>""</f>
        <v/>
      </c>
      <c r="F2740" s="1" t="s">
        <v>1860</v>
      </c>
      <c r="G2740" s="1" t="str">
        <f>CONCATENATE(" O-K-TEH d.o.o.,"," VUČAK 16A,"," 10000 ZAGREB,"," OIB: 37322381288")</f>
        <v xml:space="preserve"> O-K-TEH d.o.o., VUČAK 16A, 10000 ZAGREB, OIB: 37322381288</v>
      </c>
      <c r="H2740" s="7"/>
      <c r="I2740" s="8" t="s">
        <v>308</v>
      </c>
      <c r="J2740" s="8" t="s">
        <v>2520</v>
      </c>
      <c r="K2740" s="6" t="str">
        <f>"191.700,00"</f>
        <v>191.700,00</v>
      </c>
      <c r="L2740" s="6" t="str">
        <f>"47.925,00"</f>
        <v>47.925,00</v>
      </c>
      <c r="M2740" s="6" t="str">
        <f>"239.625,00"</f>
        <v>239.625,00</v>
      </c>
      <c r="N2740" s="8" t="s">
        <v>133</v>
      </c>
      <c r="O2740" s="7"/>
      <c r="P2740" s="2" t="s">
        <v>7080</v>
      </c>
      <c r="Q2740" s="1"/>
      <c r="R2740" s="1"/>
      <c r="S2740" s="1" t="str">
        <f>"GZ-UN-2022-14193"</f>
        <v>GZ-UN-2022-14193</v>
      </c>
      <c r="T2740" s="1" t="s">
        <v>32</v>
      </c>
    </row>
    <row r="2741" spans="1:20" ht="63.75" x14ac:dyDescent="0.25">
      <c r="A2741" s="6">
        <v>2735</v>
      </c>
      <c r="B2741" s="1" t="str">
        <f>"2022-1158"</f>
        <v>2022-1158</v>
      </c>
      <c r="C2741" s="1" t="s">
        <v>2475</v>
      </c>
      <c r="D2741" s="1" t="s">
        <v>1824</v>
      </c>
      <c r="E2741" s="1" t="str">
        <f>""</f>
        <v/>
      </c>
      <c r="F2741" s="1" t="s">
        <v>1860</v>
      </c>
      <c r="G2741" s="1" t="str">
        <f>CONCATENATE(" IVNE GRAĐEVINA D.O.O.,"," LASTOVSKA 2A,"," 10000 ZAGREB,"," OIB: 98095915259")</f>
        <v xml:space="preserve"> IVNE GRAĐEVINA D.O.O., LASTOVSKA 2A, 10000 ZAGREB, OIB: 98095915259</v>
      </c>
      <c r="H2741" s="7"/>
      <c r="I2741" s="8" t="s">
        <v>350</v>
      </c>
      <c r="J2741" s="8" t="s">
        <v>2209</v>
      </c>
      <c r="K2741" s="6" t="str">
        <f>"44.500,00"</f>
        <v>44.500,00</v>
      </c>
      <c r="L2741" s="6" t="str">
        <f>"11.125,00"</f>
        <v>11.125,00</v>
      </c>
      <c r="M2741" s="6" t="str">
        <f>"55.625,00"</f>
        <v>55.625,00</v>
      </c>
      <c r="N2741" s="8" t="s">
        <v>124</v>
      </c>
      <c r="O2741" s="7"/>
      <c r="P2741" s="2" t="s">
        <v>5614</v>
      </c>
      <c r="Q2741" s="7"/>
      <c r="R2741" s="1"/>
      <c r="S2741" s="1" t="str">
        <f>"GZ-UN-2022-14636"</f>
        <v>GZ-UN-2022-14636</v>
      </c>
      <c r="T2741" s="1" t="s">
        <v>55</v>
      </c>
    </row>
    <row r="2742" spans="1:20" ht="76.5" x14ac:dyDescent="0.25">
      <c r="A2742" s="6">
        <v>2736</v>
      </c>
      <c r="B2742" s="1" t="str">
        <f>"2022-1857"</f>
        <v>2022-1857</v>
      </c>
      <c r="C2742" s="1" t="s">
        <v>2521</v>
      </c>
      <c r="D2742" s="1" t="s">
        <v>1304</v>
      </c>
      <c r="E2742" s="1" t="str">
        <f>""</f>
        <v/>
      </c>
      <c r="F2742" s="1" t="s">
        <v>1860</v>
      </c>
      <c r="G2742" s="1" t="str">
        <f>CONCATENATE(" SMIT-COMMERCE D.O.O.,"," GORNJOSTUPNIČKA 9B,"," 10255 GORNJI STUPNIK,"," OIB: 9524348214")</f>
        <v xml:space="preserve"> SMIT-COMMERCE D.O.O., GORNJOSTUPNIČKA 9B, 10255 GORNJI STUPNIK, OIB: 9524348214</v>
      </c>
      <c r="H2742" s="7"/>
      <c r="I2742" s="8" t="s">
        <v>521</v>
      </c>
      <c r="J2742" s="8" t="s">
        <v>1917</v>
      </c>
      <c r="K2742" s="6" t="str">
        <f>"136.840,00"</f>
        <v>136.840,00</v>
      </c>
      <c r="L2742" s="6" t="str">
        <f>"34.210,00"</f>
        <v>34.210,00</v>
      </c>
      <c r="M2742" s="6" t="str">
        <f>"171.050,00"</f>
        <v>171.050,00</v>
      </c>
      <c r="N2742" s="8" t="s">
        <v>192</v>
      </c>
      <c r="O2742" s="7"/>
      <c r="P2742" s="2" t="s">
        <v>7081</v>
      </c>
      <c r="Q2742" s="7"/>
      <c r="R2742" s="1"/>
      <c r="S2742" s="1" t="str">
        <f>"GZ-UN-2022-14646"</f>
        <v>GZ-UN-2022-14646</v>
      </c>
      <c r="T2742" s="1" t="s">
        <v>32</v>
      </c>
    </row>
    <row r="2743" spans="1:20" ht="51" x14ac:dyDescent="0.25">
      <c r="A2743" s="6">
        <v>2737</v>
      </c>
      <c r="B2743" s="1" t="str">
        <f>"2022-1870"</f>
        <v>2022-1870</v>
      </c>
      <c r="C2743" s="1" t="s">
        <v>2522</v>
      </c>
      <c r="D2743" s="1" t="s">
        <v>1085</v>
      </c>
      <c r="E2743" s="1" t="str">
        <f>""</f>
        <v/>
      </c>
      <c r="F2743" s="1" t="s">
        <v>1860</v>
      </c>
      <c r="G2743" s="1" t="str">
        <f>CONCATENATE(" SIGNALIZACIJA D.O.O.,"," KNEŽICA,"," PODGAJ 3/A,"," 20236 MOKOŠICA,"," OIB: 4102135734")</f>
        <v xml:space="preserve"> SIGNALIZACIJA D.O.O., KNEŽICA, PODGAJ 3/A, 20236 MOKOŠICA, OIB: 4102135734</v>
      </c>
      <c r="H2743" s="7"/>
      <c r="I2743" s="8" t="s">
        <v>521</v>
      </c>
      <c r="J2743" s="8" t="s">
        <v>1917</v>
      </c>
      <c r="K2743" s="6" t="str">
        <f>"98.628,75"</f>
        <v>98.628,75</v>
      </c>
      <c r="L2743" s="6" t="str">
        <f>"24.657,19"</f>
        <v>24.657,19</v>
      </c>
      <c r="M2743" s="6" t="str">
        <f>"123.285,94"</f>
        <v>123.285,94</v>
      </c>
      <c r="N2743" s="8" t="s">
        <v>57</v>
      </c>
      <c r="O2743" s="7"/>
      <c r="P2743" s="2" t="s">
        <v>7082</v>
      </c>
      <c r="Q2743" s="7"/>
      <c r="R2743" s="1"/>
      <c r="S2743" s="1" t="str">
        <f>"GZ-UN-2022-14675"</f>
        <v>GZ-UN-2022-14675</v>
      </c>
      <c r="T2743" s="1" t="s">
        <v>32</v>
      </c>
    </row>
    <row r="2744" spans="1:20" ht="51" x14ac:dyDescent="0.25">
      <c r="A2744" s="6">
        <v>2738</v>
      </c>
      <c r="B2744" s="1" t="str">
        <f>"2022-1861"</f>
        <v>2022-1861</v>
      </c>
      <c r="C2744" s="1" t="s">
        <v>2523</v>
      </c>
      <c r="D2744" s="1" t="s">
        <v>741</v>
      </c>
      <c r="E2744" s="1" t="str">
        <f>""</f>
        <v/>
      </c>
      <c r="F2744" s="1" t="s">
        <v>1860</v>
      </c>
      <c r="G2744" s="1" t="str">
        <f>CONCATENATE(" CHROMOS D.D.,"," ZAGREBAČKA 30,"," 10430 SAMOBOR,"," OIB: 08231288332")</f>
        <v xml:space="preserve"> CHROMOS D.D., ZAGREBAČKA 30, 10430 SAMOBOR, OIB: 08231288332</v>
      </c>
      <c r="H2744" s="7"/>
      <c r="I2744" s="8" t="s">
        <v>862</v>
      </c>
      <c r="J2744" s="8" t="s">
        <v>873</v>
      </c>
      <c r="K2744" s="6" t="str">
        <f>"170.235,00"</f>
        <v>170.235,00</v>
      </c>
      <c r="L2744" s="6" t="str">
        <f>"42.558,75"</f>
        <v>42.558,75</v>
      </c>
      <c r="M2744" s="6" t="str">
        <f>"212.793,75"</f>
        <v>212.793,75</v>
      </c>
      <c r="N2744" s="8" t="s">
        <v>124</v>
      </c>
      <c r="O2744" s="7"/>
      <c r="P2744" s="2" t="s">
        <v>7083</v>
      </c>
      <c r="Q2744" s="7"/>
      <c r="R2744" s="1"/>
      <c r="S2744" s="1" t="str">
        <f>"GZ-UN-2022-14701"</f>
        <v>GZ-UN-2022-14701</v>
      </c>
      <c r="T2744" s="1" t="s">
        <v>32</v>
      </c>
    </row>
    <row r="2745" spans="1:20" ht="51" x14ac:dyDescent="0.25">
      <c r="A2745" s="6">
        <v>2739</v>
      </c>
      <c r="B2745" s="1" t="str">
        <f>"2022-613"</f>
        <v>2022-613</v>
      </c>
      <c r="C2745" s="1" t="s">
        <v>2524</v>
      </c>
      <c r="D2745" s="1" t="s">
        <v>2525</v>
      </c>
      <c r="E2745" s="1" t="str">
        <f>""</f>
        <v/>
      </c>
      <c r="F2745" s="1" t="s">
        <v>1860</v>
      </c>
      <c r="G2745" s="1" t="str">
        <f>CONCATENATE(" ECCOS-INŽENJERING D.O.O.,"," BANI 110,"," 10000 ZAGREB,"," OIB: 71629027685")</f>
        <v xml:space="preserve"> ECCOS-INŽENJERING D.O.O., BANI 110, 10000 ZAGREB, OIB: 71629027685</v>
      </c>
      <c r="H2745" s="7"/>
      <c r="I2745" s="8" t="s">
        <v>898</v>
      </c>
      <c r="J2745" s="8" t="s">
        <v>2526</v>
      </c>
      <c r="K2745" s="6" t="str">
        <f>"149.852,00"</f>
        <v>149.852,00</v>
      </c>
      <c r="L2745" s="6" t="str">
        <f>"37.463,00"</f>
        <v>37.463,00</v>
      </c>
      <c r="M2745" s="6" t="str">
        <f>"187.315,00"</f>
        <v>187.315,00</v>
      </c>
      <c r="N2745" s="8" t="s">
        <v>124</v>
      </c>
      <c r="O2745" s="7"/>
      <c r="P2745" s="2" t="s">
        <v>5614</v>
      </c>
      <c r="Q2745" s="7"/>
      <c r="R2745" s="1"/>
      <c r="S2745" s="1" t="str">
        <f>"GZ-UN-2022-14727"</f>
        <v>GZ-UN-2022-14727</v>
      </c>
      <c r="T2745" s="1" t="s">
        <v>32</v>
      </c>
    </row>
    <row r="2746" spans="1:20" ht="51" x14ac:dyDescent="0.25">
      <c r="A2746" s="6">
        <v>2740</v>
      </c>
      <c r="B2746" s="1" t="str">
        <f>"2022-1031"</f>
        <v>2022-1031</v>
      </c>
      <c r="C2746" s="1" t="s">
        <v>2412</v>
      </c>
      <c r="D2746" s="1" t="s">
        <v>2413</v>
      </c>
      <c r="E2746" s="1" t="str">
        <f>""</f>
        <v/>
      </c>
      <c r="F2746" s="1" t="s">
        <v>1860</v>
      </c>
      <c r="G2746" s="1" t="str">
        <f>CONCATENATE(" ELEKTRONIČKI RAČUNI D.O.O.,"," ILICA 412A,"," 10000 ZAGREB,"," OIB: 42889250808")</f>
        <v xml:space="preserve"> ELEKTRONIČKI RAČUNI D.O.O., ILICA 412A, 10000 ZAGREB, OIB: 42889250808</v>
      </c>
      <c r="H2746" s="7"/>
      <c r="I2746" s="8" t="s">
        <v>487</v>
      </c>
      <c r="J2746" s="8" t="s">
        <v>2178</v>
      </c>
      <c r="K2746" s="6" t="str">
        <f>"104.388,00"</f>
        <v>104.388,00</v>
      </c>
      <c r="L2746" s="6" t="str">
        <f>"26.097,00"</f>
        <v>26.097,00</v>
      </c>
      <c r="M2746" s="6" t="str">
        <f>"130.485,00"</f>
        <v>130.485,00</v>
      </c>
      <c r="N2746" s="8" t="s">
        <v>124</v>
      </c>
      <c r="O2746" s="7"/>
      <c r="P2746" s="2" t="s">
        <v>7084</v>
      </c>
      <c r="Q2746" s="7"/>
      <c r="R2746" s="1"/>
      <c r="S2746" s="1" t="str">
        <f>"GZ-UN-2022-14761"</f>
        <v>GZ-UN-2022-14761</v>
      </c>
      <c r="T2746" s="1" t="s">
        <v>43</v>
      </c>
    </row>
    <row r="2747" spans="1:20" ht="51" x14ac:dyDescent="0.25">
      <c r="A2747" s="6">
        <v>2741</v>
      </c>
      <c r="B2747" s="1" t="str">
        <f>"2022-1835"</f>
        <v>2022-1835</v>
      </c>
      <c r="C2747" s="1" t="s">
        <v>2527</v>
      </c>
      <c r="D2747" s="1" t="s">
        <v>2362</v>
      </c>
      <c r="E2747" s="1" t="str">
        <f>""</f>
        <v/>
      </c>
      <c r="F2747" s="1" t="s">
        <v>1860</v>
      </c>
      <c r="G2747" s="1" t="str">
        <f>CONCATENATE(" KLIMA EXPERT D.O.O.,"," KARLOVAČKA CESTA 203A,"," 10250 LUČKO,"," OIB: 49766965594")</f>
        <v xml:space="preserve"> KLIMA EXPERT D.O.O., KARLOVAČKA CESTA 203A, 10250 LUČKO, OIB: 49766965594</v>
      </c>
      <c r="H2747" s="7"/>
      <c r="I2747" s="8" t="s">
        <v>994</v>
      </c>
      <c r="J2747" s="8" t="s">
        <v>2528</v>
      </c>
      <c r="K2747" s="6" t="str">
        <f>"142.000,00"</f>
        <v>142.000,00</v>
      </c>
      <c r="L2747" s="6" t="str">
        <f>"35.500,00"</f>
        <v>35.500,00</v>
      </c>
      <c r="M2747" s="6" t="str">
        <f>"177.500,00"</f>
        <v>177.500,00</v>
      </c>
      <c r="N2747" s="8" t="s">
        <v>469</v>
      </c>
      <c r="O2747" s="7"/>
      <c r="P2747" s="2" t="s">
        <v>7085</v>
      </c>
      <c r="Q2747" s="7"/>
      <c r="R2747" s="1"/>
      <c r="S2747" s="1" t="str">
        <f>"GZ-UN-2022-14772"</f>
        <v>GZ-UN-2022-14772</v>
      </c>
      <c r="T2747" s="1" t="s">
        <v>32</v>
      </c>
    </row>
    <row r="2748" spans="1:20" ht="51" x14ac:dyDescent="0.25">
      <c r="A2748" s="6">
        <v>2742</v>
      </c>
      <c r="B2748" s="1" t="str">
        <f>"2022-1811"</f>
        <v>2022-1811</v>
      </c>
      <c r="C2748" s="1" t="s">
        <v>2529</v>
      </c>
      <c r="D2748" s="1" t="s">
        <v>2530</v>
      </c>
      <c r="E2748" s="1" t="str">
        <f>""</f>
        <v/>
      </c>
      <c r="F2748" s="1" t="s">
        <v>1860</v>
      </c>
      <c r="G2748" s="1" t="str">
        <f>CONCATENATE(" AUREL D.O.O.,"," BORONGAJSKA CESTA bb,"," 10000 ZAGREB,"," OIB: 62871653225")</f>
        <v xml:space="preserve"> AUREL D.O.O., BORONGAJSKA CESTA bb, 10000 ZAGREB, OIB: 62871653225</v>
      </c>
      <c r="H2748" s="7"/>
      <c r="I2748" s="8" t="s">
        <v>893</v>
      </c>
      <c r="J2748" s="8" t="s">
        <v>2531</v>
      </c>
      <c r="K2748" s="6" t="str">
        <f>"116.490,88"</f>
        <v>116.490,88</v>
      </c>
      <c r="L2748" s="6" t="str">
        <f>"29.122,72"</f>
        <v>29.122,72</v>
      </c>
      <c r="M2748" s="6" t="str">
        <f>"145.613,60"</f>
        <v>145.613,60</v>
      </c>
      <c r="N2748" s="8" t="s">
        <v>124</v>
      </c>
      <c r="O2748" s="7"/>
      <c r="P2748" s="2" t="s">
        <v>5614</v>
      </c>
      <c r="Q2748" s="7"/>
      <c r="R2748" s="1"/>
      <c r="S2748" s="1" t="str">
        <f>"GZ-UN-2022-15237"</f>
        <v>GZ-UN-2022-15237</v>
      </c>
      <c r="T2748" s="1" t="s">
        <v>32</v>
      </c>
    </row>
    <row r="2749" spans="1:20" ht="51" x14ac:dyDescent="0.25">
      <c r="A2749" s="6">
        <v>2743</v>
      </c>
      <c r="B2749" s="1" t="str">
        <f>"2022-1868"</f>
        <v>2022-1868</v>
      </c>
      <c r="C2749" s="1" t="s">
        <v>2532</v>
      </c>
      <c r="D2749" s="1" t="s">
        <v>2241</v>
      </c>
      <c r="E2749" s="1" t="str">
        <f>""</f>
        <v/>
      </c>
      <c r="F2749" s="1" t="s">
        <v>1860</v>
      </c>
      <c r="G2749" s="1" t="str">
        <f>CONCATENATE(" VIATOR D.O.O.,"," KRALJA DRŽISLAVA 6,"," 21000 SPLIT,"," OIB: 6473171712")</f>
        <v xml:space="preserve"> VIATOR D.O.O., KRALJA DRŽISLAVA 6, 21000 SPLIT, OIB: 6473171712</v>
      </c>
      <c r="H2749" s="7"/>
      <c r="I2749" s="8" t="s">
        <v>169</v>
      </c>
      <c r="J2749" s="8" t="s">
        <v>1153</v>
      </c>
      <c r="K2749" s="6" t="str">
        <f>"61.600,00"</f>
        <v>61.600,00</v>
      </c>
      <c r="L2749" s="6" t="str">
        <f>"15.400,00"</f>
        <v>15.400,00</v>
      </c>
      <c r="M2749" s="6" t="str">
        <f>"77.000,00"</f>
        <v>77.000,00</v>
      </c>
      <c r="N2749" s="8" t="s">
        <v>124</v>
      </c>
      <c r="O2749" s="7"/>
      <c r="P2749" s="2" t="s">
        <v>7086</v>
      </c>
      <c r="Q2749" s="7"/>
      <c r="R2749" s="1"/>
      <c r="S2749" s="1" t="str">
        <f>"GZ-UN-2022-15270"</f>
        <v>GZ-UN-2022-15270</v>
      </c>
      <c r="T2749" s="1" t="s">
        <v>32</v>
      </c>
    </row>
    <row r="2750" spans="1:20" ht="63.75" x14ac:dyDescent="0.25">
      <c r="A2750" s="6">
        <v>2744</v>
      </c>
      <c r="B2750" s="1" t="str">
        <f>"2022-1947"</f>
        <v>2022-1947</v>
      </c>
      <c r="C2750" s="1" t="s">
        <v>2533</v>
      </c>
      <c r="D2750" s="1" t="s">
        <v>1383</v>
      </c>
      <c r="E2750" s="1" t="str">
        <f>""</f>
        <v/>
      </c>
      <c r="F2750" s="1" t="s">
        <v>1860</v>
      </c>
      <c r="G2750" s="1" t="str">
        <f>CONCATENATE(" ALBO INTERIJERI J.D.O.O.,"," MILOVANA KOVAČEVIĆA 9,"," 10000 ZAGREB,"," OIB: 13187224503")</f>
        <v xml:space="preserve"> ALBO INTERIJERI J.D.O.O., MILOVANA KOVAČEVIĆA 9, 10000 ZAGREB, OIB: 13187224503</v>
      </c>
      <c r="H2750" s="7"/>
      <c r="I2750" s="8" t="s">
        <v>520</v>
      </c>
      <c r="J2750" s="8" t="s">
        <v>570</v>
      </c>
      <c r="K2750" s="6" t="str">
        <f>"99.483,90"</f>
        <v>99.483,90</v>
      </c>
      <c r="L2750" s="6" t="str">
        <f>"24.870,98"</f>
        <v>24.870,98</v>
      </c>
      <c r="M2750" s="6" t="str">
        <f>"124.354,88"</f>
        <v>124.354,88</v>
      </c>
      <c r="N2750" s="8" t="s">
        <v>124</v>
      </c>
      <c r="O2750" s="7"/>
      <c r="P2750" s="2" t="s">
        <v>5614</v>
      </c>
      <c r="Q2750" s="7"/>
      <c r="R2750" s="1"/>
      <c r="S2750" s="1" t="str">
        <f>"GZ-UN-2022-15491"</f>
        <v>GZ-UN-2022-15491</v>
      </c>
      <c r="T2750" s="1" t="s">
        <v>32</v>
      </c>
    </row>
    <row r="2751" spans="1:20" ht="63.75" x14ac:dyDescent="0.25">
      <c r="A2751" s="6">
        <v>2745</v>
      </c>
      <c r="B2751" s="1" t="str">
        <f>"2020-2656"</f>
        <v>2020-2656</v>
      </c>
      <c r="C2751" s="1" t="s">
        <v>2534</v>
      </c>
      <c r="D2751" s="1" t="s">
        <v>2535</v>
      </c>
      <c r="E2751" s="1" t="str">
        <f>""</f>
        <v/>
      </c>
      <c r="F2751" s="1" t="s">
        <v>1860</v>
      </c>
      <c r="G2751" s="1" t="str">
        <f>CONCATENATE(" JULIUS MEINL BONFANTI D.O.O.,"," LJUBLJANSKA ULICA 4,"," 10431 SVETA NEDELJA,"," OIB: 39546130894")</f>
        <v xml:space="preserve"> JULIUS MEINL BONFANTI D.O.O., LJUBLJANSKA ULICA 4, 10431 SVETA NEDELJA, OIB: 39546130894</v>
      </c>
      <c r="H2751" s="7"/>
      <c r="I2751" s="8" t="s">
        <v>2536</v>
      </c>
      <c r="J2751" s="8" t="s">
        <v>25</v>
      </c>
      <c r="K2751" s="6" t="str">
        <f>"26.952,00"</f>
        <v>26.952,00</v>
      </c>
      <c r="L2751" s="6" t="str">
        <f>"6.738,00"</f>
        <v>6.738,00</v>
      </c>
      <c r="M2751" s="6" t="str">
        <f>"33.690,00"</f>
        <v>33.690,00</v>
      </c>
      <c r="N2751" s="8" t="s">
        <v>440</v>
      </c>
      <c r="O2751" s="7"/>
      <c r="P2751" s="2" t="s">
        <v>7087</v>
      </c>
      <c r="Q2751" s="7"/>
      <c r="R2751" s="1"/>
      <c r="S2751" s="1" t="str">
        <f>"J-UN-2020-1495"</f>
        <v>J-UN-2020-1495</v>
      </c>
      <c r="T2751" s="1" t="s">
        <v>32</v>
      </c>
    </row>
    <row r="2752" spans="1:20" ht="63.75" x14ac:dyDescent="0.25">
      <c r="A2752" s="6">
        <v>2746</v>
      </c>
      <c r="B2752" s="1" t="str">
        <f>"2020-2656"</f>
        <v>2020-2656</v>
      </c>
      <c r="C2752" s="1" t="s">
        <v>2534</v>
      </c>
      <c r="D2752" s="1" t="s">
        <v>2535</v>
      </c>
      <c r="E2752" s="1" t="str">
        <f>""</f>
        <v/>
      </c>
      <c r="F2752" s="1" t="s">
        <v>1969</v>
      </c>
      <c r="G2752" s="1" t="str">
        <f>CONCATENATE(" JULIUS MEINL BONFANTI D.O.O.,"," LJUBLJANSKA ULICA 4,"," 10431 SVETA NEDELJA,"," OIB: 39546130894")</f>
        <v xml:space="preserve"> JULIUS MEINL BONFANTI D.O.O., LJUBLJANSKA ULICA 4, 10431 SVETA NEDELJA, OIB: 39546130894</v>
      </c>
      <c r="H2752" s="7"/>
      <c r="I2752" s="8" t="s">
        <v>2537</v>
      </c>
      <c r="J2752" s="8" t="s">
        <v>277</v>
      </c>
      <c r="K2752" s="6" t="str">
        <f>""</f>
        <v/>
      </c>
      <c r="L2752" s="6" t="str">
        <f>"0,00"</f>
        <v>0,00</v>
      </c>
      <c r="M2752" s="6" t="str">
        <f>"0,00"</f>
        <v>0,00</v>
      </c>
      <c r="N2752" s="8" t="s">
        <v>522</v>
      </c>
      <c r="O2752" s="7"/>
      <c r="P2752" s="2" t="s">
        <v>7088</v>
      </c>
      <c r="Q2752" s="1" t="s">
        <v>1177</v>
      </c>
      <c r="R2752" s="1"/>
      <c r="S2752" s="1" t="str">
        <f>"J-UN-2020-1495-1"</f>
        <v>J-UN-2020-1495-1</v>
      </c>
      <c r="T2752" s="1" t="s">
        <v>32</v>
      </c>
    </row>
    <row r="2753" spans="1:20" ht="51" x14ac:dyDescent="0.25">
      <c r="A2753" s="6">
        <v>2747</v>
      </c>
      <c r="B2753" s="1" t="str">
        <f>"2020-1702"</f>
        <v>2020-1702</v>
      </c>
      <c r="C2753" s="1" t="s">
        <v>2538</v>
      </c>
      <c r="D2753" s="1" t="s">
        <v>2413</v>
      </c>
      <c r="E2753" s="1" t="str">
        <f>""</f>
        <v/>
      </c>
      <c r="F2753" s="1" t="s">
        <v>1860</v>
      </c>
      <c r="G2753" s="1" t="str">
        <f>CONCATENATE(" MSTART PLUS D.O.O.,"," SLAVONSKA AVENIJA 11a,"," 10000 ZAGREB,"," OIB: 3416400637")</f>
        <v xml:space="preserve"> MSTART PLUS D.O.O., SLAVONSKA AVENIJA 11a, 10000 ZAGREB, OIB: 3416400637</v>
      </c>
      <c r="H2753" s="7"/>
      <c r="I2753" s="8" t="s">
        <v>2539</v>
      </c>
      <c r="J2753" s="8" t="s">
        <v>58</v>
      </c>
      <c r="K2753" s="6" t="str">
        <f>"174.000,00"</f>
        <v>174.000,00</v>
      </c>
      <c r="L2753" s="6" t="str">
        <f>"43.500,00"</f>
        <v>43.500,00</v>
      </c>
      <c r="M2753" s="6" t="str">
        <f>"217.500,00"</f>
        <v>217.500,00</v>
      </c>
      <c r="N2753" s="8" t="s">
        <v>285</v>
      </c>
      <c r="O2753" s="7"/>
      <c r="P2753" s="2" t="s">
        <v>7089</v>
      </c>
      <c r="Q2753" s="1"/>
      <c r="R2753" s="1"/>
      <c r="S2753" s="1" t="str">
        <f>"J-UN-2020-2733"</f>
        <v>J-UN-2020-2733</v>
      </c>
      <c r="T2753" s="1" t="s">
        <v>32</v>
      </c>
    </row>
    <row r="2754" spans="1:20" ht="51" x14ac:dyDescent="0.25">
      <c r="A2754" s="6">
        <v>2748</v>
      </c>
      <c r="B2754" s="1" t="str">
        <f>"2020-2990"</f>
        <v>2020-2990</v>
      </c>
      <c r="C2754" s="1" t="s">
        <v>2540</v>
      </c>
      <c r="D2754" s="1" t="s">
        <v>1500</v>
      </c>
      <c r="E2754" s="1" t="str">
        <f>""</f>
        <v/>
      </c>
      <c r="F2754" s="1" t="s">
        <v>1860</v>
      </c>
      <c r="G2754" s="1" t="str">
        <f>CONCATENATE(" KLESS STIL D.O.O.,"," VUGROVEČKA CESTA 77,"," 10360 SESVETE,"," OIB: 29862139033")</f>
        <v xml:space="preserve"> KLESS STIL D.O.O., VUGROVEČKA CESTA 77, 10360 SESVETE, OIB: 29862139033</v>
      </c>
      <c r="H2754" s="7"/>
      <c r="I2754" s="8" t="s">
        <v>1199</v>
      </c>
      <c r="J2754" s="8" t="s">
        <v>500</v>
      </c>
      <c r="K2754" s="6" t="str">
        <f>"79.800,00"</f>
        <v>79.800,00</v>
      </c>
      <c r="L2754" s="6" t="str">
        <f>"19.950,00"</f>
        <v>19.950,00</v>
      </c>
      <c r="M2754" s="6" t="str">
        <f>"99.750,00"</f>
        <v>99.750,00</v>
      </c>
      <c r="N2754" s="8" t="s">
        <v>1165</v>
      </c>
      <c r="O2754" s="7"/>
      <c r="P2754" s="2" t="s">
        <v>7090</v>
      </c>
      <c r="Q2754" s="7"/>
      <c r="R2754" s="1"/>
      <c r="S2754" s="1" t="str">
        <f>"J-UN-2020-3184"</f>
        <v>J-UN-2020-3184</v>
      </c>
      <c r="T2754" s="1" t="s">
        <v>32</v>
      </c>
    </row>
    <row r="2755" spans="1:20" ht="63.75" x14ac:dyDescent="0.25">
      <c r="A2755" s="6">
        <v>2749</v>
      </c>
      <c r="B2755" s="1" t="str">
        <f>"2021-2"</f>
        <v>2021-2</v>
      </c>
      <c r="C2755" s="1" t="s">
        <v>2541</v>
      </c>
      <c r="D2755" s="1" t="s">
        <v>2542</v>
      </c>
      <c r="E2755" s="1" t="str">
        <f>""</f>
        <v/>
      </c>
      <c r="F2755" s="1" t="s">
        <v>1860</v>
      </c>
      <c r="G2755" s="1" t="str">
        <f>CONCATENATE(" UNIJA NOVA D.O.O.,"," STROJARSKA CESTA 7,"," 10361 SESVETE-KRALJEVEC,"," OIB: 92441183465")</f>
        <v xml:space="preserve"> UNIJA NOVA D.O.O., STROJARSKA CESTA 7, 10361 SESVETE-KRALJEVEC, OIB: 92441183465</v>
      </c>
      <c r="H2755" s="7"/>
      <c r="I2755" s="8" t="s">
        <v>2373</v>
      </c>
      <c r="J2755" s="8" t="s">
        <v>111</v>
      </c>
      <c r="K2755" s="6" t="str">
        <f>"138.800,00"</f>
        <v>138.800,00</v>
      </c>
      <c r="L2755" s="6" t="str">
        <f>"34.700,00"</f>
        <v>34.700,00</v>
      </c>
      <c r="M2755" s="6" t="str">
        <f>"173.500,00"</f>
        <v>173.500,00</v>
      </c>
      <c r="N2755" s="8" t="s">
        <v>477</v>
      </c>
      <c r="O2755" s="7"/>
      <c r="P2755" s="2" t="s">
        <v>6634</v>
      </c>
      <c r="Q2755" s="1"/>
      <c r="R2755" s="1"/>
      <c r="S2755" s="1" t="str">
        <f>"J-UN-2021-19"</f>
        <v>J-UN-2021-19</v>
      </c>
      <c r="T2755" s="1" t="s">
        <v>32</v>
      </c>
    </row>
    <row r="2756" spans="1:20" ht="51" x14ac:dyDescent="0.25">
      <c r="A2756" s="6">
        <v>2750</v>
      </c>
      <c r="B2756" s="1" t="str">
        <f>"2021-4"</f>
        <v>2021-4</v>
      </c>
      <c r="C2756" s="1" t="s">
        <v>2543</v>
      </c>
      <c r="D2756" s="1" t="s">
        <v>2544</v>
      </c>
      <c r="E2756" s="1" t="str">
        <f>""</f>
        <v/>
      </c>
      <c r="F2756" s="1" t="s">
        <v>1860</v>
      </c>
      <c r="G2756" s="1" t="str">
        <f>CONCATENATE(" TRIGLAV OSIGURANJE D. D.,"," ANTUNA HEINZA 4,"," 10000 ZAGREB,"," OIB: 29743547503")</f>
        <v xml:space="preserve"> TRIGLAV OSIGURANJE D. D., ANTUNA HEINZA 4, 10000 ZAGREB, OIB: 29743547503</v>
      </c>
      <c r="H2756" s="7"/>
      <c r="I2756" s="8" t="s">
        <v>1291</v>
      </c>
      <c r="J2756" s="8" t="s">
        <v>612</v>
      </c>
      <c r="K2756" s="6" t="str">
        <f>"197.647,05"</f>
        <v>197.647,05</v>
      </c>
      <c r="L2756" s="6" t="str">
        <f>"49.411,76"</f>
        <v>49.411,76</v>
      </c>
      <c r="M2756" s="6" t="str">
        <f>"247.058,81"</f>
        <v>247.058,81</v>
      </c>
      <c r="N2756" s="8" t="s">
        <v>124</v>
      </c>
      <c r="O2756" s="7"/>
      <c r="P2756" s="2" t="s">
        <v>5614</v>
      </c>
      <c r="Q2756" s="7"/>
      <c r="R2756" s="1"/>
      <c r="S2756" s="1" t="str">
        <f>"J-UN-2021-20"</f>
        <v>J-UN-2021-20</v>
      </c>
      <c r="T2756" s="1" t="s">
        <v>32</v>
      </c>
    </row>
    <row r="2757" spans="1:20" ht="51" x14ac:dyDescent="0.25">
      <c r="A2757" s="6">
        <v>2751</v>
      </c>
      <c r="B2757" s="1" t="str">
        <f>"2021-8"</f>
        <v>2021-8</v>
      </c>
      <c r="C2757" s="1" t="s">
        <v>2545</v>
      </c>
      <c r="D2757" s="1" t="s">
        <v>2509</v>
      </c>
      <c r="E2757" s="1" t="str">
        <f>""</f>
        <v/>
      </c>
      <c r="F2757" s="1" t="s">
        <v>1860</v>
      </c>
      <c r="G2757" s="1" t="str">
        <f>CONCATENATE(" UMIUM D.O.O.,"," ŠESTINSKA CESTA 11,"," 10000 ZAGREB,"," OIB: 3116021415")</f>
        <v xml:space="preserve"> UMIUM D.O.O., ŠESTINSKA CESTA 11, 10000 ZAGREB, OIB: 3116021415</v>
      </c>
      <c r="H2757" s="7"/>
      <c r="I2757" s="8" t="s">
        <v>1291</v>
      </c>
      <c r="J2757" s="8" t="s">
        <v>612</v>
      </c>
      <c r="K2757" s="6" t="str">
        <f>"197.500,00"</f>
        <v>197.500,00</v>
      </c>
      <c r="L2757" s="6" t="str">
        <f>"49.375,00"</f>
        <v>49.375,00</v>
      </c>
      <c r="M2757" s="6" t="str">
        <f>"246.875,00"</f>
        <v>246.875,00</v>
      </c>
      <c r="N2757" s="8" t="s">
        <v>438</v>
      </c>
      <c r="O2757" s="7"/>
      <c r="P2757" s="2" t="s">
        <v>7091</v>
      </c>
      <c r="Q2757" s="7"/>
      <c r="R2757" s="1"/>
      <c r="S2757" s="1" t="str">
        <f>"J-UN-2021-21"</f>
        <v>J-UN-2021-21</v>
      </c>
      <c r="T2757" s="1" t="s">
        <v>32</v>
      </c>
    </row>
    <row r="2758" spans="1:20" ht="51" x14ac:dyDescent="0.25">
      <c r="A2758" s="6">
        <v>2752</v>
      </c>
      <c r="B2758" s="1" t="str">
        <f>"2021-17"</f>
        <v>2021-17</v>
      </c>
      <c r="C2758" s="1" t="s">
        <v>1579</v>
      </c>
      <c r="D2758" s="1" t="s">
        <v>1576</v>
      </c>
      <c r="E2758" s="1" t="str">
        <f>""</f>
        <v/>
      </c>
      <c r="F2758" s="1" t="s">
        <v>1860</v>
      </c>
      <c r="G2758" s="1" t="str">
        <f>CONCATENATE(" VELINAC D.O.O.,"," ANKE KRIZMANIĆ 8,"," 10360 SESVETE,"," OIB: 6368295805")</f>
        <v xml:space="preserve"> VELINAC D.O.O., ANKE KRIZMANIĆ 8, 10360 SESVETE, OIB: 6368295805</v>
      </c>
      <c r="H2758" s="7"/>
      <c r="I2758" s="8" t="s">
        <v>2546</v>
      </c>
      <c r="J2758" s="8" t="s">
        <v>667</v>
      </c>
      <c r="K2758" s="6" t="str">
        <f>"1.220,00"</f>
        <v>1.220,00</v>
      </c>
      <c r="L2758" s="6" t="str">
        <f>"305,00"</f>
        <v>305,00</v>
      </c>
      <c r="M2758" s="6" t="str">
        <f>"1.525,00"</f>
        <v>1.525,00</v>
      </c>
      <c r="N2758" s="8" t="s">
        <v>587</v>
      </c>
      <c r="O2758" s="7"/>
      <c r="P2758" s="2" t="s">
        <v>7092</v>
      </c>
      <c r="Q2758" s="7"/>
      <c r="R2758" s="1"/>
      <c r="S2758" s="1" t="str">
        <f>"J-UN-2021-27"</f>
        <v>J-UN-2021-27</v>
      </c>
      <c r="T2758" s="1" t="s">
        <v>43</v>
      </c>
    </row>
    <row r="2759" spans="1:20" ht="63.75" x14ac:dyDescent="0.25">
      <c r="A2759" s="6">
        <v>2753</v>
      </c>
      <c r="B2759" s="1" t="str">
        <f>"2021-16"</f>
        <v>2021-16</v>
      </c>
      <c r="C2759" s="1" t="s">
        <v>2547</v>
      </c>
      <c r="D2759" s="1" t="s">
        <v>74</v>
      </c>
      <c r="E2759" s="1" t="str">
        <f>""</f>
        <v/>
      </c>
      <c r="F2759" s="1" t="s">
        <v>1860</v>
      </c>
      <c r="G2759" s="1" t="str">
        <f>CONCATENATE(" OMEGA SOFTWARE D.O.O.,"," KAMENARKA 37,"," 10010 ZAGREB-SLOBOŠTINA,"," OIB: 40102169932")</f>
        <v xml:space="preserve"> OMEGA SOFTWARE D.O.O., KAMENARKA 37, 10010 ZAGREB-SLOBOŠTINA, OIB: 40102169932</v>
      </c>
      <c r="H2759" s="7"/>
      <c r="I2759" s="8" t="s">
        <v>1296</v>
      </c>
      <c r="J2759" s="8" t="s">
        <v>89</v>
      </c>
      <c r="K2759" s="6" t="str">
        <f>"199.500,00"</f>
        <v>199.500,00</v>
      </c>
      <c r="L2759" s="6" t="str">
        <f>"49.875,00"</f>
        <v>49.875,00</v>
      </c>
      <c r="M2759" s="6" t="str">
        <f>"249.375,00"</f>
        <v>249.375,00</v>
      </c>
      <c r="N2759" s="8" t="s">
        <v>89</v>
      </c>
      <c r="O2759" s="7"/>
      <c r="P2759" s="2" t="s">
        <v>7093</v>
      </c>
      <c r="Q2759" s="7"/>
      <c r="R2759" s="1"/>
      <c r="S2759" s="1" t="str">
        <f>"J-UN-2021-31"</f>
        <v>J-UN-2021-31</v>
      </c>
      <c r="T2759" s="1" t="s">
        <v>43</v>
      </c>
    </row>
    <row r="2760" spans="1:20" ht="76.5" x14ac:dyDescent="0.25">
      <c r="A2760" s="6">
        <v>2754</v>
      </c>
      <c r="B2760" s="1" t="str">
        <f>"2021-15"</f>
        <v>2021-15</v>
      </c>
      <c r="C2760" s="1" t="s">
        <v>2548</v>
      </c>
      <c r="D2760" s="1" t="s">
        <v>2549</v>
      </c>
      <c r="E2760" s="1" t="str">
        <f>""</f>
        <v/>
      </c>
      <c r="F2760" s="1" t="s">
        <v>1860</v>
      </c>
      <c r="G2760" s="1" t="str">
        <f>CONCATENATE(" 4TEL TELEKOMUNIKACIJE D.O.O.,"," CVJETNO NASELJE 16,"," 10430 SAMOBOR,"," OIB: 60118505378")</f>
        <v xml:space="preserve"> 4TEL TELEKOMUNIKACIJE D.O.O., CVJETNO NASELJE 16, 10430 SAMOBOR, OIB: 60118505378</v>
      </c>
      <c r="H2760" s="7"/>
      <c r="I2760" s="8" t="s">
        <v>2550</v>
      </c>
      <c r="J2760" s="8" t="s">
        <v>89</v>
      </c>
      <c r="K2760" s="6" t="str">
        <f>"35.760,00"</f>
        <v>35.760,00</v>
      </c>
      <c r="L2760" s="6" t="str">
        <f>"8.940,00"</f>
        <v>8.940,00</v>
      </c>
      <c r="M2760" s="6" t="str">
        <f>"44.700,00"</f>
        <v>44.700,00</v>
      </c>
      <c r="N2760" s="8" t="s">
        <v>1320</v>
      </c>
      <c r="O2760" s="7"/>
      <c r="P2760" s="2" t="s">
        <v>7094</v>
      </c>
      <c r="Q2760" s="7"/>
      <c r="R2760" s="1"/>
      <c r="S2760" s="1" t="str">
        <f>"J-UN-2021-35"</f>
        <v>J-UN-2021-35</v>
      </c>
      <c r="T2760" s="1" t="s">
        <v>43</v>
      </c>
    </row>
    <row r="2761" spans="1:20" ht="51" x14ac:dyDescent="0.25">
      <c r="A2761" s="6">
        <v>2755</v>
      </c>
      <c r="B2761" s="1" t="str">
        <f>"2021-27"</f>
        <v>2021-27</v>
      </c>
      <c r="C2761" s="1" t="s">
        <v>2368</v>
      </c>
      <c r="D2761" s="1" t="s">
        <v>2367</v>
      </c>
      <c r="E2761" s="1" t="str">
        <f>""</f>
        <v/>
      </c>
      <c r="F2761" s="1" t="s">
        <v>1860</v>
      </c>
      <c r="G2761" s="1" t="str">
        <f>CONCATENATE(" DELOITTE D.O.O.,"," RADNIČKA CESTA 80,"," 10000 ZAGREB,"," OIB: 1168645778")</f>
        <v xml:space="preserve"> DELOITTE D.O.O., RADNIČKA CESTA 80, 10000 ZAGREB, OIB: 1168645778</v>
      </c>
      <c r="H2761" s="7"/>
      <c r="I2761" s="8" t="s">
        <v>1344</v>
      </c>
      <c r="J2761" s="8" t="s">
        <v>1140</v>
      </c>
      <c r="K2761" s="6" t="str">
        <f>"66.025,00"</f>
        <v>66.025,00</v>
      </c>
      <c r="L2761" s="6" t="str">
        <f>"16.506,25"</f>
        <v>16.506,25</v>
      </c>
      <c r="M2761" s="6" t="str">
        <f>"82.531,25"</f>
        <v>82.531,25</v>
      </c>
      <c r="N2761" s="8" t="s">
        <v>124</v>
      </c>
      <c r="O2761" s="7"/>
      <c r="P2761" s="2" t="s">
        <v>5614</v>
      </c>
      <c r="Q2761" s="7"/>
      <c r="R2761" s="1"/>
      <c r="S2761" s="1" t="str">
        <f>"J-UN-2021-39"</f>
        <v>J-UN-2021-39</v>
      </c>
      <c r="T2761" s="1" t="s">
        <v>32</v>
      </c>
    </row>
    <row r="2762" spans="1:20" ht="76.5" x14ac:dyDescent="0.25">
      <c r="A2762" s="6">
        <v>2756</v>
      </c>
      <c r="B2762" s="1" t="str">
        <f>"2021-1816"</f>
        <v>2021-1816</v>
      </c>
      <c r="C2762" s="1" t="s">
        <v>2551</v>
      </c>
      <c r="D2762" s="1" t="s">
        <v>2248</v>
      </c>
      <c r="E2762" s="1" t="str">
        <f>""</f>
        <v/>
      </c>
      <c r="F2762" s="1" t="s">
        <v>1860</v>
      </c>
      <c r="G2762" s="1" t="str">
        <f>CONCATENATE(" GIM GRAĐENJE D.O.O.,"," VIKTORA KOVAČIĆA 3,"," 10000 ZAGREB,"," OIB: 96743361297")</f>
        <v xml:space="preserve"> GIM GRAĐENJE D.O.O., VIKTORA KOVAČIĆA 3, 10000 ZAGREB, OIB: 96743361297</v>
      </c>
      <c r="H2762" s="7"/>
      <c r="I2762" s="8" t="s">
        <v>1317</v>
      </c>
      <c r="J2762" s="8" t="s">
        <v>103</v>
      </c>
      <c r="K2762" s="6" t="str">
        <f>"69.000,00"</f>
        <v>69.000,00</v>
      </c>
      <c r="L2762" s="6" t="str">
        <f>"17.250,00"</f>
        <v>17.250,00</v>
      </c>
      <c r="M2762" s="6" t="str">
        <f>"86.250,00"</f>
        <v>86.250,00</v>
      </c>
      <c r="N2762" s="8" t="s">
        <v>746</v>
      </c>
      <c r="O2762" s="7"/>
      <c r="P2762" s="2" t="s">
        <v>7095</v>
      </c>
      <c r="Q2762" s="1"/>
      <c r="R2762" s="1"/>
      <c r="S2762" s="1" t="str">
        <f>"J-UN-2021-42"</f>
        <v>J-UN-2021-42</v>
      </c>
      <c r="T2762" s="1" t="s">
        <v>32</v>
      </c>
    </row>
    <row r="2763" spans="1:20" ht="76.5" x14ac:dyDescent="0.25">
      <c r="A2763" s="6">
        <v>2757</v>
      </c>
      <c r="B2763" s="1" t="str">
        <f>"2021-1662"</f>
        <v>2021-1662</v>
      </c>
      <c r="C2763" s="1" t="s">
        <v>2552</v>
      </c>
      <c r="D2763" s="1" t="s">
        <v>1672</v>
      </c>
      <c r="E2763" s="1" t="str">
        <f>""</f>
        <v/>
      </c>
      <c r="F2763" s="1" t="s">
        <v>1860</v>
      </c>
      <c r="G2763" s="1" t="str">
        <f>CONCATENATE(" POLJO-PROM,"," VL. ZLATKO KRIŽANIĆ,"," HRAŠĆE TUROPOLJSKO,"," KRIŽANIĆI 27,"," 10020 ZAGREB-NOVI ZAGREB,"," OIB: 22277452223")</f>
        <v xml:space="preserve"> POLJO-PROM, VL. ZLATKO KRIŽANIĆ, HRAŠĆE TUROPOLJSKO, KRIŽANIĆI 27, 10020 ZAGREB-NOVI ZAGREB, OIB: 22277452223</v>
      </c>
      <c r="H2763" s="7"/>
      <c r="I2763" s="8" t="s">
        <v>587</v>
      </c>
      <c r="J2763" s="8" t="s">
        <v>698</v>
      </c>
      <c r="K2763" s="6" t="str">
        <f>"198.000,00"</f>
        <v>198.000,00</v>
      </c>
      <c r="L2763" s="6" t="str">
        <f>"49.500,00"</f>
        <v>49.500,00</v>
      </c>
      <c r="M2763" s="6" t="str">
        <f>"247.500,00"</f>
        <v>247.500,00</v>
      </c>
      <c r="N2763" s="8" t="s">
        <v>551</v>
      </c>
      <c r="O2763" s="7"/>
      <c r="P2763" s="2" t="s">
        <v>7096</v>
      </c>
      <c r="Q2763" s="7"/>
      <c r="R2763" s="1"/>
      <c r="S2763" s="1" t="str">
        <f>"J-UN-2021-43"</f>
        <v>J-UN-2021-43</v>
      </c>
      <c r="T2763" s="1" t="s">
        <v>32</v>
      </c>
    </row>
    <row r="2764" spans="1:20" ht="51" x14ac:dyDescent="0.25">
      <c r="A2764" s="6">
        <v>2758</v>
      </c>
      <c r="B2764" s="1" t="str">
        <f>"2021-26"</f>
        <v>2021-26</v>
      </c>
      <c r="C2764" s="1" t="s">
        <v>2553</v>
      </c>
      <c r="D2764" s="1" t="s">
        <v>2554</v>
      </c>
      <c r="E2764" s="1" t="str">
        <f>""</f>
        <v/>
      </c>
      <c r="F2764" s="1" t="s">
        <v>1860</v>
      </c>
      <c r="G2764" s="1" t="str">
        <f>CONCATENATE(" FOCUS VL SUZANA ARSLANI,"," ULICA BORELLI 10B,"," 23000 ZADAR,"," OIB: 94525473076")</f>
        <v xml:space="preserve"> FOCUS VL SUZANA ARSLANI, ULICA BORELLI 10B, 23000 ZADAR, OIB: 94525473076</v>
      </c>
      <c r="H2764" s="7"/>
      <c r="I2764" s="8" t="s">
        <v>2047</v>
      </c>
      <c r="J2764" s="8" t="s">
        <v>779</v>
      </c>
      <c r="K2764" s="6" t="str">
        <f>"50.000,00"</f>
        <v>50.000,00</v>
      </c>
      <c r="L2764" s="6" t="str">
        <f>"12.500,00"</f>
        <v>12.500,00</v>
      </c>
      <c r="M2764" s="6" t="str">
        <f>"62.500,00"</f>
        <v>62.500,00</v>
      </c>
      <c r="N2764" s="8" t="s">
        <v>124</v>
      </c>
      <c r="O2764" s="7"/>
      <c r="P2764" s="2" t="s">
        <v>5614</v>
      </c>
      <c r="Q2764" s="7"/>
      <c r="R2764" s="1"/>
      <c r="S2764" s="1" t="str">
        <f>"J-UN-2021-45"</f>
        <v>J-UN-2021-45</v>
      </c>
      <c r="T2764" s="1" t="s">
        <v>32</v>
      </c>
    </row>
    <row r="2765" spans="1:20" ht="63.75" x14ac:dyDescent="0.25">
      <c r="A2765" s="6">
        <v>2759</v>
      </c>
      <c r="B2765" s="1" t="str">
        <f>"2021-1822"</f>
        <v>2021-1822</v>
      </c>
      <c r="C2765" s="1" t="s">
        <v>2555</v>
      </c>
      <c r="D2765" s="1" t="s">
        <v>2556</v>
      </c>
      <c r="E2765" s="1" t="str">
        <f>""</f>
        <v/>
      </c>
      <c r="F2765" s="1" t="s">
        <v>1860</v>
      </c>
      <c r="G2765" s="1" t="str">
        <f>CONCATENATE(" MM NOVA DESIGN D.O.O.,"," RAPSKA ULICA 69,"," 10000 ZAGREB,"," OIB: 95481917083")</f>
        <v xml:space="preserve"> MM NOVA DESIGN D.O.O., RAPSKA ULICA 69, 10000 ZAGREB, OIB: 95481917083</v>
      </c>
      <c r="H2765" s="7"/>
      <c r="I2765" s="8" t="s">
        <v>2022</v>
      </c>
      <c r="J2765" s="8" t="s">
        <v>211</v>
      </c>
      <c r="K2765" s="6" t="str">
        <f>"27.500,00"</f>
        <v>27.500,00</v>
      </c>
      <c r="L2765" s="6" t="str">
        <f>"6.875,00"</f>
        <v>6.875,00</v>
      </c>
      <c r="M2765" s="6" t="str">
        <f>"34.375,00"</f>
        <v>34.375,00</v>
      </c>
      <c r="N2765" s="8" t="s">
        <v>2557</v>
      </c>
      <c r="O2765" s="7"/>
      <c r="P2765" s="2" t="s">
        <v>7097</v>
      </c>
      <c r="Q2765" s="7"/>
      <c r="R2765" s="1"/>
      <c r="S2765" s="1" t="str">
        <f>"J-UN-2021-46"</f>
        <v>J-UN-2021-46</v>
      </c>
      <c r="T2765" s="1" t="s">
        <v>32</v>
      </c>
    </row>
    <row r="2766" spans="1:20" ht="63.75" x14ac:dyDescent="0.25">
      <c r="A2766" s="6">
        <v>2760</v>
      </c>
      <c r="B2766" s="1" t="str">
        <f>"2021-21"</f>
        <v>2021-21</v>
      </c>
      <c r="C2766" s="1" t="s">
        <v>2313</v>
      </c>
      <c r="D2766" s="1" t="s">
        <v>2211</v>
      </c>
      <c r="E2766" s="1" t="str">
        <f>""</f>
        <v/>
      </c>
      <c r="F2766" s="1" t="s">
        <v>1860</v>
      </c>
      <c r="G2766" s="1" t="str">
        <f>CONCATENATE(" KPMG CROATIA D.O.O.,"," EUROTOWER,"," 17. KAT - IVANA LUČIĆA 2A,"," 10000 ZAGREB,"," OIB: 20963249418")</f>
        <v xml:space="preserve"> KPMG CROATIA D.O.O., EUROTOWER, 17. KAT - IVANA LUČIĆA 2A, 10000 ZAGREB, OIB: 20963249418</v>
      </c>
      <c r="H2766" s="7"/>
      <c r="I2766" s="8" t="s">
        <v>594</v>
      </c>
      <c r="J2766" s="8" t="s">
        <v>154</v>
      </c>
      <c r="K2766" s="6" t="str">
        <f>"18.750,00"</f>
        <v>18.750,00</v>
      </c>
      <c r="L2766" s="6" t="str">
        <f>"4.687,50"</f>
        <v>4.687,50</v>
      </c>
      <c r="M2766" s="6" t="str">
        <f>"23.437,50"</f>
        <v>23.437,50</v>
      </c>
      <c r="N2766" s="8" t="s">
        <v>124</v>
      </c>
      <c r="O2766" s="7"/>
      <c r="P2766" s="2" t="s">
        <v>5614</v>
      </c>
      <c r="Q2766" s="7"/>
      <c r="R2766" s="1"/>
      <c r="S2766" s="1" t="str">
        <f>"J-UN-2021-47"</f>
        <v>J-UN-2021-47</v>
      </c>
      <c r="T2766" s="1" t="s">
        <v>32</v>
      </c>
    </row>
    <row r="2767" spans="1:20" ht="63.75" x14ac:dyDescent="0.25">
      <c r="A2767" s="6">
        <v>2761</v>
      </c>
      <c r="B2767" s="1" t="str">
        <f>"2021-1791"</f>
        <v>2021-1791</v>
      </c>
      <c r="C2767" s="1" t="s">
        <v>2558</v>
      </c>
      <c r="D2767" s="1" t="s">
        <v>860</v>
      </c>
      <c r="E2767" s="1" t="str">
        <f>""</f>
        <v/>
      </c>
      <c r="F2767" s="1" t="s">
        <v>1860</v>
      </c>
      <c r="G2767" s="1" t="str">
        <f>CONCATENATE(" OMNIMERKUR D.O.O.,"," GORNJOSTUPNIČKA 1B,"," 10255 GORNJI STUPNIK,"," OIB: 43764396102")</f>
        <v xml:space="preserve"> OMNIMERKUR D.O.O., GORNJOSTUPNIČKA 1B, 10255 GORNJI STUPNIK, OIB: 43764396102</v>
      </c>
      <c r="H2767" s="7"/>
      <c r="I2767" s="8" t="s">
        <v>2559</v>
      </c>
      <c r="J2767" s="8" t="s">
        <v>226</v>
      </c>
      <c r="K2767" s="6" t="str">
        <f>"1.530,00"</f>
        <v>1.530,00</v>
      </c>
      <c r="L2767" s="6" t="str">
        <f>"382,50"</f>
        <v>382,50</v>
      </c>
      <c r="M2767" s="6" t="str">
        <f>"1.912,50"</f>
        <v>1.912,50</v>
      </c>
      <c r="N2767" s="8" t="s">
        <v>124</v>
      </c>
      <c r="O2767" s="7"/>
      <c r="P2767" s="2" t="s">
        <v>5614</v>
      </c>
      <c r="Q2767" s="7"/>
      <c r="R2767" s="1"/>
      <c r="S2767" s="1" t="str">
        <f>"J-UN-2021-49"</f>
        <v>J-UN-2021-49</v>
      </c>
      <c r="T2767" s="1" t="s">
        <v>32</v>
      </c>
    </row>
    <row r="2768" spans="1:20" ht="51" x14ac:dyDescent="0.25">
      <c r="A2768" s="6">
        <v>2762</v>
      </c>
      <c r="B2768" s="1" t="str">
        <f>"2021-1815"</f>
        <v>2021-1815</v>
      </c>
      <c r="C2768" s="1" t="s">
        <v>2460</v>
      </c>
      <c r="D2768" s="1" t="s">
        <v>2461</v>
      </c>
      <c r="E2768" s="1" t="str">
        <f>""</f>
        <v/>
      </c>
      <c r="F2768" s="1" t="s">
        <v>1860</v>
      </c>
      <c r="G2768" s="1" t="str">
        <f>CONCATENATE(" DOMEL D.O.O.,"," AVENIJA DUBROVNIK 15,"," 10020 ZAGREB,"," OIB: 642488577")</f>
        <v xml:space="preserve"> DOMEL D.O.O., AVENIJA DUBROVNIK 15, 10020 ZAGREB, OIB: 642488577</v>
      </c>
      <c r="H2768" s="7"/>
      <c r="I2768" s="8" t="s">
        <v>2053</v>
      </c>
      <c r="J2768" s="8" t="s">
        <v>396</v>
      </c>
      <c r="K2768" s="6" t="str">
        <f>"64.310,00"</f>
        <v>64.310,00</v>
      </c>
      <c r="L2768" s="6" t="str">
        <f>"16.077,50"</f>
        <v>16.077,50</v>
      </c>
      <c r="M2768" s="6" t="str">
        <f>"80.387,50"</f>
        <v>80.387,50</v>
      </c>
      <c r="N2768" s="8" t="s">
        <v>2560</v>
      </c>
      <c r="O2768" s="7"/>
      <c r="P2768" s="2" t="s">
        <v>7098</v>
      </c>
      <c r="Q2768" s="7"/>
      <c r="R2768" s="1"/>
      <c r="S2768" s="1" t="str">
        <f>"J-UN-2021-51"</f>
        <v>J-UN-2021-51</v>
      </c>
      <c r="T2768" s="1" t="s">
        <v>32</v>
      </c>
    </row>
    <row r="2769" spans="1:20" ht="76.5" x14ac:dyDescent="0.25">
      <c r="A2769" s="6">
        <v>2763</v>
      </c>
      <c r="B2769" s="1" t="str">
        <f>"2021-1751"</f>
        <v>2021-1751</v>
      </c>
      <c r="C2769" s="1" t="s">
        <v>2472</v>
      </c>
      <c r="D2769" s="1" t="s">
        <v>2473</v>
      </c>
      <c r="E2769" s="1" t="str">
        <f>""</f>
        <v/>
      </c>
      <c r="F2769" s="1" t="s">
        <v>1860</v>
      </c>
      <c r="G2769" s="1" t="str">
        <f>CONCATENATE(" ZAGREBAČKI HOLDING D.O.O.,"," PODRUŽNICA ČISTOĆA,"," RADNIČKA CESTA 82,"," 10000 ZAGREB,"," OIB: 85584865987")</f>
        <v xml:space="preserve"> ZAGREBAČKI HOLDING D.O.O., PODRUŽNICA ČISTOĆA, RADNIČKA CESTA 82, 10000 ZAGREB, OIB: 85584865987</v>
      </c>
      <c r="H2769" s="7"/>
      <c r="I2769" s="8" t="s">
        <v>370</v>
      </c>
      <c r="J2769" s="8" t="s">
        <v>220</v>
      </c>
      <c r="K2769" s="6" t="str">
        <f>"20.173,92"</f>
        <v>20.173,92</v>
      </c>
      <c r="L2769" s="6" t="str">
        <f>"5.043,48"</f>
        <v>5.043,48</v>
      </c>
      <c r="M2769" s="6" t="str">
        <f>"25.217,40"</f>
        <v>25.217,40</v>
      </c>
      <c r="N2769" s="8" t="s">
        <v>371</v>
      </c>
      <c r="O2769" s="7"/>
      <c r="P2769" s="2" t="s">
        <v>7099</v>
      </c>
      <c r="Q2769" s="7"/>
      <c r="R2769" s="1"/>
      <c r="S2769" s="1" t="str">
        <f>"J-UN-2021-52"</f>
        <v>J-UN-2021-52</v>
      </c>
      <c r="T2769" s="1" t="s">
        <v>43</v>
      </c>
    </row>
    <row r="2770" spans="1:20" ht="63.75" x14ac:dyDescent="0.25">
      <c r="A2770" s="6">
        <v>2764</v>
      </c>
      <c r="B2770" s="1" t="str">
        <f>"2021-576"</f>
        <v>2021-576</v>
      </c>
      <c r="C2770" s="1" t="s">
        <v>2561</v>
      </c>
      <c r="D2770" s="1" t="s">
        <v>2156</v>
      </c>
      <c r="E2770" s="1" t="str">
        <f>""</f>
        <v/>
      </c>
      <c r="F2770" s="1" t="s">
        <v>1860</v>
      </c>
      <c r="G2770" s="1" t="str">
        <f>CONCATENATE(" INFO-KOD d.o.o.,"," DINARSKI PUT 1B,"," 10090 ZAGREB-SUSEDGRAD,"," OIB: 87565323632")</f>
        <v xml:space="preserve"> INFO-KOD d.o.o., DINARSKI PUT 1B, 10090 ZAGREB-SUSEDGRAD, OIB: 87565323632</v>
      </c>
      <c r="H2770" s="7"/>
      <c r="I2770" s="8" t="s">
        <v>2562</v>
      </c>
      <c r="J2770" s="8" t="s">
        <v>787</v>
      </c>
      <c r="K2770" s="6" t="str">
        <f>"3.045,00"</f>
        <v>3.045,00</v>
      </c>
      <c r="L2770" s="6" t="str">
        <f>"761,25"</f>
        <v>761,25</v>
      </c>
      <c r="M2770" s="6" t="str">
        <f>"3.806,25"</f>
        <v>3.806,25</v>
      </c>
      <c r="N2770" s="8" t="s">
        <v>2083</v>
      </c>
      <c r="O2770" s="7"/>
      <c r="P2770" s="2" t="s">
        <v>7100</v>
      </c>
      <c r="Q2770" s="7"/>
      <c r="R2770" s="1"/>
      <c r="S2770" s="1" t="str">
        <f>"J-UN-2021-53"</f>
        <v>J-UN-2021-53</v>
      </c>
      <c r="T2770" s="1" t="s">
        <v>43</v>
      </c>
    </row>
    <row r="2771" spans="1:20" ht="51" x14ac:dyDescent="0.25">
      <c r="A2771" s="6">
        <v>2765</v>
      </c>
      <c r="B2771" s="1" t="str">
        <f>"2021-915"</f>
        <v>2021-915</v>
      </c>
      <c r="C2771" s="1" t="s">
        <v>2563</v>
      </c>
      <c r="D2771" s="1" t="s">
        <v>914</v>
      </c>
      <c r="E2771" s="1" t="str">
        <f>""</f>
        <v/>
      </c>
      <c r="F2771" s="1" t="s">
        <v>1860</v>
      </c>
      <c r="G2771" s="1" t="str">
        <f>CONCATENATE(" DROBILEC D.O.O.,"," MATUNOVA 14,"," 10000 ZAGREB,"," OIB: 87772955929")</f>
        <v xml:space="preserve"> DROBILEC D.O.O., MATUNOVA 14, 10000 ZAGREB, OIB: 87772955929</v>
      </c>
      <c r="H2771" s="7"/>
      <c r="I2771" s="8" t="s">
        <v>594</v>
      </c>
      <c r="J2771" s="8" t="s">
        <v>154</v>
      </c>
      <c r="K2771" s="6" t="str">
        <f>"3.007,00"</f>
        <v>3.007,00</v>
      </c>
      <c r="L2771" s="6" t="str">
        <f>"751,75"</f>
        <v>751,75</v>
      </c>
      <c r="M2771" s="6" t="str">
        <f>"3.758,75"</f>
        <v>3.758,75</v>
      </c>
      <c r="N2771" s="8" t="s">
        <v>1069</v>
      </c>
      <c r="O2771" s="7"/>
      <c r="P2771" s="2" t="s">
        <v>7101</v>
      </c>
      <c r="Q2771" s="7"/>
      <c r="R2771" s="1"/>
      <c r="S2771" s="1" t="str">
        <f>"J-UN-2021-55"</f>
        <v>J-UN-2021-55</v>
      </c>
      <c r="T2771" s="1" t="s">
        <v>32</v>
      </c>
    </row>
    <row r="2772" spans="1:20" ht="38.25" x14ac:dyDescent="0.25">
      <c r="A2772" s="6">
        <v>2766</v>
      </c>
      <c r="B2772" s="1" t="str">
        <f>"2021-1026"</f>
        <v>2021-1026</v>
      </c>
      <c r="C2772" s="1" t="s">
        <v>2564</v>
      </c>
      <c r="D2772" s="1" t="s">
        <v>21</v>
      </c>
      <c r="E2772" s="1" t="str">
        <f>""</f>
        <v/>
      </c>
      <c r="F2772" s="1" t="s">
        <v>1860</v>
      </c>
      <c r="G2772" s="1" t="str">
        <f>CONCATENATE(" O-K-TEH d.o.o.,"," VUČAK 16A,"," 10000 ZAGREB,"," OIB: 37322381288")</f>
        <v xml:space="preserve"> O-K-TEH d.o.o., VUČAK 16A, 10000 ZAGREB, OIB: 37322381288</v>
      </c>
      <c r="H2772" s="7"/>
      <c r="I2772" s="8" t="s">
        <v>2053</v>
      </c>
      <c r="J2772" s="8" t="s">
        <v>396</v>
      </c>
      <c r="K2772" s="6" t="str">
        <f>"12.763,88"</f>
        <v>12.763,88</v>
      </c>
      <c r="L2772" s="6" t="str">
        <f>"3.190,97"</f>
        <v>3.190,97</v>
      </c>
      <c r="M2772" s="6" t="str">
        <f>"15.954,85"</f>
        <v>15.954,85</v>
      </c>
      <c r="N2772" s="8" t="s">
        <v>2562</v>
      </c>
      <c r="O2772" s="7"/>
      <c r="P2772" s="2" t="s">
        <v>7102</v>
      </c>
      <c r="Q2772" s="7"/>
      <c r="R2772" s="1"/>
      <c r="S2772" s="1" t="str">
        <f>"J-UN-2021-56"</f>
        <v>J-UN-2021-56</v>
      </c>
      <c r="T2772" s="1" t="s">
        <v>32</v>
      </c>
    </row>
    <row r="2773" spans="1:20" ht="51" x14ac:dyDescent="0.25">
      <c r="A2773" s="6">
        <v>2767</v>
      </c>
      <c r="B2773" s="1" t="str">
        <f>"2021-882"</f>
        <v>2021-882</v>
      </c>
      <c r="C2773" s="1" t="s">
        <v>2565</v>
      </c>
      <c r="D2773" s="1" t="s">
        <v>1833</v>
      </c>
      <c r="E2773" s="1" t="str">
        <f>""</f>
        <v/>
      </c>
      <c r="F2773" s="1" t="s">
        <v>1860</v>
      </c>
      <c r="G2773" s="1" t="str">
        <f>CONCATENATE(" TRIDION D.O.O.,"," ZAPADNA LOZICA 10,"," 10000 ZAGREB,"," OIB: 79247590666")</f>
        <v xml:space="preserve"> TRIDION D.O.O., ZAPADNA LOZICA 10, 10000 ZAGREB, OIB: 79247590666</v>
      </c>
      <c r="H2773" s="7"/>
      <c r="I2773" s="8" t="s">
        <v>2566</v>
      </c>
      <c r="J2773" s="8" t="s">
        <v>90</v>
      </c>
      <c r="K2773" s="6" t="str">
        <f>"11.130,00"</f>
        <v>11.130,00</v>
      </c>
      <c r="L2773" s="6" t="str">
        <f>"2.782,50"</f>
        <v>2.782,50</v>
      </c>
      <c r="M2773" s="6" t="str">
        <f>"13.912,50"</f>
        <v>13.912,50</v>
      </c>
      <c r="N2773" s="8" t="s">
        <v>1384</v>
      </c>
      <c r="O2773" s="7"/>
      <c r="P2773" s="2" t="s">
        <v>7103</v>
      </c>
      <c r="Q2773" s="7"/>
      <c r="R2773" s="1"/>
      <c r="S2773" s="1" t="str">
        <f>"J-UN-2021-59"</f>
        <v>J-UN-2021-59</v>
      </c>
      <c r="T2773" s="1" t="s">
        <v>32</v>
      </c>
    </row>
    <row r="2774" spans="1:20" ht="76.5" x14ac:dyDescent="0.25">
      <c r="A2774" s="6">
        <v>2768</v>
      </c>
      <c r="B2774" s="1" t="str">
        <f>"2021-1791"</f>
        <v>2021-1791</v>
      </c>
      <c r="C2774" s="1" t="s">
        <v>2558</v>
      </c>
      <c r="D2774" s="1" t="s">
        <v>860</v>
      </c>
      <c r="E2774" s="1" t="str">
        <f>""</f>
        <v/>
      </c>
      <c r="F2774" s="1" t="s">
        <v>1860</v>
      </c>
      <c r="G2774" s="1" t="str">
        <f>CONCATENATE(" SPECIJALNA ZAVARIVANJA ČUKMAN D.O.O.,"," JEŽDOVEČKA ULICA 1C,"," 10250 LUČKO,"," OIB: 14195538193")</f>
        <v xml:space="preserve"> SPECIJALNA ZAVARIVANJA ČUKMAN D.O.O., JEŽDOVEČKA ULICA 1C, 10250 LUČKO, OIB: 14195538193</v>
      </c>
      <c r="H2774" s="7"/>
      <c r="I2774" s="8" t="s">
        <v>2053</v>
      </c>
      <c r="J2774" s="8" t="s">
        <v>396</v>
      </c>
      <c r="K2774" s="6" t="str">
        <f>"4.790,00"</f>
        <v>4.790,00</v>
      </c>
      <c r="L2774" s="6" t="str">
        <f>"1.197,50"</f>
        <v>1.197,50</v>
      </c>
      <c r="M2774" s="6" t="str">
        <f>"5.987,50"</f>
        <v>5.987,50</v>
      </c>
      <c r="N2774" s="8" t="s">
        <v>2560</v>
      </c>
      <c r="O2774" s="7"/>
      <c r="P2774" s="2" t="s">
        <v>7104</v>
      </c>
      <c r="Q2774" s="7"/>
      <c r="R2774" s="1"/>
      <c r="S2774" s="1" t="str">
        <f>"J-UN-2021-60"</f>
        <v>J-UN-2021-60</v>
      </c>
      <c r="T2774" s="1" t="s">
        <v>32</v>
      </c>
    </row>
    <row r="2775" spans="1:20" ht="76.5" x14ac:dyDescent="0.25">
      <c r="A2775" s="6">
        <v>2769</v>
      </c>
      <c r="B2775" s="1" t="str">
        <f>"2021-1823"</f>
        <v>2021-1823</v>
      </c>
      <c r="C2775" s="1" t="s">
        <v>2567</v>
      </c>
      <c r="D2775" s="1" t="s">
        <v>1824</v>
      </c>
      <c r="E2775" s="1" t="str">
        <f>""</f>
        <v/>
      </c>
      <c r="F2775" s="1" t="s">
        <v>1860</v>
      </c>
      <c r="G2775" s="1" t="str">
        <f>CONCATENATE(" PRODAK D.O.O.,"," ANTUNA STIPANČIĆA 13,"," 10000 ZAGREB,"," OIB: 3523429994")</f>
        <v xml:space="preserve"> PRODAK D.O.O., ANTUNA STIPANČIĆA 13, 10000 ZAGREB, OIB: 3523429994</v>
      </c>
      <c r="H2775" s="7"/>
      <c r="I2775" s="8" t="s">
        <v>2568</v>
      </c>
      <c r="J2775" s="8" t="s">
        <v>754</v>
      </c>
      <c r="K2775" s="6" t="str">
        <f>"8.500,00"</f>
        <v>8.500,00</v>
      </c>
      <c r="L2775" s="6" t="str">
        <f>"2.125,00"</f>
        <v>2.125,00</v>
      </c>
      <c r="M2775" s="6" t="str">
        <f>"10.625,00"</f>
        <v>10.625,00</v>
      </c>
      <c r="N2775" s="8" t="s">
        <v>2569</v>
      </c>
      <c r="O2775" s="7"/>
      <c r="P2775" s="2" t="s">
        <v>7105</v>
      </c>
      <c r="Q2775" s="7"/>
      <c r="R2775" s="1"/>
      <c r="S2775" s="1" t="str">
        <f>"J-UN-2021-61"</f>
        <v>J-UN-2021-61</v>
      </c>
      <c r="T2775" s="1" t="s">
        <v>32</v>
      </c>
    </row>
    <row r="2776" spans="1:20" ht="63.75" x14ac:dyDescent="0.25">
      <c r="A2776" s="6">
        <v>2770</v>
      </c>
      <c r="B2776" s="1" t="str">
        <f>"2021-1824"</f>
        <v>2021-1824</v>
      </c>
      <c r="C2776" s="1" t="s">
        <v>2570</v>
      </c>
      <c r="D2776" s="1" t="s">
        <v>2571</v>
      </c>
      <c r="E2776" s="1" t="str">
        <f>""</f>
        <v/>
      </c>
      <c r="F2776" s="1" t="s">
        <v>1860</v>
      </c>
      <c r="G2776" s="1" t="str">
        <f>CONCATENATE(" LAPIDEUM D.O.O.,"," DUBRAVA SAMOBORSKA bb,"," 10430 SAMOBOR,"," OIB: 39927305185")</f>
        <v xml:space="preserve"> LAPIDEUM D.O.O., DUBRAVA SAMOBORSKA bb, 10430 SAMOBOR, OIB: 39927305185</v>
      </c>
      <c r="H2776" s="7"/>
      <c r="I2776" s="8" t="s">
        <v>1069</v>
      </c>
      <c r="J2776" s="8" t="s">
        <v>768</v>
      </c>
      <c r="K2776" s="6" t="str">
        <f>"29.900,00"</f>
        <v>29.900,00</v>
      </c>
      <c r="L2776" s="6" t="str">
        <f>"7.475,00"</f>
        <v>7.475,00</v>
      </c>
      <c r="M2776" s="6" t="str">
        <f>"37.375,00"</f>
        <v>37.375,00</v>
      </c>
      <c r="N2776" s="8" t="s">
        <v>473</v>
      </c>
      <c r="O2776" s="7"/>
      <c r="P2776" s="2" t="s">
        <v>7106</v>
      </c>
      <c r="Q2776" s="7"/>
      <c r="R2776" s="1"/>
      <c r="S2776" s="1" t="str">
        <f>"J-UN-2021-62"</f>
        <v>J-UN-2021-62</v>
      </c>
      <c r="T2776" s="1" t="s">
        <v>32</v>
      </c>
    </row>
    <row r="2777" spans="1:20" ht="51" x14ac:dyDescent="0.25">
      <c r="A2777" s="6">
        <v>2771</v>
      </c>
      <c r="B2777" s="1" t="str">
        <f>"2021-521"</f>
        <v>2021-521</v>
      </c>
      <c r="C2777" s="1" t="s">
        <v>2572</v>
      </c>
      <c r="D2777" s="1" t="s">
        <v>2573</v>
      </c>
      <c r="E2777" s="1" t="str">
        <f>""</f>
        <v/>
      </c>
      <c r="F2777" s="1" t="s">
        <v>1860</v>
      </c>
      <c r="G2777" s="1" t="str">
        <f>CONCATENATE(" ECCOS-INŽENJERING D.O.O.,"," BANI 110,"," 10000 ZAGREB,"," OIB: 71629027685")</f>
        <v xml:space="preserve"> ECCOS-INŽENJERING D.O.O., BANI 110, 10000 ZAGREB, OIB: 71629027685</v>
      </c>
      <c r="H2777" s="7"/>
      <c r="I2777" s="8" t="s">
        <v>370</v>
      </c>
      <c r="J2777" s="8" t="s">
        <v>220</v>
      </c>
      <c r="K2777" s="6" t="str">
        <f>"2.157,00"</f>
        <v>2.157,00</v>
      </c>
      <c r="L2777" s="6" t="str">
        <f>"539,25"</f>
        <v>539,25</v>
      </c>
      <c r="M2777" s="6" t="str">
        <f>"2.696,25"</f>
        <v>2.696,25</v>
      </c>
      <c r="N2777" s="8" t="s">
        <v>124</v>
      </c>
      <c r="O2777" s="7"/>
      <c r="P2777" s="2" t="s">
        <v>5614</v>
      </c>
      <c r="Q2777" s="7"/>
      <c r="R2777" s="1"/>
      <c r="S2777" s="1" t="str">
        <f>"J-UN-2021-63"</f>
        <v>J-UN-2021-63</v>
      </c>
      <c r="T2777" s="1" t="s">
        <v>32</v>
      </c>
    </row>
    <row r="2778" spans="1:20" ht="38.25" x14ac:dyDescent="0.25">
      <c r="A2778" s="6">
        <v>2772</v>
      </c>
      <c r="B2778" s="1" t="str">
        <f>"2021-882"</f>
        <v>2021-882</v>
      </c>
      <c r="C2778" s="1" t="s">
        <v>2565</v>
      </c>
      <c r="D2778" s="1" t="s">
        <v>1833</v>
      </c>
      <c r="E2778" s="1" t="str">
        <f>""</f>
        <v/>
      </c>
      <c r="F2778" s="1" t="s">
        <v>1860</v>
      </c>
      <c r="G2778" s="1" t="str">
        <f>CONCATENATE(" R-PIM D.O.O.,"," ,"," OIB: 38514700472")</f>
        <v xml:space="preserve"> R-PIM D.O.O., , OIB: 38514700472</v>
      </c>
      <c r="H2778" s="7"/>
      <c r="I2778" s="8" t="s">
        <v>2566</v>
      </c>
      <c r="J2778" s="8" t="s">
        <v>90</v>
      </c>
      <c r="K2778" s="6" t="str">
        <f>"7.915,00"</f>
        <v>7.915,00</v>
      </c>
      <c r="L2778" s="6" t="str">
        <f>"1.978,75"</f>
        <v>1.978,75</v>
      </c>
      <c r="M2778" s="6" t="str">
        <f>"9.893,75"</f>
        <v>9.893,75</v>
      </c>
      <c r="N2778" s="8" t="s">
        <v>1388</v>
      </c>
      <c r="O2778" s="7"/>
      <c r="P2778" s="2" t="s">
        <v>7107</v>
      </c>
      <c r="Q2778" s="7"/>
      <c r="R2778" s="1"/>
      <c r="S2778" s="1" t="str">
        <f>"J-UN-2021-64"</f>
        <v>J-UN-2021-64</v>
      </c>
      <c r="T2778" s="1" t="s">
        <v>32</v>
      </c>
    </row>
    <row r="2779" spans="1:20" ht="51" x14ac:dyDescent="0.25">
      <c r="A2779" s="6">
        <v>2773</v>
      </c>
      <c r="B2779" s="1" t="str">
        <f>"2021-25"</f>
        <v>2021-25</v>
      </c>
      <c r="C2779" s="1" t="s">
        <v>2574</v>
      </c>
      <c r="D2779" s="1" t="s">
        <v>2575</v>
      </c>
      <c r="E2779" s="1" t="str">
        <f>""</f>
        <v/>
      </c>
      <c r="F2779" s="1" t="s">
        <v>1860</v>
      </c>
      <c r="G2779" s="1" t="str">
        <f>CONCATENATE(" DEFCON D.O.O.,"," BRESTOVEČKA 26,"," 10360 SESVETE,"," OIB: 34828906175")</f>
        <v xml:space="preserve"> DEFCON D.O.O., BRESTOVEČKA 26, 10360 SESVETE, OIB: 34828906175</v>
      </c>
      <c r="H2779" s="7"/>
      <c r="I2779" s="8" t="s">
        <v>370</v>
      </c>
      <c r="J2779" s="8" t="s">
        <v>220</v>
      </c>
      <c r="K2779" s="6" t="str">
        <f>"40.400,00"</f>
        <v>40.400,00</v>
      </c>
      <c r="L2779" s="6" t="str">
        <f>"10.100,00"</f>
        <v>10.100,00</v>
      </c>
      <c r="M2779" s="6" t="str">
        <f>"50.500,00"</f>
        <v>50.500,00</v>
      </c>
      <c r="N2779" s="8" t="s">
        <v>2065</v>
      </c>
      <c r="O2779" s="7"/>
      <c r="P2779" s="2" t="s">
        <v>7108</v>
      </c>
      <c r="Q2779" s="7"/>
      <c r="R2779" s="1"/>
      <c r="S2779" s="1" t="str">
        <f>"J-UN-2021-65"</f>
        <v>J-UN-2021-65</v>
      </c>
      <c r="T2779" s="1" t="s">
        <v>32</v>
      </c>
    </row>
    <row r="2780" spans="1:20" ht="51" x14ac:dyDescent="0.25">
      <c r="A2780" s="6">
        <v>2774</v>
      </c>
      <c r="B2780" s="1" t="str">
        <f>"2021-391"</f>
        <v>2021-391</v>
      </c>
      <c r="C2780" s="1" t="s">
        <v>2576</v>
      </c>
      <c r="D2780" s="1" t="s">
        <v>2577</v>
      </c>
      <c r="E2780" s="1" t="str">
        <f>""</f>
        <v/>
      </c>
      <c r="F2780" s="1" t="s">
        <v>1860</v>
      </c>
      <c r="G2780" s="1" t="str">
        <f>CONCATENATE(" PK D.O.O.,"," INDUSTRIJSKA ZONA R-27,"," 51223 ŠKRLJEVO,"," OIB: 07930503403")</f>
        <v xml:space="preserve"> PK D.O.O., INDUSTRIJSKA ZONA R-27, 51223 ŠKRLJEVO, OIB: 07930503403</v>
      </c>
      <c r="H2780" s="7"/>
      <c r="I2780" s="8" t="s">
        <v>370</v>
      </c>
      <c r="J2780" s="8" t="s">
        <v>220</v>
      </c>
      <c r="K2780" s="6" t="str">
        <f>"12.529,60"</f>
        <v>12.529,60</v>
      </c>
      <c r="L2780" s="6" t="str">
        <f>"3.132,40"</f>
        <v>3.132,40</v>
      </c>
      <c r="M2780" s="6" t="str">
        <f>"15.662,00"</f>
        <v>15.662,00</v>
      </c>
      <c r="N2780" s="8" t="s">
        <v>1359</v>
      </c>
      <c r="O2780" s="7"/>
      <c r="P2780" s="2" t="s">
        <v>7109</v>
      </c>
      <c r="Q2780" s="7"/>
      <c r="R2780" s="1"/>
      <c r="S2780" s="1" t="str">
        <f>"J-UN-2021-66"</f>
        <v>J-UN-2021-66</v>
      </c>
      <c r="T2780" s="1" t="s">
        <v>32</v>
      </c>
    </row>
    <row r="2781" spans="1:20" ht="51" x14ac:dyDescent="0.25">
      <c r="A2781" s="6">
        <v>2775</v>
      </c>
      <c r="B2781" s="1" t="str">
        <f>"2021-1511"</f>
        <v>2021-1511</v>
      </c>
      <c r="C2781" s="1" t="s">
        <v>2578</v>
      </c>
      <c r="D2781" s="1" t="s">
        <v>381</v>
      </c>
      <c r="E2781" s="1" t="str">
        <f>""</f>
        <v/>
      </c>
      <c r="F2781" s="1" t="s">
        <v>1860</v>
      </c>
      <c r="G2781" s="1" t="str">
        <f>CONCATENATE(" MIK-ELING D.O.O.,"," GRABERJE 63,"," 10000 ZAGREB,"," OIB: 24864633197")</f>
        <v xml:space="preserve"> MIK-ELING D.O.O., GRABERJE 63, 10000 ZAGREB, OIB: 24864633197</v>
      </c>
      <c r="H2781" s="7"/>
      <c r="I2781" s="8" t="s">
        <v>2566</v>
      </c>
      <c r="J2781" s="8" t="s">
        <v>90</v>
      </c>
      <c r="K2781" s="6" t="str">
        <f>"19.720,00"</f>
        <v>19.720,00</v>
      </c>
      <c r="L2781" s="6" t="str">
        <f>"4.930,00"</f>
        <v>4.930,00</v>
      </c>
      <c r="M2781" s="6" t="str">
        <f>"24.650,00"</f>
        <v>24.650,00</v>
      </c>
      <c r="N2781" s="8" t="s">
        <v>2579</v>
      </c>
      <c r="O2781" s="7"/>
      <c r="P2781" s="2" t="s">
        <v>7110</v>
      </c>
      <c r="Q2781" s="7"/>
      <c r="R2781" s="1"/>
      <c r="S2781" s="1" t="str">
        <f>"J-UN-2021-67"</f>
        <v>J-UN-2021-67</v>
      </c>
      <c r="T2781" s="1" t="s">
        <v>32</v>
      </c>
    </row>
    <row r="2782" spans="1:20" ht="51" x14ac:dyDescent="0.25">
      <c r="A2782" s="6">
        <v>2776</v>
      </c>
      <c r="B2782" s="1" t="str">
        <f>"2021-1826"</f>
        <v>2021-1826</v>
      </c>
      <c r="C2782" s="1" t="s">
        <v>2580</v>
      </c>
      <c r="D2782" s="1" t="s">
        <v>2107</v>
      </c>
      <c r="E2782" s="1" t="str">
        <f>""</f>
        <v/>
      </c>
      <c r="F2782" s="1" t="s">
        <v>1860</v>
      </c>
      <c r="G2782" s="1" t="str">
        <f>CONCATENATE(" STUDIO ELLE,"," D.O.O.,"," FALLEROVO ŠETALIŠTE 48,"," 10000 ZAGREB,"," OIB: 75728370693")</f>
        <v xml:space="preserve"> STUDIO ELLE, D.O.O., FALLEROVO ŠETALIŠTE 48, 10000 ZAGREB, OIB: 75728370693</v>
      </c>
      <c r="H2782" s="7"/>
      <c r="I2782" s="8" t="s">
        <v>370</v>
      </c>
      <c r="J2782" s="8" t="s">
        <v>220</v>
      </c>
      <c r="K2782" s="6" t="str">
        <f>"50.000,00"</f>
        <v>50.000,00</v>
      </c>
      <c r="L2782" s="6" t="str">
        <f>"12.500,00"</f>
        <v>12.500,00</v>
      </c>
      <c r="M2782" s="6" t="str">
        <f>"62.500,00"</f>
        <v>62.500,00</v>
      </c>
      <c r="N2782" s="8" t="s">
        <v>2581</v>
      </c>
      <c r="O2782" s="7"/>
      <c r="P2782" s="2" t="s">
        <v>7013</v>
      </c>
      <c r="Q2782" s="7"/>
      <c r="R2782" s="1"/>
      <c r="S2782" s="1" t="str">
        <f>"J-UN-2021-68"</f>
        <v>J-UN-2021-68</v>
      </c>
      <c r="T2782" s="1" t="s">
        <v>32</v>
      </c>
    </row>
    <row r="2783" spans="1:20" ht="38.25" x14ac:dyDescent="0.25">
      <c r="A2783" s="6">
        <v>2777</v>
      </c>
      <c r="B2783" s="1" t="str">
        <f>"2021-1026"</f>
        <v>2021-1026</v>
      </c>
      <c r="C2783" s="1" t="s">
        <v>2564</v>
      </c>
      <c r="D2783" s="1" t="s">
        <v>21</v>
      </c>
      <c r="E2783" s="1" t="str">
        <f>""</f>
        <v/>
      </c>
      <c r="F2783" s="1" t="s">
        <v>1860</v>
      </c>
      <c r="G2783" s="1" t="str">
        <f>CONCATENATE(" O-K-TEH d.o.o.,"," VUČAK 16A,"," 10000 ZAGREB,"," OIB: 37322381288")</f>
        <v xml:space="preserve"> O-K-TEH d.o.o., VUČAK 16A, 10000 ZAGREB, OIB: 37322381288</v>
      </c>
      <c r="H2783" s="7"/>
      <c r="I2783" s="8" t="s">
        <v>2053</v>
      </c>
      <c r="J2783" s="8" t="s">
        <v>396</v>
      </c>
      <c r="K2783" s="6" t="str">
        <f>"1.098,87"</f>
        <v>1.098,87</v>
      </c>
      <c r="L2783" s="6" t="str">
        <f>"274,72"</f>
        <v>274,72</v>
      </c>
      <c r="M2783" s="6" t="str">
        <f>"1.373,59"</f>
        <v>1.373,59</v>
      </c>
      <c r="N2783" s="8" t="s">
        <v>2568</v>
      </c>
      <c r="O2783" s="7"/>
      <c r="P2783" s="2" t="s">
        <v>7111</v>
      </c>
      <c r="Q2783" s="7"/>
      <c r="R2783" s="1"/>
      <c r="S2783" s="1" t="str">
        <f>"J-UN-2021-69"</f>
        <v>J-UN-2021-69</v>
      </c>
      <c r="T2783" s="1" t="s">
        <v>32</v>
      </c>
    </row>
    <row r="2784" spans="1:20" ht="63.75" x14ac:dyDescent="0.25">
      <c r="A2784" s="6">
        <v>2778</v>
      </c>
      <c r="B2784" s="1" t="str">
        <f>"2021-915"</f>
        <v>2021-915</v>
      </c>
      <c r="C2784" s="1" t="s">
        <v>2563</v>
      </c>
      <c r="D2784" s="1" t="s">
        <v>914</v>
      </c>
      <c r="E2784" s="1" t="str">
        <f>""</f>
        <v/>
      </c>
      <c r="F2784" s="1" t="s">
        <v>1860</v>
      </c>
      <c r="G2784" s="1" t="str">
        <f>CONCATENATE(" TOKIĆ D.O.O.,"," ULICA 144. BRIGADE HRVATSKE VOJSKE 1A,"," 10360 SESVETE,"," OIB: 7486748762")</f>
        <v xml:space="preserve"> TOKIĆ D.O.O., ULICA 144. BRIGADE HRVATSKE VOJSKE 1A, 10360 SESVETE, OIB: 7486748762</v>
      </c>
      <c r="H2784" s="7"/>
      <c r="I2784" s="8" t="s">
        <v>1359</v>
      </c>
      <c r="J2784" s="8" t="s">
        <v>752</v>
      </c>
      <c r="K2784" s="6" t="str">
        <f>"395,00"</f>
        <v>395,00</v>
      </c>
      <c r="L2784" s="6" t="str">
        <f>"98,75"</f>
        <v>98,75</v>
      </c>
      <c r="M2784" s="6" t="str">
        <f>"493,75"</f>
        <v>493,75</v>
      </c>
      <c r="N2784" s="8" t="s">
        <v>2582</v>
      </c>
      <c r="O2784" s="7"/>
      <c r="P2784" s="2" t="s">
        <v>7112</v>
      </c>
      <c r="Q2784" s="7"/>
      <c r="R2784" s="1"/>
      <c r="S2784" s="1" t="str">
        <f>"J-UN-2021-70"</f>
        <v>J-UN-2021-70</v>
      </c>
      <c r="T2784" s="1" t="s">
        <v>32</v>
      </c>
    </row>
    <row r="2785" spans="1:20" ht="76.5" x14ac:dyDescent="0.25">
      <c r="A2785" s="6">
        <v>2779</v>
      </c>
      <c r="B2785" s="1" t="str">
        <f>"2021-1791"</f>
        <v>2021-1791</v>
      </c>
      <c r="C2785" s="1" t="s">
        <v>2558</v>
      </c>
      <c r="D2785" s="1" t="s">
        <v>860</v>
      </c>
      <c r="E2785" s="1" t="str">
        <f>""</f>
        <v/>
      </c>
      <c r="F2785" s="1" t="s">
        <v>1860</v>
      </c>
      <c r="G2785" s="1" t="str">
        <f>CONCATENATE(" SPECIJALNA ZAVARIVANJA ČUKMAN D.O.O.,"," JEŽDOVEČKA ULICA 1C,"," 10250 LUČKO,"," OIB: 14195538193")</f>
        <v xml:space="preserve"> SPECIJALNA ZAVARIVANJA ČUKMAN D.O.O., JEŽDOVEČKA ULICA 1C, 10250 LUČKO, OIB: 14195538193</v>
      </c>
      <c r="H2785" s="7"/>
      <c r="I2785" s="8" t="s">
        <v>2583</v>
      </c>
      <c r="J2785" s="8" t="s">
        <v>62</v>
      </c>
      <c r="K2785" s="6" t="str">
        <f>"1.940,00"</f>
        <v>1.940,00</v>
      </c>
      <c r="L2785" s="6" t="str">
        <f>"485,00"</f>
        <v>485,00</v>
      </c>
      <c r="M2785" s="6" t="str">
        <f>"2.425,00"</f>
        <v>2.425,00</v>
      </c>
      <c r="N2785" s="7"/>
      <c r="O2785" s="9">
        <v>44299</v>
      </c>
      <c r="P2785" s="2" t="s">
        <v>5614</v>
      </c>
      <c r="Q2785" s="7"/>
      <c r="R2785" s="1"/>
      <c r="S2785" s="1" t="str">
        <f>"J-UN-2021-72"</f>
        <v>J-UN-2021-72</v>
      </c>
      <c r="T2785" s="1" t="s">
        <v>32</v>
      </c>
    </row>
    <row r="2786" spans="1:20" ht="63.75" x14ac:dyDescent="0.25">
      <c r="A2786" s="6">
        <v>2780</v>
      </c>
      <c r="B2786" s="1" t="str">
        <f>"2021-1753"</f>
        <v>2021-1753</v>
      </c>
      <c r="C2786" s="1" t="s">
        <v>2584</v>
      </c>
      <c r="D2786" s="1" t="s">
        <v>945</v>
      </c>
      <c r="E2786" s="1" t="str">
        <f>""</f>
        <v/>
      </c>
      <c r="F2786" s="1" t="s">
        <v>1860</v>
      </c>
      <c r="G2786" s="1" t="str">
        <f>CONCATENATE(" 3 K.F. D.O.O.,"," II. KANALSKI PUT VI. ODVOJAK 5A,"," 10000 ZAGREB,"," OIB: 49939600448")</f>
        <v xml:space="preserve"> 3 K.F. D.O.O., II. KANALSKI PUT VI. ODVOJAK 5A, 10000 ZAGREB, OIB: 49939600448</v>
      </c>
      <c r="H2786" s="7"/>
      <c r="I2786" s="8" t="s">
        <v>2566</v>
      </c>
      <c r="J2786" s="8" t="s">
        <v>90</v>
      </c>
      <c r="K2786" s="6" t="str">
        <f>"125.300,00"</f>
        <v>125.300,00</v>
      </c>
      <c r="L2786" s="6" t="str">
        <f>"31.325,00"</f>
        <v>31.325,00</v>
      </c>
      <c r="M2786" s="6" t="str">
        <f>"156.625,00"</f>
        <v>156.625,00</v>
      </c>
      <c r="N2786" s="8" t="s">
        <v>1271</v>
      </c>
      <c r="O2786" s="7"/>
      <c r="P2786" s="2" t="s">
        <v>7113</v>
      </c>
      <c r="Q2786" s="1" t="s">
        <v>1177</v>
      </c>
      <c r="R2786" s="1"/>
      <c r="S2786" s="1" t="str">
        <f>"J-UN-2021-73"</f>
        <v>J-UN-2021-73</v>
      </c>
      <c r="T2786" s="1" t="s">
        <v>32</v>
      </c>
    </row>
    <row r="2787" spans="1:20" ht="51" x14ac:dyDescent="0.25">
      <c r="A2787" s="6">
        <v>2781</v>
      </c>
      <c r="B2787" s="1" t="str">
        <f>"2021-729"</f>
        <v>2021-729</v>
      </c>
      <c r="C2787" s="1" t="s">
        <v>2585</v>
      </c>
      <c r="D2787" s="1" t="s">
        <v>2586</v>
      </c>
      <c r="E2787" s="1" t="str">
        <f>""</f>
        <v/>
      </c>
      <c r="F2787" s="1" t="s">
        <v>1860</v>
      </c>
      <c r="G2787" s="1" t="str">
        <f>CONCATENATE(" SELMET D.O.O.,"," KRANJČEVIĆEVA 5,"," 10000 ZAGREB,"," OIB: 25531283613")</f>
        <v xml:space="preserve"> SELMET D.O.O., KRANJČEVIĆEVA 5, 10000 ZAGREB, OIB: 25531283613</v>
      </c>
      <c r="H2787" s="7"/>
      <c r="I2787" s="8" t="s">
        <v>2568</v>
      </c>
      <c r="J2787" s="8" t="s">
        <v>754</v>
      </c>
      <c r="K2787" s="6" t="str">
        <f>"128.142,00"</f>
        <v>128.142,00</v>
      </c>
      <c r="L2787" s="6" t="str">
        <f>"32.035,50"</f>
        <v>32.035,50</v>
      </c>
      <c r="M2787" s="6" t="str">
        <f>"160.177,50"</f>
        <v>160.177,50</v>
      </c>
      <c r="N2787" s="8" t="s">
        <v>2587</v>
      </c>
      <c r="O2787" s="7"/>
      <c r="P2787" s="2" t="s">
        <v>7114</v>
      </c>
      <c r="Q2787" s="7"/>
      <c r="R2787" s="1"/>
      <c r="S2787" s="1" t="str">
        <f>"J-UN-2021-74"</f>
        <v>J-UN-2021-74</v>
      </c>
      <c r="T2787" s="1" t="s">
        <v>32</v>
      </c>
    </row>
    <row r="2788" spans="1:20" ht="51" x14ac:dyDescent="0.25">
      <c r="A2788" s="6">
        <v>2782</v>
      </c>
      <c r="B2788" s="1" t="str">
        <f>"2021-1825"</f>
        <v>2021-1825</v>
      </c>
      <c r="C2788" s="1" t="s">
        <v>2588</v>
      </c>
      <c r="D2788" s="1" t="s">
        <v>2589</v>
      </c>
      <c r="E2788" s="1" t="str">
        <f>""</f>
        <v/>
      </c>
      <c r="F2788" s="1" t="s">
        <v>1860</v>
      </c>
      <c r="G2788" s="1" t="str">
        <f>CONCATENATE(" USLUGA D.O.O.,"," GORNJA OBRIJEŽ 21,"," 34550 PAKRAC,"," OIB: 2798710804")</f>
        <v xml:space="preserve"> USLUGA D.O.O., GORNJA OBRIJEŽ 21, 34550 PAKRAC, OIB: 2798710804</v>
      </c>
      <c r="H2788" s="7"/>
      <c r="I2788" s="8" t="s">
        <v>1388</v>
      </c>
      <c r="J2788" s="8" t="s">
        <v>1117</v>
      </c>
      <c r="K2788" s="6" t="str">
        <f>"498.980,00"</f>
        <v>498.980,00</v>
      </c>
      <c r="L2788" s="6" t="str">
        <f>"124.745,00"</f>
        <v>124.745,00</v>
      </c>
      <c r="M2788" s="6" t="str">
        <f>"623.725,00"</f>
        <v>623.725,00</v>
      </c>
      <c r="N2788" s="8" t="s">
        <v>2590</v>
      </c>
      <c r="O2788" s="7"/>
      <c r="P2788" s="2" t="s">
        <v>7115</v>
      </c>
      <c r="Q2788" s="7"/>
      <c r="R2788" s="1"/>
      <c r="S2788" s="1" t="str">
        <f>"J-UN-2021-75"</f>
        <v>J-UN-2021-75</v>
      </c>
      <c r="T2788" s="1" t="s">
        <v>32</v>
      </c>
    </row>
    <row r="2789" spans="1:20" ht="38.25" x14ac:dyDescent="0.25">
      <c r="A2789" s="6">
        <v>2783</v>
      </c>
      <c r="B2789" s="1" t="str">
        <f>"2021-882"</f>
        <v>2021-882</v>
      </c>
      <c r="C2789" s="1" t="s">
        <v>2565</v>
      </c>
      <c r="D2789" s="1" t="s">
        <v>1833</v>
      </c>
      <c r="E2789" s="1" t="str">
        <f>""</f>
        <v/>
      </c>
      <c r="F2789" s="1" t="s">
        <v>1860</v>
      </c>
      <c r="G2789" s="1" t="str">
        <f>CONCATENATE(" R-PIM D.O.O.,"," ,"," OIB: 38514700472")</f>
        <v xml:space="preserve"> R-PIM D.O.O., , OIB: 38514700472</v>
      </c>
      <c r="H2789" s="7"/>
      <c r="I2789" s="8" t="s">
        <v>1388</v>
      </c>
      <c r="J2789" s="8" t="s">
        <v>1117</v>
      </c>
      <c r="K2789" s="6" t="str">
        <f>"870,00"</f>
        <v>870,00</v>
      </c>
      <c r="L2789" s="6" t="str">
        <f>"217,50"</f>
        <v>217,50</v>
      </c>
      <c r="M2789" s="6" t="str">
        <f>"1.087,50"</f>
        <v>1.087,50</v>
      </c>
      <c r="N2789" s="8" t="s">
        <v>2587</v>
      </c>
      <c r="O2789" s="7"/>
      <c r="P2789" s="2" t="s">
        <v>7116</v>
      </c>
      <c r="Q2789" s="7"/>
      <c r="R2789" s="1"/>
      <c r="S2789" s="1" t="str">
        <f>"J-UN-2021-76"</f>
        <v>J-UN-2021-76</v>
      </c>
      <c r="T2789" s="1" t="s">
        <v>32</v>
      </c>
    </row>
    <row r="2790" spans="1:20" ht="63.75" x14ac:dyDescent="0.25">
      <c r="A2790" s="6">
        <v>2784</v>
      </c>
      <c r="B2790" s="1" t="str">
        <f>"2021-915"</f>
        <v>2021-915</v>
      </c>
      <c r="C2790" s="1" t="s">
        <v>2563</v>
      </c>
      <c r="D2790" s="1" t="s">
        <v>914</v>
      </c>
      <c r="E2790" s="1" t="str">
        <f>""</f>
        <v/>
      </c>
      <c r="F2790" s="1" t="s">
        <v>1860</v>
      </c>
      <c r="G2790" s="1" t="str">
        <f>CONCATENATE(" TOKIĆ D.O.O.,"," ULICA 144. BRIGADE HRVATSKE VOJSKE 1A,"," 10360 SESVETE,"," OIB: 7486748762")</f>
        <v xml:space="preserve"> TOKIĆ D.O.O., ULICA 144. BRIGADE HRVATSKE VOJSKE 1A, 10360 SESVETE, OIB: 7486748762</v>
      </c>
      <c r="H2790" s="7"/>
      <c r="I2790" s="8" t="s">
        <v>2065</v>
      </c>
      <c r="J2790" s="8" t="s">
        <v>397</v>
      </c>
      <c r="K2790" s="6" t="str">
        <f>"3.109,00"</f>
        <v>3.109,00</v>
      </c>
      <c r="L2790" s="6" t="str">
        <f>"777,25"</f>
        <v>777,25</v>
      </c>
      <c r="M2790" s="6" t="str">
        <f>"3.886,25"</f>
        <v>3.886,25</v>
      </c>
      <c r="N2790" s="8" t="s">
        <v>2587</v>
      </c>
      <c r="O2790" s="7"/>
      <c r="P2790" s="2" t="s">
        <v>7117</v>
      </c>
      <c r="Q2790" s="7"/>
      <c r="R2790" s="1"/>
      <c r="S2790" s="1" t="str">
        <f>"J-UN-2021-77"</f>
        <v>J-UN-2021-77</v>
      </c>
      <c r="T2790" s="1" t="s">
        <v>32</v>
      </c>
    </row>
    <row r="2791" spans="1:20" ht="63.75" x14ac:dyDescent="0.25">
      <c r="A2791" s="6">
        <v>2785</v>
      </c>
      <c r="B2791" s="1" t="str">
        <f>"2021-1990"</f>
        <v>2021-1990</v>
      </c>
      <c r="C2791" s="1" t="s">
        <v>2591</v>
      </c>
      <c r="D2791" s="1" t="s">
        <v>2248</v>
      </c>
      <c r="E2791" s="1" t="str">
        <f>""</f>
        <v/>
      </c>
      <c r="F2791" s="1" t="s">
        <v>1860</v>
      </c>
      <c r="G2791" s="1" t="str">
        <f>CONCATENATE(" RADIONICA STATIKE D.O.O.,"," ANDRIJE KAČIĆA MIOŠIĆA 22,"," 10000 ZAGREB,"," OIB: 21520453993")</f>
        <v xml:space="preserve"> RADIONICA STATIKE D.O.O., ANDRIJE KAČIĆA MIOŠIĆA 22, 10000 ZAGREB, OIB: 21520453993</v>
      </c>
      <c r="H2791" s="7"/>
      <c r="I2791" s="8" t="s">
        <v>2058</v>
      </c>
      <c r="J2791" s="8" t="s">
        <v>236</v>
      </c>
      <c r="K2791" s="6" t="str">
        <f>"130.000,00"</f>
        <v>130.000,00</v>
      </c>
      <c r="L2791" s="6" t="str">
        <f>"32.500,00"</f>
        <v>32.500,00</v>
      </c>
      <c r="M2791" s="6" t="str">
        <f>"162.500,00"</f>
        <v>162.500,00</v>
      </c>
      <c r="N2791" s="8" t="s">
        <v>1988</v>
      </c>
      <c r="O2791" s="7"/>
      <c r="P2791" s="2" t="s">
        <v>7118</v>
      </c>
      <c r="Q2791" s="7"/>
      <c r="R2791" s="1"/>
      <c r="S2791" s="1" t="str">
        <f>"J-UN-2021-78"</f>
        <v>J-UN-2021-78</v>
      </c>
      <c r="T2791" s="1" t="s">
        <v>32</v>
      </c>
    </row>
    <row r="2792" spans="1:20" ht="63.75" x14ac:dyDescent="0.25">
      <c r="A2792" s="6">
        <v>2786</v>
      </c>
      <c r="B2792" s="1" t="str">
        <f>"2021-1733"</f>
        <v>2021-1733</v>
      </c>
      <c r="C2792" s="1" t="s">
        <v>2405</v>
      </c>
      <c r="D2792" s="1" t="s">
        <v>880</v>
      </c>
      <c r="E2792" s="1" t="str">
        <f>""</f>
        <v/>
      </c>
      <c r="F2792" s="1" t="s">
        <v>1860</v>
      </c>
      <c r="G2792" s="1" t="str">
        <f>CONCATENATE(" POLIKLINIKA SVETI ROK M.D.,"," ULICA GRADA VUKOVARA 284,"," 10000 ZAGREB,"," OIB: 28842147765")</f>
        <v xml:space="preserve"> POLIKLINIKA SVETI ROK M.D., ULICA GRADA VUKOVARA 284, 10000 ZAGREB, OIB: 28842147765</v>
      </c>
      <c r="H2792" s="7"/>
      <c r="I2792" s="8" t="s">
        <v>1359</v>
      </c>
      <c r="J2792" s="8" t="s">
        <v>752</v>
      </c>
      <c r="K2792" s="6" t="str">
        <f>"3.500,00"</f>
        <v>3.500,00</v>
      </c>
      <c r="L2792" s="6" t="str">
        <f>"875,00"</f>
        <v>875,00</v>
      </c>
      <c r="M2792" s="6" t="str">
        <f>"4.375,00"</f>
        <v>4.375,00</v>
      </c>
      <c r="N2792" s="8" t="s">
        <v>124</v>
      </c>
      <c r="O2792" s="7"/>
      <c r="P2792" s="2" t="s">
        <v>5614</v>
      </c>
      <c r="Q2792" s="7"/>
      <c r="R2792" s="1"/>
      <c r="S2792" s="1" t="str">
        <f>"J-UN-2021-79"</f>
        <v>J-UN-2021-79</v>
      </c>
      <c r="T2792" s="1" t="s">
        <v>32</v>
      </c>
    </row>
    <row r="2793" spans="1:20" ht="63.75" x14ac:dyDescent="0.25">
      <c r="A2793" s="6">
        <v>2787</v>
      </c>
      <c r="B2793" s="1" t="str">
        <f>"2021-1733"</f>
        <v>2021-1733</v>
      </c>
      <c r="C2793" s="1" t="s">
        <v>2405</v>
      </c>
      <c r="D2793" s="1" t="s">
        <v>880</v>
      </c>
      <c r="E2793" s="1" t="str">
        <f>""</f>
        <v/>
      </c>
      <c r="F2793" s="1" t="s">
        <v>1860</v>
      </c>
      <c r="G2793" s="1" t="str">
        <f>CONCATENATE(" AGRAM LIFE OSIGURANJE D.D,"," TRNJANSKA CESTA 108,"," 10000 ZAGREB,"," OIB: 18742666873")</f>
        <v xml:space="preserve"> AGRAM LIFE OSIGURANJE D.D, TRNJANSKA CESTA 108, 10000 ZAGREB, OIB: 18742666873</v>
      </c>
      <c r="H2793" s="7"/>
      <c r="I2793" s="8" t="s">
        <v>1359</v>
      </c>
      <c r="J2793" s="8" t="s">
        <v>752</v>
      </c>
      <c r="K2793" s="6" t="str">
        <f>"3.040,00"</f>
        <v>3.040,00</v>
      </c>
      <c r="L2793" s="6" t="str">
        <f>"760,00"</f>
        <v>760,00</v>
      </c>
      <c r="M2793" s="6" t="str">
        <f>"3.800,00"</f>
        <v>3.800,00</v>
      </c>
      <c r="N2793" s="8" t="s">
        <v>124</v>
      </c>
      <c r="O2793" s="7"/>
      <c r="P2793" s="2" t="s">
        <v>5614</v>
      </c>
      <c r="Q2793" s="7"/>
      <c r="R2793" s="1"/>
      <c r="S2793" s="1" t="str">
        <f>"J-UN-2021-80"</f>
        <v>J-UN-2021-80</v>
      </c>
      <c r="T2793" s="1" t="s">
        <v>32</v>
      </c>
    </row>
    <row r="2794" spans="1:20" ht="63.75" x14ac:dyDescent="0.25">
      <c r="A2794" s="6">
        <v>2788</v>
      </c>
      <c r="B2794" s="1" t="str">
        <f>"2021-1733"</f>
        <v>2021-1733</v>
      </c>
      <c r="C2794" s="1" t="s">
        <v>2405</v>
      </c>
      <c r="D2794" s="1" t="s">
        <v>880</v>
      </c>
      <c r="E2794" s="1" t="str">
        <f>""</f>
        <v/>
      </c>
      <c r="F2794" s="1" t="s">
        <v>1860</v>
      </c>
      <c r="G2794" s="1" t="str">
        <f>CONCATENATE(" AGRAM LIFE OSIGURANJE D.D,"," TRNJANSKA CESTA 108,"," 10000 ZAGREB,"," OIB: 18742666873")</f>
        <v xml:space="preserve"> AGRAM LIFE OSIGURANJE D.D, TRNJANSKA CESTA 108, 10000 ZAGREB, OIB: 18742666873</v>
      </c>
      <c r="H2794" s="7"/>
      <c r="I2794" s="8" t="s">
        <v>1359</v>
      </c>
      <c r="J2794" s="8" t="s">
        <v>752</v>
      </c>
      <c r="K2794" s="6" t="str">
        <f>"3.040,00"</f>
        <v>3.040,00</v>
      </c>
      <c r="L2794" s="6" t="str">
        <f>"760,00"</f>
        <v>760,00</v>
      </c>
      <c r="M2794" s="6" t="str">
        <f>"3.800,00"</f>
        <v>3.800,00</v>
      </c>
      <c r="N2794" s="8" t="s">
        <v>124</v>
      </c>
      <c r="O2794" s="7"/>
      <c r="P2794" s="2" t="s">
        <v>5614</v>
      </c>
      <c r="Q2794" s="7"/>
      <c r="R2794" s="1"/>
      <c r="S2794" s="1" t="str">
        <f>"J-UN-2021-81"</f>
        <v>J-UN-2021-81</v>
      </c>
      <c r="T2794" s="1" t="s">
        <v>32</v>
      </c>
    </row>
    <row r="2795" spans="1:20" ht="51" x14ac:dyDescent="0.25">
      <c r="A2795" s="6">
        <v>2789</v>
      </c>
      <c r="B2795" s="1" t="str">
        <f>"2021-22"</f>
        <v>2021-22</v>
      </c>
      <c r="C2795" s="1" t="s">
        <v>2592</v>
      </c>
      <c r="D2795" s="1" t="s">
        <v>1865</v>
      </c>
      <c r="E2795" s="1" t="str">
        <f>""</f>
        <v/>
      </c>
      <c r="F2795" s="1" t="s">
        <v>1860</v>
      </c>
      <c r="G2795" s="1" t="str">
        <f>CONCATENATE(" OVERTIME D.O.O.,"," MAKSIMIRSKA 70,"," 10000 ZAGREB,"," OIB: 77536607652")</f>
        <v xml:space="preserve"> OVERTIME D.O.O., MAKSIMIRSKA 70, 10000 ZAGREB, OIB: 77536607652</v>
      </c>
      <c r="H2795" s="7"/>
      <c r="I2795" s="8" t="s">
        <v>1359</v>
      </c>
      <c r="J2795" s="8" t="s">
        <v>752</v>
      </c>
      <c r="K2795" s="6" t="str">
        <f>"40.000,00"</f>
        <v>40.000,00</v>
      </c>
      <c r="L2795" s="6" t="str">
        <f>"10.000,00"</f>
        <v>10.000,00</v>
      </c>
      <c r="M2795" s="6" t="str">
        <f>"50.000,00"</f>
        <v>50.000,00</v>
      </c>
      <c r="N2795" s="8" t="s">
        <v>108</v>
      </c>
      <c r="O2795" s="7"/>
      <c r="P2795" s="2" t="s">
        <v>7119</v>
      </c>
      <c r="Q2795" s="7"/>
      <c r="R2795" s="1"/>
      <c r="S2795" s="1" t="str">
        <f>"J-UN-2021-82"</f>
        <v>J-UN-2021-82</v>
      </c>
      <c r="T2795" s="1" t="s">
        <v>32</v>
      </c>
    </row>
    <row r="2796" spans="1:20" ht="76.5" x14ac:dyDescent="0.25">
      <c r="A2796" s="6">
        <v>2790</v>
      </c>
      <c r="B2796" s="1" t="str">
        <f>"2021-1791"</f>
        <v>2021-1791</v>
      </c>
      <c r="C2796" s="1" t="s">
        <v>2558</v>
      </c>
      <c r="D2796" s="1" t="s">
        <v>860</v>
      </c>
      <c r="E2796" s="1" t="str">
        <f>""</f>
        <v/>
      </c>
      <c r="F2796" s="1" t="s">
        <v>1860</v>
      </c>
      <c r="G2796" s="1" t="str">
        <f>CONCATENATE(" SPECIJALNA ZAVARIVANJA ČUKMAN D.O.O.,"," JEŽDOVEČKA ULICA 1C,"," 10250 LUČKO,"," OIB: 14195538193")</f>
        <v xml:space="preserve"> SPECIJALNA ZAVARIVANJA ČUKMAN D.O.O., JEŽDOVEČKA ULICA 1C, 10250 LUČKO, OIB: 14195538193</v>
      </c>
      <c r="H2796" s="7"/>
      <c r="I2796" s="8" t="s">
        <v>1359</v>
      </c>
      <c r="J2796" s="8" t="s">
        <v>752</v>
      </c>
      <c r="K2796" s="6" t="str">
        <f>"4.080,00"</f>
        <v>4.080,00</v>
      </c>
      <c r="L2796" s="6" t="str">
        <f>"1.020,00"</f>
        <v>1.020,00</v>
      </c>
      <c r="M2796" s="6" t="str">
        <f>"5.100,00"</f>
        <v>5.100,00</v>
      </c>
      <c r="N2796" s="8" t="s">
        <v>2560</v>
      </c>
      <c r="O2796" s="7"/>
      <c r="P2796" s="2" t="s">
        <v>7120</v>
      </c>
      <c r="Q2796" s="7"/>
      <c r="R2796" s="1"/>
      <c r="S2796" s="1" t="str">
        <f>"J-UN-2021-83"</f>
        <v>J-UN-2021-83</v>
      </c>
      <c r="T2796" s="1" t="s">
        <v>32</v>
      </c>
    </row>
    <row r="2797" spans="1:20" ht="63.75" x14ac:dyDescent="0.25">
      <c r="A2797" s="6">
        <v>2791</v>
      </c>
      <c r="B2797" s="1" t="str">
        <f>"2021-345"</f>
        <v>2021-345</v>
      </c>
      <c r="C2797" s="1" t="s">
        <v>2593</v>
      </c>
      <c r="D2797" s="1" t="s">
        <v>2594</v>
      </c>
      <c r="E2797" s="1" t="str">
        <f>""</f>
        <v/>
      </c>
      <c r="F2797" s="1" t="s">
        <v>1860</v>
      </c>
      <c r="G2797" s="1" t="str">
        <f>CONCATENATE(" BOLČEVIĆ-GRADNJA D.O.O.,"," DUGOSELSKA CESTA 56,"," 10361 SESVETSKI KRALJEVEC,"," OIB: 520986705")</f>
        <v xml:space="preserve"> BOLČEVIĆ-GRADNJA D.O.O., DUGOSELSKA CESTA 56, 10361 SESVETSKI KRALJEVEC, OIB: 520986705</v>
      </c>
      <c r="H2797" s="7"/>
      <c r="I2797" s="8" t="s">
        <v>1271</v>
      </c>
      <c r="J2797" s="8" t="s">
        <v>41</v>
      </c>
      <c r="K2797" s="6" t="str">
        <f>"150.000,00"</f>
        <v>150.000,00</v>
      </c>
      <c r="L2797" s="6" t="str">
        <f>"37.500,00"</f>
        <v>37.500,00</v>
      </c>
      <c r="M2797" s="6" t="str">
        <f>"187.500,00"</f>
        <v>187.500,00</v>
      </c>
      <c r="N2797" s="8" t="s">
        <v>124</v>
      </c>
      <c r="O2797" s="7"/>
      <c r="P2797" s="2" t="s">
        <v>5614</v>
      </c>
      <c r="Q2797" s="7"/>
      <c r="R2797" s="1"/>
      <c r="S2797" s="1" t="str">
        <f>"J-UN-2021-85"</f>
        <v>J-UN-2021-85</v>
      </c>
      <c r="T2797" s="1" t="s">
        <v>32</v>
      </c>
    </row>
    <row r="2798" spans="1:20" ht="51" x14ac:dyDescent="0.25">
      <c r="A2798" s="6">
        <v>2792</v>
      </c>
      <c r="B2798" s="1" t="str">
        <f>"2021-110"</f>
        <v>2021-110</v>
      </c>
      <c r="C2798" s="1" t="s">
        <v>2595</v>
      </c>
      <c r="D2798" s="1" t="s">
        <v>2596</v>
      </c>
      <c r="E2798" s="1" t="str">
        <f>""</f>
        <v/>
      </c>
      <c r="F2798" s="1" t="s">
        <v>1860</v>
      </c>
      <c r="G2798" s="1" t="str">
        <f>CONCATENATE(" KERSCHOFFSET D.O.O.,"," JEŽDOVEČKA 112,"," 10250 LUČKO,"," OIB: 84934386922")</f>
        <v xml:space="preserve"> KERSCHOFFSET D.O.O., JEŽDOVEČKA 112, 10250 LUČKO, OIB: 84934386922</v>
      </c>
      <c r="H2798" s="7"/>
      <c r="I2798" s="8" t="s">
        <v>2065</v>
      </c>
      <c r="J2798" s="8" t="s">
        <v>397</v>
      </c>
      <c r="K2798" s="6" t="str">
        <f>"990,00"</f>
        <v>990,00</v>
      </c>
      <c r="L2798" s="6" t="str">
        <f>"247,50"</f>
        <v>247,50</v>
      </c>
      <c r="M2798" s="6" t="str">
        <f>"1.237,50"</f>
        <v>1.237,50</v>
      </c>
      <c r="N2798" s="8" t="s">
        <v>1271</v>
      </c>
      <c r="O2798" s="7"/>
      <c r="P2798" s="2" t="s">
        <v>7121</v>
      </c>
      <c r="Q2798" s="7"/>
      <c r="R2798" s="1"/>
      <c r="S2798" s="1" t="str">
        <f>"J-UN-2021-86"</f>
        <v>J-UN-2021-86</v>
      </c>
      <c r="T2798" s="1" t="s">
        <v>32</v>
      </c>
    </row>
    <row r="2799" spans="1:20" ht="51" x14ac:dyDescent="0.25">
      <c r="A2799" s="6">
        <v>2793</v>
      </c>
      <c r="B2799" s="1" t="str">
        <f>"2021-431"</f>
        <v>2021-431</v>
      </c>
      <c r="C2799" s="1" t="s">
        <v>2597</v>
      </c>
      <c r="D2799" s="1" t="s">
        <v>2598</v>
      </c>
      <c r="E2799" s="1" t="str">
        <f>""</f>
        <v/>
      </c>
      <c r="F2799" s="1" t="s">
        <v>1860</v>
      </c>
      <c r="G2799" s="1" t="str">
        <f>CONCATENATE(" SCHEDA D.O.O.,"," LJUDEVITA POSAVSKOG 29,"," 10360 SESVETE,"," OIB: 76219817247")</f>
        <v xml:space="preserve"> SCHEDA D.O.O., LJUDEVITA POSAVSKOG 29, 10360 SESVETE, OIB: 76219817247</v>
      </c>
      <c r="H2799" s="7"/>
      <c r="I2799" s="8" t="s">
        <v>1377</v>
      </c>
      <c r="J2799" s="8" t="s">
        <v>804</v>
      </c>
      <c r="K2799" s="6" t="str">
        <f>"958,00"</f>
        <v>958,00</v>
      </c>
      <c r="L2799" s="6" t="str">
        <f>"239,50"</f>
        <v>239,50</v>
      </c>
      <c r="M2799" s="6" t="str">
        <f>"1.197,50"</f>
        <v>1.197,50</v>
      </c>
      <c r="N2799" s="8" t="s">
        <v>2599</v>
      </c>
      <c r="O2799" s="7"/>
      <c r="P2799" s="2" t="s">
        <v>7122</v>
      </c>
      <c r="Q2799" s="7"/>
      <c r="R2799" s="1"/>
      <c r="S2799" s="1" t="str">
        <f>"J-UN-2021-91"</f>
        <v>J-UN-2021-91</v>
      </c>
      <c r="T2799" s="1" t="s">
        <v>32</v>
      </c>
    </row>
    <row r="2800" spans="1:20" ht="51" x14ac:dyDescent="0.25">
      <c r="A2800" s="6">
        <v>2794</v>
      </c>
      <c r="B2800" s="1" t="str">
        <f>"2021-463"</f>
        <v>2021-463</v>
      </c>
      <c r="C2800" s="1" t="s">
        <v>2600</v>
      </c>
      <c r="D2800" s="1" t="s">
        <v>2601</v>
      </c>
      <c r="E2800" s="1" t="str">
        <f>""</f>
        <v/>
      </c>
      <c r="F2800" s="1" t="s">
        <v>1860</v>
      </c>
      <c r="G2800" s="1" t="str">
        <f>CONCATENATE(" NIACO D.O.O.,"," IVANA KAMENARIĆA 9,"," 10380 SVETI IVAN ZELINA,"," OIB: 61876916009")</f>
        <v xml:space="preserve"> NIACO D.O.O., IVANA KAMENARIĆA 9, 10380 SVETI IVAN ZELINA, OIB: 61876916009</v>
      </c>
      <c r="H2800" s="7"/>
      <c r="I2800" s="8" t="s">
        <v>1127</v>
      </c>
      <c r="J2800" s="8" t="s">
        <v>127</v>
      </c>
      <c r="K2800" s="6" t="str">
        <f>"1.630,00"</f>
        <v>1.630,00</v>
      </c>
      <c r="L2800" s="6" t="str">
        <f>"407,50"</f>
        <v>407,50</v>
      </c>
      <c r="M2800" s="6" t="str">
        <f>"2.037,50"</f>
        <v>2.037,50</v>
      </c>
      <c r="N2800" s="8" t="s">
        <v>2602</v>
      </c>
      <c r="O2800" s="7"/>
      <c r="P2800" s="2" t="s">
        <v>7123</v>
      </c>
      <c r="Q2800" s="7"/>
      <c r="R2800" s="1"/>
      <c r="S2800" s="1" t="str">
        <f>"J-UN-2021-93"</f>
        <v>J-UN-2021-93</v>
      </c>
      <c r="T2800" s="1" t="s">
        <v>32</v>
      </c>
    </row>
    <row r="2801" spans="1:20" ht="38.25" x14ac:dyDescent="0.25">
      <c r="A2801" s="6">
        <v>2795</v>
      </c>
      <c r="B2801" s="1" t="str">
        <f>"2021-1026"</f>
        <v>2021-1026</v>
      </c>
      <c r="C2801" s="1" t="s">
        <v>2564</v>
      </c>
      <c r="D2801" s="1" t="s">
        <v>21</v>
      </c>
      <c r="E2801" s="1" t="str">
        <f>""</f>
        <v/>
      </c>
      <c r="F2801" s="1" t="s">
        <v>1860</v>
      </c>
      <c r="G2801" s="1" t="str">
        <f>CONCATENATE(" O-K-TEH d.o.o.,"," VUČAK 16A,"," 10000 ZAGREB,"," OIB: 37322381288")</f>
        <v xml:space="preserve"> O-K-TEH d.o.o., VUČAK 16A, 10000 ZAGREB, OIB: 37322381288</v>
      </c>
      <c r="H2801" s="7"/>
      <c r="I2801" s="8" t="s">
        <v>1271</v>
      </c>
      <c r="J2801" s="8" t="s">
        <v>41</v>
      </c>
      <c r="K2801" s="6" t="str">
        <f>"852,79"</f>
        <v>852,79</v>
      </c>
      <c r="L2801" s="6" t="str">
        <f>"213,20"</f>
        <v>213,20</v>
      </c>
      <c r="M2801" s="6" t="str">
        <f>"1.065,99"</f>
        <v>1.065,99</v>
      </c>
      <c r="N2801" s="8" t="s">
        <v>1271</v>
      </c>
      <c r="O2801" s="7"/>
      <c r="P2801" s="2" t="s">
        <v>7124</v>
      </c>
      <c r="Q2801" s="7"/>
      <c r="R2801" s="1"/>
      <c r="S2801" s="1" t="str">
        <f>"J-UN-2021-94"</f>
        <v>J-UN-2021-94</v>
      </c>
      <c r="T2801" s="1" t="s">
        <v>32</v>
      </c>
    </row>
    <row r="2802" spans="1:20" ht="38.25" x14ac:dyDescent="0.25">
      <c r="A2802" s="6">
        <v>2796</v>
      </c>
      <c r="B2802" s="1" t="str">
        <f>"2021-1026"</f>
        <v>2021-1026</v>
      </c>
      <c r="C2802" s="1" t="s">
        <v>2564</v>
      </c>
      <c r="D2802" s="1" t="s">
        <v>21</v>
      </c>
      <c r="E2802" s="1" t="str">
        <f>""</f>
        <v/>
      </c>
      <c r="F2802" s="1" t="s">
        <v>1860</v>
      </c>
      <c r="G2802" s="1" t="str">
        <f>CONCATENATE(" O-K-TEH d.o.o.,"," VUČAK 16A,"," 10000 ZAGREB,"," OIB: 37322381288")</f>
        <v xml:space="preserve"> O-K-TEH d.o.o., VUČAK 16A, 10000 ZAGREB, OIB: 37322381288</v>
      </c>
      <c r="H2802" s="7"/>
      <c r="I2802" s="8" t="s">
        <v>1271</v>
      </c>
      <c r="J2802" s="8" t="s">
        <v>41</v>
      </c>
      <c r="K2802" s="6" t="str">
        <f>"3.483,00"</f>
        <v>3.483,00</v>
      </c>
      <c r="L2802" s="6" t="str">
        <f>"870,75"</f>
        <v>870,75</v>
      </c>
      <c r="M2802" s="6" t="str">
        <f>"4.353,75"</f>
        <v>4.353,75</v>
      </c>
      <c r="N2802" s="8" t="s">
        <v>1275</v>
      </c>
      <c r="O2802" s="7"/>
      <c r="P2802" s="2" t="s">
        <v>7125</v>
      </c>
      <c r="Q2802" s="7"/>
      <c r="R2802" s="1"/>
      <c r="S2802" s="1" t="str">
        <f>"J-UN-2021-95"</f>
        <v>J-UN-2021-95</v>
      </c>
      <c r="T2802" s="1" t="s">
        <v>32</v>
      </c>
    </row>
    <row r="2803" spans="1:20" ht="51" x14ac:dyDescent="0.25">
      <c r="A2803" s="6">
        <v>2797</v>
      </c>
      <c r="B2803" s="1" t="str">
        <f>"2021-1781"</f>
        <v>2021-1781</v>
      </c>
      <c r="C2803" s="1" t="s">
        <v>2514</v>
      </c>
      <c r="D2803" s="1" t="s">
        <v>2515</v>
      </c>
      <c r="E2803" s="1" t="str">
        <f>""</f>
        <v/>
      </c>
      <c r="F2803" s="1" t="s">
        <v>1860</v>
      </c>
      <c r="G2803" s="1" t="str">
        <f>CONCATENATE(" NEMO-ADRIA D.O.O.,"," OKIĆKA 36,"," 10436 RAKOV POTOK,"," OIB: 80528785622")</f>
        <v xml:space="preserve"> NEMO-ADRIA D.O.O., OKIĆKA 36, 10436 RAKOV POTOK, OIB: 80528785622</v>
      </c>
      <c r="H2803" s="7"/>
      <c r="I2803" s="8" t="s">
        <v>1127</v>
      </c>
      <c r="J2803" s="8" t="s">
        <v>127</v>
      </c>
      <c r="K2803" s="6" t="str">
        <f>"198.440,00"</f>
        <v>198.440,00</v>
      </c>
      <c r="L2803" s="6" t="str">
        <f>"49.610,00"</f>
        <v>49.610,00</v>
      </c>
      <c r="M2803" s="6" t="str">
        <f>"248.050,00"</f>
        <v>248.050,00</v>
      </c>
      <c r="N2803" s="8" t="s">
        <v>88</v>
      </c>
      <c r="O2803" s="7"/>
      <c r="P2803" s="2" t="s">
        <v>7126</v>
      </c>
      <c r="Q2803" s="7"/>
      <c r="R2803" s="1"/>
      <c r="S2803" s="1" t="str">
        <f>"J-UN-2021-96"</f>
        <v>J-UN-2021-96</v>
      </c>
      <c r="T2803" s="1" t="s">
        <v>32</v>
      </c>
    </row>
    <row r="2804" spans="1:20" ht="76.5" x14ac:dyDescent="0.25">
      <c r="A2804" s="6">
        <v>2798</v>
      </c>
      <c r="B2804" s="1" t="str">
        <f>"2021-1"</f>
        <v>2021-1</v>
      </c>
      <c r="C2804" s="1" t="s">
        <v>2603</v>
      </c>
      <c r="D2804" s="1" t="s">
        <v>2306</v>
      </c>
      <c r="E2804" s="1" t="str">
        <f>""</f>
        <v/>
      </c>
      <c r="F2804" s="1" t="s">
        <v>1860</v>
      </c>
      <c r="G2804" s="1" t="str">
        <f>CONCATENATE(" RUSSELL BEDFORD CROATIA - POREZNO SAVJETOVANJE D.O.O.,"," SELSKA CESTA 90B,"," 10000 ZAGREB,"," OIB: 91429263075")</f>
        <v xml:space="preserve"> RUSSELL BEDFORD CROATIA - POREZNO SAVJETOVANJE D.O.O., SELSKA CESTA 90B, 10000 ZAGREB, OIB: 91429263075</v>
      </c>
      <c r="H2804" s="7"/>
      <c r="I2804" s="8" t="s">
        <v>1377</v>
      </c>
      <c r="J2804" s="8" t="s">
        <v>804</v>
      </c>
      <c r="K2804" s="6" t="str">
        <f>"60.000,00"</f>
        <v>60.000,00</v>
      </c>
      <c r="L2804" s="6" t="str">
        <f>"15.000,00"</f>
        <v>15.000,00</v>
      </c>
      <c r="M2804" s="6" t="str">
        <f>"75.000,00"</f>
        <v>75.000,00</v>
      </c>
      <c r="N2804" s="8" t="s">
        <v>1476</v>
      </c>
      <c r="O2804" s="7"/>
      <c r="P2804" s="2" t="s">
        <v>7127</v>
      </c>
      <c r="Q2804" s="7"/>
      <c r="R2804" s="1"/>
      <c r="S2804" s="1" t="str">
        <f>"J-UN-2021-99"</f>
        <v>J-UN-2021-99</v>
      </c>
      <c r="T2804" s="1" t="s">
        <v>32</v>
      </c>
    </row>
    <row r="2805" spans="1:20" ht="76.5" x14ac:dyDescent="0.25">
      <c r="A2805" s="6">
        <v>2799</v>
      </c>
      <c r="B2805" s="1" t="str">
        <f>"2021-1424"</f>
        <v>2021-1424</v>
      </c>
      <c r="C2805" s="1" t="s">
        <v>2305</v>
      </c>
      <c r="D2805" s="1" t="s">
        <v>2306</v>
      </c>
      <c r="E2805" s="1" t="str">
        <f>""</f>
        <v/>
      </c>
      <c r="F2805" s="1" t="s">
        <v>1860</v>
      </c>
      <c r="G2805" s="1" t="str">
        <f>CONCATENATE(" RUSSELL BEDFORD CROATIA - POREZNO SAVJETOVANJE D.O.O.,"," SELSKA CESTA 90B,"," 10000 ZAGREB,"," OIB: 91429263075")</f>
        <v xml:space="preserve"> RUSSELL BEDFORD CROATIA - POREZNO SAVJETOVANJE D.O.O., SELSKA CESTA 90B, 10000 ZAGREB, OIB: 91429263075</v>
      </c>
      <c r="H2805" s="7"/>
      <c r="I2805" s="8" t="s">
        <v>1377</v>
      </c>
      <c r="J2805" s="8" t="s">
        <v>804</v>
      </c>
      <c r="K2805" s="6" t="str">
        <f>"15.000,00"</f>
        <v>15.000,00</v>
      </c>
      <c r="L2805" s="6" t="str">
        <f>"3.750,00"</f>
        <v>3.750,00</v>
      </c>
      <c r="M2805" s="6" t="str">
        <f>"18.750,00"</f>
        <v>18.750,00</v>
      </c>
      <c r="N2805" s="8" t="s">
        <v>1402</v>
      </c>
      <c r="O2805" s="7"/>
      <c r="P2805" s="2" t="s">
        <v>5900</v>
      </c>
      <c r="Q2805" s="7"/>
      <c r="R2805" s="1"/>
      <c r="S2805" s="1" t="str">
        <f>"J-UN-2021-100"</f>
        <v>J-UN-2021-100</v>
      </c>
      <c r="T2805" s="1" t="s">
        <v>32</v>
      </c>
    </row>
    <row r="2806" spans="1:20" ht="89.25" x14ac:dyDescent="0.25">
      <c r="A2806" s="6">
        <v>2800</v>
      </c>
      <c r="B2806" s="1" t="str">
        <f>"2021-31"</f>
        <v>2021-31</v>
      </c>
      <c r="C2806" s="1" t="s">
        <v>2604</v>
      </c>
      <c r="D2806" s="1" t="s">
        <v>45</v>
      </c>
      <c r="E2806" s="1" t="str">
        <f>""</f>
        <v/>
      </c>
      <c r="F2806" s="1" t="s">
        <v>1860</v>
      </c>
      <c r="G2806" s="1" t="str">
        <f>CONCATENATE(" SVEUČILIŠTE U OSIJEKU,"," GRAĐEVINSKI I ARHITEKTONSKI FAKULTET OSIJEK,"," ULICA VLADIMIRA PRELOGA 3,"," 31000 OSIJEK,"," OIB: 04150850819")</f>
        <v xml:space="preserve"> SVEUČILIŠTE U OSIJEKU, GRAĐEVINSKI I ARHITEKTONSKI FAKULTET OSIJEK, ULICA VLADIMIRA PRELOGA 3, 31000 OSIJEK, OIB: 04150850819</v>
      </c>
      <c r="H2806" s="7"/>
      <c r="I2806" s="8" t="s">
        <v>2074</v>
      </c>
      <c r="J2806" s="8" t="s">
        <v>421</v>
      </c>
      <c r="K2806" s="6" t="str">
        <f>"37.000,00"</f>
        <v>37.000,00</v>
      </c>
      <c r="L2806" s="6" t="str">
        <f>"9.250,00"</f>
        <v>9.250,00</v>
      </c>
      <c r="M2806" s="6" t="str">
        <f>"46.250,00"</f>
        <v>46.250,00</v>
      </c>
      <c r="N2806" s="8" t="s">
        <v>2605</v>
      </c>
      <c r="O2806" s="7"/>
      <c r="P2806" s="2" t="s">
        <v>7128</v>
      </c>
      <c r="Q2806" s="7"/>
      <c r="R2806" s="1"/>
      <c r="S2806" s="1" t="str">
        <f>"J-UN-2021-111"</f>
        <v>J-UN-2021-111</v>
      </c>
      <c r="T2806" s="1" t="s">
        <v>32</v>
      </c>
    </row>
    <row r="2807" spans="1:20" ht="38.25" x14ac:dyDescent="0.25">
      <c r="A2807" s="6">
        <v>2801</v>
      </c>
      <c r="B2807" s="1" t="str">
        <f>"2021-980"</f>
        <v>2021-980</v>
      </c>
      <c r="C2807" s="1" t="s">
        <v>2606</v>
      </c>
      <c r="D2807" s="1" t="s">
        <v>2607</v>
      </c>
      <c r="E2807" s="1" t="str">
        <f>""</f>
        <v/>
      </c>
      <c r="F2807" s="1" t="s">
        <v>1860</v>
      </c>
      <c r="G2807" s="1" t="str">
        <f>CONCATENATE(" PREMIUM D.O.O.,"," ,"," OIB: 9905063644")</f>
        <v xml:space="preserve"> PREMIUM D.O.O., , OIB: 9905063644</v>
      </c>
      <c r="H2807" s="7"/>
      <c r="I2807" s="8" t="s">
        <v>2587</v>
      </c>
      <c r="J2807" s="8" t="s">
        <v>446</v>
      </c>
      <c r="K2807" s="6" t="str">
        <f>"8.842,50"</f>
        <v>8.842,50</v>
      </c>
      <c r="L2807" s="6" t="str">
        <f>"2.210,63"</f>
        <v>2.210,63</v>
      </c>
      <c r="M2807" s="6" t="str">
        <f>"11.053,13"</f>
        <v>11.053,13</v>
      </c>
      <c r="N2807" s="8" t="s">
        <v>1127</v>
      </c>
      <c r="O2807" s="7"/>
      <c r="P2807" s="2" t="s">
        <v>7129</v>
      </c>
      <c r="Q2807" s="7"/>
      <c r="R2807" s="1"/>
      <c r="S2807" s="1" t="str">
        <f>"J-UN-2021-112"</f>
        <v>J-UN-2021-112</v>
      </c>
      <c r="T2807" s="1" t="s">
        <v>32</v>
      </c>
    </row>
    <row r="2808" spans="1:20" ht="51" x14ac:dyDescent="0.25">
      <c r="A2808" s="6">
        <v>2802</v>
      </c>
      <c r="B2808" s="1" t="str">
        <f>"2021-318"</f>
        <v>2021-318</v>
      </c>
      <c r="C2808" s="1" t="s">
        <v>2608</v>
      </c>
      <c r="D2808" s="1" t="s">
        <v>1203</v>
      </c>
      <c r="E2808" s="1" t="str">
        <f>""</f>
        <v/>
      </c>
      <c r="F2808" s="1" t="s">
        <v>1860</v>
      </c>
      <c r="G2808" s="1" t="str">
        <f>CONCATENATE(" CIAK TOOLS D.O.O.,"," KOVINSKA 4,"," 10090 ZAGREB-SUSEDGRAD,"," OIB: 26004523816")</f>
        <v xml:space="preserve"> CIAK TOOLS D.O.O., KOVINSKA 4, 10090 ZAGREB-SUSEDGRAD, OIB: 26004523816</v>
      </c>
      <c r="H2808" s="7"/>
      <c r="I2808" s="8" t="s">
        <v>52</v>
      </c>
      <c r="J2808" s="8" t="s">
        <v>61</v>
      </c>
      <c r="K2808" s="6" t="str">
        <f>"922,80"</f>
        <v>922,80</v>
      </c>
      <c r="L2808" s="6" t="str">
        <f>"230,70"</f>
        <v>230,70</v>
      </c>
      <c r="M2808" s="6" t="str">
        <f>"1.153,50"</f>
        <v>1.153,50</v>
      </c>
      <c r="N2808" s="8" t="s">
        <v>904</v>
      </c>
      <c r="O2808" s="7"/>
      <c r="P2808" s="2" t="s">
        <v>7130</v>
      </c>
      <c r="Q2808" s="7"/>
      <c r="R2808" s="1"/>
      <c r="S2808" s="1" t="str">
        <f>"J-UN-2021-114"</f>
        <v>J-UN-2021-114</v>
      </c>
      <c r="T2808" s="1" t="s">
        <v>32</v>
      </c>
    </row>
    <row r="2809" spans="1:20" ht="63.75" x14ac:dyDescent="0.25">
      <c r="A2809" s="6">
        <v>2803</v>
      </c>
      <c r="B2809" s="1" t="str">
        <f>"2021-299"</f>
        <v>2021-299</v>
      </c>
      <c r="C2809" s="1" t="s">
        <v>2609</v>
      </c>
      <c r="D2809" s="1" t="s">
        <v>2610</v>
      </c>
      <c r="E2809" s="1" t="str">
        <f>""</f>
        <v/>
      </c>
      <c r="F2809" s="1" t="s">
        <v>1860</v>
      </c>
      <c r="G2809" s="1" t="str">
        <f>CONCATENATE(" LEŽAJ TRADE D.O.O.,"," BRDOVEC,"," ZAGREBAČKA 26,"," 10291 PRIGORJE BRDOVEČKO,"," OIB: 64008199572")</f>
        <v xml:space="preserve"> LEŽAJ TRADE D.O.O., BRDOVEC, ZAGREBAČKA 26, 10291 PRIGORJE BRDOVEČKO, OIB: 64008199572</v>
      </c>
      <c r="H2809" s="7"/>
      <c r="I2809" s="8" t="s">
        <v>1275</v>
      </c>
      <c r="J2809" s="8" t="s">
        <v>259</v>
      </c>
      <c r="K2809" s="6" t="str">
        <f>"4.808,64"</f>
        <v>4.808,64</v>
      </c>
      <c r="L2809" s="6" t="str">
        <f>"1.202,16"</f>
        <v>1.202,16</v>
      </c>
      <c r="M2809" s="6" t="str">
        <f>"6.010,80"</f>
        <v>6.010,80</v>
      </c>
      <c r="N2809" s="8" t="s">
        <v>2611</v>
      </c>
      <c r="O2809" s="7"/>
      <c r="P2809" s="2" t="s">
        <v>7131</v>
      </c>
      <c r="Q2809" s="7"/>
      <c r="R2809" s="1"/>
      <c r="S2809" s="1" t="str">
        <f>"J-UN-2021-123"</f>
        <v>J-UN-2021-123</v>
      </c>
      <c r="T2809" s="1" t="s">
        <v>32</v>
      </c>
    </row>
    <row r="2810" spans="1:20" ht="51" x14ac:dyDescent="0.25">
      <c r="A2810" s="6">
        <v>2804</v>
      </c>
      <c r="B2810" s="1" t="str">
        <f>"2021-75"</f>
        <v>2021-75</v>
      </c>
      <c r="C2810" s="1" t="s">
        <v>2612</v>
      </c>
      <c r="D2810" s="1" t="s">
        <v>2613</v>
      </c>
      <c r="E2810" s="1" t="str">
        <f>""</f>
        <v/>
      </c>
      <c r="F2810" s="1" t="s">
        <v>1860</v>
      </c>
      <c r="G2810" s="1" t="str">
        <f>CONCATENATE(" ELCON D.O.O.,"," MEĐIMURSKA 2,"," 42000 VARAŽDIN,"," OIB: 69554624078")</f>
        <v xml:space="preserve"> ELCON D.O.O., MEĐIMURSKA 2, 42000 VARAŽDIN, OIB: 69554624078</v>
      </c>
      <c r="H2810" s="7"/>
      <c r="I2810" s="8" t="s">
        <v>1275</v>
      </c>
      <c r="J2810" s="8" t="s">
        <v>259</v>
      </c>
      <c r="K2810" s="6" t="str">
        <f>"2.050,00"</f>
        <v>2.050,00</v>
      </c>
      <c r="L2810" s="6" t="str">
        <f>"512,50"</f>
        <v>512,50</v>
      </c>
      <c r="M2810" s="6" t="str">
        <f>"2.562,50"</f>
        <v>2.562,50</v>
      </c>
      <c r="N2810" s="8" t="s">
        <v>2560</v>
      </c>
      <c r="O2810" s="7"/>
      <c r="P2810" s="2" t="s">
        <v>7132</v>
      </c>
      <c r="Q2810" s="7"/>
      <c r="R2810" s="1"/>
      <c r="S2810" s="1" t="str">
        <f>"J-UN-2021-125"</f>
        <v>J-UN-2021-125</v>
      </c>
      <c r="T2810" s="1" t="s">
        <v>32</v>
      </c>
    </row>
    <row r="2811" spans="1:20" ht="51" x14ac:dyDescent="0.25">
      <c r="A2811" s="6">
        <v>2805</v>
      </c>
      <c r="B2811" s="1" t="str">
        <f>"2021-475"</f>
        <v>2021-475</v>
      </c>
      <c r="C2811" s="1" t="s">
        <v>2614</v>
      </c>
      <c r="D2811" s="1" t="s">
        <v>619</v>
      </c>
      <c r="E2811" s="1" t="str">
        <f>""</f>
        <v/>
      </c>
      <c r="F2811" s="1" t="s">
        <v>1860</v>
      </c>
      <c r="G2811" s="1" t="str">
        <f>CONCATENATE(" SAFIR D.O.O.,"," HORVAĆANSKA 17,"," 10000 ZAGREB,"," OIB: 33548604975")</f>
        <v xml:space="preserve"> SAFIR D.O.O., HORVAĆANSKA 17, 10000 ZAGREB, OIB: 33548604975</v>
      </c>
      <c r="H2811" s="7"/>
      <c r="I2811" s="8" t="s">
        <v>1275</v>
      </c>
      <c r="J2811" s="8" t="s">
        <v>259</v>
      </c>
      <c r="K2811" s="6" t="str">
        <f>"680,00"</f>
        <v>680,00</v>
      </c>
      <c r="L2811" s="6" t="str">
        <f>"170,00"</f>
        <v>170,00</v>
      </c>
      <c r="M2811" s="6" t="str">
        <f>"850,00"</f>
        <v>850,00</v>
      </c>
      <c r="N2811" s="8" t="s">
        <v>2611</v>
      </c>
      <c r="O2811" s="7"/>
      <c r="P2811" s="2" t="s">
        <v>7133</v>
      </c>
      <c r="Q2811" s="7"/>
      <c r="R2811" s="1"/>
      <c r="S2811" s="1" t="str">
        <f>"J-UN-2021-126"</f>
        <v>J-UN-2021-126</v>
      </c>
      <c r="T2811" s="1" t="s">
        <v>32</v>
      </c>
    </row>
    <row r="2812" spans="1:20" ht="76.5" x14ac:dyDescent="0.25">
      <c r="A2812" s="6">
        <v>2806</v>
      </c>
      <c r="B2812" s="1" t="str">
        <f>"2021-981"</f>
        <v>2021-981</v>
      </c>
      <c r="C2812" s="1" t="s">
        <v>2615</v>
      </c>
      <c r="D2812" s="1" t="s">
        <v>999</v>
      </c>
      <c r="E2812" s="1" t="str">
        <f>""</f>
        <v/>
      </c>
      <c r="F2812" s="1" t="s">
        <v>1860</v>
      </c>
      <c r="G2812" s="1" t="str">
        <f>CONCATENATE(" SMIT-COMMERCE D.O.O.,"," GORNJOSTUPNIČKA 9B,"," 10255 GORNJI STUPNIK,"," OIB: 9524348214")</f>
        <v xml:space="preserve"> SMIT-COMMERCE D.O.O., GORNJOSTUPNIČKA 9B, 10255 GORNJI STUPNIK, OIB: 9524348214</v>
      </c>
      <c r="H2812" s="7"/>
      <c r="I2812" s="8" t="s">
        <v>2079</v>
      </c>
      <c r="J2812" s="8" t="s">
        <v>2080</v>
      </c>
      <c r="K2812" s="6" t="str">
        <f>"5.232,60"</f>
        <v>5.232,60</v>
      </c>
      <c r="L2812" s="6" t="str">
        <f>"1.308,15"</f>
        <v>1.308,15</v>
      </c>
      <c r="M2812" s="6" t="str">
        <f>"6.540,75"</f>
        <v>6.540,75</v>
      </c>
      <c r="N2812" s="8" t="s">
        <v>473</v>
      </c>
      <c r="O2812" s="7"/>
      <c r="P2812" s="2" t="s">
        <v>7134</v>
      </c>
      <c r="Q2812" s="7"/>
      <c r="R2812" s="1"/>
      <c r="S2812" s="1" t="str">
        <f>"J-UN-2021-127"</f>
        <v>J-UN-2021-127</v>
      </c>
      <c r="T2812" s="1" t="s">
        <v>32</v>
      </c>
    </row>
    <row r="2813" spans="1:20" ht="63.75" x14ac:dyDescent="0.25">
      <c r="A2813" s="6">
        <v>2807</v>
      </c>
      <c r="B2813" s="1" t="str">
        <f>"2021-280"</f>
        <v>2021-280</v>
      </c>
      <c r="C2813" s="1" t="s">
        <v>2616</v>
      </c>
      <c r="D2813" s="1" t="s">
        <v>2617</v>
      </c>
      <c r="E2813" s="1" t="str">
        <f>""</f>
        <v/>
      </c>
      <c r="F2813" s="1" t="s">
        <v>1860</v>
      </c>
      <c r="G2813" s="1" t="str">
        <f>CONCATENATE(" COLOR-CHEM D.O.O.,"," DRAGUTINA DOMJANIĆA 10,"," 10290 ZAPREŠIĆ,"," OIB: 25899170348")</f>
        <v xml:space="preserve"> COLOR-CHEM D.O.O., DRAGUTINA DOMJANIĆA 10, 10290 ZAPREŠIĆ, OIB: 25899170348</v>
      </c>
      <c r="H2813" s="7"/>
      <c r="I2813" s="8" t="s">
        <v>1397</v>
      </c>
      <c r="J2813" s="8" t="s">
        <v>242</v>
      </c>
      <c r="K2813" s="6" t="str">
        <f>"9.956,84"</f>
        <v>9.956,84</v>
      </c>
      <c r="L2813" s="6" t="str">
        <f>"2.489,21"</f>
        <v>2.489,21</v>
      </c>
      <c r="M2813" s="6" t="str">
        <f>"12.446,05"</f>
        <v>12.446,05</v>
      </c>
      <c r="N2813" s="8" t="s">
        <v>2105</v>
      </c>
      <c r="O2813" s="7"/>
      <c r="P2813" s="2" t="s">
        <v>7135</v>
      </c>
      <c r="Q2813" s="1" t="s">
        <v>5601</v>
      </c>
      <c r="R2813" s="1"/>
      <c r="S2813" s="1" t="str">
        <f>"J-UN-2021-129"</f>
        <v>J-UN-2021-129</v>
      </c>
      <c r="T2813" s="1" t="s">
        <v>32</v>
      </c>
    </row>
    <row r="2814" spans="1:20" ht="38.25" x14ac:dyDescent="0.25">
      <c r="A2814" s="6">
        <v>2808</v>
      </c>
      <c r="B2814" s="1" t="str">
        <f>"2021-1231"</f>
        <v>2021-1231</v>
      </c>
      <c r="C2814" s="1" t="s">
        <v>2618</v>
      </c>
      <c r="D2814" s="1" t="s">
        <v>2619</v>
      </c>
      <c r="E2814" s="1" t="str">
        <f>""</f>
        <v/>
      </c>
      <c r="F2814" s="1" t="s">
        <v>1860</v>
      </c>
      <c r="G2814" s="1" t="str">
        <f>CONCATENATE(" RO-TERMO D.O.O.,"," ,"," OIB: 24452310712")</f>
        <v xml:space="preserve"> RO-TERMO D.O.O., , OIB: 24452310712</v>
      </c>
      <c r="H2814" s="7"/>
      <c r="I2814" s="8" t="s">
        <v>1377</v>
      </c>
      <c r="J2814" s="8" t="s">
        <v>804</v>
      </c>
      <c r="K2814" s="6" t="str">
        <f>"6.744,15"</f>
        <v>6.744,15</v>
      </c>
      <c r="L2814" s="6" t="str">
        <f>"1.686,04"</f>
        <v>1.686,04</v>
      </c>
      <c r="M2814" s="6" t="str">
        <f>"8.430,19"</f>
        <v>8.430,19</v>
      </c>
      <c r="N2814" s="8" t="s">
        <v>1384</v>
      </c>
      <c r="O2814" s="7"/>
      <c r="P2814" s="2" t="s">
        <v>7136</v>
      </c>
      <c r="Q2814" s="7"/>
      <c r="R2814" s="1"/>
      <c r="S2814" s="1" t="str">
        <f>"J-UN-2021-132"</f>
        <v>J-UN-2021-132</v>
      </c>
      <c r="T2814" s="1" t="s">
        <v>32</v>
      </c>
    </row>
    <row r="2815" spans="1:20" ht="51" x14ac:dyDescent="0.25">
      <c r="A2815" s="6">
        <v>2809</v>
      </c>
      <c r="B2815" s="1" t="str">
        <f>"2021-169"</f>
        <v>2021-169</v>
      </c>
      <c r="C2815" s="1" t="s">
        <v>2620</v>
      </c>
      <c r="D2815" s="1" t="s">
        <v>665</v>
      </c>
      <c r="E2815" s="1" t="str">
        <f>""</f>
        <v/>
      </c>
      <c r="F2815" s="1" t="s">
        <v>1860</v>
      </c>
      <c r="G2815" s="1" t="str">
        <f>CONCATENATE(" SEAL TECH D.O.O.,"," ANDRIJE HEBRANGA 6,"," 23000 ZADAR,"," OIB: 75332433655")</f>
        <v xml:space="preserve"> SEAL TECH D.O.O., ANDRIJE HEBRANGA 6, 23000 ZADAR, OIB: 75332433655</v>
      </c>
      <c r="H2815" s="7"/>
      <c r="I2815" s="8" t="s">
        <v>2602</v>
      </c>
      <c r="J2815" s="8" t="s">
        <v>42</v>
      </c>
      <c r="K2815" s="6" t="str">
        <f>"8.248,00"</f>
        <v>8.248,00</v>
      </c>
      <c r="L2815" s="6" t="str">
        <f>"2.062,00"</f>
        <v>2.062,00</v>
      </c>
      <c r="M2815" s="6" t="str">
        <f>"10.310,00"</f>
        <v>10.310,00</v>
      </c>
      <c r="N2815" s="8" t="s">
        <v>2468</v>
      </c>
      <c r="O2815" s="7"/>
      <c r="P2815" s="2" t="s">
        <v>7137</v>
      </c>
      <c r="Q2815" s="7"/>
      <c r="R2815" s="1"/>
      <c r="S2815" s="1" t="str">
        <f>"J-UN-2021-133"</f>
        <v>J-UN-2021-133</v>
      </c>
      <c r="T2815" s="1" t="s">
        <v>32</v>
      </c>
    </row>
    <row r="2816" spans="1:20" ht="63.75" x14ac:dyDescent="0.25">
      <c r="A2816" s="6">
        <v>2810</v>
      </c>
      <c r="B2816" s="1" t="str">
        <f>"2021-143"</f>
        <v>2021-143</v>
      </c>
      <c r="C2816" s="1" t="s">
        <v>2621</v>
      </c>
      <c r="D2816" s="1" t="s">
        <v>2622</v>
      </c>
      <c r="E2816" s="1" t="str">
        <f>""</f>
        <v/>
      </c>
      <c r="F2816" s="1" t="s">
        <v>1860</v>
      </c>
      <c r="G2816" s="1" t="str">
        <f>CONCATENATE(" VELEKEM D.D.,"," UL.KNEZA LJUDEVITA POSAVSKOG 13,"," 10360 SESVETE,"," OIB: 62347407589")</f>
        <v xml:space="preserve"> VELEKEM D.D., UL.KNEZA LJUDEVITA POSAVSKOG 13, 10360 SESVETE, OIB: 62347407589</v>
      </c>
      <c r="H2816" s="7"/>
      <c r="I2816" s="8" t="s">
        <v>1275</v>
      </c>
      <c r="J2816" s="8" t="s">
        <v>259</v>
      </c>
      <c r="K2816" s="6" t="str">
        <f>"3.370,86"</f>
        <v>3.370,86</v>
      </c>
      <c r="L2816" s="6" t="str">
        <f>"842,72"</f>
        <v>842,72</v>
      </c>
      <c r="M2816" s="6" t="str">
        <f>"4.213,58"</f>
        <v>4.213,58</v>
      </c>
      <c r="N2816" s="8" t="s">
        <v>2623</v>
      </c>
      <c r="O2816" s="7"/>
      <c r="P2816" s="2" t="s">
        <v>7138</v>
      </c>
      <c r="Q2816" s="7"/>
      <c r="R2816" s="1"/>
      <c r="S2816" s="1" t="str">
        <f>"J-UN-2021-134"</f>
        <v>J-UN-2021-134</v>
      </c>
      <c r="T2816" s="1" t="s">
        <v>32</v>
      </c>
    </row>
    <row r="2817" spans="1:20" ht="51" x14ac:dyDescent="0.25">
      <c r="A2817" s="6">
        <v>2811</v>
      </c>
      <c r="B2817" s="1" t="str">
        <f>"2021-310"</f>
        <v>2021-310</v>
      </c>
      <c r="C2817" s="1" t="s">
        <v>2624</v>
      </c>
      <c r="D2817" s="1" t="s">
        <v>1334</v>
      </c>
      <c r="E2817" s="1" t="str">
        <f>""</f>
        <v/>
      </c>
      <c r="F2817" s="1" t="s">
        <v>1860</v>
      </c>
      <c r="G2817" s="1" t="str">
        <f>CONCATENATE(" PRO-TEHNA D.O.O.,"," MAKSIMIRSKA 64,"," 10000 ZAGREB,"," OIB: 88951687357")</f>
        <v xml:space="preserve"> PRO-TEHNA D.O.O., MAKSIMIRSKA 64, 10000 ZAGREB, OIB: 88951687357</v>
      </c>
      <c r="H2817" s="7"/>
      <c r="I2817" s="8" t="s">
        <v>1275</v>
      </c>
      <c r="J2817" s="8" t="s">
        <v>259</v>
      </c>
      <c r="K2817" s="6" t="str">
        <f>"13.250,00"</f>
        <v>13.250,00</v>
      </c>
      <c r="L2817" s="6" t="str">
        <f>"3.312,50"</f>
        <v>3.312,50</v>
      </c>
      <c r="M2817" s="6" t="str">
        <f>"16.562,50"</f>
        <v>16.562,50</v>
      </c>
      <c r="N2817" s="8" t="s">
        <v>473</v>
      </c>
      <c r="O2817" s="7"/>
      <c r="P2817" s="2" t="s">
        <v>7139</v>
      </c>
      <c r="Q2817" s="7"/>
      <c r="R2817" s="1"/>
      <c r="S2817" s="1" t="str">
        <f>"J-UN-2021-136"</f>
        <v>J-UN-2021-136</v>
      </c>
      <c r="T2817" s="1" t="s">
        <v>32</v>
      </c>
    </row>
    <row r="2818" spans="1:20" ht="51" x14ac:dyDescent="0.25">
      <c r="A2818" s="6">
        <v>2812</v>
      </c>
      <c r="B2818" s="1" t="str">
        <f>"2021-1015"</f>
        <v>2021-1015</v>
      </c>
      <c r="C2818" s="1" t="s">
        <v>2492</v>
      </c>
      <c r="D2818" s="1" t="s">
        <v>2493</v>
      </c>
      <c r="E2818" s="1" t="str">
        <f>""</f>
        <v/>
      </c>
      <c r="F2818" s="1" t="s">
        <v>1860</v>
      </c>
      <c r="G2818" s="1" t="str">
        <f>CONCATENATE(" TPZ D.O.O.,"," NOVOSELSKA 25,"," 10000 ZAGREB,"," OIB: 68119083236")</f>
        <v xml:space="preserve"> TPZ D.O.O., NOVOSELSKA 25, 10000 ZAGREB, OIB: 68119083236</v>
      </c>
      <c r="H2818" s="7"/>
      <c r="I2818" s="8" t="s">
        <v>2625</v>
      </c>
      <c r="J2818" s="8" t="s">
        <v>422</v>
      </c>
      <c r="K2818" s="6" t="str">
        <f>"5.427,84"</f>
        <v>5.427,84</v>
      </c>
      <c r="L2818" s="6" t="str">
        <f>"1.356,96"</f>
        <v>1.356,96</v>
      </c>
      <c r="M2818" s="6" t="str">
        <f>"6.784,80"</f>
        <v>6.784,80</v>
      </c>
      <c r="N2818" s="8" t="s">
        <v>1988</v>
      </c>
      <c r="O2818" s="7"/>
      <c r="P2818" s="2" t="s">
        <v>7140</v>
      </c>
      <c r="Q2818" s="7"/>
      <c r="R2818" s="1"/>
      <c r="S2818" s="1" t="str">
        <f>"J-UN-2021-138"</f>
        <v>J-UN-2021-138</v>
      </c>
      <c r="T2818" s="1" t="s">
        <v>32</v>
      </c>
    </row>
    <row r="2819" spans="1:20" ht="51" x14ac:dyDescent="0.25">
      <c r="A2819" s="6">
        <v>2813</v>
      </c>
      <c r="B2819" s="1" t="str">
        <f>"2021-481"</f>
        <v>2021-481</v>
      </c>
      <c r="C2819" s="1" t="s">
        <v>2626</v>
      </c>
      <c r="D2819" s="1" t="s">
        <v>2627</v>
      </c>
      <c r="E2819" s="1" t="str">
        <f>""</f>
        <v/>
      </c>
      <c r="F2819" s="1" t="s">
        <v>1860</v>
      </c>
      <c r="G2819" s="1" t="str">
        <f>CONCATENATE(" E-ELMES D.O.O.,"," MATIJE MESIĆA 29A,"," 10370 DUGO SELO,"," OIB: 89958947498")</f>
        <v xml:space="preserve"> E-ELMES D.O.O., MATIJE MESIĆA 29A, 10370 DUGO SELO, OIB: 89958947498</v>
      </c>
      <c r="H2819" s="7"/>
      <c r="I2819" s="8" t="s">
        <v>52</v>
      </c>
      <c r="J2819" s="8" t="s">
        <v>61</v>
      </c>
      <c r="K2819" s="6" t="str">
        <f>"7.474,00"</f>
        <v>7.474,00</v>
      </c>
      <c r="L2819" s="6" t="str">
        <f>"1.868,50"</f>
        <v>1.868,50</v>
      </c>
      <c r="M2819" s="6" t="str">
        <f>"9.342,50"</f>
        <v>9.342,50</v>
      </c>
      <c r="N2819" s="8" t="s">
        <v>465</v>
      </c>
      <c r="O2819" s="7"/>
      <c r="P2819" s="2" t="s">
        <v>7141</v>
      </c>
      <c r="Q2819" s="7"/>
      <c r="R2819" s="1"/>
      <c r="S2819" s="1" t="str">
        <f>"J-UN-2021-139"</f>
        <v>J-UN-2021-139</v>
      </c>
      <c r="T2819" s="1" t="s">
        <v>32</v>
      </c>
    </row>
    <row r="2820" spans="1:20" ht="63.75" x14ac:dyDescent="0.25">
      <c r="A2820" s="6">
        <v>2814</v>
      </c>
      <c r="B2820" s="1" t="str">
        <f>"2021-915"</f>
        <v>2021-915</v>
      </c>
      <c r="C2820" s="1" t="s">
        <v>2563</v>
      </c>
      <c r="D2820" s="1" t="s">
        <v>914</v>
      </c>
      <c r="E2820" s="1" t="str">
        <f>""</f>
        <v/>
      </c>
      <c r="F2820" s="1" t="s">
        <v>1860</v>
      </c>
      <c r="G2820" s="1" t="str">
        <f>CONCATENATE(" C.I.A.K. AUTO D.O.O.,"," GORNJOSTUPNIČKA 96,"," 10255 GORNJI STUPNIK,"," OIB: 62595301902")</f>
        <v xml:space="preserve"> C.I.A.K. AUTO D.O.O., GORNJOSTUPNIČKA 96, 10255 GORNJI STUPNIK, OIB: 62595301902</v>
      </c>
      <c r="H2820" s="7"/>
      <c r="I2820" s="8" t="s">
        <v>2079</v>
      </c>
      <c r="J2820" s="8" t="s">
        <v>2080</v>
      </c>
      <c r="K2820" s="6" t="str">
        <f>"1.251,00"</f>
        <v>1.251,00</v>
      </c>
      <c r="L2820" s="6" t="str">
        <f>"312,75"</f>
        <v>312,75</v>
      </c>
      <c r="M2820" s="6" t="str">
        <f>"1.563,75"</f>
        <v>1.563,75</v>
      </c>
      <c r="N2820" s="8" t="s">
        <v>271</v>
      </c>
      <c r="O2820" s="7"/>
      <c r="P2820" s="2" t="s">
        <v>7142</v>
      </c>
      <c r="Q2820" s="7"/>
      <c r="R2820" s="1"/>
      <c r="S2820" s="1" t="str">
        <f>"J-UN-2021-140"</f>
        <v>J-UN-2021-140</v>
      </c>
      <c r="T2820" s="1" t="s">
        <v>32</v>
      </c>
    </row>
    <row r="2821" spans="1:20" ht="51" x14ac:dyDescent="0.25">
      <c r="A2821" s="6">
        <v>2815</v>
      </c>
      <c r="B2821" s="1" t="str">
        <f>"2021-776"</f>
        <v>2021-776</v>
      </c>
      <c r="C2821" s="1" t="s">
        <v>2628</v>
      </c>
      <c r="D2821" s="1" t="s">
        <v>2010</v>
      </c>
      <c r="E2821" s="1" t="str">
        <f>""</f>
        <v/>
      </c>
      <c r="F2821" s="1" t="s">
        <v>1860</v>
      </c>
      <c r="G2821" s="1" t="str">
        <f>CONCATENATE(" RO-TEHNOLOGIJA D.O.O.,"," NOVA CESTA 86,"," 51410 OPATIJA,"," OIB: 94757004774")</f>
        <v xml:space="preserve"> RO-TEHNOLOGIJA D.O.O., NOVA CESTA 86, 51410 OPATIJA, OIB: 94757004774</v>
      </c>
      <c r="H2821" s="7"/>
      <c r="I2821" s="8" t="s">
        <v>473</v>
      </c>
      <c r="J2821" s="8" t="s">
        <v>480</v>
      </c>
      <c r="K2821" s="6" t="str">
        <f>"14.000,00"</f>
        <v>14.000,00</v>
      </c>
      <c r="L2821" s="6" t="str">
        <f>"3.500,00"</f>
        <v>3.500,00</v>
      </c>
      <c r="M2821" s="6" t="str">
        <f>"17.500,00"</f>
        <v>17.500,00</v>
      </c>
      <c r="N2821" s="8" t="s">
        <v>2629</v>
      </c>
      <c r="O2821" s="7"/>
      <c r="P2821" s="2" t="s">
        <v>7143</v>
      </c>
      <c r="Q2821" s="7"/>
      <c r="R2821" s="1"/>
      <c r="S2821" s="1" t="str">
        <f>"J-UN-2021-143"</f>
        <v>J-UN-2021-143</v>
      </c>
      <c r="T2821" s="1" t="s">
        <v>32</v>
      </c>
    </row>
    <row r="2822" spans="1:20" ht="51" x14ac:dyDescent="0.25">
      <c r="A2822" s="6">
        <v>2816</v>
      </c>
      <c r="B2822" s="1" t="str">
        <f>"2021-1558"</f>
        <v>2021-1558</v>
      </c>
      <c r="C2822" s="1" t="s">
        <v>2630</v>
      </c>
      <c r="D2822" s="1" t="s">
        <v>2631</v>
      </c>
      <c r="E2822" s="1" t="str">
        <f>""</f>
        <v/>
      </c>
      <c r="F2822" s="1" t="s">
        <v>1860</v>
      </c>
      <c r="G2822" s="1" t="str">
        <f>CONCATENATE(" ZAPOSLENA D.O.O.,"," VARŠAVSKA 14,"," 10000 ZAGREB,"," OIB: 73501093975")</f>
        <v xml:space="preserve"> ZAPOSLENA D.O.O., VARŠAVSKA 14, 10000 ZAGREB, OIB: 73501093975</v>
      </c>
      <c r="H2822" s="7"/>
      <c r="I2822" s="8" t="s">
        <v>2079</v>
      </c>
      <c r="J2822" s="8" t="s">
        <v>2080</v>
      </c>
      <c r="K2822" s="6" t="str">
        <f>"30.000,00"</f>
        <v>30.000,00</v>
      </c>
      <c r="L2822" s="6" t="str">
        <f>"7.500,00"</f>
        <v>7.500,00</v>
      </c>
      <c r="M2822" s="6" t="str">
        <f>"37.500,00"</f>
        <v>37.500,00</v>
      </c>
      <c r="N2822" s="8" t="s">
        <v>124</v>
      </c>
      <c r="O2822" s="7"/>
      <c r="P2822" s="2" t="s">
        <v>5614</v>
      </c>
      <c r="Q2822" s="7"/>
      <c r="R2822" s="1"/>
      <c r="S2822" s="1" t="str">
        <f>"J-UN-2021-155"</f>
        <v>J-UN-2021-155</v>
      </c>
      <c r="T2822" s="1" t="s">
        <v>32</v>
      </c>
    </row>
    <row r="2823" spans="1:20" ht="38.25" x14ac:dyDescent="0.25">
      <c r="A2823" s="6">
        <v>2817</v>
      </c>
      <c r="B2823" s="1" t="str">
        <f>"2021-1026"</f>
        <v>2021-1026</v>
      </c>
      <c r="C2823" s="1" t="s">
        <v>2564</v>
      </c>
      <c r="D2823" s="1" t="s">
        <v>21</v>
      </c>
      <c r="E2823" s="1" t="str">
        <f>""</f>
        <v/>
      </c>
      <c r="F2823" s="1" t="s">
        <v>1860</v>
      </c>
      <c r="G2823" s="1" t="str">
        <f>CONCATENATE(" O-K-TEH d.o.o.,"," VUČAK 16A,"," 10000 ZAGREB,"," OIB: 37322381288")</f>
        <v xml:space="preserve"> O-K-TEH d.o.o., VUČAK 16A, 10000 ZAGREB, OIB: 37322381288</v>
      </c>
      <c r="H2823" s="7"/>
      <c r="I2823" s="8" t="s">
        <v>1397</v>
      </c>
      <c r="J2823" s="8" t="s">
        <v>242</v>
      </c>
      <c r="K2823" s="6" t="str">
        <f>"1.125,90"</f>
        <v>1.125,90</v>
      </c>
      <c r="L2823" s="6" t="str">
        <f>"281,48"</f>
        <v>281,48</v>
      </c>
      <c r="M2823" s="6" t="str">
        <f>"1.407,38"</f>
        <v>1.407,38</v>
      </c>
      <c r="N2823" s="8" t="s">
        <v>1349</v>
      </c>
      <c r="O2823" s="7"/>
      <c r="P2823" s="2" t="s">
        <v>7144</v>
      </c>
      <c r="Q2823" s="7"/>
      <c r="R2823" s="1"/>
      <c r="S2823" s="1" t="str">
        <f>"J-UN-2021-158"</f>
        <v>J-UN-2021-158</v>
      </c>
      <c r="T2823" s="1" t="s">
        <v>32</v>
      </c>
    </row>
    <row r="2824" spans="1:20" ht="51" x14ac:dyDescent="0.25">
      <c r="A2824" s="6">
        <v>2818</v>
      </c>
      <c r="B2824" s="1" t="str">
        <f>"2021-26"</f>
        <v>2021-26</v>
      </c>
      <c r="C2824" s="1" t="s">
        <v>2553</v>
      </c>
      <c r="D2824" s="1" t="s">
        <v>2554</v>
      </c>
      <c r="E2824" s="1" t="str">
        <f>""</f>
        <v/>
      </c>
      <c r="F2824" s="1" t="s">
        <v>1860</v>
      </c>
      <c r="G2824" s="1" t="str">
        <f>CONCATENATE(" FOCUS VL SUZANA ARSLANI,"," ULICA BORELLI 10B,"," 23000 ZADAR,"," OIB: 94525473076")</f>
        <v xml:space="preserve"> FOCUS VL SUZANA ARSLANI, ULICA BORELLI 10B, 23000 ZADAR, OIB: 94525473076</v>
      </c>
      <c r="H2824" s="7"/>
      <c r="I2824" s="8" t="s">
        <v>1392</v>
      </c>
      <c r="J2824" s="8" t="s">
        <v>500</v>
      </c>
      <c r="K2824" s="6" t="str">
        <f>"60.000,00"</f>
        <v>60.000,00</v>
      </c>
      <c r="L2824" s="6" t="str">
        <f>"15.000,00"</f>
        <v>15.000,00</v>
      </c>
      <c r="M2824" s="6" t="str">
        <f>"75.000,00"</f>
        <v>75.000,00</v>
      </c>
      <c r="N2824" s="8" t="s">
        <v>124</v>
      </c>
      <c r="O2824" s="7"/>
      <c r="P2824" s="2" t="s">
        <v>5614</v>
      </c>
      <c r="Q2824" s="7"/>
      <c r="R2824" s="1"/>
      <c r="S2824" s="1" t="str">
        <f>"J-UN-2021-174"</f>
        <v>J-UN-2021-174</v>
      </c>
      <c r="T2824" s="1" t="s">
        <v>32</v>
      </c>
    </row>
    <row r="2825" spans="1:20" ht="63.75" x14ac:dyDescent="0.25">
      <c r="A2825" s="6">
        <v>2819</v>
      </c>
      <c r="B2825" s="1" t="str">
        <f>"2021-1519"</f>
        <v>2021-1519</v>
      </c>
      <c r="C2825" s="1" t="s">
        <v>2632</v>
      </c>
      <c r="D2825" s="1" t="s">
        <v>2633</v>
      </c>
      <c r="E2825" s="1" t="str">
        <f>""</f>
        <v/>
      </c>
      <c r="F2825" s="1" t="s">
        <v>1860</v>
      </c>
      <c r="G2825" s="1" t="str">
        <f>CONCATENATE(" VIBROTEH D.O.O.,"," ULICA DON FRANE BULIĆA 31,"," 10410 VELIKA GORICA,"," OIB: 6099326029")</f>
        <v xml:space="preserve"> VIBROTEH D.O.O., ULICA DON FRANE BULIĆA 31, 10410 VELIKA GORICA, OIB: 6099326029</v>
      </c>
      <c r="H2825" s="7"/>
      <c r="I2825" s="8" t="s">
        <v>473</v>
      </c>
      <c r="J2825" s="8" t="s">
        <v>480</v>
      </c>
      <c r="K2825" s="6" t="str">
        <f>"19.500,00"</f>
        <v>19.500,00</v>
      </c>
      <c r="L2825" s="6" t="str">
        <f>"4.875,00"</f>
        <v>4.875,00</v>
      </c>
      <c r="M2825" s="6" t="str">
        <f>"24.375,00"</f>
        <v>24.375,00</v>
      </c>
      <c r="N2825" s="8" t="s">
        <v>974</v>
      </c>
      <c r="O2825" s="7"/>
      <c r="P2825" s="2" t="s">
        <v>7145</v>
      </c>
      <c r="Q2825" s="7"/>
      <c r="R2825" s="1"/>
      <c r="S2825" s="1" t="str">
        <f>"J-UN-2021-186"</f>
        <v>J-UN-2021-186</v>
      </c>
      <c r="T2825" s="1" t="s">
        <v>32</v>
      </c>
    </row>
    <row r="2826" spans="1:20" ht="51" x14ac:dyDescent="0.25">
      <c r="A2826" s="6">
        <v>2820</v>
      </c>
      <c r="B2826" s="1" t="str">
        <f>"2021-1686"</f>
        <v>2021-1686</v>
      </c>
      <c r="C2826" s="1" t="s">
        <v>2634</v>
      </c>
      <c r="D2826" s="1" t="s">
        <v>2331</v>
      </c>
      <c r="E2826" s="1" t="str">
        <f>""</f>
        <v/>
      </c>
      <c r="F2826" s="1" t="s">
        <v>1860</v>
      </c>
      <c r="G2826" s="1" t="str">
        <f>CONCATENATE(" KERSCHOFFSET D.O.O.,"," JEŽDOVEČKA 112,"," 10250 LUČKO,"," OIB: 84934386922")</f>
        <v xml:space="preserve"> KERSCHOFFSET D.O.O., JEŽDOVEČKA 112, 10250 LUČKO, OIB: 84934386922</v>
      </c>
      <c r="H2826" s="7"/>
      <c r="I2826" s="8" t="s">
        <v>1349</v>
      </c>
      <c r="J2826" s="8" t="s">
        <v>371</v>
      </c>
      <c r="K2826" s="6" t="str">
        <f>"7.350,00"</f>
        <v>7.350,00</v>
      </c>
      <c r="L2826" s="6" t="str">
        <f>"1.837,50"</f>
        <v>1.837,50</v>
      </c>
      <c r="M2826" s="6" t="str">
        <f>"9.187,50"</f>
        <v>9.187,50</v>
      </c>
      <c r="N2826" s="8" t="s">
        <v>2468</v>
      </c>
      <c r="O2826" s="7"/>
      <c r="P2826" s="2" t="s">
        <v>7146</v>
      </c>
      <c r="Q2826" s="7"/>
      <c r="R2826" s="1"/>
      <c r="S2826" s="1" t="str">
        <f>"J-UN-2021-194"</f>
        <v>J-UN-2021-194</v>
      </c>
      <c r="T2826" s="1" t="s">
        <v>32</v>
      </c>
    </row>
    <row r="2827" spans="1:20" ht="51" x14ac:dyDescent="0.25">
      <c r="A2827" s="6">
        <v>2821</v>
      </c>
      <c r="B2827" s="1" t="str">
        <f>"2021-1682"</f>
        <v>2021-1682</v>
      </c>
      <c r="C2827" s="1" t="s">
        <v>2635</v>
      </c>
      <c r="D2827" s="1" t="s">
        <v>2331</v>
      </c>
      <c r="E2827" s="1" t="str">
        <f>""</f>
        <v/>
      </c>
      <c r="F2827" s="1" t="s">
        <v>1860</v>
      </c>
      <c r="G2827" s="1" t="str">
        <f>CONCATENATE(" EFECTUS INFO D.O.O.,"," 3. PODBREŽJE 18,"," 10000 ZAGREB,"," OIB: 8322577665")</f>
        <v xml:space="preserve"> EFECTUS INFO D.O.O., 3. PODBREŽJE 18, 10000 ZAGREB, OIB: 8322577665</v>
      </c>
      <c r="H2827" s="7"/>
      <c r="I2827" s="8" t="s">
        <v>2471</v>
      </c>
      <c r="J2827" s="8" t="s">
        <v>260</v>
      </c>
      <c r="K2827" s="6" t="str">
        <f>"158.000,00"</f>
        <v>158.000,00</v>
      </c>
      <c r="L2827" s="6" t="str">
        <f>"39.500,00"</f>
        <v>39.500,00</v>
      </c>
      <c r="M2827" s="6" t="str">
        <f>"197.500,00"</f>
        <v>197.500,00</v>
      </c>
      <c r="N2827" s="8" t="s">
        <v>1079</v>
      </c>
      <c r="O2827" s="7"/>
      <c r="P2827" s="2" t="s">
        <v>7147</v>
      </c>
      <c r="Q2827" s="7"/>
      <c r="R2827" s="1"/>
      <c r="S2827" s="1" t="str">
        <f>"J-UN-2021-199"</f>
        <v>J-UN-2021-199</v>
      </c>
      <c r="T2827" s="1" t="s">
        <v>32</v>
      </c>
    </row>
    <row r="2828" spans="1:20" ht="38.25" x14ac:dyDescent="0.25">
      <c r="A2828" s="6">
        <v>2822</v>
      </c>
      <c r="B2828" s="1" t="str">
        <f>"2021-1015"</f>
        <v>2021-1015</v>
      </c>
      <c r="C2828" s="1" t="s">
        <v>2492</v>
      </c>
      <c r="D2828" s="1" t="s">
        <v>2493</v>
      </c>
      <c r="E2828" s="1" t="str">
        <f>""</f>
        <v/>
      </c>
      <c r="F2828" s="1" t="s">
        <v>1860</v>
      </c>
      <c r="G2828" s="1" t="str">
        <f>CONCATENATE(" O-K-TEH d.o.o.,"," VUČAK 16A,"," 10000 ZAGREB,"," OIB: 37322381288")</f>
        <v xml:space="preserve"> O-K-TEH d.o.o., VUČAK 16A, 10000 ZAGREB, OIB: 37322381288</v>
      </c>
      <c r="H2828" s="7"/>
      <c r="I2828" s="8" t="s">
        <v>2636</v>
      </c>
      <c r="J2828" s="8" t="s">
        <v>94</v>
      </c>
      <c r="K2828" s="6" t="str">
        <f>"5.265,00"</f>
        <v>5.265,00</v>
      </c>
      <c r="L2828" s="6" t="str">
        <f>"1.316,25"</f>
        <v>1.316,25</v>
      </c>
      <c r="M2828" s="6" t="str">
        <f>"6.581,25"</f>
        <v>6.581,25</v>
      </c>
      <c r="N2828" s="8" t="s">
        <v>2114</v>
      </c>
      <c r="O2828" s="7"/>
      <c r="P2828" s="2" t="s">
        <v>7148</v>
      </c>
      <c r="Q2828" s="7"/>
      <c r="R2828" s="1"/>
      <c r="S2828" s="1" t="str">
        <f>"J-UN-2021-200"</f>
        <v>J-UN-2021-200</v>
      </c>
      <c r="T2828" s="1" t="s">
        <v>32</v>
      </c>
    </row>
    <row r="2829" spans="1:20" ht="63.75" x14ac:dyDescent="0.25">
      <c r="A2829" s="6">
        <v>2823</v>
      </c>
      <c r="B2829" s="1" t="str">
        <f>"2021-1548"</f>
        <v>2021-1548</v>
      </c>
      <c r="C2829" s="1" t="s">
        <v>2637</v>
      </c>
      <c r="D2829" s="1" t="s">
        <v>2631</v>
      </c>
      <c r="E2829" s="1" t="str">
        <f>""</f>
        <v/>
      </c>
      <c r="F2829" s="1" t="s">
        <v>1860</v>
      </c>
      <c r="G2829" s="1" t="str">
        <f>CONCATENATE(" ZAGREB PLAKAT D.O.O.,"," ULICA ANDRIJE HEBRANGA 32,"," 10000 ZAGREB,"," OIB: 321117423")</f>
        <v xml:space="preserve"> ZAGREB PLAKAT D.O.O., ULICA ANDRIJE HEBRANGA 32, 10000 ZAGREB, OIB: 321117423</v>
      </c>
      <c r="H2829" s="7"/>
      <c r="I2829" s="8" t="s">
        <v>2636</v>
      </c>
      <c r="J2829" s="8" t="s">
        <v>94</v>
      </c>
      <c r="K2829" s="6" t="str">
        <f>"86.422,05"</f>
        <v>86.422,05</v>
      </c>
      <c r="L2829" s="6" t="str">
        <f>"21.605,51"</f>
        <v>21.605,51</v>
      </c>
      <c r="M2829" s="6" t="str">
        <f>"108.027,56"</f>
        <v>108.027,56</v>
      </c>
      <c r="N2829" s="8" t="s">
        <v>1479</v>
      </c>
      <c r="O2829" s="7"/>
      <c r="P2829" s="2" t="s">
        <v>7149</v>
      </c>
      <c r="Q2829" s="1" t="s">
        <v>5601</v>
      </c>
      <c r="R2829" s="1"/>
      <c r="S2829" s="1" t="str">
        <f>"J-UN-2021-201"</f>
        <v>J-UN-2021-201</v>
      </c>
      <c r="T2829" s="1" t="s">
        <v>32</v>
      </c>
    </row>
    <row r="2830" spans="1:20" ht="51" x14ac:dyDescent="0.25">
      <c r="A2830" s="6">
        <v>2824</v>
      </c>
      <c r="B2830" s="1" t="str">
        <f>"2021-1199"</f>
        <v>2021-1199</v>
      </c>
      <c r="C2830" s="1" t="s">
        <v>2638</v>
      </c>
      <c r="D2830" s="1" t="s">
        <v>1458</v>
      </c>
      <c r="E2830" s="1" t="str">
        <f>""</f>
        <v/>
      </c>
      <c r="F2830" s="1" t="s">
        <v>1860</v>
      </c>
      <c r="G2830" s="1" t="str">
        <f>CONCATENATE(" TEPESCO D.O.O.,"," JASENA 11A,"," 10040 ZAGREB,"," OIB: 7691411318")</f>
        <v xml:space="preserve"> TEPESCO D.O.O., JASENA 11A, 10040 ZAGREB, OIB: 7691411318</v>
      </c>
      <c r="H2830" s="7"/>
      <c r="I2830" s="8" t="s">
        <v>465</v>
      </c>
      <c r="J2830" s="8" t="s">
        <v>53</v>
      </c>
      <c r="K2830" s="6" t="str">
        <f>"5.300,00"</f>
        <v>5.300,00</v>
      </c>
      <c r="L2830" s="6" t="str">
        <f>"1.325,00"</f>
        <v>1.325,00</v>
      </c>
      <c r="M2830" s="6" t="str">
        <f>"6.625,00"</f>
        <v>6.625,00</v>
      </c>
      <c r="N2830" s="8" t="s">
        <v>2557</v>
      </c>
      <c r="O2830" s="7"/>
      <c r="P2830" s="2" t="s">
        <v>6892</v>
      </c>
      <c r="Q2830" s="7"/>
      <c r="R2830" s="1"/>
      <c r="S2830" s="1" t="str">
        <f>"J-UN-2021-203"</f>
        <v>J-UN-2021-203</v>
      </c>
      <c r="T2830" s="1" t="s">
        <v>32</v>
      </c>
    </row>
    <row r="2831" spans="1:20" ht="51" x14ac:dyDescent="0.25">
      <c r="A2831" s="6">
        <v>2825</v>
      </c>
      <c r="B2831" s="1" t="str">
        <f>"2021-1641"</f>
        <v>2021-1641</v>
      </c>
      <c r="C2831" s="1" t="s">
        <v>2639</v>
      </c>
      <c r="D2831" s="1" t="s">
        <v>2640</v>
      </c>
      <c r="E2831" s="1" t="str">
        <f>""</f>
        <v/>
      </c>
      <c r="F2831" s="1" t="s">
        <v>1860</v>
      </c>
      <c r="G2831" s="1" t="str">
        <f>CONCATENATE(" IM PHOTO,"," FOLNEGOVIĆEVA 6C,"," 10000 ZAGREB,"," OIB: 9842567863")</f>
        <v xml:space="preserve"> IM PHOTO, FOLNEGOVIĆEVA 6C, 10000 ZAGREB, OIB: 9842567863</v>
      </c>
      <c r="H2831" s="7"/>
      <c r="I2831" s="8" t="s">
        <v>2471</v>
      </c>
      <c r="J2831" s="8" t="s">
        <v>260</v>
      </c>
      <c r="K2831" s="6" t="str">
        <f>"62.250,00"</f>
        <v>62.250,00</v>
      </c>
      <c r="L2831" s="6" t="str">
        <f>"15.562,50"</f>
        <v>15.562,50</v>
      </c>
      <c r="M2831" s="6" t="str">
        <f>"77.812,50"</f>
        <v>77.812,50</v>
      </c>
      <c r="N2831" s="8" t="s">
        <v>2560</v>
      </c>
      <c r="O2831" s="7"/>
      <c r="P2831" s="2" t="s">
        <v>7150</v>
      </c>
      <c r="Q2831" s="7"/>
      <c r="R2831" s="1"/>
      <c r="S2831" s="1" t="str">
        <f>"J-UN-2021-204"</f>
        <v>J-UN-2021-204</v>
      </c>
      <c r="T2831" s="1" t="s">
        <v>32</v>
      </c>
    </row>
    <row r="2832" spans="1:20" ht="51" x14ac:dyDescent="0.25">
      <c r="A2832" s="6">
        <v>2826</v>
      </c>
      <c r="B2832" s="1" t="str">
        <f>"2021-1498"</f>
        <v>2021-1498</v>
      </c>
      <c r="C2832" s="1" t="s">
        <v>2641</v>
      </c>
      <c r="D2832" s="1" t="s">
        <v>515</v>
      </c>
      <c r="E2832" s="1" t="str">
        <f>""</f>
        <v/>
      </c>
      <c r="F2832" s="1" t="s">
        <v>1860</v>
      </c>
      <c r="G2832" s="1" t="str">
        <f>CONCATENATE(" INSTITUT IGH D.D.,"," JANKA RAKUŠE 1,"," 10000 ZAGREB,"," OIB: 79766124714")</f>
        <v xml:space="preserve"> INSTITUT IGH D.D., JANKA RAKUŠE 1, 10000 ZAGREB, OIB: 79766124714</v>
      </c>
      <c r="H2832" s="7"/>
      <c r="I2832" s="8" t="s">
        <v>2636</v>
      </c>
      <c r="J2832" s="8" t="s">
        <v>94</v>
      </c>
      <c r="K2832" s="6" t="str">
        <f>"16.576,00"</f>
        <v>16.576,00</v>
      </c>
      <c r="L2832" s="6" t="str">
        <f>"4.144,00"</f>
        <v>4.144,00</v>
      </c>
      <c r="M2832" s="6" t="str">
        <f>"20.720,00"</f>
        <v>20.720,00</v>
      </c>
      <c r="N2832" s="8" t="s">
        <v>110</v>
      </c>
      <c r="O2832" s="7"/>
      <c r="P2832" s="2" t="s">
        <v>7151</v>
      </c>
      <c r="Q2832" s="7"/>
      <c r="R2832" s="1"/>
      <c r="S2832" s="1" t="str">
        <f>"J-UN-2021-205"</f>
        <v>J-UN-2021-205</v>
      </c>
      <c r="T2832" s="1" t="s">
        <v>32</v>
      </c>
    </row>
    <row r="2833" spans="1:20" ht="76.5" x14ac:dyDescent="0.25">
      <c r="A2833" s="6">
        <v>2827</v>
      </c>
      <c r="B2833" s="1" t="str">
        <f>"2021-1506"</f>
        <v>2021-1506</v>
      </c>
      <c r="C2833" s="1" t="s">
        <v>1041</v>
      </c>
      <c r="D2833" s="1" t="s">
        <v>515</v>
      </c>
      <c r="E2833" s="1" t="str">
        <f>""</f>
        <v/>
      </c>
      <c r="F2833" s="1" t="s">
        <v>1860</v>
      </c>
      <c r="G2833" s="1" t="str">
        <f>CONCATENATE(" NASTAVNI ZAVOD ZA JAVNO ZDRAVSTVO DR. ANDRIJA ŠTAMPAR,"," MIROGOJSKA CESTA 16,"," 10000 ZAGREB,"," OIB: 3339200596")</f>
        <v xml:space="preserve"> NASTAVNI ZAVOD ZA JAVNO ZDRAVSTVO DR. ANDRIJA ŠTAMPAR, MIROGOJSKA CESTA 16, 10000 ZAGREB, OIB: 3339200596</v>
      </c>
      <c r="H2833" s="7"/>
      <c r="I2833" s="8" t="s">
        <v>2097</v>
      </c>
      <c r="J2833" s="8" t="s">
        <v>273</v>
      </c>
      <c r="K2833" s="6" t="str">
        <f>"3.608,50"</f>
        <v>3.608,50</v>
      </c>
      <c r="L2833" s="6" t="str">
        <f>"902,13"</f>
        <v>902,13</v>
      </c>
      <c r="M2833" s="6" t="str">
        <f>"4.510,63"</f>
        <v>4.510,63</v>
      </c>
      <c r="N2833" s="8" t="s">
        <v>532</v>
      </c>
      <c r="O2833" s="7"/>
      <c r="P2833" s="2" t="s">
        <v>7152</v>
      </c>
      <c r="Q2833" s="7"/>
      <c r="R2833" s="1"/>
      <c r="S2833" s="1" t="str">
        <f>"J-UN-2021-206"</f>
        <v>J-UN-2021-206</v>
      </c>
      <c r="T2833" s="1" t="s">
        <v>32</v>
      </c>
    </row>
    <row r="2834" spans="1:20" ht="63.75" x14ac:dyDescent="0.25">
      <c r="A2834" s="6">
        <v>2828</v>
      </c>
      <c r="B2834" s="1" t="str">
        <f>"2021-707"</f>
        <v>2021-707</v>
      </c>
      <c r="C2834" s="1" t="s">
        <v>2642</v>
      </c>
      <c r="D2834" s="1" t="s">
        <v>1236</v>
      </c>
      <c r="E2834" s="1" t="str">
        <f>""</f>
        <v/>
      </c>
      <c r="F2834" s="1" t="s">
        <v>1860</v>
      </c>
      <c r="G2834" s="1" t="str">
        <f>CONCATENATE(" SECURITAS HRVATSKA D.O.O.,"," ZAGREBAČKA CESTA 145A,"," 10000 ZAGREB,"," OIB: 33679708526")</f>
        <v xml:space="preserve"> SECURITAS HRVATSKA D.O.O., ZAGREBAČKA CESTA 145A, 10000 ZAGREB, OIB: 33679708526</v>
      </c>
      <c r="H2834" s="7"/>
      <c r="I2834" s="8" t="s">
        <v>2097</v>
      </c>
      <c r="J2834" s="8" t="s">
        <v>273</v>
      </c>
      <c r="K2834" s="6" t="str">
        <f>"1.600,00"</f>
        <v>1.600,00</v>
      </c>
      <c r="L2834" s="6" t="str">
        <f>"400,00"</f>
        <v>400,00</v>
      </c>
      <c r="M2834" s="6" t="str">
        <f>"2.000,00"</f>
        <v>2.000,00</v>
      </c>
      <c r="N2834" s="8" t="s">
        <v>799</v>
      </c>
      <c r="O2834" s="7"/>
      <c r="P2834" s="2" t="s">
        <v>6414</v>
      </c>
      <c r="Q2834" s="7"/>
      <c r="R2834" s="1"/>
      <c r="S2834" s="1" t="str">
        <f>"J-UN-2021-207"</f>
        <v>J-UN-2021-207</v>
      </c>
      <c r="T2834" s="1" t="s">
        <v>32</v>
      </c>
    </row>
    <row r="2835" spans="1:20" ht="51" x14ac:dyDescent="0.25">
      <c r="A2835" s="6">
        <v>2829</v>
      </c>
      <c r="B2835" s="1" t="str">
        <f>"2021-1708"</f>
        <v>2021-1708</v>
      </c>
      <c r="C2835" s="1" t="s">
        <v>2643</v>
      </c>
      <c r="D2835" s="1" t="s">
        <v>1859</v>
      </c>
      <c r="E2835" s="1" t="str">
        <f>""</f>
        <v/>
      </c>
      <c r="F2835" s="1" t="s">
        <v>1860</v>
      </c>
      <c r="G2835" s="1" t="str">
        <f>CONCATENATE(" ZIRS UČILIŠTE,"," ULICA GRADA VUKOVARA 68,"," 10000 ZAGREB,"," OIB: 22228764473")</f>
        <v xml:space="preserve"> ZIRS UČILIŠTE, ULICA GRADA VUKOVARA 68, 10000 ZAGREB, OIB: 22228764473</v>
      </c>
      <c r="H2835" s="7"/>
      <c r="I2835" s="8" t="s">
        <v>2644</v>
      </c>
      <c r="J2835" s="8" t="s">
        <v>2645</v>
      </c>
      <c r="K2835" s="6" t="str">
        <f>"1.900,00"</f>
        <v>1.900,00</v>
      </c>
      <c r="L2835" s="6" t="str">
        <f>"475,00"</f>
        <v>475,00</v>
      </c>
      <c r="M2835" s="6" t="str">
        <f>"2.375,00"</f>
        <v>2.375,00</v>
      </c>
      <c r="N2835" s="8" t="s">
        <v>440</v>
      </c>
      <c r="O2835" s="7"/>
      <c r="P2835" s="2" t="s">
        <v>6320</v>
      </c>
      <c r="Q2835" s="7"/>
      <c r="R2835" s="1"/>
      <c r="S2835" s="1" t="str">
        <f>"J-UN-2021-208"</f>
        <v>J-UN-2021-208</v>
      </c>
      <c r="T2835" s="1" t="s">
        <v>32</v>
      </c>
    </row>
    <row r="2836" spans="1:20" ht="76.5" x14ac:dyDescent="0.25">
      <c r="A2836" s="6">
        <v>2830</v>
      </c>
      <c r="B2836" s="1" t="str">
        <f>"2021-1506"</f>
        <v>2021-1506</v>
      </c>
      <c r="C2836" s="1" t="s">
        <v>1041</v>
      </c>
      <c r="D2836" s="1" t="s">
        <v>515</v>
      </c>
      <c r="E2836" s="1" t="str">
        <f>""</f>
        <v/>
      </c>
      <c r="F2836" s="1" t="s">
        <v>1860</v>
      </c>
      <c r="G2836" s="1" t="str">
        <f>CONCATENATE(" NASTAVNI ZAVOD ZA JAVNO ZDRAVSTVO DR. ANDRIJA ŠTAMPAR,"," MIROGOJSKA CESTA 16,"," 10000 ZAGREB,"," OIB: 3339200596")</f>
        <v xml:space="preserve"> NASTAVNI ZAVOD ZA JAVNO ZDRAVSTVO DR. ANDRIJA ŠTAMPAR, MIROGOJSKA CESTA 16, 10000 ZAGREB, OIB: 3339200596</v>
      </c>
      <c r="H2836" s="7"/>
      <c r="I2836" s="8" t="s">
        <v>1429</v>
      </c>
      <c r="J2836" s="8" t="s">
        <v>855</v>
      </c>
      <c r="K2836" s="6" t="str">
        <f>"19.832,00"</f>
        <v>19.832,00</v>
      </c>
      <c r="L2836" s="6" t="str">
        <f>"4.958,00"</f>
        <v>4.958,00</v>
      </c>
      <c r="M2836" s="6" t="str">
        <f>"24.790,00"</f>
        <v>24.790,00</v>
      </c>
      <c r="N2836" s="8" t="s">
        <v>53</v>
      </c>
      <c r="O2836" s="7"/>
      <c r="P2836" s="2" t="s">
        <v>7153</v>
      </c>
      <c r="Q2836" s="7"/>
      <c r="R2836" s="1"/>
      <c r="S2836" s="1" t="str">
        <f>"J-UN-2021-265"</f>
        <v>J-UN-2021-265</v>
      </c>
      <c r="T2836" s="1" t="s">
        <v>32</v>
      </c>
    </row>
    <row r="2837" spans="1:20" ht="63.75" x14ac:dyDescent="0.25">
      <c r="A2837" s="6">
        <v>2831</v>
      </c>
      <c r="B2837" s="1" t="str">
        <f>"2021-1722"</f>
        <v>2021-1722</v>
      </c>
      <c r="C2837" s="1" t="s">
        <v>2646</v>
      </c>
      <c r="D2837" s="1" t="s">
        <v>2647</v>
      </c>
      <c r="E2837" s="1" t="str">
        <f>""</f>
        <v/>
      </c>
      <c r="F2837" s="1" t="s">
        <v>1860</v>
      </c>
      <c r="G2837" s="1" t="str">
        <f>CONCATENATE(" HRVATSKI ZAVOD ZA JAVNO ZDRAVSTVO - HZJZ,"," ROCKEFELLEROVA 7,"," 10000 ZAGREB,"," OIB: 7529753204")</f>
        <v xml:space="preserve"> HRVATSKI ZAVOD ZA JAVNO ZDRAVSTVO - HZJZ, ROCKEFELLEROVA 7, 10000 ZAGREB, OIB: 7529753204</v>
      </c>
      <c r="H2837" s="7"/>
      <c r="I2837" s="8" t="s">
        <v>1429</v>
      </c>
      <c r="J2837" s="8" t="s">
        <v>855</v>
      </c>
      <c r="K2837" s="6" t="str">
        <f>"864,00"</f>
        <v>864,00</v>
      </c>
      <c r="L2837" s="6" t="str">
        <f>"216,00"</f>
        <v>216,00</v>
      </c>
      <c r="M2837" s="6" t="str">
        <f>"1.080,00"</f>
        <v>1.080,00</v>
      </c>
      <c r="N2837" s="8" t="s">
        <v>671</v>
      </c>
      <c r="O2837" s="7"/>
      <c r="P2837" s="2" t="s">
        <v>7154</v>
      </c>
      <c r="Q2837" s="7"/>
      <c r="R2837" s="1"/>
      <c r="S2837" s="1" t="str">
        <f>"J-UN-2021-266"</f>
        <v>J-UN-2021-266</v>
      </c>
      <c r="T2837" s="1" t="s">
        <v>32</v>
      </c>
    </row>
    <row r="2838" spans="1:20" ht="76.5" x14ac:dyDescent="0.25">
      <c r="A2838" s="6">
        <v>2832</v>
      </c>
      <c r="B2838" s="1" t="str">
        <f>"2021-2157"</f>
        <v>2021-2157</v>
      </c>
      <c r="C2838" s="1" t="s">
        <v>2648</v>
      </c>
      <c r="D2838" s="1" t="s">
        <v>2057</v>
      </c>
      <c r="E2838" s="1" t="str">
        <f>""</f>
        <v/>
      </c>
      <c r="F2838" s="1" t="s">
        <v>1860</v>
      </c>
      <c r="G2838" s="1" t="str">
        <f>CONCATENATE(" ARH. IVA RUKAVINA D.O.O.,"," BIJENIČKA CESTA 17,"," 10000 ZAGREB,"," OIB: 77004047314")</f>
        <v xml:space="preserve"> ARH. IVA RUKAVINA D.O.O., BIJENIČKA CESTA 17, 10000 ZAGREB, OIB: 77004047314</v>
      </c>
      <c r="H2838" s="7"/>
      <c r="I2838" s="8" t="s">
        <v>1070</v>
      </c>
      <c r="J2838" s="8" t="s">
        <v>261</v>
      </c>
      <c r="K2838" s="6" t="str">
        <f>"67.500,00"</f>
        <v>67.500,00</v>
      </c>
      <c r="L2838" s="6" t="str">
        <f>"16.875,00"</f>
        <v>16.875,00</v>
      </c>
      <c r="M2838" s="6" t="str">
        <f>"84.375,00"</f>
        <v>84.375,00</v>
      </c>
      <c r="N2838" s="8" t="s">
        <v>124</v>
      </c>
      <c r="O2838" s="7"/>
      <c r="P2838" s="2" t="s">
        <v>5614</v>
      </c>
      <c r="Q2838" s="7"/>
      <c r="R2838" s="1"/>
      <c r="S2838" s="1" t="str">
        <f>"J-UN-2021-267"</f>
        <v>J-UN-2021-267</v>
      </c>
      <c r="T2838" s="1" t="s">
        <v>32</v>
      </c>
    </row>
    <row r="2839" spans="1:20" ht="63.75" x14ac:dyDescent="0.25">
      <c r="A2839" s="6">
        <v>2833</v>
      </c>
      <c r="B2839" s="1" t="str">
        <f>"2021-286"</f>
        <v>2021-286</v>
      </c>
      <c r="C2839" s="1" t="s">
        <v>2649</v>
      </c>
      <c r="D2839" s="1" t="s">
        <v>2650</v>
      </c>
      <c r="E2839" s="1" t="str">
        <f>""</f>
        <v/>
      </c>
      <c r="F2839" s="1" t="s">
        <v>1860</v>
      </c>
      <c r="G2839" s="1" t="str">
        <f>CONCATENATE(" ZAGREB PLAKAT D.O.O.,"," ULICA ANDRIJE HEBRANGA 32,"," 10000 ZAGREB,"," OIB: 321117423")</f>
        <v xml:space="preserve"> ZAGREB PLAKAT D.O.O., ULICA ANDRIJE HEBRANGA 32, 10000 ZAGREB, OIB: 321117423</v>
      </c>
      <c r="H2839" s="7"/>
      <c r="I2839" s="8" t="s">
        <v>2623</v>
      </c>
      <c r="J2839" s="8" t="s">
        <v>856</v>
      </c>
      <c r="K2839" s="6" t="str">
        <f>"27.800,00"</f>
        <v>27.800,00</v>
      </c>
      <c r="L2839" s="6" t="str">
        <f>"6.950,00"</f>
        <v>6.950,00</v>
      </c>
      <c r="M2839" s="6" t="str">
        <f>"34.750,00"</f>
        <v>34.750,00</v>
      </c>
      <c r="N2839" s="8" t="s">
        <v>1079</v>
      </c>
      <c r="O2839" s="7"/>
      <c r="P2839" s="2" t="s">
        <v>7155</v>
      </c>
      <c r="Q2839" s="7"/>
      <c r="R2839" s="1"/>
      <c r="S2839" s="1" t="str">
        <f>"J-UN-2021-268"</f>
        <v>J-UN-2021-268</v>
      </c>
      <c r="T2839" s="1" t="s">
        <v>32</v>
      </c>
    </row>
    <row r="2840" spans="1:20" ht="63.75" x14ac:dyDescent="0.25">
      <c r="A2840" s="6">
        <v>2834</v>
      </c>
      <c r="B2840" s="1" t="str">
        <f>"2021-93"</f>
        <v>2021-93</v>
      </c>
      <c r="C2840" s="1" t="s">
        <v>2651</v>
      </c>
      <c r="D2840" s="1" t="s">
        <v>2652</v>
      </c>
      <c r="E2840" s="1" t="str">
        <f>""</f>
        <v/>
      </c>
      <c r="F2840" s="1" t="s">
        <v>1860</v>
      </c>
      <c r="G2840" s="1" t="str">
        <f>CONCATENATE(" SUMAMETRIK D.O.O.,"," ULICA ANTUNA KANIŽLIĆA 10,"," 34000 POŽEGA,"," OIB: 23559088148")</f>
        <v xml:space="preserve"> SUMAMETRIK D.O.O., ULICA ANTUNA KANIŽLIĆA 10, 34000 POŽEGA, OIB: 23559088148</v>
      </c>
      <c r="H2840" s="7"/>
      <c r="I2840" s="8" t="s">
        <v>532</v>
      </c>
      <c r="J2840" s="8" t="s">
        <v>354</v>
      </c>
      <c r="K2840" s="6" t="str">
        <f>"19.862,50"</f>
        <v>19.862,50</v>
      </c>
      <c r="L2840" s="6" t="str">
        <f>"4.965,63"</f>
        <v>4.965,63</v>
      </c>
      <c r="M2840" s="6" t="str">
        <f>"24.828,13"</f>
        <v>24.828,13</v>
      </c>
      <c r="N2840" s="8" t="s">
        <v>440</v>
      </c>
      <c r="O2840" s="7"/>
      <c r="P2840" s="2" t="s">
        <v>7156</v>
      </c>
      <c r="Q2840" s="7"/>
      <c r="R2840" s="1"/>
      <c r="S2840" s="1" t="str">
        <f>"J-UN-2021-284"</f>
        <v>J-UN-2021-284</v>
      </c>
      <c r="T2840" s="1" t="s">
        <v>32</v>
      </c>
    </row>
    <row r="2841" spans="1:20" ht="76.5" x14ac:dyDescent="0.25">
      <c r="A2841" s="6">
        <v>2835</v>
      </c>
      <c r="B2841" s="1" t="str">
        <f>"2021-1494"</f>
        <v>2021-1494</v>
      </c>
      <c r="C2841" s="1" t="s">
        <v>2653</v>
      </c>
      <c r="D2841" s="1" t="s">
        <v>2654</v>
      </c>
      <c r="E2841" s="1" t="str">
        <f>""</f>
        <v/>
      </c>
      <c r="F2841" s="1" t="s">
        <v>1860</v>
      </c>
      <c r="G2841" s="1" t="str">
        <f>CONCATENATE(" ZAG LJUBLJANA,"," ZAVOD ZA GRADBENIŠTVO SLOVENIJE,"," DIMIČEVA ULICA 12,"," 1000 LJUBLJANA,"," OIB: 43950019")</f>
        <v xml:space="preserve"> ZAG LJUBLJANA, ZAVOD ZA GRADBENIŠTVO SLOVENIJE, DIMIČEVA ULICA 12, 1000 LJUBLJANA, OIB: 43950019</v>
      </c>
      <c r="H2841" s="7"/>
      <c r="I2841" s="8" t="s">
        <v>1054</v>
      </c>
      <c r="J2841" s="8" t="s">
        <v>262</v>
      </c>
      <c r="K2841" s="6" t="str">
        <f>"92.792,35"</f>
        <v>92.792,35</v>
      </c>
      <c r="L2841" s="6" t="str">
        <f>"23.198,09"</f>
        <v>23.198,09</v>
      </c>
      <c r="M2841" s="6" t="str">
        <f>"115.990,44"</f>
        <v>115.990,44</v>
      </c>
      <c r="N2841" s="8" t="s">
        <v>124</v>
      </c>
      <c r="O2841" s="7"/>
      <c r="P2841" s="2" t="s">
        <v>5614</v>
      </c>
      <c r="Q2841" s="7"/>
      <c r="R2841" s="1"/>
      <c r="S2841" s="1" t="str">
        <f>"J-UN-2021-286"</f>
        <v>J-UN-2021-286</v>
      </c>
      <c r="T2841" s="1" t="s">
        <v>32</v>
      </c>
    </row>
    <row r="2842" spans="1:20" ht="51" x14ac:dyDescent="0.25">
      <c r="A2842" s="6">
        <v>2836</v>
      </c>
      <c r="B2842" s="1" t="str">
        <f>"2021-1160"</f>
        <v>2021-1160</v>
      </c>
      <c r="C2842" s="1" t="s">
        <v>2655</v>
      </c>
      <c r="D2842" s="1" t="s">
        <v>2656</v>
      </c>
      <c r="E2842" s="1" t="str">
        <f>""</f>
        <v/>
      </c>
      <c r="F2842" s="1" t="s">
        <v>1860</v>
      </c>
      <c r="G2842" s="1" t="str">
        <f>CONCATENATE(" PROCESNA OPREMA D.O.O.,"," MAJSTORSKA 11,"," 10000 ZAGREB,"," OIB: 82552676073")</f>
        <v xml:space="preserve"> PROCESNA OPREMA D.O.O., MAJSTORSKA 11, 10000 ZAGREB, OIB: 82552676073</v>
      </c>
      <c r="H2842" s="7"/>
      <c r="I2842" s="8" t="s">
        <v>1054</v>
      </c>
      <c r="J2842" s="8" t="s">
        <v>262</v>
      </c>
      <c r="K2842" s="6" t="str">
        <f>"44.685,00"</f>
        <v>44.685,00</v>
      </c>
      <c r="L2842" s="6" t="str">
        <f>"11.171,25"</f>
        <v>11.171,25</v>
      </c>
      <c r="M2842" s="6" t="str">
        <f>"55.856,25"</f>
        <v>55.856,25</v>
      </c>
      <c r="N2842" s="8" t="s">
        <v>2657</v>
      </c>
      <c r="O2842" s="7"/>
      <c r="P2842" s="2" t="s">
        <v>7157</v>
      </c>
      <c r="Q2842" s="7"/>
      <c r="R2842" s="1"/>
      <c r="S2842" s="1" t="str">
        <f>"J-UN-2021-287"</f>
        <v>J-UN-2021-287</v>
      </c>
      <c r="T2842" s="1" t="s">
        <v>32</v>
      </c>
    </row>
    <row r="2843" spans="1:20" ht="63.75" x14ac:dyDescent="0.25">
      <c r="A2843" s="6">
        <v>2837</v>
      </c>
      <c r="B2843" s="1" t="str">
        <f>"2021-1199"</f>
        <v>2021-1199</v>
      </c>
      <c r="C2843" s="1" t="s">
        <v>2638</v>
      </c>
      <c r="D2843" s="1" t="s">
        <v>1458</v>
      </c>
      <c r="E2843" s="1" t="str">
        <f>""</f>
        <v/>
      </c>
      <c r="F2843" s="1" t="s">
        <v>1860</v>
      </c>
      <c r="G2843" s="1" t="str">
        <f>CONCATENATE(" TIG ZAVARIVANJE D.O.O.,"," KREŠIMIRA KOVAČEVIĆA 2,"," 10360 SESVETE,"," OIB: 57349450349")</f>
        <v xml:space="preserve"> TIG ZAVARIVANJE D.O.O., KREŠIMIRA KOVAČEVIĆA 2, 10360 SESVETE, OIB: 57349450349</v>
      </c>
      <c r="H2843" s="7"/>
      <c r="I2843" s="8" t="s">
        <v>187</v>
      </c>
      <c r="J2843" s="8" t="s">
        <v>403</v>
      </c>
      <c r="K2843" s="6" t="str">
        <f>"3.149,12"</f>
        <v>3.149,12</v>
      </c>
      <c r="L2843" s="6" t="str">
        <f>"787,28"</f>
        <v>787,28</v>
      </c>
      <c r="M2843" s="6" t="str">
        <f>"3.936,40"</f>
        <v>3.936,40</v>
      </c>
      <c r="N2843" s="8" t="s">
        <v>124</v>
      </c>
      <c r="O2843" s="7"/>
      <c r="P2843" s="2" t="s">
        <v>5614</v>
      </c>
      <c r="Q2843" s="7"/>
      <c r="R2843" s="1"/>
      <c r="S2843" s="1" t="str">
        <f>"J-UN-2021-288"</f>
        <v>J-UN-2021-288</v>
      </c>
      <c r="T2843" s="1" t="s">
        <v>32</v>
      </c>
    </row>
    <row r="2844" spans="1:20" ht="89.25" x14ac:dyDescent="0.25">
      <c r="A2844" s="6">
        <v>2838</v>
      </c>
      <c r="B2844" s="1" t="str">
        <f>"2021-354"</f>
        <v>2021-354</v>
      </c>
      <c r="C2844" s="1" t="s">
        <v>2658</v>
      </c>
      <c r="D2844" s="1" t="s">
        <v>2659</v>
      </c>
      <c r="E2844" s="1" t="str">
        <f>""</f>
        <v/>
      </c>
      <c r="F2844" s="1" t="s">
        <v>1860</v>
      </c>
      <c r="G2844" s="1" t="str">
        <f>CONCATENATE(" IMP CRPKE-ZAGREB D.O.O.,"," JOSIPA SEISSELA 24,"," 10020 ZAGREB-NOVI ZAGREB,"," OIB: 32695935393")</f>
        <v xml:space="preserve"> IMP CRPKE-ZAGREB D.O.O., JOSIPA SEISSELA 24, 10020 ZAGREB-NOVI ZAGREB, OIB: 32695935393</v>
      </c>
      <c r="H2844" s="7"/>
      <c r="I2844" s="8" t="s">
        <v>187</v>
      </c>
      <c r="J2844" s="8" t="s">
        <v>403</v>
      </c>
      <c r="K2844" s="6" t="str">
        <f>"6.820,00"</f>
        <v>6.820,00</v>
      </c>
      <c r="L2844" s="6" t="str">
        <f>"1.705,00"</f>
        <v>1.705,00</v>
      </c>
      <c r="M2844" s="6" t="str">
        <f>"8.525,00"</f>
        <v>8.525,00</v>
      </c>
      <c r="N2844" s="8" t="s">
        <v>2657</v>
      </c>
      <c r="O2844" s="7"/>
      <c r="P2844" s="2" t="s">
        <v>7158</v>
      </c>
      <c r="Q2844" s="1"/>
      <c r="R2844" s="1"/>
      <c r="S2844" s="1" t="str">
        <f>"J-UN-2021-289"</f>
        <v>J-UN-2021-289</v>
      </c>
      <c r="T2844" s="1" t="s">
        <v>32</v>
      </c>
    </row>
    <row r="2845" spans="1:20" ht="63.75" x14ac:dyDescent="0.25">
      <c r="A2845" s="6">
        <v>2839</v>
      </c>
      <c r="B2845" s="1" t="str">
        <f>"2021-700"</f>
        <v>2021-700</v>
      </c>
      <c r="C2845" s="1" t="s">
        <v>2660</v>
      </c>
      <c r="D2845" s="1" t="s">
        <v>2661</v>
      </c>
      <c r="E2845" s="1" t="str">
        <f>""</f>
        <v/>
      </c>
      <c r="F2845" s="1" t="s">
        <v>1860</v>
      </c>
      <c r="G2845" s="1" t="str">
        <f>CONCATENATE(" COLOR-CHEM D.O.O.,"," DRAGUTINA DOMJANIĆA 10,"," 10290 ZAPREŠIĆ,"," OIB: 25899170348")</f>
        <v xml:space="preserve"> COLOR-CHEM D.O.O., DRAGUTINA DOMJANIĆA 10, 10290 ZAPREŠIĆ, OIB: 25899170348</v>
      </c>
      <c r="H2845" s="7"/>
      <c r="I2845" s="8" t="s">
        <v>2030</v>
      </c>
      <c r="J2845" s="8" t="s">
        <v>30</v>
      </c>
      <c r="K2845" s="6" t="str">
        <f>"79.911,00"</f>
        <v>79.911,00</v>
      </c>
      <c r="L2845" s="6" t="str">
        <f>"19.977,75"</f>
        <v>19.977,75</v>
      </c>
      <c r="M2845" s="6" t="str">
        <f>"99.888,75"</f>
        <v>99.888,75</v>
      </c>
      <c r="N2845" s="8" t="s">
        <v>70</v>
      </c>
      <c r="O2845" s="7"/>
      <c r="P2845" s="2" t="s">
        <v>7159</v>
      </c>
      <c r="Q2845" s="7"/>
      <c r="R2845" s="1"/>
      <c r="S2845" s="1" t="str">
        <f>"J-UN-2021-291"</f>
        <v>J-UN-2021-291</v>
      </c>
      <c r="T2845" s="1" t="s">
        <v>32</v>
      </c>
    </row>
    <row r="2846" spans="1:20" ht="63.75" x14ac:dyDescent="0.25">
      <c r="A2846" s="6">
        <v>2840</v>
      </c>
      <c r="B2846" s="1" t="str">
        <f>"2021-663"</f>
        <v>2021-663</v>
      </c>
      <c r="C2846" s="1" t="s">
        <v>2662</v>
      </c>
      <c r="D2846" s="1" t="s">
        <v>2663</v>
      </c>
      <c r="E2846" s="1" t="str">
        <f>""</f>
        <v/>
      </c>
      <c r="F2846" s="1" t="s">
        <v>1860</v>
      </c>
      <c r="G2846" s="1" t="str">
        <f>CONCATENATE(" STROJOOBNOVA,"," VL.TIHOMIR LJUBIĆ,"," RAVNICE 13,"," 10294 DONJA PUŠĆA,"," OIB: 50149576546")</f>
        <v xml:space="preserve"> STROJOOBNOVA, VL.TIHOMIR LJUBIĆ, RAVNICE 13, 10294 DONJA PUŠĆA, OIB: 50149576546</v>
      </c>
      <c r="H2846" s="7"/>
      <c r="I2846" s="8" t="s">
        <v>1448</v>
      </c>
      <c r="J2846" s="8" t="s">
        <v>2664</v>
      </c>
      <c r="K2846" s="6" t="str">
        <f>"39.900,00"</f>
        <v>39.900,00</v>
      </c>
      <c r="L2846" s="6" t="str">
        <f>"9.975,00"</f>
        <v>9.975,00</v>
      </c>
      <c r="M2846" s="6" t="str">
        <f>"49.875,00"</f>
        <v>49.875,00</v>
      </c>
      <c r="N2846" s="8" t="s">
        <v>1889</v>
      </c>
      <c r="O2846" s="7"/>
      <c r="P2846" s="2" t="s">
        <v>7160</v>
      </c>
      <c r="Q2846" s="7"/>
      <c r="R2846" s="1"/>
      <c r="S2846" s="1" t="str">
        <f>"J-UN-2021-293"</f>
        <v>J-UN-2021-293</v>
      </c>
      <c r="T2846" s="1" t="s">
        <v>32</v>
      </c>
    </row>
    <row r="2847" spans="1:20" ht="89.25" x14ac:dyDescent="0.25">
      <c r="A2847" s="6">
        <v>2841</v>
      </c>
      <c r="B2847" s="1" t="str">
        <f>"2021-2201"</f>
        <v>2021-2201</v>
      </c>
      <c r="C2847" s="1" t="s">
        <v>2665</v>
      </c>
      <c r="D2847" s="1" t="s">
        <v>1986</v>
      </c>
      <c r="E2847" s="1" t="str">
        <f>""</f>
        <v/>
      </c>
      <c r="F2847" s="1" t="s">
        <v>1860</v>
      </c>
      <c r="G2847" s="1" t="str">
        <f>CONCATENATE(" URED OVLAŠTENOG KRAJOBRAZNOG ARHITEKTA-ROBERT DUIĆ,"," S. LJUBIĆA VOJVODE 26,"," 10000 ZAGREB,"," OIB: 44769269474")</f>
        <v xml:space="preserve"> URED OVLAŠTENOG KRAJOBRAZNOG ARHITEKTA-ROBERT DUIĆ, S. LJUBIĆA VOJVODE 26, 10000 ZAGREB, OIB: 44769269474</v>
      </c>
      <c r="H2847" s="7"/>
      <c r="I2847" s="8" t="s">
        <v>532</v>
      </c>
      <c r="J2847" s="8" t="s">
        <v>354</v>
      </c>
      <c r="K2847" s="6" t="str">
        <f>"35.000,00"</f>
        <v>35.000,00</v>
      </c>
      <c r="L2847" s="6" t="str">
        <f>"8.750,00"</f>
        <v>8.750,00</v>
      </c>
      <c r="M2847" s="6" t="str">
        <f>"43.750,00"</f>
        <v>43.750,00</v>
      </c>
      <c r="N2847" s="8" t="s">
        <v>2666</v>
      </c>
      <c r="O2847" s="7"/>
      <c r="P2847" s="2" t="s">
        <v>6834</v>
      </c>
      <c r="Q2847" s="7"/>
      <c r="R2847" s="1"/>
      <c r="S2847" s="1" t="str">
        <f>"J-UN-2021-294"</f>
        <v>J-UN-2021-294</v>
      </c>
      <c r="T2847" s="1" t="s">
        <v>32</v>
      </c>
    </row>
    <row r="2848" spans="1:20" ht="63.75" x14ac:dyDescent="0.25">
      <c r="A2848" s="6">
        <v>2842</v>
      </c>
      <c r="B2848" s="1" t="str">
        <f>"2021-698"</f>
        <v>2021-698</v>
      </c>
      <c r="C2848" s="1" t="s">
        <v>2667</v>
      </c>
      <c r="D2848" s="1" t="s">
        <v>2661</v>
      </c>
      <c r="E2848" s="1" t="str">
        <f>""</f>
        <v/>
      </c>
      <c r="F2848" s="1" t="s">
        <v>1860</v>
      </c>
      <c r="G2848" s="1" t="str">
        <f>CONCATENATE(" PROTEAM PRODUKCIJSKI TIM D.O.O.,"," KAMENARKA 25a,"," 10000 ZAGREB,"," OIB: 83567264422")</f>
        <v xml:space="preserve"> PROTEAM PRODUKCIJSKI TIM D.O.O., KAMENARKA 25a, 10000 ZAGREB, OIB: 83567264422</v>
      </c>
      <c r="H2848" s="7"/>
      <c r="I2848" s="8" t="s">
        <v>2030</v>
      </c>
      <c r="J2848" s="8" t="s">
        <v>30</v>
      </c>
      <c r="K2848" s="6" t="str">
        <f>"27.998,00"</f>
        <v>27.998,00</v>
      </c>
      <c r="L2848" s="6" t="str">
        <f>"6.999,50"</f>
        <v>6.999,50</v>
      </c>
      <c r="M2848" s="6" t="str">
        <f>"34.997,50"</f>
        <v>34.997,50</v>
      </c>
      <c r="N2848" s="8" t="s">
        <v>2560</v>
      </c>
      <c r="O2848" s="7"/>
      <c r="P2848" s="2" t="s">
        <v>7161</v>
      </c>
      <c r="Q2848" s="7"/>
      <c r="R2848" s="1"/>
      <c r="S2848" s="1" t="str">
        <f>"J-UN-2021-295"</f>
        <v>J-UN-2021-295</v>
      </c>
      <c r="T2848" s="1" t="s">
        <v>32</v>
      </c>
    </row>
    <row r="2849" spans="1:20" ht="76.5" x14ac:dyDescent="0.25">
      <c r="A2849" s="6">
        <v>2843</v>
      </c>
      <c r="B2849" s="1" t="str">
        <f>"2021-661"</f>
        <v>2021-661</v>
      </c>
      <c r="C2849" s="1" t="s">
        <v>2668</v>
      </c>
      <c r="D2849" s="1" t="s">
        <v>2669</v>
      </c>
      <c r="E2849" s="1" t="str">
        <f>""</f>
        <v/>
      </c>
      <c r="F2849" s="1" t="s">
        <v>1860</v>
      </c>
      <c r="G2849" s="1" t="str">
        <f>CONCATENATE(" SERVIS IMP CRPKE,"," vl. Dražen Kovačić,"," STROSSMAYEROV TRG 12,"," 10450 JASTREBARSKO,"," OIB: 13145108322")</f>
        <v xml:space="preserve"> SERVIS IMP CRPKE, vl. Dražen Kovačić, STROSSMAYEROV TRG 12, 10450 JASTREBARSKO, OIB: 13145108322</v>
      </c>
      <c r="H2849" s="7"/>
      <c r="I2849" s="8" t="s">
        <v>2105</v>
      </c>
      <c r="J2849" s="8" t="s">
        <v>1112</v>
      </c>
      <c r="K2849" s="6" t="str">
        <f>"11.490,00"</f>
        <v>11.490,00</v>
      </c>
      <c r="L2849" s="6" t="str">
        <f>"2.872,50"</f>
        <v>2.872,50</v>
      </c>
      <c r="M2849" s="6" t="str">
        <f>"14.362,50"</f>
        <v>14.362,50</v>
      </c>
      <c r="N2849" s="8" t="s">
        <v>108</v>
      </c>
      <c r="O2849" s="7"/>
      <c r="P2849" s="2" t="s">
        <v>7162</v>
      </c>
      <c r="Q2849" s="7"/>
      <c r="R2849" s="1"/>
      <c r="S2849" s="1" t="str">
        <f>"J-UN-2021-296"</f>
        <v>J-UN-2021-296</v>
      </c>
      <c r="T2849" s="1" t="s">
        <v>32</v>
      </c>
    </row>
    <row r="2850" spans="1:20" ht="51" x14ac:dyDescent="0.25">
      <c r="A2850" s="6">
        <v>2844</v>
      </c>
      <c r="B2850" s="1" t="str">
        <f>"2021-898"</f>
        <v>2021-898</v>
      </c>
      <c r="C2850" s="1" t="s">
        <v>2670</v>
      </c>
      <c r="D2850" s="1" t="s">
        <v>2671</v>
      </c>
      <c r="E2850" s="1" t="str">
        <f>""</f>
        <v/>
      </c>
      <c r="F2850" s="1" t="s">
        <v>1860</v>
      </c>
      <c r="G2850" s="1" t="str">
        <f>CONCATENATE(" MAN-EKO D.O.O.,"," BRAĆE CVIJIĆA 17,"," 10000 ZAGREB,"," OIB: 708190967")</f>
        <v xml:space="preserve"> MAN-EKO D.O.O., BRAĆE CVIJIĆA 17, 10000 ZAGREB, OIB: 708190967</v>
      </c>
      <c r="H2850" s="7"/>
      <c r="I2850" s="8" t="s">
        <v>2105</v>
      </c>
      <c r="J2850" s="8" t="s">
        <v>1112</v>
      </c>
      <c r="K2850" s="6" t="str">
        <f>"4.094,00"</f>
        <v>4.094,00</v>
      </c>
      <c r="L2850" s="6" t="str">
        <f>"1.023,50"</f>
        <v>1.023,50</v>
      </c>
      <c r="M2850" s="6" t="str">
        <f>"5.117,50"</f>
        <v>5.117,50</v>
      </c>
      <c r="N2850" s="8" t="s">
        <v>551</v>
      </c>
      <c r="O2850" s="7"/>
      <c r="P2850" s="2" t="s">
        <v>7163</v>
      </c>
      <c r="Q2850" s="7"/>
      <c r="R2850" s="1"/>
      <c r="S2850" s="1" t="str">
        <f>"J-UN-2021-297"</f>
        <v>J-UN-2021-297</v>
      </c>
      <c r="T2850" s="1" t="s">
        <v>32</v>
      </c>
    </row>
    <row r="2851" spans="1:20" ht="51" x14ac:dyDescent="0.25">
      <c r="A2851" s="6">
        <v>2845</v>
      </c>
      <c r="B2851" s="1" t="str">
        <f>"2021-106"</f>
        <v>2021-106</v>
      </c>
      <c r="C2851" s="1" t="s">
        <v>2672</v>
      </c>
      <c r="D2851" s="1" t="s">
        <v>2673</v>
      </c>
      <c r="E2851" s="1" t="str">
        <f>""</f>
        <v/>
      </c>
      <c r="F2851" s="1" t="s">
        <v>1860</v>
      </c>
      <c r="G2851" s="1" t="str">
        <f>CONCATENATE(" LIDER MEDIA D.O.O.,"," SAVSKA CESTA 41,"," 10000 ZAGREB,"," OIB: 75374786952")</f>
        <v xml:space="preserve"> LIDER MEDIA D.O.O., SAVSKA CESTA 41, 10000 ZAGREB, OIB: 75374786952</v>
      </c>
      <c r="H2851" s="7"/>
      <c r="I2851" s="8" t="s">
        <v>532</v>
      </c>
      <c r="J2851" s="8" t="s">
        <v>354</v>
      </c>
      <c r="K2851" s="6" t="str">
        <f>"790,00"</f>
        <v>790,00</v>
      </c>
      <c r="L2851" s="6" t="str">
        <f>"197,50"</f>
        <v>197,50</v>
      </c>
      <c r="M2851" s="6" t="str">
        <f>"987,50"</f>
        <v>987,50</v>
      </c>
      <c r="N2851" s="8" t="s">
        <v>532</v>
      </c>
      <c r="O2851" s="7"/>
      <c r="P2851" s="2" t="s">
        <v>7164</v>
      </c>
      <c r="Q2851" s="7"/>
      <c r="R2851" s="1"/>
      <c r="S2851" s="1" t="str">
        <f>"J-UN-2021-298"</f>
        <v>J-UN-2021-298</v>
      </c>
      <c r="T2851" s="1" t="s">
        <v>32</v>
      </c>
    </row>
    <row r="2852" spans="1:20" ht="51" x14ac:dyDescent="0.25">
      <c r="A2852" s="6">
        <v>2846</v>
      </c>
      <c r="B2852" s="1" t="str">
        <f>"2021-96"</f>
        <v>2021-96</v>
      </c>
      <c r="C2852" s="1" t="s">
        <v>2674</v>
      </c>
      <c r="D2852" s="1" t="s">
        <v>1637</v>
      </c>
      <c r="E2852" s="1" t="str">
        <f>""</f>
        <v/>
      </c>
      <c r="F2852" s="1" t="s">
        <v>1860</v>
      </c>
      <c r="G2852" s="1" t="str">
        <f>CONCATENATE(" DRVO TRGOVINA MIKŠA D.O.O.,"," ILOVAC 6,"," 47000 KARLOVAC,"," OIB: 1739653173")</f>
        <v xml:space="preserve"> DRVO TRGOVINA MIKŠA D.O.O., ILOVAC 6, 47000 KARLOVAC, OIB: 1739653173</v>
      </c>
      <c r="H2852" s="7"/>
      <c r="I2852" s="8" t="s">
        <v>477</v>
      </c>
      <c r="J2852" s="8" t="s">
        <v>405</v>
      </c>
      <c r="K2852" s="6" t="str">
        <f>"28.500,00"</f>
        <v>28.500,00</v>
      </c>
      <c r="L2852" s="6" t="str">
        <f>"7.125,00"</f>
        <v>7.125,00</v>
      </c>
      <c r="M2852" s="6" t="str">
        <f>"35.625,00"</f>
        <v>35.625,00</v>
      </c>
      <c r="N2852" s="8" t="s">
        <v>2105</v>
      </c>
      <c r="O2852" s="7"/>
      <c r="P2852" s="2" t="s">
        <v>7039</v>
      </c>
      <c r="Q2852" s="7"/>
      <c r="R2852" s="1"/>
      <c r="S2852" s="1" t="str">
        <f>"J-UN-2021-299"</f>
        <v>J-UN-2021-299</v>
      </c>
      <c r="T2852" s="1" t="s">
        <v>32</v>
      </c>
    </row>
    <row r="2853" spans="1:20" ht="51" x14ac:dyDescent="0.25">
      <c r="A2853" s="6">
        <v>2847</v>
      </c>
      <c r="B2853" s="1" t="str">
        <f>"2021-1733"</f>
        <v>2021-1733</v>
      </c>
      <c r="C2853" s="1" t="s">
        <v>2405</v>
      </c>
      <c r="D2853" s="1" t="s">
        <v>880</v>
      </c>
      <c r="E2853" s="1" t="str">
        <f>""</f>
        <v/>
      </c>
      <c r="F2853" s="1" t="s">
        <v>1860</v>
      </c>
      <c r="G2853" s="1" t="str">
        <f>CONCATENATE(" POLIKLINIKA ZAGREB,"," TRNJANSKA CESTA 108,"," 10000 ZAGREB,"," OIB: 89718348767")</f>
        <v xml:space="preserve"> POLIKLINIKA ZAGREB, TRNJANSKA CESTA 108, 10000 ZAGREB, OIB: 89718348767</v>
      </c>
      <c r="H2853" s="7"/>
      <c r="I2853" s="8" t="s">
        <v>811</v>
      </c>
      <c r="J2853" s="8" t="s">
        <v>835</v>
      </c>
      <c r="K2853" s="6" t="str">
        <f>"3.500,00"</f>
        <v>3.500,00</v>
      </c>
      <c r="L2853" s="6" t="str">
        <f>"875,00"</f>
        <v>875,00</v>
      </c>
      <c r="M2853" s="6" t="str">
        <f>"4.375,00"</f>
        <v>4.375,00</v>
      </c>
      <c r="N2853" s="8" t="s">
        <v>124</v>
      </c>
      <c r="O2853" s="7"/>
      <c r="P2853" s="2" t="s">
        <v>5614</v>
      </c>
      <c r="Q2853" s="7"/>
      <c r="R2853" s="1"/>
      <c r="S2853" s="1" t="str">
        <f>"J-UN-2021-302"</f>
        <v>J-UN-2021-302</v>
      </c>
      <c r="T2853" s="1" t="s">
        <v>32</v>
      </c>
    </row>
    <row r="2854" spans="1:20" ht="51" x14ac:dyDescent="0.25">
      <c r="A2854" s="6">
        <v>2848</v>
      </c>
      <c r="B2854" s="1" t="str">
        <f>"2021-1733"</f>
        <v>2021-1733</v>
      </c>
      <c r="C2854" s="1" t="s">
        <v>2405</v>
      </c>
      <c r="D2854" s="1" t="s">
        <v>880</v>
      </c>
      <c r="E2854" s="1" t="str">
        <f>""</f>
        <v/>
      </c>
      <c r="F2854" s="1" t="s">
        <v>1860</v>
      </c>
      <c r="G2854" s="1" t="str">
        <f>CONCATENATE(" SPECIJALNA BOLNICA SV. KATARINA,"," BRAČAK 8,"," 49210 ZABOK,"," OIB: 41170172944")</f>
        <v xml:space="preserve"> SPECIJALNA BOLNICA SV. KATARINA, BRAČAK 8, 49210 ZABOK, OIB: 41170172944</v>
      </c>
      <c r="H2854" s="7"/>
      <c r="I2854" s="8" t="s">
        <v>477</v>
      </c>
      <c r="J2854" s="8" t="s">
        <v>405</v>
      </c>
      <c r="K2854" s="6" t="str">
        <f>"3.500,00"</f>
        <v>3.500,00</v>
      </c>
      <c r="L2854" s="6" t="str">
        <f>"875,00"</f>
        <v>875,00</v>
      </c>
      <c r="M2854" s="6" t="str">
        <f>"4.375,00"</f>
        <v>4.375,00</v>
      </c>
      <c r="N2854" s="8" t="s">
        <v>124</v>
      </c>
      <c r="O2854" s="7"/>
      <c r="P2854" s="2" t="s">
        <v>5614</v>
      </c>
      <c r="Q2854" s="7"/>
      <c r="R2854" s="1"/>
      <c r="S2854" s="1" t="str">
        <f>"J-UN-2021-303"</f>
        <v>J-UN-2021-303</v>
      </c>
      <c r="T2854" s="1" t="s">
        <v>32</v>
      </c>
    </row>
    <row r="2855" spans="1:20" ht="51" x14ac:dyDescent="0.25">
      <c r="A2855" s="6">
        <v>2849</v>
      </c>
      <c r="B2855" s="1" t="str">
        <f>"2021-1011"</f>
        <v>2021-1011</v>
      </c>
      <c r="C2855" s="1" t="s">
        <v>2675</v>
      </c>
      <c r="D2855" s="1" t="s">
        <v>2676</v>
      </c>
      <c r="E2855" s="1" t="str">
        <f>""</f>
        <v/>
      </c>
      <c r="F2855" s="1" t="s">
        <v>1860</v>
      </c>
      <c r="G2855" s="1" t="str">
        <f>CONCATENATE(" AUTOBUS D.O.O.,"," I. RESNIK 178,"," 10040 ZAGREB,"," OIB: 77383886713")</f>
        <v xml:space="preserve"> AUTOBUS D.O.O., I. RESNIK 178, 10040 ZAGREB, OIB: 77383886713</v>
      </c>
      <c r="H2855" s="7"/>
      <c r="I2855" s="8" t="s">
        <v>477</v>
      </c>
      <c r="J2855" s="8" t="s">
        <v>405</v>
      </c>
      <c r="K2855" s="6" t="str">
        <f>"4.148,15"</f>
        <v>4.148,15</v>
      </c>
      <c r="L2855" s="6" t="str">
        <f>"1.037,04"</f>
        <v>1.037,04</v>
      </c>
      <c r="M2855" s="6" t="str">
        <f>"5.185,19"</f>
        <v>5.185,19</v>
      </c>
      <c r="N2855" s="8" t="s">
        <v>124</v>
      </c>
      <c r="O2855" s="7"/>
      <c r="P2855" s="2" t="s">
        <v>5614</v>
      </c>
      <c r="Q2855" s="7"/>
      <c r="R2855" s="1"/>
      <c r="S2855" s="1" t="str">
        <f>"J-UN-2021-304"</f>
        <v>J-UN-2021-304</v>
      </c>
      <c r="T2855" s="1" t="s">
        <v>32</v>
      </c>
    </row>
    <row r="2856" spans="1:20" ht="38.25" x14ac:dyDescent="0.25">
      <c r="A2856" s="6">
        <v>2850</v>
      </c>
      <c r="B2856" s="1" t="str">
        <f>"2021-144"</f>
        <v>2021-144</v>
      </c>
      <c r="C2856" s="1" t="s">
        <v>2677</v>
      </c>
      <c r="D2856" s="1" t="s">
        <v>2678</v>
      </c>
      <c r="E2856" s="1" t="str">
        <f>""</f>
        <v/>
      </c>
      <c r="F2856" s="1" t="s">
        <v>1860</v>
      </c>
      <c r="G2856" s="1" t="str">
        <f>CONCATENATE(" TOVEDO D.O.O.,"," KLIN 31,"," 10000 ZAGREB,"," OIB: 58747941387")</f>
        <v xml:space="preserve"> TOVEDO D.O.O., KLIN 31, 10000 ZAGREB, OIB: 58747941387</v>
      </c>
      <c r="H2856" s="7"/>
      <c r="I2856" s="8" t="s">
        <v>2030</v>
      </c>
      <c r="J2856" s="8" t="s">
        <v>30</v>
      </c>
      <c r="K2856" s="6" t="str">
        <f>"431,25"</f>
        <v>431,25</v>
      </c>
      <c r="L2856" s="6" t="str">
        <f>"107,81"</f>
        <v>107,81</v>
      </c>
      <c r="M2856" s="6" t="str">
        <f>"539,06"</f>
        <v>539,06</v>
      </c>
      <c r="N2856" s="8" t="s">
        <v>124</v>
      </c>
      <c r="O2856" s="7"/>
      <c r="P2856" s="2" t="s">
        <v>5614</v>
      </c>
      <c r="Q2856" s="7"/>
      <c r="R2856" s="1"/>
      <c r="S2856" s="1" t="str">
        <f>"J-UN-2021-305"</f>
        <v>J-UN-2021-305</v>
      </c>
      <c r="T2856" s="1" t="s">
        <v>32</v>
      </c>
    </row>
    <row r="2857" spans="1:20" ht="51" x14ac:dyDescent="0.25">
      <c r="A2857" s="6">
        <v>2851</v>
      </c>
      <c r="B2857" s="1" t="str">
        <f>"2021-1686"</f>
        <v>2021-1686</v>
      </c>
      <c r="C2857" s="1" t="s">
        <v>2634</v>
      </c>
      <c r="D2857" s="1" t="s">
        <v>2331</v>
      </c>
      <c r="E2857" s="1" t="str">
        <f>""</f>
        <v/>
      </c>
      <c r="F2857" s="1" t="s">
        <v>1860</v>
      </c>
      <c r="G2857" s="1" t="str">
        <f>CONCATENATE(" LEONARDO MEDIA D.O.O.,"," GJURE SZABA 4/2,"," 10000 ZAGREB,"," OIB: 90240160025")</f>
        <v xml:space="preserve"> LEONARDO MEDIA D.O.O., GJURE SZABA 4/2, 10000 ZAGREB, OIB: 90240160025</v>
      </c>
      <c r="H2857" s="7"/>
      <c r="I2857" s="8" t="s">
        <v>2030</v>
      </c>
      <c r="J2857" s="8" t="s">
        <v>30</v>
      </c>
      <c r="K2857" s="6" t="str">
        <f>"32.650,00"</f>
        <v>32.650,00</v>
      </c>
      <c r="L2857" s="6" t="str">
        <f>"8.162,50"</f>
        <v>8.162,50</v>
      </c>
      <c r="M2857" s="6" t="str">
        <f>"40.812,50"</f>
        <v>40.812,50</v>
      </c>
      <c r="N2857" s="7"/>
      <c r="O2857" s="9">
        <v>44433</v>
      </c>
      <c r="P2857" s="2" t="s">
        <v>5614</v>
      </c>
      <c r="Q2857" s="7"/>
      <c r="R2857" s="1"/>
      <c r="S2857" s="1" t="str">
        <f>"J-UN-2021-306"</f>
        <v>J-UN-2021-306</v>
      </c>
      <c r="T2857" s="1" t="s">
        <v>32</v>
      </c>
    </row>
    <row r="2858" spans="1:20" ht="51" x14ac:dyDescent="0.25">
      <c r="A2858" s="6">
        <v>2852</v>
      </c>
      <c r="B2858" s="1" t="str">
        <f>"2021-479"</f>
        <v>2021-479</v>
      </c>
      <c r="C2858" s="1" t="s">
        <v>2679</v>
      </c>
      <c r="D2858" s="1" t="s">
        <v>619</v>
      </c>
      <c r="E2858" s="1" t="str">
        <f>""</f>
        <v/>
      </c>
      <c r="F2858" s="1" t="s">
        <v>1860</v>
      </c>
      <c r="G2858" s="1" t="str">
        <f>CONCATENATE(" TRIDION D.O.O.,"," ZAPADNA LOZICA 10,"," 10000 ZAGREB,"," OIB: 79247590666")</f>
        <v xml:space="preserve"> TRIDION D.O.O., ZAPADNA LOZICA 10, 10000 ZAGREB, OIB: 79247590666</v>
      </c>
      <c r="H2858" s="7"/>
      <c r="I2858" s="8" t="s">
        <v>811</v>
      </c>
      <c r="J2858" s="8" t="s">
        <v>835</v>
      </c>
      <c r="K2858" s="6" t="str">
        <f>"154.625,89"</f>
        <v>154.625,89</v>
      </c>
      <c r="L2858" s="6" t="str">
        <f>"38.656,47"</f>
        <v>38.656,47</v>
      </c>
      <c r="M2858" s="6" t="str">
        <f>"193.282,36"</f>
        <v>193.282,36</v>
      </c>
      <c r="N2858" s="8" t="s">
        <v>2680</v>
      </c>
      <c r="O2858" s="7"/>
      <c r="P2858" s="2" t="s">
        <v>7165</v>
      </c>
      <c r="Q2858" s="1" t="s">
        <v>5601</v>
      </c>
      <c r="R2858" s="1"/>
      <c r="S2858" s="1" t="str">
        <f>"J-UN-2021-312"</f>
        <v>J-UN-2021-312</v>
      </c>
      <c r="T2858" s="1" t="s">
        <v>32</v>
      </c>
    </row>
    <row r="2859" spans="1:20" ht="76.5" x14ac:dyDescent="0.25">
      <c r="A2859" s="6">
        <v>2853</v>
      </c>
      <c r="B2859" s="1" t="str">
        <f>"2021-1746"</f>
        <v>2021-1746</v>
      </c>
      <c r="C2859" s="1" t="s">
        <v>2681</v>
      </c>
      <c r="D2859" s="1" t="s">
        <v>2682</v>
      </c>
      <c r="E2859" s="1" t="str">
        <f>""</f>
        <v/>
      </c>
      <c r="F2859" s="1" t="s">
        <v>1860</v>
      </c>
      <c r="G2859" s="1" t="str">
        <f>CONCATENATE(" REMONDIS MEDISON D.O.O.,"," DRAGANIĆ 13a,"," 47 201 DRAGANIĆI,"," OIB: 5885206008")</f>
        <v xml:space="preserve"> REMONDIS MEDISON D.O.O., DRAGANIĆ 13a, 47 201 DRAGANIĆI, OIB: 5885206008</v>
      </c>
      <c r="H2859" s="7"/>
      <c r="I2859" s="8" t="s">
        <v>2114</v>
      </c>
      <c r="J2859" s="8" t="s">
        <v>269</v>
      </c>
      <c r="K2859" s="6" t="str">
        <f>"26.000,00"</f>
        <v>26.000,00</v>
      </c>
      <c r="L2859" s="6" t="str">
        <f>"6.500,00"</f>
        <v>6.500,00</v>
      </c>
      <c r="M2859" s="6" t="str">
        <f>"32.500,00"</f>
        <v>32.500,00</v>
      </c>
      <c r="N2859" s="8" t="s">
        <v>89</v>
      </c>
      <c r="O2859" s="7"/>
      <c r="P2859" s="2" t="s">
        <v>7166</v>
      </c>
      <c r="Q2859" s="7"/>
      <c r="R2859" s="1"/>
      <c r="S2859" s="1" t="str">
        <f>"J-UN-2021-353"</f>
        <v>J-UN-2021-353</v>
      </c>
      <c r="T2859" s="1" t="s">
        <v>32</v>
      </c>
    </row>
    <row r="2860" spans="1:20" ht="51" x14ac:dyDescent="0.25">
      <c r="A2860" s="6">
        <v>2854</v>
      </c>
      <c r="B2860" s="1" t="str">
        <f>"2021-695"</f>
        <v>2021-695</v>
      </c>
      <c r="C2860" s="1" t="s">
        <v>2683</v>
      </c>
      <c r="D2860" s="1" t="s">
        <v>2684</v>
      </c>
      <c r="E2860" s="1" t="str">
        <f>""</f>
        <v/>
      </c>
      <c r="F2860" s="1" t="s">
        <v>1860</v>
      </c>
      <c r="G2860" s="1" t="str">
        <f>CONCATENATE(" BASIC MODEL D.O.O.,"," TRAVANJSKA 19,"," 10000 ZAGREB,"," OIB: 64150104602")</f>
        <v xml:space="preserve"> BASIC MODEL D.O.O., TRAVANJSKA 19, 10000 ZAGREB, OIB: 64150104602</v>
      </c>
      <c r="H2860" s="7"/>
      <c r="I2860" s="8" t="s">
        <v>2114</v>
      </c>
      <c r="J2860" s="8" t="s">
        <v>269</v>
      </c>
      <c r="K2860" s="6" t="str">
        <f>"24.820,00"</f>
        <v>24.820,00</v>
      </c>
      <c r="L2860" s="6" t="str">
        <f>"6.205,00"</f>
        <v>6.205,00</v>
      </c>
      <c r="M2860" s="6" t="str">
        <f>"31.025,00"</f>
        <v>31.025,00</v>
      </c>
      <c r="N2860" s="8" t="s">
        <v>2077</v>
      </c>
      <c r="O2860" s="7"/>
      <c r="P2860" s="2" t="s">
        <v>7167</v>
      </c>
      <c r="Q2860" s="7"/>
      <c r="R2860" s="1"/>
      <c r="S2860" s="1" t="str">
        <f>"J-UN-2021-354"</f>
        <v>J-UN-2021-354</v>
      </c>
      <c r="T2860" s="1" t="s">
        <v>32</v>
      </c>
    </row>
    <row r="2861" spans="1:20" ht="25.5" x14ac:dyDescent="0.25">
      <c r="A2861" s="6">
        <v>2855</v>
      </c>
      <c r="B2861" s="1" t="str">
        <f>"2021-74"</f>
        <v>2021-74</v>
      </c>
      <c r="C2861" s="1" t="s">
        <v>2685</v>
      </c>
      <c r="D2861" s="1" t="s">
        <v>2686</v>
      </c>
      <c r="E2861" s="1" t="str">
        <f>""</f>
        <v/>
      </c>
      <c r="F2861" s="1" t="s">
        <v>1860</v>
      </c>
      <c r="G2861" s="1" t="str">
        <f>CONCATENATE(" PAN-PROM D.O.O.,"," ,"," OIB: 2922488175")</f>
        <v xml:space="preserve"> PAN-PROM D.O.O., , OIB: 2922488175</v>
      </c>
      <c r="H2861" s="7"/>
      <c r="I2861" s="8" t="s">
        <v>2114</v>
      </c>
      <c r="J2861" s="8" t="s">
        <v>269</v>
      </c>
      <c r="K2861" s="6" t="str">
        <f>"21.038,40"</f>
        <v>21.038,40</v>
      </c>
      <c r="L2861" s="6" t="str">
        <f>"5.259,60"</f>
        <v>5.259,60</v>
      </c>
      <c r="M2861" s="6" t="str">
        <f>"26.298,00"</f>
        <v>26.298,00</v>
      </c>
      <c r="N2861" s="8" t="s">
        <v>2111</v>
      </c>
      <c r="O2861" s="7"/>
      <c r="P2861" s="2" t="s">
        <v>7168</v>
      </c>
      <c r="Q2861" s="7"/>
      <c r="R2861" s="1"/>
      <c r="S2861" s="1" t="str">
        <f>"J-UN-2021-355"</f>
        <v>J-UN-2021-355</v>
      </c>
      <c r="T2861" s="1" t="s">
        <v>32</v>
      </c>
    </row>
    <row r="2862" spans="1:20" ht="51" x14ac:dyDescent="0.25">
      <c r="A2862" s="6">
        <v>2856</v>
      </c>
      <c r="B2862" s="1" t="str">
        <f>"2021-239"</f>
        <v>2021-239</v>
      </c>
      <c r="C2862" s="1" t="s">
        <v>2687</v>
      </c>
      <c r="D2862" s="1" t="s">
        <v>2688</v>
      </c>
      <c r="E2862" s="1" t="str">
        <f>""</f>
        <v/>
      </c>
      <c r="F2862" s="1" t="s">
        <v>1860</v>
      </c>
      <c r="G2862" s="1" t="str">
        <f>CONCATENATE(" VODOSKOK D.D.,"," ČULINEČKA CESTA 221/C,"," 10040 ZAGREB,"," OIB: 34134218058")</f>
        <v xml:space="preserve"> VODOSKOK D.D., ČULINEČKA CESTA 221/C, 10040 ZAGREB, OIB: 34134218058</v>
      </c>
      <c r="H2862" s="7"/>
      <c r="I2862" s="8" t="s">
        <v>2114</v>
      </c>
      <c r="J2862" s="8" t="s">
        <v>269</v>
      </c>
      <c r="K2862" s="6" t="str">
        <f>"33.811,00"</f>
        <v>33.811,00</v>
      </c>
      <c r="L2862" s="6" t="str">
        <f>"8.452,75"</f>
        <v>8.452,75</v>
      </c>
      <c r="M2862" s="6" t="str">
        <f>"42.263,75"</f>
        <v>42.263,75</v>
      </c>
      <c r="N2862" s="8" t="s">
        <v>1904</v>
      </c>
      <c r="O2862" s="7"/>
      <c r="P2862" s="2" t="s">
        <v>7169</v>
      </c>
      <c r="Q2862" s="1" t="s">
        <v>488</v>
      </c>
      <c r="R2862" s="1"/>
      <c r="S2862" s="1" t="str">
        <f>"J-UN-2021-356"</f>
        <v>J-UN-2021-356</v>
      </c>
      <c r="T2862" s="1" t="s">
        <v>32</v>
      </c>
    </row>
    <row r="2863" spans="1:20" ht="51" x14ac:dyDescent="0.25">
      <c r="A2863" s="6">
        <v>2857</v>
      </c>
      <c r="B2863" s="1" t="str">
        <f>"2021-378"</f>
        <v>2021-378</v>
      </c>
      <c r="C2863" s="1" t="s">
        <v>2689</v>
      </c>
      <c r="D2863" s="1" t="s">
        <v>2577</v>
      </c>
      <c r="E2863" s="1" t="str">
        <f>""</f>
        <v/>
      </c>
      <c r="F2863" s="1" t="s">
        <v>1860</v>
      </c>
      <c r="G2863" s="1" t="str">
        <f>CONCATENATE(" LAGER BAŠIĆ D.O.O.,"," TRGOVAČKA 3,"," 10255 DONJI STUPNIK,"," OIB: 49617677906")</f>
        <v xml:space="preserve"> LAGER BAŠIĆ D.O.O., TRGOVAČKA 3, 10255 DONJI STUPNIK, OIB: 49617677906</v>
      </c>
      <c r="H2863" s="7"/>
      <c r="I2863" s="8" t="s">
        <v>1448</v>
      </c>
      <c r="J2863" s="8" t="s">
        <v>2664</v>
      </c>
      <c r="K2863" s="6" t="str">
        <f>"2.338,00"</f>
        <v>2.338,00</v>
      </c>
      <c r="L2863" s="6" t="str">
        <f>"584,50"</f>
        <v>584,50</v>
      </c>
      <c r="M2863" s="6" t="str">
        <f>"2.922,50"</f>
        <v>2.922,50</v>
      </c>
      <c r="N2863" s="8" t="s">
        <v>440</v>
      </c>
      <c r="O2863" s="7"/>
      <c r="P2863" s="2" t="s">
        <v>7170</v>
      </c>
      <c r="Q2863" s="7"/>
      <c r="R2863" s="1"/>
      <c r="S2863" s="1" t="str">
        <f>"J-UN-2021-357"</f>
        <v>J-UN-2021-357</v>
      </c>
      <c r="T2863" s="1" t="s">
        <v>32</v>
      </c>
    </row>
    <row r="2864" spans="1:20" ht="51" x14ac:dyDescent="0.25">
      <c r="A2864" s="6">
        <v>2858</v>
      </c>
      <c r="B2864" s="1" t="str">
        <f>"2021-983"</f>
        <v>2021-983</v>
      </c>
      <c r="C2864" s="1" t="s">
        <v>2690</v>
      </c>
      <c r="D2864" s="1" t="s">
        <v>2691</v>
      </c>
      <c r="E2864" s="1" t="str">
        <f>""</f>
        <v/>
      </c>
      <c r="F2864" s="1" t="s">
        <v>1860</v>
      </c>
      <c r="G2864" s="1" t="str">
        <f>CONCATENATE(" BASIC MODEL D.O.O.,"," TRAVANJSKA 19,"," 10000 ZAGREB,"," OIB: 64150104602")</f>
        <v xml:space="preserve"> BASIC MODEL D.O.O., TRAVANJSKA 19, 10000 ZAGREB, OIB: 64150104602</v>
      </c>
      <c r="H2864" s="7"/>
      <c r="I2864" s="8" t="s">
        <v>70</v>
      </c>
      <c r="J2864" s="8" t="s">
        <v>478</v>
      </c>
      <c r="K2864" s="6" t="str">
        <f>"24.910,00"</f>
        <v>24.910,00</v>
      </c>
      <c r="L2864" s="6" t="str">
        <f>"6.227,50"</f>
        <v>6.227,50</v>
      </c>
      <c r="M2864" s="6" t="str">
        <f>"31.137,50"</f>
        <v>31.137,50</v>
      </c>
      <c r="N2864" s="8" t="s">
        <v>2680</v>
      </c>
      <c r="O2864" s="7"/>
      <c r="P2864" s="2" t="s">
        <v>7171</v>
      </c>
      <c r="Q2864" s="7"/>
      <c r="R2864" s="1"/>
      <c r="S2864" s="1" t="str">
        <f>"J-UN-2021-358"</f>
        <v>J-UN-2021-358</v>
      </c>
      <c r="T2864" s="1" t="s">
        <v>32</v>
      </c>
    </row>
    <row r="2865" spans="1:20" ht="51" x14ac:dyDescent="0.25">
      <c r="A2865" s="6">
        <v>2859</v>
      </c>
      <c r="B2865" s="1" t="str">
        <f>"2021-221"</f>
        <v>2021-221</v>
      </c>
      <c r="C2865" s="1" t="s">
        <v>2692</v>
      </c>
      <c r="D2865" s="1" t="s">
        <v>2693</v>
      </c>
      <c r="E2865" s="1" t="str">
        <f>""</f>
        <v/>
      </c>
      <c r="F2865" s="1" t="s">
        <v>1860</v>
      </c>
      <c r="G2865" s="1" t="str">
        <f>CONCATENATE(" COMET D.O.O.,"," VARAŽDINSKA 40/C,"," 42220 NOVI MAROF,"," OIB: 48249084626")</f>
        <v xml:space="preserve"> COMET D.O.O., VARAŽDINSKA 40/C, 42220 NOVI MAROF, OIB: 48249084626</v>
      </c>
      <c r="H2865" s="7"/>
      <c r="I2865" s="8" t="s">
        <v>70</v>
      </c>
      <c r="J2865" s="8" t="s">
        <v>478</v>
      </c>
      <c r="K2865" s="6" t="str">
        <f>"14.860,00"</f>
        <v>14.860,00</v>
      </c>
      <c r="L2865" s="6" t="str">
        <f>"3.715,00"</f>
        <v>3.715,00</v>
      </c>
      <c r="M2865" s="6" t="str">
        <f>"18.575,00"</f>
        <v>18.575,00</v>
      </c>
      <c r="N2865" s="8" t="s">
        <v>2680</v>
      </c>
      <c r="O2865" s="7"/>
      <c r="P2865" s="2" t="s">
        <v>7172</v>
      </c>
      <c r="Q2865" s="7"/>
      <c r="R2865" s="1"/>
      <c r="S2865" s="1" t="str">
        <f>"J-UN-2021-359"</f>
        <v>J-UN-2021-359</v>
      </c>
      <c r="T2865" s="1" t="s">
        <v>32</v>
      </c>
    </row>
    <row r="2866" spans="1:20" ht="51" x14ac:dyDescent="0.25">
      <c r="A2866" s="6">
        <v>2860</v>
      </c>
      <c r="B2866" s="1" t="str">
        <f>"2021-2145"</f>
        <v>2021-2145</v>
      </c>
      <c r="C2866" s="1" t="s">
        <v>2694</v>
      </c>
      <c r="D2866" s="1" t="s">
        <v>1888</v>
      </c>
      <c r="E2866" s="1" t="str">
        <f>""</f>
        <v/>
      </c>
      <c r="F2866" s="1" t="s">
        <v>1860</v>
      </c>
      <c r="G2866" s="1" t="str">
        <f>CONCATENATE(" HONGOLDONIA D.O.O.,"," RUJANSKA 4,"," 10000 ZAGREB,"," OIB: 7925585026")</f>
        <v xml:space="preserve"> HONGOLDONIA D.O.O., RUJANSKA 4, 10000 ZAGREB, OIB: 7925585026</v>
      </c>
      <c r="H2866" s="7"/>
      <c r="I2866" s="8" t="s">
        <v>70</v>
      </c>
      <c r="J2866" s="8" t="s">
        <v>478</v>
      </c>
      <c r="K2866" s="6" t="str">
        <f>"3.180,00"</f>
        <v>3.180,00</v>
      </c>
      <c r="L2866" s="6" t="str">
        <f>"795,00"</f>
        <v>795,00</v>
      </c>
      <c r="M2866" s="6" t="str">
        <f>"3.975,00"</f>
        <v>3.975,00</v>
      </c>
      <c r="N2866" s="8" t="s">
        <v>440</v>
      </c>
      <c r="O2866" s="7"/>
      <c r="P2866" s="2" t="s">
        <v>6264</v>
      </c>
      <c r="Q2866" s="7"/>
      <c r="R2866" s="1"/>
      <c r="S2866" s="1" t="str">
        <f>"J-UN-2021-360"</f>
        <v>J-UN-2021-360</v>
      </c>
      <c r="T2866" s="1" t="s">
        <v>32</v>
      </c>
    </row>
    <row r="2867" spans="1:20" ht="63.75" x14ac:dyDescent="0.25">
      <c r="A2867" s="6">
        <v>2861</v>
      </c>
      <c r="B2867" s="1" t="str">
        <f>"2021-341"</f>
        <v>2021-341</v>
      </c>
      <c r="C2867" s="1" t="s">
        <v>2695</v>
      </c>
      <c r="D2867" s="1" t="s">
        <v>2502</v>
      </c>
      <c r="E2867" s="1" t="str">
        <f>""</f>
        <v/>
      </c>
      <c r="F2867" s="1" t="s">
        <v>1860</v>
      </c>
      <c r="G2867" s="1" t="str">
        <f>CONCATENATE(" ELEKTRO-KOMUNIKACIJE D.O.O.,"," 14. PODBREŽJE 4,"," 10000 ZAGREB,"," OIB: 76412373309")</f>
        <v xml:space="preserve"> ELEKTRO-KOMUNIKACIJE D.O.O., 14. PODBREŽJE 4, 10000 ZAGREB, OIB: 76412373309</v>
      </c>
      <c r="H2867" s="7"/>
      <c r="I2867" s="8" t="s">
        <v>70</v>
      </c>
      <c r="J2867" s="8" t="s">
        <v>478</v>
      </c>
      <c r="K2867" s="6" t="str">
        <f>"5.108,60"</f>
        <v>5.108,60</v>
      </c>
      <c r="L2867" s="6" t="str">
        <f>"1.277,15"</f>
        <v>1.277,15</v>
      </c>
      <c r="M2867" s="6" t="str">
        <f>"6.385,75"</f>
        <v>6.385,75</v>
      </c>
      <c r="N2867" s="8" t="s">
        <v>2696</v>
      </c>
      <c r="O2867" s="7"/>
      <c r="P2867" s="2" t="s">
        <v>7173</v>
      </c>
      <c r="Q2867" s="7"/>
      <c r="R2867" s="1"/>
      <c r="S2867" s="1" t="str">
        <f>"J-UN-2021-361"</f>
        <v>J-UN-2021-361</v>
      </c>
      <c r="T2867" s="1" t="s">
        <v>32</v>
      </c>
    </row>
    <row r="2868" spans="1:20" ht="63.75" x14ac:dyDescent="0.25">
      <c r="A2868" s="6">
        <v>2862</v>
      </c>
      <c r="B2868" s="1" t="str">
        <f>"2021-1533"</f>
        <v>2021-1533</v>
      </c>
      <c r="C2868" s="1" t="s">
        <v>2697</v>
      </c>
      <c r="D2868" s="1" t="s">
        <v>2698</v>
      </c>
      <c r="E2868" s="1" t="str">
        <f>""</f>
        <v/>
      </c>
      <c r="F2868" s="1" t="s">
        <v>1860</v>
      </c>
      <c r="G2868" s="1" t="str">
        <f>CONCATENATE(" OPREMA POD TLAKOM D.O.O.,"," ULICA KNEZA BRANIMIRA 22,"," 10040 ZAGREB,"," OIB: 07435417708")</f>
        <v xml:space="preserve"> OPREMA POD TLAKOM D.O.O., ULICA KNEZA BRANIMIRA 22, 10040 ZAGREB, OIB: 07435417708</v>
      </c>
      <c r="H2868" s="7"/>
      <c r="I2868" s="8" t="s">
        <v>70</v>
      </c>
      <c r="J2868" s="8" t="s">
        <v>478</v>
      </c>
      <c r="K2868" s="6" t="str">
        <f>"1.307,00"</f>
        <v>1.307,00</v>
      </c>
      <c r="L2868" s="6" t="str">
        <f>"326,75"</f>
        <v>326,75</v>
      </c>
      <c r="M2868" s="6" t="str">
        <f>"1.633,75"</f>
        <v>1.633,75</v>
      </c>
      <c r="N2868" s="8" t="s">
        <v>145</v>
      </c>
      <c r="O2868" s="7"/>
      <c r="P2868" s="2" t="s">
        <v>7174</v>
      </c>
      <c r="Q2868" s="7"/>
      <c r="R2868" s="1"/>
      <c r="S2868" s="1" t="str">
        <f>"J-UN-2021-362"</f>
        <v>J-UN-2021-362</v>
      </c>
      <c r="T2868" s="1" t="s">
        <v>32</v>
      </c>
    </row>
    <row r="2869" spans="1:20" ht="51" x14ac:dyDescent="0.25">
      <c r="A2869" s="6">
        <v>2863</v>
      </c>
      <c r="B2869" s="1" t="str">
        <f>"2021-498"</f>
        <v>2021-498</v>
      </c>
      <c r="C2869" s="1" t="s">
        <v>2699</v>
      </c>
      <c r="D2869" s="1" t="s">
        <v>1888</v>
      </c>
      <c r="E2869" s="1" t="str">
        <f>""</f>
        <v/>
      </c>
      <c r="F2869" s="1" t="s">
        <v>1860</v>
      </c>
      <c r="G2869" s="1" t="str">
        <f>CONCATENATE(" HONGOLDONIA D.O.O.,"," RUJANSKA 4,"," 10000 ZAGREB,"," OIB: 7925585026")</f>
        <v xml:space="preserve"> HONGOLDONIA D.O.O., RUJANSKA 4, 10000 ZAGREB, OIB: 7925585026</v>
      </c>
      <c r="H2869" s="7"/>
      <c r="I2869" s="8" t="s">
        <v>2105</v>
      </c>
      <c r="J2869" s="8" t="s">
        <v>1112</v>
      </c>
      <c r="K2869" s="6" t="str">
        <f>"414,00"</f>
        <v>414,00</v>
      </c>
      <c r="L2869" s="6" t="str">
        <f>"103,50"</f>
        <v>103,50</v>
      </c>
      <c r="M2869" s="6" t="str">
        <f>"517,50"</f>
        <v>517,50</v>
      </c>
      <c r="N2869" s="8" t="s">
        <v>440</v>
      </c>
      <c r="O2869" s="7"/>
      <c r="P2869" s="2" t="s">
        <v>7175</v>
      </c>
      <c r="Q2869" s="7"/>
      <c r="R2869" s="1"/>
      <c r="S2869" s="1" t="str">
        <f>"J-UN-2021-363"</f>
        <v>J-UN-2021-363</v>
      </c>
      <c r="T2869" s="1" t="s">
        <v>32</v>
      </c>
    </row>
    <row r="2870" spans="1:20" ht="51" x14ac:dyDescent="0.25">
      <c r="A2870" s="6">
        <v>2864</v>
      </c>
      <c r="B2870" s="1" t="str">
        <f>"2021-325"</f>
        <v>2021-325</v>
      </c>
      <c r="C2870" s="1" t="s">
        <v>2700</v>
      </c>
      <c r="D2870" s="1" t="s">
        <v>2701</v>
      </c>
      <c r="E2870" s="1" t="str">
        <f>""</f>
        <v/>
      </c>
      <c r="F2870" s="1" t="s">
        <v>1860</v>
      </c>
      <c r="G2870" s="1" t="str">
        <f>CONCATENATE(" VODOSKOK D.D.,"," ČULINEČKA CESTA 221/C,"," 10040 ZAGREB,"," OIB: 34134218058")</f>
        <v xml:space="preserve"> VODOSKOK D.D., ČULINEČKA CESTA 221/C, 10040 ZAGREB, OIB: 34134218058</v>
      </c>
      <c r="H2870" s="7"/>
      <c r="I2870" s="8" t="s">
        <v>2657</v>
      </c>
      <c r="J2870" s="8" t="s">
        <v>133</v>
      </c>
      <c r="K2870" s="6" t="str">
        <f>"14.320,00"</f>
        <v>14.320,00</v>
      </c>
      <c r="L2870" s="6" t="str">
        <f>"3.580,00"</f>
        <v>3.580,00</v>
      </c>
      <c r="M2870" s="6" t="str">
        <f>"17.900,00"</f>
        <v>17.900,00</v>
      </c>
      <c r="N2870" s="8" t="s">
        <v>1904</v>
      </c>
      <c r="O2870" s="7"/>
      <c r="P2870" s="2" t="s">
        <v>7176</v>
      </c>
      <c r="Q2870" s="7"/>
      <c r="R2870" s="1"/>
      <c r="S2870" s="1" t="str">
        <f>"J-UN-2021-364"</f>
        <v>J-UN-2021-364</v>
      </c>
      <c r="T2870" s="1" t="s">
        <v>32</v>
      </c>
    </row>
    <row r="2871" spans="1:20" ht="63.75" x14ac:dyDescent="0.25">
      <c r="A2871" s="6">
        <v>2865</v>
      </c>
      <c r="B2871" s="1" t="str">
        <f>"2021-1101"</f>
        <v>2021-1101</v>
      </c>
      <c r="C2871" s="1" t="s">
        <v>2702</v>
      </c>
      <c r="D2871" s="1" t="s">
        <v>1209</v>
      </c>
      <c r="E2871" s="1" t="str">
        <f>""</f>
        <v/>
      </c>
      <c r="F2871" s="1" t="s">
        <v>1860</v>
      </c>
      <c r="G2871" s="1" t="str">
        <f>CONCATENATE(" DRÄGER SAFETY D.O.O.,"," AVENIJA VEĆESLAVA HOLJEVCA 40,"," 10010 ZAGREB,"," OIB: 32874587842")</f>
        <v xml:space="preserve"> DRÄGER SAFETY D.O.O., AVENIJA VEĆESLAVA HOLJEVCA 40, 10010 ZAGREB, OIB: 32874587842</v>
      </c>
      <c r="H2871" s="7"/>
      <c r="I2871" s="8" t="s">
        <v>2105</v>
      </c>
      <c r="J2871" s="8" t="s">
        <v>1112</v>
      </c>
      <c r="K2871" s="6" t="str">
        <f>"10.494,90"</f>
        <v>10.494,90</v>
      </c>
      <c r="L2871" s="6" t="str">
        <f>"2.623,73"</f>
        <v>2.623,73</v>
      </c>
      <c r="M2871" s="6" t="str">
        <f>"13.118,63"</f>
        <v>13.118,63</v>
      </c>
      <c r="N2871" s="8" t="s">
        <v>37</v>
      </c>
      <c r="O2871" s="7"/>
      <c r="P2871" s="2" t="s">
        <v>7177</v>
      </c>
      <c r="Q2871" s="7"/>
      <c r="R2871" s="1"/>
      <c r="S2871" s="1" t="str">
        <f>"J-UN-2021-365"</f>
        <v>J-UN-2021-365</v>
      </c>
      <c r="T2871" s="1" t="s">
        <v>32</v>
      </c>
    </row>
    <row r="2872" spans="1:20" ht="51" x14ac:dyDescent="0.25">
      <c r="A2872" s="6">
        <v>2866</v>
      </c>
      <c r="B2872" s="1" t="str">
        <f>"2021-237"</f>
        <v>2021-237</v>
      </c>
      <c r="C2872" s="1" t="s">
        <v>2703</v>
      </c>
      <c r="D2872" s="1" t="s">
        <v>2704</v>
      </c>
      <c r="E2872" s="1" t="str">
        <f>""</f>
        <v/>
      </c>
      <c r="F2872" s="1" t="s">
        <v>1860</v>
      </c>
      <c r="G2872" s="1" t="str">
        <f>CONCATENATE(" STROJOPROMET D.O.O.,"," ZAGREBAČKA 6,"," 10292 ŠENKOVEC,"," OIB: 97994010225")</f>
        <v xml:space="preserve"> STROJOPROMET D.O.O., ZAGREBAČKA 6, 10292 ŠENKOVEC, OIB: 97994010225</v>
      </c>
      <c r="H2872" s="7"/>
      <c r="I2872" s="8" t="s">
        <v>2657</v>
      </c>
      <c r="J2872" s="8" t="s">
        <v>133</v>
      </c>
      <c r="K2872" s="6" t="str">
        <f>"9.640,10"</f>
        <v>9.640,10</v>
      </c>
      <c r="L2872" s="6" t="str">
        <f>"2.410,03"</f>
        <v>2.410,03</v>
      </c>
      <c r="M2872" s="6" t="str">
        <f>"12.050,13"</f>
        <v>12.050,13</v>
      </c>
      <c r="N2872" s="8" t="s">
        <v>2705</v>
      </c>
      <c r="O2872" s="7"/>
      <c r="P2872" s="2" t="s">
        <v>7178</v>
      </c>
      <c r="Q2872" s="1"/>
      <c r="R2872" s="1"/>
      <c r="S2872" s="1" t="str">
        <f>"J-UN-2021-366"</f>
        <v>J-UN-2021-366</v>
      </c>
      <c r="T2872" s="1" t="s">
        <v>32</v>
      </c>
    </row>
    <row r="2873" spans="1:20" ht="51" x14ac:dyDescent="0.25">
      <c r="A2873" s="6">
        <v>2867</v>
      </c>
      <c r="B2873" s="1" t="str">
        <f>"2021-173"</f>
        <v>2021-173</v>
      </c>
      <c r="C2873" s="1" t="s">
        <v>2513</v>
      </c>
      <c r="D2873" s="1" t="s">
        <v>665</v>
      </c>
      <c r="E2873" s="1" t="str">
        <f>""</f>
        <v/>
      </c>
      <c r="F2873" s="1" t="s">
        <v>1860</v>
      </c>
      <c r="G2873" s="1" t="str">
        <f>CONCATENATE(" OLEUM FLEX D.O.O.,"," PUŠKARIĆEVA ULICA 11F,"," 10250 LUČKO,"," OIB: 53785632625")</f>
        <v xml:space="preserve"> OLEUM FLEX D.O.O., PUŠKARIĆEVA ULICA 11F, 10250 LUČKO, OIB: 53785632625</v>
      </c>
      <c r="H2873" s="7"/>
      <c r="I2873" s="8" t="s">
        <v>2657</v>
      </c>
      <c r="J2873" s="8" t="s">
        <v>133</v>
      </c>
      <c r="K2873" s="6" t="str">
        <f>"34.310,45"</f>
        <v>34.310,45</v>
      </c>
      <c r="L2873" s="6" t="str">
        <f>"8.577,61"</f>
        <v>8.577,61</v>
      </c>
      <c r="M2873" s="6" t="str">
        <f>"42.888,06"</f>
        <v>42.888,06</v>
      </c>
      <c r="N2873" s="8" t="s">
        <v>280</v>
      </c>
      <c r="O2873" s="7"/>
      <c r="P2873" s="2" t="s">
        <v>7179</v>
      </c>
      <c r="Q2873" s="7"/>
      <c r="R2873" s="1"/>
      <c r="S2873" s="1" t="str">
        <f>"J-UN-2021-367"</f>
        <v>J-UN-2021-367</v>
      </c>
      <c r="T2873" s="1" t="s">
        <v>32</v>
      </c>
    </row>
    <row r="2874" spans="1:20" ht="51" x14ac:dyDescent="0.25">
      <c r="A2874" s="6">
        <v>2868</v>
      </c>
      <c r="B2874" s="1" t="str">
        <f>"2021-144"</f>
        <v>2021-144</v>
      </c>
      <c r="C2874" s="1" t="s">
        <v>2677</v>
      </c>
      <c r="D2874" s="1" t="s">
        <v>2678</v>
      </c>
      <c r="E2874" s="1" t="str">
        <f>""</f>
        <v/>
      </c>
      <c r="F2874" s="1" t="s">
        <v>1860</v>
      </c>
      <c r="G2874" s="1" t="str">
        <f>CONCATENATE(" LJEKARNA ZEUS,"," D. BUDAKA 17,"," 10000 ZAGREB,"," OIB: 348805628")</f>
        <v xml:space="preserve"> LJEKARNA ZEUS, D. BUDAKA 17, 10000 ZAGREB, OIB: 348805628</v>
      </c>
      <c r="H2874" s="7"/>
      <c r="I2874" s="8" t="s">
        <v>2657</v>
      </c>
      <c r="J2874" s="8" t="s">
        <v>133</v>
      </c>
      <c r="K2874" s="6" t="str">
        <f>"15.532,29"</f>
        <v>15.532,29</v>
      </c>
      <c r="L2874" s="6" t="str">
        <f>"3.883,07"</f>
        <v>3.883,07</v>
      </c>
      <c r="M2874" s="6" t="str">
        <f>"19.415,36"</f>
        <v>19.415,36</v>
      </c>
      <c r="N2874" s="8" t="s">
        <v>1230</v>
      </c>
      <c r="O2874" s="7"/>
      <c r="P2874" s="2" t="s">
        <v>7180</v>
      </c>
      <c r="Q2874" s="7"/>
      <c r="R2874" s="1"/>
      <c r="S2874" s="1" t="str">
        <f>"J-UN-2021-369"</f>
        <v>J-UN-2021-369</v>
      </c>
      <c r="T2874" s="1" t="s">
        <v>32</v>
      </c>
    </row>
    <row r="2875" spans="1:20" ht="51" x14ac:dyDescent="0.25">
      <c r="A2875" s="6">
        <v>2869</v>
      </c>
      <c r="B2875" s="1" t="str">
        <f>"2021-315"</f>
        <v>2021-315</v>
      </c>
      <c r="C2875" s="1" t="s">
        <v>2706</v>
      </c>
      <c r="D2875" s="1" t="s">
        <v>1334</v>
      </c>
      <c r="E2875" s="1" t="str">
        <f>""</f>
        <v/>
      </c>
      <c r="F2875" s="1" t="s">
        <v>1860</v>
      </c>
      <c r="G2875" s="1" t="str">
        <f>CONCATENATE(" SVRDLO D.O.O.,"," ŠKOLSKA ULICA 10,"," 10370 DUGO SELO,"," OIB: 36535565458")</f>
        <v xml:space="preserve"> SVRDLO D.O.O., ŠKOLSKA ULICA 10, 10370 DUGO SELO, OIB: 36535565458</v>
      </c>
      <c r="H2875" s="7"/>
      <c r="I2875" s="8" t="s">
        <v>2657</v>
      </c>
      <c r="J2875" s="8" t="s">
        <v>133</v>
      </c>
      <c r="K2875" s="6" t="str">
        <f>"4.506,40"</f>
        <v>4.506,40</v>
      </c>
      <c r="L2875" s="6" t="str">
        <f>"1.126,60"</f>
        <v>1.126,60</v>
      </c>
      <c r="M2875" s="6" t="str">
        <f>"5.633,00"</f>
        <v>5.633,00</v>
      </c>
      <c r="N2875" s="8" t="s">
        <v>1230</v>
      </c>
      <c r="O2875" s="7"/>
      <c r="P2875" s="2" t="s">
        <v>7181</v>
      </c>
      <c r="Q2875" s="7"/>
      <c r="R2875" s="1"/>
      <c r="S2875" s="1" t="str">
        <f>"J-UN-2021-371"</f>
        <v>J-UN-2021-371</v>
      </c>
      <c r="T2875" s="1" t="s">
        <v>32</v>
      </c>
    </row>
    <row r="2876" spans="1:20" ht="51" x14ac:dyDescent="0.25">
      <c r="A2876" s="6">
        <v>2870</v>
      </c>
      <c r="B2876" s="1" t="str">
        <f>"2021-940"</f>
        <v>2021-940</v>
      </c>
      <c r="C2876" s="1" t="s">
        <v>2707</v>
      </c>
      <c r="D2876" s="1" t="s">
        <v>2708</v>
      </c>
      <c r="E2876" s="1" t="str">
        <f>""</f>
        <v/>
      </c>
      <c r="F2876" s="1" t="s">
        <v>1860</v>
      </c>
      <c r="G2876" s="1" t="str">
        <f>CONCATENATE(" TED D.O.O.,"," VRHOVČEV VIJENAC 84,"," 10000 ZAGREB,"," OIB: 22740118957")</f>
        <v xml:space="preserve"> TED D.O.O., VRHOVČEV VIJENAC 84, 10000 ZAGREB, OIB: 22740118957</v>
      </c>
      <c r="H2876" s="7"/>
      <c r="I2876" s="8" t="s">
        <v>70</v>
      </c>
      <c r="J2876" s="8" t="s">
        <v>478</v>
      </c>
      <c r="K2876" s="6" t="str">
        <f>"98.860,00"</f>
        <v>98.860,00</v>
      </c>
      <c r="L2876" s="6" t="str">
        <f>"24.715,00"</f>
        <v>24.715,00</v>
      </c>
      <c r="M2876" s="6" t="str">
        <f>"123.575,00"</f>
        <v>123.575,00</v>
      </c>
      <c r="N2876" s="8" t="s">
        <v>41</v>
      </c>
      <c r="O2876" s="7"/>
      <c r="P2876" s="2" t="s">
        <v>7182</v>
      </c>
      <c r="Q2876" s="7"/>
      <c r="R2876" s="1"/>
      <c r="S2876" s="1" t="str">
        <f>"J-UN-2021-372"</f>
        <v>J-UN-2021-372</v>
      </c>
      <c r="T2876" s="1" t="s">
        <v>32</v>
      </c>
    </row>
    <row r="2877" spans="1:20" ht="63.75" x14ac:dyDescent="0.25">
      <c r="A2877" s="6">
        <v>2871</v>
      </c>
      <c r="B2877" s="1" t="str">
        <f>"2021-1946"</f>
        <v>2021-1946</v>
      </c>
      <c r="C2877" s="1" t="s">
        <v>2709</v>
      </c>
      <c r="D2877" s="1" t="s">
        <v>2107</v>
      </c>
      <c r="E2877" s="1" t="str">
        <f>""</f>
        <v/>
      </c>
      <c r="F2877" s="1" t="s">
        <v>1860</v>
      </c>
      <c r="G2877" s="1" t="str">
        <f>CONCATENATE(" ARHITEKTONSKI ATELIER HRŽIĆ d.o.o.,"," KUŠEVIĆEVA 6,"," 10000 ZAGREB,"," OIB: 21306127592")</f>
        <v xml:space="preserve"> ARHITEKTONSKI ATELIER HRŽIĆ d.o.o., KUŠEVIĆEVA 6, 10000 ZAGREB, OIB: 21306127592</v>
      </c>
      <c r="H2877" s="7"/>
      <c r="I2877" s="8" t="s">
        <v>70</v>
      </c>
      <c r="J2877" s="8" t="s">
        <v>478</v>
      </c>
      <c r="K2877" s="6" t="str">
        <f>"52.000,00"</f>
        <v>52.000,00</v>
      </c>
      <c r="L2877" s="6" t="str">
        <f>"13.000,00"</f>
        <v>13.000,00</v>
      </c>
      <c r="M2877" s="6" t="str">
        <f>"65.000,00"</f>
        <v>65.000,00</v>
      </c>
      <c r="N2877" s="8" t="s">
        <v>616</v>
      </c>
      <c r="O2877" s="7"/>
      <c r="P2877" s="2" t="s">
        <v>7183</v>
      </c>
      <c r="Q2877" s="7"/>
      <c r="R2877" s="1"/>
      <c r="S2877" s="1" t="str">
        <f>"J-UN-2021-373"</f>
        <v>J-UN-2021-373</v>
      </c>
      <c r="T2877" s="1" t="s">
        <v>32</v>
      </c>
    </row>
    <row r="2878" spans="1:20" ht="51" x14ac:dyDescent="0.25">
      <c r="A2878" s="6">
        <v>2872</v>
      </c>
      <c r="B2878" s="1" t="str">
        <f>"2021-481"</f>
        <v>2021-481</v>
      </c>
      <c r="C2878" s="1" t="s">
        <v>2626</v>
      </c>
      <c r="D2878" s="1" t="s">
        <v>2627</v>
      </c>
      <c r="E2878" s="1" t="str">
        <f>""</f>
        <v/>
      </c>
      <c r="F2878" s="1" t="s">
        <v>1860</v>
      </c>
      <c r="G2878" s="1" t="str">
        <f>CONCATENATE(" E-ELMES D.O.O.,"," MATIJE MESIĆA 29A,"," 10370 DUGO SELO,"," OIB: 89958947498")</f>
        <v xml:space="preserve"> E-ELMES D.O.O., MATIJE MESIĆA 29A, 10370 DUGO SELO, OIB: 89958947498</v>
      </c>
      <c r="H2878" s="7"/>
      <c r="I2878" s="8" t="s">
        <v>2105</v>
      </c>
      <c r="J2878" s="8" t="s">
        <v>1112</v>
      </c>
      <c r="K2878" s="6" t="str">
        <f>"2.267,34"</f>
        <v>2.267,34</v>
      </c>
      <c r="L2878" s="6" t="str">
        <f>"566,84"</f>
        <v>566,84</v>
      </c>
      <c r="M2878" s="6" t="str">
        <f>"2.834,18"</f>
        <v>2.834,18</v>
      </c>
      <c r="N2878" s="8" t="s">
        <v>1479</v>
      </c>
      <c r="O2878" s="7"/>
      <c r="P2878" s="2" t="s">
        <v>7184</v>
      </c>
      <c r="Q2878" s="7"/>
      <c r="R2878" s="1"/>
      <c r="S2878" s="1" t="str">
        <f>"J-UN-2021-375"</f>
        <v>J-UN-2021-375</v>
      </c>
      <c r="T2878" s="1" t="s">
        <v>32</v>
      </c>
    </row>
    <row r="2879" spans="1:20" ht="63.75" x14ac:dyDescent="0.25">
      <c r="A2879" s="6">
        <v>2873</v>
      </c>
      <c r="B2879" s="1" t="str">
        <f>"2021-913"</f>
        <v>2021-913</v>
      </c>
      <c r="C2879" s="1" t="s">
        <v>2710</v>
      </c>
      <c r="D2879" s="1" t="s">
        <v>815</v>
      </c>
      <c r="E2879" s="1" t="str">
        <f>""</f>
        <v/>
      </c>
      <c r="F2879" s="1" t="s">
        <v>1860</v>
      </c>
      <c r="G2879" s="1" t="str">
        <f>CONCATENATE(" AUTO-MAG D.O.O.,"," GORNJOSTUPNIČKA 1/d,"," 10255 GORNJI STUPNIK,"," OIB: 99940897955")</f>
        <v xml:space="preserve"> AUTO-MAG D.O.O., GORNJOSTUPNIČKA 1/d, 10255 GORNJI STUPNIK, OIB: 99940897955</v>
      </c>
      <c r="H2879" s="7"/>
      <c r="I2879" s="8" t="s">
        <v>2114</v>
      </c>
      <c r="J2879" s="8" t="s">
        <v>269</v>
      </c>
      <c r="K2879" s="6" t="str">
        <f>"30.825,00"</f>
        <v>30.825,00</v>
      </c>
      <c r="L2879" s="6" t="str">
        <f>"7.706,25"</f>
        <v>7.706,25</v>
      </c>
      <c r="M2879" s="6" t="str">
        <f>"38.531,25"</f>
        <v>38.531,25</v>
      </c>
      <c r="N2879" s="8" t="s">
        <v>40</v>
      </c>
      <c r="O2879" s="7"/>
      <c r="P2879" s="2" t="s">
        <v>7185</v>
      </c>
      <c r="Q2879" s="7"/>
      <c r="R2879" s="1"/>
      <c r="S2879" s="1" t="str">
        <f>"J-UN-2021-377"</f>
        <v>J-UN-2021-377</v>
      </c>
      <c r="T2879" s="1" t="s">
        <v>32</v>
      </c>
    </row>
    <row r="2880" spans="1:20" ht="76.5" x14ac:dyDescent="0.25">
      <c r="A2880" s="6">
        <v>2874</v>
      </c>
      <c r="B2880" s="1" t="str">
        <f>"2021-946"</f>
        <v>2021-946</v>
      </c>
      <c r="C2880" s="1" t="s">
        <v>2711</v>
      </c>
      <c r="D2880" s="1" t="s">
        <v>1914</v>
      </c>
      <c r="E2880" s="1" t="str">
        <f>""</f>
        <v/>
      </c>
      <c r="F2880" s="1" t="s">
        <v>1860</v>
      </c>
      <c r="G2880" s="1" t="str">
        <f>CONCATENATE(" BUTAN PLIN D.O.O.,"," ULICA RIJEKE DRAGONJE 23,"," 52466 NOVIGRAD (CITTANOVA),"," OIB: 80051835685")</f>
        <v xml:space="preserve"> BUTAN PLIN D.O.O., ULICA RIJEKE DRAGONJE 23, 52466 NOVIGRAD (CITTANOVA), OIB: 80051835685</v>
      </c>
      <c r="H2880" s="7"/>
      <c r="I2880" s="8" t="s">
        <v>2605</v>
      </c>
      <c r="J2880" s="8" t="s">
        <v>308</v>
      </c>
      <c r="K2880" s="6" t="str">
        <f>"2.726,40"</f>
        <v>2.726,40</v>
      </c>
      <c r="L2880" s="6" t="str">
        <f>"681,60"</f>
        <v>681,60</v>
      </c>
      <c r="M2880" s="6" t="str">
        <f>"3.408,00"</f>
        <v>3.408,00</v>
      </c>
      <c r="N2880" s="8" t="s">
        <v>187</v>
      </c>
      <c r="O2880" s="7"/>
      <c r="P2880" s="2" t="s">
        <v>7186</v>
      </c>
      <c r="Q2880" s="1" t="s">
        <v>488</v>
      </c>
      <c r="R2880" s="1"/>
      <c r="S2880" s="1" t="str">
        <f>"J-UN-2021-379"</f>
        <v>J-UN-2021-379</v>
      </c>
      <c r="T2880" s="1" t="s">
        <v>32</v>
      </c>
    </row>
    <row r="2881" spans="1:20" ht="63.75" x14ac:dyDescent="0.25">
      <c r="A2881" s="6">
        <v>2875</v>
      </c>
      <c r="B2881" s="1" t="str">
        <f>"2021-163"</f>
        <v>2021-163</v>
      </c>
      <c r="C2881" s="1" t="s">
        <v>2712</v>
      </c>
      <c r="D2881" s="1" t="s">
        <v>2713</v>
      </c>
      <c r="E2881" s="1" t="str">
        <f>""</f>
        <v/>
      </c>
      <c r="F2881" s="1" t="s">
        <v>1860</v>
      </c>
      <c r="G2881" s="1" t="str">
        <f>CONCATENATE(" POLJOOPSKRBA-TEHNO D.D.,"," SAMOBORSKA 96,"," 10000 ZAGREB,"," OIB: 5372167324")</f>
        <v xml:space="preserve"> POLJOOPSKRBA-TEHNO D.D., SAMOBORSKA 96, 10000 ZAGREB, OIB: 5372167324</v>
      </c>
      <c r="H2881" s="7"/>
      <c r="I2881" s="8" t="s">
        <v>70</v>
      </c>
      <c r="J2881" s="8" t="s">
        <v>478</v>
      </c>
      <c r="K2881" s="6" t="str">
        <f>"15.810,00"</f>
        <v>15.810,00</v>
      </c>
      <c r="L2881" s="6" t="str">
        <f>"3.952,50"</f>
        <v>3.952,50</v>
      </c>
      <c r="M2881" s="6" t="str">
        <f>"19.762,50"</f>
        <v>19.762,50</v>
      </c>
      <c r="N2881" s="8" t="s">
        <v>24</v>
      </c>
      <c r="O2881" s="7"/>
      <c r="P2881" s="2" t="s">
        <v>7187</v>
      </c>
      <c r="Q2881" s="7"/>
      <c r="R2881" s="1"/>
      <c r="S2881" s="1" t="str">
        <f>"J-UN-2021-381"</f>
        <v>J-UN-2021-381</v>
      </c>
      <c r="T2881" s="1" t="s">
        <v>32</v>
      </c>
    </row>
    <row r="2882" spans="1:20" ht="51" x14ac:dyDescent="0.25">
      <c r="A2882" s="6">
        <v>2876</v>
      </c>
      <c r="B2882" s="1" t="str">
        <f>"2021-478"</f>
        <v>2021-478</v>
      </c>
      <c r="C2882" s="1" t="s">
        <v>2714</v>
      </c>
      <c r="D2882" s="1" t="s">
        <v>619</v>
      </c>
      <c r="E2882" s="1" t="str">
        <f>""</f>
        <v/>
      </c>
      <c r="F2882" s="1" t="s">
        <v>1860</v>
      </c>
      <c r="G2882" s="1" t="str">
        <f>CONCATENATE(" PRO-TEHNA D.O.O.,"," MAKSIMIRSKA 64,"," 10000 ZAGREB,"," OIB: 88951687357")</f>
        <v xml:space="preserve"> PRO-TEHNA D.O.O., MAKSIMIRSKA 64, 10000 ZAGREB, OIB: 88951687357</v>
      </c>
      <c r="H2882" s="7"/>
      <c r="I2882" s="8" t="s">
        <v>70</v>
      </c>
      <c r="J2882" s="8" t="s">
        <v>478</v>
      </c>
      <c r="K2882" s="6" t="str">
        <f>"24.960,00"</f>
        <v>24.960,00</v>
      </c>
      <c r="L2882" s="6" t="str">
        <f>"6.240,00"</f>
        <v>6.240,00</v>
      </c>
      <c r="M2882" s="6" t="str">
        <f>"31.200,00"</f>
        <v>31.200,00</v>
      </c>
      <c r="N2882" s="8" t="s">
        <v>25</v>
      </c>
      <c r="O2882" s="7"/>
      <c r="P2882" s="2" t="s">
        <v>7188</v>
      </c>
      <c r="Q2882" s="7"/>
      <c r="R2882" s="1"/>
      <c r="S2882" s="1" t="str">
        <f>"J-UN-2021-384"</f>
        <v>J-UN-2021-384</v>
      </c>
      <c r="T2882" s="1" t="s">
        <v>32</v>
      </c>
    </row>
    <row r="2883" spans="1:20" ht="51" x14ac:dyDescent="0.25">
      <c r="A2883" s="6">
        <v>2877</v>
      </c>
      <c r="B2883" s="1" t="str">
        <f>"2021-1004"</f>
        <v>2021-1004</v>
      </c>
      <c r="C2883" s="1" t="s">
        <v>2715</v>
      </c>
      <c r="D2883" s="1" t="s">
        <v>2716</v>
      </c>
      <c r="E2883" s="1" t="str">
        <f>""</f>
        <v/>
      </c>
      <c r="F2883" s="1" t="s">
        <v>1860</v>
      </c>
      <c r="G2883" s="1" t="str">
        <f>CONCATENATE(" LAGER BAŠIĆ D.O.O.,"," TRGOVAČKA 3,"," 10255 DONJI STUPNIK,"," OIB: 49617677906")</f>
        <v xml:space="preserve"> LAGER BAŠIĆ D.O.O., TRGOVAČKA 3, 10255 DONJI STUPNIK, OIB: 49617677906</v>
      </c>
      <c r="H2883" s="7"/>
      <c r="I2883" s="8" t="s">
        <v>974</v>
      </c>
      <c r="J2883" s="8" t="s">
        <v>635</v>
      </c>
      <c r="K2883" s="6" t="str">
        <f>"23.359,90"</f>
        <v>23.359,90</v>
      </c>
      <c r="L2883" s="6" t="str">
        <f>"5.839,98"</f>
        <v>5.839,98</v>
      </c>
      <c r="M2883" s="6" t="str">
        <f>"29.199,88"</f>
        <v>29.199,88</v>
      </c>
      <c r="N2883" s="8" t="s">
        <v>2717</v>
      </c>
      <c r="O2883" s="7"/>
      <c r="P2883" s="2" t="s">
        <v>7189</v>
      </c>
      <c r="Q2883" s="7"/>
      <c r="R2883" s="1"/>
      <c r="S2883" s="1" t="str">
        <f>"J-UN-2021-385"</f>
        <v>J-UN-2021-385</v>
      </c>
      <c r="T2883" s="1" t="s">
        <v>32</v>
      </c>
    </row>
    <row r="2884" spans="1:20" ht="51" x14ac:dyDescent="0.25">
      <c r="A2884" s="6">
        <v>2878</v>
      </c>
      <c r="B2884" s="1" t="str">
        <f>"2021-1111"</f>
        <v>2021-1111</v>
      </c>
      <c r="C2884" s="1" t="s">
        <v>2718</v>
      </c>
      <c r="D2884" s="1" t="s">
        <v>1102</v>
      </c>
      <c r="E2884" s="1" t="str">
        <f>""</f>
        <v/>
      </c>
      <c r="F2884" s="1" t="s">
        <v>1860</v>
      </c>
      <c r="G2884" s="1" t="str">
        <f>CONCATENATE(" ITM D.O.O.,"," TRAKOŠĆANSKA 2,"," 10000 ZAGREB,"," OIB: 59759844999")</f>
        <v xml:space="preserve"> ITM D.O.O., TRAKOŠĆANSKA 2, 10000 ZAGREB, OIB: 59759844999</v>
      </c>
      <c r="H2884" s="7"/>
      <c r="I2884" s="8" t="s">
        <v>974</v>
      </c>
      <c r="J2884" s="8" t="s">
        <v>635</v>
      </c>
      <c r="K2884" s="6" t="str">
        <f>"3.500,00"</f>
        <v>3.500,00</v>
      </c>
      <c r="L2884" s="6" t="str">
        <f>"875,00"</f>
        <v>875,00</v>
      </c>
      <c r="M2884" s="6" t="str">
        <f>"4.375,00"</f>
        <v>4.375,00</v>
      </c>
      <c r="N2884" s="8" t="s">
        <v>79</v>
      </c>
      <c r="O2884" s="7"/>
      <c r="P2884" s="2" t="s">
        <v>7190</v>
      </c>
      <c r="Q2884" s="1"/>
      <c r="R2884" s="1"/>
      <c r="S2884" s="1" t="str">
        <f>"J-UN-2021-386"</f>
        <v>J-UN-2021-386</v>
      </c>
      <c r="T2884" s="1" t="s">
        <v>32</v>
      </c>
    </row>
    <row r="2885" spans="1:20" ht="63.75" x14ac:dyDescent="0.25">
      <c r="A2885" s="6">
        <v>2879</v>
      </c>
      <c r="B2885" s="1" t="str">
        <f>"2021-1568"</f>
        <v>2021-1568</v>
      </c>
      <c r="C2885" s="1" t="s">
        <v>2719</v>
      </c>
      <c r="D2885" s="1" t="s">
        <v>2631</v>
      </c>
      <c r="E2885" s="1" t="str">
        <f>""</f>
        <v/>
      </c>
      <c r="F2885" s="1" t="s">
        <v>1860</v>
      </c>
      <c r="G2885" s="1" t="str">
        <f>CONCATENATE(" NACIONAL NEWS CORPORATION D.O.O.,"," MAKSIMIRSKA 120,"," 10000 ZAGREB,"," OIB: 76663423558")</f>
        <v xml:space="preserve"> NACIONAL NEWS CORPORATION D.O.O., MAKSIMIRSKA 120, 10000 ZAGREB, OIB: 76663423558</v>
      </c>
      <c r="H2885" s="7"/>
      <c r="I2885" s="8" t="s">
        <v>974</v>
      </c>
      <c r="J2885" s="8" t="s">
        <v>635</v>
      </c>
      <c r="K2885" s="6" t="str">
        <f>"85.000,00"</f>
        <v>85.000,00</v>
      </c>
      <c r="L2885" s="6" t="str">
        <f>"21.250,00"</f>
        <v>21.250,00</v>
      </c>
      <c r="M2885" s="6" t="str">
        <f>"106.250,00"</f>
        <v>106.250,00</v>
      </c>
      <c r="N2885" s="7"/>
      <c r="O2885" s="9">
        <v>44371</v>
      </c>
      <c r="P2885" s="2" t="s">
        <v>5614</v>
      </c>
      <c r="Q2885" s="7"/>
      <c r="R2885" s="1"/>
      <c r="S2885" s="1" t="str">
        <f>"J-UN-2021-387"</f>
        <v>J-UN-2021-387</v>
      </c>
      <c r="T2885" s="1" t="s">
        <v>32</v>
      </c>
    </row>
    <row r="2886" spans="1:20" ht="51" x14ac:dyDescent="0.25">
      <c r="A2886" s="6">
        <v>2880</v>
      </c>
      <c r="B2886" s="1" t="str">
        <f>"2021-1019"</f>
        <v>2021-1019</v>
      </c>
      <c r="C2886" s="1" t="s">
        <v>2720</v>
      </c>
      <c r="D2886" s="1" t="s">
        <v>21</v>
      </c>
      <c r="E2886" s="1" t="str">
        <f>""</f>
        <v/>
      </c>
      <c r="F2886" s="1" t="s">
        <v>1860</v>
      </c>
      <c r="G2886" s="1" t="str">
        <f>CONCATENATE(" STAR IMPORT D.O.O.,"," KOVINSKA 5,"," 10090 ZAGREB-SUSEDGRAD,"," OIB: 783122799")</f>
        <v xml:space="preserve"> STAR IMPORT D.O.O., KOVINSKA 5, 10090 ZAGREB-SUSEDGRAD, OIB: 783122799</v>
      </c>
      <c r="H2886" s="7"/>
      <c r="I2886" s="8" t="s">
        <v>2560</v>
      </c>
      <c r="J2886" s="8" t="s">
        <v>404</v>
      </c>
      <c r="K2886" s="6" t="str">
        <f>"24.201,15"</f>
        <v>24.201,15</v>
      </c>
      <c r="L2886" s="6" t="str">
        <f>"6.050,29"</f>
        <v>6.050,29</v>
      </c>
      <c r="M2886" s="6" t="str">
        <f>"30.251,44"</f>
        <v>30.251,44</v>
      </c>
      <c r="N2886" s="8" t="s">
        <v>2114</v>
      </c>
      <c r="O2886" s="7"/>
      <c r="P2886" s="2" t="s">
        <v>7191</v>
      </c>
      <c r="Q2886" s="7"/>
      <c r="R2886" s="1"/>
      <c r="S2886" s="1" t="str">
        <f>"J-UN-2021-388"</f>
        <v>J-UN-2021-388</v>
      </c>
      <c r="T2886" s="1" t="s">
        <v>32</v>
      </c>
    </row>
    <row r="2887" spans="1:20" ht="51" x14ac:dyDescent="0.25">
      <c r="A2887" s="6">
        <v>2881</v>
      </c>
      <c r="B2887" s="1" t="str">
        <f>"2021-1668"</f>
        <v>2021-1668</v>
      </c>
      <c r="C2887" s="1" t="s">
        <v>2721</v>
      </c>
      <c r="D2887" s="1" t="s">
        <v>1438</v>
      </c>
      <c r="E2887" s="1" t="str">
        <f>""</f>
        <v/>
      </c>
      <c r="F2887" s="1" t="s">
        <v>1860</v>
      </c>
      <c r="G2887" s="1" t="str">
        <f>CONCATENATE(" TEŽAK D.O.O.,"," BRUTIJA 16,"," 52470 UMAG (UMAGO),"," OIB: 733523924")</f>
        <v xml:space="preserve"> TEŽAK D.O.O., BRUTIJA 16, 52470 UMAG (UMAGO), OIB: 733523924</v>
      </c>
      <c r="H2887" s="7"/>
      <c r="I2887" s="8" t="s">
        <v>110</v>
      </c>
      <c r="J2887" s="8" t="s">
        <v>487</v>
      </c>
      <c r="K2887" s="6" t="str">
        <f>"23.900,00"</f>
        <v>23.900,00</v>
      </c>
      <c r="L2887" s="6" t="str">
        <f>"5.975,00"</f>
        <v>5.975,00</v>
      </c>
      <c r="M2887" s="6" t="str">
        <f>"29.875,00"</f>
        <v>29.875,00</v>
      </c>
      <c r="N2887" s="8" t="s">
        <v>1923</v>
      </c>
      <c r="O2887" s="7"/>
      <c r="P2887" s="2" t="s">
        <v>7192</v>
      </c>
      <c r="Q2887" s="7"/>
      <c r="R2887" s="1"/>
      <c r="S2887" s="1" t="str">
        <f>"J-UN-2021-392"</f>
        <v>J-UN-2021-392</v>
      </c>
      <c r="T2887" s="1" t="s">
        <v>32</v>
      </c>
    </row>
    <row r="2888" spans="1:20" ht="51" x14ac:dyDescent="0.25">
      <c r="A2888" s="6">
        <v>2882</v>
      </c>
      <c r="B2888" s="1" t="str">
        <f>"2021-1231"</f>
        <v>2021-1231</v>
      </c>
      <c r="C2888" s="1" t="s">
        <v>2618</v>
      </c>
      <c r="D2888" s="1" t="s">
        <v>2619</v>
      </c>
      <c r="E2888" s="1" t="str">
        <f>""</f>
        <v/>
      </c>
      <c r="F2888" s="1" t="s">
        <v>1860</v>
      </c>
      <c r="G2888" s="1" t="str">
        <f>CONCATENATE(" TRA-MONT D.O.O.,"," MILIVOJA MATOŠECA 5,"," 10000 ZAGREB,"," OIB: 05336208843")</f>
        <v xml:space="preserve"> TRA-MONT D.O.O., MILIVOJA MATOŠECA 5, 10000 ZAGREB, OIB: 05336208843</v>
      </c>
      <c r="H2888" s="7"/>
      <c r="I2888" s="8" t="s">
        <v>551</v>
      </c>
      <c r="J2888" s="8" t="s">
        <v>877</v>
      </c>
      <c r="K2888" s="6" t="str">
        <f>"9.141,00"</f>
        <v>9.141,00</v>
      </c>
      <c r="L2888" s="6" t="str">
        <f>"2.285,25"</f>
        <v>2.285,25</v>
      </c>
      <c r="M2888" s="6" t="str">
        <f>"11.426,25"</f>
        <v>11.426,25</v>
      </c>
      <c r="N2888" s="8" t="s">
        <v>1436</v>
      </c>
      <c r="O2888" s="7"/>
      <c r="P2888" s="2" t="s">
        <v>7193</v>
      </c>
      <c r="Q2888" s="7"/>
      <c r="R2888" s="1"/>
      <c r="S2888" s="1" t="str">
        <f>"J-UN-2021-394"</f>
        <v>J-UN-2021-394</v>
      </c>
      <c r="T2888" s="1" t="s">
        <v>32</v>
      </c>
    </row>
    <row r="2889" spans="1:20" ht="63.75" x14ac:dyDescent="0.25">
      <c r="A2889" s="6">
        <v>2883</v>
      </c>
      <c r="B2889" s="1" t="str">
        <f>"2021-192"</f>
        <v>2021-192</v>
      </c>
      <c r="C2889" s="1" t="s">
        <v>2722</v>
      </c>
      <c r="D2889" s="1" t="s">
        <v>689</v>
      </c>
      <c r="E2889" s="1" t="str">
        <f>""</f>
        <v/>
      </c>
      <c r="F2889" s="1" t="s">
        <v>1860</v>
      </c>
      <c r="G2889" s="1" t="str">
        <f>CONCATENATE(" NARODNE NOVINE D.D.,"," SAVSKI GAJ XIII. PUT br. 6,"," 10000 ZAGREB,"," OIB: 64546066176")</f>
        <v xml:space="preserve"> NARODNE NOVINE D.D., SAVSKI GAJ XIII. PUT br. 6, 10000 ZAGREB, OIB: 64546066176</v>
      </c>
      <c r="H2889" s="7"/>
      <c r="I2889" s="8" t="s">
        <v>79</v>
      </c>
      <c r="J2889" s="8" t="s">
        <v>898</v>
      </c>
      <c r="K2889" s="6" t="str">
        <f>"7.000,00"</f>
        <v>7.000,00</v>
      </c>
      <c r="L2889" s="6" t="str">
        <f>"1.750,00"</f>
        <v>1.750,00</v>
      </c>
      <c r="M2889" s="6" t="str">
        <f>"8.750,00"</f>
        <v>8.750,00</v>
      </c>
      <c r="N2889" s="8" t="s">
        <v>108</v>
      </c>
      <c r="O2889" s="7"/>
      <c r="P2889" s="2" t="s">
        <v>6588</v>
      </c>
      <c r="Q2889" s="7"/>
      <c r="R2889" s="1"/>
      <c r="S2889" s="1" t="str">
        <f>"J-UN-2021-398"</f>
        <v>J-UN-2021-398</v>
      </c>
      <c r="T2889" s="1" t="s">
        <v>32</v>
      </c>
    </row>
    <row r="2890" spans="1:20" ht="76.5" x14ac:dyDescent="0.25">
      <c r="A2890" s="6">
        <v>2884</v>
      </c>
      <c r="B2890" s="1" t="str">
        <f>"2021-1769"</f>
        <v>2021-1769</v>
      </c>
      <c r="C2890" s="1" t="s">
        <v>2723</v>
      </c>
      <c r="D2890" s="1" t="s">
        <v>2724</v>
      </c>
      <c r="E2890" s="1" t="str">
        <f>""</f>
        <v/>
      </c>
      <c r="F2890" s="1" t="s">
        <v>1860</v>
      </c>
      <c r="G2890" s="1" t="str">
        <f>CONCATENATE(" SVEUČILIŠTE U ZAGREBU - VETERINARSKI FAKULTET,"," HEINZELOVA 55,"," 10000 ZAGREB,"," OIB: 36389528408")</f>
        <v xml:space="preserve"> SVEUČILIŠTE U ZAGREBU - VETERINARSKI FAKULTET, HEINZELOVA 55, 10000 ZAGREB, OIB: 36389528408</v>
      </c>
      <c r="H2890" s="7"/>
      <c r="I2890" s="8" t="s">
        <v>1298</v>
      </c>
      <c r="J2890" s="8" t="s">
        <v>521</v>
      </c>
      <c r="K2890" s="6" t="str">
        <f>"20.000,00"</f>
        <v>20.000,00</v>
      </c>
      <c r="L2890" s="6" t="str">
        <f>"5.000,00"</f>
        <v>5.000,00</v>
      </c>
      <c r="M2890" s="6" t="str">
        <f>"25.000,00"</f>
        <v>25.000,00</v>
      </c>
      <c r="N2890" s="8" t="s">
        <v>2725</v>
      </c>
      <c r="O2890" s="7"/>
      <c r="P2890" s="2" t="s">
        <v>7194</v>
      </c>
      <c r="Q2890" s="7"/>
      <c r="R2890" s="1"/>
      <c r="S2890" s="1" t="str">
        <f>"J-UN-2021-400"</f>
        <v>J-UN-2021-400</v>
      </c>
      <c r="T2890" s="1" t="s">
        <v>32</v>
      </c>
    </row>
    <row r="2891" spans="1:20" ht="63.75" x14ac:dyDescent="0.25">
      <c r="A2891" s="6">
        <v>2885</v>
      </c>
      <c r="B2891" s="1" t="str">
        <f>"2021-183"</f>
        <v>2021-183</v>
      </c>
      <c r="C2891" s="1" t="s">
        <v>2726</v>
      </c>
      <c r="D2891" s="1" t="s">
        <v>689</v>
      </c>
      <c r="E2891" s="1" t="str">
        <f>""</f>
        <v/>
      </c>
      <c r="F2891" s="1" t="s">
        <v>1860</v>
      </c>
      <c r="G2891" s="1" t="str">
        <f>CONCATENATE(" KEMOBOJA-DUBRAVA D.O.O.,"," AVENIJA DUBRAVA 37,"," 10000 ZAGREB,"," OIB: 6402157427")</f>
        <v xml:space="preserve"> KEMOBOJA-DUBRAVA D.O.O., AVENIJA DUBRAVA 37, 10000 ZAGREB, OIB: 6402157427</v>
      </c>
      <c r="H2891" s="7"/>
      <c r="I2891" s="8" t="s">
        <v>79</v>
      </c>
      <c r="J2891" s="8" t="s">
        <v>898</v>
      </c>
      <c r="K2891" s="6" t="str">
        <f>"1.320,00"</f>
        <v>1.320,00</v>
      </c>
      <c r="L2891" s="6" t="str">
        <f>"330,00"</f>
        <v>330,00</v>
      </c>
      <c r="M2891" s="6" t="str">
        <f>"1.650,00"</f>
        <v>1.650,00</v>
      </c>
      <c r="N2891" s="8" t="s">
        <v>2725</v>
      </c>
      <c r="O2891" s="7"/>
      <c r="P2891" s="2" t="s">
        <v>6784</v>
      </c>
      <c r="Q2891" s="7"/>
      <c r="R2891" s="1"/>
      <c r="S2891" s="1" t="str">
        <f>"J-UN-2021-401"</f>
        <v>J-UN-2021-401</v>
      </c>
      <c r="T2891" s="1" t="s">
        <v>32</v>
      </c>
    </row>
    <row r="2892" spans="1:20" ht="51" x14ac:dyDescent="0.25">
      <c r="A2892" s="6">
        <v>2886</v>
      </c>
      <c r="B2892" s="1" t="str">
        <f>"2021-627"</f>
        <v>2021-627</v>
      </c>
      <c r="C2892" s="1" t="s">
        <v>2727</v>
      </c>
      <c r="D2892" s="1" t="s">
        <v>794</v>
      </c>
      <c r="E2892" s="1" t="str">
        <f>""</f>
        <v/>
      </c>
      <c r="F2892" s="1" t="s">
        <v>1860</v>
      </c>
      <c r="G2892" s="1" t="str">
        <f>CONCATENATE(" TAHOGRAF D.O.O.,"," DR. FRANJE TUĐMANA 24,"," 10431 SVETA NEDELJA,"," OIB: 73777060562")</f>
        <v xml:space="preserve"> TAHOGRAF D.O.O., DR. FRANJE TUĐMANA 24, 10431 SVETA NEDELJA, OIB: 73777060562</v>
      </c>
      <c r="H2892" s="7"/>
      <c r="I2892" s="8" t="s">
        <v>1298</v>
      </c>
      <c r="J2892" s="8" t="s">
        <v>521</v>
      </c>
      <c r="K2892" s="6" t="str">
        <f>"4.598,00"</f>
        <v>4.598,00</v>
      </c>
      <c r="L2892" s="6" t="str">
        <f>"1.149,50"</f>
        <v>1.149,50</v>
      </c>
      <c r="M2892" s="6" t="str">
        <f>"5.747,50"</f>
        <v>5.747,50</v>
      </c>
      <c r="N2892" s="8" t="s">
        <v>1230</v>
      </c>
      <c r="O2892" s="7"/>
      <c r="P2892" s="2" t="s">
        <v>7195</v>
      </c>
      <c r="Q2892" s="7"/>
      <c r="R2892" s="1"/>
      <c r="S2892" s="1" t="str">
        <f>"J-UN-2021-402"</f>
        <v>J-UN-2021-402</v>
      </c>
      <c r="T2892" s="1" t="s">
        <v>32</v>
      </c>
    </row>
    <row r="2893" spans="1:20" ht="51" x14ac:dyDescent="0.25">
      <c r="A2893" s="6">
        <v>2887</v>
      </c>
      <c r="B2893" s="1" t="str">
        <f>"2021-1305"</f>
        <v>2021-1305</v>
      </c>
      <c r="C2893" s="1" t="s">
        <v>2728</v>
      </c>
      <c r="D2893" s="1" t="s">
        <v>2729</v>
      </c>
      <c r="E2893" s="1" t="str">
        <f>""</f>
        <v/>
      </c>
      <c r="F2893" s="1" t="s">
        <v>1860</v>
      </c>
      <c r="G2893" s="1" t="str">
        <f>CONCATENATE(" ADRIA NORMA D.O.O.,"," VUKOVARSKA 284D,"," 10000 ZAGREB,"," OIB: 80109305109")</f>
        <v xml:space="preserve"> ADRIA NORMA D.O.O., VUKOVARSKA 284D, 10000 ZAGREB, OIB: 80109305109</v>
      </c>
      <c r="H2893" s="7"/>
      <c r="I2893" s="8" t="s">
        <v>79</v>
      </c>
      <c r="J2893" s="8" t="s">
        <v>898</v>
      </c>
      <c r="K2893" s="6" t="str">
        <f>"47.000,00"</f>
        <v>47.000,00</v>
      </c>
      <c r="L2893" s="6" t="str">
        <f>"11.750,00"</f>
        <v>11.750,00</v>
      </c>
      <c r="M2893" s="6" t="str">
        <f>"58.750,00"</f>
        <v>58.750,00</v>
      </c>
      <c r="N2893" s="8" t="s">
        <v>2629</v>
      </c>
      <c r="O2893" s="7"/>
      <c r="P2893" s="2" t="s">
        <v>7196</v>
      </c>
      <c r="Q2893" s="7"/>
      <c r="R2893" s="1"/>
      <c r="S2893" s="1" t="str">
        <f>"J-UN-2021-403"</f>
        <v>J-UN-2021-403</v>
      </c>
      <c r="T2893" s="1" t="s">
        <v>32</v>
      </c>
    </row>
    <row r="2894" spans="1:20" ht="63.75" x14ac:dyDescent="0.25">
      <c r="A2894" s="6">
        <v>2888</v>
      </c>
      <c r="B2894" s="1" t="str">
        <f>"2021-315"</f>
        <v>2021-315</v>
      </c>
      <c r="C2894" s="1" t="s">
        <v>2706</v>
      </c>
      <c r="D2894" s="1" t="s">
        <v>1334</v>
      </c>
      <c r="E2894" s="1" t="str">
        <f>""</f>
        <v/>
      </c>
      <c r="F2894" s="1" t="s">
        <v>1860</v>
      </c>
      <c r="G2894" s="1" t="str">
        <f>CONCATENATE(" KEMOBOJA-DUBRAVA D.O.O.,"," AVENIJA DUBRAVA 37,"," 10000 ZAGREB,"," OIB: 6402157427")</f>
        <v xml:space="preserve"> KEMOBOJA-DUBRAVA D.O.O., AVENIJA DUBRAVA 37, 10000 ZAGREB, OIB: 6402157427</v>
      </c>
      <c r="H2894" s="7"/>
      <c r="I2894" s="8" t="s">
        <v>79</v>
      </c>
      <c r="J2894" s="8" t="s">
        <v>898</v>
      </c>
      <c r="K2894" s="6" t="str">
        <f>"1.748,20"</f>
        <v>1.748,20</v>
      </c>
      <c r="L2894" s="6" t="str">
        <f>"437,05"</f>
        <v>437,05</v>
      </c>
      <c r="M2894" s="6" t="str">
        <f>"2.185,25"</f>
        <v>2.185,25</v>
      </c>
      <c r="N2894" s="8" t="s">
        <v>1904</v>
      </c>
      <c r="O2894" s="7"/>
      <c r="P2894" s="2" t="s">
        <v>7197</v>
      </c>
      <c r="Q2894" s="7"/>
      <c r="R2894" s="1"/>
      <c r="S2894" s="1" t="str">
        <f>"J-UN-2021-406"</f>
        <v>J-UN-2021-406</v>
      </c>
      <c r="T2894" s="1" t="s">
        <v>32</v>
      </c>
    </row>
    <row r="2895" spans="1:20" ht="51" x14ac:dyDescent="0.25">
      <c r="A2895" s="6">
        <v>2889</v>
      </c>
      <c r="B2895" s="1" t="str">
        <f>"2021-317"</f>
        <v>2021-317</v>
      </c>
      <c r="C2895" s="1" t="s">
        <v>2730</v>
      </c>
      <c r="D2895" s="1" t="s">
        <v>1203</v>
      </c>
      <c r="E2895" s="1" t="str">
        <f>""</f>
        <v/>
      </c>
      <c r="F2895" s="1" t="s">
        <v>1860</v>
      </c>
      <c r="G2895" s="1" t="str">
        <f>CONCATENATE(" PRO-TEHNA D.O.O.,"," MAKSIMIRSKA 64,"," 10000 ZAGREB,"," OIB: 88951687357")</f>
        <v xml:space="preserve"> PRO-TEHNA D.O.O., MAKSIMIRSKA 64, 10000 ZAGREB, OIB: 88951687357</v>
      </c>
      <c r="H2895" s="7"/>
      <c r="I2895" s="8" t="s">
        <v>79</v>
      </c>
      <c r="J2895" s="8" t="s">
        <v>898</v>
      </c>
      <c r="K2895" s="6" t="str">
        <f>"59.600,00"</f>
        <v>59.600,00</v>
      </c>
      <c r="L2895" s="6" t="str">
        <f>"14.900,00"</f>
        <v>14.900,00</v>
      </c>
      <c r="M2895" s="6" t="str">
        <f>"74.500,00"</f>
        <v>74.500,00</v>
      </c>
      <c r="N2895" s="8" t="s">
        <v>48</v>
      </c>
      <c r="O2895" s="7"/>
      <c r="P2895" s="2" t="s">
        <v>7198</v>
      </c>
      <c r="Q2895" s="7"/>
      <c r="R2895" s="1"/>
      <c r="S2895" s="1" t="str">
        <f>"J-UN-2021-408"</f>
        <v>J-UN-2021-408</v>
      </c>
      <c r="T2895" s="1" t="s">
        <v>32</v>
      </c>
    </row>
    <row r="2896" spans="1:20" ht="51" x14ac:dyDescent="0.25">
      <c r="A2896" s="6">
        <v>2890</v>
      </c>
      <c r="B2896" s="1" t="str">
        <f>"2021-463"</f>
        <v>2021-463</v>
      </c>
      <c r="C2896" s="1" t="s">
        <v>2600</v>
      </c>
      <c r="D2896" s="1" t="s">
        <v>2601</v>
      </c>
      <c r="E2896" s="1" t="str">
        <f>""</f>
        <v/>
      </c>
      <c r="F2896" s="1" t="s">
        <v>1860</v>
      </c>
      <c r="G2896" s="1" t="str">
        <f>CONCATENATE(" PRO-TEHNA D.O.O.,"," MAKSIMIRSKA 64,"," 10000 ZAGREB,"," OIB: 88951687357")</f>
        <v xml:space="preserve"> PRO-TEHNA D.O.O., MAKSIMIRSKA 64, 10000 ZAGREB, OIB: 88951687357</v>
      </c>
      <c r="H2896" s="7"/>
      <c r="I2896" s="8" t="s">
        <v>79</v>
      </c>
      <c r="J2896" s="8" t="s">
        <v>898</v>
      </c>
      <c r="K2896" s="6" t="str">
        <f>"8.990,00"</f>
        <v>8.990,00</v>
      </c>
      <c r="L2896" s="6" t="str">
        <f>"2.247,50"</f>
        <v>2.247,50</v>
      </c>
      <c r="M2896" s="6" t="str">
        <f>"11.237,50"</f>
        <v>11.237,50</v>
      </c>
      <c r="N2896" s="8" t="s">
        <v>2725</v>
      </c>
      <c r="O2896" s="7"/>
      <c r="P2896" s="2" t="s">
        <v>7199</v>
      </c>
      <c r="Q2896" s="7"/>
      <c r="R2896" s="1"/>
      <c r="S2896" s="1" t="str">
        <f>"J-UN-2021-409"</f>
        <v>J-UN-2021-409</v>
      </c>
      <c r="T2896" s="1" t="s">
        <v>32</v>
      </c>
    </row>
    <row r="2897" spans="1:20" ht="51" x14ac:dyDescent="0.25">
      <c r="A2897" s="6">
        <v>2891</v>
      </c>
      <c r="B2897" s="1" t="str">
        <f>"2021-221"</f>
        <v>2021-221</v>
      </c>
      <c r="C2897" s="1" t="s">
        <v>2692</v>
      </c>
      <c r="D2897" s="1" t="s">
        <v>2693</v>
      </c>
      <c r="E2897" s="1" t="str">
        <f>""</f>
        <v/>
      </c>
      <c r="F2897" s="1" t="s">
        <v>1860</v>
      </c>
      <c r="G2897" s="1" t="str">
        <f>CONCATENATE(" COMET D.O.O.,"," VARAŽDINSKA 40/C,"," 42220 NOVI MAROF,"," OIB: 48249084626")</f>
        <v xml:space="preserve"> COMET D.O.O., VARAŽDINSKA 40/C, 42220 NOVI MAROF, OIB: 48249084626</v>
      </c>
      <c r="H2897" s="7"/>
      <c r="I2897" s="8" t="s">
        <v>79</v>
      </c>
      <c r="J2897" s="8" t="s">
        <v>898</v>
      </c>
      <c r="K2897" s="6" t="str">
        <f>"6.399,60"</f>
        <v>6.399,60</v>
      </c>
      <c r="L2897" s="6" t="str">
        <f>"1.599,90"</f>
        <v>1.599,90</v>
      </c>
      <c r="M2897" s="6" t="str">
        <f>"7.999,50"</f>
        <v>7.999,50</v>
      </c>
      <c r="N2897" s="8" t="s">
        <v>909</v>
      </c>
      <c r="O2897" s="7"/>
      <c r="P2897" s="2" t="s">
        <v>7200</v>
      </c>
      <c r="Q2897" s="1" t="s">
        <v>5601</v>
      </c>
      <c r="R2897" s="1"/>
      <c r="S2897" s="1" t="str">
        <f>"J-UN-2021-410"</f>
        <v>J-UN-2021-410</v>
      </c>
      <c r="T2897" s="1" t="s">
        <v>32</v>
      </c>
    </row>
    <row r="2898" spans="1:20" ht="63.75" x14ac:dyDescent="0.25">
      <c r="A2898" s="6">
        <v>2892</v>
      </c>
      <c r="B2898" s="1" t="str">
        <f>"2021-80"</f>
        <v>2021-80</v>
      </c>
      <c r="C2898" s="1" t="s">
        <v>2731</v>
      </c>
      <c r="D2898" s="1" t="s">
        <v>2732</v>
      </c>
      <c r="E2898" s="1" t="str">
        <f>""</f>
        <v/>
      </c>
      <c r="F2898" s="1" t="s">
        <v>1860</v>
      </c>
      <c r="G2898" s="1" t="str">
        <f>CONCATENATE(" KEMOBOJA-DUBRAVA D.O.O.,"," AVENIJA DUBRAVA 37,"," 10000 ZAGREB,"," OIB: 6402157427")</f>
        <v xml:space="preserve"> KEMOBOJA-DUBRAVA D.O.O., AVENIJA DUBRAVA 37, 10000 ZAGREB, OIB: 6402157427</v>
      </c>
      <c r="H2898" s="7"/>
      <c r="I2898" s="8" t="s">
        <v>440</v>
      </c>
      <c r="J2898" s="8" t="s">
        <v>57</v>
      </c>
      <c r="K2898" s="6" t="str">
        <f>"2.304,00"</f>
        <v>2.304,00</v>
      </c>
      <c r="L2898" s="6" t="str">
        <f>"576,00"</f>
        <v>576,00</v>
      </c>
      <c r="M2898" s="6" t="str">
        <f>"2.880,00"</f>
        <v>2.880,00</v>
      </c>
      <c r="N2898" s="8" t="s">
        <v>1129</v>
      </c>
      <c r="O2898" s="7"/>
      <c r="P2898" s="2" t="s">
        <v>7201</v>
      </c>
      <c r="Q2898" s="7"/>
      <c r="R2898" s="1"/>
      <c r="S2898" s="1" t="str">
        <f>"J-UN-2021-413"</f>
        <v>J-UN-2021-413</v>
      </c>
      <c r="T2898" s="1" t="s">
        <v>32</v>
      </c>
    </row>
    <row r="2899" spans="1:20" ht="51" x14ac:dyDescent="0.25">
      <c r="A2899" s="6">
        <v>2893</v>
      </c>
      <c r="B2899" s="1" t="str">
        <f>"2021-981"</f>
        <v>2021-981</v>
      </c>
      <c r="C2899" s="1" t="s">
        <v>2615</v>
      </c>
      <c r="D2899" s="1" t="s">
        <v>999</v>
      </c>
      <c r="E2899" s="1" t="str">
        <f>""</f>
        <v/>
      </c>
      <c r="F2899" s="1" t="s">
        <v>1860</v>
      </c>
      <c r="G2899" s="1" t="str">
        <f>CONCATENATE(" INSAKO D.O.O.,"," PUŽEVA 11,"," 10000 ZAGREB,"," OIB: 39851720584")</f>
        <v xml:space="preserve"> INSAKO D.O.O., PUŽEVA 11, 10000 ZAGREB, OIB: 39851720584</v>
      </c>
      <c r="H2899" s="7"/>
      <c r="I2899" s="8" t="s">
        <v>110</v>
      </c>
      <c r="J2899" s="8" t="s">
        <v>487</v>
      </c>
      <c r="K2899" s="6" t="str">
        <f>"4.439,00"</f>
        <v>4.439,00</v>
      </c>
      <c r="L2899" s="6" t="str">
        <f>"1.109,75"</f>
        <v>1.109,75</v>
      </c>
      <c r="M2899" s="6" t="str">
        <f>"5.548,75"</f>
        <v>5.548,75</v>
      </c>
      <c r="N2899" s="8" t="s">
        <v>1889</v>
      </c>
      <c r="O2899" s="7"/>
      <c r="P2899" s="2" t="s">
        <v>7202</v>
      </c>
      <c r="Q2899" s="7"/>
      <c r="R2899" s="1"/>
      <c r="S2899" s="1" t="str">
        <f>"J-UN-2021-416"</f>
        <v>J-UN-2021-416</v>
      </c>
      <c r="T2899" s="1" t="s">
        <v>32</v>
      </c>
    </row>
    <row r="2900" spans="1:20" ht="63.75" x14ac:dyDescent="0.25">
      <c r="A2900" s="6">
        <v>2894</v>
      </c>
      <c r="B2900" s="1" t="str">
        <f>"2021-914"</f>
        <v>2021-914</v>
      </c>
      <c r="C2900" s="1" t="s">
        <v>2733</v>
      </c>
      <c r="D2900" s="1" t="s">
        <v>914</v>
      </c>
      <c r="E2900" s="1" t="str">
        <f>""</f>
        <v/>
      </c>
      <c r="F2900" s="1" t="s">
        <v>1860</v>
      </c>
      <c r="G2900" s="1" t="str">
        <f>CONCATENATE(" TOKIĆ D.O.O.,"," ULICA 144. BRIGADE HRVATSKE VOJSKE 1A,"," 10360 SESVETE,"," OIB: 7486748762")</f>
        <v xml:space="preserve"> TOKIĆ D.O.O., ULICA 144. BRIGADE HRVATSKE VOJSKE 1A, 10360 SESVETE, OIB: 7486748762</v>
      </c>
      <c r="H2900" s="7"/>
      <c r="I2900" s="8" t="s">
        <v>79</v>
      </c>
      <c r="J2900" s="8" t="s">
        <v>898</v>
      </c>
      <c r="K2900" s="6" t="str">
        <f>"2.900,00"</f>
        <v>2.900,00</v>
      </c>
      <c r="L2900" s="6" t="str">
        <f>"725,00"</f>
        <v>725,00</v>
      </c>
      <c r="M2900" s="6" t="str">
        <f>"3.625,00"</f>
        <v>3.625,00</v>
      </c>
      <c r="N2900" s="8" t="s">
        <v>533</v>
      </c>
      <c r="O2900" s="7"/>
      <c r="P2900" s="2" t="s">
        <v>7203</v>
      </c>
      <c r="Q2900" s="7"/>
      <c r="R2900" s="1"/>
      <c r="S2900" s="1" t="str">
        <f>"J-UN-2021-417"</f>
        <v>J-UN-2021-417</v>
      </c>
      <c r="T2900" s="1" t="s">
        <v>32</v>
      </c>
    </row>
    <row r="2901" spans="1:20" ht="51" x14ac:dyDescent="0.25">
      <c r="A2901" s="6">
        <v>2895</v>
      </c>
      <c r="B2901" s="1" t="str">
        <f>"2021-99"</f>
        <v>2021-99</v>
      </c>
      <c r="C2901" s="1" t="s">
        <v>2734</v>
      </c>
      <c r="D2901" s="1" t="s">
        <v>2735</v>
      </c>
      <c r="E2901" s="1" t="str">
        <f>""</f>
        <v/>
      </c>
      <c r="F2901" s="1" t="s">
        <v>1860</v>
      </c>
      <c r="G2901" s="1" t="str">
        <f>CONCATENATE(" SCHEDA D.O.O.,"," LJUDEVITA POSAVSKOG 29,"," 10360 SESVETE,"," OIB: 76219817247")</f>
        <v xml:space="preserve"> SCHEDA D.O.O., LJUDEVITA POSAVSKOG 29, 10360 SESVETE, OIB: 76219817247</v>
      </c>
      <c r="H2901" s="7"/>
      <c r="I2901" s="8" t="s">
        <v>2579</v>
      </c>
      <c r="J2901" s="8" t="s">
        <v>2736</v>
      </c>
      <c r="K2901" s="6" t="str">
        <f>"2.708,10"</f>
        <v>2.708,10</v>
      </c>
      <c r="L2901" s="6" t="str">
        <f>"677,03"</f>
        <v>677,03</v>
      </c>
      <c r="M2901" s="6" t="str">
        <f>"3.385,13"</f>
        <v>3.385,13</v>
      </c>
      <c r="N2901" s="8" t="s">
        <v>36</v>
      </c>
      <c r="O2901" s="7"/>
      <c r="P2901" s="2" t="s">
        <v>7204</v>
      </c>
      <c r="Q2901" s="7"/>
      <c r="R2901" s="1"/>
      <c r="S2901" s="1" t="str">
        <f>"J-UN-2021-418"</f>
        <v>J-UN-2021-418</v>
      </c>
      <c r="T2901" s="1" t="s">
        <v>32</v>
      </c>
    </row>
    <row r="2902" spans="1:20" ht="51" x14ac:dyDescent="0.25">
      <c r="A2902" s="6">
        <v>2896</v>
      </c>
      <c r="B2902" s="1" t="str">
        <f>"2021-180"</f>
        <v>2021-180</v>
      </c>
      <c r="C2902" s="1" t="s">
        <v>2737</v>
      </c>
      <c r="D2902" s="1" t="s">
        <v>689</v>
      </c>
      <c r="E2902" s="1" t="str">
        <f>""</f>
        <v/>
      </c>
      <c r="F2902" s="1" t="s">
        <v>1860</v>
      </c>
      <c r="G2902" s="1" t="str">
        <f>CONCATENATE(" PRO-TEHNA D.O.O.,"," MAKSIMIRSKA 64,"," 10000 ZAGREB,"," OIB: 88951687357")</f>
        <v xml:space="preserve"> PRO-TEHNA D.O.O., MAKSIMIRSKA 64, 10000 ZAGREB, OIB: 88951687357</v>
      </c>
      <c r="H2902" s="7"/>
      <c r="I2902" s="8" t="s">
        <v>2579</v>
      </c>
      <c r="J2902" s="8" t="s">
        <v>2736</v>
      </c>
      <c r="K2902" s="6" t="str">
        <f>"5.900,00"</f>
        <v>5.900,00</v>
      </c>
      <c r="L2902" s="6" t="str">
        <f>"1.475,00"</f>
        <v>1.475,00</v>
      </c>
      <c r="M2902" s="6" t="str">
        <f>"7.375,00"</f>
        <v>7.375,00</v>
      </c>
      <c r="N2902" s="8" t="s">
        <v>1889</v>
      </c>
      <c r="O2902" s="7"/>
      <c r="P2902" s="2" t="s">
        <v>7205</v>
      </c>
      <c r="Q2902" s="7"/>
      <c r="R2902" s="1"/>
      <c r="S2902" s="1" t="str">
        <f>"J-UN-2021-419"</f>
        <v>J-UN-2021-419</v>
      </c>
      <c r="T2902" s="1" t="s">
        <v>32</v>
      </c>
    </row>
    <row r="2903" spans="1:20" ht="63.75" x14ac:dyDescent="0.25">
      <c r="A2903" s="6">
        <v>2897</v>
      </c>
      <c r="B2903" s="1" t="str">
        <f>"2021-458"</f>
        <v>2021-458</v>
      </c>
      <c r="C2903" s="1" t="s">
        <v>2738</v>
      </c>
      <c r="D2903" s="1" t="s">
        <v>2739</v>
      </c>
      <c r="E2903" s="1" t="str">
        <f>""</f>
        <v/>
      </c>
      <c r="F2903" s="1" t="s">
        <v>1860</v>
      </c>
      <c r="G2903" s="1" t="str">
        <f>CONCATENATE(" A.M.I. COMMERCE - LOVREKOVIĆ d.o.o.,"," MAKSIMIRSKA 100,"," 10000 ZAGREB,"," OIB: 55326209639")</f>
        <v xml:space="preserve"> A.M.I. COMMERCE - LOVREKOVIĆ d.o.o., MAKSIMIRSKA 100, 10000 ZAGREB, OIB: 55326209639</v>
      </c>
      <c r="H2903" s="7"/>
      <c r="I2903" s="8" t="s">
        <v>2579</v>
      </c>
      <c r="J2903" s="8" t="s">
        <v>2736</v>
      </c>
      <c r="K2903" s="6" t="str">
        <f>"5.443,00"</f>
        <v>5.443,00</v>
      </c>
      <c r="L2903" s="6" t="str">
        <f>"1.360,75"</f>
        <v>1.360,75</v>
      </c>
      <c r="M2903" s="6" t="str">
        <f>"6.803,75"</f>
        <v>6.803,75</v>
      </c>
      <c r="N2903" s="8" t="s">
        <v>1889</v>
      </c>
      <c r="O2903" s="7"/>
      <c r="P2903" s="2" t="s">
        <v>7206</v>
      </c>
      <c r="Q2903" s="7"/>
      <c r="R2903" s="1"/>
      <c r="S2903" s="1" t="str">
        <f>"J-UN-2021-420"</f>
        <v>J-UN-2021-420</v>
      </c>
      <c r="T2903" s="1" t="s">
        <v>32</v>
      </c>
    </row>
    <row r="2904" spans="1:20" ht="51" x14ac:dyDescent="0.25">
      <c r="A2904" s="6">
        <v>2898</v>
      </c>
      <c r="B2904" s="1" t="str">
        <f>"2021-378"</f>
        <v>2021-378</v>
      </c>
      <c r="C2904" s="1" t="s">
        <v>2689</v>
      </c>
      <c r="D2904" s="1" t="s">
        <v>2577</v>
      </c>
      <c r="E2904" s="1" t="str">
        <f>""</f>
        <v/>
      </c>
      <c r="F2904" s="1" t="s">
        <v>1860</v>
      </c>
      <c r="G2904" s="1" t="str">
        <f>CONCATENATE(" TPZ D.O.O.,"," NOVOSELSKA 25,"," 10000 ZAGREB,"," OIB: 68119083236")</f>
        <v xml:space="preserve"> TPZ D.O.O., NOVOSELSKA 25, 10000 ZAGREB, OIB: 68119083236</v>
      </c>
      <c r="H2904" s="7"/>
      <c r="I2904" s="8" t="s">
        <v>551</v>
      </c>
      <c r="J2904" s="8" t="s">
        <v>877</v>
      </c>
      <c r="K2904" s="6" t="str">
        <f>"1.601,16"</f>
        <v>1.601,16</v>
      </c>
      <c r="L2904" s="6" t="str">
        <f>"400,29"</f>
        <v>400,29</v>
      </c>
      <c r="M2904" s="6" t="str">
        <f>"2.001,45"</f>
        <v>2.001,45</v>
      </c>
      <c r="N2904" s="8" t="s">
        <v>440</v>
      </c>
      <c r="O2904" s="7"/>
      <c r="P2904" s="2" t="s">
        <v>7207</v>
      </c>
      <c r="Q2904" s="7"/>
      <c r="R2904" s="1"/>
      <c r="S2904" s="1" t="str">
        <f>"J-UN-2021-421"</f>
        <v>J-UN-2021-421</v>
      </c>
      <c r="T2904" s="1" t="s">
        <v>32</v>
      </c>
    </row>
    <row r="2905" spans="1:20" ht="51" x14ac:dyDescent="0.25">
      <c r="A2905" s="6">
        <v>2899</v>
      </c>
      <c r="B2905" s="1" t="str">
        <f>"2021-431"</f>
        <v>2021-431</v>
      </c>
      <c r="C2905" s="1" t="s">
        <v>2597</v>
      </c>
      <c r="D2905" s="1" t="s">
        <v>2598</v>
      </c>
      <c r="E2905" s="1" t="str">
        <f>""</f>
        <v/>
      </c>
      <c r="F2905" s="1" t="s">
        <v>1860</v>
      </c>
      <c r="G2905" s="1" t="str">
        <f>CONCATENATE(" SCHEDA D.O.O.,"," LJUDEVITA POSAVSKOG 29,"," 10360 SESVETE,"," OIB: 76219817247")</f>
        <v xml:space="preserve"> SCHEDA D.O.O., LJUDEVITA POSAVSKOG 29, 10360 SESVETE, OIB: 76219817247</v>
      </c>
      <c r="H2905" s="7"/>
      <c r="I2905" s="8" t="s">
        <v>2579</v>
      </c>
      <c r="J2905" s="8" t="s">
        <v>2736</v>
      </c>
      <c r="K2905" s="6" t="str">
        <f>"958,00"</f>
        <v>958,00</v>
      </c>
      <c r="L2905" s="6" t="str">
        <f>"239,50"</f>
        <v>239,50</v>
      </c>
      <c r="M2905" s="6" t="str">
        <f>"1.197,50"</f>
        <v>1.197,50</v>
      </c>
      <c r="N2905" s="8" t="s">
        <v>36</v>
      </c>
      <c r="O2905" s="7"/>
      <c r="P2905" s="2" t="s">
        <v>7122</v>
      </c>
      <c r="Q2905" s="7"/>
      <c r="R2905" s="1"/>
      <c r="S2905" s="1" t="str">
        <f>"J-UN-2021-422"</f>
        <v>J-UN-2021-422</v>
      </c>
      <c r="T2905" s="1" t="s">
        <v>32</v>
      </c>
    </row>
    <row r="2906" spans="1:20" ht="51" x14ac:dyDescent="0.25">
      <c r="A2906" s="6">
        <v>2900</v>
      </c>
      <c r="B2906" s="1" t="str">
        <f>"2021-169"</f>
        <v>2021-169</v>
      </c>
      <c r="C2906" s="1" t="s">
        <v>2620</v>
      </c>
      <c r="D2906" s="1" t="s">
        <v>665</v>
      </c>
      <c r="E2906" s="1" t="str">
        <f>""</f>
        <v/>
      </c>
      <c r="F2906" s="1" t="s">
        <v>1860</v>
      </c>
      <c r="G2906" s="1" t="str">
        <f>CONCATENATE(" OPREMA VRBOVEC D.O.O.,"," MATIJE GUPCA 4,"," 10340 VRBOVEC,"," OIB: 68165629996")</f>
        <v xml:space="preserve"> OPREMA VRBOVEC D.O.O., MATIJE GUPCA 4, 10340 VRBOVEC, OIB: 68165629996</v>
      </c>
      <c r="H2906" s="7"/>
      <c r="I2906" s="8" t="s">
        <v>2579</v>
      </c>
      <c r="J2906" s="8" t="s">
        <v>2736</v>
      </c>
      <c r="K2906" s="6" t="str">
        <f>"5.250,00"</f>
        <v>5.250,00</v>
      </c>
      <c r="L2906" s="6" t="str">
        <f>"1.312,50"</f>
        <v>1.312,50</v>
      </c>
      <c r="M2906" s="6" t="str">
        <f>"6.562,50"</f>
        <v>6.562,50</v>
      </c>
      <c r="N2906" s="8" t="s">
        <v>2740</v>
      </c>
      <c r="O2906" s="7"/>
      <c r="P2906" s="2" t="s">
        <v>7208</v>
      </c>
      <c r="Q2906" s="7"/>
      <c r="R2906" s="1"/>
      <c r="S2906" s="1" t="str">
        <f>"J-UN-2021-423"</f>
        <v>J-UN-2021-423</v>
      </c>
      <c r="T2906" s="1" t="s">
        <v>32</v>
      </c>
    </row>
    <row r="2907" spans="1:20" ht="63.75" x14ac:dyDescent="0.25">
      <c r="A2907" s="6">
        <v>2901</v>
      </c>
      <c r="B2907" s="1" t="str">
        <f>"2021-489"</f>
        <v>2021-489</v>
      </c>
      <c r="C2907" s="1" t="s">
        <v>2741</v>
      </c>
      <c r="D2907" s="1" t="s">
        <v>2742</v>
      </c>
      <c r="E2907" s="1" t="str">
        <f>""</f>
        <v/>
      </c>
      <c r="F2907" s="1" t="s">
        <v>1860</v>
      </c>
      <c r="G2907" s="1" t="str">
        <f>CONCATENATE(" ELEKTRO-KOMUNIKACIJE D.O.O.,"," 14. PODBREŽJE 4,"," 10000 ZAGREB,"," OIB: 76412373309")</f>
        <v xml:space="preserve"> ELEKTRO-KOMUNIKACIJE D.O.O., 14. PODBREŽJE 4, 10000 ZAGREB, OIB: 76412373309</v>
      </c>
      <c r="H2907" s="7"/>
      <c r="I2907" s="8" t="s">
        <v>2579</v>
      </c>
      <c r="J2907" s="8" t="s">
        <v>2736</v>
      </c>
      <c r="K2907" s="6" t="str">
        <f>"1.400,00"</f>
        <v>1.400,00</v>
      </c>
      <c r="L2907" s="6" t="str">
        <f>"350,00"</f>
        <v>350,00</v>
      </c>
      <c r="M2907" s="6" t="str">
        <f>"1.750,00"</f>
        <v>1.750,00</v>
      </c>
      <c r="N2907" s="8" t="s">
        <v>29</v>
      </c>
      <c r="O2907" s="7"/>
      <c r="P2907" s="2" t="s">
        <v>6524</v>
      </c>
      <c r="Q2907" s="7"/>
      <c r="R2907" s="1"/>
      <c r="S2907" s="1" t="str">
        <f>"J-UN-2021-424"</f>
        <v>J-UN-2021-424</v>
      </c>
      <c r="T2907" s="1" t="s">
        <v>32</v>
      </c>
    </row>
    <row r="2908" spans="1:20" ht="51" x14ac:dyDescent="0.25">
      <c r="A2908" s="6">
        <v>2902</v>
      </c>
      <c r="B2908" s="1" t="str">
        <f>"2021-914"</f>
        <v>2021-914</v>
      </c>
      <c r="C2908" s="1" t="s">
        <v>2733</v>
      </c>
      <c r="D2908" s="1" t="s">
        <v>914</v>
      </c>
      <c r="E2908" s="1" t="str">
        <f>""</f>
        <v/>
      </c>
      <c r="F2908" s="1" t="s">
        <v>1860</v>
      </c>
      <c r="G2908" s="1" t="str">
        <f>CONCATENATE(" DROBILEC D.O.O.,"," MATUNOVA 14,"," 10000 ZAGREB,"," OIB: 87772955929")</f>
        <v xml:space="preserve"> DROBILEC D.O.O., MATUNOVA 14, 10000 ZAGREB, OIB: 87772955929</v>
      </c>
      <c r="H2908" s="7"/>
      <c r="I2908" s="8" t="s">
        <v>551</v>
      </c>
      <c r="J2908" s="8" t="s">
        <v>877</v>
      </c>
      <c r="K2908" s="6" t="str">
        <f>"2.578,00"</f>
        <v>2.578,00</v>
      </c>
      <c r="L2908" s="6" t="str">
        <f>"644,50"</f>
        <v>644,50</v>
      </c>
      <c r="M2908" s="6" t="str">
        <f>"3.222,50"</f>
        <v>3.222,50</v>
      </c>
      <c r="N2908" s="8" t="s">
        <v>1889</v>
      </c>
      <c r="O2908" s="7"/>
      <c r="P2908" s="2" t="s">
        <v>7209</v>
      </c>
      <c r="Q2908" s="7"/>
      <c r="R2908" s="1"/>
      <c r="S2908" s="1" t="str">
        <f>"J-UN-2021-425"</f>
        <v>J-UN-2021-425</v>
      </c>
      <c r="T2908" s="1" t="s">
        <v>32</v>
      </c>
    </row>
    <row r="2909" spans="1:20" ht="63.75" x14ac:dyDescent="0.25">
      <c r="A2909" s="6">
        <v>2903</v>
      </c>
      <c r="B2909" s="1" t="str">
        <f>"2021-61"</f>
        <v>2021-61</v>
      </c>
      <c r="C2909" s="1" t="s">
        <v>2743</v>
      </c>
      <c r="D2909" s="1" t="s">
        <v>2744</v>
      </c>
      <c r="E2909" s="1" t="str">
        <f>""</f>
        <v/>
      </c>
      <c r="F2909" s="1" t="s">
        <v>1860</v>
      </c>
      <c r="G2909" s="1" t="str">
        <f>CONCATENATE(" 3 M D.O.O.,"," GORNJE PODOTOČJE,"," ŠKOLSKA 60,"," 10410 VELIKA GORICA,"," OIB: 45975769859")</f>
        <v xml:space="preserve"> 3 M D.O.O., GORNJE PODOTOČJE, ŠKOLSKA 60, 10410 VELIKA GORICA, OIB: 45975769859</v>
      </c>
      <c r="H2909" s="7"/>
      <c r="I2909" s="8" t="s">
        <v>440</v>
      </c>
      <c r="J2909" s="8" t="s">
        <v>57</v>
      </c>
      <c r="K2909" s="6" t="str">
        <f>"9.660,00"</f>
        <v>9.660,00</v>
      </c>
      <c r="L2909" s="6" t="str">
        <f>"2.415,00"</f>
        <v>2.415,00</v>
      </c>
      <c r="M2909" s="6" t="str">
        <f>"12.075,00"</f>
        <v>12.075,00</v>
      </c>
      <c r="N2909" s="8" t="s">
        <v>1129</v>
      </c>
      <c r="O2909" s="7"/>
      <c r="P2909" s="2" t="s">
        <v>7210</v>
      </c>
      <c r="Q2909" s="7"/>
      <c r="R2909" s="1"/>
      <c r="S2909" s="1" t="str">
        <f>"J-UN-2021-427"</f>
        <v>J-UN-2021-427</v>
      </c>
      <c r="T2909" s="1" t="s">
        <v>32</v>
      </c>
    </row>
    <row r="2910" spans="1:20" ht="51" x14ac:dyDescent="0.25">
      <c r="A2910" s="6">
        <v>2904</v>
      </c>
      <c r="B2910" s="1" t="str">
        <f>"2021-317"</f>
        <v>2021-317</v>
      </c>
      <c r="C2910" s="1" t="s">
        <v>2730</v>
      </c>
      <c r="D2910" s="1" t="s">
        <v>1203</v>
      </c>
      <c r="E2910" s="1" t="str">
        <f>""</f>
        <v/>
      </c>
      <c r="F2910" s="1" t="s">
        <v>1860</v>
      </c>
      <c r="G2910" s="1" t="str">
        <f>CONCATENATE(" COMET D.O.O.,"," VARAŽDINSKA 40/C,"," 42220 NOVI MAROF,"," OIB: 48249084626")</f>
        <v xml:space="preserve"> COMET D.O.O., VARAŽDINSKA 40/C, 42220 NOVI MAROF, OIB: 48249084626</v>
      </c>
      <c r="H2910" s="7"/>
      <c r="I2910" s="8" t="s">
        <v>1904</v>
      </c>
      <c r="J2910" s="8" t="s">
        <v>238</v>
      </c>
      <c r="K2910" s="6" t="str">
        <f>"1.148,00"</f>
        <v>1.148,00</v>
      </c>
      <c r="L2910" s="6" t="str">
        <f>"287,00"</f>
        <v>287,00</v>
      </c>
      <c r="M2910" s="6" t="str">
        <f>"1.435,00"</f>
        <v>1.435,00</v>
      </c>
      <c r="N2910" s="8" t="s">
        <v>108</v>
      </c>
      <c r="O2910" s="7"/>
      <c r="P2910" s="2" t="s">
        <v>7211</v>
      </c>
      <c r="Q2910" s="7"/>
      <c r="R2910" s="1"/>
      <c r="S2910" s="1" t="str">
        <f>"J-UN-2021-428"</f>
        <v>J-UN-2021-428</v>
      </c>
      <c r="T2910" s="1" t="s">
        <v>32</v>
      </c>
    </row>
    <row r="2911" spans="1:20" ht="51" x14ac:dyDescent="0.25">
      <c r="A2911" s="6">
        <v>2905</v>
      </c>
      <c r="B2911" s="1" t="str">
        <f>"2021-498"</f>
        <v>2021-498</v>
      </c>
      <c r="C2911" s="1" t="s">
        <v>2699</v>
      </c>
      <c r="D2911" s="1" t="s">
        <v>1888</v>
      </c>
      <c r="E2911" s="1" t="str">
        <f>""</f>
        <v/>
      </c>
      <c r="F2911" s="1" t="s">
        <v>1860</v>
      </c>
      <c r="G2911" s="1" t="str">
        <f>CONCATENATE(" SAFIR D.O.O.,"," HORVAĆANSKA 17,"," 10000 ZAGREB,"," OIB: 33548604975")</f>
        <v xml:space="preserve"> SAFIR D.O.O., HORVAĆANSKA 17, 10000 ZAGREB, OIB: 33548604975</v>
      </c>
      <c r="H2911" s="7"/>
      <c r="I2911" s="8" t="s">
        <v>440</v>
      </c>
      <c r="J2911" s="8" t="s">
        <v>57</v>
      </c>
      <c r="K2911" s="6" t="str">
        <f>"1.786,00"</f>
        <v>1.786,00</v>
      </c>
      <c r="L2911" s="6" t="str">
        <f>"446,50"</f>
        <v>446,50</v>
      </c>
      <c r="M2911" s="6" t="str">
        <f>"2.232,50"</f>
        <v>2.232,50</v>
      </c>
      <c r="N2911" s="8" t="s">
        <v>2725</v>
      </c>
      <c r="O2911" s="7"/>
      <c r="P2911" s="2" t="s">
        <v>7212</v>
      </c>
      <c r="Q2911" s="7"/>
      <c r="R2911" s="1"/>
      <c r="S2911" s="1" t="str">
        <f>"J-UN-2021-429"</f>
        <v>J-UN-2021-429</v>
      </c>
      <c r="T2911" s="1" t="s">
        <v>32</v>
      </c>
    </row>
    <row r="2912" spans="1:20" ht="51" x14ac:dyDescent="0.25">
      <c r="A2912" s="6">
        <v>2906</v>
      </c>
      <c r="B2912" s="1" t="str">
        <f>"2021-232"</f>
        <v>2021-232</v>
      </c>
      <c r="C2912" s="1" t="s">
        <v>2745</v>
      </c>
      <c r="D2912" s="1" t="s">
        <v>700</v>
      </c>
      <c r="E2912" s="1" t="str">
        <f>""</f>
        <v/>
      </c>
      <c r="F2912" s="1" t="s">
        <v>1860</v>
      </c>
      <c r="G2912" s="1" t="str">
        <f>CONCATENATE(" SAFIR D.O.O.,"," HORVAĆANSKA 17,"," 10000 ZAGREB,"," OIB: 33548604975")</f>
        <v xml:space="preserve"> SAFIR D.O.O., HORVAĆANSKA 17, 10000 ZAGREB, OIB: 33548604975</v>
      </c>
      <c r="H2912" s="7"/>
      <c r="I2912" s="8" t="s">
        <v>440</v>
      </c>
      <c r="J2912" s="8" t="s">
        <v>57</v>
      </c>
      <c r="K2912" s="6" t="str">
        <f>"813,00"</f>
        <v>813,00</v>
      </c>
      <c r="L2912" s="6" t="str">
        <f>"203,25"</f>
        <v>203,25</v>
      </c>
      <c r="M2912" s="6" t="str">
        <f>"1.016,25"</f>
        <v>1.016,25</v>
      </c>
      <c r="N2912" s="8" t="s">
        <v>2746</v>
      </c>
      <c r="O2912" s="7"/>
      <c r="P2912" s="2" t="s">
        <v>7213</v>
      </c>
      <c r="Q2912" s="7"/>
      <c r="R2912" s="1"/>
      <c r="S2912" s="1" t="str">
        <f>"J-UN-2021-430"</f>
        <v>J-UN-2021-430</v>
      </c>
      <c r="T2912" s="1" t="s">
        <v>32</v>
      </c>
    </row>
    <row r="2913" spans="1:20" ht="51" x14ac:dyDescent="0.25">
      <c r="A2913" s="6">
        <v>2907</v>
      </c>
      <c r="B2913" s="1" t="str">
        <f>"2021-318"</f>
        <v>2021-318</v>
      </c>
      <c r="C2913" s="1" t="s">
        <v>2608</v>
      </c>
      <c r="D2913" s="1" t="s">
        <v>1203</v>
      </c>
      <c r="E2913" s="1" t="str">
        <f>""</f>
        <v/>
      </c>
      <c r="F2913" s="1" t="s">
        <v>1860</v>
      </c>
      <c r="G2913" s="1" t="str">
        <f>CONCATENATE(" DIATEH D.O.O.,"," HRASTOVIČKA ULICA 33,"," 10250 LUČKO,"," OIB: 36086299082")</f>
        <v xml:space="preserve"> DIATEH D.O.O., HRASTOVIČKA ULICA 33, 10250 LUČKO, OIB: 36086299082</v>
      </c>
      <c r="H2913" s="7"/>
      <c r="I2913" s="8" t="s">
        <v>2746</v>
      </c>
      <c r="J2913" s="8" t="s">
        <v>160</v>
      </c>
      <c r="K2913" s="6" t="str">
        <f>"8.340,00"</f>
        <v>8.340,00</v>
      </c>
      <c r="L2913" s="6" t="str">
        <f>"2.085,00"</f>
        <v>2.085,00</v>
      </c>
      <c r="M2913" s="6" t="str">
        <f>"10.425,00"</f>
        <v>10.425,00</v>
      </c>
      <c r="N2913" s="8" t="s">
        <v>542</v>
      </c>
      <c r="O2913" s="7"/>
      <c r="P2913" s="2" t="s">
        <v>6667</v>
      </c>
      <c r="Q2913" s="7"/>
      <c r="R2913" s="1"/>
      <c r="S2913" s="1" t="str">
        <f>"J-UN-2021-442"</f>
        <v>J-UN-2021-442</v>
      </c>
      <c r="T2913" s="1" t="s">
        <v>32</v>
      </c>
    </row>
    <row r="2914" spans="1:20" ht="51" x14ac:dyDescent="0.25">
      <c r="A2914" s="6">
        <v>2908</v>
      </c>
      <c r="B2914" s="1" t="str">
        <f>"2021-316"</f>
        <v>2021-316</v>
      </c>
      <c r="C2914" s="1" t="s">
        <v>2747</v>
      </c>
      <c r="D2914" s="1" t="s">
        <v>1334</v>
      </c>
      <c r="E2914" s="1" t="str">
        <f>""</f>
        <v/>
      </c>
      <c r="F2914" s="1" t="s">
        <v>1860</v>
      </c>
      <c r="G2914" s="1" t="str">
        <f>CONCATENATE(" AUTOTEHNIKA D.O.O.,"," BRUNE BUŠIĆA 23,"," 10020 ZAGREB,"," OIB: 99404302342")</f>
        <v xml:space="preserve"> AUTOTEHNIKA D.O.O., BRUNE BUŠIĆA 23, 10020 ZAGREB, OIB: 99404302342</v>
      </c>
      <c r="H2914" s="7"/>
      <c r="I2914" s="8" t="s">
        <v>2746</v>
      </c>
      <c r="J2914" s="8" t="s">
        <v>160</v>
      </c>
      <c r="K2914" s="6" t="str">
        <f>"2.487,00"</f>
        <v>2.487,00</v>
      </c>
      <c r="L2914" s="6" t="str">
        <f>"621,75"</f>
        <v>621,75</v>
      </c>
      <c r="M2914" s="6" t="str">
        <f>"3.108,75"</f>
        <v>3.108,75</v>
      </c>
      <c r="N2914" s="8" t="s">
        <v>1129</v>
      </c>
      <c r="O2914" s="7"/>
      <c r="P2914" s="2" t="s">
        <v>7214</v>
      </c>
      <c r="Q2914" s="7"/>
      <c r="R2914" s="1"/>
      <c r="S2914" s="1" t="str">
        <f>"J-UN-2021-443"</f>
        <v>J-UN-2021-443</v>
      </c>
      <c r="T2914" s="1" t="s">
        <v>32</v>
      </c>
    </row>
    <row r="2915" spans="1:20" ht="63.75" x14ac:dyDescent="0.25">
      <c r="A2915" s="6">
        <v>2909</v>
      </c>
      <c r="B2915" s="1" t="str">
        <f>"2021-431"</f>
        <v>2021-431</v>
      </c>
      <c r="C2915" s="1" t="s">
        <v>2597</v>
      </c>
      <c r="D2915" s="1" t="s">
        <v>2598</v>
      </c>
      <c r="E2915" s="1" t="str">
        <f>""</f>
        <v/>
      </c>
      <c r="F2915" s="1" t="s">
        <v>1860</v>
      </c>
      <c r="G2915" s="1" t="str">
        <f>CONCATENATE(" POLJOOPSKRBA-TEHNO D.D.,"," SAMOBORSKA 96,"," 10000 ZAGREB,"," OIB: 5372167324")</f>
        <v xml:space="preserve"> POLJOOPSKRBA-TEHNO D.D., SAMOBORSKA 96, 10000 ZAGREB, OIB: 5372167324</v>
      </c>
      <c r="H2915" s="7"/>
      <c r="I2915" s="8" t="s">
        <v>2746</v>
      </c>
      <c r="J2915" s="8" t="s">
        <v>160</v>
      </c>
      <c r="K2915" s="6" t="str">
        <f>"398,80"</f>
        <v>398,80</v>
      </c>
      <c r="L2915" s="6" t="str">
        <f>"99,70"</f>
        <v>99,70</v>
      </c>
      <c r="M2915" s="6" t="str">
        <f>"498,50"</f>
        <v>498,50</v>
      </c>
      <c r="N2915" s="8" t="s">
        <v>40</v>
      </c>
      <c r="O2915" s="7"/>
      <c r="P2915" s="2" t="s">
        <v>7215</v>
      </c>
      <c r="Q2915" s="7"/>
      <c r="R2915" s="1"/>
      <c r="S2915" s="1" t="str">
        <f>"J-UN-2021-444"</f>
        <v>J-UN-2021-444</v>
      </c>
      <c r="T2915" s="1" t="s">
        <v>32</v>
      </c>
    </row>
    <row r="2916" spans="1:20" ht="51" x14ac:dyDescent="0.25">
      <c r="A2916" s="6">
        <v>2910</v>
      </c>
      <c r="B2916" s="1" t="str">
        <f>"2021-280"</f>
        <v>2021-280</v>
      </c>
      <c r="C2916" s="1" t="s">
        <v>2616</v>
      </c>
      <c r="D2916" s="1" t="s">
        <v>2617</v>
      </c>
      <c r="E2916" s="1" t="str">
        <f>""</f>
        <v/>
      </c>
      <c r="F2916" s="1" t="s">
        <v>1860</v>
      </c>
      <c r="G2916" s="1" t="str">
        <f>CONCATENATE(" SCHEDA D.O.O.,"," LJUDEVITA POSAVSKOG 29,"," 10360 SESVETE,"," OIB: 76219817247")</f>
        <v xml:space="preserve"> SCHEDA D.O.O., LJUDEVITA POSAVSKOG 29, 10360 SESVETE, OIB: 76219817247</v>
      </c>
      <c r="H2916" s="7"/>
      <c r="I2916" s="8" t="s">
        <v>2746</v>
      </c>
      <c r="J2916" s="8" t="s">
        <v>160</v>
      </c>
      <c r="K2916" s="6" t="str">
        <f>"9.910,00"</f>
        <v>9.910,00</v>
      </c>
      <c r="L2916" s="6" t="str">
        <f>"2.477,50"</f>
        <v>2.477,50</v>
      </c>
      <c r="M2916" s="6" t="str">
        <f>"12.387,50"</f>
        <v>12.387,50</v>
      </c>
      <c r="N2916" s="8" t="s">
        <v>2748</v>
      </c>
      <c r="O2916" s="7"/>
      <c r="P2916" s="2" t="s">
        <v>7216</v>
      </c>
      <c r="Q2916" s="1" t="s">
        <v>5601</v>
      </c>
      <c r="R2916" s="1"/>
      <c r="S2916" s="1" t="str">
        <f>"J-UN-2021-445"</f>
        <v>J-UN-2021-445</v>
      </c>
      <c r="T2916" s="1" t="s">
        <v>32</v>
      </c>
    </row>
    <row r="2917" spans="1:20" ht="51" x14ac:dyDescent="0.25">
      <c r="A2917" s="6">
        <v>2911</v>
      </c>
      <c r="B2917" s="1" t="str">
        <f>"2021-478"</f>
        <v>2021-478</v>
      </c>
      <c r="C2917" s="1" t="s">
        <v>2714</v>
      </c>
      <c r="D2917" s="1" t="s">
        <v>619</v>
      </c>
      <c r="E2917" s="1" t="str">
        <f>""</f>
        <v/>
      </c>
      <c r="F2917" s="1" t="s">
        <v>1860</v>
      </c>
      <c r="G2917" s="1" t="str">
        <f>CONCATENATE(" NIACO D.O.O.,"," IVANA KAMENARIĆA 9,"," 10380 SVETI IVAN ZELINA,"," OIB: 61876916009")</f>
        <v xml:space="preserve"> NIACO D.O.O., IVANA KAMENARIĆA 9, 10380 SVETI IVAN ZELINA, OIB: 61876916009</v>
      </c>
      <c r="H2917" s="7"/>
      <c r="I2917" s="8" t="s">
        <v>2746</v>
      </c>
      <c r="J2917" s="8" t="s">
        <v>160</v>
      </c>
      <c r="K2917" s="6" t="str">
        <f>"27.874,00"</f>
        <v>27.874,00</v>
      </c>
      <c r="L2917" s="6" t="str">
        <f>"6.968,50"</f>
        <v>6.968,50</v>
      </c>
      <c r="M2917" s="6" t="str">
        <f>"34.842,50"</f>
        <v>34.842,50</v>
      </c>
      <c r="N2917" s="8" t="s">
        <v>2749</v>
      </c>
      <c r="O2917" s="7"/>
      <c r="P2917" s="2" t="s">
        <v>7217</v>
      </c>
      <c r="Q2917" s="7"/>
      <c r="R2917" s="1"/>
      <c r="S2917" s="1" t="str">
        <f>"J-UN-2021-446"</f>
        <v>J-UN-2021-446</v>
      </c>
      <c r="T2917" s="1" t="s">
        <v>32</v>
      </c>
    </row>
    <row r="2918" spans="1:20" ht="51" x14ac:dyDescent="0.25">
      <c r="A2918" s="6">
        <v>2912</v>
      </c>
      <c r="B2918" s="1" t="str">
        <f>"2021-280"</f>
        <v>2021-280</v>
      </c>
      <c r="C2918" s="1" t="s">
        <v>2616</v>
      </c>
      <c r="D2918" s="1" t="s">
        <v>2617</v>
      </c>
      <c r="E2918" s="1" t="str">
        <f>""</f>
        <v/>
      </c>
      <c r="F2918" s="1" t="s">
        <v>1860</v>
      </c>
      <c r="G2918" s="1" t="str">
        <f>CONCATENATE(" SCHEDA D.O.O.,"," LJUDEVITA POSAVSKOG 29,"," 10360 SESVETE,"," OIB: 76219817247")</f>
        <v xml:space="preserve"> SCHEDA D.O.O., LJUDEVITA POSAVSKOG 29, 10360 SESVETE, OIB: 76219817247</v>
      </c>
      <c r="H2918" s="7"/>
      <c r="I2918" s="8" t="s">
        <v>2746</v>
      </c>
      <c r="J2918" s="8" t="s">
        <v>160</v>
      </c>
      <c r="K2918" s="6" t="str">
        <f>"6.308,01"</f>
        <v>6.308,01</v>
      </c>
      <c r="L2918" s="6" t="str">
        <f>"1.577,00"</f>
        <v>1.577,00</v>
      </c>
      <c r="M2918" s="6" t="str">
        <f>"7.885,01"</f>
        <v>7.885,01</v>
      </c>
      <c r="N2918" s="8" t="s">
        <v>542</v>
      </c>
      <c r="O2918" s="7"/>
      <c r="P2918" s="2" t="s">
        <v>7218</v>
      </c>
      <c r="Q2918" s="7"/>
      <c r="R2918" s="1"/>
      <c r="S2918" s="1" t="str">
        <f>"J-UN-2021-447"</f>
        <v>J-UN-2021-447</v>
      </c>
      <c r="T2918" s="1" t="s">
        <v>32</v>
      </c>
    </row>
    <row r="2919" spans="1:20" ht="51" x14ac:dyDescent="0.25">
      <c r="A2919" s="6">
        <v>2913</v>
      </c>
      <c r="B2919" s="1" t="str">
        <f>"2021-183"</f>
        <v>2021-183</v>
      </c>
      <c r="C2919" s="1" t="s">
        <v>2726</v>
      </c>
      <c r="D2919" s="1" t="s">
        <v>689</v>
      </c>
      <c r="E2919" s="1" t="str">
        <f>""</f>
        <v/>
      </c>
      <c r="F2919" s="1" t="s">
        <v>1860</v>
      </c>
      <c r="G2919" s="1" t="str">
        <f>CONCATENATE(" SCHEDA D.O.O.,"," LJUDEVITA POSAVSKOG 29,"," 10360 SESVETE,"," OIB: 76219817247")</f>
        <v xml:space="preserve"> SCHEDA D.O.O., LJUDEVITA POSAVSKOG 29, 10360 SESVETE, OIB: 76219817247</v>
      </c>
      <c r="H2919" s="7"/>
      <c r="I2919" s="8" t="s">
        <v>2705</v>
      </c>
      <c r="J2919" s="8" t="s">
        <v>372</v>
      </c>
      <c r="K2919" s="6" t="str">
        <f>"34.427,40"</f>
        <v>34.427,40</v>
      </c>
      <c r="L2919" s="6" t="str">
        <f>"8.606,85"</f>
        <v>8.606,85</v>
      </c>
      <c r="M2919" s="6" t="str">
        <f>"43.034,25"</f>
        <v>43.034,25</v>
      </c>
      <c r="N2919" s="8" t="s">
        <v>29</v>
      </c>
      <c r="O2919" s="7"/>
      <c r="P2919" s="2" t="s">
        <v>7219</v>
      </c>
      <c r="Q2919" s="7"/>
      <c r="R2919" s="1"/>
      <c r="S2919" s="1" t="str">
        <f>"J-UN-2021-448"</f>
        <v>J-UN-2021-448</v>
      </c>
      <c r="T2919" s="1" t="s">
        <v>32</v>
      </c>
    </row>
    <row r="2920" spans="1:20" ht="38.25" x14ac:dyDescent="0.25">
      <c r="A2920" s="6">
        <v>2914</v>
      </c>
      <c r="B2920" s="1" t="str">
        <f>"2021-1424"</f>
        <v>2021-1424</v>
      </c>
      <c r="C2920" s="1" t="s">
        <v>2305</v>
      </c>
      <c r="D2920" s="1" t="s">
        <v>2306</v>
      </c>
      <c r="E2920" s="1" t="str">
        <f>""</f>
        <v/>
      </c>
      <c r="F2920" s="1" t="s">
        <v>1860</v>
      </c>
      <c r="G2920" s="1" t="str">
        <f>CONCATENATE(" IVAN ČEVIZOVIĆ J.T.D.,"," ČIKOŠEVA ULICA 5,"," 5 5,"," OIB: 31134973534")</f>
        <v xml:space="preserve"> IVAN ČEVIZOVIĆ J.T.D., ČIKOŠEVA ULICA 5, 5 5, OIB: 31134973534</v>
      </c>
      <c r="H2920" s="7"/>
      <c r="I2920" s="8" t="s">
        <v>110</v>
      </c>
      <c r="J2920" s="8" t="s">
        <v>487</v>
      </c>
      <c r="K2920" s="6" t="str">
        <f>"15.000,00"</f>
        <v>15.000,00</v>
      </c>
      <c r="L2920" s="6" t="str">
        <f>"3.750,00"</f>
        <v>3.750,00</v>
      </c>
      <c r="M2920" s="6" t="str">
        <f>"18.750,00"</f>
        <v>18.750,00</v>
      </c>
      <c r="N2920" s="8" t="s">
        <v>124</v>
      </c>
      <c r="O2920" s="7"/>
      <c r="P2920" s="2" t="s">
        <v>5614</v>
      </c>
      <c r="Q2920" s="7"/>
      <c r="R2920" s="1"/>
      <c r="S2920" s="1" t="str">
        <f>"J-UN-2021-449"</f>
        <v>J-UN-2021-449</v>
      </c>
      <c r="T2920" s="1" t="s">
        <v>32</v>
      </c>
    </row>
    <row r="2921" spans="1:20" ht="51" x14ac:dyDescent="0.25">
      <c r="A2921" s="6">
        <v>2915</v>
      </c>
      <c r="B2921" s="1" t="str">
        <f>"2021-221"</f>
        <v>2021-221</v>
      </c>
      <c r="C2921" s="1" t="s">
        <v>2692</v>
      </c>
      <c r="D2921" s="1" t="s">
        <v>2693</v>
      </c>
      <c r="E2921" s="1" t="str">
        <f>""</f>
        <v/>
      </c>
      <c r="F2921" s="1" t="s">
        <v>1860</v>
      </c>
      <c r="G2921" s="1" t="str">
        <f>CONCATENATE(" COMET D.O.O.,"," VARAŽDINSKA 40/C,"," 42220 NOVI MAROF,"," OIB: 48249084626")</f>
        <v xml:space="preserve"> COMET D.O.O., VARAŽDINSKA 40/C, 42220 NOVI MAROF, OIB: 48249084626</v>
      </c>
      <c r="H2921" s="7"/>
      <c r="I2921" s="8" t="s">
        <v>2705</v>
      </c>
      <c r="J2921" s="8" t="s">
        <v>372</v>
      </c>
      <c r="K2921" s="6" t="str">
        <f>"5.724,00"</f>
        <v>5.724,00</v>
      </c>
      <c r="L2921" s="6" t="str">
        <f>"1.431,00"</f>
        <v>1.431,00</v>
      </c>
      <c r="M2921" s="6" t="str">
        <f>"7.155,00"</f>
        <v>7.155,00</v>
      </c>
      <c r="N2921" s="8" t="s">
        <v>108</v>
      </c>
      <c r="O2921" s="7"/>
      <c r="P2921" s="2" t="s">
        <v>7220</v>
      </c>
      <c r="Q2921" s="7"/>
      <c r="R2921" s="1"/>
      <c r="S2921" s="1" t="str">
        <f>"J-UN-2021-450"</f>
        <v>J-UN-2021-450</v>
      </c>
      <c r="T2921" s="1" t="s">
        <v>32</v>
      </c>
    </row>
    <row r="2922" spans="1:20" ht="63.75" x14ac:dyDescent="0.25">
      <c r="A2922" s="6">
        <v>2916</v>
      </c>
      <c r="B2922" s="1" t="str">
        <f>"2021-310"</f>
        <v>2021-310</v>
      </c>
      <c r="C2922" s="1" t="s">
        <v>2624</v>
      </c>
      <c r="D2922" s="1" t="s">
        <v>1334</v>
      </c>
      <c r="E2922" s="1" t="str">
        <f>""</f>
        <v/>
      </c>
      <c r="F2922" s="1" t="s">
        <v>1860</v>
      </c>
      <c r="G2922" s="1" t="str">
        <f>CONCATENATE(" PRIMAT-LOGISTIKA D.O.O.,"," ZASTAVNICE 11,"," 10251 HRVATSKI LESKOVAC,"," OIB: 64645054565")</f>
        <v xml:space="preserve"> PRIMAT-LOGISTIKA D.O.O., ZASTAVNICE 11, 10251 HRVATSKI LESKOVAC, OIB: 64645054565</v>
      </c>
      <c r="H2922" s="7"/>
      <c r="I2922" s="8" t="s">
        <v>2705</v>
      </c>
      <c r="J2922" s="8" t="s">
        <v>372</v>
      </c>
      <c r="K2922" s="6" t="str">
        <f>"14.300,00"</f>
        <v>14.300,00</v>
      </c>
      <c r="L2922" s="6" t="str">
        <f>"3.575,00"</f>
        <v>3.575,00</v>
      </c>
      <c r="M2922" s="6" t="str">
        <f>"17.875,00"</f>
        <v>17.875,00</v>
      </c>
      <c r="N2922" s="8" t="s">
        <v>280</v>
      </c>
      <c r="O2922" s="7"/>
      <c r="P2922" s="2" t="s">
        <v>7221</v>
      </c>
      <c r="Q2922" s="7"/>
      <c r="R2922" s="1"/>
      <c r="S2922" s="1" t="str">
        <f>"J-UN-2021-451"</f>
        <v>J-UN-2021-451</v>
      </c>
      <c r="T2922" s="1" t="s">
        <v>32</v>
      </c>
    </row>
    <row r="2923" spans="1:20" ht="63.75" x14ac:dyDescent="0.25">
      <c r="A2923" s="6">
        <v>2917</v>
      </c>
      <c r="B2923" s="1" t="str">
        <f>"2021-99"</f>
        <v>2021-99</v>
      </c>
      <c r="C2923" s="1" t="s">
        <v>2734</v>
      </c>
      <c r="D2923" s="1" t="s">
        <v>2735</v>
      </c>
      <c r="E2923" s="1" t="str">
        <f>""</f>
        <v/>
      </c>
      <c r="F2923" s="1" t="s">
        <v>1860</v>
      </c>
      <c r="G2923" s="1" t="str">
        <f>CONCATENATE(" POLJOOPSKRBA-TEHNO D.D.,"," SAMOBORSKA 96,"," 10000 ZAGREB,"," OIB: 5372167324")</f>
        <v xml:space="preserve"> POLJOOPSKRBA-TEHNO D.D., SAMOBORSKA 96, 10000 ZAGREB, OIB: 5372167324</v>
      </c>
      <c r="H2923" s="7"/>
      <c r="I2923" s="8" t="s">
        <v>2705</v>
      </c>
      <c r="J2923" s="8" t="s">
        <v>372</v>
      </c>
      <c r="K2923" s="6" t="str">
        <f>"3.580,00"</f>
        <v>3.580,00</v>
      </c>
      <c r="L2923" s="6" t="str">
        <f>"895,00"</f>
        <v>895,00</v>
      </c>
      <c r="M2923" s="6" t="str">
        <f>"4.475,00"</f>
        <v>4.475,00</v>
      </c>
      <c r="N2923" s="8" t="s">
        <v>2581</v>
      </c>
      <c r="O2923" s="7"/>
      <c r="P2923" s="2" t="s">
        <v>7222</v>
      </c>
      <c r="Q2923" s="7"/>
      <c r="R2923" s="1"/>
      <c r="S2923" s="1" t="str">
        <f>"J-UN-2021-452"</f>
        <v>J-UN-2021-452</v>
      </c>
      <c r="T2923" s="1" t="s">
        <v>32</v>
      </c>
    </row>
    <row r="2924" spans="1:20" ht="76.5" x14ac:dyDescent="0.25">
      <c r="A2924" s="6">
        <v>2918</v>
      </c>
      <c r="B2924" s="1" t="str">
        <f>"2021-1203"</f>
        <v>2021-1203</v>
      </c>
      <c r="C2924" s="1" t="s">
        <v>2750</v>
      </c>
      <c r="D2924" s="1" t="s">
        <v>1627</v>
      </c>
      <c r="E2924" s="1" t="str">
        <f>""</f>
        <v/>
      </c>
      <c r="F2924" s="1" t="s">
        <v>1860</v>
      </c>
      <c r="G2924" s="1" t="str">
        <f>CONCATENATE(" ELICOM D.O.O.,"," ŠTEFANOVEC 138,"," 10000 ZAGREB,"," OIB: 76370234816")</f>
        <v xml:space="preserve"> ELICOM D.O.O., ŠTEFANOVEC 138, 10000 ZAGREB, OIB: 76370234816</v>
      </c>
      <c r="H2924" s="7"/>
      <c r="I2924" s="8" t="s">
        <v>1436</v>
      </c>
      <c r="J2924" s="8" t="s">
        <v>863</v>
      </c>
      <c r="K2924" s="6" t="str">
        <f>"612,00"</f>
        <v>612,00</v>
      </c>
      <c r="L2924" s="6" t="str">
        <f>"153,00"</f>
        <v>153,00</v>
      </c>
      <c r="M2924" s="6" t="str">
        <f>"765,00"</f>
        <v>765,00</v>
      </c>
      <c r="N2924" s="8" t="s">
        <v>110</v>
      </c>
      <c r="O2924" s="7"/>
      <c r="P2924" s="2" t="s">
        <v>7223</v>
      </c>
      <c r="Q2924" s="7"/>
      <c r="R2924" s="1"/>
      <c r="S2924" s="1" t="str">
        <f>"J-UN-2021-453"</f>
        <v>J-UN-2021-453</v>
      </c>
      <c r="T2924" s="1" t="s">
        <v>32</v>
      </c>
    </row>
    <row r="2925" spans="1:20" ht="63.75" x14ac:dyDescent="0.25">
      <c r="A2925" s="6">
        <v>2919</v>
      </c>
      <c r="B2925" s="1" t="str">
        <f>"2021-1305"</f>
        <v>2021-1305</v>
      </c>
      <c r="C2925" s="1" t="s">
        <v>2728</v>
      </c>
      <c r="D2925" s="1" t="s">
        <v>2729</v>
      </c>
      <c r="E2925" s="1" t="str">
        <f>""</f>
        <v/>
      </c>
      <c r="F2925" s="1" t="s">
        <v>1860</v>
      </c>
      <c r="G2925" s="1" t="str">
        <f>CONCATENATE(" BUREAU VERITAS CROATIA D.O.O.,"," CIOTTINA 17A,"," 51000 RIJEKA,"," OIB: 8279853215")</f>
        <v xml:space="preserve"> BUREAU VERITAS CROATIA D.O.O., CIOTTINA 17A, 51000 RIJEKA, OIB: 8279853215</v>
      </c>
      <c r="H2925" s="7"/>
      <c r="I2925" s="8" t="s">
        <v>1436</v>
      </c>
      <c r="J2925" s="8" t="s">
        <v>863</v>
      </c>
      <c r="K2925" s="6" t="str">
        <f>"26.000,00"</f>
        <v>26.000,00</v>
      </c>
      <c r="L2925" s="6" t="str">
        <f>"6.500,00"</f>
        <v>6.500,00</v>
      </c>
      <c r="M2925" s="6" t="str">
        <f>"32.500,00"</f>
        <v>32.500,00</v>
      </c>
      <c r="N2925" s="8" t="s">
        <v>271</v>
      </c>
      <c r="O2925" s="7"/>
      <c r="P2925" s="2" t="s">
        <v>7224</v>
      </c>
      <c r="Q2925" s="7"/>
      <c r="R2925" s="1"/>
      <c r="S2925" s="1" t="str">
        <f>"J-UN-2021-454"</f>
        <v>J-UN-2021-454</v>
      </c>
      <c r="T2925" s="1" t="s">
        <v>32</v>
      </c>
    </row>
    <row r="2926" spans="1:20" ht="51" x14ac:dyDescent="0.25">
      <c r="A2926" s="6">
        <v>2920</v>
      </c>
      <c r="B2926" s="1" t="str">
        <f>"2021-576"</f>
        <v>2021-576</v>
      </c>
      <c r="C2926" s="1" t="s">
        <v>2561</v>
      </c>
      <c r="D2926" s="1" t="s">
        <v>2156</v>
      </c>
      <c r="E2926" s="1" t="str">
        <f>""</f>
        <v/>
      </c>
      <c r="F2926" s="1" t="s">
        <v>1860</v>
      </c>
      <c r="G2926" s="1" t="str">
        <f>CONCATENATE(" TIP - ZAGREB D.O.O.,"," VINOGRADSKA 34,"," 10431 SVETA NEDELJA,"," OIB: 36198195227")</f>
        <v xml:space="preserve"> TIP - ZAGREB D.O.O., VINOGRADSKA 34, 10431 SVETA NEDELJA, OIB: 36198195227</v>
      </c>
      <c r="H2926" s="7"/>
      <c r="I2926" s="8" t="s">
        <v>1904</v>
      </c>
      <c r="J2926" s="8" t="s">
        <v>238</v>
      </c>
      <c r="K2926" s="6" t="str">
        <f>"10.512,00"</f>
        <v>10.512,00</v>
      </c>
      <c r="L2926" s="6" t="str">
        <f>"2.628,00"</f>
        <v>2.628,00</v>
      </c>
      <c r="M2926" s="6" t="str">
        <f>"13.140,00"</f>
        <v>13.140,00</v>
      </c>
      <c r="N2926" s="8" t="s">
        <v>542</v>
      </c>
      <c r="O2926" s="7"/>
      <c r="P2926" s="2" t="s">
        <v>7225</v>
      </c>
      <c r="Q2926" s="7"/>
      <c r="R2926" s="1"/>
      <c r="S2926" s="1" t="str">
        <f>"J-UN-2021-456"</f>
        <v>J-UN-2021-456</v>
      </c>
      <c r="T2926" s="1" t="s">
        <v>32</v>
      </c>
    </row>
    <row r="2927" spans="1:20" ht="51" x14ac:dyDescent="0.25">
      <c r="A2927" s="6">
        <v>2921</v>
      </c>
      <c r="B2927" s="1" t="str">
        <f>"2021-937"</f>
        <v>2021-937</v>
      </c>
      <c r="C2927" s="1" t="s">
        <v>2751</v>
      </c>
      <c r="D2927" s="1" t="s">
        <v>2752</v>
      </c>
      <c r="E2927" s="1" t="str">
        <f>""</f>
        <v/>
      </c>
      <c r="F2927" s="1" t="s">
        <v>1860</v>
      </c>
      <c r="G2927" s="1" t="str">
        <f>CONCATENATE(" VIKING D.O.O.,"," VIDA DOŠENA 27,"," 10000 ZAGREB,"," OIB: 16476923515")</f>
        <v xml:space="preserve"> VIKING D.O.O., VIDA DOŠENA 27, 10000 ZAGREB, OIB: 16476923515</v>
      </c>
      <c r="H2927" s="7"/>
      <c r="I2927" s="8" t="s">
        <v>1436</v>
      </c>
      <c r="J2927" s="8" t="s">
        <v>863</v>
      </c>
      <c r="K2927" s="6" t="str">
        <f>"4.830,00"</f>
        <v>4.830,00</v>
      </c>
      <c r="L2927" s="6" t="str">
        <f>"1.207,50"</f>
        <v>1.207,50</v>
      </c>
      <c r="M2927" s="6" t="str">
        <f>"6.037,50"</f>
        <v>6.037,50</v>
      </c>
      <c r="N2927" s="8" t="s">
        <v>2579</v>
      </c>
      <c r="O2927" s="7"/>
      <c r="P2927" s="2" t="s">
        <v>7226</v>
      </c>
      <c r="Q2927" s="7"/>
      <c r="R2927" s="1"/>
      <c r="S2927" s="1" t="str">
        <f>"J-UN-2021-457"</f>
        <v>J-UN-2021-457</v>
      </c>
      <c r="T2927" s="1" t="s">
        <v>32</v>
      </c>
    </row>
    <row r="2928" spans="1:20" ht="51" x14ac:dyDescent="0.25">
      <c r="A2928" s="6">
        <v>2922</v>
      </c>
      <c r="B2928" s="1" t="str">
        <f>"2021-1685"</f>
        <v>2021-1685</v>
      </c>
      <c r="C2928" s="1" t="s">
        <v>2753</v>
      </c>
      <c r="D2928" s="1" t="s">
        <v>2331</v>
      </c>
      <c r="E2928" s="1" t="str">
        <f>""</f>
        <v/>
      </c>
      <c r="F2928" s="1" t="s">
        <v>1860</v>
      </c>
      <c r="G2928" s="1" t="str">
        <f>CONCATENATE(" TRAG DUO D.O.O.,"," NOVA CESTA 184,"," 10000 ZAGREB,"," OIB: 24169331637")</f>
        <v xml:space="preserve"> TRAG DUO D.O.O., NOVA CESTA 184, 10000 ZAGREB, OIB: 24169331637</v>
      </c>
      <c r="H2928" s="7"/>
      <c r="I2928" s="8" t="s">
        <v>840</v>
      </c>
      <c r="J2928" s="8" t="s">
        <v>424</v>
      </c>
      <c r="K2928" s="6" t="str">
        <f>"1.650,00"</f>
        <v>1.650,00</v>
      </c>
      <c r="L2928" s="6" t="str">
        <f>"412,50"</f>
        <v>412,50</v>
      </c>
      <c r="M2928" s="6" t="str">
        <f>"2.062,50"</f>
        <v>2.062,50</v>
      </c>
      <c r="N2928" s="8" t="s">
        <v>440</v>
      </c>
      <c r="O2928" s="7"/>
      <c r="P2928" s="2" t="s">
        <v>6770</v>
      </c>
      <c r="Q2928" s="7"/>
      <c r="R2928" s="1"/>
      <c r="S2928" s="1" t="str">
        <f>"J-UN-2021-459"</f>
        <v>J-UN-2021-459</v>
      </c>
      <c r="T2928" s="1" t="s">
        <v>32</v>
      </c>
    </row>
    <row r="2929" spans="1:20" ht="51" x14ac:dyDescent="0.25">
      <c r="A2929" s="6">
        <v>2923</v>
      </c>
      <c r="B2929" s="1" t="str">
        <f>"2021-475"</f>
        <v>2021-475</v>
      </c>
      <c r="C2929" s="1" t="s">
        <v>2614</v>
      </c>
      <c r="D2929" s="1" t="s">
        <v>619</v>
      </c>
      <c r="E2929" s="1" t="str">
        <f>""</f>
        <v/>
      </c>
      <c r="F2929" s="1" t="s">
        <v>1860</v>
      </c>
      <c r="G2929" s="1" t="str">
        <f>CONCATENATE(" TEHNO-HIDRAULIK D.O.O.,"," SAVIŠĆE 2,"," 10000 ZAGREB,"," OIB: 09925328419")</f>
        <v xml:space="preserve"> TEHNO-HIDRAULIK D.O.O., SAVIŠĆE 2, 10000 ZAGREB, OIB: 09925328419</v>
      </c>
      <c r="H2929" s="7"/>
      <c r="I2929" s="8" t="s">
        <v>1436</v>
      </c>
      <c r="J2929" s="8" t="s">
        <v>863</v>
      </c>
      <c r="K2929" s="6" t="str">
        <f>"9.380,00"</f>
        <v>9.380,00</v>
      </c>
      <c r="L2929" s="6" t="str">
        <f>"2.345,00"</f>
        <v>2.345,00</v>
      </c>
      <c r="M2929" s="6" t="str">
        <f>"11.725,00"</f>
        <v>11.725,00</v>
      </c>
      <c r="N2929" s="8" t="s">
        <v>540</v>
      </c>
      <c r="O2929" s="7"/>
      <c r="P2929" s="2" t="s">
        <v>7227</v>
      </c>
      <c r="Q2929" s="7"/>
      <c r="R2929" s="1"/>
      <c r="S2929" s="1" t="str">
        <f>"J-UN-2021-460"</f>
        <v>J-UN-2021-460</v>
      </c>
      <c r="T2929" s="1" t="s">
        <v>32</v>
      </c>
    </row>
    <row r="2930" spans="1:20" ht="63.75" x14ac:dyDescent="0.25">
      <c r="A2930" s="6">
        <v>2924</v>
      </c>
      <c r="B2930" s="1" t="str">
        <f>"2021-913"</f>
        <v>2021-913</v>
      </c>
      <c r="C2930" s="1" t="s">
        <v>2710</v>
      </c>
      <c r="D2930" s="1" t="s">
        <v>815</v>
      </c>
      <c r="E2930" s="1" t="str">
        <f>""</f>
        <v/>
      </c>
      <c r="F2930" s="1" t="s">
        <v>1860</v>
      </c>
      <c r="G2930" s="1" t="str">
        <f>CONCATENATE(" TOKIĆ D.O.O.,"," ULICA 144. BRIGADE HRVATSKE VOJSKE 1A,"," 10360 SESVETE,"," OIB: 7486748762")</f>
        <v xml:space="preserve"> TOKIĆ D.O.O., ULICA 144. BRIGADE HRVATSKE VOJSKE 1A, 10360 SESVETE, OIB: 7486748762</v>
      </c>
      <c r="H2930" s="7"/>
      <c r="I2930" s="8" t="s">
        <v>2746</v>
      </c>
      <c r="J2930" s="8" t="s">
        <v>160</v>
      </c>
      <c r="K2930" s="6" t="str">
        <f>"1.400,00"</f>
        <v>1.400,00</v>
      </c>
      <c r="L2930" s="6" t="str">
        <f>"350,00"</f>
        <v>350,00</v>
      </c>
      <c r="M2930" s="6" t="str">
        <f>"1.750,00"</f>
        <v>1.750,00</v>
      </c>
      <c r="N2930" s="8" t="s">
        <v>24</v>
      </c>
      <c r="O2930" s="7"/>
      <c r="P2930" s="2" t="s">
        <v>6524</v>
      </c>
      <c r="Q2930" s="7"/>
      <c r="R2930" s="1"/>
      <c r="S2930" s="1" t="str">
        <f>"J-UN-2021-462"</f>
        <v>J-UN-2021-462</v>
      </c>
      <c r="T2930" s="1" t="s">
        <v>32</v>
      </c>
    </row>
    <row r="2931" spans="1:20" ht="76.5" x14ac:dyDescent="0.25">
      <c r="A2931" s="6">
        <v>2925</v>
      </c>
      <c r="B2931" s="1" t="str">
        <f>"2021-713"</f>
        <v>2021-713</v>
      </c>
      <c r="C2931" s="1" t="s">
        <v>2754</v>
      </c>
      <c r="D2931" s="1" t="s">
        <v>2755</v>
      </c>
      <c r="E2931" s="1" t="str">
        <f>""</f>
        <v/>
      </c>
      <c r="F2931" s="1" t="s">
        <v>1860</v>
      </c>
      <c r="G2931" s="1" t="str">
        <f>CONCATENATE(" EUROKOD PISAČIĆ D.O.O.,"," RUDEŠKA CESTA 16,"," 10000 ZAGREB,"," OIB: 8329104842")</f>
        <v xml:space="preserve"> EUROKOD PISAČIĆ D.O.O., RUDEŠKA CESTA 16, 10000 ZAGREB, OIB: 8329104842</v>
      </c>
      <c r="H2931" s="7"/>
      <c r="I2931" s="8" t="s">
        <v>1436</v>
      </c>
      <c r="J2931" s="8" t="s">
        <v>863</v>
      </c>
      <c r="K2931" s="6" t="str">
        <f>"46.200,00"</f>
        <v>46.200,00</v>
      </c>
      <c r="L2931" s="6" t="str">
        <f>"11.550,00"</f>
        <v>11.550,00</v>
      </c>
      <c r="M2931" s="6" t="str">
        <f>"57.750,00"</f>
        <v>57.750,00</v>
      </c>
      <c r="N2931" s="8" t="s">
        <v>30</v>
      </c>
      <c r="O2931" s="7"/>
      <c r="P2931" s="2" t="s">
        <v>6747</v>
      </c>
      <c r="Q2931" s="7"/>
      <c r="R2931" s="1"/>
      <c r="S2931" s="1" t="str">
        <f>"J-UN-2021-464"</f>
        <v>J-UN-2021-464</v>
      </c>
      <c r="T2931" s="1" t="s">
        <v>32</v>
      </c>
    </row>
    <row r="2932" spans="1:20" ht="51" x14ac:dyDescent="0.25">
      <c r="A2932" s="6">
        <v>2926</v>
      </c>
      <c r="B2932" s="1" t="str">
        <f>"2021-915"</f>
        <v>2021-915</v>
      </c>
      <c r="C2932" s="1" t="s">
        <v>2563</v>
      </c>
      <c r="D2932" s="1" t="s">
        <v>914</v>
      </c>
      <c r="E2932" s="1" t="str">
        <f>""</f>
        <v/>
      </c>
      <c r="F2932" s="1" t="s">
        <v>1860</v>
      </c>
      <c r="G2932" s="1" t="str">
        <f>CONCATENATE(" D.R. AUTO D.O.O.,"," SELSKA CESTA 34,"," 10000 ZAGREB,"," OIB: 07523847158")</f>
        <v xml:space="preserve"> D.R. AUTO D.O.O., SELSKA CESTA 34, 10000 ZAGREB, OIB: 07523847158</v>
      </c>
      <c r="H2932" s="7"/>
      <c r="I2932" s="8" t="s">
        <v>1436</v>
      </c>
      <c r="J2932" s="8" t="s">
        <v>863</v>
      </c>
      <c r="K2932" s="6" t="str">
        <f>"12.852,21"</f>
        <v>12.852,21</v>
      </c>
      <c r="L2932" s="6" t="str">
        <f>"3.213,05"</f>
        <v>3.213,05</v>
      </c>
      <c r="M2932" s="6" t="str">
        <f>"16.065,26"</f>
        <v>16.065,26</v>
      </c>
      <c r="N2932" s="8" t="s">
        <v>773</v>
      </c>
      <c r="O2932" s="7"/>
      <c r="P2932" s="2" t="s">
        <v>7228</v>
      </c>
      <c r="Q2932" s="7"/>
      <c r="R2932" s="1"/>
      <c r="S2932" s="1" t="str">
        <f>"J-UN-2021-465"</f>
        <v>J-UN-2021-465</v>
      </c>
      <c r="T2932" s="1" t="s">
        <v>32</v>
      </c>
    </row>
    <row r="2933" spans="1:20" ht="63.75" x14ac:dyDescent="0.25">
      <c r="A2933" s="6">
        <v>2927</v>
      </c>
      <c r="B2933" s="1" t="str">
        <f>"2021-72"</f>
        <v>2021-72</v>
      </c>
      <c r="C2933" s="1" t="s">
        <v>2534</v>
      </c>
      <c r="D2933" s="1" t="s">
        <v>2535</v>
      </c>
      <c r="E2933" s="1" t="str">
        <f>""</f>
        <v/>
      </c>
      <c r="F2933" s="1" t="s">
        <v>1860</v>
      </c>
      <c r="G2933" s="1" t="str">
        <f>CONCATENATE(" JULIUS MEINL BONFANTI D.O.O.,"," LJUBLJANSKA ULICA 4,"," 10431 SVETA NEDELJA,"," OIB: 39546130894")</f>
        <v xml:space="preserve"> JULIUS MEINL BONFANTI D.O.O., LJUBLJANSKA ULICA 4, 10431 SVETA NEDELJA, OIB: 39546130894</v>
      </c>
      <c r="H2933" s="7"/>
      <c r="I2933" s="8" t="s">
        <v>1436</v>
      </c>
      <c r="J2933" s="8" t="s">
        <v>863</v>
      </c>
      <c r="K2933" s="6" t="str">
        <f>"6.026,00"</f>
        <v>6.026,00</v>
      </c>
      <c r="L2933" s="6" t="str">
        <f>"1.506,50"</f>
        <v>1.506,50</v>
      </c>
      <c r="M2933" s="6" t="str">
        <f>"7.532,50"</f>
        <v>7.532,50</v>
      </c>
      <c r="N2933" s="8" t="s">
        <v>771</v>
      </c>
      <c r="O2933" s="7"/>
      <c r="P2933" s="2" t="s">
        <v>7229</v>
      </c>
      <c r="Q2933" s="7"/>
      <c r="R2933" s="1"/>
      <c r="S2933" s="1" t="str">
        <f>"J-UN-2021-466"</f>
        <v>J-UN-2021-466</v>
      </c>
      <c r="T2933" s="1" t="s">
        <v>32</v>
      </c>
    </row>
    <row r="2934" spans="1:20" ht="51" x14ac:dyDescent="0.25">
      <c r="A2934" s="6">
        <v>2928</v>
      </c>
      <c r="B2934" s="1" t="str">
        <f>"2021-458"</f>
        <v>2021-458</v>
      </c>
      <c r="C2934" s="1" t="s">
        <v>2738</v>
      </c>
      <c r="D2934" s="1" t="s">
        <v>2739</v>
      </c>
      <c r="E2934" s="1" t="str">
        <f>""</f>
        <v/>
      </c>
      <c r="F2934" s="1" t="s">
        <v>1860</v>
      </c>
      <c r="G2934" s="1" t="str">
        <f>CONCATENATE(" SIKU - TEH D.O.O.,"," DONJE SVETICE 40,"," 10000 ZAGREB,"," OIB: 49480470817")</f>
        <v xml:space="preserve"> SIKU - TEH D.O.O., DONJE SVETICE 40, 10000 ZAGREB, OIB: 49480470817</v>
      </c>
      <c r="H2934" s="7"/>
      <c r="I2934" s="8" t="s">
        <v>110</v>
      </c>
      <c r="J2934" s="8" t="s">
        <v>487</v>
      </c>
      <c r="K2934" s="6" t="str">
        <f>"1.171,60"</f>
        <v>1.171,60</v>
      </c>
      <c r="L2934" s="6" t="str">
        <f>"292,90"</f>
        <v>292,90</v>
      </c>
      <c r="M2934" s="6" t="str">
        <f>"1.464,50"</f>
        <v>1.464,50</v>
      </c>
      <c r="N2934" s="8" t="s">
        <v>2579</v>
      </c>
      <c r="O2934" s="7"/>
      <c r="P2934" s="2" t="s">
        <v>7230</v>
      </c>
      <c r="Q2934" s="7"/>
      <c r="R2934" s="1"/>
      <c r="S2934" s="1" t="str">
        <f>"J-UN-2021-467"</f>
        <v>J-UN-2021-467</v>
      </c>
      <c r="T2934" s="1" t="s">
        <v>32</v>
      </c>
    </row>
    <row r="2935" spans="1:20" ht="63.75" x14ac:dyDescent="0.25">
      <c r="A2935" s="6">
        <v>2929</v>
      </c>
      <c r="B2935" s="1" t="str">
        <f>"2021-1082"</f>
        <v>2021-1082</v>
      </c>
      <c r="C2935" s="1" t="s">
        <v>2295</v>
      </c>
      <c r="D2935" s="1" t="s">
        <v>2296</v>
      </c>
      <c r="E2935" s="1" t="str">
        <f>""</f>
        <v/>
      </c>
      <c r="F2935" s="1" t="s">
        <v>1860</v>
      </c>
      <c r="G2935" s="1" t="str">
        <f>CONCATENATE(" TEHNOZAVOD-MARUŠIĆ D.O.O.,"," XIII PODBREŽJE 26,"," 10000 ZAGREB,"," OIB: 2192647279")</f>
        <v xml:space="preserve"> TEHNOZAVOD-MARUŠIĆ D.O.O., XIII PODBREŽJE 26, 10000 ZAGREB, OIB: 2192647279</v>
      </c>
      <c r="H2935" s="7"/>
      <c r="I2935" s="8" t="s">
        <v>2705</v>
      </c>
      <c r="J2935" s="8" t="s">
        <v>372</v>
      </c>
      <c r="K2935" s="6" t="str">
        <f>"1.700,00"</f>
        <v>1.700,00</v>
      </c>
      <c r="L2935" s="6" t="str">
        <f>"425,00"</f>
        <v>425,00</v>
      </c>
      <c r="M2935" s="6" t="str">
        <f>"2.125,00"</f>
        <v>2.125,00</v>
      </c>
      <c r="N2935" s="8" t="s">
        <v>2740</v>
      </c>
      <c r="O2935" s="7"/>
      <c r="P2935" s="2" t="s">
        <v>7231</v>
      </c>
      <c r="Q2935" s="7"/>
      <c r="R2935" s="1"/>
      <c r="S2935" s="1" t="str">
        <f>"J-UN-2021-468"</f>
        <v>J-UN-2021-468</v>
      </c>
      <c r="T2935" s="1" t="s">
        <v>32</v>
      </c>
    </row>
    <row r="2936" spans="1:20" ht="51" x14ac:dyDescent="0.25">
      <c r="A2936" s="6">
        <v>2930</v>
      </c>
      <c r="B2936" s="1" t="str">
        <f>"2021-1792"</f>
        <v>2021-1792</v>
      </c>
      <c r="C2936" s="1" t="s">
        <v>2756</v>
      </c>
      <c r="D2936" s="1" t="s">
        <v>860</v>
      </c>
      <c r="E2936" s="1" t="str">
        <f>""</f>
        <v/>
      </c>
      <c r="F2936" s="1" t="s">
        <v>1860</v>
      </c>
      <c r="G2936" s="1" t="str">
        <f>CONCATENATE(" AMBROZ D.O.O.,"," VRBANI 16,"," 10000 ZAGREB,"," OIB: 6953363553")</f>
        <v xml:space="preserve"> AMBROZ D.O.O., VRBANI 16, 10000 ZAGREB, OIB: 6953363553</v>
      </c>
      <c r="H2936" s="7"/>
      <c r="I2936" s="8" t="s">
        <v>1436</v>
      </c>
      <c r="J2936" s="8" t="s">
        <v>863</v>
      </c>
      <c r="K2936" s="6" t="str">
        <f>"45.456,51"</f>
        <v>45.456,51</v>
      </c>
      <c r="L2936" s="6" t="str">
        <f>"11.364,13"</f>
        <v>11.364,13</v>
      </c>
      <c r="M2936" s="6" t="str">
        <f>"56.820,64"</f>
        <v>56.820,64</v>
      </c>
      <c r="N2936" s="8" t="s">
        <v>2537</v>
      </c>
      <c r="O2936" s="7"/>
      <c r="P2936" s="2" t="s">
        <v>7232</v>
      </c>
      <c r="Q2936" s="7"/>
      <c r="R2936" s="1"/>
      <c r="S2936" s="1" t="str">
        <f>"J-UN-2021-469"</f>
        <v>J-UN-2021-469</v>
      </c>
      <c r="T2936" s="1" t="s">
        <v>32</v>
      </c>
    </row>
    <row r="2937" spans="1:20" ht="51" x14ac:dyDescent="0.25">
      <c r="A2937" s="6">
        <v>2931</v>
      </c>
      <c r="B2937" s="1" t="str">
        <f>"2021-1764"</f>
        <v>2021-1764</v>
      </c>
      <c r="C2937" s="1" t="s">
        <v>2757</v>
      </c>
      <c r="D2937" s="1" t="s">
        <v>2724</v>
      </c>
      <c r="E2937" s="1" t="str">
        <f>""</f>
        <v/>
      </c>
      <c r="F2937" s="1" t="s">
        <v>1860</v>
      </c>
      <c r="G2937" s="1" t="str">
        <f>CONCATENATE(" METROALFA D.O.O.,"," KARLOVAČKA CESTA 4L,"," 10000 ZAGREB,"," OIB: 539008974")</f>
        <v xml:space="preserve"> METROALFA D.O.O., KARLOVAČKA CESTA 4L, 10000 ZAGREB, OIB: 539008974</v>
      </c>
      <c r="H2937" s="7"/>
      <c r="I2937" s="8" t="s">
        <v>2579</v>
      </c>
      <c r="J2937" s="8" t="s">
        <v>2736</v>
      </c>
      <c r="K2937" s="6" t="str">
        <f>"91.600,00"</f>
        <v>91.600,00</v>
      </c>
      <c r="L2937" s="6" t="str">
        <f>"22.900,00"</f>
        <v>22.900,00</v>
      </c>
      <c r="M2937" s="6" t="str">
        <f>"114.500,00"</f>
        <v>114.500,00</v>
      </c>
      <c r="N2937" s="8" t="s">
        <v>120</v>
      </c>
      <c r="O2937" s="7"/>
      <c r="P2937" s="2" t="s">
        <v>7233</v>
      </c>
      <c r="Q2937" s="7"/>
      <c r="R2937" s="1"/>
      <c r="S2937" s="1" t="str">
        <f>"J-UN-2021-470"</f>
        <v>J-UN-2021-470</v>
      </c>
      <c r="T2937" s="1" t="s">
        <v>32</v>
      </c>
    </row>
    <row r="2938" spans="1:20" ht="76.5" x14ac:dyDescent="0.25">
      <c r="A2938" s="6">
        <v>2932</v>
      </c>
      <c r="B2938" s="1" t="str">
        <f>"2021-1177"</f>
        <v>2021-1177</v>
      </c>
      <c r="C2938" s="1" t="s">
        <v>2758</v>
      </c>
      <c r="D2938" s="1" t="s">
        <v>1373</v>
      </c>
      <c r="E2938" s="1" t="str">
        <f>""</f>
        <v/>
      </c>
      <c r="F2938" s="1" t="s">
        <v>1860</v>
      </c>
      <c r="G2938" s="1" t="str">
        <f>CONCATENATE(" E.G.S.-ELEKTROGRADITELJSTVO D.O.O.,"," ALBERTA FORTISA 10,"," 10090 ZAGREB,"," OIB: 83439900916")</f>
        <v xml:space="preserve"> E.G.S.-ELEKTROGRADITELJSTVO D.O.O., ALBERTA FORTISA 10, 10090 ZAGREB, OIB: 83439900916</v>
      </c>
      <c r="H2938" s="7"/>
      <c r="I2938" s="8" t="s">
        <v>110</v>
      </c>
      <c r="J2938" s="8" t="s">
        <v>487</v>
      </c>
      <c r="K2938" s="6" t="str">
        <f>"4.160,00"</f>
        <v>4.160,00</v>
      </c>
      <c r="L2938" s="6" t="str">
        <f>"1.040,00"</f>
        <v>1.040,00</v>
      </c>
      <c r="M2938" s="6" t="str">
        <f>"5.200,00"</f>
        <v>5.200,00</v>
      </c>
      <c r="N2938" s="8" t="s">
        <v>37</v>
      </c>
      <c r="O2938" s="7"/>
      <c r="P2938" s="2" t="s">
        <v>7234</v>
      </c>
      <c r="Q2938" s="7"/>
      <c r="R2938" s="1"/>
      <c r="S2938" s="1" t="str">
        <f>"J-UN-2021-471"</f>
        <v>J-UN-2021-471</v>
      </c>
      <c r="T2938" s="1" t="s">
        <v>32</v>
      </c>
    </row>
    <row r="2939" spans="1:20" ht="63.75" x14ac:dyDescent="0.25">
      <c r="A2939" s="6">
        <v>2933</v>
      </c>
      <c r="B2939" s="1" t="str">
        <f>"2021-110"</f>
        <v>2021-110</v>
      </c>
      <c r="C2939" s="1" t="s">
        <v>2595</v>
      </c>
      <c r="D2939" s="1" t="s">
        <v>2596</v>
      </c>
      <c r="E2939" s="1" t="str">
        <f>""</f>
        <v/>
      </c>
      <c r="F2939" s="1" t="s">
        <v>1860</v>
      </c>
      <c r="G2939" s="1" t="str">
        <f>CONCATENATE(" ZAGREB PLAKAT D.O.O.,"," ULICA ANDRIJE HEBRANGA 32,"," 10000 ZAGREB,"," OIB: 321117423")</f>
        <v xml:space="preserve"> ZAGREB PLAKAT D.O.O., ULICA ANDRIJE HEBRANGA 32, 10000 ZAGREB, OIB: 321117423</v>
      </c>
      <c r="H2939" s="7"/>
      <c r="I2939" s="8" t="s">
        <v>1436</v>
      </c>
      <c r="J2939" s="8" t="s">
        <v>863</v>
      </c>
      <c r="K2939" s="6" t="str">
        <f>"19.500,00"</f>
        <v>19.500,00</v>
      </c>
      <c r="L2939" s="6" t="str">
        <f>"4.875,00"</f>
        <v>4.875,00</v>
      </c>
      <c r="M2939" s="6" t="str">
        <f>"24.375,00"</f>
        <v>24.375,00</v>
      </c>
      <c r="N2939" s="8" t="s">
        <v>840</v>
      </c>
      <c r="O2939" s="7"/>
      <c r="P2939" s="2" t="s">
        <v>7145</v>
      </c>
      <c r="Q2939" s="7"/>
      <c r="R2939" s="1"/>
      <c r="S2939" s="1" t="str">
        <f>"J-UN-2021-473"</f>
        <v>J-UN-2021-473</v>
      </c>
      <c r="T2939" s="1" t="s">
        <v>32</v>
      </c>
    </row>
    <row r="2940" spans="1:20" ht="51" x14ac:dyDescent="0.25">
      <c r="A2940" s="6">
        <v>2934</v>
      </c>
      <c r="B2940" s="1" t="str">
        <f>"2021-621"</f>
        <v>2021-621</v>
      </c>
      <c r="C2940" s="1" t="s">
        <v>2759</v>
      </c>
      <c r="D2940" s="1" t="s">
        <v>2760</v>
      </c>
      <c r="E2940" s="1" t="str">
        <f>""</f>
        <v/>
      </c>
      <c r="F2940" s="1" t="s">
        <v>1860</v>
      </c>
      <c r="G2940" s="1" t="str">
        <f>CONCATENATE(" GLOBALDIZAJN D.O.O.,"," BUZIN,"," BANI 75,"," 10000 ZAGREB,"," OIB: 2562731408")</f>
        <v xml:space="preserve"> GLOBALDIZAJN D.O.O., BUZIN, BANI 75, 10000 ZAGREB, OIB: 2562731408</v>
      </c>
      <c r="H2940" s="7"/>
      <c r="I2940" s="8" t="s">
        <v>1436</v>
      </c>
      <c r="J2940" s="8" t="s">
        <v>863</v>
      </c>
      <c r="K2940" s="6" t="str">
        <f>"5.180,00"</f>
        <v>5.180,00</v>
      </c>
      <c r="L2940" s="6" t="str">
        <f>"1.295,00"</f>
        <v>1.295,00</v>
      </c>
      <c r="M2940" s="6" t="str">
        <f>"6.475,00"</f>
        <v>6.475,00</v>
      </c>
      <c r="N2940" s="8" t="s">
        <v>840</v>
      </c>
      <c r="O2940" s="7"/>
      <c r="P2940" s="2" t="s">
        <v>7235</v>
      </c>
      <c r="Q2940" s="7"/>
      <c r="R2940" s="1"/>
      <c r="S2940" s="1" t="str">
        <f>"J-UN-2021-488"</f>
        <v>J-UN-2021-488</v>
      </c>
      <c r="T2940" s="1" t="s">
        <v>32</v>
      </c>
    </row>
    <row r="2941" spans="1:20" ht="51" x14ac:dyDescent="0.25">
      <c r="A2941" s="6">
        <v>2935</v>
      </c>
      <c r="B2941" s="1" t="str">
        <f>"2021-1049"</f>
        <v>2021-1049</v>
      </c>
      <c r="C2941" s="1" t="s">
        <v>2469</v>
      </c>
      <c r="D2941" s="1" t="s">
        <v>2287</v>
      </c>
      <c r="E2941" s="1" t="str">
        <f>""</f>
        <v/>
      </c>
      <c r="F2941" s="1" t="s">
        <v>1860</v>
      </c>
      <c r="G2941" s="1" t="str">
        <f>CONCATENATE(" PROTEKTA D.O.O.,"," IVANA ŠIBLA 9,"," 10000 ZAGREB,"," OIB: 25210761537")</f>
        <v xml:space="preserve"> PROTEKTA D.O.O., IVANA ŠIBLA 9, 10000 ZAGREB, OIB: 25210761537</v>
      </c>
      <c r="H2941" s="7"/>
      <c r="I2941" s="8" t="s">
        <v>79</v>
      </c>
      <c r="J2941" s="8" t="s">
        <v>898</v>
      </c>
      <c r="K2941" s="6" t="str">
        <f>"20.000,00"</f>
        <v>20.000,00</v>
      </c>
      <c r="L2941" s="6" t="str">
        <f>"5.000,00"</f>
        <v>5.000,00</v>
      </c>
      <c r="M2941" s="6" t="str">
        <f>"25.000,00"</f>
        <v>25.000,00</v>
      </c>
      <c r="N2941" s="8" t="s">
        <v>126</v>
      </c>
      <c r="O2941" s="7"/>
      <c r="P2941" s="2" t="s">
        <v>6468</v>
      </c>
      <c r="Q2941" s="7"/>
      <c r="R2941" s="1"/>
      <c r="S2941" s="1" t="str">
        <f>"J-UN-2021-490"</f>
        <v>J-UN-2021-490</v>
      </c>
      <c r="T2941" s="1" t="s">
        <v>32</v>
      </c>
    </row>
    <row r="2942" spans="1:20" ht="51" x14ac:dyDescent="0.25">
      <c r="A2942" s="6">
        <v>2936</v>
      </c>
      <c r="B2942" s="1" t="str">
        <f>"2021-997"</f>
        <v>2021-997</v>
      </c>
      <c r="C2942" s="1" t="s">
        <v>2761</v>
      </c>
      <c r="D2942" s="1" t="s">
        <v>2762</v>
      </c>
      <c r="E2942" s="1" t="str">
        <f>""</f>
        <v/>
      </c>
      <c r="F2942" s="1" t="s">
        <v>1860</v>
      </c>
      <c r="G2942" s="1" t="str">
        <f>CONCATENATE(" BALANS VAGA J. D. O. O.,"," OSJEČKA 76,"," 51000 RIJEKA,"," OIB: 713617952")</f>
        <v xml:space="preserve"> BALANS VAGA J. D. O. O., OSJEČKA 76, 51000 RIJEKA, OIB: 713617952</v>
      </c>
      <c r="H2942" s="7"/>
      <c r="I2942" s="8" t="s">
        <v>2101</v>
      </c>
      <c r="J2942" s="8" t="s">
        <v>897</v>
      </c>
      <c r="K2942" s="6" t="str">
        <f>"1.800,00"</f>
        <v>1.800,00</v>
      </c>
      <c r="L2942" s="6" t="str">
        <f>"450,00"</f>
        <v>450,00</v>
      </c>
      <c r="M2942" s="6" t="str">
        <f>"2.250,00"</f>
        <v>2.250,00</v>
      </c>
      <c r="N2942" s="8" t="s">
        <v>2748</v>
      </c>
      <c r="O2942" s="7"/>
      <c r="P2942" s="2" t="s">
        <v>5886</v>
      </c>
      <c r="Q2942" s="7"/>
      <c r="R2942" s="1"/>
      <c r="S2942" s="1" t="str">
        <f>"J-UN-2021-575"</f>
        <v>J-UN-2021-575</v>
      </c>
      <c r="T2942" s="1" t="s">
        <v>32</v>
      </c>
    </row>
    <row r="2943" spans="1:20" ht="51" x14ac:dyDescent="0.25">
      <c r="A2943" s="6">
        <v>2937</v>
      </c>
      <c r="B2943" s="1" t="str">
        <f>"2021-997"</f>
        <v>2021-997</v>
      </c>
      <c r="C2943" s="1" t="s">
        <v>2761</v>
      </c>
      <c r="D2943" s="1" t="s">
        <v>2762</v>
      </c>
      <c r="E2943" s="1" t="str">
        <f>""</f>
        <v/>
      </c>
      <c r="F2943" s="1" t="s">
        <v>1860</v>
      </c>
      <c r="G2943" s="1" t="str">
        <f>CONCATENATE(" ADRIALIFT D.O.O.,"," BRAĆE BAĆIĆA 36,"," 51000 RIJEKA,"," OIB: 36856415212")</f>
        <v xml:space="preserve"> ADRIALIFT D.O.O., BRAĆE BAĆIĆA 36, 51000 RIJEKA, OIB: 36856415212</v>
      </c>
      <c r="H2943" s="7"/>
      <c r="I2943" s="8" t="s">
        <v>2101</v>
      </c>
      <c r="J2943" s="8" t="s">
        <v>897</v>
      </c>
      <c r="K2943" s="6" t="str">
        <f>"1.250,00"</f>
        <v>1.250,00</v>
      </c>
      <c r="L2943" s="6" t="str">
        <f>"312,50"</f>
        <v>312,50</v>
      </c>
      <c r="M2943" s="6" t="str">
        <f>"1.562,50"</f>
        <v>1.562,50</v>
      </c>
      <c r="N2943" s="8" t="s">
        <v>911</v>
      </c>
      <c r="O2943" s="7"/>
      <c r="P2943" s="2" t="s">
        <v>7236</v>
      </c>
      <c r="Q2943" s="7"/>
      <c r="R2943" s="1"/>
      <c r="S2943" s="1" t="str">
        <f>"J-UN-2021-576"</f>
        <v>J-UN-2021-576</v>
      </c>
      <c r="T2943" s="1" t="s">
        <v>32</v>
      </c>
    </row>
    <row r="2944" spans="1:20" ht="51" x14ac:dyDescent="0.25">
      <c r="A2944" s="6">
        <v>2938</v>
      </c>
      <c r="B2944" s="1" t="str">
        <f>"2021-481"</f>
        <v>2021-481</v>
      </c>
      <c r="C2944" s="1" t="s">
        <v>2626</v>
      </c>
      <c r="D2944" s="1" t="s">
        <v>2627</v>
      </c>
      <c r="E2944" s="1" t="str">
        <f>""</f>
        <v/>
      </c>
      <c r="F2944" s="1" t="s">
        <v>1860</v>
      </c>
      <c r="G2944" s="1" t="str">
        <f>CONCATENATE(" E-ELMES D.O.O.,"," MATIJE MESIĆA 29A,"," 10370 DUGO SELO,"," OIB: 89958947498")</f>
        <v xml:space="preserve"> E-ELMES D.O.O., MATIJE MESIĆA 29A, 10370 DUGO SELO, OIB: 89958947498</v>
      </c>
      <c r="H2944" s="7"/>
      <c r="I2944" s="8" t="s">
        <v>108</v>
      </c>
      <c r="J2944" s="8" t="s">
        <v>1629</v>
      </c>
      <c r="K2944" s="6" t="str">
        <f>"4.180,80"</f>
        <v>4.180,80</v>
      </c>
      <c r="L2944" s="6" t="str">
        <f>"1.045,20"</f>
        <v>1.045,20</v>
      </c>
      <c r="M2944" s="6" t="str">
        <f>"5.226,00"</f>
        <v>5.226,00</v>
      </c>
      <c r="N2944" s="8" t="s">
        <v>37</v>
      </c>
      <c r="O2944" s="7"/>
      <c r="P2944" s="2" t="s">
        <v>7237</v>
      </c>
      <c r="Q2944" s="7"/>
      <c r="R2944" s="1"/>
      <c r="S2944" s="1" t="str">
        <f>"J-UN-2021-577"</f>
        <v>J-UN-2021-577</v>
      </c>
      <c r="T2944" s="1" t="s">
        <v>32</v>
      </c>
    </row>
    <row r="2945" spans="1:20" ht="63.75" x14ac:dyDescent="0.25">
      <c r="A2945" s="6">
        <v>2939</v>
      </c>
      <c r="B2945" s="1" t="str">
        <f>"2021-327"</f>
        <v>2021-327</v>
      </c>
      <c r="C2945" s="1" t="s">
        <v>2763</v>
      </c>
      <c r="D2945" s="1" t="s">
        <v>2764</v>
      </c>
      <c r="E2945" s="1" t="str">
        <f>""</f>
        <v/>
      </c>
      <c r="F2945" s="1" t="s">
        <v>1860</v>
      </c>
      <c r="G2945" s="1" t="str">
        <f>CONCATENATE(" ELEKTRO-KOMUNIKACIJE D.O.O.,"," 14. PODBREŽJE 4,"," 10000 ZAGREB,"," OIB: 76412373309")</f>
        <v xml:space="preserve"> ELEKTRO-KOMUNIKACIJE D.O.O., 14. PODBREŽJE 4, 10000 ZAGREB, OIB: 76412373309</v>
      </c>
      <c r="H2945" s="7"/>
      <c r="I2945" s="8" t="s">
        <v>542</v>
      </c>
      <c r="J2945" s="8" t="s">
        <v>426</v>
      </c>
      <c r="K2945" s="6" t="str">
        <f>"1.029,00"</f>
        <v>1.029,00</v>
      </c>
      <c r="L2945" s="6" t="str">
        <f>"257,25"</f>
        <v>257,25</v>
      </c>
      <c r="M2945" s="6" t="str">
        <f>"1.286,25"</f>
        <v>1.286,25</v>
      </c>
      <c r="N2945" s="8" t="s">
        <v>1988</v>
      </c>
      <c r="O2945" s="7"/>
      <c r="P2945" s="2" t="s">
        <v>7238</v>
      </c>
      <c r="Q2945" s="7"/>
      <c r="R2945" s="1"/>
      <c r="S2945" s="1" t="str">
        <f>"J-UN-2021-578"</f>
        <v>J-UN-2021-578</v>
      </c>
      <c r="T2945" s="1" t="s">
        <v>32</v>
      </c>
    </row>
    <row r="2946" spans="1:20" ht="63.75" x14ac:dyDescent="0.25">
      <c r="A2946" s="6">
        <v>2940</v>
      </c>
      <c r="B2946" s="1" t="str">
        <f>"2021-1788"</f>
        <v>2021-1788</v>
      </c>
      <c r="C2946" s="1" t="s">
        <v>2765</v>
      </c>
      <c r="D2946" s="1" t="s">
        <v>2766</v>
      </c>
      <c r="E2946" s="1" t="str">
        <f>""</f>
        <v/>
      </c>
      <c r="F2946" s="1" t="s">
        <v>1860</v>
      </c>
      <c r="G2946" s="1" t="str">
        <f>CONCATENATE(" AUTOTAPETARIJA MATUS-DESIGN,"," VARAŽDINSKA 28,"," 10360 SESVETE,"," OIB: 2389905114")</f>
        <v xml:space="preserve"> AUTOTAPETARIJA MATUS-DESIGN, VARAŽDINSKA 28, 10360 SESVETE, OIB: 2389905114</v>
      </c>
      <c r="H2946" s="7"/>
      <c r="I2946" s="8" t="s">
        <v>2740</v>
      </c>
      <c r="J2946" s="8" t="s">
        <v>469</v>
      </c>
      <c r="K2946" s="6" t="str">
        <f>"1.000,00"</f>
        <v>1.000,00</v>
      </c>
      <c r="L2946" s="6" t="str">
        <f>"250,00"</f>
        <v>250,00</v>
      </c>
      <c r="M2946" s="6" t="str">
        <f>"1.250,00"</f>
        <v>1.250,00</v>
      </c>
      <c r="N2946" s="8" t="s">
        <v>48</v>
      </c>
      <c r="O2946" s="7"/>
      <c r="P2946" s="2" t="s">
        <v>7239</v>
      </c>
      <c r="Q2946" s="7"/>
      <c r="R2946" s="1"/>
      <c r="S2946" s="1" t="str">
        <f>"J-UN-2021-579"</f>
        <v>J-UN-2021-579</v>
      </c>
      <c r="T2946" s="1" t="s">
        <v>32</v>
      </c>
    </row>
    <row r="2947" spans="1:20" ht="51" x14ac:dyDescent="0.25">
      <c r="A2947" s="6">
        <v>2941</v>
      </c>
      <c r="B2947" s="1" t="str">
        <f>"2021-1498"</f>
        <v>2021-1498</v>
      </c>
      <c r="C2947" s="1" t="s">
        <v>2641</v>
      </c>
      <c r="D2947" s="1" t="s">
        <v>515</v>
      </c>
      <c r="E2947" s="1" t="str">
        <f>""</f>
        <v/>
      </c>
      <c r="F2947" s="1" t="s">
        <v>1860</v>
      </c>
      <c r="G2947" s="1" t="str">
        <f>CONCATENATE(" INSTITUT IGH D.D.,"," JANKA RAKUŠE 1,"," 10000 ZAGREB,"," OIB: 79766124714")</f>
        <v xml:space="preserve"> INSTITUT IGH D.D., JANKA RAKUŠE 1, 10000 ZAGREB, OIB: 79766124714</v>
      </c>
      <c r="H2947" s="7"/>
      <c r="I2947" s="8" t="s">
        <v>2740</v>
      </c>
      <c r="J2947" s="8" t="s">
        <v>469</v>
      </c>
      <c r="K2947" s="6" t="str">
        <f>"18.536,00"</f>
        <v>18.536,00</v>
      </c>
      <c r="L2947" s="6" t="str">
        <f>"4.634,00"</f>
        <v>4.634,00</v>
      </c>
      <c r="M2947" s="6" t="str">
        <f>"23.170,00"</f>
        <v>23.170,00</v>
      </c>
      <c r="N2947" s="8" t="s">
        <v>1988</v>
      </c>
      <c r="O2947" s="7"/>
      <c r="P2947" s="2" t="s">
        <v>7240</v>
      </c>
      <c r="Q2947" s="7"/>
      <c r="R2947" s="1"/>
      <c r="S2947" s="1" t="str">
        <f>"J-UN-2021-580"</f>
        <v>J-UN-2021-580</v>
      </c>
      <c r="T2947" s="1" t="s">
        <v>32</v>
      </c>
    </row>
    <row r="2948" spans="1:20" ht="51" x14ac:dyDescent="0.25">
      <c r="A2948" s="6">
        <v>2942</v>
      </c>
      <c r="B2948" s="1" t="str">
        <f>"2021-1257"</f>
        <v>2021-1257</v>
      </c>
      <c r="C2948" s="1" t="s">
        <v>2767</v>
      </c>
      <c r="D2948" s="1" t="s">
        <v>2768</v>
      </c>
      <c r="E2948" s="1" t="str">
        <f>""</f>
        <v/>
      </c>
      <c r="F2948" s="1" t="s">
        <v>1860</v>
      </c>
      <c r="G2948" s="1" t="str">
        <f>CONCATENATE(" TPZ D.O.O.,"," NOVOSELSKA 25,"," 10000 ZAGREB,"," OIB: 68119083236")</f>
        <v xml:space="preserve"> TPZ D.O.O., NOVOSELSKA 25, 10000 ZAGREB, OIB: 68119083236</v>
      </c>
      <c r="H2948" s="7"/>
      <c r="I2948" s="8" t="s">
        <v>2581</v>
      </c>
      <c r="J2948" s="8" t="s">
        <v>1264</v>
      </c>
      <c r="K2948" s="6" t="str">
        <f>"69.600,00"</f>
        <v>69.600,00</v>
      </c>
      <c r="L2948" s="6" t="str">
        <f>"17.400,00"</f>
        <v>17.400,00</v>
      </c>
      <c r="M2948" s="6" t="str">
        <f>"87.000,00"</f>
        <v>87.000,00</v>
      </c>
      <c r="N2948" s="8" t="s">
        <v>442</v>
      </c>
      <c r="O2948" s="7"/>
      <c r="P2948" s="2" t="s">
        <v>7241</v>
      </c>
      <c r="Q2948" s="1"/>
      <c r="R2948" s="1"/>
      <c r="S2948" s="1" t="str">
        <f>"J-UN-2021-582"</f>
        <v>J-UN-2021-582</v>
      </c>
      <c r="T2948" s="1" t="s">
        <v>32</v>
      </c>
    </row>
    <row r="2949" spans="1:20" ht="51" x14ac:dyDescent="0.25">
      <c r="A2949" s="6">
        <v>2943</v>
      </c>
      <c r="B2949" s="1" t="str">
        <f>"2021-997"</f>
        <v>2021-997</v>
      </c>
      <c r="C2949" s="1" t="s">
        <v>2761</v>
      </c>
      <c r="D2949" s="1" t="s">
        <v>2762</v>
      </c>
      <c r="E2949" s="1" t="str">
        <f>""</f>
        <v/>
      </c>
      <c r="F2949" s="1" t="s">
        <v>1860</v>
      </c>
      <c r="G2949" s="1" t="str">
        <f>CONCATENATE(" MLD-USLUGE D.O.O.,"," IVANA GENERALIĆA BB,"," 48000 KOPRIVNICA,"," OIB: 48278869268")</f>
        <v xml:space="preserve"> MLD-USLUGE D.O.O., IVANA GENERALIĆA BB, 48000 KOPRIVNICA, OIB: 48278869268</v>
      </c>
      <c r="H2949" s="7"/>
      <c r="I2949" s="8" t="s">
        <v>108</v>
      </c>
      <c r="J2949" s="8" t="s">
        <v>1629</v>
      </c>
      <c r="K2949" s="6" t="str">
        <f>"3.607,50"</f>
        <v>3.607,50</v>
      </c>
      <c r="L2949" s="6" t="str">
        <f>"901,88"</f>
        <v>901,88</v>
      </c>
      <c r="M2949" s="6" t="str">
        <f>"4.509,38"</f>
        <v>4.509,38</v>
      </c>
      <c r="N2949" s="8" t="s">
        <v>542</v>
      </c>
      <c r="O2949" s="7"/>
      <c r="P2949" s="2" t="s">
        <v>7242</v>
      </c>
      <c r="Q2949" s="7"/>
      <c r="R2949" s="1"/>
      <c r="S2949" s="1" t="str">
        <f>"J-UN-2021-583"</f>
        <v>J-UN-2021-583</v>
      </c>
      <c r="T2949" s="1" t="s">
        <v>32</v>
      </c>
    </row>
    <row r="2950" spans="1:20" ht="63.75" x14ac:dyDescent="0.25">
      <c r="A2950" s="6">
        <v>2944</v>
      </c>
      <c r="B2950" s="1" t="str">
        <f>"2021-1523"</f>
        <v>2021-1523</v>
      </c>
      <c r="C2950" s="1" t="s">
        <v>2769</v>
      </c>
      <c r="D2950" s="1" t="s">
        <v>381</v>
      </c>
      <c r="E2950" s="1" t="str">
        <f>""</f>
        <v/>
      </c>
      <c r="F2950" s="1" t="s">
        <v>1860</v>
      </c>
      <c r="G2950" s="1" t="str">
        <f>CONCATENATE(" KONTROL BIRO D.O.O.,"," SAVSKI GAJ IV PUT 10,"," 10020 ZAGREB-NOVI ZAGREB,"," OIB: 80916616067")</f>
        <v xml:space="preserve"> KONTROL BIRO D.O.O., SAVSKI GAJ IV PUT 10, 10020 ZAGREB-NOVI ZAGREB, OIB: 80916616067</v>
      </c>
      <c r="H2950" s="7"/>
      <c r="I2950" s="8" t="s">
        <v>542</v>
      </c>
      <c r="J2950" s="8" t="s">
        <v>426</v>
      </c>
      <c r="K2950" s="6" t="str">
        <f>"3.948,00"</f>
        <v>3.948,00</v>
      </c>
      <c r="L2950" s="6" t="str">
        <f>"987,00"</f>
        <v>987,00</v>
      </c>
      <c r="M2950" s="6" t="str">
        <f>"4.935,00"</f>
        <v>4.935,00</v>
      </c>
      <c r="N2950" s="8" t="s">
        <v>2749</v>
      </c>
      <c r="O2950" s="7"/>
      <c r="P2950" s="2" t="s">
        <v>7243</v>
      </c>
      <c r="Q2950" s="7"/>
      <c r="R2950" s="1"/>
      <c r="S2950" s="1" t="str">
        <f>"J-UN-2021-585"</f>
        <v>J-UN-2021-585</v>
      </c>
      <c r="T2950" s="1" t="s">
        <v>32</v>
      </c>
    </row>
    <row r="2951" spans="1:20" ht="63.75" x14ac:dyDescent="0.25">
      <c r="A2951" s="6">
        <v>2945</v>
      </c>
      <c r="B2951" s="1" t="str">
        <f>"2021-72"</f>
        <v>2021-72</v>
      </c>
      <c r="C2951" s="1" t="s">
        <v>2534</v>
      </c>
      <c r="D2951" s="1" t="s">
        <v>2535</v>
      </c>
      <c r="E2951" s="1" t="str">
        <f>""</f>
        <v/>
      </c>
      <c r="F2951" s="1" t="s">
        <v>1860</v>
      </c>
      <c r="G2951" s="1" t="str">
        <f>CONCATENATE(" JULIUS MEINL BONFANTI D.O.O.,"," LJUBLJANSKA ULICA 4,"," 10431 SVETA NEDELJA,"," OIB: 39546130894")</f>
        <v xml:space="preserve"> JULIUS MEINL BONFANTI D.O.O., LJUBLJANSKA ULICA 4, 10431 SVETA NEDELJA, OIB: 39546130894</v>
      </c>
      <c r="H2951" s="7"/>
      <c r="I2951" s="8" t="s">
        <v>2581</v>
      </c>
      <c r="J2951" s="8" t="s">
        <v>1264</v>
      </c>
      <c r="K2951" s="6" t="str">
        <f>"2.200,00"</f>
        <v>2.200,00</v>
      </c>
      <c r="L2951" s="6" t="str">
        <f>"550,00"</f>
        <v>550,00</v>
      </c>
      <c r="M2951" s="6" t="str">
        <f>"2.750,00"</f>
        <v>2.750,00</v>
      </c>
      <c r="N2951" s="8" t="s">
        <v>2749</v>
      </c>
      <c r="O2951" s="7"/>
      <c r="P2951" s="2" t="s">
        <v>7244</v>
      </c>
      <c r="Q2951" s="7"/>
      <c r="R2951" s="1"/>
      <c r="S2951" s="1" t="str">
        <f>"J-UN-2021-587"</f>
        <v>J-UN-2021-587</v>
      </c>
      <c r="T2951" s="1" t="s">
        <v>32</v>
      </c>
    </row>
    <row r="2952" spans="1:20" ht="89.25" x14ac:dyDescent="0.25">
      <c r="A2952" s="6">
        <v>2946</v>
      </c>
      <c r="B2952" s="1" t="str">
        <f>"2021-1764"</f>
        <v>2021-1764</v>
      </c>
      <c r="C2952" s="1" t="s">
        <v>2757</v>
      </c>
      <c r="D2952" s="1" t="s">
        <v>2724</v>
      </c>
      <c r="E2952" s="1" t="str">
        <f>""</f>
        <v/>
      </c>
      <c r="F2952" s="1" t="s">
        <v>1860</v>
      </c>
      <c r="G2952" s="1" t="str">
        <f>CONCATENATE(" ZAVOD ZA ISTRAŽIVANJE I RAZVOJ SIGURNOSTI D.O.O.,"," ULICA GRADA VUKOVARA 68,"," 10000 ZAGREB,"," OIB: 05494093403")</f>
        <v xml:space="preserve"> ZAVOD ZA ISTRAŽIVANJE I RAZVOJ SIGURNOSTI D.O.O., ULICA GRADA VUKOVARA 68, 10000 ZAGREB, OIB: 05494093403</v>
      </c>
      <c r="H2952" s="7"/>
      <c r="I2952" s="8" t="s">
        <v>2581</v>
      </c>
      <c r="J2952" s="8" t="s">
        <v>1264</v>
      </c>
      <c r="K2952" s="6" t="str">
        <f>"4.750,00"</f>
        <v>4.750,00</v>
      </c>
      <c r="L2952" s="6" t="str">
        <f>"1.187,50"</f>
        <v>1.187,50</v>
      </c>
      <c r="M2952" s="6" t="str">
        <f>"5.937,50"</f>
        <v>5.937,50</v>
      </c>
      <c r="N2952" s="8" t="s">
        <v>2770</v>
      </c>
      <c r="O2952" s="7"/>
      <c r="P2952" s="2" t="s">
        <v>6644</v>
      </c>
      <c r="Q2952" s="7"/>
      <c r="R2952" s="1"/>
      <c r="S2952" s="1" t="str">
        <f>"J-UN-2021-588"</f>
        <v>J-UN-2021-588</v>
      </c>
      <c r="T2952" s="1" t="s">
        <v>32</v>
      </c>
    </row>
    <row r="2953" spans="1:20" ht="51" x14ac:dyDescent="0.25">
      <c r="A2953" s="6">
        <v>2947</v>
      </c>
      <c r="B2953" s="1" t="str">
        <f>"2021-2137"</f>
        <v>2021-2137</v>
      </c>
      <c r="C2953" s="1" t="s">
        <v>2771</v>
      </c>
      <c r="D2953" s="1" t="s">
        <v>2772</v>
      </c>
      <c r="E2953" s="1" t="str">
        <f>""</f>
        <v/>
      </c>
      <c r="F2953" s="1" t="s">
        <v>1860</v>
      </c>
      <c r="G2953" s="1" t="str">
        <f>CONCATENATE(" O-REL D.O.O.,"," POLJANA JOSIPA BRUNŠMIDA 2,"," 10000 ZAGREB,"," OIB: 71438240165")</f>
        <v xml:space="preserve"> O-REL D.O.O., POLJANA JOSIPA BRUNŠMIDA 2, 10000 ZAGREB, OIB: 71438240165</v>
      </c>
      <c r="H2953" s="7"/>
      <c r="I2953" s="8" t="s">
        <v>542</v>
      </c>
      <c r="J2953" s="8" t="s">
        <v>426</v>
      </c>
      <c r="K2953" s="6" t="str">
        <f>"29.635,50"</f>
        <v>29.635,50</v>
      </c>
      <c r="L2953" s="6" t="str">
        <f>"7.408,88"</f>
        <v>7.408,88</v>
      </c>
      <c r="M2953" s="6" t="str">
        <f>"37.044,38"</f>
        <v>37.044,38</v>
      </c>
      <c r="N2953" s="8" t="s">
        <v>126</v>
      </c>
      <c r="O2953" s="7"/>
      <c r="P2953" s="2" t="s">
        <v>7245</v>
      </c>
      <c r="Q2953" s="7"/>
      <c r="R2953" s="1"/>
      <c r="S2953" s="1" t="str">
        <f>"J-UN-2021-589"</f>
        <v>J-UN-2021-589</v>
      </c>
      <c r="T2953" s="1" t="s">
        <v>32</v>
      </c>
    </row>
    <row r="2954" spans="1:20" ht="51" x14ac:dyDescent="0.25">
      <c r="A2954" s="6">
        <v>2948</v>
      </c>
      <c r="B2954" s="1" t="str">
        <f>"2021-2174"</f>
        <v>2021-2174</v>
      </c>
      <c r="C2954" s="1" t="s">
        <v>2773</v>
      </c>
      <c r="D2954" s="1" t="s">
        <v>2774</v>
      </c>
      <c r="E2954" s="1" t="str">
        <f>""</f>
        <v/>
      </c>
      <c r="F2954" s="1" t="s">
        <v>1860</v>
      </c>
      <c r="G2954" s="1" t="str">
        <f>CONCATENATE(" IN AUTOMATIKA D.O.O.,"," JABLANSKA 82,"," 10000 ZAGREB,"," OIB: 05793648226")</f>
        <v xml:space="preserve"> IN AUTOMATIKA D.O.O., JABLANSKA 82, 10000 ZAGREB, OIB: 05793648226</v>
      </c>
      <c r="H2954" s="7"/>
      <c r="I2954" s="8" t="s">
        <v>542</v>
      </c>
      <c r="J2954" s="8" t="s">
        <v>426</v>
      </c>
      <c r="K2954" s="6" t="str">
        <f>"7.691,87"</f>
        <v>7.691,87</v>
      </c>
      <c r="L2954" s="6" t="str">
        <f>"1.922,97"</f>
        <v>1.922,97</v>
      </c>
      <c r="M2954" s="6" t="str">
        <f>"9.614,84"</f>
        <v>9.614,84</v>
      </c>
      <c r="N2954" s="8" t="s">
        <v>1923</v>
      </c>
      <c r="O2954" s="7"/>
      <c r="P2954" s="2" t="s">
        <v>7246</v>
      </c>
      <c r="Q2954" s="7"/>
      <c r="R2954" s="1"/>
      <c r="S2954" s="1" t="str">
        <f>"J-UN-2021-591"</f>
        <v>J-UN-2021-591</v>
      </c>
      <c r="T2954" s="1" t="s">
        <v>32</v>
      </c>
    </row>
    <row r="2955" spans="1:20" ht="63.75" x14ac:dyDescent="0.25">
      <c r="A2955" s="6">
        <v>2949</v>
      </c>
      <c r="B2955" s="1" t="str">
        <f>"2021-799"</f>
        <v>2021-799</v>
      </c>
      <c r="C2955" s="1" t="s">
        <v>2775</v>
      </c>
      <c r="D2955" s="1" t="s">
        <v>2776</v>
      </c>
      <c r="E2955" s="1" t="str">
        <f>""</f>
        <v/>
      </c>
      <c r="F2955" s="1" t="s">
        <v>1860</v>
      </c>
      <c r="G2955" s="1" t="str">
        <f>CONCATENATE(" ELEKTRO-KOMUNIKACIJE D.O.O.,"," 14. PODBREŽJE 4,"," 10000 ZAGREB,"," OIB: 76412373309")</f>
        <v xml:space="preserve"> ELEKTRO-KOMUNIKACIJE D.O.O., 14. PODBREŽJE 4, 10000 ZAGREB, OIB: 76412373309</v>
      </c>
      <c r="H2955" s="7"/>
      <c r="I2955" s="8" t="s">
        <v>542</v>
      </c>
      <c r="J2955" s="8" t="s">
        <v>426</v>
      </c>
      <c r="K2955" s="6" t="str">
        <f>"2.673,00"</f>
        <v>2.673,00</v>
      </c>
      <c r="L2955" s="6" t="str">
        <f>"668,25"</f>
        <v>668,25</v>
      </c>
      <c r="M2955" s="6" t="str">
        <f>"3.341,25"</f>
        <v>3.341,25</v>
      </c>
      <c r="N2955" s="8" t="s">
        <v>1182</v>
      </c>
      <c r="O2955" s="7"/>
      <c r="P2955" s="2" t="s">
        <v>7247</v>
      </c>
      <c r="Q2955" s="7"/>
      <c r="R2955" s="1"/>
      <c r="S2955" s="1" t="str">
        <f>"J-UN-2021-593"</f>
        <v>J-UN-2021-593</v>
      </c>
      <c r="T2955" s="1" t="s">
        <v>32</v>
      </c>
    </row>
    <row r="2956" spans="1:20" ht="51" x14ac:dyDescent="0.25">
      <c r="A2956" s="6">
        <v>2950</v>
      </c>
      <c r="B2956" s="1" t="str">
        <f>"2021-1199"</f>
        <v>2021-1199</v>
      </c>
      <c r="C2956" s="1" t="s">
        <v>2638</v>
      </c>
      <c r="D2956" s="1" t="s">
        <v>1458</v>
      </c>
      <c r="E2956" s="1" t="str">
        <f>""</f>
        <v/>
      </c>
      <c r="F2956" s="1" t="s">
        <v>1860</v>
      </c>
      <c r="G2956" s="1" t="str">
        <f>CONCATENATE(" AQUA KEM D.O.O.,"," ANTE MIKE TRIPALA 1,"," 10000 ZAGREB,"," OIB: 82941319525")</f>
        <v xml:space="preserve"> AQUA KEM D.O.O., ANTE MIKE TRIPALA 1, 10000 ZAGREB, OIB: 82941319525</v>
      </c>
      <c r="H2956" s="7"/>
      <c r="I2956" s="8" t="s">
        <v>2101</v>
      </c>
      <c r="J2956" s="8" t="s">
        <v>897</v>
      </c>
      <c r="K2956" s="6" t="str">
        <f>"598,00"</f>
        <v>598,00</v>
      </c>
      <c r="L2956" s="6" t="str">
        <f>"149,50"</f>
        <v>149,50</v>
      </c>
      <c r="M2956" s="6" t="str">
        <f>"747,50"</f>
        <v>747,50</v>
      </c>
      <c r="N2956" s="8" t="s">
        <v>2749</v>
      </c>
      <c r="O2956" s="7"/>
      <c r="P2956" s="2" t="s">
        <v>7248</v>
      </c>
      <c r="Q2956" s="7"/>
      <c r="R2956" s="1"/>
      <c r="S2956" s="1" t="str">
        <f>"J-UN-2021-595"</f>
        <v>J-UN-2021-595</v>
      </c>
      <c r="T2956" s="1" t="s">
        <v>32</v>
      </c>
    </row>
    <row r="2957" spans="1:20" ht="63.75" x14ac:dyDescent="0.25">
      <c r="A2957" s="6">
        <v>2951</v>
      </c>
      <c r="B2957" s="1" t="str">
        <f>"2021-1173"</f>
        <v>2021-1173</v>
      </c>
      <c r="C2957" s="1" t="s">
        <v>2777</v>
      </c>
      <c r="D2957" s="1" t="s">
        <v>1373</v>
      </c>
      <c r="E2957" s="1" t="str">
        <f>""</f>
        <v/>
      </c>
      <c r="F2957" s="1" t="s">
        <v>1860</v>
      </c>
      <c r="G2957" s="1" t="str">
        <f>CONCATENATE(" 3 M D.O.O.,"," GORNJE PODOTOČJE,"," ŠKOLSKA 60,"," 10410 VELIKA GORICA,"," OIB: 45975769859")</f>
        <v xml:space="preserve"> 3 M D.O.O., GORNJE PODOTOČJE, ŠKOLSKA 60, 10410 VELIKA GORICA, OIB: 45975769859</v>
      </c>
      <c r="H2957" s="7"/>
      <c r="I2957" s="8" t="s">
        <v>2101</v>
      </c>
      <c r="J2957" s="8" t="s">
        <v>897</v>
      </c>
      <c r="K2957" s="6" t="str">
        <f>"2.280,00"</f>
        <v>2.280,00</v>
      </c>
      <c r="L2957" s="6" t="str">
        <f>"570,00"</f>
        <v>570,00</v>
      </c>
      <c r="M2957" s="6" t="str">
        <f>"2.850,00"</f>
        <v>2.850,00</v>
      </c>
      <c r="N2957" s="8" t="s">
        <v>2749</v>
      </c>
      <c r="O2957" s="7"/>
      <c r="P2957" s="2" t="s">
        <v>7249</v>
      </c>
      <c r="Q2957" s="7"/>
      <c r="R2957" s="1"/>
      <c r="S2957" s="1" t="str">
        <f>"J-UN-2021-596"</f>
        <v>J-UN-2021-596</v>
      </c>
      <c r="T2957" s="1" t="s">
        <v>32</v>
      </c>
    </row>
    <row r="2958" spans="1:20" ht="63.75" x14ac:dyDescent="0.25">
      <c r="A2958" s="6">
        <v>2952</v>
      </c>
      <c r="B2958" s="1" t="str">
        <f>"2021-80"</f>
        <v>2021-80</v>
      </c>
      <c r="C2958" s="1" t="s">
        <v>2731</v>
      </c>
      <c r="D2958" s="1" t="s">
        <v>2732</v>
      </c>
      <c r="E2958" s="1" t="str">
        <f>""</f>
        <v/>
      </c>
      <c r="F2958" s="1" t="s">
        <v>1860</v>
      </c>
      <c r="G2958" s="1" t="str">
        <f>CONCATENATE(" PROTING HORVAT D.O.O.,"," FRANA GALINOVIĆA 4,"," 49000 KRAPINA,"," OIB: 75263812619")</f>
        <v xml:space="preserve"> PROTING HORVAT D.O.O., FRANA GALINOVIĆA 4, 49000 KRAPINA, OIB: 75263812619</v>
      </c>
      <c r="H2958" s="7"/>
      <c r="I2958" s="8" t="s">
        <v>2581</v>
      </c>
      <c r="J2958" s="8" t="s">
        <v>1264</v>
      </c>
      <c r="K2958" s="6" t="str">
        <f>"980,00"</f>
        <v>980,00</v>
      </c>
      <c r="L2958" s="6" t="str">
        <f>"245,00"</f>
        <v>245,00</v>
      </c>
      <c r="M2958" s="6" t="str">
        <f>"1.225,00"</f>
        <v>1.225,00</v>
      </c>
      <c r="N2958" s="8" t="s">
        <v>25</v>
      </c>
      <c r="O2958" s="7"/>
      <c r="P2958" s="2" t="s">
        <v>7250</v>
      </c>
      <c r="Q2958" s="7"/>
      <c r="R2958" s="1"/>
      <c r="S2958" s="1" t="str">
        <f>"J-UN-2021-598"</f>
        <v>J-UN-2021-598</v>
      </c>
      <c r="T2958" s="1" t="s">
        <v>32</v>
      </c>
    </row>
    <row r="2959" spans="1:20" ht="76.5" x14ac:dyDescent="0.25">
      <c r="A2959" s="6">
        <v>2953</v>
      </c>
      <c r="B2959" s="1" t="str">
        <f>"2021-887"</f>
        <v>2021-887</v>
      </c>
      <c r="C2959" s="1" t="s">
        <v>2778</v>
      </c>
      <c r="D2959" s="1" t="s">
        <v>1833</v>
      </c>
      <c r="E2959" s="1" t="str">
        <f>""</f>
        <v/>
      </c>
      <c r="F2959" s="1" t="s">
        <v>1860</v>
      </c>
      <c r="G2959" s="1" t="str">
        <f>CONCATENATE(" WAWA D.O.O.,"," ODVOJAK INDUSTRIJSKE ULICE,"," NOVAKI 3,"," 10431 SVETA NEDJELJA,"," OIB: 59785180614")</f>
        <v xml:space="preserve"> WAWA D.O.O., ODVOJAK INDUSTRIJSKE ULICE, NOVAKI 3, 10431 SVETA NEDJELJA, OIB: 59785180614</v>
      </c>
      <c r="H2959" s="7"/>
      <c r="I2959" s="8" t="s">
        <v>2740</v>
      </c>
      <c r="J2959" s="8" t="s">
        <v>469</v>
      </c>
      <c r="K2959" s="6" t="str">
        <f>"5.211,41"</f>
        <v>5.211,41</v>
      </c>
      <c r="L2959" s="6" t="str">
        <f>"1.302,85"</f>
        <v>1.302,85</v>
      </c>
      <c r="M2959" s="6" t="str">
        <f>"6.514,26"</f>
        <v>6.514,26</v>
      </c>
      <c r="N2959" s="8" t="s">
        <v>2599</v>
      </c>
      <c r="O2959" s="7"/>
      <c r="P2959" s="2" t="s">
        <v>7251</v>
      </c>
      <c r="Q2959" s="1"/>
      <c r="R2959" s="1"/>
      <c r="S2959" s="1" t="str">
        <f>"J-UN-2021-603"</f>
        <v>J-UN-2021-603</v>
      </c>
      <c r="T2959" s="1" t="s">
        <v>32</v>
      </c>
    </row>
    <row r="2960" spans="1:20" ht="51" x14ac:dyDescent="0.25">
      <c r="A2960" s="6">
        <v>2954</v>
      </c>
      <c r="B2960" s="1" t="str">
        <f>"2021-707"</f>
        <v>2021-707</v>
      </c>
      <c r="C2960" s="1" t="s">
        <v>2642</v>
      </c>
      <c r="D2960" s="1" t="s">
        <v>1236</v>
      </c>
      <c r="E2960" s="1" t="str">
        <f>""</f>
        <v/>
      </c>
      <c r="F2960" s="1" t="s">
        <v>1860</v>
      </c>
      <c r="G2960" s="1" t="str">
        <f>CONCATENATE(" EUROMONT INTRO D.O.O.,"," KANALSKI PUT 20,"," 10000 ZAGREB,"," OIB: 46289034988")</f>
        <v xml:space="preserve"> EUROMONT INTRO D.O.O., KANALSKI PUT 20, 10000 ZAGREB, OIB: 46289034988</v>
      </c>
      <c r="H2960" s="7"/>
      <c r="I2960" s="8" t="s">
        <v>108</v>
      </c>
      <c r="J2960" s="8" t="s">
        <v>1629</v>
      </c>
      <c r="K2960" s="6" t="str">
        <f>"8.010,00"</f>
        <v>8.010,00</v>
      </c>
      <c r="L2960" s="6" t="str">
        <f>"2.002,50"</f>
        <v>2.002,50</v>
      </c>
      <c r="M2960" s="6" t="str">
        <f>"10.012,50"</f>
        <v>10.012,50</v>
      </c>
      <c r="N2960" s="8" t="s">
        <v>1182</v>
      </c>
      <c r="O2960" s="7"/>
      <c r="P2960" s="2" t="s">
        <v>7252</v>
      </c>
      <c r="Q2960" s="7"/>
      <c r="R2960" s="1"/>
      <c r="S2960" s="1" t="str">
        <f>"J-UN-2021-604"</f>
        <v>J-UN-2021-604</v>
      </c>
      <c r="T2960" s="1" t="s">
        <v>32</v>
      </c>
    </row>
    <row r="2961" spans="1:20" ht="51" x14ac:dyDescent="0.25">
      <c r="A2961" s="6">
        <v>2955</v>
      </c>
      <c r="B2961" s="1" t="str">
        <f>"2021-463"</f>
        <v>2021-463</v>
      </c>
      <c r="C2961" s="1" t="s">
        <v>2600</v>
      </c>
      <c r="D2961" s="1" t="s">
        <v>2601</v>
      </c>
      <c r="E2961" s="1" t="str">
        <f>""</f>
        <v/>
      </c>
      <c r="F2961" s="1" t="s">
        <v>1860</v>
      </c>
      <c r="G2961" s="1" t="str">
        <f>CONCATENATE(" SCHEDA D.O.O.,"," LJUDEVITA POSAVSKOG 29,"," 10360 SESVETE,"," OIB: 76219817247")</f>
        <v xml:space="preserve"> SCHEDA D.O.O., LJUDEVITA POSAVSKOG 29, 10360 SESVETE, OIB: 76219817247</v>
      </c>
      <c r="H2961" s="7"/>
      <c r="I2961" s="8" t="s">
        <v>2581</v>
      </c>
      <c r="J2961" s="8" t="s">
        <v>1264</v>
      </c>
      <c r="K2961" s="6" t="str">
        <f>"7.696,30"</f>
        <v>7.696,30</v>
      </c>
      <c r="L2961" s="6" t="str">
        <f>"1.924,08"</f>
        <v>1.924,08</v>
      </c>
      <c r="M2961" s="6" t="str">
        <f>"9.620,38"</f>
        <v>9.620,38</v>
      </c>
      <c r="N2961" s="8" t="s">
        <v>2749</v>
      </c>
      <c r="O2961" s="7"/>
      <c r="P2961" s="2" t="s">
        <v>7253</v>
      </c>
      <c r="Q2961" s="7"/>
      <c r="R2961" s="1"/>
      <c r="S2961" s="1" t="str">
        <f>"J-UN-2021-605"</f>
        <v>J-UN-2021-605</v>
      </c>
      <c r="T2961" s="1" t="s">
        <v>32</v>
      </c>
    </row>
    <row r="2962" spans="1:20" ht="51" x14ac:dyDescent="0.25">
      <c r="A2962" s="6">
        <v>2956</v>
      </c>
      <c r="B2962" s="1" t="str">
        <f>"2021-1412"</f>
        <v>2021-1412</v>
      </c>
      <c r="C2962" s="1" t="s">
        <v>2779</v>
      </c>
      <c r="D2962" s="1" t="s">
        <v>2780</v>
      </c>
      <c r="E2962" s="1" t="str">
        <f>""</f>
        <v/>
      </c>
      <c r="F2962" s="1" t="s">
        <v>1860</v>
      </c>
      <c r="G2962" s="1" t="str">
        <f>CONCATENATE(" LEXPERA D.O.O.,"," TUŠKANOVA 37,"," 10000 ZAGREB,"," OIB: 79506290597")</f>
        <v xml:space="preserve"> LEXPERA D.O.O., TUŠKANOVA 37, 10000 ZAGREB, OIB: 79506290597</v>
      </c>
      <c r="H2962" s="7"/>
      <c r="I2962" s="8" t="s">
        <v>108</v>
      </c>
      <c r="J2962" s="8" t="s">
        <v>1629</v>
      </c>
      <c r="K2962" s="6" t="str">
        <f>"3.312,00"</f>
        <v>3.312,00</v>
      </c>
      <c r="L2962" s="6" t="str">
        <f>"828,00"</f>
        <v>828,00</v>
      </c>
      <c r="M2962" s="6" t="str">
        <f>"4.140,00"</f>
        <v>4.140,00</v>
      </c>
      <c r="N2962" s="8" t="s">
        <v>2581</v>
      </c>
      <c r="O2962" s="7"/>
      <c r="P2962" s="2" t="s">
        <v>7254</v>
      </c>
      <c r="Q2962" s="7"/>
      <c r="R2962" s="1"/>
      <c r="S2962" s="1" t="str">
        <f>"J-UN-2021-606"</f>
        <v>J-UN-2021-606</v>
      </c>
      <c r="T2962" s="1" t="s">
        <v>32</v>
      </c>
    </row>
    <row r="2963" spans="1:20" ht="51" x14ac:dyDescent="0.25">
      <c r="A2963" s="6">
        <v>2957</v>
      </c>
      <c r="B2963" s="1" t="str">
        <f>"2021-1219"</f>
        <v>2021-1219</v>
      </c>
      <c r="C2963" s="1" t="s">
        <v>2781</v>
      </c>
      <c r="D2963" s="1" t="s">
        <v>1458</v>
      </c>
      <c r="E2963" s="1" t="str">
        <f>""</f>
        <v/>
      </c>
      <c r="F2963" s="1" t="s">
        <v>1860</v>
      </c>
      <c r="G2963" s="1" t="str">
        <f>CONCATENATE(" FRIGOEKSPERT D.O.O.,"," SUTLANSKE DOLINE 40,"," 10293 DUBRAVICA,"," OIB: 5586067133")</f>
        <v xml:space="preserve"> FRIGOEKSPERT D.O.O., SUTLANSKE DOLINE 40, 10293 DUBRAVICA, OIB: 5586067133</v>
      </c>
      <c r="H2963" s="7"/>
      <c r="I2963" s="8" t="s">
        <v>108</v>
      </c>
      <c r="J2963" s="8" t="s">
        <v>1629</v>
      </c>
      <c r="K2963" s="6" t="str">
        <f>"2.959,20"</f>
        <v>2.959,20</v>
      </c>
      <c r="L2963" s="6" t="str">
        <f>"739,80"</f>
        <v>739,80</v>
      </c>
      <c r="M2963" s="6" t="str">
        <f>"3.699,00"</f>
        <v>3.699,00</v>
      </c>
      <c r="N2963" s="8" t="s">
        <v>1923</v>
      </c>
      <c r="O2963" s="7"/>
      <c r="P2963" s="2" t="s">
        <v>7255</v>
      </c>
      <c r="Q2963" s="7"/>
      <c r="R2963" s="1"/>
      <c r="S2963" s="1" t="str">
        <f>"J-UN-2021-607"</f>
        <v>J-UN-2021-607</v>
      </c>
      <c r="T2963" s="1" t="s">
        <v>32</v>
      </c>
    </row>
    <row r="2964" spans="1:20" ht="63.75" x14ac:dyDescent="0.25">
      <c r="A2964" s="6">
        <v>2958</v>
      </c>
      <c r="B2964" s="1" t="str">
        <f>"2021-906"</f>
        <v>2021-906</v>
      </c>
      <c r="C2964" s="1" t="s">
        <v>2782</v>
      </c>
      <c r="D2964" s="1" t="s">
        <v>815</v>
      </c>
      <c r="E2964" s="1" t="str">
        <f>""</f>
        <v/>
      </c>
      <c r="F2964" s="1" t="s">
        <v>1860</v>
      </c>
      <c r="G2964" s="1" t="str">
        <f>CONCATENATE(" LAUS INTERNATIONAL D.O.O.,"," DR. FRANJE TUĐMANA 16B,"," 10431 SVETA NEDELJA,"," OIB: 93039509752")</f>
        <v xml:space="preserve"> LAUS INTERNATIONAL D.O.O., DR. FRANJE TUĐMANA 16B, 10431 SVETA NEDELJA, OIB: 93039509752</v>
      </c>
      <c r="H2964" s="7"/>
      <c r="I2964" s="8" t="s">
        <v>2740</v>
      </c>
      <c r="J2964" s="8" t="s">
        <v>469</v>
      </c>
      <c r="K2964" s="6" t="str">
        <f>"3.227,18"</f>
        <v>3.227,18</v>
      </c>
      <c r="L2964" s="6" t="str">
        <f>"806,80"</f>
        <v>806,80</v>
      </c>
      <c r="M2964" s="6" t="str">
        <f>"4.033,98"</f>
        <v>4.033,98</v>
      </c>
      <c r="N2964" s="8" t="s">
        <v>911</v>
      </c>
      <c r="O2964" s="7"/>
      <c r="P2964" s="2" t="s">
        <v>7256</v>
      </c>
      <c r="Q2964" s="7"/>
      <c r="R2964" s="1"/>
      <c r="S2964" s="1" t="str">
        <f>"J-UN-2021-608"</f>
        <v>J-UN-2021-608</v>
      </c>
      <c r="T2964" s="1" t="s">
        <v>32</v>
      </c>
    </row>
    <row r="2965" spans="1:20" ht="63.75" x14ac:dyDescent="0.25">
      <c r="A2965" s="6">
        <v>2959</v>
      </c>
      <c r="B2965" s="1" t="str">
        <f>"2021-1101"</f>
        <v>2021-1101</v>
      </c>
      <c r="C2965" s="1" t="s">
        <v>2702</v>
      </c>
      <c r="D2965" s="1" t="s">
        <v>1209</v>
      </c>
      <c r="E2965" s="1" t="str">
        <f>""</f>
        <v/>
      </c>
      <c r="F2965" s="1" t="s">
        <v>1860</v>
      </c>
      <c r="G2965" s="1" t="str">
        <f>CONCATENATE(" DRÄGER SAFETY D.O.O.,"," AVENIJA VEĆESLAVA HOLJEVCA 40,"," 10010 ZAGREB,"," OIB: 32874587842")</f>
        <v xml:space="preserve"> DRÄGER SAFETY D.O.O., AVENIJA VEĆESLAVA HOLJEVCA 40, 10010 ZAGREB, OIB: 32874587842</v>
      </c>
      <c r="H2965" s="7"/>
      <c r="I2965" s="8" t="s">
        <v>2740</v>
      </c>
      <c r="J2965" s="8" t="s">
        <v>469</v>
      </c>
      <c r="K2965" s="6" t="str">
        <f>"1.325,90"</f>
        <v>1.325,90</v>
      </c>
      <c r="L2965" s="6" t="str">
        <f>"331,48"</f>
        <v>331,48</v>
      </c>
      <c r="M2965" s="6" t="str">
        <f>"1.657,38"</f>
        <v>1.657,38</v>
      </c>
      <c r="N2965" s="8" t="s">
        <v>67</v>
      </c>
      <c r="O2965" s="7"/>
      <c r="P2965" s="2" t="s">
        <v>7257</v>
      </c>
      <c r="Q2965" s="7"/>
      <c r="R2965" s="1"/>
      <c r="S2965" s="1" t="str">
        <f>"J-UN-2021-609"</f>
        <v>J-UN-2021-609</v>
      </c>
      <c r="T2965" s="1" t="s">
        <v>32</v>
      </c>
    </row>
    <row r="2966" spans="1:20" ht="63.75" x14ac:dyDescent="0.25">
      <c r="A2966" s="6">
        <v>2960</v>
      </c>
      <c r="B2966" s="1" t="str">
        <f>"2021-1053"</f>
        <v>2021-1053</v>
      </c>
      <c r="C2966" s="1" t="s">
        <v>2783</v>
      </c>
      <c r="D2966" s="1" t="s">
        <v>471</v>
      </c>
      <c r="E2966" s="1" t="str">
        <f>""</f>
        <v/>
      </c>
      <c r="F2966" s="1" t="s">
        <v>1860</v>
      </c>
      <c r="G2966" s="1" t="str">
        <f>CONCATENATE(" INFO-KOD d.o.o.,"," DINARSKI PUT 1B,"," 10090 ZAGREB-SUSEDGRAD,"," OIB: 87565323632")</f>
        <v xml:space="preserve"> INFO-KOD d.o.o., DINARSKI PUT 1B, 10090 ZAGREB-SUSEDGRAD, OIB: 87565323632</v>
      </c>
      <c r="H2966" s="7"/>
      <c r="I2966" s="8" t="s">
        <v>108</v>
      </c>
      <c r="J2966" s="8" t="s">
        <v>1629</v>
      </c>
      <c r="K2966" s="6" t="str">
        <f>"2.350,00"</f>
        <v>2.350,00</v>
      </c>
      <c r="L2966" s="6" t="str">
        <f>"587,50"</f>
        <v>587,50</v>
      </c>
      <c r="M2966" s="6" t="str">
        <f>"2.937,50"</f>
        <v>2.937,50</v>
      </c>
      <c r="N2966" s="8" t="s">
        <v>37</v>
      </c>
      <c r="O2966" s="7"/>
      <c r="P2966" s="2" t="s">
        <v>7258</v>
      </c>
      <c r="Q2966" s="7"/>
      <c r="R2966" s="1"/>
      <c r="S2966" s="1" t="str">
        <f>"J-UN-2021-610"</f>
        <v>J-UN-2021-610</v>
      </c>
      <c r="T2966" s="1" t="s">
        <v>32</v>
      </c>
    </row>
    <row r="2967" spans="1:20" ht="76.5" x14ac:dyDescent="0.25">
      <c r="A2967" s="6">
        <v>2961</v>
      </c>
      <c r="B2967" s="1" t="str">
        <f>"2021-1733"</f>
        <v>2021-1733</v>
      </c>
      <c r="C2967" s="1" t="s">
        <v>2405</v>
      </c>
      <c r="D2967" s="1" t="s">
        <v>880</v>
      </c>
      <c r="E2967" s="1" t="str">
        <f>""</f>
        <v/>
      </c>
      <c r="F2967" s="1" t="s">
        <v>1860</v>
      </c>
      <c r="G2967" s="1" t="str">
        <f>CONCATENATE(" NASTAVNI ZAVOD ZA JAVNO ZDRAVSTVO DR. ANDRIJA ŠTAMPAR,"," MIROGOJSKA CESTA 16,"," 10000 ZAGREB,"," OIB: 3339200596")</f>
        <v xml:space="preserve"> NASTAVNI ZAVOD ZA JAVNO ZDRAVSTVO DR. ANDRIJA ŠTAMPAR, MIROGOJSKA CESTA 16, 10000 ZAGREB, OIB: 3339200596</v>
      </c>
      <c r="H2967" s="7"/>
      <c r="I2967" s="8" t="s">
        <v>108</v>
      </c>
      <c r="J2967" s="8" t="s">
        <v>1629</v>
      </c>
      <c r="K2967" s="6" t="str">
        <f>"345,00"</f>
        <v>345,00</v>
      </c>
      <c r="L2967" s="6" t="str">
        <f>"86,25"</f>
        <v>86,25</v>
      </c>
      <c r="M2967" s="6" t="str">
        <f>"431,25"</f>
        <v>431,25</v>
      </c>
      <c r="N2967" s="8" t="s">
        <v>124</v>
      </c>
      <c r="O2967" s="7"/>
      <c r="P2967" s="2" t="s">
        <v>5614</v>
      </c>
      <c r="Q2967" s="7"/>
      <c r="R2967" s="1"/>
      <c r="S2967" s="1" t="str">
        <f>"J-UN-2021-612"</f>
        <v>J-UN-2021-612</v>
      </c>
      <c r="T2967" s="1" t="s">
        <v>32</v>
      </c>
    </row>
    <row r="2968" spans="1:20" ht="76.5" x14ac:dyDescent="0.25">
      <c r="A2968" s="6">
        <v>2962</v>
      </c>
      <c r="B2968" s="1" t="str">
        <f>"2021-1506"</f>
        <v>2021-1506</v>
      </c>
      <c r="C2968" s="1" t="s">
        <v>1041</v>
      </c>
      <c r="D2968" s="1" t="s">
        <v>515</v>
      </c>
      <c r="E2968" s="1" t="str">
        <f>""</f>
        <v/>
      </c>
      <c r="F2968" s="1" t="s">
        <v>1860</v>
      </c>
      <c r="G2968" s="1" t="str">
        <f>CONCATENATE(" NASTAVNI ZAVOD ZA JAVNO ZDRAVSTVO DR. ANDRIJA ŠTAMPAR,"," MIROGOJSKA CESTA 16,"," 10000 ZAGREB,"," OIB: 3339200596")</f>
        <v xml:space="preserve"> NASTAVNI ZAVOD ZA JAVNO ZDRAVSTVO DR. ANDRIJA ŠTAMPAR, MIROGOJSKA CESTA 16, 10000 ZAGREB, OIB: 3339200596</v>
      </c>
      <c r="H2968" s="7"/>
      <c r="I2968" s="8" t="s">
        <v>108</v>
      </c>
      <c r="J2968" s="8" t="s">
        <v>1629</v>
      </c>
      <c r="K2968" s="6" t="str">
        <f>"516,50"</f>
        <v>516,50</v>
      </c>
      <c r="L2968" s="6" t="str">
        <f>"129,13"</f>
        <v>129,13</v>
      </c>
      <c r="M2968" s="6" t="str">
        <f>"645,63"</f>
        <v>645,63</v>
      </c>
      <c r="N2968" s="8" t="s">
        <v>2381</v>
      </c>
      <c r="O2968" s="7"/>
      <c r="P2968" s="2" t="s">
        <v>7259</v>
      </c>
      <c r="Q2968" s="7"/>
      <c r="R2968" s="1"/>
      <c r="S2968" s="1" t="str">
        <f>"J-UN-2021-613"</f>
        <v>J-UN-2021-613</v>
      </c>
      <c r="T2968" s="1" t="s">
        <v>32</v>
      </c>
    </row>
    <row r="2969" spans="1:20" ht="63.75" x14ac:dyDescent="0.25">
      <c r="A2969" s="6">
        <v>2963</v>
      </c>
      <c r="B2969" s="1" t="str">
        <f>"2021-1168"</f>
        <v>2021-1168</v>
      </c>
      <c r="C2969" s="1" t="s">
        <v>2784</v>
      </c>
      <c r="D2969" s="1" t="s">
        <v>2785</v>
      </c>
      <c r="E2969" s="1" t="str">
        <f>""</f>
        <v/>
      </c>
      <c r="F2969" s="1" t="s">
        <v>1860</v>
      </c>
      <c r="G2969" s="1" t="str">
        <f>CONCATENATE(" KUM TRADE ENGINEERING D.O.O.,"," SAVSKI GAJ XIII PUT 2,"," 10000 ZAGREB,"," OIB: 15856331916")</f>
        <v xml:space="preserve"> KUM TRADE ENGINEERING D.O.O., SAVSKI GAJ XIII PUT 2, 10000 ZAGREB, OIB: 15856331916</v>
      </c>
      <c r="H2969" s="7"/>
      <c r="I2969" s="8" t="s">
        <v>36</v>
      </c>
      <c r="J2969" s="8" t="s">
        <v>1433</v>
      </c>
      <c r="K2969" s="6" t="str">
        <f>"15.725,00"</f>
        <v>15.725,00</v>
      </c>
      <c r="L2969" s="6" t="str">
        <f>"3.931,25"</f>
        <v>3.931,25</v>
      </c>
      <c r="M2969" s="6" t="str">
        <f>"19.656,25"</f>
        <v>19.656,25</v>
      </c>
      <c r="N2969" s="8" t="s">
        <v>37</v>
      </c>
      <c r="O2969" s="7"/>
      <c r="P2969" s="2" t="s">
        <v>7260</v>
      </c>
      <c r="Q2969" s="7"/>
      <c r="R2969" s="1"/>
      <c r="S2969" s="1" t="str">
        <f>"J-UN-2021-614"</f>
        <v>J-UN-2021-614</v>
      </c>
      <c r="T2969" s="1" t="s">
        <v>32</v>
      </c>
    </row>
    <row r="2970" spans="1:20" ht="63.75" x14ac:dyDescent="0.25">
      <c r="A2970" s="6">
        <v>2964</v>
      </c>
      <c r="B2970" s="1" t="str">
        <f>"2021-2196"</f>
        <v>2021-2196</v>
      </c>
      <c r="C2970" s="1" t="s">
        <v>2020</v>
      </c>
      <c r="D2970" s="1" t="s">
        <v>2021</v>
      </c>
      <c r="E2970" s="1" t="str">
        <f>""</f>
        <v/>
      </c>
      <c r="F2970" s="1" t="s">
        <v>1860</v>
      </c>
      <c r="G2970" s="1" t="str">
        <f>CONCATENATE(" GEOTEHA D.O.O.,"," MILIVOJA MATOŠECA 3,"," 10090 ZAGREB-SUSEDGRAD,"," OIB: 87238469506")</f>
        <v xml:space="preserve"> GEOTEHA D.O.O., MILIVOJA MATOŠECA 3, 10090 ZAGREB-SUSEDGRAD, OIB: 87238469506</v>
      </c>
      <c r="H2970" s="7"/>
      <c r="I2970" s="8" t="s">
        <v>2581</v>
      </c>
      <c r="J2970" s="8" t="s">
        <v>1264</v>
      </c>
      <c r="K2970" s="6" t="str">
        <f>"1.380,00"</f>
        <v>1.380,00</v>
      </c>
      <c r="L2970" s="6" t="str">
        <f>"345,00"</f>
        <v>345,00</v>
      </c>
      <c r="M2970" s="6" t="str">
        <f>"1.725,00"</f>
        <v>1.725,00</v>
      </c>
      <c r="N2970" s="8" t="s">
        <v>24</v>
      </c>
      <c r="O2970" s="7"/>
      <c r="P2970" s="2" t="s">
        <v>5960</v>
      </c>
      <c r="Q2970" s="7"/>
      <c r="R2970" s="1"/>
      <c r="S2970" s="1" t="str">
        <f>"J-UN-2021-615"</f>
        <v>J-UN-2021-615</v>
      </c>
      <c r="T2970" s="1" t="s">
        <v>32</v>
      </c>
    </row>
    <row r="2971" spans="1:20" ht="51" x14ac:dyDescent="0.25">
      <c r="A2971" s="6">
        <v>2965</v>
      </c>
      <c r="B2971" s="1" t="str">
        <f>"2021-1051"</f>
        <v>2021-1051</v>
      </c>
      <c r="C2971" s="1" t="s">
        <v>2786</v>
      </c>
      <c r="D2971" s="1" t="s">
        <v>476</v>
      </c>
      <c r="E2971" s="1" t="str">
        <f>""</f>
        <v/>
      </c>
      <c r="F2971" s="1" t="s">
        <v>1860</v>
      </c>
      <c r="G2971" s="1" t="str">
        <f>CONCATENATE(" ZEL-COS D.O.O.,"," NOVA CESTA 166,"," 10000 ZAGREB,"," OIB: 0730659155")</f>
        <v xml:space="preserve"> ZEL-COS D.O.O., NOVA CESTA 166, 10000 ZAGREB, OIB: 0730659155</v>
      </c>
      <c r="H2971" s="7"/>
      <c r="I2971" s="8" t="s">
        <v>2581</v>
      </c>
      <c r="J2971" s="8" t="s">
        <v>1264</v>
      </c>
      <c r="K2971" s="6" t="str">
        <f>"2.880,00"</f>
        <v>2.880,00</v>
      </c>
      <c r="L2971" s="6" t="str">
        <f>"720,00"</f>
        <v>720,00</v>
      </c>
      <c r="M2971" s="6" t="str">
        <f>"3.600,00"</f>
        <v>3.600,00</v>
      </c>
      <c r="N2971" s="8" t="s">
        <v>124</v>
      </c>
      <c r="O2971" s="7"/>
      <c r="P2971" s="2" t="s">
        <v>5614</v>
      </c>
      <c r="Q2971" s="7"/>
      <c r="R2971" s="1"/>
      <c r="S2971" s="1" t="str">
        <f>"J-UN-2021-618"</f>
        <v>J-UN-2021-618</v>
      </c>
      <c r="T2971" s="1" t="s">
        <v>32</v>
      </c>
    </row>
    <row r="2972" spans="1:20" ht="63.75" x14ac:dyDescent="0.25">
      <c r="A2972" s="6">
        <v>2966</v>
      </c>
      <c r="B2972" s="1" t="str">
        <f>"2021-1111"</f>
        <v>2021-1111</v>
      </c>
      <c r="C2972" s="1" t="s">
        <v>2718</v>
      </c>
      <c r="D2972" s="1" t="s">
        <v>1102</v>
      </c>
      <c r="E2972" s="1" t="str">
        <f>""</f>
        <v/>
      </c>
      <c r="F2972" s="1" t="s">
        <v>1860</v>
      </c>
      <c r="G2972" s="1" t="str">
        <f>CONCATENATE(" ADEO d.o.o. Osijek,"," ULICA KRALJA TOMISLAVA 81,"," 31327 BILJE,"," OIB: 6242811405")</f>
        <v xml:space="preserve"> ADEO d.o.o. Osijek, ULICA KRALJA TOMISLAVA 81, 31327 BILJE, OIB: 6242811405</v>
      </c>
      <c r="H2972" s="7"/>
      <c r="I2972" s="8" t="s">
        <v>29</v>
      </c>
      <c r="J2972" s="8" t="s">
        <v>406</v>
      </c>
      <c r="K2972" s="6" t="str">
        <f>"15.480,00"</f>
        <v>15.480,00</v>
      </c>
      <c r="L2972" s="6" t="str">
        <f>"3.870,00"</f>
        <v>3.870,00</v>
      </c>
      <c r="M2972" s="6" t="str">
        <f>"19.350,00"</f>
        <v>19.350,00</v>
      </c>
      <c r="N2972" s="8" t="s">
        <v>540</v>
      </c>
      <c r="O2972" s="7"/>
      <c r="P2972" s="2" t="s">
        <v>7261</v>
      </c>
      <c r="Q2972" s="7"/>
      <c r="R2972" s="1"/>
      <c r="S2972" s="1" t="str">
        <f>"J-UN-2021-619"</f>
        <v>J-UN-2021-619</v>
      </c>
      <c r="T2972" s="1" t="s">
        <v>32</v>
      </c>
    </row>
    <row r="2973" spans="1:20" ht="51" x14ac:dyDescent="0.25">
      <c r="A2973" s="6">
        <v>2967</v>
      </c>
      <c r="B2973" s="1" t="str">
        <f>"2021-1204"</f>
        <v>2021-1204</v>
      </c>
      <c r="C2973" s="1" t="s">
        <v>2787</v>
      </c>
      <c r="D2973" s="1" t="s">
        <v>1627</v>
      </c>
      <c r="E2973" s="1" t="str">
        <f>""</f>
        <v/>
      </c>
      <c r="F2973" s="1" t="s">
        <v>1860</v>
      </c>
      <c r="G2973" s="1" t="str">
        <f>CONCATENATE(" ELICOM D.O.O.,"," ŠTEFANOVEC 138,"," 10000 ZAGREB,"," OIB: 76370234816")</f>
        <v xml:space="preserve"> ELICOM D.O.O., ŠTEFANOVEC 138, 10000 ZAGREB, OIB: 76370234816</v>
      </c>
      <c r="H2973" s="7"/>
      <c r="I2973" s="8" t="s">
        <v>108</v>
      </c>
      <c r="J2973" s="8" t="s">
        <v>1629</v>
      </c>
      <c r="K2973" s="6" t="str">
        <f>"2.025,74"</f>
        <v>2.025,74</v>
      </c>
      <c r="L2973" s="6" t="str">
        <f>"506,44"</f>
        <v>506,44</v>
      </c>
      <c r="M2973" s="6" t="str">
        <f>"2.532,18"</f>
        <v>2.532,18</v>
      </c>
      <c r="N2973" s="8" t="s">
        <v>40</v>
      </c>
      <c r="O2973" s="7"/>
      <c r="P2973" s="2" t="s">
        <v>7262</v>
      </c>
      <c r="Q2973" s="7"/>
      <c r="R2973" s="1"/>
      <c r="S2973" s="1" t="str">
        <f>"J-UN-2021-620"</f>
        <v>J-UN-2021-620</v>
      </c>
      <c r="T2973" s="1" t="s">
        <v>32</v>
      </c>
    </row>
    <row r="2974" spans="1:20" ht="63.75" x14ac:dyDescent="0.25">
      <c r="A2974" s="6">
        <v>2968</v>
      </c>
      <c r="B2974" s="1" t="str">
        <f>"2021-491"</f>
        <v>2021-491</v>
      </c>
      <c r="C2974" s="1" t="s">
        <v>2788</v>
      </c>
      <c r="D2974" s="1" t="s">
        <v>2789</v>
      </c>
      <c r="E2974" s="1" t="str">
        <f>""</f>
        <v/>
      </c>
      <c r="F2974" s="1" t="s">
        <v>1860</v>
      </c>
      <c r="G2974" s="1" t="str">
        <f>CONCATENATE(" ELEKTRO-KOMUNIKACIJE D.O.O.,"," 14. PODBREŽJE 4,"," 10000 ZAGREB,"," OIB: 76412373309")</f>
        <v xml:space="preserve"> ELEKTRO-KOMUNIKACIJE D.O.O., 14. PODBREŽJE 4, 10000 ZAGREB, OIB: 76412373309</v>
      </c>
      <c r="H2974" s="7"/>
      <c r="I2974" s="8" t="s">
        <v>2581</v>
      </c>
      <c r="J2974" s="8" t="s">
        <v>1264</v>
      </c>
      <c r="K2974" s="6" t="str">
        <f>"1.669,50"</f>
        <v>1.669,50</v>
      </c>
      <c r="L2974" s="6" t="str">
        <f>"417,38"</f>
        <v>417,38</v>
      </c>
      <c r="M2974" s="6" t="str">
        <f>"2.086,88"</f>
        <v>2.086,88</v>
      </c>
      <c r="N2974" s="8" t="s">
        <v>1182</v>
      </c>
      <c r="O2974" s="7"/>
      <c r="P2974" s="2" t="s">
        <v>7263</v>
      </c>
      <c r="Q2974" s="7"/>
      <c r="R2974" s="1"/>
      <c r="S2974" s="1" t="str">
        <f>"J-UN-2021-622"</f>
        <v>J-UN-2021-622</v>
      </c>
      <c r="T2974" s="1" t="s">
        <v>32</v>
      </c>
    </row>
    <row r="2975" spans="1:20" ht="63.75" x14ac:dyDescent="0.25">
      <c r="A2975" s="6">
        <v>2969</v>
      </c>
      <c r="B2975" s="1" t="str">
        <f>"2021-80"</f>
        <v>2021-80</v>
      </c>
      <c r="C2975" s="1" t="s">
        <v>2731</v>
      </c>
      <c r="D2975" s="1" t="s">
        <v>2732</v>
      </c>
      <c r="E2975" s="1" t="str">
        <f>""</f>
        <v/>
      </c>
      <c r="F2975" s="1" t="s">
        <v>1860</v>
      </c>
      <c r="G2975" s="1" t="str">
        <f>CONCATENATE(" PROTING HORVAT D.O.O.,"," FRANA GALINOVIĆA 4,"," 49000 KRAPINA,"," OIB: 75263812619")</f>
        <v xml:space="preserve"> PROTING HORVAT D.O.O., FRANA GALINOVIĆA 4, 49000 KRAPINA, OIB: 75263812619</v>
      </c>
      <c r="H2975" s="7"/>
      <c r="I2975" s="8" t="s">
        <v>29</v>
      </c>
      <c r="J2975" s="8" t="s">
        <v>406</v>
      </c>
      <c r="K2975" s="6" t="str">
        <f>"3.960,00"</f>
        <v>3.960,00</v>
      </c>
      <c r="L2975" s="6" t="str">
        <f>"990,00"</f>
        <v>990,00</v>
      </c>
      <c r="M2975" s="6" t="str">
        <f>"4.950,00"</f>
        <v>4.950,00</v>
      </c>
      <c r="N2975" s="8" t="s">
        <v>48</v>
      </c>
      <c r="O2975" s="7"/>
      <c r="P2975" s="2" t="s">
        <v>6857</v>
      </c>
      <c r="Q2975" s="7"/>
      <c r="R2975" s="1"/>
      <c r="S2975" s="1" t="str">
        <f>"J-UN-2021-623"</f>
        <v>J-UN-2021-623</v>
      </c>
      <c r="T2975" s="1" t="s">
        <v>32</v>
      </c>
    </row>
    <row r="2976" spans="1:20" ht="51" x14ac:dyDescent="0.25">
      <c r="A2976" s="6">
        <v>2970</v>
      </c>
      <c r="B2976" s="1" t="str">
        <f>"2021-695"</f>
        <v>2021-695</v>
      </c>
      <c r="C2976" s="1" t="s">
        <v>2683</v>
      </c>
      <c r="D2976" s="1" t="s">
        <v>2684</v>
      </c>
      <c r="E2976" s="1" t="str">
        <f>""</f>
        <v/>
      </c>
      <c r="F2976" s="1" t="s">
        <v>1860</v>
      </c>
      <c r="G2976" s="1" t="str">
        <f>CONCATENATE(" SCHEDA D.O.O.,"," LJUDEVITA POSAVSKOG 29,"," 10360 SESVETE,"," OIB: 76219817247")</f>
        <v xml:space="preserve"> SCHEDA D.O.O., LJUDEVITA POSAVSKOG 29, 10360 SESVETE, OIB: 76219817247</v>
      </c>
      <c r="H2976" s="7"/>
      <c r="I2976" s="8" t="s">
        <v>29</v>
      </c>
      <c r="J2976" s="8" t="s">
        <v>406</v>
      </c>
      <c r="K2976" s="6" t="str">
        <f>"370,00"</f>
        <v>370,00</v>
      </c>
      <c r="L2976" s="6" t="str">
        <f>"92,50"</f>
        <v>92,50</v>
      </c>
      <c r="M2976" s="6" t="str">
        <f>"462,50"</f>
        <v>462,50</v>
      </c>
      <c r="N2976" s="8" t="s">
        <v>2749</v>
      </c>
      <c r="O2976" s="7"/>
      <c r="P2976" s="2" t="s">
        <v>7264</v>
      </c>
      <c r="Q2976" s="7"/>
      <c r="R2976" s="1"/>
      <c r="S2976" s="1" t="str">
        <f>"J-UN-2021-624"</f>
        <v>J-UN-2021-624</v>
      </c>
      <c r="T2976" s="1" t="s">
        <v>32</v>
      </c>
    </row>
    <row r="2977" spans="1:20" ht="51" x14ac:dyDescent="0.25">
      <c r="A2977" s="6">
        <v>2971</v>
      </c>
      <c r="B2977" s="1" t="str">
        <f>"2021-1053"</f>
        <v>2021-1053</v>
      </c>
      <c r="C2977" s="1" t="s">
        <v>2783</v>
      </c>
      <c r="D2977" s="1" t="s">
        <v>471</v>
      </c>
      <c r="E2977" s="1" t="str">
        <f>""</f>
        <v/>
      </c>
      <c r="F2977" s="1" t="s">
        <v>1860</v>
      </c>
      <c r="G2977" s="1" t="str">
        <f>CONCATENATE(" KING ICT D.O.O.,"," BUZINSKI PRILAZ 10,"," 10010 ZAGREB,"," OIB: 67001695549")</f>
        <v xml:space="preserve"> KING ICT D.O.O., BUZINSKI PRILAZ 10, 10010 ZAGREB, OIB: 67001695549</v>
      </c>
      <c r="H2977" s="7"/>
      <c r="I2977" s="8" t="s">
        <v>1129</v>
      </c>
      <c r="J2977" s="8" t="s">
        <v>1073</v>
      </c>
      <c r="K2977" s="6" t="str">
        <f>"752,00"</f>
        <v>752,00</v>
      </c>
      <c r="L2977" s="6" t="str">
        <f>"188,00"</f>
        <v>188,00</v>
      </c>
      <c r="M2977" s="6" t="str">
        <f>"940,00"</f>
        <v>940,00</v>
      </c>
      <c r="N2977" s="8" t="s">
        <v>1067</v>
      </c>
      <c r="O2977" s="7"/>
      <c r="P2977" s="2" t="s">
        <v>7265</v>
      </c>
      <c r="Q2977" s="1" t="s">
        <v>5601</v>
      </c>
      <c r="R2977" s="1"/>
      <c r="S2977" s="1" t="str">
        <f>"J-UN-2021-625"</f>
        <v>J-UN-2021-625</v>
      </c>
      <c r="T2977" s="1" t="s">
        <v>32</v>
      </c>
    </row>
    <row r="2978" spans="1:20" ht="51" x14ac:dyDescent="0.25">
      <c r="A2978" s="6">
        <v>2972</v>
      </c>
      <c r="B2978" s="1" t="str">
        <f>"2021-981"</f>
        <v>2021-981</v>
      </c>
      <c r="C2978" s="1" t="s">
        <v>2615</v>
      </c>
      <c r="D2978" s="1" t="s">
        <v>999</v>
      </c>
      <c r="E2978" s="1" t="str">
        <f>""</f>
        <v/>
      </c>
      <c r="F2978" s="1" t="s">
        <v>1860</v>
      </c>
      <c r="G2978" s="1" t="str">
        <f>CONCATENATE(" INSAKO D.O.O.,"," PUŽEVA 11,"," 10000 ZAGREB,"," OIB: 39851720584")</f>
        <v xml:space="preserve"> INSAKO D.O.O., PUŽEVA 11, 10000 ZAGREB, OIB: 39851720584</v>
      </c>
      <c r="H2978" s="7"/>
      <c r="I2978" s="8" t="s">
        <v>29</v>
      </c>
      <c r="J2978" s="8" t="s">
        <v>406</v>
      </c>
      <c r="K2978" s="6" t="str">
        <f>"2.892,00"</f>
        <v>2.892,00</v>
      </c>
      <c r="L2978" s="6" t="str">
        <f>"723,00"</f>
        <v>723,00</v>
      </c>
      <c r="M2978" s="6" t="str">
        <f>"3.615,00"</f>
        <v>3.615,00</v>
      </c>
      <c r="N2978" s="8" t="s">
        <v>37</v>
      </c>
      <c r="O2978" s="7"/>
      <c r="P2978" s="2" t="s">
        <v>7266</v>
      </c>
      <c r="Q2978" s="7"/>
      <c r="R2978" s="1"/>
      <c r="S2978" s="1" t="str">
        <f>"J-UN-2021-628"</f>
        <v>J-UN-2021-628</v>
      </c>
      <c r="T2978" s="1" t="s">
        <v>32</v>
      </c>
    </row>
    <row r="2979" spans="1:20" ht="51" x14ac:dyDescent="0.25">
      <c r="A2979" s="6">
        <v>2973</v>
      </c>
      <c r="B2979" s="1" t="str">
        <f>"2021-79"</f>
        <v>2021-79</v>
      </c>
      <c r="C2979" s="1" t="s">
        <v>2790</v>
      </c>
      <c r="D2979" s="1" t="s">
        <v>2791</v>
      </c>
      <c r="E2979" s="1" t="str">
        <f>""</f>
        <v/>
      </c>
      <c r="F2979" s="1" t="s">
        <v>1860</v>
      </c>
      <c r="G2979" s="1" t="str">
        <f>CONCATENATE(" SCHEDA D.O.O.,"," LJUDEVITA POSAVSKOG 29,"," 10360 SESVETE,"," OIB: 76219817247")</f>
        <v xml:space="preserve"> SCHEDA D.O.O., LJUDEVITA POSAVSKOG 29, 10360 SESVETE, OIB: 76219817247</v>
      </c>
      <c r="H2979" s="7"/>
      <c r="I2979" s="8" t="s">
        <v>29</v>
      </c>
      <c r="J2979" s="8" t="s">
        <v>406</v>
      </c>
      <c r="K2979" s="6" t="str">
        <f>"1.199,00"</f>
        <v>1.199,00</v>
      </c>
      <c r="L2979" s="6" t="str">
        <f>"299,75"</f>
        <v>299,75</v>
      </c>
      <c r="M2979" s="6" t="str">
        <f>"1.498,75"</f>
        <v>1.498,75</v>
      </c>
      <c r="N2979" s="8" t="s">
        <v>872</v>
      </c>
      <c r="O2979" s="7"/>
      <c r="P2979" s="2" t="s">
        <v>7267</v>
      </c>
      <c r="Q2979" s="7"/>
      <c r="R2979" s="1"/>
      <c r="S2979" s="1" t="str">
        <f>"J-UN-2021-629"</f>
        <v>J-UN-2021-629</v>
      </c>
      <c r="T2979" s="1" t="s">
        <v>32</v>
      </c>
    </row>
    <row r="2980" spans="1:20" ht="51" x14ac:dyDescent="0.25">
      <c r="A2980" s="6">
        <v>2974</v>
      </c>
      <c r="B2980" s="1" t="str">
        <f>"2021-221"</f>
        <v>2021-221</v>
      </c>
      <c r="C2980" s="1" t="s">
        <v>2692</v>
      </c>
      <c r="D2980" s="1" t="s">
        <v>2693</v>
      </c>
      <c r="E2980" s="1" t="str">
        <f>""</f>
        <v/>
      </c>
      <c r="F2980" s="1" t="s">
        <v>1860</v>
      </c>
      <c r="G2980" s="1" t="str">
        <f>CONCATENATE(" REZAL D.O.O.,"," IVANA MEŠTROVIĆA 7,"," 10370 DUGO SELO,"," OIB: 48200467137")</f>
        <v xml:space="preserve"> REZAL D.O.O., IVANA MEŠTROVIĆA 7, 10370 DUGO SELO, OIB: 48200467137</v>
      </c>
      <c r="H2980" s="7"/>
      <c r="I2980" s="8" t="s">
        <v>29</v>
      </c>
      <c r="J2980" s="8" t="s">
        <v>406</v>
      </c>
      <c r="K2980" s="6" t="str">
        <f>"2.010,00"</f>
        <v>2.010,00</v>
      </c>
      <c r="L2980" s="6" t="str">
        <f>"502,50"</f>
        <v>502,50</v>
      </c>
      <c r="M2980" s="6" t="str">
        <f>"2.512,50"</f>
        <v>2.512,50</v>
      </c>
      <c r="N2980" s="8" t="s">
        <v>37</v>
      </c>
      <c r="O2980" s="7"/>
      <c r="P2980" s="2" t="s">
        <v>7268</v>
      </c>
      <c r="Q2980" s="7"/>
      <c r="R2980" s="1"/>
      <c r="S2980" s="1" t="str">
        <f>"J-UN-2021-631"</f>
        <v>J-UN-2021-631</v>
      </c>
      <c r="T2980" s="1" t="s">
        <v>32</v>
      </c>
    </row>
    <row r="2981" spans="1:20" ht="51" x14ac:dyDescent="0.25">
      <c r="A2981" s="6">
        <v>2975</v>
      </c>
      <c r="B2981" s="1" t="str">
        <f>"2021-318"</f>
        <v>2021-318</v>
      </c>
      <c r="C2981" s="1" t="s">
        <v>2608</v>
      </c>
      <c r="D2981" s="1" t="s">
        <v>1203</v>
      </c>
      <c r="E2981" s="1" t="str">
        <f>""</f>
        <v/>
      </c>
      <c r="F2981" s="1" t="s">
        <v>1860</v>
      </c>
      <c r="G2981" s="1" t="str">
        <f>CONCATENATE(" SCHEDA D.O.O.,"," LJUDEVITA POSAVSKOG 29,"," 10360 SESVETE,"," OIB: 76219817247")</f>
        <v xml:space="preserve"> SCHEDA D.O.O., LJUDEVITA POSAVSKOG 29, 10360 SESVETE, OIB: 76219817247</v>
      </c>
      <c r="H2981" s="7"/>
      <c r="I2981" s="8" t="s">
        <v>29</v>
      </c>
      <c r="J2981" s="8" t="s">
        <v>406</v>
      </c>
      <c r="K2981" s="6" t="str">
        <f>"1.462,06"</f>
        <v>1.462,06</v>
      </c>
      <c r="L2981" s="6" t="str">
        <f>"365,52"</f>
        <v>365,52</v>
      </c>
      <c r="M2981" s="6" t="str">
        <f>"1.827,58"</f>
        <v>1.827,58</v>
      </c>
      <c r="N2981" s="8" t="s">
        <v>2792</v>
      </c>
      <c r="O2981" s="7"/>
      <c r="P2981" s="2" t="s">
        <v>7269</v>
      </c>
      <c r="Q2981" s="7"/>
      <c r="R2981" s="1"/>
      <c r="S2981" s="1" t="str">
        <f>"J-UN-2021-633"</f>
        <v>J-UN-2021-633</v>
      </c>
      <c r="T2981" s="1" t="s">
        <v>32</v>
      </c>
    </row>
    <row r="2982" spans="1:20" ht="51" x14ac:dyDescent="0.25">
      <c r="A2982" s="6">
        <v>2976</v>
      </c>
      <c r="B2982" s="1" t="str">
        <f>"2021-1015"</f>
        <v>2021-1015</v>
      </c>
      <c r="C2982" s="1" t="s">
        <v>2492</v>
      </c>
      <c r="D2982" s="1" t="s">
        <v>2493</v>
      </c>
      <c r="E2982" s="1" t="str">
        <f>""</f>
        <v/>
      </c>
      <c r="F2982" s="1" t="s">
        <v>1860</v>
      </c>
      <c r="G2982" s="1" t="str">
        <f>CONCATENATE(" MIGRAL D.O.O.,"," RUJANSKA 1,"," 10000 ZAGREB,"," OIB: 957173045")</f>
        <v xml:space="preserve"> MIGRAL D.O.O., RUJANSKA 1, 10000 ZAGREB, OIB: 957173045</v>
      </c>
      <c r="H2982" s="7"/>
      <c r="I2982" s="8" t="s">
        <v>2101</v>
      </c>
      <c r="J2982" s="8" t="s">
        <v>897</v>
      </c>
      <c r="K2982" s="6" t="str">
        <f>"20.104,00"</f>
        <v>20.104,00</v>
      </c>
      <c r="L2982" s="6" t="str">
        <f>"5.026,00"</f>
        <v>5.026,00</v>
      </c>
      <c r="M2982" s="6" t="str">
        <f>"25.130,00"</f>
        <v>25.130,00</v>
      </c>
      <c r="N2982" s="8" t="s">
        <v>2599</v>
      </c>
      <c r="O2982" s="7"/>
      <c r="P2982" s="2" t="s">
        <v>7270</v>
      </c>
      <c r="Q2982" s="7"/>
      <c r="R2982" s="1"/>
      <c r="S2982" s="1" t="str">
        <f>"J-UN-2021-634"</f>
        <v>J-UN-2021-634</v>
      </c>
      <c r="T2982" s="1" t="s">
        <v>32</v>
      </c>
    </row>
    <row r="2983" spans="1:20" ht="63.75" x14ac:dyDescent="0.25">
      <c r="A2983" s="6">
        <v>2977</v>
      </c>
      <c r="B2983" s="1" t="str">
        <f>"2021-183"</f>
        <v>2021-183</v>
      </c>
      <c r="C2983" s="1" t="s">
        <v>2726</v>
      </c>
      <c r="D2983" s="1" t="s">
        <v>689</v>
      </c>
      <c r="E2983" s="1" t="str">
        <f>""</f>
        <v/>
      </c>
      <c r="F2983" s="1" t="s">
        <v>1860</v>
      </c>
      <c r="G2983" s="1" t="str">
        <f>CONCATENATE(" DRAVA INTERNATIONAL D.O.O.,"," STJEPANA RADIĆA 15,"," 31000 OSIJEK,"," OIB: 40223379376")</f>
        <v xml:space="preserve"> DRAVA INTERNATIONAL D.O.O., STJEPANA RADIĆA 15, 31000 OSIJEK, OIB: 40223379376</v>
      </c>
      <c r="H2983" s="7"/>
      <c r="I2983" s="8" t="s">
        <v>40</v>
      </c>
      <c r="J2983" s="8" t="s">
        <v>905</v>
      </c>
      <c r="K2983" s="6" t="str">
        <f>"39.130,00"</f>
        <v>39.130,00</v>
      </c>
      <c r="L2983" s="6" t="str">
        <f>"9.782,50"</f>
        <v>9.782,50</v>
      </c>
      <c r="M2983" s="6" t="str">
        <f>"48.912,50"</f>
        <v>48.912,50</v>
      </c>
      <c r="N2983" s="8" t="s">
        <v>2581</v>
      </c>
      <c r="O2983" s="7"/>
      <c r="P2983" s="2" t="s">
        <v>7271</v>
      </c>
      <c r="Q2983" s="7"/>
      <c r="R2983" s="1"/>
      <c r="S2983" s="1" t="str">
        <f>"J-UN-2021-635"</f>
        <v>J-UN-2021-635</v>
      </c>
      <c r="T2983" s="1" t="s">
        <v>32</v>
      </c>
    </row>
    <row r="2984" spans="1:20" ht="63.75" x14ac:dyDescent="0.25">
      <c r="A2984" s="6">
        <v>2978</v>
      </c>
      <c r="B2984" s="1" t="str">
        <f>"2021-475"</f>
        <v>2021-475</v>
      </c>
      <c r="C2984" s="1" t="s">
        <v>2614</v>
      </c>
      <c r="D2984" s="1" t="s">
        <v>619</v>
      </c>
      <c r="E2984" s="1" t="str">
        <f>""</f>
        <v/>
      </c>
      <c r="F2984" s="1" t="s">
        <v>1860</v>
      </c>
      <c r="G2984" s="1" t="str">
        <f>CONCATENATE(" METAL PLUS D.O.O.,"," CMP SAVICA ŠANCI,"," OBRTNIČKA 5,"," 10000 ZAGREB,"," OIB: 13534526502")</f>
        <v xml:space="preserve"> METAL PLUS D.O.O., CMP SAVICA ŠANCI, OBRTNIČKA 5, 10000 ZAGREB, OIB: 13534526502</v>
      </c>
      <c r="H2984" s="7"/>
      <c r="I2984" s="8" t="s">
        <v>29</v>
      </c>
      <c r="J2984" s="8" t="s">
        <v>406</v>
      </c>
      <c r="K2984" s="6" t="str">
        <f>"6.095,67"</f>
        <v>6.095,67</v>
      </c>
      <c r="L2984" s="6" t="str">
        <f>"1.523,92"</f>
        <v>1.523,92</v>
      </c>
      <c r="M2984" s="6" t="str">
        <f>"7.619,59"</f>
        <v>7.619,59</v>
      </c>
      <c r="N2984" s="8" t="s">
        <v>2749</v>
      </c>
      <c r="O2984" s="7"/>
      <c r="P2984" s="2" t="s">
        <v>7272</v>
      </c>
      <c r="Q2984" s="7"/>
      <c r="R2984" s="1"/>
      <c r="S2984" s="1" t="str">
        <f>"J-UN-2021-637"</f>
        <v>J-UN-2021-637</v>
      </c>
      <c r="T2984" s="1" t="s">
        <v>32</v>
      </c>
    </row>
    <row r="2985" spans="1:20" ht="89.25" x14ac:dyDescent="0.25">
      <c r="A2985" s="6">
        <v>2979</v>
      </c>
      <c r="B2985" s="1" t="str">
        <f>"2021-438"</f>
        <v>2021-438</v>
      </c>
      <c r="C2985" s="1" t="s">
        <v>2793</v>
      </c>
      <c r="D2985" s="1" t="s">
        <v>1619</v>
      </c>
      <c r="E2985" s="1" t="str">
        <f>""</f>
        <v/>
      </c>
      <c r="F2985" s="1" t="s">
        <v>1860</v>
      </c>
      <c r="G2985" s="1" t="str">
        <f>CONCATENATE(" AGRO - DOM,"," VL. ZORAN CRNOMARKOVIĆ I DUBRAVKO KUŠ,"," BUNIĆEVA 20,"," 10000 ZAGREB,"," OIB: 47865426584")</f>
        <v xml:space="preserve"> AGRO - DOM, VL. ZORAN CRNOMARKOVIĆ I DUBRAVKO KUŠ, BUNIĆEVA 20, 10000 ZAGREB, OIB: 47865426584</v>
      </c>
      <c r="H2985" s="7"/>
      <c r="I2985" s="8" t="s">
        <v>2740</v>
      </c>
      <c r="J2985" s="8" t="s">
        <v>469</v>
      </c>
      <c r="K2985" s="6" t="str">
        <f>"5.183,00"</f>
        <v>5.183,00</v>
      </c>
      <c r="L2985" s="6" t="str">
        <f>"1.295,75"</f>
        <v>1.295,75</v>
      </c>
      <c r="M2985" s="6" t="str">
        <f>"6.478,75"</f>
        <v>6.478,75</v>
      </c>
      <c r="N2985" s="8" t="s">
        <v>2581</v>
      </c>
      <c r="O2985" s="7"/>
      <c r="P2985" s="2" t="s">
        <v>7273</v>
      </c>
      <c r="Q2985" s="7"/>
      <c r="R2985" s="1"/>
      <c r="S2985" s="1" t="str">
        <f>"J-UN-2021-638"</f>
        <v>J-UN-2021-638</v>
      </c>
      <c r="T2985" s="1" t="s">
        <v>32</v>
      </c>
    </row>
    <row r="2986" spans="1:20" ht="51" x14ac:dyDescent="0.25">
      <c r="A2986" s="6">
        <v>2980</v>
      </c>
      <c r="B2986" s="1" t="str">
        <f>"2021-144"</f>
        <v>2021-144</v>
      </c>
      <c r="C2986" s="1" t="s">
        <v>2677</v>
      </c>
      <c r="D2986" s="1" t="s">
        <v>2678</v>
      </c>
      <c r="E2986" s="1" t="str">
        <f>""</f>
        <v/>
      </c>
      <c r="F2986" s="1" t="s">
        <v>1860</v>
      </c>
      <c r="G2986" s="1" t="str">
        <f>CONCATENATE(" LJEKARNE JOUKHADAR,"," HRIBAROV PRILAZ 6A,"," 10000 ZAGREB,"," OIB: 12767193532")</f>
        <v xml:space="preserve"> LJEKARNE JOUKHADAR, HRIBAROV PRILAZ 6A, 10000 ZAGREB, OIB: 12767193532</v>
      </c>
      <c r="H2986" s="7"/>
      <c r="I2986" s="8" t="s">
        <v>2581</v>
      </c>
      <c r="J2986" s="8" t="s">
        <v>1264</v>
      </c>
      <c r="K2986" s="6" t="str">
        <f>"6.807,30"</f>
        <v>6.807,30</v>
      </c>
      <c r="L2986" s="6" t="str">
        <f>"1.701,83"</f>
        <v>1.701,83</v>
      </c>
      <c r="M2986" s="6" t="str">
        <f>"8.509,13"</f>
        <v>8.509,13</v>
      </c>
      <c r="N2986" s="8" t="s">
        <v>37</v>
      </c>
      <c r="O2986" s="7"/>
      <c r="P2986" s="2" t="s">
        <v>7274</v>
      </c>
      <c r="Q2986" s="7"/>
      <c r="R2986" s="1"/>
      <c r="S2986" s="1" t="str">
        <f>"J-UN-2021-639"</f>
        <v>J-UN-2021-639</v>
      </c>
      <c r="T2986" s="1" t="s">
        <v>32</v>
      </c>
    </row>
    <row r="2987" spans="1:20" ht="51" x14ac:dyDescent="0.25">
      <c r="A2987" s="6">
        <v>2981</v>
      </c>
      <c r="B2987" s="1" t="str">
        <f>"2021-999"</f>
        <v>2021-999</v>
      </c>
      <c r="C2987" s="1" t="s">
        <v>2794</v>
      </c>
      <c r="D2987" s="1" t="s">
        <v>2716</v>
      </c>
      <c r="E2987" s="1" t="str">
        <f>""</f>
        <v/>
      </c>
      <c r="F2987" s="1" t="s">
        <v>1860</v>
      </c>
      <c r="G2987" s="1" t="str">
        <f>CONCATENATE(" SOM HIDRAULIKA D.O.O.,"," II RESNIK 20A,"," 10000 ZAGREB,"," OIB: 73091674996")</f>
        <v xml:space="preserve"> SOM HIDRAULIKA D.O.O., II RESNIK 20A, 10000 ZAGREB, OIB: 73091674996</v>
      </c>
      <c r="H2987" s="7"/>
      <c r="I2987" s="8" t="s">
        <v>2740</v>
      </c>
      <c r="J2987" s="8" t="s">
        <v>469</v>
      </c>
      <c r="K2987" s="6" t="str">
        <f>"26.920,00"</f>
        <v>26.920,00</v>
      </c>
      <c r="L2987" s="6" t="str">
        <f>"6.730,00"</f>
        <v>6.730,00</v>
      </c>
      <c r="M2987" s="6" t="str">
        <f>"33.650,00"</f>
        <v>33.650,00</v>
      </c>
      <c r="N2987" s="8" t="s">
        <v>48</v>
      </c>
      <c r="O2987" s="7"/>
      <c r="P2987" s="2" t="s">
        <v>7275</v>
      </c>
      <c r="Q2987" s="7"/>
      <c r="R2987" s="1"/>
      <c r="S2987" s="1" t="str">
        <f>"J-UN-2021-640"</f>
        <v>J-UN-2021-640</v>
      </c>
      <c r="T2987" s="1" t="s">
        <v>32</v>
      </c>
    </row>
    <row r="2988" spans="1:20" ht="51" x14ac:dyDescent="0.25">
      <c r="A2988" s="6">
        <v>2982</v>
      </c>
      <c r="B2988" s="1" t="str">
        <f>"2021-378"</f>
        <v>2021-378</v>
      </c>
      <c r="C2988" s="1" t="s">
        <v>2689</v>
      </c>
      <c r="D2988" s="1" t="s">
        <v>2577</v>
      </c>
      <c r="E2988" s="1" t="str">
        <f>""</f>
        <v/>
      </c>
      <c r="F2988" s="1" t="s">
        <v>1860</v>
      </c>
      <c r="G2988" s="1" t="str">
        <f>CONCATENATE(" TPZ D.O.O.,"," NOVOSELSKA 25,"," 10000 ZAGREB,"," OIB: 68119083236")</f>
        <v xml:space="preserve"> TPZ D.O.O., NOVOSELSKA 25, 10000 ZAGREB, OIB: 68119083236</v>
      </c>
      <c r="H2988" s="7"/>
      <c r="I2988" s="8" t="s">
        <v>2740</v>
      </c>
      <c r="J2988" s="8" t="s">
        <v>469</v>
      </c>
      <c r="K2988" s="6" t="str">
        <f>"3.019,78"</f>
        <v>3.019,78</v>
      </c>
      <c r="L2988" s="6" t="str">
        <f>"754,95"</f>
        <v>754,95</v>
      </c>
      <c r="M2988" s="6" t="str">
        <f>"3.774,73"</f>
        <v>3.774,73</v>
      </c>
      <c r="N2988" s="8" t="s">
        <v>2599</v>
      </c>
      <c r="O2988" s="7"/>
      <c r="P2988" s="2" t="s">
        <v>7276</v>
      </c>
      <c r="Q2988" s="7"/>
      <c r="R2988" s="1"/>
      <c r="S2988" s="1" t="str">
        <f>"J-UN-2021-641"</f>
        <v>J-UN-2021-641</v>
      </c>
      <c r="T2988" s="1" t="s">
        <v>32</v>
      </c>
    </row>
    <row r="2989" spans="1:20" ht="63.75" x14ac:dyDescent="0.25">
      <c r="A2989" s="6">
        <v>2983</v>
      </c>
      <c r="B2989" s="1" t="str">
        <f>"2021-437"</f>
        <v>2021-437</v>
      </c>
      <c r="C2989" s="1" t="s">
        <v>2795</v>
      </c>
      <c r="D2989" s="1" t="s">
        <v>1619</v>
      </c>
      <c r="E2989" s="1" t="str">
        <f>""</f>
        <v/>
      </c>
      <c r="F2989" s="1" t="s">
        <v>1860</v>
      </c>
      <c r="G2989" s="1" t="str">
        <f>CONCATENATE(" GRA-PO D.O.O.,"," GOSPODARSKA 5B,"," 10255 ZAGREB - STUPNIK,"," OIB: 05364995085")</f>
        <v xml:space="preserve"> GRA-PO D.O.O., GOSPODARSKA 5B, 10255 ZAGREB - STUPNIK, OIB: 05364995085</v>
      </c>
      <c r="H2989" s="7"/>
      <c r="I2989" s="8" t="s">
        <v>2101</v>
      </c>
      <c r="J2989" s="8" t="s">
        <v>897</v>
      </c>
      <c r="K2989" s="6" t="str">
        <f>"16.489,50"</f>
        <v>16.489,50</v>
      </c>
      <c r="L2989" s="6" t="str">
        <f>"4.122,38"</f>
        <v>4.122,38</v>
      </c>
      <c r="M2989" s="6" t="str">
        <f>"20.611,88"</f>
        <v>20.611,88</v>
      </c>
      <c r="N2989" s="8" t="s">
        <v>2077</v>
      </c>
      <c r="O2989" s="7"/>
      <c r="P2989" s="2" t="s">
        <v>7277</v>
      </c>
      <c r="Q2989" s="7"/>
      <c r="R2989" s="1"/>
      <c r="S2989" s="1" t="str">
        <f>"J-UN-2021-642"</f>
        <v>J-UN-2021-642</v>
      </c>
      <c r="T2989" s="1" t="s">
        <v>32</v>
      </c>
    </row>
    <row r="2990" spans="1:20" ht="51" x14ac:dyDescent="0.25">
      <c r="A2990" s="6">
        <v>2984</v>
      </c>
      <c r="B2990" s="1" t="str">
        <f>"2021-2203"</f>
        <v>2021-2203</v>
      </c>
      <c r="C2990" s="1" t="s">
        <v>2796</v>
      </c>
      <c r="D2990" s="1" t="s">
        <v>2797</v>
      </c>
      <c r="E2990" s="1" t="str">
        <f>""</f>
        <v/>
      </c>
      <c r="F2990" s="1" t="s">
        <v>1860</v>
      </c>
      <c r="G2990" s="1" t="str">
        <f>CONCATENATE(" NABLA PLUS D.O.O.,"," LUKORANSKA 2,"," 10000 ZAGREB,"," OIB: 50697070495")</f>
        <v xml:space="preserve"> NABLA PLUS D.O.O., LUKORANSKA 2, 10000 ZAGREB, OIB: 50697070495</v>
      </c>
      <c r="H2990" s="7"/>
      <c r="I2990" s="8" t="s">
        <v>40</v>
      </c>
      <c r="J2990" s="8" t="s">
        <v>905</v>
      </c>
      <c r="K2990" s="6" t="str">
        <f>"1.245,60"</f>
        <v>1.245,60</v>
      </c>
      <c r="L2990" s="6" t="str">
        <f>"311,40"</f>
        <v>311,40</v>
      </c>
      <c r="M2990" s="6" t="str">
        <f>"1.557,00"</f>
        <v>1.557,00</v>
      </c>
      <c r="N2990" s="8" t="s">
        <v>124</v>
      </c>
      <c r="O2990" s="7"/>
      <c r="P2990" s="2" t="s">
        <v>5614</v>
      </c>
      <c r="Q2990" s="7"/>
      <c r="R2990" s="1"/>
      <c r="S2990" s="1" t="str">
        <f>"J-UN-2021-646"</f>
        <v>J-UN-2021-646</v>
      </c>
      <c r="T2990" s="1" t="s">
        <v>32</v>
      </c>
    </row>
    <row r="2991" spans="1:20" ht="63.75" x14ac:dyDescent="0.25">
      <c r="A2991" s="6">
        <v>2985</v>
      </c>
      <c r="B2991" s="1" t="str">
        <f>"2021-169"</f>
        <v>2021-169</v>
      </c>
      <c r="C2991" s="1" t="s">
        <v>2620</v>
      </c>
      <c r="D2991" s="1" t="s">
        <v>665</v>
      </c>
      <c r="E2991" s="1" t="str">
        <f>""</f>
        <v/>
      </c>
      <c r="F2991" s="1" t="s">
        <v>1860</v>
      </c>
      <c r="G2991" s="1" t="str">
        <f>CONCATENATE(" GUMIIMPEX - GRP D.O.O.,"," PAVLEKA MIŠKINE 64C,"," 42000 VARAŽDIN,"," OIB: 8229856262")</f>
        <v xml:space="preserve"> GUMIIMPEX - GRP D.O.O., PAVLEKA MIŠKINE 64C, 42000 VARAŽDIN, OIB: 8229856262</v>
      </c>
      <c r="H2991" s="7"/>
      <c r="I2991" s="8" t="s">
        <v>2101</v>
      </c>
      <c r="J2991" s="8" t="s">
        <v>897</v>
      </c>
      <c r="K2991" s="6" t="str">
        <f>"1.851,00"</f>
        <v>1.851,00</v>
      </c>
      <c r="L2991" s="6" t="str">
        <f>"462,75"</f>
        <v>462,75</v>
      </c>
      <c r="M2991" s="6" t="str">
        <f>"2.313,75"</f>
        <v>2.313,75</v>
      </c>
      <c r="N2991" s="8" t="s">
        <v>37</v>
      </c>
      <c r="O2991" s="7"/>
      <c r="P2991" s="2" t="s">
        <v>7278</v>
      </c>
      <c r="Q2991" s="7"/>
      <c r="R2991" s="1"/>
      <c r="S2991" s="1" t="str">
        <f>"J-UN-2021-647"</f>
        <v>J-UN-2021-647</v>
      </c>
      <c r="T2991" s="1" t="s">
        <v>32</v>
      </c>
    </row>
    <row r="2992" spans="1:20" ht="51" x14ac:dyDescent="0.25">
      <c r="A2992" s="6">
        <v>2986</v>
      </c>
      <c r="B2992" s="1" t="str">
        <f>"2021-905"</f>
        <v>2021-905</v>
      </c>
      <c r="C2992" s="1" t="s">
        <v>2798</v>
      </c>
      <c r="D2992" s="1" t="s">
        <v>914</v>
      </c>
      <c r="E2992" s="1" t="str">
        <f>""</f>
        <v/>
      </c>
      <c r="F2992" s="1" t="s">
        <v>1860</v>
      </c>
      <c r="G2992" s="1" t="str">
        <f>CONCATENATE(" D.R. AUTO D.O.O.,"," SELSKA CESTA 34,"," 10000 ZAGREB,"," OIB: 07523847158")</f>
        <v xml:space="preserve"> D.R. AUTO D.O.O., SELSKA CESTA 34, 10000 ZAGREB, OIB: 07523847158</v>
      </c>
      <c r="H2992" s="7"/>
      <c r="I2992" s="8" t="s">
        <v>2740</v>
      </c>
      <c r="J2992" s="8" t="s">
        <v>469</v>
      </c>
      <c r="K2992" s="6" t="str">
        <f>"1.159,20"</f>
        <v>1.159,20</v>
      </c>
      <c r="L2992" s="6" t="str">
        <f>"289,80"</f>
        <v>289,80</v>
      </c>
      <c r="M2992" s="6" t="str">
        <f>"1.449,00"</f>
        <v>1.449,00</v>
      </c>
      <c r="N2992" s="8" t="s">
        <v>37</v>
      </c>
      <c r="O2992" s="7"/>
      <c r="P2992" s="2" t="s">
        <v>5738</v>
      </c>
      <c r="Q2992" s="7"/>
      <c r="R2992" s="1"/>
      <c r="S2992" s="1" t="str">
        <f>"J-UN-2021-650"</f>
        <v>J-UN-2021-650</v>
      </c>
      <c r="T2992" s="1" t="s">
        <v>32</v>
      </c>
    </row>
    <row r="2993" spans="1:20" ht="63.75" x14ac:dyDescent="0.25">
      <c r="A2993" s="6">
        <v>2987</v>
      </c>
      <c r="B2993" s="1" t="str">
        <f>"2021-1101"</f>
        <v>2021-1101</v>
      </c>
      <c r="C2993" s="1" t="s">
        <v>2702</v>
      </c>
      <c r="D2993" s="1" t="s">
        <v>1209</v>
      </c>
      <c r="E2993" s="1" t="str">
        <f>""</f>
        <v/>
      </c>
      <c r="F2993" s="1" t="s">
        <v>1860</v>
      </c>
      <c r="G2993" s="1" t="str">
        <f>CONCATENATE(" DRÄGER SAFETY D.O.O.,"," AVENIJA VEĆESLAVA HOLJEVCA 40,"," 10010 ZAGREB,"," OIB: 32874587842")</f>
        <v xml:space="preserve"> DRÄGER SAFETY D.O.O., AVENIJA VEĆESLAVA HOLJEVCA 40, 10010 ZAGREB, OIB: 32874587842</v>
      </c>
      <c r="H2993" s="7"/>
      <c r="I2993" s="8" t="s">
        <v>2740</v>
      </c>
      <c r="J2993" s="8" t="s">
        <v>469</v>
      </c>
      <c r="K2993" s="6" t="str">
        <f>"1.596,00"</f>
        <v>1.596,00</v>
      </c>
      <c r="L2993" s="6" t="str">
        <f>"399,00"</f>
        <v>399,00</v>
      </c>
      <c r="M2993" s="6" t="str">
        <f>"1.995,00"</f>
        <v>1.995,00</v>
      </c>
      <c r="N2993" s="8" t="s">
        <v>124</v>
      </c>
      <c r="O2993" s="7"/>
      <c r="P2993" s="2" t="s">
        <v>5614</v>
      </c>
      <c r="Q2993" s="7"/>
      <c r="R2993" s="1"/>
      <c r="S2993" s="1" t="str">
        <f>"J-UN-2021-651"</f>
        <v>J-UN-2021-651</v>
      </c>
      <c r="T2993" s="1" t="s">
        <v>32</v>
      </c>
    </row>
    <row r="2994" spans="1:20" ht="63.75" x14ac:dyDescent="0.25">
      <c r="A2994" s="6">
        <v>2988</v>
      </c>
      <c r="B2994" s="1" t="str">
        <f>"2021-626"</f>
        <v>2021-626</v>
      </c>
      <c r="C2994" s="1" t="s">
        <v>2799</v>
      </c>
      <c r="D2994" s="1" t="s">
        <v>794</v>
      </c>
      <c r="E2994" s="1" t="str">
        <f>""</f>
        <v/>
      </c>
      <c r="F2994" s="1" t="s">
        <v>1860</v>
      </c>
      <c r="G2994" s="1" t="str">
        <f>CONCATENATE(" KONTROLING KOGNOSKO D.O.O.,"," JARUŠČICA 1E,"," 10000 ZAGREB,"," OIB: 21353746909")</f>
        <v xml:space="preserve"> KONTROLING KOGNOSKO D.O.O., JARUŠČICA 1E, 10000 ZAGREB, OIB: 21353746909</v>
      </c>
      <c r="H2994" s="7"/>
      <c r="I2994" s="8" t="s">
        <v>108</v>
      </c>
      <c r="J2994" s="8" t="s">
        <v>1629</v>
      </c>
      <c r="K2994" s="6" t="str">
        <f>"1.850,76"</f>
        <v>1.850,76</v>
      </c>
      <c r="L2994" s="6" t="str">
        <f>"462,69"</f>
        <v>462,69</v>
      </c>
      <c r="M2994" s="6" t="str">
        <f>"2.313,45"</f>
        <v>2.313,45</v>
      </c>
      <c r="N2994" s="8" t="s">
        <v>2749</v>
      </c>
      <c r="O2994" s="7"/>
      <c r="P2994" s="2" t="s">
        <v>7279</v>
      </c>
      <c r="Q2994" s="7"/>
      <c r="R2994" s="1"/>
      <c r="S2994" s="1" t="str">
        <f>"J-UN-2021-664"</f>
        <v>J-UN-2021-664</v>
      </c>
      <c r="T2994" s="1" t="s">
        <v>32</v>
      </c>
    </row>
    <row r="2995" spans="1:20" ht="51" x14ac:dyDescent="0.25">
      <c r="A2995" s="6">
        <v>2989</v>
      </c>
      <c r="B2995" s="1" t="str">
        <f>"2021-1011"</f>
        <v>2021-1011</v>
      </c>
      <c r="C2995" s="1" t="s">
        <v>2675</v>
      </c>
      <c r="D2995" s="1" t="s">
        <v>2676</v>
      </c>
      <c r="E2995" s="1" t="str">
        <f>""</f>
        <v/>
      </c>
      <c r="F2995" s="1" t="s">
        <v>1860</v>
      </c>
      <c r="G2995" s="1" t="str">
        <f>CONCATENATE(" AUTOBUS D.O.O.,"," I. RESNIK 178,"," 10040 ZAGREB,"," OIB: 77383886713")</f>
        <v xml:space="preserve"> AUTOBUS D.O.O., I. RESNIK 178, 10040 ZAGREB, OIB: 77383886713</v>
      </c>
      <c r="H2995" s="7"/>
      <c r="I2995" s="8" t="s">
        <v>108</v>
      </c>
      <c r="J2995" s="8" t="s">
        <v>1629</v>
      </c>
      <c r="K2995" s="6" t="str">
        <f>"2.946,45"</f>
        <v>2.946,45</v>
      </c>
      <c r="L2995" s="6" t="str">
        <f>"736,61"</f>
        <v>736,61</v>
      </c>
      <c r="M2995" s="6" t="str">
        <f>"3.683,06"</f>
        <v>3.683,06</v>
      </c>
      <c r="N2995" s="8" t="s">
        <v>280</v>
      </c>
      <c r="O2995" s="7"/>
      <c r="P2995" s="2" t="s">
        <v>7280</v>
      </c>
      <c r="Q2995" s="7"/>
      <c r="R2995" s="1"/>
      <c r="S2995" s="1" t="str">
        <f>"J-UN-2021-665"</f>
        <v>J-UN-2021-665</v>
      </c>
      <c r="T2995" s="1" t="s">
        <v>32</v>
      </c>
    </row>
    <row r="2996" spans="1:20" ht="38.25" x14ac:dyDescent="0.25">
      <c r="A2996" s="6">
        <v>2990</v>
      </c>
      <c r="B2996" s="1" t="str">
        <f>"2021-1424"</f>
        <v>2021-1424</v>
      </c>
      <c r="C2996" s="1" t="s">
        <v>2305</v>
      </c>
      <c r="D2996" s="1" t="s">
        <v>2306</v>
      </c>
      <c r="E2996" s="1" t="str">
        <f>""</f>
        <v/>
      </c>
      <c r="F2996" s="1" t="s">
        <v>1860</v>
      </c>
      <c r="G2996" s="1" t="str">
        <f>CONCATENATE(" IVAN ČEVIZOVIĆ J.T.D.,"," ČIKOŠEVA ULICA 5,"," 5 5,"," OIB: 31134973534")</f>
        <v xml:space="preserve"> IVAN ČEVIZOVIĆ J.T.D., ČIKOŠEVA ULICA 5, 5 5, OIB: 31134973534</v>
      </c>
      <c r="H2996" s="7"/>
      <c r="I2996" s="8" t="s">
        <v>108</v>
      </c>
      <c r="J2996" s="8" t="s">
        <v>1629</v>
      </c>
      <c r="K2996" s="6" t="str">
        <f>"17.500,00"</f>
        <v>17.500,00</v>
      </c>
      <c r="L2996" s="6" t="str">
        <f>"4.375,00"</f>
        <v>4.375,00</v>
      </c>
      <c r="M2996" s="6" t="str">
        <f>"21.875,00"</f>
        <v>21.875,00</v>
      </c>
      <c r="N2996" s="8" t="s">
        <v>2749</v>
      </c>
      <c r="O2996" s="7"/>
      <c r="P2996" s="2" t="s">
        <v>7281</v>
      </c>
      <c r="Q2996" s="7"/>
      <c r="R2996" s="1"/>
      <c r="S2996" s="1" t="str">
        <f>"J-UN-2021-666"</f>
        <v>J-UN-2021-666</v>
      </c>
      <c r="T2996" s="1" t="s">
        <v>32</v>
      </c>
    </row>
    <row r="2997" spans="1:20" ht="63.75" x14ac:dyDescent="0.25">
      <c r="A2997" s="6">
        <v>2991</v>
      </c>
      <c r="B2997" s="1" t="str">
        <f>"2021-235"</f>
        <v>2021-235</v>
      </c>
      <c r="C2997" s="1" t="s">
        <v>2800</v>
      </c>
      <c r="D2997" s="1" t="s">
        <v>2801</v>
      </c>
      <c r="E2997" s="1" t="str">
        <f>""</f>
        <v/>
      </c>
      <c r="F2997" s="1" t="s">
        <v>1860</v>
      </c>
      <c r="G2997" s="1" t="str">
        <f>CONCATENATE(" PISMORAD D.O.O.,"," INDUSTRIJSKA 5,"," 10431 SVETA NEDELJA-NOVAKI,"," OIB: 33260306505")</f>
        <v xml:space="preserve"> PISMORAD D.O.O., INDUSTRIJSKA 5, 10431 SVETA NEDELJA-NOVAKI, OIB: 33260306505</v>
      </c>
      <c r="H2997" s="7"/>
      <c r="I2997" s="8" t="s">
        <v>2581</v>
      </c>
      <c r="J2997" s="8" t="s">
        <v>1264</v>
      </c>
      <c r="K2997" s="6" t="str">
        <f>"183.425,00"</f>
        <v>183.425,00</v>
      </c>
      <c r="L2997" s="6" t="str">
        <f>"45.856,25"</f>
        <v>45.856,25</v>
      </c>
      <c r="M2997" s="6" t="str">
        <f>"229.281,25"</f>
        <v>229.281,25</v>
      </c>
      <c r="N2997" s="8" t="s">
        <v>1905</v>
      </c>
      <c r="O2997" s="7"/>
      <c r="P2997" s="2" t="s">
        <v>7282</v>
      </c>
      <c r="Q2997" s="7"/>
      <c r="R2997" s="1"/>
      <c r="S2997" s="1" t="str">
        <f>"J-UN-2021-667"</f>
        <v>J-UN-2021-667</v>
      </c>
      <c r="T2997" s="1" t="s">
        <v>32</v>
      </c>
    </row>
    <row r="2998" spans="1:20" ht="51" x14ac:dyDescent="0.25">
      <c r="A2998" s="6">
        <v>2992</v>
      </c>
      <c r="B2998" s="1" t="str">
        <f>"2021-1231"</f>
        <v>2021-1231</v>
      </c>
      <c r="C2998" s="1" t="s">
        <v>2618</v>
      </c>
      <c r="D2998" s="1" t="s">
        <v>2619</v>
      </c>
      <c r="E2998" s="1" t="str">
        <f>""</f>
        <v/>
      </c>
      <c r="F2998" s="1" t="s">
        <v>1860</v>
      </c>
      <c r="G2998" s="1" t="str">
        <f>CONCATENATE(" RO-TERMO D.O.O.,"," SISAČKA CESTA 20A,"," 10000 ZAGREB,"," OIB: 24452310712")</f>
        <v xml:space="preserve"> RO-TERMO D.O.O., SISAČKA CESTA 20A, 10000 ZAGREB, OIB: 24452310712</v>
      </c>
      <c r="H2998" s="7"/>
      <c r="I2998" s="8" t="s">
        <v>542</v>
      </c>
      <c r="J2998" s="8" t="s">
        <v>426</v>
      </c>
      <c r="K2998" s="6" t="str">
        <f>"4.050,00"</f>
        <v>4.050,00</v>
      </c>
      <c r="L2998" s="6" t="str">
        <f>"1.012,50"</f>
        <v>1.012,50</v>
      </c>
      <c r="M2998" s="6" t="str">
        <f>"5.062,50"</f>
        <v>5.062,50</v>
      </c>
      <c r="N2998" s="8" t="s">
        <v>1861</v>
      </c>
      <c r="O2998" s="7"/>
      <c r="P2998" s="2" t="s">
        <v>7283</v>
      </c>
      <c r="Q2998" s="7"/>
      <c r="R2998" s="1"/>
      <c r="S2998" s="1" t="str">
        <f>"J-UN-2021-671"</f>
        <v>J-UN-2021-671</v>
      </c>
      <c r="T2998" s="1" t="s">
        <v>32</v>
      </c>
    </row>
    <row r="2999" spans="1:20" ht="63.75" x14ac:dyDescent="0.25">
      <c r="A2999" s="6">
        <v>2993</v>
      </c>
      <c r="B2999" s="1" t="str">
        <f>"2021-437"</f>
        <v>2021-437</v>
      </c>
      <c r="C2999" s="1" t="s">
        <v>2795</v>
      </c>
      <c r="D2999" s="1" t="s">
        <v>1619</v>
      </c>
      <c r="E2999" s="1" t="str">
        <f>""</f>
        <v/>
      </c>
      <c r="F2999" s="1" t="s">
        <v>1860</v>
      </c>
      <c r="G2999" s="1" t="str">
        <f>CONCATENATE(" GRA-PO D.O.O.,"," GOSPODARSKA 5B,"," 10255 ZAGREB - STUPNIK,"," OIB: 05364995085")</f>
        <v xml:space="preserve"> GRA-PO D.O.O., GOSPODARSKA 5B, 10255 ZAGREB - STUPNIK, OIB: 05364995085</v>
      </c>
      <c r="H2999" s="7"/>
      <c r="I2999" s="8" t="s">
        <v>29</v>
      </c>
      <c r="J2999" s="8" t="s">
        <v>406</v>
      </c>
      <c r="K2999" s="6" t="str">
        <f>"22.072,00"</f>
        <v>22.072,00</v>
      </c>
      <c r="L2999" s="6" t="str">
        <f>"5.518,00"</f>
        <v>5.518,00</v>
      </c>
      <c r="M2999" s="6" t="str">
        <f>"27.590,00"</f>
        <v>27.590,00</v>
      </c>
      <c r="N2999" s="8" t="s">
        <v>126</v>
      </c>
      <c r="O2999" s="7"/>
      <c r="P2999" s="2" t="s">
        <v>7284</v>
      </c>
      <c r="Q2999" s="7"/>
      <c r="R2999" s="1"/>
      <c r="S2999" s="1" t="str">
        <f>"J-UN-2021-672"</f>
        <v>J-UN-2021-672</v>
      </c>
      <c r="T2999" s="1" t="s">
        <v>32</v>
      </c>
    </row>
    <row r="3000" spans="1:20" ht="63.75" x14ac:dyDescent="0.25">
      <c r="A3000" s="6">
        <v>2994</v>
      </c>
      <c r="B3000" s="1" t="str">
        <f>"2021-437"</f>
        <v>2021-437</v>
      </c>
      <c r="C3000" s="1" t="s">
        <v>2795</v>
      </c>
      <c r="D3000" s="1" t="s">
        <v>1619</v>
      </c>
      <c r="E3000" s="1" t="str">
        <f>""</f>
        <v/>
      </c>
      <c r="F3000" s="1" t="s">
        <v>1860</v>
      </c>
      <c r="G3000" s="1" t="str">
        <f>CONCATENATE(" HIDROMEHANIKA D.O.O.,"," SLAVONSKA AVENIJA 26/10,"," 10000 ZAGREB,"," OIB: 9178029895")</f>
        <v xml:space="preserve"> HIDROMEHANIKA D.O.O., SLAVONSKA AVENIJA 26/10, 10000 ZAGREB, OIB: 9178029895</v>
      </c>
      <c r="H3000" s="7"/>
      <c r="I3000" s="8" t="s">
        <v>29</v>
      </c>
      <c r="J3000" s="8" t="s">
        <v>406</v>
      </c>
      <c r="K3000" s="6" t="str">
        <f>"4.018,10"</f>
        <v>4.018,10</v>
      </c>
      <c r="L3000" s="6" t="str">
        <f>"1.004,53"</f>
        <v>1.004,53</v>
      </c>
      <c r="M3000" s="6" t="str">
        <f>"5.022,63"</f>
        <v>5.022,63</v>
      </c>
      <c r="N3000" s="8" t="s">
        <v>440</v>
      </c>
      <c r="O3000" s="7"/>
      <c r="P3000" s="2" t="s">
        <v>7285</v>
      </c>
      <c r="Q3000" s="7"/>
      <c r="R3000" s="1"/>
      <c r="S3000" s="1" t="str">
        <f>"J-UN-2021-673"</f>
        <v>J-UN-2021-673</v>
      </c>
      <c r="T3000" s="1" t="s">
        <v>32</v>
      </c>
    </row>
    <row r="3001" spans="1:20" ht="51" x14ac:dyDescent="0.25">
      <c r="A3001" s="6">
        <v>2995</v>
      </c>
      <c r="B3001" s="1" t="str">
        <f>"2021-437"</f>
        <v>2021-437</v>
      </c>
      <c r="C3001" s="1" t="s">
        <v>2795</v>
      </c>
      <c r="D3001" s="1" t="s">
        <v>1619</v>
      </c>
      <c r="E3001" s="1" t="str">
        <f>""</f>
        <v/>
      </c>
      <c r="F3001" s="1" t="s">
        <v>1860</v>
      </c>
      <c r="G3001" s="1" t="str">
        <f>CONCATENATE(" GRAPAK D.O.O.,"," M. SCHLENGERA 5,"," 42204 TURČIN,"," OIB: 8387333034")</f>
        <v xml:space="preserve"> GRAPAK D.O.O., M. SCHLENGERA 5, 42204 TURČIN, OIB: 8387333034</v>
      </c>
      <c r="H3001" s="7"/>
      <c r="I3001" s="8" t="s">
        <v>29</v>
      </c>
      <c r="J3001" s="8" t="s">
        <v>406</v>
      </c>
      <c r="K3001" s="6" t="str">
        <f>"99.172,70"</f>
        <v>99.172,70</v>
      </c>
      <c r="L3001" s="6" t="str">
        <f>"24.793,18"</f>
        <v>24.793,18</v>
      </c>
      <c r="M3001" s="6" t="str">
        <f>"123.965,88"</f>
        <v>123.965,88</v>
      </c>
      <c r="N3001" s="8" t="s">
        <v>1861</v>
      </c>
      <c r="O3001" s="7"/>
      <c r="P3001" s="2" t="s">
        <v>7286</v>
      </c>
      <c r="Q3001" s="7"/>
      <c r="R3001" s="1"/>
      <c r="S3001" s="1" t="str">
        <f>"J-UN-2021-675"</f>
        <v>J-UN-2021-675</v>
      </c>
      <c r="T3001" s="1" t="s">
        <v>32</v>
      </c>
    </row>
    <row r="3002" spans="1:20" ht="51" x14ac:dyDescent="0.25">
      <c r="A3002" s="6">
        <v>2996</v>
      </c>
      <c r="B3002" s="1" t="str">
        <f>"2021-926"</f>
        <v>2021-926</v>
      </c>
      <c r="C3002" s="1" t="s">
        <v>2802</v>
      </c>
      <c r="D3002" s="1" t="s">
        <v>2803</v>
      </c>
      <c r="E3002" s="1" t="str">
        <f>""</f>
        <v/>
      </c>
      <c r="F3002" s="1" t="s">
        <v>1860</v>
      </c>
      <c r="G3002" s="1" t="str">
        <f>CONCATENATE(" VULKAL D.O.O.,"," SAMOBORSKA CESTA 310,"," 10000 ZAGREB,"," OIB: 9043969613")</f>
        <v xml:space="preserve"> VULKAL D.O.O., SAMOBORSKA CESTA 310, 10000 ZAGREB, OIB: 9043969613</v>
      </c>
      <c r="H3002" s="7"/>
      <c r="I3002" s="8" t="s">
        <v>24</v>
      </c>
      <c r="J3002" s="8" t="s">
        <v>442</v>
      </c>
      <c r="K3002" s="6" t="str">
        <f>"844,80"</f>
        <v>844,80</v>
      </c>
      <c r="L3002" s="6" t="str">
        <f>"211,20"</f>
        <v>211,20</v>
      </c>
      <c r="M3002" s="6" t="str">
        <f>"1.056,00"</f>
        <v>1.056,00</v>
      </c>
      <c r="N3002" s="8" t="s">
        <v>455</v>
      </c>
      <c r="O3002" s="7"/>
      <c r="P3002" s="2" t="s">
        <v>7287</v>
      </c>
      <c r="Q3002" s="7"/>
      <c r="R3002" s="1"/>
      <c r="S3002" s="1" t="str">
        <f>"J-UN-2021-677"</f>
        <v>J-UN-2021-677</v>
      </c>
      <c r="T3002" s="1" t="s">
        <v>32</v>
      </c>
    </row>
    <row r="3003" spans="1:20" ht="38.25" x14ac:dyDescent="0.25">
      <c r="A3003" s="6">
        <v>2997</v>
      </c>
      <c r="B3003" s="1" t="str">
        <f>"2021-1026"</f>
        <v>2021-1026</v>
      </c>
      <c r="C3003" s="1" t="s">
        <v>2564</v>
      </c>
      <c r="D3003" s="1" t="s">
        <v>21</v>
      </c>
      <c r="E3003" s="1" t="str">
        <f>""</f>
        <v/>
      </c>
      <c r="F3003" s="1" t="s">
        <v>1860</v>
      </c>
      <c r="G3003" s="1" t="str">
        <f>CONCATENATE(" O-K-TEH d.o.o.,"," VUČAK 16A,"," 10000 ZAGREB,"," OIB: 37322381288")</f>
        <v xml:space="preserve"> O-K-TEH d.o.o., VUČAK 16A, 10000 ZAGREB, OIB: 37322381288</v>
      </c>
      <c r="H3003" s="7"/>
      <c r="I3003" s="8" t="s">
        <v>40</v>
      </c>
      <c r="J3003" s="8" t="s">
        <v>905</v>
      </c>
      <c r="K3003" s="6" t="str">
        <f>"5.952,09"</f>
        <v>5.952,09</v>
      </c>
      <c r="L3003" s="6" t="str">
        <f>"1.488,02"</f>
        <v>1.488,02</v>
      </c>
      <c r="M3003" s="6" t="str">
        <f>"7.440,11"</f>
        <v>7.440,11</v>
      </c>
      <c r="N3003" s="8" t="s">
        <v>2749</v>
      </c>
      <c r="O3003" s="7"/>
      <c r="P3003" s="2" t="s">
        <v>7288</v>
      </c>
      <c r="Q3003" s="1" t="s">
        <v>5601</v>
      </c>
      <c r="R3003" s="1"/>
      <c r="S3003" s="1" t="str">
        <f>"J-UN-2021-679"</f>
        <v>J-UN-2021-679</v>
      </c>
      <c r="T3003" s="1" t="s">
        <v>32</v>
      </c>
    </row>
    <row r="3004" spans="1:20" ht="38.25" x14ac:dyDescent="0.25">
      <c r="A3004" s="6">
        <v>2998</v>
      </c>
      <c r="B3004" s="1" t="str">
        <f>"2021-1026"</f>
        <v>2021-1026</v>
      </c>
      <c r="C3004" s="1" t="s">
        <v>2564</v>
      </c>
      <c r="D3004" s="1" t="s">
        <v>21</v>
      </c>
      <c r="E3004" s="1" t="str">
        <f>""</f>
        <v/>
      </c>
      <c r="F3004" s="1" t="s">
        <v>1860</v>
      </c>
      <c r="G3004" s="1" t="str">
        <f>CONCATENATE(" O-K-TEH d.o.o.,"," VUČAK 16A,"," 10000 ZAGREB,"," OIB: 37322381288")</f>
        <v xml:space="preserve"> O-K-TEH d.o.o., VUČAK 16A, 10000 ZAGREB, OIB: 37322381288</v>
      </c>
      <c r="H3004" s="7"/>
      <c r="I3004" s="8" t="s">
        <v>40</v>
      </c>
      <c r="J3004" s="8" t="s">
        <v>905</v>
      </c>
      <c r="K3004" s="6" t="str">
        <f>"2.999,00"</f>
        <v>2.999,00</v>
      </c>
      <c r="L3004" s="6" t="str">
        <f>"749,75"</f>
        <v>749,75</v>
      </c>
      <c r="M3004" s="6" t="str">
        <f>"3.748,75"</f>
        <v>3.748,75</v>
      </c>
      <c r="N3004" s="8" t="s">
        <v>2749</v>
      </c>
      <c r="O3004" s="7"/>
      <c r="P3004" s="2" t="s">
        <v>7289</v>
      </c>
      <c r="Q3004" s="7"/>
      <c r="R3004" s="1"/>
      <c r="S3004" s="1" t="str">
        <f>"J-UN-2021-682"</f>
        <v>J-UN-2021-682</v>
      </c>
      <c r="T3004" s="1" t="s">
        <v>32</v>
      </c>
    </row>
    <row r="3005" spans="1:20" ht="51" x14ac:dyDescent="0.25">
      <c r="A3005" s="6">
        <v>2999</v>
      </c>
      <c r="B3005" s="1" t="str">
        <f>"2021-1040"</f>
        <v>2021-1040</v>
      </c>
      <c r="C3005" s="1" t="s">
        <v>2804</v>
      </c>
      <c r="D3005" s="1" t="s">
        <v>2805</v>
      </c>
      <c r="E3005" s="1" t="str">
        <f>""</f>
        <v/>
      </c>
      <c r="F3005" s="1" t="s">
        <v>1860</v>
      </c>
      <c r="G3005" s="1" t="str">
        <f>CONCATENATE(" RUNOGRAD D.O.O.,"," MIJE SILOBOD BOLŠIĆA 2,"," 10000 ZAGREB,"," OIB: 7831042879")</f>
        <v xml:space="preserve"> RUNOGRAD D.O.O., MIJE SILOBOD BOLŠIĆA 2, 10000 ZAGREB, OIB: 7831042879</v>
      </c>
      <c r="H3005" s="7"/>
      <c r="I3005" s="8" t="s">
        <v>24</v>
      </c>
      <c r="J3005" s="8" t="s">
        <v>442</v>
      </c>
      <c r="K3005" s="6" t="str">
        <f>"36.604,60"</f>
        <v>36.604,60</v>
      </c>
      <c r="L3005" s="6" t="str">
        <f>"9.151,15"</f>
        <v>9.151,15</v>
      </c>
      <c r="M3005" s="6" t="str">
        <f>"45.755,75"</f>
        <v>45.755,75</v>
      </c>
      <c r="N3005" s="8" t="s">
        <v>616</v>
      </c>
      <c r="O3005" s="7"/>
      <c r="P3005" s="2" t="s">
        <v>7290</v>
      </c>
      <c r="Q3005" s="7"/>
      <c r="R3005" s="1"/>
      <c r="S3005" s="1" t="str">
        <f>"J-UN-2021-683"</f>
        <v>J-UN-2021-683</v>
      </c>
      <c r="T3005" s="1" t="s">
        <v>32</v>
      </c>
    </row>
    <row r="3006" spans="1:20" ht="76.5" x14ac:dyDescent="0.25">
      <c r="A3006" s="6">
        <v>3000</v>
      </c>
      <c r="B3006" s="1" t="str">
        <f>"2021-935"</f>
        <v>2021-935</v>
      </c>
      <c r="C3006" s="1" t="s">
        <v>2806</v>
      </c>
      <c r="D3006" s="1" t="s">
        <v>914</v>
      </c>
      <c r="E3006" s="1" t="str">
        <f>""</f>
        <v/>
      </c>
      <c r="F3006" s="1" t="s">
        <v>1860</v>
      </c>
      <c r="G3006" s="1" t="str">
        <f>CONCATENATE(" METALNO PLASTIČNA GALANTERIJA,"," VL. KREŠIMIR CVETKOVIĆ,"," CVETKOVIĆEV PUT 13,"," 10000 ZAGREB,"," OIB: 47166610982")</f>
        <v xml:space="preserve"> METALNO PLASTIČNA GALANTERIJA, VL. KREŠIMIR CVETKOVIĆ, CVETKOVIĆEV PUT 13, 10000 ZAGREB, OIB: 47166610982</v>
      </c>
      <c r="H3006" s="7"/>
      <c r="I3006" s="8" t="s">
        <v>24</v>
      </c>
      <c r="J3006" s="8" t="s">
        <v>442</v>
      </c>
      <c r="K3006" s="6" t="str">
        <f>"52.580,00"</f>
        <v>52.580,00</v>
      </c>
      <c r="L3006" s="6" t="str">
        <f>"13.145,00"</f>
        <v>13.145,00</v>
      </c>
      <c r="M3006" s="6" t="str">
        <f>"65.725,00"</f>
        <v>65.725,00</v>
      </c>
      <c r="N3006" s="8" t="s">
        <v>2807</v>
      </c>
      <c r="O3006" s="7"/>
      <c r="P3006" s="2" t="s">
        <v>7291</v>
      </c>
      <c r="Q3006" s="7"/>
      <c r="R3006" s="1"/>
      <c r="S3006" s="1" t="str">
        <f>"J-UN-2021-684"</f>
        <v>J-UN-2021-684</v>
      </c>
      <c r="T3006" s="1" t="s">
        <v>32</v>
      </c>
    </row>
    <row r="3007" spans="1:20" ht="38.25" x14ac:dyDescent="0.25">
      <c r="A3007" s="6">
        <v>3001</v>
      </c>
      <c r="B3007" s="1" t="str">
        <f>"2021-1015"</f>
        <v>2021-1015</v>
      </c>
      <c r="C3007" s="1" t="s">
        <v>2492</v>
      </c>
      <c r="D3007" s="1" t="s">
        <v>2493</v>
      </c>
      <c r="E3007" s="1" t="str">
        <f>""</f>
        <v/>
      </c>
      <c r="F3007" s="1" t="s">
        <v>1860</v>
      </c>
      <c r="G3007" s="1" t="str">
        <f>CONCATENATE(" O-K-TEH d.o.o.,"," VUČAK 16A,"," 10000 ZAGREB,"," OIB: 37322381288")</f>
        <v xml:space="preserve"> O-K-TEH d.o.o., VUČAK 16A, 10000 ZAGREB, OIB: 37322381288</v>
      </c>
      <c r="H3007" s="7"/>
      <c r="I3007" s="8" t="s">
        <v>542</v>
      </c>
      <c r="J3007" s="8" t="s">
        <v>426</v>
      </c>
      <c r="K3007" s="6" t="str">
        <f>"1.030,73"</f>
        <v>1.030,73</v>
      </c>
      <c r="L3007" s="6" t="str">
        <f>"257,68"</f>
        <v>257,68</v>
      </c>
      <c r="M3007" s="6" t="str">
        <f>"1.288,41"</f>
        <v>1.288,41</v>
      </c>
      <c r="N3007" s="8" t="s">
        <v>1905</v>
      </c>
      <c r="O3007" s="7"/>
      <c r="P3007" s="2" t="s">
        <v>7292</v>
      </c>
      <c r="Q3007" s="7"/>
      <c r="R3007" s="1"/>
      <c r="S3007" s="1" t="str">
        <f>"J-UN-2021-685"</f>
        <v>J-UN-2021-685</v>
      </c>
      <c r="T3007" s="1" t="s">
        <v>32</v>
      </c>
    </row>
    <row r="3008" spans="1:20" ht="51" x14ac:dyDescent="0.25">
      <c r="A3008" s="6">
        <v>3002</v>
      </c>
      <c r="B3008" s="1" t="str">
        <f>"2021-274"</f>
        <v>2021-274</v>
      </c>
      <c r="C3008" s="1" t="s">
        <v>2808</v>
      </c>
      <c r="D3008" s="1" t="s">
        <v>2809</v>
      </c>
      <c r="E3008" s="1" t="str">
        <f>""</f>
        <v/>
      </c>
      <c r="F3008" s="1" t="s">
        <v>1860</v>
      </c>
      <c r="G3008" s="1" t="str">
        <f>CONCATENATE(" SCHEDA D.O.O.,"," LJUDEVITA POSAVSKOG 29,"," 10360 SESVETE,"," OIB: 76219817247")</f>
        <v xml:space="preserve"> SCHEDA D.O.O., LJUDEVITA POSAVSKOG 29, 10360 SESVETE, OIB: 76219817247</v>
      </c>
      <c r="H3008" s="7"/>
      <c r="I3008" s="8" t="s">
        <v>25</v>
      </c>
      <c r="J3008" s="8" t="s">
        <v>773</v>
      </c>
      <c r="K3008" s="6" t="str">
        <f>"3.105,00"</f>
        <v>3.105,00</v>
      </c>
      <c r="L3008" s="6" t="str">
        <f>"776,25"</f>
        <v>776,25</v>
      </c>
      <c r="M3008" s="6" t="str">
        <f>"3.881,25"</f>
        <v>3.881,25</v>
      </c>
      <c r="N3008" s="8" t="s">
        <v>1905</v>
      </c>
      <c r="O3008" s="7"/>
      <c r="P3008" s="2" t="s">
        <v>7293</v>
      </c>
      <c r="Q3008" s="7"/>
      <c r="R3008" s="1"/>
      <c r="S3008" s="1" t="str">
        <f>"J-UN-2021-686"</f>
        <v>J-UN-2021-686</v>
      </c>
      <c r="T3008" s="1" t="s">
        <v>32</v>
      </c>
    </row>
    <row r="3009" spans="1:20" ht="51" x14ac:dyDescent="0.25">
      <c r="A3009" s="6">
        <v>3003</v>
      </c>
      <c r="B3009" s="1" t="str">
        <f>"2021-232"</f>
        <v>2021-232</v>
      </c>
      <c r="C3009" s="1" t="s">
        <v>2745</v>
      </c>
      <c r="D3009" s="1" t="s">
        <v>700</v>
      </c>
      <c r="E3009" s="1" t="str">
        <f>""</f>
        <v/>
      </c>
      <c r="F3009" s="1" t="s">
        <v>1860</v>
      </c>
      <c r="G3009" s="1" t="str">
        <f>CONCATENATE(" BASIC MODEL D.O.O.,"," TRAVANJSKA 19,"," 10000 ZAGREB,"," OIB: 64150104602")</f>
        <v xml:space="preserve"> BASIC MODEL D.O.O., TRAVANJSKA 19, 10000 ZAGREB, OIB: 64150104602</v>
      </c>
      <c r="H3009" s="7"/>
      <c r="I3009" s="8" t="s">
        <v>24</v>
      </c>
      <c r="J3009" s="8" t="s">
        <v>442</v>
      </c>
      <c r="K3009" s="6" t="str">
        <f>"5.003,30"</f>
        <v>5.003,30</v>
      </c>
      <c r="L3009" s="6" t="str">
        <f>"1.250,83"</f>
        <v>1.250,83</v>
      </c>
      <c r="M3009" s="6" t="str">
        <f>"6.254,13"</f>
        <v>6.254,13</v>
      </c>
      <c r="N3009" s="8" t="s">
        <v>66</v>
      </c>
      <c r="O3009" s="7"/>
      <c r="P3009" s="2" t="s">
        <v>7294</v>
      </c>
      <c r="Q3009" s="7"/>
      <c r="R3009" s="1"/>
      <c r="S3009" s="1" t="str">
        <f>"J-UN-2021-688"</f>
        <v>J-UN-2021-688</v>
      </c>
      <c r="T3009" s="1" t="s">
        <v>32</v>
      </c>
    </row>
    <row r="3010" spans="1:20" ht="51" x14ac:dyDescent="0.25">
      <c r="A3010" s="6">
        <v>3004</v>
      </c>
      <c r="B3010" s="1" t="str">
        <f>"2021-75"</f>
        <v>2021-75</v>
      </c>
      <c r="C3010" s="1" t="s">
        <v>2612</v>
      </c>
      <c r="D3010" s="1" t="s">
        <v>2613</v>
      </c>
      <c r="E3010" s="1" t="str">
        <f>""</f>
        <v/>
      </c>
      <c r="F3010" s="1" t="s">
        <v>1860</v>
      </c>
      <c r="G3010" s="1" t="str">
        <f>CONCATENATE(" ELCON D.O.O.,"," MEĐIMURSKA 2,"," 42000 VARAŽDIN,"," OIB: 69554624078")</f>
        <v xml:space="preserve"> ELCON D.O.O., MEĐIMURSKA 2, 42000 VARAŽDIN, OIB: 69554624078</v>
      </c>
      <c r="H3010" s="7"/>
      <c r="I3010" s="8" t="s">
        <v>25</v>
      </c>
      <c r="J3010" s="8" t="s">
        <v>773</v>
      </c>
      <c r="K3010" s="6" t="str">
        <f>"1.485,00"</f>
        <v>1.485,00</v>
      </c>
      <c r="L3010" s="6" t="str">
        <f>"371,25"</f>
        <v>371,25</v>
      </c>
      <c r="M3010" s="6" t="str">
        <f>"1.856,25"</f>
        <v>1.856,25</v>
      </c>
      <c r="N3010" s="8" t="s">
        <v>182</v>
      </c>
      <c r="O3010" s="7"/>
      <c r="P3010" s="2" t="s">
        <v>7295</v>
      </c>
      <c r="Q3010" s="7"/>
      <c r="R3010" s="1"/>
      <c r="S3010" s="1" t="str">
        <f>"J-UN-2021-689"</f>
        <v>J-UN-2021-689</v>
      </c>
      <c r="T3010" s="1" t="s">
        <v>32</v>
      </c>
    </row>
    <row r="3011" spans="1:20" ht="63.75" x14ac:dyDescent="0.25">
      <c r="A3011" s="6">
        <v>3005</v>
      </c>
      <c r="B3011" s="1" t="str">
        <f>"2021-143"</f>
        <v>2021-143</v>
      </c>
      <c r="C3011" s="1" t="s">
        <v>2621</v>
      </c>
      <c r="D3011" s="1" t="s">
        <v>2622</v>
      </c>
      <c r="E3011" s="1" t="str">
        <f>""</f>
        <v/>
      </c>
      <c r="F3011" s="1" t="s">
        <v>1860</v>
      </c>
      <c r="G3011" s="1" t="str">
        <f>CONCATENATE(" VELEKEM D.D.,"," UL.KNEZA LJUDEVITA POSAVSKOG 13,"," 10360 SESVETE,"," OIB: 62347407589")</f>
        <v xml:space="preserve"> VELEKEM D.D., UL.KNEZA LJUDEVITA POSAVSKOG 13, 10360 SESVETE, OIB: 62347407589</v>
      </c>
      <c r="H3011" s="7"/>
      <c r="I3011" s="8" t="s">
        <v>25</v>
      </c>
      <c r="J3011" s="8" t="s">
        <v>773</v>
      </c>
      <c r="K3011" s="6" t="str">
        <f>"6.104,00"</f>
        <v>6.104,00</v>
      </c>
      <c r="L3011" s="6" t="str">
        <f>"1.526,00"</f>
        <v>1.526,00</v>
      </c>
      <c r="M3011" s="6" t="str">
        <f>"7.630,00"</f>
        <v>7.630,00</v>
      </c>
      <c r="N3011" s="8" t="s">
        <v>1905</v>
      </c>
      <c r="O3011" s="7"/>
      <c r="P3011" s="2" t="s">
        <v>7296</v>
      </c>
      <c r="Q3011" s="7"/>
      <c r="R3011" s="1"/>
      <c r="S3011" s="1" t="str">
        <f>"J-UN-2021-691"</f>
        <v>J-UN-2021-691</v>
      </c>
      <c r="T3011" s="1" t="s">
        <v>32</v>
      </c>
    </row>
    <row r="3012" spans="1:20" ht="63.75" x14ac:dyDescent="0.25">
      <c r="A3012" s="6">
        <v>3006</v>
      </c>
      <c r="B3012" s="1" t="str">
        <f>"2021-1101"</f>
        <v>2021-1101</v>
      </c>
      <c r="C3012" s="1" t="s">
        <v>2702</v>
      </c>
      <c r="D3012" s="1" t="s">
        <v>1209</v>
      </c>
      <c r="E3012" s="1" t="str">
        <f>""</f>
        <v/>
      </c>
      <c r="F3012" s="1" t="s">
        <v>1860</v>
      </c>
      <c r="G3012" s="1" t="str">
        <f>CONCATENATE(" DRÄGER SAFETY D.O.O.,"," AVENIJA VEĆESLAVA HOLJEVCA 40,"," 10010 ZAGREB,"," OIB: 32874587842")</f>
        <v xml:space="preserve"> DRÄGER SAFETY D.O.O., AVENIJA VEĆESLAVA HOLJEVCA 40, 10010 ZAGREB, OIB: 32874587842</v>
      </c>
      <c r="H3012" s="7"/>
      <c r="I3012" s="8" t="s">
        <v>542</v>
      </c>
      <c r="J3012" s="8" t="s">
        <v>426</v>
      </c>
      <c r="K3012" s="6" t="str">
        <f>"386,50"</f>
        <v>386,50</v>
      </c>
      <c r="L3012" s="6" t="str">
        <f>"96,63"</f>
        <v>96,63</v>
      </c>
      <c r="M3012" s="6" t="str">
        <f>"483,13"</f>
        <v>483,13</v>
      </c>
      <c r="N3012" s="8" t="s">
        <v>706</v>
      </c>
      <c r="O3012" s="7"/>
      <c r="P3012" s="2" t="s">
        <v>7297</v>
      </c>
      <c r="Q3012" s="7"/>
      <c r="R3012" s="1"/>
      <c r="S3012" s="1" t="str">
        <f>"J-UN-2021-692"</f>
        <v>J-UN-2021-692</v>
      </c>
      <c r="T3012" s="1" t="s">
        <v>32</v>
      </c>
    </row>
    <row r="3013" spans="1:20" ht="51" x14ac:dyDescent="0.25">
      <c r="A3013" s="6">
        <v>3007</v>
      </c>
      <c r="B3013" s="1" t="str">
        <f>"2021-180"</f>
        <v>2021-180</v>
      </c>
      <c r="C3013" s="1" t="s">
        <v>2737</v>
      </c>
      <c r="D3013" s="1" t="s">
        <v>689</v>
      </c>
      <c r="E3013" s="1" t="str">
        <f>""</f>
        <v/>
      </c>
      <c r="F3013" s="1" t="s">
        <v>1860</v>
      </c>
      <c r="G3013" s="1" t="str">
        <f>CONCATENATE(" PRO-TEHNA D.O.O.,"," MAKSIMIRSKA 64,"," 10000 ZAGREB,"," OIB: 88951687357")</f>
        <v xml:space="preserve"> PRO-TEHNA D.O.O., MAKSIMIRSKA 64, 10000 ZAGREB, OIB: 88951687357</v>
      </c>
      <c r="H3013" s="7"/>
      <c r="I3013" s="8" t="s">
        <v>2749</v>
      </c>
      <c r="J3013" s="8" t="s">
        <v>407</v>
      </c>
      <c r="K3013" s="6" t="str">
        <f>"1.180,00"</f>
        <v>1.180,00</v>
      </c>
      <c r="L3013" s="6" t="str">
        <f>"295,00"</f>
        <v>295,00</v>
      </c>
      <c r="M3013" s="6" t="str">
        <f>"1.475,00"</f>
        <v>1.475,00</v>
      </c>
      <c r="N3013" s="8" t="s">
        <v>533</v>
      </c>
      <c r="O3013" s="7"/>
      <c r="P3013" s="2" t="s">
        <v>5794</v>
      </c>
      <c r="Q3013" s="7"/>
      <c r="R3013" s="1"/>
      <c r="S3013" s="1" t="str">
        <f>"J-UN-2021-693"</f>
        <v>J-UN-2021-693</v>
      </c>
      <c r="T3013" s="1" t="s">
        <v>32</v>
      </c>
    </row>
    <row r="3014" spans="1:20" ht="25.5" x14ac:dyDescent="0.25">
      <c r="A3014" s="6">
        <v>3008</v>
      </c>
      <c r="B3014" s="1" t="str">
        <f>"2021-373"</f>
        <v>2021-373</v>
      </c>
      <c r="C3014" s="1" t="s">
        <v>2810</v>
      </c>
      <c r="D3014" s="1" t="s">
        <v>2577</v>
      </c>
      <c r="E3014" s="1" t="str">
        <f>""</f>
        <v/>
      </c>
      <c r="F3014" s="1" t="s">
        <v>1860</v>
      </c>
      <c r="G3014" s="1" t="str">
        <f>CONCATENATE(" R-PIM D.O.O.,"," ,"," OIB: 38514700472")</f>
        <v xml:space="preserve"> R-PIM D.O.O., , OIB: 38514700472</v>
      </c>
      <c r="H3014" s="7"/>
      <c r="I3014" s="8" t="s">
        <v>25</v>
      </c>
      <c r="J3014" s="8" t="s">
        <v>773</v>
      </c>
      <c r="K3014" s="6" t="str">
        <f>"15.520,00"</f>
        <v>15.520,00</v>
      </c>
      <c r="L3014" s="6" t="str">
        <f>"3.880,00"</f>
        <v>3.880,00</v>
      </c>
      <c r="M3014" s="6" t="str">
        <f>"19.400,00"</f>
        <v>19.400,00</v>
      </c>
      <c r="N3014" s="8" t="s">
        <v>1496</v>
      </c>
      <c r="O3014" s="7"/>
      <c r="P3014" s="2" t="s">
        <v>7298</v>
      </c>
      <c r="Q3014" s="7"/>
      <c r="R3014" s="1"/>
      <c r="S3014" s="1" t="str">
        <f>"J-UN-2021-695"</f>
        <v>J-UN-2021-695</v>
      </c>
      <c r="T3014" s="1" t="s">
        <v>32</v>
      </c>
    </row>
    <row r="3015" spans="1:20" ht="51" x14ac:dyDescent="0.25">
      <c r="A3015" s="6">
        <v>3009</v>
      </c>
      <c r="B3015" s="1" t="str">
        <f>"2021-280"</f>
        <v>2021-280</v>
      </c>
      <c r="C3015" s="1" t="s">
        <v>2616</v>
      </c>
      <c r="D3015" s="1" t="s">
        <v>2617</v>
      </c>
      <c r="E3015" s="1" t="str">
        <f>""</f>
        <v/>
      </c>
      <c r="F3015" s="1" t="s">
        <v>1860</v>
      </c>
      <c r="G3015" s="1" t="str">
        <f>CONCATENATE(" PRO-TEHNA D.O.O.,"," MAKSIMIRSKA 64,"," 10000 ZAGREB,"," OIB: 88951687357")</f>
        <v xml:space="preserve"> PRO-TEHNA D.O.O., MAKSIMIRSKA 64, 10000 ZAGREB, OIB: 88951687357</v>
      </c>
      <c r="H3015" s="7"/>
      <c r="I3015" s="8" t="s">
        <v>25</v>
      </c>
      <c r="J3015" s="8" t="s">
        <v>773</v>
      </c>
      <c r="K3015" s="6" t="str">
        <f>"12.437,80"</f>
        <v>12.437,80</v>
      </c>
      <c r="L3015" s="6" t="str">
        <f>"3.109,45"</f>
        <v>3.109,45</v>
      </c>
      <c r="M3015" s="6" t="str">
        <f>"15.547,25"</f>
        <v>15.547,25</v>
      </c>
      <c r="N3015" s="8" t="s">
        <v>533</v>
      </c>
      <c r="O3015" s="7"/>
      <c r="P3015" s="2" t="s">
        <v>7299</v>
      </c>
      <c r="Q3015" s="7"/>
      <c r="R3015" s="1"/>
      <c r="S3015" s="1" t="str">
        <f>"J-UN-2021-696"</f>
        <v>J-UN-2021-696</v>
      </c>
      <c r="T3015" s="1" t="s">
        <v>32</v>
      </c>
    </row>
    <row r="3016" spans="1:20" ht="89.25" x14ac:dyDescent="0.25">
      <c r="A3016" s="6">
        <v>3010</v>
      </c>
      <c r="B3016" s="1" t="str">
        <f>"2021-799"</f>
        <v>2021-799</v>
      </c>
      <c r="C3016" s="1" t="s">
        <v>2775</v>
      </c>
      <c r="D3016" s="1" t="s">
        <v>2776</v>
      </c>
      <c r="E3016" s="1" t="str">
        <f>""</f>
        <v/>
      </c>
      <c r="F3016" s="1" t="s">
        <v>1860</v>
      </c>
      <c r="G3016" s="1" t="str">
        <f>CONCATENATE(" AUTO HRVATSKA PRODAJNO SERVISNI CENTRI D.O.O.,"," ZASTAVNICE 25/C,"," 10251 HRVATSKI LESKOVAC,"," OIB: 87682591133")</f>
        <v xml:space="preserve"> AUTO HRVATSKA PRODAJNO SERVISNI CENTRI D.O.O., ZASTAVNICE 25/C, 10251 HRVATSKI LESKOVAC, OIB: 87682591133</v>
      </c>
      <c r="H3016" s="7"/>
      <c r="I3016" s="8" t="s">
        <v>25</v>
      </c>
      <c r="J3016" s="8" t="s">
        <v>773</v>
      </c>
      <c r="K3016" s="6" t="str">
        <f>"4.950,00"</f>
        <v>4.950,00</v>
      </c>
      <c r="L3016" s="6" t="str">
        <f>"1.237,50"</f>
        <v>1.237,50</v>
      </c>
      <c r="M3016" s="6" t="str">
        <f>"6.187,50"</f>
        <v>6.187,50</v>
      </c>
      <c r="N3016" s="8" t="s">
        <v>455</v>
      </c>
      <c r="O3016" s="7"/>
      <c r="P3016" s="2" t="s">
        <v>7300</v>
      </c>
      <c r="Q3016" s="7"/>
      <c r="R3016" s="1"/>
      <c r="S3016" s="1" t="str">
        <f>"J-UN-2021-697"</f>
        <v>J-UN-2021-697</v>
      </c>
      <c r="T3016" s="1" t="s">
        <v>32</v>
      </c>
    </row>
    <row r="3017" spans="1:20" ht="51" x14ac:dyDescent="0.25">
      <c r="A3017" s="6">
        <v>3011</v>
      </c>
      <c r="B3017" s="1" t="str">
        <f>"2021-1696"</f>
        <v>2021-1696</v>
      </c>
      <c r="C3017" s="1" t="s">
        <v>2811</v>
      </c>
      <c r="D3017" s="1" t="s">
        <v>1859</v>
      </c>
      <c r="E3017" s="1" t="str">
        <f>""</f>
        <v/>
      </c>
      <c r="F3017" s="1" t="s">
        <v>1860</v>
      </c>
      <c r="G3017" s="1" t="str">
        <f>CONCATENATE(" ZIRS UČILIŠTE,"," ULICA GRADA VUKOVARA 68,"," 10000 ZAGREB,"," OIB: 22228764473")</f>
        <v xml:space="preserve"> ZIRS UČILIŠTE, ULICA GRADA VUKOVARA 68, 10000 ZAGREB, OIB: 22228764473</v>
      </c>
      <c r="H3017" s="7"/>
      <c r="I3017" s="8" t="s">
        <v>2749</v>
      </c>
      <c r="J3017" s="8" t="s">
        <v>407</v>
      </c>
      <c r="K3017" s="6" t="str">
        <f>"2.500,00"</f>
        <v>2.500,00</v>
      </c>
      <c r="L3017" s="6" t="str">
        <f>"625,00"</f>
        <v>625,00</v>
      </c>
      <c r="M3017" s="6" t="str">
        <f>"3.125,00"</f>
        <v>3.125,00</v>
      </c>
      <c r="N3017" s="8" t="s">
        <v>2812</v>
      </c>
      <c r="O3017" s="7"/>
      <c r="P3017" s="2" t="s">
        <v>6405</v>
      </c>
      <c r="Q3017" s="7"/>
      <c r="R3017" s="1"/>
      <c r="S3017" s="1" t="str">
        <f>"J-UN-2021-698"</f>
        <v>J-UN-2021-698</v>
      </c>
      <c r="T3017" s="1" t="s">
        <v>32</v>
      </c>
    </row>
    <row r="3018" spans="1:20" ht="38.25" x14ac:dyDescent="0.25">
      <c r="A3018" s="6">
        <v>3012</v>
      </c>
      <c r="B3018" s="1" t="str">
        <f>"2021-882"</f>
        <v>2021-882</v>
      </c>
      <c r="C3018" s="1" t="s">
        <v>2565</v>
      </c>
      <c r="D3018" s="1" t="s">
        <v>1833</v>
      </c>
      <c r="E3018" s="1" t="str">
        <f>""</f>
        <v/>
      </c>
      <c r="F3018" s="1" t="s">
        <v>1860</v>
      </c>
      <c r="G3018" s="1" t="str">
        <f>CONCATENATE(" R-PIM D.O.O.,"," ,"," OIB: 38514700472")</f>
        <v xml:space="preserve"> R-PIM D.O.O., , OIB: 38514700472</v>
      </c>
      <c r="H3018" s="7"/>
      <c r="I3018" s="8" t="s">
        <v>25</v>
      </c>
      <c r="J3018" s="8" t="s">
        <v>773</v>
      </c>
      <c r="K3018" s="6" t="str">
        <f>"2.793,00"</f>
        <v>2.793,00</v>
      </c>
      <c r="L3018" s="6" t="str">
        <f>"698,25"</f>
        <v>698,25</v>
      </c>
      <c r="M3018" s="6" t="str">
        <f>"3.491,25"</f>
        <v>3.491,25</v>
      </c>
      <c r="N3018" s="8" t="s">
        <v>1496</v>
      </c>
      <c r="O3018" s="7"/>
      <c r="P3018" s="2" t="s">
        <v>7301</v>
      </c>
      <c r="Q3018" s="7"/>
      <c r="R3018" s="1"/>
      <c r="S3018" s="1" t="str">
        <f>"J-UN-2021-699"</f>
        <v>J-UN-2021-699</v>
      </c>
      <c r="T3018" s="1" t="s">
        <v>32</v>
      </c>
    </row>
    <row r="3019" spans="1:20" ht="63.75" x14ac:dyDescent="0.25">
      <c r="A3019" s="6">
        <v>3013</v>
      </c>
      <c r="B3019" s="1" t="str">
        <f>"2021-1470"</f>
        <v>2021-1470</v>
      </c>
      <c r="C3019" s="1" t="s">
        <v>2813</v>
      </c>
      <c r="D3019" s="1" t="s">
        <v>2814</v>
      </c>
      <c r="E3019" s="1" t="str">
        <f>""</f>
        <v/>
      </c>
      <c r="F3019" s="1" t="s">
        <v>1860</v>
      </c>
      <c r="G3019" s="1" t="str">
        <f>CONCATENATE(" IPZ UNIPROJEKT TERRA D.O.O.,"," VOČARSKA CESTA 68,"," 10000 ZAGREB,"," OIB: 55474899192")</f>
        <v xml:space="preserve"> IPZ UNIPROJEKT TERRA D.O.O., VOČARSKA CESTA 68, 10000 ZAGREB, OIB: 55474899192</v>
      </c>
      <c r="H3019" s="7"/>
      <c r="I3019" s="8" t="s">
        <v>37</v>
      </c>
      <c r="J3019" s="8" t="s">
        <v>562</v>
      </c>
      <c r="K3019" s="6" t="str">
        <f>"12.000,00"</f>
        <v>12.000,00</v>
      </c>
      <c r="L3019" s="6" t="str">
        <f>"3.000,00"</f>
        <v>3.000,00</v>
      </c>
      <c r="M3019" s="6" t="str">
        <f>"15.000,00"</f>
        <v>15.000,00</v>
      </c>
      <c r="N3019" s="8" t="s">
        <v>1155</v>
      </c>
      <c r="O3019" s="7"/>
      <c r="P3019" s="2" t="s">
        <v>5902</v>
      </c>
      <c r="Q3019" s="7"/>
      <c r="R3019" s="1"/>
      <c r="S3019" s="1" t="str">
        <f>"J-UN-2021-700"</f>
        <v>J-UN-2021-700</v>
      </c>
      <c r="T3019" s="1" t="s">
        <v>32</v>
      </c>
    </row>
    <row r="3020" spans="1:20" ht="51" x14ac:dyDescent="0.25">
      <c r="A3020" s="6">
        <v>3014</v>
      </c>
      <c r="B3020" s="1" t="str">
        <f>"2021-1176"</f>
        <v>2021-1176</v>
      </c>
      <c r="C3020" s="1" t="s">
        <v>2815</v>
      </c>
      <c r="D3020" s="1" t="s">
        <v>1373</v>
      </c>
      <c r="E3020" s="1" t="str">
        <f>""</f>
        <v/>
      </c>
      <c r="F3020" s="1" t="s">
        <v>1860</v>
      </c>
      <c r="G3020" s="1" t="str">
        <f>CONCATENATE(" E. K. ENERGIJA D.O.O.,"," KUKULJANOVO 385,"," 51227 KUKULJANOVO,"," OIB: 63606595933")</f>
        <v xml:space="preserve"> E. K. ENERGIJA D.O.O., KUKULJANOVO 385, 51227 KUKULJANOVO, OIB: 63606595933</v>
      </c>
      <c r="H3020" s="7"/>
      <c r="I3020" s="8" t="s">
        <v>542</v>
      </c>
      <c r="J3020" s="8" t="s">
        <v>426</v>
      </c>
      <c r="K3020" s="6" t="str">
        <f>"4.784,00"</f>
        <v>4.784,00</v>
      </c>
      <c r="L3020" s="6" t="str">
        <f>"1.196,00"</f>
        <v>1.196,00</v>
      </c>
      <c r="M3020" s="6" t="str">
        <f>"5.980,00"</f>
        <v>5.980,00</v>
      </c>
      <c r="N3020" s="8" t="s">
        <v>179</v>
      </c>
      <c r="O3020" s="7"/>
      <c r="P3020" s="2" t="s">
        <v>7302</v>
      </c>
      <c r="Q3020" s="7"/>
      <c r="R3020" s="1"/>
      <c r="S3020" s="1" t="str">
        <f>"J-UN-2021-701"</f>
        <v>J-UN-2021-701</v>
      </c>
      <c r="T3020" s="1" t="s">
        <v>32</v>
      </c>
    </row>
    <row r="3021" spans="1:20" ht="51" x14ac:dyDescent="0.25">
      <c r="A3021" s="6">
        <v>3015</v>
      </c>
      <c r="B3021" s="1" t="str">
        <f>"2021-1412"</f>
        <v>2021-1412</v>
      </c>
      <c r="C3021" s="1" t="s">
        <v>2779</v>
      </c>
      <c r="D3021" s="1" t="s">
        <v>2780</v>
      </c>
      <c r="E3021" s="1" t="str">
        <f>""</f>
        <v/>
      </c>
      <c r="F3021" s="1" t="s">
        <v>1860</v>
      </c>
      <c r="G3021" s="1" t="str">
        <f>CONCATENATE(" LEXPERA D.O.O.,"," TUŠKANOVA 37,"," 10000 ZAGREB,"," OIB: 79506290597")</f>
        <v xml:space="preserve"> LEXPERA D.O.O., TUŠKANOVA 37, 10000 ZAGREB, OIB: 79506290597</v>
      </c>
      <c r="H3021" s="7"/>
      <c r="I3021" s="8" t="s">
        <v>40</v>
      </c>
      <c r="J3021" s="8" t="s">
        <v>905</v>
      </c>
      <c r="K3021" s="6" t="str">
        <f>"3.312,00"</f>
        <v>3.312,00</v>
      </c>
      <c r="L3021" s="6" t="str">
        <f>"828,00"</f>
        <v>828,00</v>
      </c>
      <c r="M3021" s="6" t="str">
        <f>"4.140,00"</f>
        <v>4.140,00</v>
      </c>
      <c r="N3021" s="8" t="s">
        <v>66</v>
      </c>
      <c r="O3021" s="7"/>
      <c r="P3021" s="2" t="s">
        <v>7254</v>
      </c>
      <c r="Q3021" s="7"/>
      <c r="R3021" s="1"/>
      <c r="S3021" s="1" t="str">
        <f>"J-UN-2021-702"</f>
        <v>J-UN-2021-702</v>
      </c>
      <c r="T3021" s="1" t="s">
        <v>32</v>
      </c>
    </row>
    <row r="3022" spans="1:20" ht="51" x14ac:dyDescent="0.25">
      <c r="A3022" s="6">
        <v>3016</v>
      </c>
      <c r="B3022" s="1" t="str">
        <f>"2021-1523"</f>
        <v>2021-1523</v>
      </c>
      <c r="C3022" s="1" t="s">
        <v>2769</v>
      </c>
      <c r="D3022" s="1" t="s">
        <v>381</v>
      </c>
      <c r="E3022" s="1" t="str">
        <f>""</f>
        <v/>
      </c>
      <c r="F3022" s="1" t="s">
        <v>1860</v>
      </c>
      <c r="G3022" s="1" t="str">
        <f>CONCATENATE(" ZIK D.O.O.,"," LJUDEVITA GAJA 17/III,"," 10000 ZAGREB,"," OIB: 74121470605")</f>
        <v xml:space="preserve"> ZIK D.O.O., LJUDEVITA GAJA 17/III, 10000 ZAGREB, OIB: 74121470605</v>
      </c>
      <c r="H3022" s="7"/>
      <c r="I3022" s="8" t="s">
        <v>24</v>
      </c>
      <c r="J3022" s="8" t="s">
        <v>442</v>
      </c>
      <c r="K3022" s="6" t="str">
        <f>"1.950,00"</f>
        <v>1.950,00</v>
      </c>
      <c r="L3022" s="6" t="str">
        <f>"487,50"</f>
        <v>487,50</v>
      </c>
      <c r="M3022" s="6" t="str">
        <f>"2.437,50"</f>
        <v>2.437,50</v>
      </c>
      <c r="N3022" s="8" t="s">
        <v>190</v>
      </c>
      <c r="O3022" s="7"/>
      <c r="P3022" s="2" t="s">
        <v>7303</v>
      </c>
      <c r="Q3022" s="7"/>
      <c r="R3022" s="1"/>
      <c r="S3022" s="1" t="str">
        <f>"J-UN-2021-703"</f>
        <v>J-UN-2021-703</v>
      </c>
      <c r="T3022" s="1" t="s">
        <v>32</v>
      </c>
    </row>
    <row r="3023" spans="1:20" ht="51" x14ac:dyDescent="0.25">
      <c r="A3023" s="6">
        <v>3017</v>
      </c>
      <c r="B3023" s="1" t="str">
        <f>"2021-1215"</f>
        <v>2021-1215</v>
      </c>
      <c r="C3023" s="1" t="s">
        <v>2816</v>
      </c>
      <c r="D3023" s="1" t="s">
        <v>229</v>
      </c>
      <c r="E3023" s="1" t="str">
        <f>""</f>
        <v/>
      </c>
      <c r="F3023" s="1" t="s">
        <v>1860</v>
      </c>
      <c r="G3023" s="1" t="str">
        <f>CONCATENATE(" EUROPLAMEN D.O.O.,"," RUDOLFOV BREG 6,"," 10430 SAMOBOR,"," OIB: 69942917335")</f>
        <v xml:space="preserve"> EUROPLAMEN D.O.O., RUDOLFOV BREG 6, 10430 SAMOBOR, OIB: 69942917335</v>
      </c>
      <c r="H3023" s="7"/>
      <c r="I3023" s="8" t="s">
        <v>24</v>
      </c>
      <c r="J3023" s="8" t="s">
        <v>442</v>
      </c>
      <c r="K3023" s="6" t="str">
        <f>"7.320,00"</f>
        <v>7.320,00</v>
      </c>
      <c r="L3023" s="6" t="str">
        <f>"1.830,00"</f>
        <v>1.830,00</v>
      </c>
      <c r="M3023" s="6" t="str">
        <f>"9.150,00"</f>
        <v>9.150,00</v>
      </c>
      <c r="N3023" s="8" t="s">
        <v>1476</v>
      </c>
      <c r="O3023" s="7"/>
      <c r="P3023" s="2" t="s">
        <v>7304</v>
      </c>
      <c r="Q3023" s="7"/>
      <c r="R3023" s="1"/>
      <c r="S3023" s="1" t="str">
        <f>"J-UN-2021-704"</f>
        <v>J-UN-2021-704</v>
      </c>
      <c r="T3023" s="1" t="s">
        <v>32</v>
      </c>
    </row>
    <row r="3024" spans="1:20" ht="63.75" x14ac:dyDescent="0.25">
      <c r="A3024" s="6">
        <v>3018</v>
      </c>
      <c r="B3024" s="1" t="str">
        <f>"2021-704"</f>
        <v>2021-704</v>
      </c>
      <c r="C3024" s="1" t="s">
        <v>2817</v>
      </c>
      <c r="D3024" s="1" t="s">
        <v>2818</v>
      </c>
      <c r="E3024" s="1" t="str">
        <f>""</f>
        <v/>
      </c>
      <c r="F3024" s="1" t="s">
        <v>1860</v>
      </c>
      <c r="G3024" s="1" t="str">
        <f>CONCATENATE(" AUTO-MAG D.O.O.,"," GORNJOSTUPNIČKA 1/d,"," 10255 GORNJI STUPNIK,"," OIB: 99940897955")</f>
        <v xml:space="preserve"> AUTO-MAG D.O.O., GORNJOSTUPNIČKA 1/d, 10255 GORNJI STUPNIK, OIB: 99940897955</v>
      </c>
      <c r="H3024" s="7"/>
      <c r="I3024" s="8" t="s">
        <v>2749</v>
      </c>
      <c r="J3024" s="8" t="s">
        <v>407</v>
      </c>
      <c r="K3024" s="6" t="str">
        <f>"14.326,50"</f>
        <v>14.326,50</v>
      </c>
      <c r="L3024" s="6" t="str">
        <f>"3.581,63"</f>
        <v>3.581,63</v>
      </c>
      <c r="M3024" s="6" t="str">
        <f>"17.908,13"</f>
        <v>17.908,13</v>
      </c>
      <c r="N3024" s="8" t="s">
        <v>1445</v>
      </c>
      <c r="O3024" s="7"/>
      <c r="P3024" s="2" t="s">
        <v>7305</v>
      </c>
      <c r="Q3024" s="7"/>
      <c r="R3024" s="1"/>
      <c r="S3024" s="1" t="str">
        <f>"J-UN-2021-705"</f>
        <v>J-UN-2021-705</v>
      </c>
      <c r="T3024" s="1" t="s">
        <v>32</v>
      </c>
    </row>
    <row r="3025" spans="1:20" ht="89.25" x14ac:dyDescent="0.25">
      <c r="A3025" s="6">
        <v>3019</v>
      </c>
      <c r="B3025" s="1" t="str">
        <f>"2021-1073"</f>
        <v>2021-1073</v>
      </c>
      <c r="C3025" s="1" t="s">
        <v>2819</v>
      </c>
      <c r="D3025" s="1" t="s">
        <v>2820</v>
      </c>
      <c r="E3025" s="1" t="str">
        <f>""</f>
        <v/>
      </c>
      <c r="F3025" s="1" t="s">
        <v>1860</v>
      </c>
      <c r="G3025" s="1" t="str">
        <f>CONCATENATE(" DTM FON OBRT ZA SERVISIRANJE TELEFONSKIH UREĐAJA VL. DAVOR TEPŠIĆ,"," KNEZA TRPIMIRA 7,"," 10432 BREGANA,"," OIB: 35861965145")</f>
        <v xml:space="preserve"> DTM FON OBRT ZA SERVISIRANJE TELEFONSKIH UREĐAJA VL. DAVOR TEPŠIĆ, KNEZA TRPIMIRA 7, 10432 BREGANA, OIB: 35861965145</v>
      </c>
      <c r="H3025" s="7"/>
      <c r="I3025" s="8" t="s">
        <v>40</v>
      </c>
      <c r="J3025" s="8" t="s">
        <v>905</v>
      </c>
      <c r="K3025" s="6" t="str">
        <f>"914,58"</f>
        <v>914,58</v>
      </c>
      <c r="L3025" s="6" t="str">
        <f>"228,65"</f>
        <v>228,65</v>
      </c>
      <c r="M3025" s="6" t="str">
        <f>"1.143,23"</f>
        <v>1.143,23</v>
      </c>
      <c r="N3025" s="8" t="s">
        <v>124</v>
      </c>
      <c r="O3025" s="7"/>
      <c r="P3025" s="2" t="s">
        <v>5614</v>
      </c>
      <c r="Q3025" s="7"/>
      <c r="R3025" s="1"/>
      <c r="S3025" s="1" t="str">
        <f>"J-UN-2021-706"</f>
        <v>J-UN-2021-706</v>
      </c>
      <c r="T3025" s="1" t="s">
        <v>32</v>
      </c>
    </row>
    <row r="3026" spans="1:20" ht="76.5" x14ac:dyDescent="0.25">
      <c r="A3026" s="6">
        <v>3020</v>
      </c>
      <c r="B3026" s="1" t="str">
        <f>"2021-1206"</f>
        <v>2021-1206</v>
      </c>
      <c r="C3026" s="1" t="s">
        <v>2821</v>
      </c>
      <c r="D3026" s="1" t="s">
        <v>1627</v>
      </c>
      <c r="E3026" s="1" t="str">
        <f>""</f>
        <v/>
      </c>
      <c r="F3026" s="1" t="s">
        <v>1860</v>
      </c>
      <c r="G3026" s="1" t="str">
        <f>CONCATENATE(" ELICOM D.O.O.,"," ŠTEFANOVEC 138,"," 10000 ZAGREB,"," OIB: 76370234816")</f>
        <v xml:space="preserve"> ELICOM D.O.O., ŠTEFANOVEC 138, 10000 ZAGREB, OIB: 76370234816</v>
      </c>
      <c r="H3026" s="7"/>
      <c r="I3026" s="8" t="s">
        <v>542</v>
      </c>
      <c r="J3026" s="8" t="s">
        <v>426</v>
      </c>
      <c r="K3026" s="6" t="str">
        <f>"3.835,29"</f>
        <v>3.835,29</v>
      </c>
      <c r="L3026" s="6" t="str">
        <f>"958,82"</f>
        <v>958,82</v>
      </c>
      <c r="M3026" s="6" t="str">
        <f>"4.794,11"</f>
        <v>4.794,11</v>
      </c>
      <c r="N3026" s="8" t="s">
        <v>37</v>
      </c>
      <c r="O3026" s="7"/>
      <c r="P3026" s="2" t="s">
        <v>7306</v>
      </c>
      <c r="Q3026" s="7"/>
      <c r="R3026" s="1"/>
      <c r="S3026" s="1" t="str">
        <f>"J-UN-2021-707"</f>
        <v>J-UN-2021-707</v>
      </c>
      <c r="T3026" s="1" t="s">
        <v>32</v>
      </c>
    </row>
    <row r="3027" spans="1:20" ht="51" x14ac:dyDescent="0.25">
      <c r="A3027" s="6">
        <v>3021</v>
      </c>
      <c r="B3027" s="1" t="str">
        <f>"2021-898"</f>
        <v>2021-898</v>
      </c>
      <c r="C3027" s="1" t="s">
        <v>2670</v>
      </c>
      <c r="D3027" s="1" t="s">
        <v>2671</v>
      </c>
      <c r="E3027" s="1" t="str">
        <f>""</f>
        <v/>
      </c>
      <c r="F3027" s="1" t="s">
        <v>1860</v>
      </c>
      <c r="G3027" s="1" t="str">
        <f>CONCATENATE(" SAFIR D.O.O.,"," HORVAĆANSKA 17,"," 10000 ZAGREB,"," OIB: 33548604975")</f>
        <v xml:space="preserve"> SAFIR D.O.O., HORVAĆANSKA 17, 10000 ZAGREB, OIB: 33548604975</v>
      </c>
      <c r="H3027" s="7"/>
      <c r="I3027" s="8" t="s">
        <v>24</v>
      </c>
      <c r="J3027" s="8" t="s">
        <v>442</v>
      </c>
      <c r="K3027" s="6" t="str">
        <f>"3.600,00"</f>
        <v>3.600,00</v>
      </c>
      <c r="L3027" s="6" t="str">
        <f>"900,00"</f>
        <v>900,00</v>
      </c>
      <c r="M3027" s="6" t="str">
        <f>"4.500,00"</f>
        <v>4.500,00</v>
      </c>
      <c r="N3027" s="8" t="s">
        <v>66</v>
      </c>
      <c r="O3027" s="7"/>
      <c r="P3027" s="2" t="s">
        <v>5730</v>
      </c>
      <c r="Q3027" s="7"/>
      <c r="R3027" s="1"/>
      <c r="S3027" s="1" t="str">
        <f>"J-UN-2021-708"</f>
        <v>J-UN-2021-708</v>
      </c>
      <c r="T3027" s="1" t="s">
        <v>32</v>
      </c>
    </row>
    <row r="3028" spans="1:20" ht="63.75" x14ac:dyDescent="0.25">
      <c r="A3028" s="6">
        <v>3022</v>
      </c>
      <c r="B3028" s="1" t="str">
        <f>"2021-206"</f>
        <v>2021-206</v>
      </c>
      <c r="C3028" s="1" t="s">
        <v>2822</v>
      </c>
      <c r="D3028" s="1" t="s">
        <v>2823</v>
      </c>
      <c r="E3028" s="1" t="str">
        <f>""</f>
        <v/>
      </c>
      <c r="F3028" s="1" t="s">
        <v>1860</v>
      </c>
      <c r="G3028" s="1" t="str">
        <f>CONCATENATE(" KEMOBOJA-DUBRAVA D.O.O.,"," AVENIJA DUBRAVA 37,"," 10000 ZAGREB,"," OIB: 6402157427")</f>
        <v xml:space="preserve"> KEMOBOJA-DUBRAVA D.O.O., AVENIJA DUBRAVA 37, 10000 ZAGREB, OIB: 6402157427</v>
      </c>
      <c r="H3028" s="7"/>
      <c r="I3028" s="8" t="s">
        <v>455</v>
      </c>
      <c r="J3028" s="8" t="s">
        <v>1399</v>
      </c>
      <c r="K3028" s="6" t="str">
        <f>"13.270,00"</f>
        <v>13.270,00</v>
      </c>
      <c r="L3028" s="6" t="str">
        <f>"3.317,50"</f>
        <v>3.317,50</v>
      </c>
      <c r="M3028" s="6" t="str">
        <f>"16.587,50"</f>
        <v>16.587,50</v>
      </c>
      <c r="N3028" s="8" t="s">
        <v>47</v>
      </c>
      <c r="O3028" s="7"/>
      <c r="P3028" s="2" t="s">
        <v>7307</v>
      </c>
      <c r="Q3028" s="7"/>
      <c r="R3028" s="1"/>
      <c r="S3028" s="1" t="str">
        <f>"J-UN-2021-711"</f>
        <v>J-UN-2021-711</v>
      </c>
      <c r="T3028" s="1" t="s">
        <v>32</v>
      </c>
    </row>
    <row r="3029" spans="1:20" ht="51" x14ac:dyDescent="0.25">
      <c r="A3029" s="6">
        <v>3023</v>
      </c>
      <c r="B3029" s="1" t="str">
        <f>"2021-1346"</f>
        <v>2021-1346</v>
      </c>
      <c r="C3029" s="1" t="s">
        <v>2824</v>
      </c>
      <c r="D3029" s="1" t="s">
        <v>74</v>
      </c>
      <c r="E3029" s="1" t="str">
        <f>""</f>
        <v/>
      </c>
      <c r="F3029" s="1" t="s">
        <v>1860</v>
      </c>
      <c r="G3029" s="1" t="str">
        <f>CONCATENATE(" INFOKOM D.O.O,"," SAVSKA 129,"," 10000 ZAGREB,"," OIB: 68111664044")</f>
        <v xml:space="preserve"> INFOKOM D.O.O, SAVSKA 129, 10000 ZAGREB, OIB: 68111664044</v>
      </c>
      <c r="H3029" s="7"/>
      <c r="I3029" s="8" t="s">
        <v>542</v>
      </c>
      <c r="J3029" s="8" t="s">
        <v>426</v>
      </c>
      <c r="K3029" s="6" t="str">
        <f>"193.200,00"</f>
        <v>193.200,00</v>
      </c>
      <c r="L3029" s="6" t="str">
        <f>"48.300,00"</f>
        <v>48.300,00</v>
      </c>
      <c r="M3029" s="6" t="str">
        <f>"241.500,00"</f>
        <v>241.500,00</v>
      </c>
      <c r="N3029" s="8" t="s">
        <v>214</v>
      </c>
      <c r="O3029" s="7"/>
      <c r="P3029" s="2" t="s">
        <v>7308</v>
      </c>
      <c r="Q3029" s="7"/>
      <c r="R3029" s="1"/>
      <c r="S3029" s="1" t="str">
        <f>"J-UN-2021-712"</f>
        <v>J-UN-2021-712</v>
      </c>
      <c r="T3029" s="1" t="s">
        <v>32</v>
      </c>
    </row>
    <row r="3030" spans="1:20" ht="63.75" x14ac:dyDescent="0.25">
      <c r="A3030" s="6">
        <v>3024</v>
      </c>
      <c r="B3030" s="1" t="str">
        <f>"2021-997"</f>
        <v>2021-997</v>
      </c>
      <c r="C3030" s="1" t="s">
        <v>2761</v>
      </c>
      <c r="D3030" s="1" t="s">
        <v>2762</v>
      </c>
      <c r="E3030" s="1" t="str">
        <f>""</f>
        <v/>
      </c>
      <c r="F3030" s="1" t="s">
        <v>1860</v>
      </c>
      <c r="G3030" s="1" t="str">
        <f>CONCATENATE(" OBRT REKLAMNI STUDIO  IDEAART,"," TRG POD LIPOM 3,"," 52000 PAZIN,"," OIB: 4539236465")</f>
        <v xml:space="preserve"> OBRT REKLAMNI STUDIO  IDEAART, TRG POD LIPOM 3, 52000 PAZIN, OIB: 4539236465</v>
      </c>
      <c r="H3030" s="7"/>
      <c r="I3030" s="8" t="s">
        <v>455</v>
      </c>
      <c r="J3030" s="8" t="s">
        <v>1399</v>
      </c>
      <c r="K3030" s="6" t="str">
        <f>"14.431,00"</f>
        <v>14.431,00</v>
      </c>
      <c r="L3030" s="6" t="str">
        <f>"3.607,75"</f>
        <v>3.607,75</v>
      </c>
      <c r="M3030" s="6" t="str">
        <f>"18.038,75"</f>
        <v>18.038,75</v>
      </c>
      <c r="N3030" s="8" t="s">
        <v>533</v>
      </c>
      <c r="O3030" s="7"/>
      <c r="P3030" s="2" t="s">
        <v>7309</v>
      </c>
      <c r="Q3030" s="7"/>
      <c r="R3030" s="1"/>
      <c r="S3030" s="1" t="str">
        <f>"J-UN-2021-713"</f>
        <v>J-UN-2021-713</v>
      </c>
      <c r="T3030" s="1" t="s">
        <v>32</v>
      </c>
    </row>
    <row r="3031" spans="1:20" ht="51" x14ac:dyDescent="0.25">
      <c r="A3031" s="6">
        <v>3025</v>
      </c>
      <c r="B3031" s="1" t="str">
        <f>"2021-144"</f>
        <v>2021-144</v>
      </c>
      <c r="C3031" s="1" t="s">
        <v>2677</v>
      </c>
      <c r="D3031" s="1" t="s">
        <v>2678</v>
      </c>
      <c r="E3031" s="1" t="str">
        <f>""</f>
        <v/>
      </c>
      <c r="F3031" s="1" t="s">
        <v>1860</v>
      </c>
      <c r="G3031" s="1" t="str">
        <f>CONCATENATE(" LJEKARNE JOUKHADAR,"," HRIBAROV PRILAZ 6A,"," 10000 ZAGREB,"," OIB: 12767193532")</f>
        <v xml:space="preserve"> LJEKARNE JOUKHADAR, HRIBAROV PRILAZ 6A, 10000 ZAGREB, OIB: 12767193532</v>
      </c>
      <c r="H3031" s="7"/>
      <c r="I3031" s="8" t="s">
        <v>2749</v>
      </c>
      <c r="J3031" s="8" t="s">
        <v>407</v>
      </c>
      <c r="K3031" s="6" t="str">
        <f>"788,85"</f>
        <v>788,85</v>
      </c>
      <c r="L3031" s="6" t="str">
        <f>"197,21"</f>
        <v>197,21</v>
      </c>
      <c r="M3031" s="6" t="str">
        <f>"986,06"</f>
        <v>986,06</v>
      </c>
      <c r="N3031" s="8" t="s">
        <v>1356</v>
      </c>
      <c r="O3031" s="7"/>
      <c r="P3031" s="2" t="s">
        <v>7310</v>
      </c>
      <c r="Q3031" s="7"/>
      <c r="R3031" s="1"/>
      <c r="S3031" s="1" t="str">
        <f>"J-UN-2021-714"</f>
        <v>J-UN-2021-714</v>
      </c>
      <c r="T3031" s="1" t="s">
        <v>32</v>
      </c>
    </row>
    <row r="3032" spans="1:20" ht="63.75" x14ac:dyDescent="0.25">
      <c r="A3032" s="6">
        <v>3026</v>
      </c>
      <c r="B3032" s="1" t="str">
        <f>"2021-1309"</f>
        <v>2021-1309</v>
      </c>
      <c r="C3032" s="1" t="s">
        <v>2825</v>
      </c>
      <c r="D3032" s="1" t="s">
        <v>2729</v>
      </c>
      <c r="E3032" s="1" t="str">
        <f>""</f>
        <v/>
      </c>
      <c r="F3032" s="1" t="s">
        <v>1860</v>
      </c>
      <c r="G3032" s="1" t="str">
        <f>CONCATENATE(" BUREAU VERITAS CROATIA D.O.O.,"," CIOTTINA 17A,"," 51000 RIJEKA,"," OIB: 8279853215")</f>
        <v xml:space="preserve"> BUREAU VERITAS CROATIA D.O.O., CIOTTINA 17A, 51000 RIJEKA, OIB: 8279853215</v>
      </c>
      <c r="H3032" s="7"/>
      <c r="I3032" s="8" t="s">
        <v>542</v>
      </c>
      <c r="J3032" s="8" t="s">
        <v>426</v>
      </c>
      <c r="K3032" s="6" t="str">
        <f>"6.000,00"</f>
        <v>6.000,00</v>
      </c>
      <c r="L3032" s="6" t="str">
        <f>"1.500,00"</f>
        <v>1.500,00</v>
      </c>
      <c r="M3032" s="6" t="str">
        <f>"7.500,00"</f>
        <v>7.500,00</v>
      </c>
      <c r="N3032" s="8" t="s">
        <v>2285</v>
      </c>
      <c r="O3032" s="7"/>
      <c r="P3032" s="2" t="s">
        <v>5806</v>
      </c>
      <c r="Q3032" s="7"/>
      <c r="R3032" s="1"/>
      <c r="S3032" s="1" t="str">
        <f>"J-UN-2021-715"</f>
        <v>J-UN-2021-715</v>
      </c>
      <c r="T3032" s="1" t="s">
        <v>32</v>
      </c>
    </row>
    <row r="3033" spans="1:20" ht="51" x14ac:dyDescent="0.25">
      <c r="A3033" s="6">
        <v>3027</v>
      </c>
      <c r="B3033" s="1" t="str">
        <f>"2021-143"</f>
        <v>2021-143</v>
      </c>
      <c r="C3033" s="1" t="s">
        <v>2621</v>
      </c>
      <c r="D3033" s="1" t="s">
        <v>2622</v>
      </c>
      <c r="E3033" s="1" t="str">
        <f>""</f>
        <v/>
      </c>
      <c r="F3033" s="1" t="s">
        <v>1860</v>
      </c>
      <c r="G3033" s="1" t="str">
        <f>CONCATENATE(" BASIC MODEL D.O.O.,"," TRAVANJSKA 19,"," 10000 ZAGREB,"," OIB: 64150104602")</f>
        <v xml:space="preserve"> BASIC MODEL D.O.O., TRAVANJSKA 19, 10000 ZAGREB, OIB: 64150104602</v>
      </c>
      <c r="H3033" s="7"/>
      <c r="I3033" s="8" t="s">
        <v>25</v>
      </c>
      <c r="J3033" s="8" t="s">
        <v>773</v>
      </c>
      <c r="K3033" s="6" t="str">
        <f>"2.931,62"</f>
        <v>2.931,62</v>
      </c>
      <c r="L3033" s="6" t="str">
        <f>"732,91"</f>
        <v>732,91</v>
      </c>
      <c r="M3033" s="6" t="str">
        <f>"3.664,53"</f>
        <v>3.664,53</v>
      </c>
      <c r="N3033" s="8" t="s">
        <v>1496</v>
      </c>
      <c r="O3033" s="7"/>
      <c r="P3033" s="2" t="s">
        <v>7311</v>
      </c>
      <c r="Q3033" s="7"/>
      <c r="R3033" s="1"/>
      <c r="S3033" s="1" t="str">
        <f>"J-UN-2021-716"</f>
        <v>J-UN-2021-716</v>
      </c>
      <c r="T3033" s="1" t="s">
        <v>32</v>
      </c>
    </row>
    <row r="3034" spans="1:20" ht="51" x14ac:dyDescent="0.25">
      <c r="A3034" s="6">
        <v>3028</v>
      </c>
      <c r="B3034" s="1" t="str">
        <f>"2021-318"</f>
        <v>2021-318</v>
      </c>
      <c r="C3034" s="1" t="s">
        <v>2608</v>
      </c>
      <c r="D3034" s="1" t="s">
        <v>1203</v>
      </c>
      <c r="E3034" s="1" t="str">
        <f>""</f>
        <v/>
      </c>
      <c r="F3034" s="1" t="s">
        <v>1860</v>
      </c>
      <c r="G3034" s="1" t="str">
        <f>CONCATENATE(" SVRDLO D.O.O.,"," ŠKOLSKA ULICA 10,"," 10370 DUGO SELO,"," OIB: 36535565458")</f>
        <v xml:space="preserve"> SVRDLO D.O.O., ŠKOLSKA ULICA 10, 10370 DUGO SELO, OIB: 36535565458</v>
      </c>
      <c r="H3034" s="7"/>
      <c r="I3034" s="8" t="s">
        <v>455</v>
      </c>
      <c r="J3034" s="8" t="s">
        <v>1399</v>
      </c>
      <c r="K3034" s="6" t="str">
        <f>"7.380,00"</f>
        <v>7.380,00</v>
      </c>
      <c r="L3034" s="6" t="str">
        <f>"1.845,00"</f>
        <v>1.845,00</v>
      </c>
      <c r="M3034" s="6" t="str">
        <f>"9.225,00"</f>
        <v>9.225,00</v>
      </c>
      <c r="N3034" s="8" t="s">
        <v>1905</v>
      </c>
      <c r="O3034" s="7"/>
      <c r="P3034" s="2" t="s">
        <v>7312</v>
      </c>
      <c r="Q3034" s="7"/>
      <c r="R3034" s="1"/>
      <c r="S3034" s="1" t="str">
        <f>"J-UN-2021-718"</f>
        <v>J-UN-2021-718</v>
      </c>
      <c r="T3034" s="1" t="s">
        <v>32</v>
      </c>
    </row>
    <row r="3035" spans="1:20" ht="51" x14ac:dyDescent="0.25">
      <c r="A3035" s="6">
        <v>3029</v>
      </c>
      <c r="B3035" s="1" t="str">
        <f>"2021-983"</f>
        <v>2021-983</v>
      </c>
      <c r="C3035" s="1" t="s">
        <v>2690</v>
      </c>
      <c r="D3035" s="1" t="s">
        <v>2691</v>
      </c>
      <c r="E3035" s="1" t="str">
        <f>""</f>
        <v/>
      </c>
      <c r="F3035" s="1" t="s">
        <v>1860</v>
      </c>
      <c r="G3035" s="1" t="str">
        <f>CONCATENATE(" BASIC MODEL D.O.O.,"," TRAVANJSKA 19,"," 10000 ZAGREB,"," OIB: 64150104602")</f>
        <v xml:space="preserve"> BASIC MODEL D.O.O., TRAVANJSKA 19, 10000 ZAGREB, OIB: 64150104602</v>
      </c>
      <c r="H3035" s="7"/>
      <c r="I3035" s="8" t="s">
        <v>455</v>
      </c>
      <c r="J3035" s="8" t="s">
        <v>1399</v>
      </c>
      <c r="K3035" s="6" t="str">
        <f>"8.892,00"</f>
        <v>8.892,00</v>
      </c>
      <c r="L3035" s="6" t="str">
        <f>"2.223,00"</f>
        <v>2.223,00</v>
      </c>
      <c r="M3035" s="6" t="str">
        <f>"11.115,00"</f>
        <v>11.115,00</v>
      </c>
      <c r="N3035" s="8" t="s">
        <v>48</v>
      </c>
      <c r="O3035" s="7"/>
      <c r="P3035" s="2" t="s">
        <v>7313</v>
      </c>
      <c r="Q3035" s="7"/>
      <c r="R3035" s="1"/>
      <c r="S3035" s="1" t="str">
        <f>"J-UN-2021-719"</f>
        <v>J-UN-2021-719</v>
      </c>
      <c r="T3035" s="1" t="s">
        <v>32</v>
      </c>
    </row>
    <row r="3036" spans="1:20" ht="51" x14ac:dyDescent="0.25">
      <c r="A3036" s="6">
        <v>3030</v>
      </c>
      <c r="B3036" s="1" t="str">
        <f>"2021-489"</f>
        <v>2021-489</v>
      </c>
      <c r="C3036" s="1" t="s">
        <v>2741</v>
      </c>
      <c r="D3036" s="1" t="s">
        <v>2742</v>
      </c>
      <c r="E3036" s="1" t="str">
        <f>""</f>
        <v/>
      </c>
      <c r="F3036" s="1" t="s">
        <v>1860</v>
      </c>
      <c r="G3036" s="1" t="str">
        <f>CONCATENATE(" SCHEDA D.O.O.,"," LJUDEVITA POSAVSKOG 29,"," 10360 SESVETE,"," OIB: 76219817247")</f>
        <v xml:space="preserve"> SCHEDA D.O.O., LJUDEVITA POSAVSKOG 29, 10360 SESVETE, OIB: 76219817247</v>
      </c>
      <c r="H3036" s="7"/>
      <c r="I3036" s="8" t="s">
        <v>455</v>
      </c>
      <c r="J3036" s="8" t="s">
        <v>1399</v>
      </c>
      <c r="K3036" s="6" t="str">
        <f>"1.577,30"</f>
        <v>1.577,30</v>
      </c>
      <c r="L3036" s="6" t="str">
        <f>"394,33"</f>
        <v>394,33</v>
      </c>
      <c r="M3036" s="6" t="str">
        <f>"1.971,63"</f>
        <v>1.971,63</v>
      </c>
      <c r="N3036" s="8" t="s">
        <v>2812</v>
      </c>
      <c r="O3036" s="7"/>
      <c r="P3036" s="2" t="s">
        <v>7314</v>
      </c>
      <c r="Q3036" s="7"/>
      <c r="R3036" s="1"/>
      <c r="S3036" s="1" t="str">
        <f>"J-UN-2021-721"</f>
        <v>J-UN-2021-721</v>
      </c>
      <c r="T3036" s="1" t="s">
        <v>32</v>
      </c>
    </row>
    <row r="3037" spans="1:20" ht="63.75" x14ac:dyDescent="0.25">
      <c r="A3037" s="6">
        <v>3031</v>
      </c>
      <c r="B3037" s="1" t="str">
        <f>"2021-183"</f>
        <v>2021-183</v>
      </c>
      <c r="C3037" s="1" t="s">
        <v>2726</v>
      </c>
      <c r="D3037" s="1" t="s">
        <v>689</v>
      </c>
      <c r="E3037" s="1" t="str">
        <f>""</f>
        <v/>
      </c>
      <c r="F3037" s="1" t="s">
        <v>1860</v>
      </c>
      <c r="G3037" s="1" t="str">
        <f>CONCATENATE(" KEMOBOJA-DUBRAVA D.O.O.,"," AVENIJA DUBRAVA 37,"," 10000 ZAGREB,"," OIB: 6402157427")</f>
        <v xml:space="preserve"> KEMOBOJA-DUBRAVA D.O.O., AVENIJA DUBRAVA 37, 10000 ZAGREB, OIB: 6402157427</v>
      </c>
      <c r="H3037" s="7"/>
      <c r="I3037" s="8" t="s">
        <v>455</v>
      </c>
      <c r="J3037" s="8" t="s">
        <v>1399</v>
      </c>
      <c r="K3037" s="6" t="str">
        <f>"1.100,00"</f>
        <v>1.100,00</v>
      </c>
      <c r="L3037" s="6" t="str">
        <f>"275,00"</f>
        <v>275,00</v>
      </c>
      <c r="M3037" s="6" t="str">
        <f>"1.375,00"</f>
        <v>1.375,00</v>
      </c>
      <c r="N3037" s="8" t="s">
        <v>47</v>
      </c>
      <c r="O3037" s="7"/>
      <c r="P3037" s="2" t="s">
        <v>7315</v>
      </c>
      <c r="Q3037" s="7"/>
      <c r="R3037" s="1"/>
      <c r="S3037" s="1" t="str">
        <f>"J-UN-2021-723"</f>
        <v>J-UN-2021-723</v>
      </c>
      <c r="T3037" s="1" t="s">
        <v>32</v>
      </c>
    </row>
    <row r="3038" spans="1:20" ht="51" x14ac:dyDescent="0.25">
      <c r="A3038" s="6">
        <v>3032</v>
      </c>
      <c r="B3038" s="1" t="str">
        <f>"2021-1168"</f>
        <v>2021-1168</v>
      </c>
      <c r="C3038" s="1" t="s">
        <v>2784</v>
      </c>
      <c r="D3038" s="1" t="s">
        <v>2785</v>
      </c>
      <c r="E3038" s="1" t="str">
        <f>""</f>
        <v/>
      </c>
      <c r="F3038" s="1" t="s">
        <v>1860</v>
      </c>
      <c r="G3038" s="1" t="str">
        <f>CONCATENATE(" FRIGOMOTORS D.O.O.,"," DUGOPOLJSKA 35,"," 21204 DUGOPOLJE,"," OIB: 09191580513")</f>
        <v xml:space="preserve"> FRIGOMOTORS D.O.O., DUGOPOLJSKA 35, 21204 DUGOPOLJE, OIB: 09191580513</v>
      </c>
      <c r="H3038" s="7"/>
      <c r="I3038" s="8" t="s">
        <v>872</v>
      </c>
      <c r="J3038" s="8" t="s">
        <v>852</v>
      </c>
      <c r="K3038" s="6" t="str">
        <f>"6.895,00"</f>
        <v>6.895,00</v>
      </c>
      <c r="L3038" s="6" t="str">
        <f>"1.723,75"</f>
        <v>1.723,75</v>
      </c>
      <c r="M3038" s="6" t="str">
        <f>"8.618,75"</f>
        <v>8.618,75</v>
      </c>
      <c r="N3038" s="8" t="s">
        <v>2696</v>
      </c>
      <c r="O3038" s="7"/>
      <c r="P3038" s="2" t="s">
        <v>7316</v>
      </c>
      <c r="Q3038" s="7"/>
      <c r="R3038" s="1"/>
      <c r="S3038" s="1" t="str">
        <f>"J-UN-2021-724"</f>
        <v>J-UN-2021-724</v>
      </c>
      <c r="T3038" s="1" t="s">
        <v>32</v>
      </c>
    </row>
    <row r="3039" spans="1:20" ht="51" x14ac:dyDescent="0.25">
      <c r="A3039" s="6">
        <v>3033</v>
      </c>
      <c r="B3039" s="1" t="str">
        <f>"2021-946"</f>
        <v>2021-946</v>
      </c>
      <c r="C3039" s="1" t="s">
        <v>2711</v>
      </c>
      <c r="D3039" s="1" t="s">
        <v>1914</v>
      </c>
      <c r="E3039" s="1" t="str">
        <f>""</f>
        <v/>
      </c>
      <c r="F3039" s="1" t="s">
        <v>1860</v>
      </c>
      <c r="G3039" s="1" t="str">
        <f>CONCATENATE(" ŠKOLJIĆ PLIN D.O.O.,"," PUŠĆA 131,"," 51513 OMIŠALJ,"," OIB: 33596394529")</f>
        <v xml:space="preserve"> ŠKOLJIĆ PLIN D.O.O., PUŠĆA 131, 51513 OMIŠALJ, OIB: 33596394529</v>
      </c>
      <c r="H3039" s="7"/>
      <c r="I3039" s="8" t="s">
        <v>542</v>
      </c>
      <c r="J3039" s="8" t="s">
        <v>426</v>
      </c>
      <c r="K3039" s="6" t="str">
        <f>"3.105,60"</f>
        <v>3.105,60</v>
      </c>
      <c r="L3039" s="6" t="str">
        <f>"776,40"</f>
        <v>776,40</v>
      </c>
      <c r="M3039" s="6" t="str">
        <f>"3.882,00"</f>
        <v>3.882,00</v>
      </c>
      <c r="N3039" s="8" t="s">
        <v>1889</v>
      </c>
      <c r="O3039" s="7"/>
      <c r="P3039" s="2" t="s">
        <v>7317</v>
      </c>
      <c r="Q3039" s="7"/>
      <c r="R3039" s="1"/>
      <c r="S3039" s="1" t="str">
        <f>"J-UN-2021-725"</f>
        <v>J-UN-2021-725</v>
      </c>
      <c r="T3039" s="1" t="s">
        <v>32</v>
      </c>
    </row>
    <row r="3040" spans="1:20" ht="51" x14ac:dyDescent="0.25">
      <c r="A3040" s="6">
        <v>3034</v>
      </c>
      <c r="B3040" s="1" t="str">
        <f>"2021-310"</f>
        <v>2021-310</v>
      </c>
      <c r="C3040" s="1" t="s">
        <v>2624</v>
      </c>
      <c r="D3040" s="1" t="s">
        <v>1334</v>
      </c>
      <c r="E3040" s="1" t="str">
        <f>""</f>
        <v/>
      </c>
      <c r="F3040" s="1" t="s">
        <v>1860</v>
      </c>
      <c r="G3040" s="1" t="str">
        <f>CONCATENATE(" COMET D.O.O.,"," VARAŽDINSKA 40/C,"," 42220 NOVI MAROF,"," OIB: 48249084626")</f>
        <v xml:space="preserve"> COMET D.O.O., VARAŽDINSKA 40/C, 42220 NOVI MAROF, OIB: 48249084626</v>
      </c>
      <c r="H3040" s="7"/>
      <c r="I3040" s="8" t="s">
        <v>455</v>
      </c>
      <c r="J3040" s="8" t="s">
        <v>1399</v>
      </c>
      <c r="K3040" s="6" t="str">
        <f>"875,00"</f>
        <v>875,00</v>
      </c>
      <c r="L3040" s="6" t="str">
        <f>"218,75"</f>
        <v>218,75</v>
      </c>
      <c r="M3040" s="6" t="str">
        <f>"1.093,75"</f>
        <v>1.093,75</v>
      </c>
      <c r="N3040" s="8" t="s">
        <v>66</v>
      </c>
      <c r="O3040" s="7"/>
      <c r="P3040" s="2" t="s">
        <v>7318</v>
      </c>
      <c r="Q3040" s="7"/>
      <c r="R3040" s="1"/>
      <c r="S3040" s="1" t="str">
        <f>"J-UN-2021-726"</f>
        <v>J-UN-2021-726</v>
      </c>
      <c r="T3040" s="1" t="s">
        <v>32</v>
      </c>
    </row>
    <row r="3041" spans="1:20" ht="63.75" x14ac:dyDescent="0.25">
      <c r="A3041" s="6">
        <v>3035</v>
      </c>
      <c r="B3041" s="1" t="str">
        <f>"2021-1199"</f>
        <v>2021-1199</v>
      </c>
      <c r="C3041" s="1" t="s">
        <v>2638</v>
      </c>
      <c r="D3041" s="1" t="s">
        <v>1458</v>
      </c>
      <c r="E3041" s="1" t="str">
        <f>""</f>
        <v/>
      </c>
      <c r="F3041" s="1" t="s">
        <v>1860</v>
      </c>
      <c r="G3041" s="1" t="str">
        <f>CONCATENATE(" TIG ZAVARIVANJE D.O.O.,"," KREŠIMIRA KOVAČEVIĆA 2,"," 10360 SESVETE,"," OIB: 57349450349")</f>
        <v xml:space="preserve"> TIG ZAVARIVANJE D.O.O., KREŠIMIRA KOVAČEVIĆA 2, 10360 SESVETE, OIB: 57349450349</v>
      </c>
      <c r="H3041" s="7"/>
      <c r="I3041" s="8" t="s">
        <v>40</v>
      </c>
      <c r="J3041" s="8" t="s">
        <v>905</v>
      </c>
      <c r="K3041" s="6" t="str">
        <f>"610,00"</f>
        <v>610,00</v>
      </c>
      <c r="L3041" s="6" t="str">
        <f>"152,50"</f>
        <v>152,50</v>
      </c>
      <c r="M3041" s="6" t="str">
        <f>"762,50"</f>
        <v>762,50</v>
      </c>
      <c r="N3041" s="8" t="s">
        <v>124</v>
      </c>
      <c r="O3041" s="7"/>
      <c r="P3041" s="2" t="s">
        <v>5614</v>
      </c>
      <c r="Q3041" s="7"/>
      <c r="R3041" s="1"/>
      <c r="S3041" s="1" t="str">
        <f>"J-UN-2021-727"</f>
        <v>J-UN-2021-727</v>
      </c>
      <c r="T3041" s="1" t="s">
        <v>32</v>
      </c>
    </row>
    <row r="3042" spans="1:20" ht="51" x14ac:dyDescent="0.25">
      <c r="A3042" s="6">
        <v>3036</v>
      </c>
      <c r="B3042" s="1" t="str">
        <f>"2021-151"</f>
        <v>2021-151</v>
      </c>
      <c r="C3042" s="1" t="s">
        <v>2826</v>
      </c>
      <c r="D3042" s="1" t="s">
        <v>2827</v>
      </c>
      <c r="E3042" s="1" t="str">
        <f>""</f>
        <v/>
      </c>
      <c r="F3042" s="1" t="s">
        <v>1860</v>
      </c>
      <c r="G3042" s="1" t="str">
        <f>CONCATENATE(" BRIŠAR SERVIS D.O.O.,"," PRELČEVA 21D,"," 10360 SESVETE,"," OIB: 58933898865")</f>
        <v xml:space="preserve"> BRIŠAR SERVIS D.O.O., PRELČEVA 21D, 10360 SESVETE, OIB: 58933898865</v>
      </c>
      <c r="H3042" s="7"/>
      <c r="I3042" s="8" t="s">
        <v>37</v>
      </c>
      <c r="J3042" s="8" t="s">
        <v>562</v>
      </c>
      <c r="K3042" s="6" t="str">
        <f>"24.995,00"</f>
        <v>24.995,00</v>
      </c>
      <c r="L3042" s="6" t="str">
        <f>"6.248,75"</f>
        <v>6.248,75</v>
      </c>
      <c r="M3042" s="6" t="str">
        <f>"31.243,75"</f>
        <v>31.243,75</v>
      </c>
      <c r="N3042" s="8" t="s">
        <v>66</v>
      </c>
      <c r="O3042" s="7"/>
      <c r="P3042" s="2" t="s">
        <v>7319</v>
      </c>
      <c r="Q3042" s="7"/>
      <c r="R3042" s="1"/>
      <c r="S3042" s="1" t="str">
        <f>"J-UN-2021-728"</f>
        <v>J-UN-2021-728</v>
      </c>
      <c r="T3042" s="1" t="s">
        <v>32</v>
      </c>
    </row>
    <row r="3043" spans="1:20" ht="51" x14ac:dyDescent="0.25">
      <c r="A3043" s="6">
        <v>3037</v>
      </c>
      <c r="B3043" s="1" t="str">
        <f>"2021-910"</f>
        <v>2021-910</v>
      </c>
      <c r="C3043" s="1" t="s">
        <v>2828</v>
      </c>
      <c r="D3043" s="1" t="s">
        <v>914</v>
      </c>
      <c r="E3043" s="1" t="str">
        <f>""</f>
        <v/>
      </c>
      <c r="F3043" s="1" t="s">
        <v>1860</v>
      </c>
      <c r="G3043" s="1" t="str">
        <f>CONCATENATE(" AUTO ARBANAS D.O.O.,"," SISAČKA 45,"," 10410 VELIKA GORICA,"," OIB: 98352441242")</f>
        <v xml:space="preserve"> AUTO ARBANAS D.O.O., SISAČKA 45, 10410 VELIKA GORICA, OIB: 98352441242</v>
      </c>
      <c r="H3043" s="7"/>
      <c r="I3043" s="8" t="s">
        <v>67</v>
      </c>
      <c r="J3043" s="8" t="s">
        <v>240</v>
      </c>
      <c r="K3043" s="6" t="str">
        <f>"387,42"</f>
        <v>387,42</v>
      </c>
      <c r="L3043" s="6" t="str">
        <f>"96,86"</f>
        <v>96,86</v>
      </c>
      <c r="M3043" s="6" t="str">
        <f>"484,28"</f>
        <v>484,28</v>
      </c>
      <c r="N3043" s="8" t="s">
        <v>124</v>
      </c>
      <c r="O3043" s="7"/>
      <c r="P3043" s="2" t="s">
        <v>5614</v>
      </c>
      <c r="Q3043" s="7"/>
      <c r="R3043" s="1"/>
      <c r="S3043" s="1" t="str">
        <f>"J-UN-2021-729"</f>
        <v>J-UN-2021-729</v>
      </c>
      <c r="T3043" s="1" t="s">
        <v>32</v>
      </c>
    </row>
    <row r="3044" spans="1:20" ht="51" x14ac:dyDescent="0.25">
      <c r="A3044" s="6">
        <v>3038</v>
      </c>
      <c r="B3044" s="1" t="str">
        <f>"2021-316"</f>
        <v>2021-316</v>
      </c>
      <c r="C3044" s="1" t="s">
        <v>2747</v>
      </c>
      <c r="D3044" s="1" t="s">
        <v>1334</v>
      </c>
      <c r="E3044" s="1" t="str">
        <f>""</f>
        <v/>
      </c>
      <c r="F3044" s="1" t="s">
        <v>1860</v>
      </c>
      <c r="G3044" s="1" t="str">
        <f>CONCATENATE(" SCHEDA D.O.O.,"," LJUDEVITA POSAVSKOG 29,"," 10360 SESVETE,"," OIB: 76219817247")</f>
        <v xml:space="preserve"> SCHEDA D.O.O., LJUDEVITA POSAVSKOG 29, 10360 SESVETE, OIB: 76219817247</v>
      </c>
      <c r="H3044" s="7"/>
      <c r="I3044" s="8" t="s">
        <v>24</v>
      </c>
      <c r="J3044" s="8" t="s">
        <v>442</v>
      </c>
      <c r="K3044" s="6" t="str">
        <f>"1.173,30"</f>
        <v>1.173,30</v>
      </c>
      <c r="L3044" s="6" t="str">
        <f>"293,33"</f>
        <v>293,33</v>
      </c>
      <c r="M3044" s="6" t="str">
        <f>"1.466,63"</f>
        <v>1.466,63</v>
      </c>
      <c r="N3044" s="8" t="s">
        <v>48</v>
      </c>
      <c r="O3044" s="7"/>
      <c r="P3044" s="2" t="s">
        <v>7320</v>
      </c>
      <c r="Q3044" s="7"/>
      <c r="R3044" s="1"/>
      <c r="S3044" s="1" t="str">
        <f>"J-UN-2021-732"</f>
        <v>J-UN-2021-732</v>
      </c>
      <c r="T3044" s="1" t="s">
        <v>32</v>
      </c>
    </row>
    <row r="3045" spans="1:20" ht="51" x14ac:dyDescent="0.25">
      <c r="A3045" s="6">
        <v>3039</v>
      </c>
      <c r="B3045" s="1" t="str">
        <f>"2021-75"</f>
        <v>2021-75</v>
      </c>
      <c r="C3045" s="1" t="s">
        <v>2612</v>
      </c>
      <c r="D3045" s="1" t="s">
        <v>2613</v>
      </c>
      <c r="E3045" s="1" t="str">
        <f>""</f>
        <v/>
      </c>
      <c r="F3045" s="1" t="s">
        <v>1860</v>
      </c>
      <c r="G3045" s="1" t="str">
        <f>CONCATENATE(" ELCON D.O.O.,"," MEĐIMURSKA 2,"," 42000 VARAŽDIN,"," OIB: 69554624078")</f>
        <v xml:space="preserve"> ELCON D.O.O., MEĐIMURSKA 2, 42000 VARAŽDIN, OIB: 69554624078</v>
      </c>
      <c r="H3045" s="7"/>
      <c r="I3045" s="8" t="s">
        <v>24</v>
      </c>
      <c r="J3045" s="8" t="s">
        <v>442</v>
      </c>
      <c r="K3045" s="6" t="str">
        <f>"2.700,00"</f>
        <v>2.700,00</v>
      </c>
      <c r="L3045" s="6" t="str">
        <f>"675,00"</f>
        <v>675,00</v>
      </c>
      <c r="M3045" s="6" t="str">
        <f>"3.375,00"</f>
        <v>3.375,00</v>
      </c>
      <c r="N3045" s="8" t="s">
        <v>2748</v>
      </c>
      <c r="O3045" s="7"/>
      <c r="P3045" s="2" t="s">
        <v>6354</v>
      </c>
      <c r="Q3045" s="7"/>
      <c r="R3045" s="1"/>
      <c r="S3045" s="1" t="str">
        <f>"J-UN-2021-733"</f>
        <v>J-UN-2021-733</v>
      </c>
      <c r="T3045" s="1" t="s">
        <v>32</v>
      </c>
    </row>
    <row r="3046" spans="1:20" ht="51" x14ac:dyDescent="0.25">
      <c r="A3046" s="6">
        <v>3040</v>
      </c>
      <c r="B3046" s="1" t="str">
        <f>"2021-1004"</f>
        <v>2021-1004</v>
      </c>
      <c r="C3046" s="1" t="s">
        <v>2715</v>
      </c>
      <c r="D3046" s="1" t="s">
        <v>2716</v>
      </c>
      <c r="E3046" s="1" t="str">
        <f>""</f>
        <v/>
      </c>
      <c r="F3046" s="1" t="s">
        <v>1860</v>
      </c>
      <c r="G3046" s="1" t="str">
        <f>CONCATENATE(" LAGER BAŠIĆ D.O.O.,"," TRGOVAČKA 3,"," 10255 DONJI STUPNIK,"," OIB: 49617677906")</f>
        <v xml:space="preserve"> LAGER BAŠIĆ D.O.O., TRGOVAČKA 3, 10255 DONJI STUPNIK, OIB: 49617677906</v>
      </c>
      <c r="H3046" s="7"/>
      <c r="I3046" s="8" t="s">
        <v>542</v>
      </c>
      <c r="J3046" s="8" t="s">
        <v>426</v>
      </c>
      <c r="K3046" s="6" t="str">
        <f>"4.562,00"</f>
        <v>4.562,00</v>
      </c>
      <c r="L3046" s="6" t="str">
        <f>"1.140,50"</f>
        <v>1.140,50</v>
      </c>
      <c r="M3046" s="6" t="str">
        <f>"5.702,50"</f>
        <v>5.702,50</v>
      </c>
      <c r="N3046" s="8" t="s">
        <v>455</v>
      </c>
      <c r="O3046" s="7"/>
      <c r="P3046" s="2" t="s">
        <v>7321</v>
      </c>
      <c r="Q3046" s="7"/>
      <c r="R3046" s="1"/>
      <c r="S3046" s="1" t="str">
        <f>"J-UN-2021-734"</f>
        <v>J-UN-2021-734</v>
      </c>
      <c r="T3046" s="1" t="s">
        <v>32</v>
      </c>
    </row>
    <row r="3047" spans="1:20" ht="51" x14ac:dyDescent="0.25">
      <c r="A3047" s="6">
        <v>3041</v>
      </c>
      <c r="B3047" s="1" t="str">
        <f>"2021-425"</f>
        <v>2021-425</v>
      </c>
      <c r="C3047" s="1" t="s">
        <v>2829</v>
      </c>
      <c r="D3047" s="1" t="s">
        <v>2830</v>
      </c>
      <c r="E3047" s="1" t="str">
        <f>""</f>
        <v/>
      </c>
      <c r="F3047" s="1" t="s">
        <v>1860</v>
      </c>
      <c r="G3047" s="1" t="str">
        <f>CONCATENATE(" EKO DONUM D.O.O.,"," MOHOROVIČIĆEVA 38,"," 10000 ZAGREB,"," OIB: 93039268123")</f>
        <v xml:space="preserve"> EKO DONUM D.O.O., MOHOROVIČIĆEVA 38, 10000 ZAGREB, OIB: 93039268123</v>
      </c>
      <c r="H3047" s="7"/>
      <c r="I3047" s="8" t="s">
        <v>542</v>
      </c>
      <c r="J3047" s="8" t="s">
        <v>426</v>
      </c>
      <c r="K3047" s="6" t="str">
        <f>"3.530,00"</f>
        <v>3.530,00</v>
      </c>
      <c r="L3047" s="6" t="str">
        <f>"882,50"</f>
        <v>882,50</v>
      </c>
      <c r="M3047" s="6" t="str">
        <f>"4.412,50"</f>
        <v>4.412,50</v>
      </c>
      <c r="N3047" s="8" t="s">
        <v>124</v>
      </c>
      <c r="O3047" s="7"/>
      <c r="P3047" s="2" t="s">
        <v>5614</v>
      </c>
      <c r="Q3047" s="7"/>
      <c r="R3047" s="1"/>
      <c r="S3047" s="1" t="str">
        <f>"J-UN-2021-736"</f>
        <v>J-UN-2021-736</v>
      </c>
      <c r="T3047" s="1" t="s">
        <v>32</v>
      </c>
    </row>
    <row r="3048" spans="1:20" ht="63.75" x14ac:dyDescent="0.25">
      <c r="A3048" s="6">
        <v>3042</v>
      </c>
      <c r="B3048" s="1" t="str">
        <f>"2021-437"</f>
        <v>2021-437</v>
      </c>
      <c r="C3048" s="1" t="s">
        <v>2795</v>
      </c>
      <c r="D3048" s="1" t="s">
        <v>1619</v>
      </c>
      <c r="E3048" s="1" t="str">
        <f>""</f>
        <v/>
      </c>
      <c r="F3048" s="1" t="s">
        <v>1860</v>
      </c>
      <c r="G3048" s="1" t="str">
        <f>CONCATENATE(" GRA-PO D.O.O.,"," GOSPODARSKA 5B,"," 10255 ZAGREB - STUPNIK,"," OIB: 05364995085")</f>
        <v xml:space="preserve"> GRA-PO D.O.O., GOSPODARSKA 5B, 10255 ZAGREB - STUPNIK, OIB: 05364995085</v>
      </c>
      <c r="H3048" s="7"/>
      <c r="I3048" s="8" t="s">
        <v>542</v>
      </c>
      <c r="J3048" s="8" t="s">
        <v>426</v>
      </c>
      <c r="K3048" s="6" t="str">
        <f>"9.302,20"</f>
        <v>9.302,20</v>
      </c>
      <c r="L3048" s="6" t="str">
        <f>"2.325,55"</f>
        <v>2.325,55</v>
      </c>
      <c r="M3048" s="6" t="str">
        <f>"11.627,75"</f>
        <v>11.627,75</v>
      </c>
      <c r="N3048" s="8" t="s">
        <v>1129</v>
      </c>
      <c r="O3048" s="7"/>
      <c r="P3048" s="2" t="s">
        <v>7322</v>
      </c>
      <c r="Q3048" s="7"/>
      <c r="R3048" s="1"/>
      <c r="S3048" s="1" t="str">
        <f>"J-UN-2021-737"</f>
        <v>J-UN-2021-737</v>
      </c>
      <c r="T3048" s="1" t="s">
        <v>32</v>
      </c>
    </row>
    <row r="3049" spans="1:20" ht="63.75" x14ac:dyDescent="0.25">
      <c r="A3049" s="6">
        <v>3043</v>
      </c>
      <c r="B3049" s="1" t="str">
        <f>"2021-378"</f>
        <v>2021-378</v>
      </c>
      <c r="C3049" s="1" t="s">
        <v>2689</v>
      </c>
      <c r="D3049" s="1" t="s">
        <v>2577</v>
      </c>
      <c r="E3049" s="1" t="str">
        <f>""</f>
        <v/>
      </c>
      <c r="F3049" s="1" t="s">
        <v>1860</v>
      </c>
      <c r="G3049" s="1" t="str">
        <f>CONCATENATE(" GRA-PO D.O.O.,"," GOSPODARSKA 5B,"," 10255 ZAGREB - STUPNIK,"," OIB: 05364995085")</f>
        <v xml:space="preserve"> GRA-PO D.O.O., GOSPODARSKA 5B, 10255 ZAGREB - STUPNIK, OIB: 05364995085</v>
      </c>
      <c r="H3049" s="7"/>
      <c r="I3049" s="8" t="s">
        <v>542</v>
      </c>
      <c r="J3049" s="8" t="s">
        <v>426</v>
      </c>
      <c r="K3049" s="6" t="str">
        <f>"6.644,00"</f>
        <v>6.644,00</v>
      </c>
      <c r="L3049" s="6" t="str">
        <f>"1.661,00"</f>
        <v>1.661,00</v>
      </c>
      <c r="M3049" s="6" t="str">
        <f>"8.305,00"</f>
        <v>8.305,00</v>
      </c>
      <c r="N3049" s="8" t="s">
        <v>1129</v>
      </c>
      <c r="O3049" s="7"/>
      <c r="P3049" s="2" t="s">
        <v>7323</v>
      </c>
      <c r="Q3049" s="7"/>
      <c r="R3049" s="1"/>
      <c r="S3049" s="1" t="str">
        <f>"J-UN-2021-738"</f>
        <v>J-UN-2021-738</v>
      </c>
      <c r="T3049" s="1" t="s">
        <v>32</v>
      </c>
    </row>
    <row r="3050" spans="1:20" ht="51" x14ac:dyDescent="0.25">
      <c r="A3050" s="6">
        <v>3044</v>
      </c>
      <c r="B3050" s="1" t="str">
        <f>"2021-305"</f>
        <v>2021-305</v>
      </c>
      <c r="C3050" s="1" t="s">
        <v>2831</v>
      </c>
      <c r="D3050" s="1" t="s">
        <v>2832</v>
      </c>
      <c r="E3050" s="1" t="str">
        <f>""</f>
        <v/>
      </c>
      <c r="F3050" s="1" t="s">
        <v>1860</v>
      </c>
      <c r="G3050" s="1" t="str">
        <f>CONCATENATE(" PASTOR - TVA - D.D.,"," RAKITJE,"," NOVAČKA 2,"," 10437 BESTOVJE,"," OIB: 17140959007")</f>
        <v xml:space="preserve"> PASTOR - TVA - D.D., RAKITJE, NOVAČKA 2, 10437 BESTOVJE, OIB: 17140959007</v>
      </c>
      <c r="H3050" s="7"/>
      <c r="I3050" s="8" t="s">
        <v>25</v>
      </c>
      <c r="J3050" s="8" t="s">
        <v>773</v>
      </c>
      <c r="K3050" s="6" t="str">
        <f>"12.030,00"</f>
        <v>12.030,00</v>
      </c>
      <c r="L3050" s="6" t="str">
        <f>"3.007,50"</f>
        <v>3.007,50</v>
      </c>
      <c r="M3050" s="6" t="str">
        <f>"15.037,50"</f>
        <v>15.037,50</v>
      </c>
      <c r="N3050" s="8" t="s">
        <v>2812</v>
      </c>
      <c r="O3050" s="7"/>
      <c r="P3050" s="2" t="s">
        <v>7324</v>
      </c>
      <c r="Q3050" s="7"/>
      <c r="R3050" s="1"/>
      <c r="S3050" s="1" t="str">
        <f>"J-UN-2021-740"</f>
        <v>J-UN-2021-740</v>
      </c>
      <c r="T3050" s="1" t="s">
        <v>32</v>
      </c>
    </row>
    <row r="3051" spans="1:20" ht="63.75" x14ac:dyDescent="0.25">
      <c r="A3051" s="6">
        <v>3045</v>
      </c>
      <c r="B3051" s="1" t="str">
        <f>"2021-315"</f>
        <v>2021-315</v>
      </c>
      <c r="C3051" s="1" t="s">
        <v>2706</v>
      </c>
      <c r="D3051" s="1" t="s">
        <v>1334</v>
      </c>
      <c r="E3051" s="1" t="str">
        <f>""</f>
        <v/>
      </c>
      <c r="F3051" s="1" t="s">
        <v>1860</v>
      </c>
      <c r="G3051" s="1" t="str">
        <f>CONCATENATE(" KEMOBOJA-DUBRAVA D.O.O.,"," AVENIJA DUBRAVA 37,"," 10000 ZAGREB,"," OIB: 6402157427")</f>
        <v xml:space="preserve"> KEMOBOJA-DUBRAVA D.O.O., AVENIJA DUBRAVA 37, 10000 ZAGREB, OIB: 6402157427</v>
      </c>
      <c r="H3051" s="7"/>
      <c r="I3051" s="8" t="s">
        <v>25</v>
      </c>
      <c r="J3051" s="8" t="s">
        <v>773</v>
      </c>
      <c r="K3051" s="6" t="str">
        <f>"599,00"</f>
        <v>599,00</v>
      </c>
      <c r="L3051" s="6" t="str">
        <f>"149,75"</f>
        <v>149,75</v>
      </c>
      <c r="M3051" s="6" t="str">
        <f>"748,75"</f>
        <v>748,75</v>
      </c>
      <c r="N3051" s="8" t="s">
        <v>2812</v>
      </c>
      <c r="O3051" s="7"/>
      <c r="P3051" s="2" t="s">
        <v>7325</v>
      </c>
      <c r="Q3051" s="7"/>
      <c r="R3051" s="1"/>
      <c r="S3051" s="1" t="str">
        <f>"J-UN-2021-742"</f>
        <v>J-UN-2021-742</v>
      </c>
      <c r="T3051" s="1" t="s">
        <v>32</v>
      </c>
    </row>
    <row r="3052" spans="1:20" ht="63.75" x14ac:dyDescent="0.25">
      <c r="A3052" s="6">
        <v>3046</v>
      </c>
      <c r="B3052" s="1" t="str">
        <f>"2021-1227"</f>
        <v>2021-1227</v>
      </c>
      <c r="C3052" s="1" t="s">
        <v>266</v>
      </c>
      <c r="D3052" s="1" t="s">
        <v>267</v>
      </c>
      <c r="E3052" s="1" t="str">
        <f>""</f>
        <v/>
      </c>
      <c r="F3052" s="1" t="s">
        <v>1860</v>
      </c>
      <c r="G3052" s="1" t="str">
        <f>CONCATENATE(" TK ELEVATOR EASTERN EUROPE GMBH,"," FALLEROVO ŠETALIŠTE 22,"," 10000 ZAGREB,"," OIB: 94505281348")</f>
        <v xml:space="preserve"> TK ELEVATOR EASTERN EUROPE GMBH, FALLEROVO ŠETALIŠTE 22, 10000 ZAGREB, OIB: 94505281348</v>
      </c>
      <c r="H3052" s="7"/>
      <c r="I3052" s="8" t="s">
        <v>455</v>
      </c>
      <c r="J3052" s="8" t="s">
        <v>1399</v>
      </c>
      <c r="K3052" s="6" t="str">
        <f>"9.000,00"</f>
        <v>9.000,00</v>
      </c>
      <c r="L3052" s="6" t="str">
        <f>"2.250,00"</f>
        <v>2.250,00</v>
      </c>
      <c r="M3052" s="6" t="str">
        <f>"11.250,00"</f>
        <v>11.250,00</v>
      </c>
      <c r="N3052" s="8" t="s">
        <v>400</v>
      </c>
      <c r="O3052" s="7"/>
      <c r="P3052" s="2" t="s">
        <v>6736</v>
      </c>
      <c r="Q3052" s="7"/>
      <c r="R3052" s="1"/>
      <c r="S3052" s="1" t="str">
        <f>"J-UN-2021-743"</f>
        <v>J-UN-2021-743</v>
      </c>
      <c r="T3052" s="1" t="s">
        <v>32</v>
      </c>
    </row>
    <row r="3053" spans="1:20" ht="63.75" x14ac:dyDescent="0.25">
      <c r="A3053" s="6">
        <v>3047</v>
      </c>
      <c r="B3053" s="1" t="str">
        <f>"2021-377"</f>
        <v>2021-377</v>
      </c>
      <c r="C3053" s="1" t="s">
        <v>2833</v>
      </c>
      <c r="D3053" s="1" t="s">
        <v>1962</v>
      </c>
      <c r="E3053" s="1" t="str">
        <f>""</f>
        <v/>
      </c>
      <c r="F3053" s="1" t="s">
        <v>1860</v>
      </c>
      <c r="G3053" s="1" t="str">
        <f>CONCATENATE(" GRA-PO D.O.O.,"," GOSPODARSKA 5B,"," 10255 ZAGREB - STUPNIK,"," OIB: 05364995085")</f>
        <v xml:space="preserve"> GRA-PO D.O.O., GOSPODARSKA 5B, 10255 ZAGREB - STUPNIK, OIB: 05364995085</v>
      </c>
      <c r="H3053" s="7"/>
      <c r="I3053" s="8" t="s">
        <v>37</v>
      </c>
      <c r="J3053" s="8" t="s">
        <v>562</v>
      </c>
      <c r="K3053" s="6" t="str">
        <f>"39.860,00"</f>
        <v>39.860,00</v>
      </c>
      <c r="L3053" s="6" t="str">
        <f>"9.965,00"</f>
        <v>9.965,00</v>
      </c>
      <c r="M3053" s="6" t="str">
        <f>"49.825,00"</f>
        <v>49.825,00</v>
      </c>
      <c r="N3053" s="8" t="s">
        <v>752</v>
      </c>
      <c r="O3053" s="7"/>
      <c r="P3053" s="2" t="s">
        <v>7326</v>
      </c>
      <c r="Q3053" s="1" t="s">
        <v>488</v>
      </c>
      <c r="R3053" s="1"/>
      <c r="S3053" s="1" t="str">
        <f>"J-UN-2021-759"</f>
        <v>J-UN-2021-759</v>
      </c>
      <c r="T3053" s="1" t="s">
        <v>32</v>
      </c>
    </row>
    <row r="3054" spans="1:20" ht="51" x14ac:dyDescent="0.25">
      <c r="A3054" s="6">
        <v>3048</v>
      </c>
      <c r="B3054" s="1" t="str">
        <f>"2021-697"</f>
        <v>2021-697</v>
      </c>
      <c r="C3054" s="1" t="s">
        <v>2834</v>
      </c>
      <c r="D3054" s="1" t="s">
        <v>2835</v>
      </c>
      <c r="E3054" s="1" t="str">
        <f>""</f>
        <v/>
      </c>
      <c r="F3054" s="1" t="s">
        <v>1860</v>
      </c>
      <c r="G3054" s="1" t="str">
        <f>CONCATENATE(" BASIC MODEL D.O.O.,"," TRAVANJSKA 19,"," 10000 ZAGREB,"," OIB: 64150104602")</f>
        <v xml:space="preserve"> BASIC MODEL D.O.O., TRAVANJSKA 19, 10000 ZAGREB, OIB: 64150104602</v>
      </c>
      <c r="H3054" s="7"/>
      <c r="I3054" s="8" t="s">
        <v>872</v>
      </c>
      <c r="J3054" s="8" t="s">
        <v>852</v>
      </c>
      <c r="K3054" s="6" t="str">
        <f>"15.300,00"</f>
        <v>15.300,00</v>
      </c>
      <c r="L3054" s="6" t="str">
        <f>"3.825,00"</f>
        <v>3.825,00</v>
      </c>
      <c r="M3054" s="6" t="str">
        <f>"19.125,00"</f>
        <v>19.125,00</v>
      </c>
      <c r="N3054" s="8" t="s">
        <v>585</v>
      </c>
      <c r="O3054" s="7"/>
      <c r="P3054" s="2" t="s">
        <v>7327</v>
      </c>
      <c r="Q3054" s="7"/>
      <c r="R3054" s="1"/>
      <c r="S3054" s="1" t="str">
        <f>"J-UN-2021-761"</f>
        <v>J-UN-2021-761</v>
      </c>
      <c r="T3054" s="1" t="s">
        <v>32</v>
      </c>
    </row>
    <row r="3055" spans="1:20" ht="51" x14ac:dyDescent="0.25">
      <c r="A3055" s="6">
        <v>3049</v>
      </c>
      <c r="B3055" s="1" t="str">
        <f>"2021-205"</f>
        <v>2021-205</v>
      </c>
      <c r="C3055" s="1" t="s">
        <v>2836</v>
      </c>
      <c r="D3055" s="1" t="s">
        <v>689</v>
      </c>
      <c r="E3055" s="1" t="str">
        <f>""</f>
        <v/>
      </c>
      <c r="F3055" s="1" t="s">
        <v>1860</v>
      </c>
      <c r="G3055" s="1" t="str">
        <f>CONCATENATE(" SCHEDA D.O.O.,"," LJUDEVITA POSAVSKOG 29,"," 10360 SESVETE,"," OIB: 76219817247")</f>
        <v xml:space="preserve"> SCHEDA D.O.O., LJUDEVITA POSAVSKOG 29, 10360 SESVETE, OIB: 76219817247</v>
      </c>
      <c r="H3055" s="7"/>
      <c r="I3055" s="8" t="s">
        <v>872</v>
      </c>
      <c r="J3055" s="8" t="s">
        <v>852</v>
      </c>
      <c r="K3055" s="6" t="str">
        <f>"495,00"</f>
        <v>495,00</v>
      </c>
      <c r="L3055" s="6" t="str">
        <f>"123,75"</f>
        <v>123,75</v>
      </c>
      <c r="M3055" s="6" t="str">
        <f>"618,75"</f>
        <v>618,75</v>
      </c>
      <c r="N3055" s="8" t="s">
        <v>223</v>
      </c>
      <c r="O3055" s="7"/>
      <c r="P3055" s="2" t="s">
        <v>7328</v>
      </c>
      <c r="Q3055" s="7"/>
      <c r="R3055" s="1"/>
      <c r="S3055" s="1" t="str">
        <f>"J-UN-2021-762"</f>
        <v>J-UN-2021-762</v>
      </c>
      <c r="T3055" s="1" t="s">
        <v>32</v>
      </c>
    </row>
    <row r="3056" spans="1:20" ht="63.75" x14ac:dyDescent="0.25">
      <c r="A3056" s="6">
        <v>3050</v>
      </c>
      <c r="B3056" s="1" t="str">
        <f>"2021-93"</f>
        <v>2021-93</v>
      </c>
      <c r="C3056" s="1" t="s">
        <v>2651</v>
      </c>
      <c r="D3056" s="1" t="s">
        <v>2652</v>
      </c>
      <c r="E3056" s="1" t="str">
        <f>""</f>
        <v/>
      </c>
      <c r="F3056" s="1" t="s">
        <v>1860</v>
      </c>
      <c r="G3056" s="1" t="str">
        <f>CONCATENATE(" SUMAMETRIK D.O.O.,"," ULICA ANTUNA KANIŽLIĆA 10,"," 34000 POŽEGA,"," OIB: 23559088148")</f>
        <v xml:space="preserve"> SUMAMETRIK D.O.O., ULICA ANTUNA KANIŽLIĆA 10, 34000 POŽEGA, OIB: 23559088148</v>
      </c>
      <c r="H3056" s="7"/>
      <c r="I3056" s="8" t="s">
        <v>1496</v>
      </c>
      <c r="J3056" s="8" t="s">
        <v>963</v>
      </c>
      <c r="K3056" s="6" t="str">
        <f>"9.559,90"</f>
        <v>9.559,90</v>
      </c>
      <c r="L3056" s="6" t="str">
        <f>"2.389,98"</f>
        <v>2.389,98</v>
      </c>
      <c r="M3056" s="6" t="str">
        <f>"11.949,88"</f>
        <v>11.949,88</v>
      </c>
      <c r="N3056" s="8" t="s">
        <v>533</v>
      </c>
      <c r="O3056" s="7"/>
      <c r="P3056" s="2" t="s">
        <v>7329</v>
      </c>
      <c r="Q3056" s="7"/>
      <c r="R3056" s="1"/>
      <c r="S3056" s="1" t="str">
        <f>"J-UN-2021-763"</f>
        <v>J-UN-2021-763</v>
      </c>
      <c r="T3056" s="1" t="s">
        <v>32</v>
      </c>
    </row>
    <row r="3057" spans="1:20" ht="51" x14ac:dyDescent="0.25">
      <c r="A3057" s="6">
        <v>3051</v>
      </c>
      <c r="B3057" s="1" t="str">
        <f>"2021-1791"</f>
        <v>2021-1791</v>
      </c>
      <c r="C3057" s="1" t="s">
        <v>2558</v>
      </c>
      <c r="D3057" s="1" t="s">
        <v>860</v>
      </c>
      <c r="E3057" s="1" t="str">
        <f>""</f>
        <v/>
      </c>
      <c r="F3057" s="1" t="s">
        <v>1860</v>
      </c>
      <c r="G3057" s="1" t="str">
        <f>CONCATENATE(" PLEMAG D.O.O.,"," ALEJA LIPA 1/B,"," 10000 ZAGREB,"," OIB: 15144440967")</f>
        <v xml:space="preserve"> PLEMAG D.O.O., ALEJA LIPA 1/B, 10000 ZAGREB, OIB: 15144440967</v>
      </c>
      <c r="H3057" s="7"/>
      <c r="I3057" s="8" t="s">
        <v>37</v>
      </c>
      <c r="J3057" s="8" t="s">
        <v>562</v>
      </c>
      <c r="K3057" s="6" t="str">
        <f>"14.700,00"</f>
        <v>14.700,00</v>
      </c>
      <c r="L3057" s="6" t="str">
        <f>"3.675,00"</f>
        <v>3.675,00</v>
      </c>
      <c r="M3057" s="6" t="str">
        <f>"18.375,00"</f>
        <v>18.375,00</v>
      </c>
      <c r="N3057" s="8" t="s">
        <v>403</v>
      </c>
      <c r="O3057" s="7"/>
      <c r="P3057" s="2" t="s">
        <v>7330</v>
      </c>
      <c r="Q3057" s="7"/>
      <c r="R3057" s="1"/>
      <c r="S3057" s="1" t="str">
        <f>"J-UN-2021-764"</f>
        <v>J-UN-2021-764</v>
      </c>
      <c r="T3057" s="1" t="s">
        <v>32</v>
      </c>
    </row>
    <row r="3058" spans="1:20" ht="63.75" x14ac:dyDescent="0.25">
      <c r="A3058" s="6">
        <v>3052</v>
      </c>
      <c r="B3058" s="1" t="str">
        <f>"2021-913"</f>
        <v>2021-913</v>
      </c>
      <c r="C3058" s="1" t="s">
        <v>2710</v>
      </c>
      <c r="D3058" s="1" t="s">
        <v>815</v>
      </c>
      <c r="E3058" s="1" t="str">
        <f>""</f>
        <v/>
      </c>
      <c r="F3058" s="1" t="s">
        <v>1860</v>
      </c>
      <c r="G3058" s="1" t="str">
        <f>CONCATENATE(" TOKIĆ D.O.O.,"," ULICA 144. BRIGADE HRVATSKE VOJSKE 1A,"," 10360 SESVETE,"," OIB: 7486748762")</f>
        <v xml:space="preserve"> TOKIĆ D.O.O., ULICA 144. BRIGADE HRVATSKE VOJSKE 1A, 10360 SESVETE, OIB: 7486748762</v>
      </c>
      <c r="H3058" s="7"/>
      <c r="I3058" s="8" t="s">
        <v>1496</v>
      </c>
      <c r="J3058" s="8" t="s">
        <v>963</v>
      </c>
      <c r="K3058" s="6" t="str">
        <f>"9.868,00"</f>
        <v>9.868,00</v>
      </c>
      <c r="L3058" s="6" t="str">
        <f>"2.467,00"</f>
        <v>2.467,00</v>
      </c>
      <c r="M3058" s="6" t="str">
        <f>"12.335,00"</f>
        <v>12.335,00</v>
      </c>
      <c r="N3058" s="8" t="s">
        <v>223</v>
      </c>
      <c r="O3058" s="7"/>
      <c r="P3058" s="2" t="s">
        <v>7331</v>
      </c>
      <c r="Q3058" s="7"/>
      <c r="R3058" s="1"/>
      <c r="S3058" s="1" t="str">
        <f>"J-UN-2021-765"</f>
        <v>J-UN-2021-765</v>
      </c>
      <c r="T3058" s="1" t="s">
        <v>32</v>
      </c>
    </row>
    <row r="3059" spans="1:20" ht="76.5" x14ac:dyDescent="0.25">
      <c r="A3059" s="6">
        <v>3053</v>
      </c>
      <c r="B3059" s="1" t="str">
        <f>"2021-1791"</f>
        <v>2021-1791</v>
      </c>
      <c r="C3059" s="1" t="s">
        <v>2558</v>
      </c>
      <c r="D3059" s="1" t="s">
        <v>860</v>
      </c>
      <c r="E3059" s="1" t="str">
        <f>""</f>
        <v/>
      </c>
      <c r="F3059" s="1" t="s">
        <v>1860</v>
      </c>
      <c r="G3059" s="1" t="str">
        <f>CONCATENATE(" SPECIJALNA ZAVARIVANJA ČUKMAN D.O.O.,"," JEŽDOVEČKA ULICA 1C,"," 10250 LUČKO,"," OIB: 14195538193")</f>
        <v xml:space="preserve"> SPECIJALNA ZAVARIVANJA ČUKMAN D.O.O., JEŽDOVEČKA ULICA 1C, 10250 LUČKO, OIB: 14195538193</v>
      </c>
      <c r="H3059" s="7"/>
      <c r="I3059" s="8" t="s">
        <v>37</v>
      </c>
      <c r="J3059" s="8" t="s">
        <v>562</v>
      </c>
      <c r="K3059" s="6" t="str">
        <f>"9.732,00"</f>
        <v>9.732,00</v>
      </c>
      <c r="L3059" s="6" t="str">
        <f>"2.433,00"</f>
        <v>2.433,00</v>
      </c>
      <c r="M3059" s="6" t="str">
        <f>"12.165,00"</f>
        <v>12.165,00</v>
      </c>
      <c r="N3059" s="8" t="s">
        <v>37</v>
      </c>
      <c r="O3059" s="7"/>
      <c r="P3059" s="2" t="s">
        <v>6639</v>
      </c>
      <c r="Q3059" s="7"/>
      <c r="R3059" s="1"/>
      <c r="S3059" s="1" t="str">
        <f>"J-UN-2021-767"</f>
        <v>J-UN-2021-767</v>
      </c>
      <c r="T3059" s="1" t="s">
        <v>32</v>
      </c>
    </row>
    <row r="3060" spans="1:20" ht="51" x14ac:dyDescent="0.25">
      <c r="A3060" s="6">
        <v>3054</v>
      </c>
      <c r="B3060" s="1" t="str">
        <f>"2021-163"</f>
        <v>2021-163</v>
      </c>
      <c r="C3060" s="1" t="s">
        <v>2712</v>
      </c>
      <c r="D3060" s="1" t="s">
        <v>2713</v>
      </c>
      <c r="E3060" s="1" t="str">
        <f>""</f>
        <v/>
      </c>
      <c r="F3060" s="1" t="s">
        <v>1860</v>
      </c>
      <c r="G3060" s="1" t="str">
        <f>CONCATENATE(" PRO-TEHNA D.O.O.,"," MAKSIMIRSKA 64,"," 10000 ZAGREB,"," OIB: 88951687357")</f>
        <v xml:space="preserve"> PRO-TEHNA D.O.O., MAKSIMIRSKA 64, 10000 ZAGREB, OIB: 88951687357</v>
      </c>
      <c r="H3060" s="7"/>
      <c r="I3060" s="8" t="s">
        <v>1496</v>
      </c>
      <c r="J3060" s="8" t="s">
        <v>963</v>
      </c>
      <c r="K3060" s="6" t="str">
        <f>"17.500,00"</f>
        <v>17.500,00</v>
      </c>
      <c r="L3060" s="6" t="str">
        <f>"4.375,00"</f>
        <v>4.375,00</v>
      </c>
      <c r="M3060" s="6" t="str">
        <f>"21.875,00"</f>
        <v>21.875,00</v>
      </c>
      <c r="N3060" s="8" t="s">
        <v>1861</v>
      </c>
      <c r="O3060" s="7"/>
      <c r="P3060" s="2" t="s">
        <v>7281</v>
      </c>
      <c r="Q3060" s="7"/>
      <c r="R3060" s="1"/>
      <c r="S3060" s="1" t="str">
        <f>"J-UN-2021-769"</f>
        <v>J-UN-2021-769</v>
      </c>
      <c r="T3060" s="1" t="s">
        <v>32</v>
      </c>
    </row>
    <row r="3061" spans="1:20" ht="63.75" x14ac:dyDescent="0.25">
      <c r="A3061" s="6">
        <v>3055</v>
      </c>
      <c r="B3061" s="1" t="str">
        <f>"2021-80"</f>
        <v>2021-80</v>
      </c>
      <c r="C3061" s="1" t="s">
        <v>2731</v>
      </c>
      <c r="D3061" s="1" t="s">
        <v>2732</v>
      </c>
      <c r="E3061" s="1" t="str">
        <f>""</f>
        <v/>
      </c>
      <c r="F3061" s="1" t="s">
        <v>1860</v>
      </c>
      <c r="G3061" s="1" t="str">
        <f>CONCATENATE(" KEMOBOJA-DUBRAVA D.O.O.,"," AVENIJA DUBRAVA 37,"," 10000 ZAGREB,"," OIB: 6402157427")</f>
        <v xml:space="preserve"> KEMOBOJA-DUBRAVA D.O.O., AVENIJA DUBRAVA 37, 10000 ZAGREB, OIB: 6402157427</v>
      </c>
      <c r="H3061" s="7"/>
      <c r="I3061" s="8" t="s">
        <v>872</v>
      </c>
      <c r="J3061" s="8" t="s">
        <v>852</v>
      </c>
      <c r="K3061" s="6" t="str">
        <f>"1.152,00"</f>
        <v>1.152,00</v>
      </c>
      <c r="L3061" s="6" t="str">
        <f>"288,00"</f>
        <v>288,00</v>
      </c>
      <c r="M3061" s="6" t="str">
        <f>"1.440,00"</f>
        <v>1.440,00</v>
      </c>
      <c r="N3061" s="8" t="s">
        <v>1992</v>
      </c>
      <c r="O3061" s="7"/>
      <c r="P3061" s="2" t="s">
        <v>7332</v>
      </c>
      <c r="Q3061" s="7"/>
      <c r="R3061" s="1"/>
      <c r="S3061" s="1" t="str">
        <f>"J-UN-2021-772"</f>
        <v>J-UN-2021-772</v>
      </c>
      <c r="T3061" s="1" t="s">
        <v>32</v>
      </c>
    </row>
    <row r="3062" spans="1:20" ht="51" x14ac:dyDescent="0.25">
      <c r="A3062" s="6">
        <v>3056</v>
      </c>
      <c r="B3062" s="1" t="str">
        <f>"2021-1305"</f>
        <v>2021-1305</v>
      </c>
      <c r="C3062" s="1" t="s">
        <v>2728</v>
      </c>
      <c r="D3062" s="1" t="s">
        <v>2729</v>
      </c>
      <c r="E3062" s="1" t="str">
        <f>""</f>
        <v/>
      </c>
      <c r="F3062" s="1" t="s">
        <v>1860</v>
      </c>
      <c r="G3062" s="1" t="str">
        <f>CONCATENATE(" ADRIA NORMA D.O.O.,"," VUKOVARSKA 284D,"," 10000 ZAGREB,"," OIB: 80109305109")</f>
        <v xml:space="preserve"> ADRIA NORMA D.O.O., VUKOVARSKA 284D, 10000 ZAGREB, OIB: 80109305109</v>
      </c>
      <c r="H3062" s="7"/>
      <c r="I3062" s="8" t="s">
        <v>37</v>
      </c>
      <c r="J3062" s="8" t="s">
        <v>562</v>
      </c>
      <c r="K3062" s="6" t="str">
        <f>"18.700,00"</f>
        <v>18.700,00</v>
      </c>
      <c r="L3062" s="6" t="str">
        <f>"4.675,00"</f>
        <v>4.675,00</v>
      </c>
      <c r="M3062" s="6" t="str">
        <f>"23.375,00"</f>
        <v>23.375,00</v>
      </c>
      <c r="N3062" s="8" t="s">
        <v>2629</v>
      </c>
      <c r="O3062" s="7"/>
      <c r="P3062" s="2" t="s">
        <v>7333</v>
      </c>
      <c r="Q3062" s="7"/>
      <c r="R3062" s="1"/>
      <c r="S3062" s="1" t="str">
        <f>"J-UN-2021-774"</f>
        <v>J-UN-2021-774</v>
      </c>
      <c r="T3062" s="1" t="s">
        <v>32</v>
      </c>
    </row>
    <row r="3063" spans="1:20" ht="51" x14ac:dyDescent="0.25">
      <c r="A3063" s="6">
        <v>3057</v>
      </c>
      <c r="B3063" s="1" t="str">
        <f>"2021-1708"</f>
        <v>2021-1708</v>
      </c>
      <c r="C3063" s="1" t="s">
        <v>2643</v>
      </c>
      <c r="D3063" s="1" t="s">
        <v>1859</v>
      </c>
      <c r="E3063" s="1" t="str">
        <f>""</f>
        <v/>
      </c>
      <c r="F3063" s="1" t="s">
        <v>1860</v>
      </c>
      <c r="G3063" s="1" t="str">
        <f>CONCATENATE(" UČILIŠTE LUMEN,"," POLJIČKA 12,"," 10000 ZAGREB,"," OIB: 5311870768")</f>
        <v xml:space="preserve"> UČILIŠTE LUMEN, POLJIČKA 12, 10000 ZAGREB, OIB: 5311870768</v>
      </c>
      <c r="H3063" s="7"/>
      <c r="I3063" s="8" t="s">
        <v>872</v>
      </c>
      <c r="J3063" s="8" t="s">
        <v>852</v>
      </c>
      <c r="K3063" s="6" t="str">
        <f>"2.360,00"</f>
        <v>2.360,00</v>
      </c>
      <c r="L3063" s="6" t="str">
        <f>"590,00"</f>
        <v>590,00</v>
      </c>
      <c r="M3063" s="6" t="str">
        <f>"2.950,00"</f>
        <v>2.950,00</v>
      </c>
      <c r="N3063" s="8" t="s">
        <v>47</v>
      </c>
      <c r="O3063" s="7"/>
      <c r="P3063" s="2" t="s">
        <v>6270</v>
      </c>
      <c r="Q3063" s="7"/>
      <c r="R3063" s="1"/>
      <c r="S3063" s="1" t="str">
        <f>"J-UN-2021-775"</f>
        <v>J-UN-2021-775</v>
      </c>
      <c r="T3063" s="1" t="s">
        <v>32</v>
      </c>
    </row>
    <row r="3064" spans="1:20" ht="51" x14ac:dyDescent="0.25">
      <c r="A3064" s="6">
        <v>3058</v>
      </c>
      <c r="B3064" s="1" t="str">
        <f>"2021-1176"</f>
        <v>2021-1176</v>
      </c>
      <c r="C3064" s="1" t="s">
        <v>2815</v>
      </c>
      <c r="D3064" s="1" t="s">
        <v>1373</v>
      </c>
      <c r="E3064" s="1" t="str">
        <f>""</f>
        <v/>
      </c>
      <c r="F3064" s="1" t="s">
        <v>1860</v>
      </c>
      <c r="G3064" s="1" t="str">
        <f>CONCATENATE(" ITM D.O.O.,"," TRAKOŠĆANSKA 2,"," 10000 ZAGREB,"," OIB: 59759844999")</f>
        <v xml:space="preserve"> ITM D.O.O., TRAKOŠĆANSKA 2, 10000 ZAGREB, OIB: 59759844999</v>
      </c>
      <c r="H3064" s="7"/>
      <c r="I3064" s="8" t="s">
        <v>872</v>
      </c>
      <c r="J3064" s="8" t="s">
        <v>852</v>
      </c>
      <c r="K3064" s="6" t="str">
        <f>"2.500,00"</f>
        <v>2.500,00</v>
      </c>
      <c r="L3064" s="6" t="str">
        <f>"625,00"</f>
        <v>625,00</v>
      </c>
      <c r="M3064" s="6" t="str">
        <f>"3.125,00"</f>
        <v>3.125,00</v>
      </c>
      <c r="N3064" s="8" t="s">
        <v>77</v>
      </c>
      <c r="O3064" s="7"/>
      <c r="P3064" s="2" t="s">
        <v>6399</v>
      </c>
      <c r="Q3064" s="1"/>
      <c r="R3064" s="1"/>
      <c r="S3064" s="1" t="str">
        <f>"J-UN-2021-776"</f>
        <v>J-UN-2021-776</v>
      </c>
      <c r="T3064" s="1" t="s">
        <v>32</v>
      </c>
    </row>
    <row r="3065" spans="1:20" ht="51" x14ac:dyDescent="0.25">
      <c r="A3065" s="6">
        <v>3059</v>
      </c>
      <c r="B3065" s="1" t="str">
        <f>"2021-2207"</f>
        <v>2021-2207</v>
      </c>
      <c r="C3065" s="1" t="s">
        <v>2837</v>
      </c>
      <c r="D3065" s="1" t="s">
        <v>2838</v>
      </c>
      <c r="E3065" s="1" t="str">
        <f>""</f>
        <v/>
      </c>
      <c r="F3065" s="1" t="s">
        <v>1860</v>
      </c>
      <c r="G3065" s="1" t="str">
        <f>CONCATENATE(" RO-TEHNOLOGIJA D.O.O.,"," NOVA CESTA 86,"," 51410 OPATIJA,"," OIB: 94757004774")</f>
        <v xml:space="preserve"> RO-TEHNOLOGIJA D.O.O., NOVA CESTA 86, 51410 OPATIJA, OIB: 94757004774</v>
      </c>
      <c r="H3065" s="7"/>
      <c r="I3065" s="8" t="s">
        <v>872</v>
      </c>
      <c r="J3065" s="8" t="s">
        <v>852</v>
      </c>
      <c r="K3065" s="6" t="str">
        <f>"69.156,00"</f>
        <v>69.156,00</v>
      </c>
      <c r="L3065" s="6" t="str">
        <f>"17.289,00"</f>
        <v>17.289,00</v>
      </c>
      <c r="M3065" s="6" t="str">
        <f>"86.445,00"</f>
        <v>86.445,00</v>
      </c>
      <c r="N3065" s="8" t="s">
        <v>1929</v>
      </c>
      <c r="O3065" s="7"/>
      <c r="P3065" s="2" t="s">
        <v>7334</v>
      </c>
      <c r="Q3065" s="7"/>
      <c r="R3065" s="1"/>
      <c r="S3065" s="1" t="str">
        <f>"J-UN-2021-777"</f>
        <v>J-UN-2021-777</v>
      </c>
      <c r="T3065" s="1" t="s">
        <v>32</v>
      </c>
    </row>
    <row r="3066" spans="1:20" ht="63.75" x14ac:dyDescent="0.25">
      <c r="A3066" s="6">
        <v>3060</v>
      </c>
      <c r="B3066" s="1" t="str">
        <f>"2021-1003"</f>
        <v>2021-1003</v>
      </c>
      <c r="C3066" s="1" t="s">
        <v>2839</v>
      </c>
      <c r="D3066" s="1" t="s">
        <v>2716</v>
      </c>
      <c r="E3066" s="1" t="str">
        <f>""</f>
        <v/>
      </c>
      <c r="F3066" s="1" t="s">
        <v>1860</v>
      </c>
      <c r="G3066" s="1" t="str">
        <f>CONCATENATE(" FORMA ELEKTRONIKA D.O.O.,"," I GARDIJSKE BRIGADE 'TIGROVI' 27/B,"," 10000 ZAGREB,"," OIB: 0991644176")</f>
        <v xml:space="preserve"> FORMA ELEKTRONIKA D.O.O., I GARDIJSKE BRIGADE 'TIGROVI' 27/B, 10000 ZAGREB, OIB: 0991644176</v>
      </c>
      <c r="H3066" s="7"/>
      <c r="I3066" s="8" t="s">
        <v>37</v>
      </c>
      <c r="J3066" s="8" t="s">
        <v>562</v>
      </c>
      <c r="K3066" s="6" t="str">
        <f>"4.620,00"</f>
        <v>4.620,00</v>
      </c>
      <c r="L3066" s="6" t="str">
        <f>"1.155,00"</f>
        <v>1.155,00</v>
      </c>
      <c r="M3066" s="6" t="str">
        <f>"5.775,00"</f>
        <v>5.775,00</v>
      </c>
      <c r="N3066" s="8" t="s">
        <v>77</v>
      </c>
      <c r="O3066" s="7"/>
      <c r="P3066" s="2" t="s">
        <v>7335</v>
      </c>
      <c r="Q3066" s="7"/>
      <c r="R3066" s="1"/>
      <c r="S3066" s="1" t="str">
        <f>"J-UN-2021-781"</f>
        <v>J-UN-2021-781</v>
      </c>
      <c r="T3066" s="1" t="s">
        <v>32</v>
      </c>
    </row>
    <row r="3067" spans="1:20" ht="76.5" x14ac:dyDescent="0.25">
      <c r="A3067" s="6">
        <v>3061</v>
      </c>
      <c r="B3067" s="1" t="str">
        <f>"2021-1506"</f>
        <v>2021-1506</v>
      </c>
      <c r="C3067" s="1" t="s">
        <v>1041</v>
      </c>
      <c r="D3067" s="1" t="s">
        <v>515</v>
      </c>
      <c r="E3067" s="1" t="str">
        <f>""</f>
        <v/>
      </c>
      <c r="F3067" s="1" t="s">
        <v>1860</v>
      </c>
      <c r="G3067" s="1" t="str">
        <f>CONCATENATE(" NASTAVNI ZAVOD ZA JAVNO ZDRAVSTVO DR. ANDRIJA ŠTAMPAR,"," MIROGOJSKA CESTA 16,"," 10000 ZAGREB,"," OIB: 3339200596")</f>
        <v xml:space="preserve"> NASTAVNI ZAVOD ZA JAVNO ZDRAVSTVO DR. ANDRIJA ŠTAMPAR, MIROGOJSKA CESTA 16, 10000 ZAGREB, OIB: 3339200596</v>
      </c>
      <c r="H3067" s="7"/>
      <c r="I3067" s="8" t="s">
        <v>24</v>
      </c>
      <c r="J3067" s="8" t="s">
        <v>442</v>
      </c>
      <c r="K3067" s="6" t="str">
        <f>"8.298,00"</f>
        <v>8.298,00</v>
      </c>
      <c r="L3067" s="6" t="str">
        <f>"2.074,50"</f>
        <v>2.074,50</v>
      </c>
      <c r="M3067" s="6" t="str">
        <f>"10.372,50"</f>
        <v>10.372,50</v>
      </c>
      <c r="N3067" s="8" t="s">
        <v>534</v>
      </c>
      <c r="O3067" s="7"/>
      <c r="P3067" s="2" t="s">
        <v>7336</v>
      </c>
      <c r="Q3067" s="7"/>
      <c r="R3067" s="1"/>
      <c r="S3067" s="1" t="str">
        <f>"J-UN-2021-782"</f>
        <v>J-UN-2021-782</v>
      </c>
      <c r="T3067" s="1" t="s">
        <v>32</v>
      </c>
    </row>
    <row r="3068" spans="1:20" ht="51" x14ac:dyDescent="0.25">
      <c r="A3068" s="6">
        <v>3062</v>
      </c>
      <c r="B3068" s="1" t="str">
        <f>"2021-462"</f>
        <v>2021-462</v>
      </c>
      <c r="C3068" s="1" t="s">
        <v>2840</v>
      </c>
      <c r="D3068" s="1" t="s">
        <v>2601</v>
      </c>
      <c r="E3068" s="1" t="str">
        <f>""</f>
        <v/>
      </c>
      <c r="F3068" s="1" t="s">
        <v>1860</v>
      </c>
      <c r="G3068" s="1" t="str">
        <f>CONCATENATE(" G.K.T. - TUŠKANAC D.O.O.,"," TUŠKANAC 79 A,"," 10000 ZAGREB,"," OIB: 08844541968")</f>
        <v xml:space="preserve"> G.K.T. - TUŠKANAC D.O.O., TUŠKANAC 79 A, 10000 ZAGREB, OIB: 08844541968</v>
      </c>
      <c r="H3068" s="7"/>
      <c r="I3068" s="8" t="s">
        <v>1496</v>
      </c>
      <c r="J3068" s="8" t="s">
        <v>963</v>
      </c>
      <c r="K3068" s="6" t="str">
        <f>"3.917,40"</f>
        <v>3.917,40</v>
      </c>
      <c r="L3068" s="6" t="str">
        <f>"979,35"</f>
        <v>979,35</v>
      </c>
      <c r="M3068" s="6" t="str">
        <f>"4.896,75"</f>
        <v>4.896,75</v>
      </c>
      <c r="N3068" s="8" t="s">
        <v>2792</v>
      </c>
      <c r="O3068" s="7"/>
      <c r="P3068" s="2" t="s">
        <v>7337</v>
      </c>
      <c r="Q3068" s="7"/>
      <c r="R3068" s="1"/>
      <c r="S3068" s="1" t="str">
        <f>"J-UN-2021-783"</f>
        <v>J-UN-2021-783</v>
      </c>
      <c r="T3068" s="1" t="s">
        <v>32</v>
      </c>
    </row>
    <row r="3069" spans="1:20" ht="51" x14ac:dyDescent="0.25">
      <c r="A3069" s="6">
        <v>3063</v>
      </c>
      <c r="B3069" s="1" t="str">
        <f>"2021-117"</f>
        <v>2021-117</v>
      </c>
      <c r="C3069" s="1" t="s">
        <v>2841</v>
      </c>
      <c r="D3069" s="1" t="s">
        <v>2842</v>
      </c>
      <c r="E3069" s="1" t="str">
        <f>""</f>
        <v/>
      </c>
      <c r="F3069" s="1" t="s">
        <v>1860</v>
      </c>
      <c r="G3069" s="1" t="str">
        <f>CONCATENATE(" TAHOGRAF D.O.O.,"," DR. FRANJE TUĐMANA 24,"," 10431 SVETA NEDELJA,"," OIB: 73777060562")</f>
        <v xml:space="preserve"> TAHOGRAF D.O.O., DR. FRANJE TUĐMANA 24, 10431 SVETA NEDELJA, OIB: 73777060562</v>
      </c>
      <c r="H3069" s="7"/>
      <c r="I3069" s="8" t="s">
        <v>1496</v>
      </c>
      <c r="J3069" s="8" t="s">
        <v>963</v>
      </c>
      <c r="K3069" s="6" t="str">
        <f>"1.250,00"</f>
        <v>1.250,00</v>
      </c>
      <c r="L3069" s="6" t="str">
        <f>"312,50"</f>
        <v>312,50</v>
      </c>
      <c r="M3069" s="6" t="str">
        <f>"1.562,50"</f>
        <v>1.562,50</v>
      </c>
      <c r="N3069" s="8" t="s">
        <v>1905</v>
      </c>
      <c r="O3069" s="7"/>
      <c r="P3069" s="2" t="s">
        <v>7236</v>
      </c>
      <c r="Q3069" s="7"/>
      <c r="R3069" s="1"/>
      <c r="S3069" s="1" t="str">
        <f>"J-UN-2021-784"</f>
        <v>J-UN-2021-784</v>
      </c>
      <c r="T3069" s="1" t="s">
        <v>32</v>
      </c>
    </row>
    <row r="3070" spans="1:20" ht="63.75" x14ac:dyDescent="0.25">
      <c r="A3070" s="6">
        <v>3064</v>
      </c>
      <c r="B3070" s="1" t="str">
        <f>"2021-475"</f>
        <v>2021-475</v>
      </c>
      <c r="C3070" s="1" t="s">
        <v>2614</v>
      </c>
      <c r="D3070" s="1" t="s">
        <v>619</v>
      </c>
      <c r="E3070" s="1" t="str">
        <f>""</f>
        <v/>
      </c>
      <c r="F3070" s="1" t="s">
        <v>1860</v>
      </c>
      <c r="G3070" s="1" t="str">
        <f>CONCATENATE(" VIBROTEH D.O.O.,"," ULICA DON FRANE BULIĆA 31,"," 10410 VELIKA GORICA,"," OIB: 6099326029")</f>
        <v xml:space="preserve"> VIBROTEH D.O.O., ULICA DON FRANE BULIĆA 31, 10410 VELIKA GORICA, OIB: 6099326029</v>
      </c>
      <c r="H3070" s="7"/>
      <c r="I3070" s="8" t="s">
        <v>37</v>
      </c>
      <c r="J3070" s="8" t="s">
        <v>562</v>
      </c>
      <c r="K3070" s="6" t="str">
        <f>"4.600,00"</f>
        <v>4.600,00</v>
      </c>
      <c r="L3070" s="6" t="str">
        <f>"1.150,00"</f>
        <v>1.150,00</v>
      </c>
      <c r="M3070" s="6" t="str">
        <f>"5.750,00"</f>
        <v>5.750,00</v>
      </c>
      <c r="N3070" s="8" t="s">
        <v>25</v>
      </c>
      <c r="O3070" s="7"/>
      <c r="P3070" s="2" t="s">
        <v>6496</v>
      </c>
      <c r="Q3070" s="7"/>
      <c r="R3070" s="1"/>
      <c r="S3070" s="1" t="str">
        <f>"J-UN-2021-785"</f>
        <v>J-UN-2021-785</v>
      </c>
      <c r="T3070" s="1" t="s">
        <v>32</v>
      </c>
    </row>
    <row r="3071" spans="1:20" ht="76.5" x14ac:dyDescent="0.25">
      <c r="A3071" s="6">
        <v>3065</v>
      </c>
      <c r="B3071" s="1" t="str">
        <f>"2021-1203"</f>
        <v>2021-1203</v>
      </c>
      <c r="C3071" s="1" t="s">
        <v>2750</v>
      </c>
      <c r="D3071" s="1" t="s">
        <v>1627</v>
      </c>
      <c r="E3071" s="1" t="str">
        <f>""</f>
        <v/>
      </c>
      <c r="F3071" s="1" t="s">
        <v>1860</v>
      </c>
      <c r="G3071" s="1" t="str">
        <f>CONCATENATE(" ELICOM D.O.O.,"," ŠTEFANOVEC 138,"," 10000 ZAGREB,"," OIB: 76370234816")</f>
        <v xml:space="preserve"> ELICOM D.O.O., ŠTEFANOVEC 138, 10000 ZAGREB, OIB: 76370234816</v>
      </c>
      <c r="H3071" s="7"/>
      <c r="I3071" s="8" t="s">
        <v>37</v>
      </c>
      <c r="J3071" s="8" t="s">
        <v>562</v>
      </c>
      <c r="K3071" s="6" t="str">
        <f>"2.341,00"</f>
        <v>2.341,00</v>
      </c>
      <c r="L3071" s="6" t="str">
        <f>"585,25"</f>
        <v>585,25</v>
      </c>
      <c r="M3071" s="6" t="str">
        <f>"2.926,25"</f>
        <v>2.926,25</v>
      </c>
      <c r="N3071" s="8" t="s">
        <v>1861</v>
      </c>
      <c r="O3071" s="7"/>
      <c r="P3071" s="2" t="s">
        <v>7338</v>
      </c>
      <c r="Q3071" s="7"/>
      <c r="R3071" s="1"/>
      <c r="S3071" s="1" t="str">
        <f>"J-UN-2021-786"</f>
        <v>J-UN-2021-786</v>
      </c>
      <c r="T3071" s="1" t="s">
        <v>32</v>
      </c>
    </row>
    <row r="3072" spans="1:20" ht="63.75" x14ac:dyDescent="0.25">
      <c r="A3072" s="6">
        <v>3066</v>
      </c>
      <c r="B3072" s="1" t="str">
        <f>"2021-1470"</f>
        <v>2021-1470</v>
      </c>
      <c r="C3072" s="1" t="s">
        <v>2813</v>
      </c>
      <c r="D3072" s="1" t="s">
        <v>2814</v>
      </c>
      <c r="E3072" s="1" t="str">
        <f>""</f>
        <v/>
      </c>
      <c r="F3072" s="1" t="s">
        <v>1860</v>
      </c>
      <c r="G3072" s="1" t="str">
        <f>CONCATENATE(" IPZ UNIPROJEKT TERRA D.O.O.,"," VOČARSKA CESTA 68,"," 10000 ZAGREB,"," OIB: 55474899192")</f>
        <v xml:space="preserve"> IPZ UNIPROJEKT TERRA D.O.O., VOČARSKA CESTA 68, 10000 ZAGREB, OIB: 55474899192</v>
      </c>
      <c r="H3072" s="7"/>
      <c r="I3072" s="8" t="s">
        <v>1496</v>
      </c>
      <c r="J3072" s="8" t="s">
        <v>963</v>
      </c>
      <c r="K3072" s="6" t="str">
        <f>"19.500,00"</f>
        <v>19.500,00</v>
      </c>
      <c r="L3072" s="6" t="str">
        <f>"4.875,00"</f>
        <v>4.875,00</v>
      </c>
      <c r="M3072" s="6" t="str">
        <f>"24.375,00"</f>
        <v>24.375,00</v>
      </c>
      <c r="N3072" s="8" t="s">
        <v>124</v>
      </c>
      <c r="O3072" s="7"/>
      <c r="P3072" s="2" t="s">
        <v>5614</v>
      </c>
      <c r="Q3072" s="7"/>
      <c r="R3072" s="1"/>
      <c r="S3072" s="1" t="str">
        <f>"J-UN-2021-788"</f>
        <v>J-UN-2021-788</v>
      </c>
      <c r="T3072" s="1" t="s">
        <v>32</v>
      </c>
    </row>
    <row r="3073" spans="1:20" ht="51" x14ac:dyDescent="0.25">
      <c r="A3073" s="6">
        <v>3067</v>
      </c>
      <c r="B3073" s="1" t="str">
        <f>"2021-316"</f>
        <v>2021-316</v>
      </c>
      <c r="C3073" s="1" t="s">
        <v>2747</v>
      </c>
      <c r="D3073" s="1" t="s">
        <v>1334</v>
      </c>
      <c r="E3073" s="1" t="str">
        <f>""</f>
        <v/>
      </c>
      <c r="F3073" s="1" t="s">
        <v>1860</v>
      </c>
      <c r="G3073" s="1" t="str">
        <f>CONCATENATE(" AUTOTEHNIKA D.O.O.,"," BRUNE BUŠIĆA 23,"," 10020 ZAGREB,"," OIB: 99404302342")</f>
        <v xml:space="preserve"> AUTOTEHNIKA D.O.O., BRUNE BUŠIĆA 23, 10020 ZAGREB, OIB: 99404302342</v>
      </c>
      <c r="H3073" s="7"/>
      <c r="I3073" s="8" t="s">
        <v>1496</v>
      </c>
      <c r="J3073" s="8" t="s">
        <v>963</v>
      </c>
      <c r="K3073" s="6" t="str">
        <f>"2.236,00"</f>
        <v>2.236,00</v>
      </c>
      <c r="L3073" s="6" t="str">
        <f>"559,00"</f>
        <v>559,00</v>
      </c>
      <c r="M3073" s="6" t="str">
        <f>"2.795,00"</f>
        <v>2.795,00</v>
      </c>
      <c r="N3073" s="8" t="s">
        <v>1411</v>
      </c>
      <c r="O3073" s="7"/>
      <c r="P3073" s="2" t="s">
        <v>7339</v>
      </c>
      <c r="Q3073" s="7"/>
      <c r="R3073" s="1"/>
      <c r="S3073" s="1" t="str">
        <f>"J-UN-2021-789"</f>
        <v>J-UN-2021-789</v>
      </c>
      <c r="T3073" s="1" t="s">
        <v>32</v>
      </c>
    </row>
    <row r="3074" spans="1:20" ht="63.75" x14ac:dyDescent="0.25">
      <c r="A3074" s="6">
        <v>3068</v>
      </c>
      <c r="B3074" s="1" t="str">
        <f>"2021-183"</f>
        <v>2021-183</v>
      </c>
      <c r="C3074" s="1" t="s">
        <v>2726</v>
      </c>
      <c r="D3074" s="1" t="s">
        <v>689</v>
      </c>
      <c r="E3074" s="1" t="str">
        <f>""</f>
        <v/>
      </c>
      <c r="F3074" s="1" t="s">
        <v>1860</v>
      </c>
      <c r="G3074" s="1" t="str">
        <f>CONCATENATE(" KEMOBOJA-DUBRAVA D.O.O.,"," AVENIJA DUBRAVA 37,"," 10000 ZAGREB,"," OIB: 6402157427")</f>
        <v xml:space="preserve"> KEMOBOJA-DUBRAVA D.O.O., AVENIJA DUBRAVA 37, 10000 ZAGREB, OIB: 6402157427</v>
      </c>
      <c r="H3074" s="7"/>
      <c r="I3074" s="8" t="s">
        <v>1496</v>
      </c>
      <c r="J3074" s="8" t="s">
        <v>963</v>
      </c>
      <c r="K3074" s="6" t="str">
        <f>"996,00"</f>
        <v>996,00</v>
      </c>
      <c r="L3074" s="6" t="str">
        <f>"249,00"</f>
        <v>249,00</v>
      </c>
      <c r="M3074" s="6" t="str">
        <f>"1.245,00"</f>
        <v>1.245,00</v>
      </c>
      <c r="N3074" s="8" t="s">
        <v>223</v>
      </c>
      <c r="O3074" s="7"/>
      <c r="P3074" s="2" t="s">
        <v>7340</v>
      </c>
      <c r="Q3074" s="7"/>
      <c r="R3074" s="1"/>
      <c r="S3074" s="1" t="str">
        <f>"J-UN-2021-794"</f>
        <v>J-UN-2021-794</v>
      </c>
      <c r="T3074" s="1" t="s">
        <v>32</v>
      </c>
    </row>
    <row r="3075" spans="1:20" ht="51" x14ac:dyDescent="0.25">
      <c r="A3075" s="6">
        <v>3069</v>
      </c>
      <c r="B3075" s="1" t="str">
        <f>"2021-458"</f>
        <v>2021-458</v>
      </c>
      <c r="C3075" s="1" t="s">
        <v>2738</v>
      </c>
      <c r="D3075" s="1" t="s">
        <v>2739</v>
      </c>
      <c r="E3075" s="1" t="str">
        <f>""</f>
        <v/>
      </c>
      <c r="F3075" s="1" t="s">
        <v>1860</v>
      </c>
      <c r="G3075" s="1" t="str">
        <f>CONCATENATE(" BASIC D.O.O.,"," BJELOVARSKA ULICA 1,"," 21000 SPLIT,"," OIB: 5207275329")</f>
        <v xml:space="preserve"> BASIC D.O.O., BJELOVARSKA ULICA 1, 21000 SPLIT, OIB: 5207275329</v>
      </c>
      <c r="H3075" s="7"/>
      <c r="I3075" s="8" t="s">
        <v>66</v>
      </c>
      <c r="J3075" s="8" t="s">
        <v>523</v>
      </c>
      <c r="K3075" s="6" t="str">
        <f>"1.500,00"</f>
        <v>1.500,00</v>
      </c>
      <c r="L3075" s="6" t="str">
        <f>"375,00"</f>
        <v>375,00</v>
      </c>
      <c r="M3075" s="6" t="str">
        <f>"1.875,00"</f>
        <v>1.875,00</v>
      </c>
      <c r="N3075" s="8" t="s">
        <v>2843</v>
      </c>
      <c r="O3075" s="7"/>
      <c r="P3075" s="2" t="s">
        <v>6378</v>
      </c>
      <c r="Q3075" s="7"/>
      <c r="R3075" s="1"/>
      <c r="S3075" s="1" t="str">
        <f>"J-UN-2021-797"</f>
        <v>J-UN-2021-797</v>
      </c>
      <c r="T3075" s="1" t="s">
        <v>32</v>
      </c>
    </row>
    <row r="3076" spans="1:20" ht="51" x14ac:dyDescent="0.25">
      <c r="A3076" s="6">
        <v>3070</v>
      </c>
      <c r="B3076" s="1" t="str">
        <f>"2021-998"</f>
        <v>2021-998</v>
      </c>
      <c r="C3076" s="1" t="s">
        <v>2844</v>
      </c>
      <c r="D3076" s="1" t="s">
        <v>2716</v>
      </c>
      <c r="E3076" s="1" t="str">
        <f>""</f>
        <v/>
      </c>
      <c r="F3076" s="1" t="s">
        <v>1860</v>
      </c>
      <c r="G3076" s="1" t="str">
        <f>CONCATENATE(" EURO-VRT D.O.O.,"," ULICA GRADA GOSPIĆA 3,"," 10000 ZAGREB,"," OIB: 57968446706")</f>
        <v xml:space="preserve"> EURO-VRT D.O.O., ULICA GRADA GOSPIĆA 3, 10000 ZAGREB, OIB: 57968446706</v>
      </c>
      <c r="H3076" s="7"/>
      <c r="I3076" s="8" t="s">
        <v>2749</v>
      </c>
      <c r="J3076" s="8" t="s">
        <v>407</v>
      </c>
      <c r="K3076" s="6" t="str">
        <f>"2.219,20"</f>
        <v>2.219,20</v>
      </c>
      <c r="L3076" s="6" t="str">
        <f>"554,80"</f>
        <v>554,80</v>
      </c>
      <c r="M3076" s="6" t="str">
        <f>"2.774,00"</f>
        <v>2.774,00</v>
      </c>
      <c r="N3076" s="8" t="s">
        <v>525</v>
      </c>
      <c r="O3076" s="7"/>
      <c r="P3076" s="2" t="s">
        <v>7341</v>
      </c>
      <c r="Q3076" s="7"/>
      <c r="R3076" s="1"/>
      <c r="S3076" s="1" t="str">
        <f>"J-UN-2021-801"</f>
        <v>J-UN-2021-801</v>
      </c>
      <c r="T3076" s="1" t="s">
        <v>32</v>
      </c>
    </row>
    <row r="3077" spans="1:20" ht="51" x14ac:dyDescent="0.25">
      <c r="A3077" s="6">
        <v>3071</v>
      </c>
      <c r="B3077" s="1" t="str">
        <f>"2021-299"</f>
        <v>2021-299</v>
      </c>
      <c r="C3077" s="1" t="s">
        <v>2609</v>
      </c>
      <c r="D3077" s="1" t="s">
        <v>2610</v>
      </c>
      <c r="E3077" s="1" t="str">
        <f>""</f>
        <v/>
      </c>
      <c r="F3077" s="1" t="s">
        <v>1860</v>
      </c>
      <c r="G3077" s="1" t="str">
        <f>CONCATENATE(" SAFIR D.O.O.,"," HORVAĆANSKA 17,"," 10000 ZAGREB,"," OIB: 33548604975")</f>
        <v xml:space="preserve"> SAFIR D.O.O., HORVAĆANSKA 17, 10000 ZAGREB, OIB: 33548604975</v>
      </c>
      <c r="H3077" s="7"/>
      <c r="I3077" s="8" t="s">
        <v>66</v>
      </c>
      <c r="J3077" s="8" t="s">
        <v>523</v>
      </c>
      <c r="K3077" s="6" t="str">
        <f>"6.013,00"</f>
        <v>6.013,00</v>
      </c>
      <c r="L3077" s="6" t="str">
        <f>"1.503,25"</f>
        <v>1.503,25</v>
      </c>
      <c r="M3077" s="6" t="str">
        <f>"7.516,25"</f>
        <v>7.516,25</v>
      </c>
      <c r="N3077" s="8" t="s">
        <v>581</v>
      </c>
      <c r="O3077" s="7"/>
      <c r="P3077" s="2" t="s">
        <v>7342</v>
      </c>
      <c r="Q3077" s="7"/>
      <c r="R3077" s="1"/>
      <c r="S3077" s="1" t="str">
        <f>"J-UN-2021-802"</f>
        <v>J-UN-2021-802</v>
      </c>
      <c r="T3077" s="1" t="s">
        <v>32</v>
      </c>
    </row>
    <row r="3078" spans="1:20" ht="51" x14ac:dyDescent="0.25">
      <c r="A3078" s="6">
        <v>3072</v>
      </c>
      <c r="B3078" s="1" t="str">
        <f>"2021-1176"</f>
        <v>2021-1176</v>
      </c>
      <c r="C3078" s="1" t="s">
        <v>2815</v>
      </c>
      <c r="D3078" s="1" t="s">
        <v>1373</v>
      </c>
      <c r="E3078" s="1" t="str">
        <f>""</f>
        <v/>
      </c>
      <c r="F3078" s="1" t="s">
        <v>1860</v>
      </c>
      <c r="G3078" s="1" t="str">
        <f>CONCATENATE(" E. K. ENERGIJA D.O.O.,"," KUKULJANOVO 385,"," 51227 KUKULJANOVO,"," OIB: 63606595933")</f>
        <v xml:space="preserve"> E. K. ENERGIJA D.O.O., KUKULJANOVO 385, 51227 KUKULJANOVO, OIB: 63606595933</v>
      </c>
      <c r="H3078" s="7"/>
      <c r="I3078" s="8" t="s">
        <v>2749</v>
      </c>
      <c r="J3078" s="8" t="s">
        <v>407</v>
      </c>
      <c r="K3078" s="6" t="str">
        <f>"5.670,00"</f>
        <v>5.670,00</v>
      </c>
      <c r="L3078" s="6" t="str">
        <f>"1.417,50"</f>
        <v>1.417,50</v>
      </c>
      <c r="M3078" s="6" t="str">
        <f>"7.087,50"</f>
        <v>7.087,50</v>
      </c>
      <c r="N3078" s="8" t="s">
        <v>1929</v>
      </c>
      <c r="O3078" s="7"/>
      <c r="P3078" s="2" t="s">
        <v>7343</v>
      </c>
      <c r="Q3078" s="7"/>
      <c r="R3078" s="1"/>
      <c r="S3078" s="1" t="str">
        <f>"J-UN-2021-803"</f>
        <v>J-UN-2021-803</v>
      </c>
      <c r="T3078" s="1" t="s">
        <v>32</v>
      </c>
    </row>
    <row r="3079" spans="1:20" ht="63.75" x14ac:dyDescent="0.25">
      <c r="A3079" s="6">
        <v>3073</v>
      </c>
      <c r="B3079" s="1" t="str">
        <f>"2021-1208"</f>
        <v>2021-1208</v>
      </c>
      <c r="C3079" s="1" t="s">
        <v>2845</v>
      </c>
      <c r="D3079" s="1" t="s">
        <v>2846</v>
      </c>
      <c r="E3079" s="1" t="str">
        <f>""</f>
        <v/>
      </c>
      <c r="F3079" s="1" t="s">
        <v>1860</v>
      </c>
      <c r="G3079" s="1" t="str">
        <f>CONCATENATE(" MAT-TOPS D.O.O.,"," J.KOVAČIĆA 5,"," 10413 KRAVARSKO(ŠILJAKOVINA),"," OIB: 99349765216")</f>
        <v xml:space="preserve"> MAT-TOPS D.O.O., J.KOVAČIĆA 5, 10413 KRAVARSKO(ŠILJAKOVINA), OIB: 99349765216</v>
      </c>
      <c r="H3079" s="7"/>
      <c r="I3079" s="8" t="s">
        <v>2749</v>
      </c>
      <c r="J3079" s="8" t="s">
        <v>407</v>
      </c>
      <c r="K3079" s="6" t="str">
        <f>"49.425,00"</f>
        <v>49.425,00</v>
      </c>
      <c r="L3079" s="6" t="str">
        <f>"12.356,25"</f>
        <v>12.356,25</v>
      </c>
      <c r="M3079" s="6" t="str">
        <f>"61.781,25"</f>
        <v>61.781,25</v>
      </c>
      <c r="N3079" s="8" t="s">
        <v>1929</v>
      </c>
      <c r="O3079" s="7"/>
      <c r="P3079" s="2" t="s">
        <v>7344</v>
      </c>
      <c r="Q3079" s="7"/>
      <c r="R3079" s="1"/>
      <c r="S3079" s="1" t="str">
        <f>"J-UN-2021-804"</f>
        <v>J-UN-2021-804</v>
      </c>
      <c r="T3079" s="1" t="s">
        <v>32</v>
      </c>
    </row>
    <row r="3080" spans="1:20" ht="51" x14ac:dyDescent="0.25">
      <c r="A3080" s="6">
        <v>3074</v>
      </c>
      <c r="B3080" s="1" t="str">
        <f>"2021-1116"</f>
        <v>2021-1116</v>
      </c>
      <c r="C3080" s="1" t="s">
        <v>2847</v>
      </c>
      <c r="D3080" s="1" t="s">
        <v>1007</v>
      </c>
      <c r="E3080" s="1" t="str">
        <f>""</f>
        <v/>
      </c>
      <c r="F3080" s="1" t="s">
        <v>1860</v>
      </c>
      <c r="G3080" s="1" t="str">
        <f>CONCATENATE(" ADC-ALARMNI CENTAR D.O.O.,"," LETOVANIČKA 22,"," 10000 ZAGREB,"," OIB: 9554213412")</f>
        <v xml:space="preserve"> ADC-ALARMNI CENTAR D.O.O., LETOVANIČKA 22, 10000 ZAGREB, OIB: 9554213412</v>
      </c>
      <c r="H3080" s="7"/>
      <c r="I3080" s="8" t="s">
        <v>2749</v>
      </c>
      <c r="J3080" s="8" t="s">
        <v>407</v>
      </c>
      <c r="K3080" s="6" t="str">
        <f>"1.580,00"</f>
        <v>1.580,00</v>
      </c>
      <c r="L3080" s="6" t="str">
        <f>"395,00"</f>
        <v>395,00</v>
      </c>
      <c r="M3080" s="6" t="str">
        <f>"1.975,00"</f>
        <v>1.975,00</v>
      </c>
      <c r="N3080" s="8" t="s">
        <v>2381</v>
      </c>
      <c r="O3080" s="7"/>
      <c r="P3080" s="2" t="s">
        <v>7345</v>
      </c>
      <c r="Q3080" s="7"/>
      <c r="R3080" s="1"/>
      <c r="S3080" s="1" t="str">
        <f>"J-UN-2021-805"</f>
        <v>J-UN-2021-805</v>
      </c>
      <c r="T3080" s="1" t="s">
        <v>32</v>
      </c>
    </row>
    <row r="3081" spans="1:20" ht="51" x14ac:dyDescent="0.25">
      <c r="A3081" s="6">
        <v>3075</v>
      </c>
      <c r="B3081" s="1" t="str">
        <f>"2021-792"</f>
        <v>2021-792</v>
      </c>
      <c r="C3081" s="1" t="s">
        <v>2848</v>
      </c>
      <c r="D3081" s="1" t="s">
        <v>2849</v>
      </c>
      <c r="E3081" s="1" t="str">
        <f>""</f>
        <v/>
      </c>
      <c r="F3081" s="1" t="s">
        <v>1860</v>
      </c>
      <c r="G3081" s="1" t="str">
        <f>CONCATENATE(" GEO WILD D.O.O.,"," IVANA KUKULJEVIĆA 6/4,"," 10000 ZAGREB,"," OIB: 99307623254")</f>
        <v xml:space="preserve"> GEO WILD D.O.O., IVANA KUKULJEVIĆA 6/4, 10000 ZAGREB, OIB: 99307623254</v>
      </c>
      <c r="H3081" s="7"/>
      <c r="I3081" s="8" t="s">
        <v>66</v>
      </c>
      <c r="J3081" s="8" t="s">
        <v>523</v>
      </c>
      <c r="K3081" s="6" t="str">
        <f>"3.200,00"</f>
        <v>3.200,00</v>
      </c>
      <c r="L3081" s="6" t="str">
        <f>"800,00"</f>
        <v>800,00</v>
      </c>
      <c r="M3081" s="6" t="str">
        <f>"4.000,00"</f>
        <v>4.000,00</v>
      </c>
      <c r="N3081" s="8" t="s">
        <v>2717</v>
      </c>
      <c r="O3081" s="7"/>
      <c r="P3081" s="2" t="s">
        <v>7346</v>
      </c>
      <c r="Q3081" s="7"/>
      <c r="R3081" s="1"/>
      <c r="S3081" s="1" t="str">
        <f>"J-UN-2021-806"</f>
        <v>J-UN-2021-806</v>
      </c>
      <c r="T3081" s="1" t="s">
        <v>32</v>
      </c>
    </row>
    <row r="3082" spans="1:20" ht="51" x14ac:dyDescent="0.25">
      <c r="A3082" s="6">
        <v>3076</v>
      </c>
      <c r="B3082" s="1" t="str">
        <f>"2021-1213"</f>
        <v>2021-1213</v>
      </c>
      <c r="C3082" s="1" t="s">
        <v>2850</v>
      </c>
      <c r="D3082" s="1" t="s">
        <v>229</v>
      </c>
      <c r="E3082" s="1" t="str">
        <f>""</f>
        <v/>
      </c>
      <c r="F3082" s="1" t="s">
        <v>1860</v>
      </c>
      <c r="G3082" s="1" t="str">
        <f>CONCATENATE(" ENERGONOVA D.O.O.,"," NOVAČKA 333,"," 10040 ZAGREB-DUBRAVA,"," OIB: 13653098314")</f>
        <v xml:space="preserve"> ENERGONOVA D.O.O., NOVAČKA 333, 10040 ZAGREB-DUBRAVA, OIB: 13653098314</v>
      </c>
      <c r="H3082" s="7"/>
      <c r="I3082" s="8" t="s">
        <v>2749</v>
      </c>
      <c r="J3082" s="8" t="s">
        <v>407</v>
      </c>
      <c r="K3082" s="6" t="str">
        <f>"6.810,00"</f>
        <v>6.810,00</v>
      </c>
      <c r="L3082" s="6" t="str">
        <f>"1.702,50"</f>
        <v>1.702,50</v>
      </c>
      <c r="M3082" s="6" t="str">
        <f>"8.512,50"</f>
        <v>8.512,50</v>
      </c>
      <c r="N3082" s="8" t="s">
        <v>1861</v>
      </c>
      <c r="O3082" s="7"/>
      <c r="P3082" s="2" t="s">
        <v>7347</v>
      </c>
      <c r="Q3082" s="7"/>
      <c r="R3082" s="1"/>
      <c r="S3082" s="1" t="str">
        <f>"J-UN-2021-807"</f>
        <v>J-UN-2021-807</v>
      </c>
      <c r="T3082" s="1" t="s">
        <v>32</v>
      </c>
    </row>
    <row r="3083" spans="1:20" ht="51" x14ac:dyDescent="0.25">
      <c r="A3083" s="6">
        <v>3077</v>
      </c>
      <c r="B3083" s="1" t="str">
        <f>"2021-478"</f>
        <v>2021-478</v>
      </c>
      <c r="C3083" s="1" t="s">
        <v>2714</v>
      </c>
      <c r="D3083" s="1" t="s">
        <v>619</v>
      </c>
      <c r="E3083" s="1" t="str">
        <f>""</f>
        <v/>
      </c>
      <c r="F3083" s="1" t="s">
        <v>1860</v>
      </c>
      <c r="G3083" s="1" t="str">
        <f>CONCATENATE(" PRO-TEHNA D.O.O.,"," MAKSIMIRSKA 64,"," 10000 ZAGREB,"," OIB: 88951687357")</f>
        <v xml:space="preserve"> PRO-TEHNA D.O.O., MAKSIMIRSKA 64, 10000 ZAGREB, OIB: 88951687357</v>
      </c>
      <c r="H3083" s="7"/>
      <c r="I3083" s="8" t="s">
        <v>66</v>
      </c>
      <c r="J3083" s="8" t="s">
        <v>523</v>
      </c>
      <c r="K3083" s="6" t="str">
        <f>"4.249,00"</f>
        <v>4.249,00</v>
      </c>
      <c r="L3083" s="6" t="str">
        <f>"1.062,25"</f>
        <v>1.062,25</v>
      </c>
      <c r="M3083" s="6" t="str">
        <f>"5.311,25"</f>
        <v>5.311,25</v>
      </c>
      <c r="N3083" s="8" t="s">
        <v>1411</v>
      </c>
      <c r="O3083" s="7"/>
      <c r="P3083" s="2" t="s">
        <v>7348</v>
      </c>
      <c r="Q3083" s="7"/>
      <c r="R3083" s="1"/>
      <c r="S3083" s="1" t="str">
        <f>"J-UN-2021-809"</f>
        <v>J-UN-2021-809</v>
      </c>
      <c r="T3083" s="1" t="s">
        <v>32</v>
      </c>
    </row>
    <row r="3084" spans="1:20" ht="51" x14ac:dyDescent="0.25">
      <c r="A3084" s="6">
        <v>3078</v>
      </c>
      <c r="B3084" s="1" t="str">
        <f>"2021-1119"</f>
        <v>2021-1119</v>
      </c>
      <c r="C3084" s="1" t="s">
        <v>2851</v>
      </c>
      <c r="D3084" s="1" t="s">
        <v>1007</v>
      </c>
      <c r="E3084" s="1" t="str">
        <f>""</f>
        <v/>
      </c>
      <c r="F3084" s="1" t="s">
        <v>1860</v>
      </c>
      <c r="G3084" s="1" t="str">
        <f>CONCATENATE(" ECCOS-INŽENJERING D.O.O.,"," BANI 110,"," 10000 ZAGREB,"," OIB: 71629027685")</f>
        <v xml:space="preserve"> ECCOS-INŽENJERING D.O.O., BANI 110, 10000 ZAGREB, OIB: 71629027685</v>
      </c>
      <c r="H3084" s="7"/>
      <c r="I3084" s="8" t="s">
        <v>2749</v>
      </c>
      <c r="J3084" s="8" t="s">
        <v>407</v>
      </c>
      <c r="K3084" s="6" t="str">
        <f>"23.000,00"</f>
        <v>23.000,00</v>
      </c>
      <c r="L3084" s="6" t="str">
        <f>"5.750,00"</f>
        <v>5.750,00</v>
      </c>
      <c r="M3084" s="6" t="str">
        <f>"28.750,00"</f>
        <v>28.750,00</v>
      </c>
      <c r="N3084" s="8" t="s">
        <v>2843</v>
      </c>
      <c r="O3084" s="7"/>
      <c r="P3084" s="2" t="s">
        <v>7349</v>
      </c>
      <c r="Q3084" s="7"/>
      <c r="R3084" s="1"/>
      <c r="S3084" s="1" t="str">
        <f>"J-UN-2021-811"</f>
        <v>J-UN-2021-811</v>
      </c>
      <c r="T3084" s="1" t="s">
        <v>32</v>
      </c>
    </row>
    <row r="3085" spans="1:20" ht="51" x14ac:dyDescent="0.25">
      <c r="A3085" s="6">
        <v>3079</v>
      </c>
      <c r="B3085" s="1" t="str">
        <f>"2021-999"</f>
        <v>2021-999</v>
      </c>
      <c r="C3085" s="1" t="s">
        <v>2794</v>
      </c>
      <c r="D3085" s="1" t="s">
        <v>2716</v>
      </c>
      <c r="E3085" s="1" t="str">
        <f>""</f>
        <v/>
      </c>
      <c r="F3085" s="1" t="s">
        <v>1860</v>
      </c>
      <c r="G3085" s="1" t="str">
        <f>CONCATENATE(" VAR D.O.O.,"," IVANA KELEKA 18A,"," 10360 SESVETE,"," OIB: 66402309304")</f>
        <v xml:space="preserve"> VAR D.O.O., IVANA KELEKA 18A, 10360 SESVETE, OIB: 66402309304</v>
      </c>
      <c r="H3085" s="7"/>
      <c r="I3085" s="8" t="s">
        <v>455</v>
      </c>
      <c r="J3085" s="8" t="s">
        <v>1399</v>
      </c>
      <c r="K3085" s="6" t="str">
        <f>"14.327,00"</f>
        <v>14.327,00</v>
      </c>
      <c r="L3085" s="6" t="str">
        <f>"3.581,75"</f>
        <v>3.581,75</v>
      </c>
      <c r="M3085" s="6" t="str">
        <f>"17.908,75"</f>
        <v>17.908,75</v>
      </c>
      <c r="N3085" s="8" t="s">
        <v>2852</v>
      </c>
      <c r="O3085" s="7"/>
      <c r="P3085" s="2" t="s">
        <v>7350</v>
      </c>
      <c r="Q3085" s="7"/>
      <c r="R3085" s="1"/>
      <c r="S3085" s="1" t="str">
        <f>"J-UN-2021-812"</f>
        <v>J-UN-2021-812</v>
      </c>
      <c r="T3085" s="1" t="s">
        <v>32</v>
      </c>
    </row>
    <row r="3086" spans="1:20" ht="63.75" x14ac:dyDescent="0.25">
      <c r="A3086" s="6">
        <v>3080</v>
      </c>
      <c r="B3086" s="1" t="str">
        <f>"2021-700"</f>
        <v>2021-700</v>
      </c>
      <c r="C3086" s="1" t="s">
        <v>2660</v>
      </c>
      <c r="D3086" s="1" t="s">
        <v>2661</v>
      </c>
      <c r="E3086" s="1" t="str">
        <f>""</f>
        <v/>
      </c>
      <c r="F3086" s="1" t="s">
        <v>1860</v>
      </c>
      <c r="G3086" s="1" t="str">
        <f>CONCATENATE(" ELEKTRO-KOMUNIKACIJE D.O.O.,"," 14. PODBREŽJE 4,"," 10000 ZAGREB,"," OIB: 76412373309")</f>
        <v xml:space="preserve"> ELEKTRO-KOMUNIKACIJE D.O.O., 14. PODBREŽJE 4, 10000 ZAGREB, OIB: 76412373309</v>
      </c>
      <c r="H3086" s="7"/>
      <c r="I3086" s="8" t="s">
        <v>1905</v>
      </c>
      <c r="J3086" s="8" t="s">
        <v>922</v>
      </c>
      <c r="K3086" s="6" t="str">
        <f>"46.450,00"</f>
        <v>46.450,00</v>
      </c>
      <c r="L3086" s="6" t="str">
        <f>"11.612,50"</f>
        <v>11.612,50</v>
      </c>
      <c r="M3086" s="6" t="str">
        <f>"58.062,50"</f>
        <v>58.062,50</v>
      </c>
      <c r="N3086" s="8" t="s">
        <v>2807</v>
      </c>
      <c r="O3086" s="7"/>
      <c r="P3086" s="2" t="s">
        <v>7351</v>
      </c>
      <c r="Q3086" s="7"/>
      <c r="R3086" s="1"/>
      <c r="S3086" s="1" t="str">
        <f>"J-UN-2021-813"</f>
        <v>J-UN-2021-813</v>
      </c>
      <c r="T3086" s="1" t="s">
        <v>32</v>
      </c>
    </row>
    <row r="3087" spans="1:20" ht="38.25" x14ac:dyDescent="0.25">
      <c r="A3087" s="6">
        <v>3081</v>
      </c>
      <c r="B3087" s="1" t="str">
        <f>"2021-882"</f>
        <v>2021-882</v>
      </c>
      <c r="C3087" s="1" t="s">
        <v>2565</v>
      </c>
      <c r="D3087" s="1" t="s">
        <v>1833</v>
      </c>
      <c r="E3087" s="1" t="str">
        <f>""</f>
        <v/>
      </c>
      <c r="F3087" s="1" t="s">
        <v>1860</v>
      </c>
      <c r="G3087" s="1" t="str">
        <f>CONCATENATE(" R-PIM D.O.O.,"," ,"," OIB: 38514700472")</f>
        <v xml:space="preserve"> R-PIM D.O.O., , OIB: 38514700472</v>
      </c>
      <c r="H3087" s="7"/>
      <c r="I3087" s="8" t="s">
        <v>67</v>
      </c>
      <c r="J3087" s="8" t="s">
        <v>240</v>
      </c>
      <c r="K3087" s="6" t="str">
        <f>"2.652,00"</f>
        <v>2.652,00</v>
      </c>
      <c r="L3087" s="6" t="str">
        <f>"663,00"</f>
        <v>663,00</v>
      </c>
      <c r="M3087" s="6" t="str">
        <f>"3.315,00"</f>
        <v>3.315,00</v>
      </c>
      <c r="N3087" s="8" t="s">
        <v>1861</v>
      </c>
      <c r="O3087" s="7"/>
      <c r="P3087" s="2" t="s">
        <v>7352</v>
      </c>
      <c r="Q3087" s="7"/>
      <c r="R3087" s="1"/>
      <c r="S3087" s="1" t="str">
        <f>"J-UN-2021-814"</f>
        <v>J-UN-2021-814</v>
      </c>
      <c r="T3087" s="1" t="s">
        <v>32</v>
      </c>
    </row>
    <row r="3088" spans="1:20" ht="51" x14ac:dyDescent="0.25">
      <c r="A3088" s="6">
        <v>3082</v>
      </c>
      <c r="B3088" s="1" t="str">
        <f>"2021-983"</f>
        <v>2021-983</v>
      </c>
      <c r="C3088" s="1" t="s">
        <v>2690</v>
      </c>
      <c r="D3088" s="1" t="s">
        <v>2691</v>
      </c>
      <c r="E3088" s="1" t="str">
        <f>""</f>
        <v/>
      </c>
      <c r="F3088" s="1" t="s">
        <v>1860</v>
      </c>
      <c r="G3088" s="1" t="str">
        <f>CONCATENATE(" VODOSKOK D.D.,"," ČULINEČKA CESTA 221/C,"," 10040 ZAGREB,"," OIB: 34134218058")</f>
        <v xml:space="preserve"> VODOSKOK D.D., ČULINEČKA CESTA 221/C, 10040 ZAGREB, OIB: 34134218058</v>
      </c>
      <c r="H3088" s="7"/>
      <c r="I3088" s="8" t="s">
        <v>66</v>
      </c>
      <c r="J3088" s="8" t="s">
        <v>523</v>
      </c>
      <c r="K3088" s="6" t="str">
        <f>"655,00"</f>
        <v>655,00</v>
      </c>
      <c r="L3088" s="6" t="str">
        <f>"163,75"</f>
        <v>163,75</v>
      </c>
      <c r="M3088" s="6" t="str">
        <f>"818,75"</f>
        <v>818,75</v>
      </c>
      <c r="N3088" s="8" t="s">
        <v>2843</v>
      </c>
      <c r="O3088" s="7"/>
      <c r="P3088" s="2" t="s">
        <v>6550</v>
      </c>
      <c r="Q3088" s="7"/>
      <c r="R3088" s="1"/>
      <c r="S3088" s="1" t="str">
        <f>"J-UN-2021-816"</f>
        <v>J-UN-2021-816</v>
      </c>
      <c r="T3088" s="1" t="s">
        <v>32</v>
      </c>
    </row>
    <row r="3089" spans="1:20" ht="51" x14ac:dyDescent="0.25">
      <c r="A3089" s="6">
        <v>3083</v>
      </c>
      <c r="B3089" s="1" t="str">
        <f>"2021-898"</f>
        <v>2021-898</v>
      </c>
      <c r="C3089" s="1" t="s">
        <v>2670</v>
      </c>
      <c r="D3089" s="1" t="s">
        <v>2671</v>
      </c>
      <c r="E3089" s="1" t="str">
        <f>""</f>
        <v/>
      </c>
      <c r="F3089" s="1" t="s">
        <v>1860</v>
      </c>
      <c r="G3089" s="1" t="str">
        <f>CONCATENATE(" SAFIR D.O.O.,"," HORVAĆANSKA 17,"," 10000 ZAGREB,"," OIB: 33548604975")</f>
        <v xml:space="preserve"> SAFIR D.O.O., HORVAĆANSKA 17, 10000 ZAGREB, OIB: 33548604975</v>
      </c>
      <c r="H3089" s="7"/>
      <c r="I3089" s="8" t="s">
        <v>66</v>
      </c>
      <c r="J3089" s="8" t="s">
        <v>523</v>
      </c>
      <c r="K3089" s="6" t="str">
        <f>"1.312,00"</f>
        <v>1.312,00</v>
      </c>
      <c r="L3089" s="6" t="str">
        <f>"328,00"</f>
        <v>328,00</v>
      </c>
      <c r="M3089" s="6" t="str">
        <f>"1.640,00"</f>
        <v>1.640,00</v>
      </c>
      <c r="N3089" s="8" t="s">
        <v>48</v>
      </c>
      <c r="O3089" s="7"/>
      <c r="P3089" s="2" t="s">
        <v>7353</v>
      </c>
      <c r="Q3089" s="7"/>
      <c r="R3089" s="1"/>
      <c r="S3089" s="1" t="str">
        <f>"J-UN-2021-817"</f>
        <v>J-UN-2021-817</v>
      </c>
      <c r="T3089" s="1" t="s">
        <v>32</v>
      </c>
    </row>
    <row r="3090" spans="1:20" ht="51" x14ac:dyDescent="0.25">
      <c r="A3090" s="6">
        <v>3084</v>
      </c>
      <c r="B3090" s="1" t="str">
        <f>"2021-1412"</f>
        <v>2021-1412</v>
      </c>
      <c r="C3090" s="1" t="s">
        <v>2779</v>
      </c>
      <c r="D3090" s="1" t="s">
        <v>2780</v>
      </c>
      <c r="E3090" s="1" t="str">
        <f>""</f>
        <v/>
      </c>
      <c r="F3090" s="1" t="s">
        <v>1860</v>
      </c>
      <c r="G3090" s="1" t="str">
        <f>CONCATENATE(" VERLAG DASHOFER,"," DRAŠKOVIĆEVA 49,"," 10000 ZAGREB,"," OIB: 92176483054")</f>
        <v xml:space="preserve"> VERLAG DASHOFER, DRAŠKOVIĆEVA 49, 10000 ZAGREB, OIB: 92176483054</v>
      </c>
      <c r="H3090" s="7"/>
      <c r="I3090" s="8" t="s">
        <v>2749</v>
      </c>
      <c r="J3090" s="8" t="s">
        <v>407</v>
      </c>
      <c r="K3090" s="6" t="str">
        <f>"1.766,40"</f>
        <v>1.766,40</v>
      </c>
      <c r="L3090" s="6" t="str">
        <f>"441,60"</f>
        <v>441,60</v>
      </c>
      <c r="M3090" s="6" t="str">
        <f>"2.208,00"</f>
        <v>2.208,00</v>
      </c>
      <c r="N3090" s="8" t="s">
        <v>1356</v>
      </c>
      <c r="O3090" s="7"/>
      <c r="P3090" s="2" t="s">
        <v>7354</v>
      </c>
      <c r="Q3090" s="7"/>
      <c r="R3090" s="1"/>
      <c r="S3090" s="1" t="str">
        <f>"J-UN-2021-820"</f>
        <v>J-UN-2021-820</v>
      </c>
      <c r="T3090" s="1" t="s">
        <v>32</v>
      </c>
    </row>
    <row r="3091" spans="1:20" ht="51" x14ac:dyDescent="0.25">
      <c r="A3091" s="6">
        <v>3085</v>
      </c>
      <c r="B3091" s="1" t="str">
        <f>"2021-1015"</f>
        <v>2021-1015</v>
      </c>
      <c r="C3091" s="1" t="s">
        <v>2492</v>
      </c>
      <c r="D3091" s="1" t="s">
        <v>2493</v>
      </c>
      <c r="E3091" s="1" t="str">
        <f>""</f>
        <v/>
      </c>
      <c r="F3091" s="1" t="s">
        <v>1860</v>
      </c>
      <c r="G3091" s="1" t="str">
        <f>CONCATENATE(" TPZ D.O.O.,"," NOVOSELSKA 25,"," 10000 ZAGREB,"," OIB: 68119083236")</f>
        <v xml:space="preserve"> TPZ D.O.O., NOVOSELSKA 25, 10000 ZAGREB, OIB: 68119083236</v>
      </c>
      <c r="H3091" s="7"/>
      <c r="I3091" s="8" t="s">
        <v>2749</v>
      </c>
      <c r="J3091" s="8" t="s">
        <v>407</v>
      </c>
      <c r="K3091" s="6" t="str">
        <f>"20.778,48"</f>
        <v>20.778,48</v>
      </c>
      <c r="L3091" s="6" t="str">
        <f>"5.194,62"</f>
        <v>5.194,62</v>
      </c>
      <c r="M3091" s="6" t="str">
        <f>"25.973,10"</f>
        <v>25.973,10</v>
      </c>
      <c r="N3091" s="8" t="s">
        <v>2807</v>
      </c>
      <c r="O3091" s="7"/>
      <c r="P3091" s="2" t="s">
        <v>7355</v>
      </c>
      <c r="Q3091" s="1" t="s">
        <v>5601</v>
      </c>
      <c r="R3091" s="1"/>
      <c r="S3091" s="1" t="str">
        <f>"J-UN-2021-821"</f>
        <v>J-UN-2021-821</v>
      </c>
      <c r="T3091" s="1" t="s">
        <v>32</v>
      </c>
    </row>
    <row r="3092" spans="1:20" ht="51" x14ac:dyDescent="0.25">
      <c r="A3092" s="6">
        <v>3086</v>
      </c>
      <c r="B3092" s="1" t="str">
        <f>"2021-1412"</f>
        <v>2021-1412</v>
      </c>
      <c r="C3092" s="1" t="s">
        <v>2779</v>
      </c>
      <c r="D3092" s="1" t="s">
        <v>2780</v>
      </c>
      <c r="E3092" s="1" t="str">
        <f>""</f>
        <v/>
      </c>
      <c r="F3092" s="1" t="s">
        <v>1860</v>
      </c>
      <c r="G3092" s="1" t="str">
        <f>CONCATENATE(" LEXPERA D.O.O.,"," TUŠKANOVA 37,"," 10000 ZAGREB,"," OIB: 79506290597")</f>
        <v xml:space="preserve"> LEXPERA D.O.O., TUŠKANOVA 37, 10000 ZAGREB, OIB: 79506290597</v>
      </c>
      <c r="H3092" s="7"/>
      <c r="I3092" s="8" t="s">
        <v>2749</v>
      </c>
      <c r="J3092" s="8" t="s">
        <v>407</v>
      </c>
      <c r="K3092" s="6" t="str">
        <f>"3.312,00"</f>
        <v>3.312,00</v>
      </c>
      <c r="L3092" s="6" t="str">
        <f>"828,00"</f>
        <v>828,00</v>
      </c>
      <c r="M3092" s="6" t="str">
        <f>"4.140,00"</f>
        <v>4.140,00</v>
      </c>
      <c r="N3092" s="8" t="s">
        <v>872</v>
      </c>
      <c r="O3092" s="7"/>
      <c r="P3092" s="2" t="s">
        <v>7254</v>
      </c>
      <c r="Q3092" s="7"/>
      <c r="R3092" s="1"/>
      <c r="S3092" s="1" t="str">
        <f>"J-UN-2021-823"</f>
        <v>J-UN-2021-823</v>
      </c>
      <c r="T3092" s="1" t="s">
        <v>32</v>
      </c>
    </row>
    <row r="3093" spans="1:20" ht="51" x14ac:dyDescent="0.25">
      <c r="A3093" s="6">
        <v>3087</v>
      </c>
      <c r="B3093" s="1" t="str">
        <f>"2021-1231"</f>
        <v>2021-1231</v>
      </c>
      <c r="C3093" s="1" t="s">
        <v>2618</v>
      </c>
      <c r="D3093" s="1" t="s">
        <v>2619</v>
      </c>
      <c r="E3093" s="1" t="str">
        <f>""</f>
        <v/>
      </c>
      <c r="F3093" s="1" t="s">
        <v>1860</v>
      </c>
      <c r="G3093" s="1" t="str">
        <f>CONCATENATE(" TRA-MONT D.O.O.,"," MILIVOJA MATOŠECA 5,"," 10000 ZAGREB,"," OIB: 05336208843")</f>
        <v xml:space="preserve"> TRA-MONT D.O.O., MILIVOJA MATOŠECA 5, 10000 ZAGREB, OIB: 05336208843</v>
      </c>
      <c r="H3093" s="7"/>
      <c r="I3093" s="8" t="s">
        <v>2749</v>
      </c>
      <c r="J3093" s="8" t="s">
        <v>407</v>
      </c>
      <c r="K3093" s="6" t="str">
        <f>"1.160,00"</f>
        <v>1.160,00</v>
      </c>
      <c r="L3093" s="6" t="str">
        <f>"290,00"</f>
        <v>290,00</v>
      </c>
      <c r="M3093" s="6" t="str">
        <f>"1.450,00"</f>
        <v>1.450,00</v>
      </c>
      <c r="N3093" s="8" t="s">
        <v>872</v>
      </c>
      <c r="O3093" s="7"/>
      <c r="P3093" s="2" t="s">
        <v>7356</v>
      </c>
      <c r="Q3093" s="7"/>
      <c r="R3093" s="1"/>
      <c r="S3093" s="1" t="str">
        <f>"J-UN-2021-824"</f>
        <v>J-UN-2021-824</v>
      </c>
      <c r="T3093" s="1" t="s">
        <v>32</v>
      </c>
    </row>
    <row r="3094" spans="1:20" ht="51" x14ac:dyDescent="0.25">
      <c r="A3094" s="6">
        <v>3088</v>
      </c>
      <c r="B3094" s="1" t="str">
        <f>"2021-914"</f>
        <v>2021-914</v>
      </c>
      <c r="C3094" s="1" t="s">
        <v>2733</v>
      </c>
      <c r="D3094" s="1" t="s">
        <v>914</v>
      </c>
      <c r="E3094" s="1" t="str">
        <f>""</f>
        <v/>
      </c>
      <c r="F3094" s="1" t="s">
        <v>1860</v>
      </c>
      <c r="G3094" s="1" t="str">
        <f>CONCATENATE(" AUTO HOLETIĆ D.O.O.,"," SISAČKA 47,"," 10410 VELIKA GORICA,"," OIB: 78653954953")</f>
        <v xml:space="preserve"> AUTO HOLETIĆ D.O.O., SISAČKA 47, 10410 VELIKA GORICA, OIB: 78653954953</v>
      </c>
      <c r="H3094" s="7"/>
      <c r="I3094" s="8" t="s">
        <v>1496</v>
      </c>
      <c r="J3094" s="8" t="s">
        <v>963</v>
      </c>
      <c r="K3094" s="6" t="str">
        <f>"877,56"</f>
        <v>877,56</v>
      </c>
      <c r="L3094" s="6" t="str">
        <f>"219,39"</f>
        <v>219,39</v>
      </c>
      <c r="M3094" s="6" t="str">
        <f>"1.096,95"</f>
        <v>1.096,95</v>
      </c>
      <c r="N3094" s="8" t="s">
        <v>124</v>
      </c>
      <c r="O3094" s="7"/>
      <c r="P3094" s="2" t="s">
        <v>5614</v>
      </c>
      <c r="Q3094" s="7"/>
      <c r="R3094" s="1"/>
      <c r="S3094" s="1" t="str">
        <f>"J-UN-2021-847"</f>
        <v>J-UN-2021-847</v>
      </c>
      <c r="T3094" s="1" t="s">
        <v>32</v>
      </c>
    </row>
    <row r="3095" spans="1:20" ht="51" x14ac:dyDescent="0.25">
      <c r="A3095" s="6">
        <v>3089</v>
      </c>
      <c r="B3095" s="1" t="str">
        <f>"2021-305"</f>
        <v>2021-305</v>
      </c>
      <c r="C3095" s="1" t="s">
        <v>2831</v>
      </c>
      <c r="D3095" s="1" t="s">
        <v>2832</v>
      </c>
      <c r="E3095" s="1" t="str">
        <f>""</f>
        <v/>
      </c>
      <c r="F3095" s="1" t="s">
        <v>1860</v>
      </c>
      <c r="G3095" s="1" t="str">
        <f>CONCATENATE(" VATROMAX K.M.B.,"," ĆIKOVIĆI 70A,"," 51215 KASTAV,"," OIB: 10545415025")</f>
        <v xml:space="preserve"> VATROMAX K.M.B., ĆIKOVIĆI 70A, 51215 KASTAV, OIB: 10545415025</v>
      </c>
      <c r="H3095" s="7"/>
      <c r="I3095" s="8" t="s">
        <v>1992</v>
      </c>
      <c r="J3095" s="8" t="s">
        <v>2853</v>
      </c>
      <c r="K3095" s="6" t="str">
        <f>"10.940,00"</f>
        <v>10.940,00</v>
      </c>
      <c r="L3095" s="6" t="str">
        <f>"2.735,00"</f>
        <v>2.735,00</v>
      </c>
      <c r="M3095" s="6" t="str">
        <f>"13.675,00"</f>
        <v>13.675,00</v>
      </c>
      <c r="N3095" s="8" t="s">
        <v>221</v>
      </c>
      <c r="O3095" s="7"/>
      <c r="P3095" s="2" t="s">
        <v>7357</v>
      </c>
      <c r="Q3095" s="7"/>
      <c r="R3095" s="1"/>
      <c r="S3095" s="1" t="str">
        <f>"J-UN-2021-848"</f>
        <v>J-UN-2021-848</v>
      </c>
      <c r="T3095" s="1" t="s">
        <v>32</v>
      </c>
    </row>
    <row r="3096" spans="1:20" ht="51" x14ac:dyDescent="0.25">
      <c r="A3096" s="6">
        <v>3090</v>
      </c>
      <c r="B3096" s="1" t="str">
        <f>"2021-327"</f>
        <v>2021-327</v>
      </c>
      <c r="C3096" s="1" t="s">
        <v>2763</v>
      </c>
      <c r="D3096" s="1" t="s">
        <v>2764</v>
      </c>
      <c r="E3096" s="1" t="str">
        <f>""</f>
        <v/>
      </c>
      <c r="F3096" s="1" t="s">
        <v>1860</v>
      </c>
      <c r="G3096" s="1" t="str">
        <f>CONCATENATE(" SAFIR D.O.O.,"," HORVAĆANSKA 17,"," 10000 ZAGREB,"," OIB: 33548604975")</f>
        <v xml:space="preserve"> SAFIR D.O.O., HORVAĆANSKA 17, 10000 ZAGREB, OIB: 33548604975</v>
      </c>
      <c r="H3096" s="7"/>
      <c r="I3096" s="8" t="s">
        <v>1992</v>
      </c>
      <c r="J3096" s="8" t="s">
        <v>2853</v>
      </c>
      <c r="K3096" s="6" t="str">
        <f>"450,00"</f>
        <v>450,00</v>
      </c>
      <c r="L3096" s="6" t="str">
        <f>"112,50"</f>
        <v>112,50</v>
      </c>
      <c r="M3096" s="6" t="str">
        <f>"562,50"</f>
        <v>562,50</v>
      </c>
      <c r="N3096" s="8" t="s">
        <v>48</v>
      </c>
      <c r="O3096" s="7"/>
      <c r="P3096" s="2" t="s">
        <v>7358</v>
      </c>
      <c r="Q3096" s="7"/>
      <c r="R3096" s="1"/>
      <c r="S3096" s="1" t="str">
        <f>"J-UN-2021-849"</f>
        <v>J-UN-2021-849</v>
      </c>
      <c r="T3096" s="1" t="s">
        <v>32</v>
      </c>
    </row>
    <row r="3097" spans="1:20" ht="51" x14ac:dyDescent="0.25">
      <c r="A3097" s="6">
        <v>3091</v>
      </c>
      <c r="B3097" s="1" t="str">
        <f>"2021-776"</f>
        <v>2021-776</v>
      </c>
      <c r="C3097" s="1" t="s">
        <v>2628</v>
      </c>
      <c r="D3097" s="1" t="s">
        <v>2010</v>
      </c>
      <c r="E3097" s="1" t="str">
        <f>""</f>
        <v/>
      </c>
      <c r="F3097" s="1" t="s">
        <v>1860</v>
      </c>
      <c r="G3097" s="1" t="str">
        <f>CONCATENATE(" INSTITUT IGH D.D.,"," JANKA RAKUŠE 1,"," 10000 ZAGREB,"," OIB: 79766124714")</f>
        <v xml:space="preserve"> INSTITUT IGH D.D., JANKA RAKUŠE 1, 10000 ZAGREB, OIB: 79766124714</v>
      </c>
      <c r="H3097" s="7"/>
      <c r="I3097" s="8" t="s">
        <v>1496</v>
      </c>
      <c r="J3097" s="8" t="s">
        <v>963</v>
      </c>
      <c r="K3097" s="6" t="str">
        <f>"500,00"</f>
        <v>500,00</v>
      </c>
      <c r="L3097" s="6" t="str">
        <f>"125,00"</f>
        <v>125,00</v>
      </c>
      <c r="M3097" s="6" t="str">
        <f>"625,00"</f>
        <v>625,00</v>
      </c>
      <c r="N3097" s="8" t="s">
        <v>1411</v>
      </c>
      <c r="O3097" s="7"/>
      <c r="P3097" s="2" t="s">
        <v>6552</v>
      </c>
      <c r="Q3097" s="7"/>
      <c r="R3097" s="1"/>
      <c r="S3097" s="1" t="str">
        <f>"J-UN-2021-851"</f>
        <v>J-UN-2021-851</v>
      </c>
      <c r="T3097" s="1" t="s">
        <v>32</v>
      </c>
    </row>
    <row r="3098" spans="1:20" ht="51" x14ac:dyDescent="0.25">
      <c r="A3098" s="6">
        <v>3092</v>
      </c>
      <c r="B3098" s="1" t="str">
        <f>"2021-1154"</f>
        <v>2021-1154</v>
      </c>
      <c r="C3098" s="1" t="s">
        <v>2854</v>
      </c>
      <c r="D3098" s="1" t="s">
        <v>2855</v>
      </c>
      <c r="E3098" s="1" t="str">
        <f>""</f>
        <v/>
      </c>
      <c r="F3098" s="1" t="s">
        <v>1860</v>
      </c>
      <c r="G3098" s="1" t="str">
        <f>CONCATENATE(" TEHNO-HIDRAULIK D.O.O.,"," SAVIŠĆE 2,"," 10000 ZAGREB,"," OIB: 09925328419")</f>
        <v xml:space="preserve"> TEHNO-HIDRAULIK D.O.O., SAVIŠĆE 2, 10000 ZAGREB, OIB: 09925328419</v>
      </c>
      <c r="H3098" s="7"/>
      <c r="I3098" s="8" t="s">
        <v>1496</v>
      </c>
      <c r="J3098" s="8" t="s">
        <v>963</v>
      </c>
      <c r="K3098" s="6" t="str">
        <f>"7.196,78"</f>
        <v>7.196,78</v>
      </c>
      <c r="L3098" s="6" t="str">
        <f>"1.799,20"</f>
        <v>1.799,20</v>
      </c>
      <c r="M3098" s="6" t="str">
        <f>"8.995,98"</f>
        <v>8.995,98</v>
      </c>
      <c r="N3098" s="8" t="s">
        <v>66</v>
      </c>
      <c r="O3098" s="7"/>
      <c r="P3098" s="2" t="s">
        <v>7359</v>
      </c>
      <c r="Q3098" s="7"/>
      <c r="R3098" s="1"/>
      <c r="S3098" s="1" t="str">
        <f>"J-UN-2021-852"</f>
        <v>J-UN-2021-852</v>
      </c>
      <c r="T3098" s="1" t="s">
        <v>32</v>
      </c>
    </row>
    <row r="3099" spans="1:20" ht="51" x14ac:dyDescent="0.25">
      <c r="A3099" s="6">
        <v>3093</v>
      </c>
      <c r="B3099" s="1" t="str">
        <f>"2021-1126"</f>
        <v>2021-1126</v>
      </c>
      <c r="C3099" s="1" t="s">
        <v>2856</v>
      </c>
      <c r="D3099" s="1" t="s">
        <v>1007</v>
      </c>
      <c r="E3099" s="1" t="str">
        <f>""</f>
        <v/>
      </c>
      <c r="F3099" s="1" t="s">
        <v>1860</v>
      </c>
      <c r="G3099" s="1" t="str">
        <f>CONCATENATE(" BLUEMONT D.O.O.,"," VINCEKOV BREG 20,"," 10000 ZAGREB,"," OIB: 54895392358")</f>
        <v xml:space="preserve"> BLUEMONT D.O.O., VINCEKOV BREG 20, 10000 ZAGREB, OIB: 54895392358</v>
      </c>
      <c r="H3099" s="7"/>
      <c r="I3099" s="8" t="s">
        <v>1496</v>
      </c>
      <c r="J3099" s="8" t="s">
        <v>963</v>
      </c>
      <c r="K3099" s="6" t="str">
        <f>"17.331,75"</f>
        <v>17.331,75</v>
      </c>
      <c r="L3099" s="6" t="str">
        <f>"4.332,94"</f>
        <v>4.332,94</v>
      </c>
      <c r="M3099" s="6" t="str">
        <f>"21.664,69"</f>
        <v>21.664,69</v>
      </c>
      <c r="N3099" s="8" t="s">
        <v>1476</v>
      </c>
      <c r="O3099" s="7"/>
      <c r="P3099" s="2" t="s">
        <v>7360</v>
      </c>
      <c r="Q3099" s="7"/>
      <c r="R3099" s="1"/>
      <c r="S3099" s="1" t="str">
        <f>"J-UN-2021-854"</f>
        <v>J-UN-2021-854</v>
      </c>
      <c r="T3099" s="1" t="s">
        <v>32</v>
      </c>
    </row>
    <row r="3100" spans="1:20" ht="51" x14ac:dyDescent="0.25">
      <c r="A3100" s="6">
        <v>3094</v>
      </c>
      <c r="B3100" s="1" t="str">
        <f>"2021-1180"</f>
        <v>2021-1180</v>
      </c>
      <c r="C3100" s="1" t="s">
        <v>2857</v>
      </c>
      <c r="D3100" s="1" t="s">
        <v>1373</v>
      </c>
      <c r="E3100" s="1" t="str">
        <f>""</f>
        <v/>
      </c>
      <c r="F3100" s="1" t="s">
        <v>1860</v>
      </c>
      <c r="G3100" s="1" t="str">
        <f>CONCATENATE(" NIVETO D.O.O.,"," DRAGUTINA MANDLA 1,"," 10000 ZAGREB,"," OIB: 46572491389")</f>
        <v xml:space="preserve"> NIVETO D.O.O., DRAGUTINA MANDLA 1, 10000 ZAGREB, OIB: 46572491389</v>
      </c>
      <c r="H3100" s="7"/>
      <c r="I3100" s="8" t="s">
        <v>67</v>
      </c>
      <c r="J3100" s="8" t="s">
        <v>240</v>
      </c>
      <c r="K3100" s="6" t="str">
        <f>"87.110,00"</f>
        <v>87.110,00</v>
      </c>
      <c r="L3100" s="6" t="str">
        <f>"21.777,50"</f>
        <v>21.777,50</v>
      </c>
      <c r="M3100" s="6" t="str">
        <f>"108.887,50"</f>
        <v>108.887,50</v>
      </c>
      <c r="N3100" s="8" t="s">
        <v>522</v>
      </c>
      <c r="O3100" s="7"/>
      <c r="P3100" s="2" t="s">
        <v>7361</v>
      </c>
      <c r="Q3100" s="7"/>
      <c r="R3100" s="1"/>
      <c r="S3100" s="1" t="str">
        <f>"J-UN-2021-855"</f>
        <v>J-UN-2021-855</v>
      </c>
      <c r="T3100" s="1" t="s">
        <v>32</v>
      </c>
    </row>
    <row r="3101" spans="1:20" ht="63.75" x14ac:dyDescent="0.25">
      <c r="A3101" s="6">
        <v>3095</v>
      </c>
      <c r="B3101" s="1" t="str">
        <f>"2021-437"</f>
        <v>2021-437</v>
      </c>
      <c r="C3101" s="1" t="s">
        <v>2795</v>
      </c>
      <c r="D3101" s="1" t="s">
        <v>1619</v>
      </c>
      <c r="E3101" s="1" t="str">
        <f>""</f>
        <v/>
      </c>
      <c r="F3101" s="1" t="s">
        <v>1860</v>
      </c>
      <c r="G3101" s="1" t="str">
        <f>CONCATENATE(" PA-VIN D.O.O.,"," VEĆESLAVA HOLJEVCA 20,"," 10450 JASTREBARSKO,"," OIB: 59920925649")</f>
        <v xml:space="preserve"> PA-VIN D.O.O., VEĆESLAVA HOLJEVCA 20, 10450 JASTREBARSKO, OIB: 59920925649</v>
      </c>
      <c r="H3101" s="7"/>
      <c r="I3101" s="8" t="s">
        <v>1496</v>
      </c>
      <c r="J3101" s="8" t="s">
        <v>963</v>
      </c>
      <c r="K3101" s="6" t="str">
        <f>"14.844,60"</f>
        <v>14.844,60</v>
      </c>
      <c r="L3101" s="6" t="str">
        <f>"3.711,15"</f>
        <v>3.711,15</v>
      </c>
      <c r="M3101" s="6" t="str">
        <f>"18.555,75"</f>
        <v>18.555,75</v>
      </c>
      <c r="N3101" s="8" t="s">
        <v>48</v>
      </c>
      <c r="O3101" s="7"/>
      <c r="P3101" s="2" t="s">
        <v>7362</v>
      </c>
      <c r="Q3101" s="7"/>
      <c r="R3101" s="1"/>
      <c r="S3101" s="1" t="str">
        <f>"J-UN-2021-858"</f>
        <v>J-UN-2021-858</v>
      </c>
      <c r="T3101" s="1" t="s">
        <v>32</v>
      </c>
    </row>
    <row r="3102" spans="1:20" ht="51" x14ac:dyDescent="0.25">
      <c r="A3102" s="6">
        <v>3096</v>
      </c>
      <c r="B3102" s="1" t="str">
        <f>"2021-1412"</f>
        <v>2021-1412</v>
      </c>
      <c r="C3102" s="1" t="s">
        <v>2779</v>
      </c>
      <c r="D3102" s="1" t="s">
        <v>2780</v>
      </c>
      <c r="E3102" s="1" t="str">
        <f>""</f>
        <v/>
      </c>
      <c r="F3102" s="1" t="s">
        <v>1860</v>
      </c>
      <c r="G3102" s="1" t="str">
        <f>CONCATENATE(" LEXPERA D.O.O.,"," TUŠKANOVA 37,"," 10000 ZAGREB,"," OIB: 79506290597")</f>
        <v xml:space="preserve"> LEXPERA D.O.O., TUŠKANOVA 37, 10000 ZAGREB, OIB: 79506290597</v>
      </c>
      <c r="H3102" s="7"/>
      <c r="I3102" s="8" t="s">
        <v>1496</v>
      </c>
      <c r="J3102" s="8" t="s">
        <v>963</v>
      </c>
      <c r="K3102" s="6" t="str">
        <f>"13.950,00"</f>
        <v>13.950,00</v>
      </c>
      <c r="L3102" s="6" t="str">
        <f>"3.487,50"</f>
        <v>3.487,50</v>
      </c>
      <c r="M3102" s="6" t="str">
        <f>"17.437,50"</f>
        <v>17.437,50</v>
      </c>
      <c r="N3102" s="8" t="s">
        <v>124</v>
      </c>
      <c r="O3102" s="7"/>
      <c r="P3102" s="2" t="s">
        <v>5614</v>
      </c>
      <c r="Q3102" s="7"/>
      <c r="R3102" s="1"/>
      <c r="S3102" s="1" t="str">
        <f>"J-UN-2021-859"</f>
        <v>J-UN-2021-859</v>
      </c>
      <c r="T3102" s="1" t="s">
        <v>32</v>
      </c>
    </row>
    <row r="3103" spans="1:20" ht="76.5" x14ac:dyDescent="0.25">
      <c r="A3103" s="6">
        <v>3097</v>
      </c>
      <c r="B3103" s="1" t="str">
        <f>"2021-1015"</f>
        <v>2021-1015</v>
      </c>
      <c r="C3103" s="1" t="s">
        <v>2492</v>
      </c>
      <c r="D3103" s="1" t="s">
        <v>2493</v>
      </c>
      <c r="E3103" s="1" t="str">
        <f>""</f>
        <v/>
      </c>
      <c r="F3103" s="1" t="s">
        <v>1860</v>
      </c>
      <c r="G3103" s="1" t="str">
        <f>CONCATENATE(" AUTOELEKTRO - OBRT,"," VL. BORIS KAJFEŠ,"," SAMOBORSKA CESTA 308,"," 10090 ZAGREB-SUSEDGRAD,"," OIB: 14433749943")</f>
        <v xml:space="preserve"> AUTOELEKTRO - OBRT, VL. BORIS KAJFEŠ, SAMOBORSKA CESTA 308, 10090 ZAGREB-SUSEDGRAD, OIB: 14433749943</v>
      </c>
      <c r="H3103" s="7"/>
      <c r="I3103" s="8" t="s">
        <v>1496</v>
      </c>
      <c r="J3103" s="8" t="s">
        <v>963</v>
      </c>
      <c r="K3103" s="6" t="str">
        <f>"1.690,88"</f>
        <v>1.690,88</v>
      </c>
      <c r="L3103" s="6" t="str">
        <f>"422,72"</f>
        <v>422,72</v>
      </c>
      <c r="M3103" s="6" t="str">
        <f>"2.113,60"</f>
        <v>2.113,60</v>
      </c>
      <c r="N3103" s="8" t="s">
        <v>2812</v>
      </c>
      <c r="O3103" s="7"/>
      <c r="P3103" s="2" t="s">
        <v>7363</v>
      </c>
      <c r="Q3103" s="7"/>
      <c r="R3103" s="1"/>
      <c r="S3103" s="1" t="str">
        <f>"J-UN-2021-860"</f>
        <v>J-UN-2021-860</v>
      </c>
      <c r="T3103" s="1" t="s">
        <v>32</v>
      </c>
    </row>
    <row r="3104" spans="1:20" ht="51" x14ac:dyDescent="0.25">
      <c r="A3104" s="6">
        <v>3098</v>
      </c>
      <c r="B3104" s="1" t="str">
        <f>"2021-377"</f>
        <v>2021-377</v>
      </c>
      <c r="C3104" s="1" t="s">
        <v>2833</v>
      </c>
      <c r="D3104" s="1" t="s">
        <v>1962</v>
      </c>
      <c r="E3104" s="1" t="str">
        <f>""</f>
        <v/>
      </c>
      <c r="F3104" s="1" t="s">
        <v>1860</v>
      </c>
      <c r="G3104" s="1" t="str">
        <f>CONCATENATE(" LAGER BAŠIĆ D.O.O.,"," TRGOVAČKA 3,"," 10255 DONJI STUPNIK,"," OIB: 49617677906")</f>
        <v xml:space="preserve"> LAGER BAŠIĆ D.O.O., TRGOVAČKA 3, 10255 DONJI STUPNIK, OIB: 49617677906</v>
      </c>
      <c r="H3104" s="7"/>
      <c r="I3104" s="8" t="s">
        <v>1496</v>
      </c>
      <c r="J3104" s="8" t="s">
        <v>963</v>
      </c>
      <c r="K3104" s="6" t="str">
        <f>"5.542,50"</f>
        <v>5.542,50</v>
      </c>
      <c r="L3104" s="6" t="str">
        <f>"1.385,63"</f>
        <v>1.385,63</v>
      </c>
      <c r="M3104" s="6" t="str">
        <f>"6.928,13"</f>
        <v>6.928,13</v>
      </c>
      <c r="N3104" s="8" t="s">
        <v>124</v>
      </c>
      <c r="O3104" s="7"/>
      <c r="P3104" s="2" t="s">
        <v>5614</v>
      </c>
      <c r="Q3104" s="7"/>
      <c r="R3104" s="1"/>
      <c r="S3104" s="1" t="str">
        <f>"J-UN-2021-861"</f>
        <v>J-UN-2021-861</v>
      </c>
      <c r="T3104" s="1" t="s">
        <v>32</v>
      </c>
    </row>
    <row r="3105" spans="1:20" ht="51" x14ac:dyDescent="0.25">
      <c r="A3105" s="6">
        <v>3099</v>
      </c>
      <c r="B3105" s="1" t="str">
        <f>"2021-1708"</f>
        <v>2021-1708</v>
      </c>
      <c r="C3105" s="1" t="s">
        <v>2643</v>
      </c>
      <c r="D3105" s="1" t="s">
        <v>1859</v>
      </c>
      <c r="E3105" s="1" t="str">
        <f>""</f>
        <v/>
      </c>
      <c r="F3105" s="1" t="s">
        <v>1860</v>
      </c>
      <c r="G3105" s="1" t="str">
        <f>CONCATENATE(" ZIRS UČILIŠTE,"," ULICA GRADA VUKOVARA 68,"," 10000 ZAGREB,"," OIB: 22228764473")</f>
        <v xml:space="preserve"> ZIRS UČILIŠTE, ULICA GRADA VUKOVARA 68, 10000 ZAGREB, OIB: 22228764473</v>
      </c>
      <c r="H3105" s="7"/>
      <c r="I3105" s="8" t="s">
        <v>1905</v>
      </c>
      <c r="J3105" s="8" t="s">
        <v>922</v>
      </c>
      <c r="K3105" s="6" t="str">
        <f>"950,00"</f>
        <v>950,00</v>
      </c>
      <c r="L3105" s="6" t="str">
        <f>"237,50"</f>
        <v>237,50</v>
      </c>
      <c r="M3105" s="6" t="str">
        <f>"1.187,50"</f>
        <v>1.187,50</v>
      </c>
      <c r="N3105" s="8" t="s">
        <v>656</v>
      </c>
      <c r="O3105" s="7"/>
      <c r="P3105" s="2" t="s">
        <v>7364</v>
      </c>
      <c r="Q3105" s="7"/>
      <c r="R3105" s="1"/>
      <c r="S3105" s="1" t="str">
        <f>"J-UN-2021-862"</f>
        <v>J-UN-2021-862</v>
      </c>
      <c r="T3105" s="1" t="s">
        <v>32</v>
      </c>
    </row>
    <row r="3106" spans="1:20" ht="51" x14ac:dyDescent="0.25">
      <c r="A3106" s="6">
        <v>3100</v>
      </c>
      <c r="B3106" s="1" t="str">
        <f>"2021-937"</f>
        <v>2021-937</v>
      </c>
      <c r="C3106" s="1" t="s">
        <v>2751</v>
      </c>
      <c r="D3106" s="1" t="s">
        <v>2752</v>
      </c>
      <c r="E3106" s="1" t="str">
        <f>""</f>
        <v/>
      </c>
      <c r="F3106" s="1" t="s">
        <v>1860</v>
      </c>
      <c r="G3106" s="1" t="str">
        <f>CONCATENATE(" TPZ D.O.O.,"," NOVOSELSKA 25,"," 10000 ZAGREB,"," OIB: 68119083236")</f>
        <v xml:space="preserve"> TPZ D.O.O., NOVOSELSKA 25, 10000 ZAGREB, OIB: 68119083236</v>
      </c>
      <c r="H3106" s="7"/>
      <c r="I3106" s="8" t="s">
        <v>1496</v>
      </c>
      <c r="J3106" s="8" t="s">
        <v>963</v>
      </c>
      <c r="K3106" s="6" t="str">
        <f>"6.009,15"</f>
        <v>6.009,15</v>
      </c>
      <c r="L3106" s="6" t="str">
        <f>"1.502,29"</f>
        <v>1.502,29</v>
      </c>
      <c r="M3106" s="6" t="str">
        <f>"7.511,44"</f>
        <v>7.511,44</v>
      </c>
      <c r="N3106" s="8" t="s">
        <v>1988</v>
      </c>
      <c r="O3106" s="7"/>
      <c r="P3106" s="2" t="s">
        <v>7365</v>
      </c>
      <c r="Q3106" s="7"/>
      <c r="R3106" s="1"/>
      <c r="S3106" s="1" t="str">
        <f>"J-UN-2021-864"</f>
        <v>J-UN-2021-864</v>
      </c>
      <c r="T3106" s="1" t="s">
        <v>32</v>
      </c>
    </row>
    <row r="3107" spans="1:20" ht="63.75" x14ac:dyDescent="0.25">
      <c r="A3107" s="6">
        <v>3101</v>
      </c>
      <c r="B3107" s="1" t="str">
        <f>"2021-906"</f>
        <v>2021-906</v>
      </c>
      <c r="C3107" s="1" t="s">
        <v>2782</v>
      </c>
      <c r="D3107" s="1" t="s">
        <v>815</v>
      </c>
      <c r="E3107" s="1" t="str">
        <f>""</f>
        <v/>
      </c>
      <c r="F3107" s="1" t="s">
        <v>1860</v>
      </c>
      <c r="G3107" s="1" t="str">
        <f>CONCATENATE(" LAUS INTERNATIONAL D.O.O.,"," DR. FRANJE TUĐMANA 16B,"," 10431 SVETA NEDELJA,"," OIB: 93039509752")</f>
        <v xml:space="preserve"> LAUS INTERNATIONAL D.O.O., DR. FRANJE TUĐMANA 16B, 10431 SVETA NEDELJA, OIB: 93039509752</v>
      </c>
      <c r="H3107" s="7"/>
      <c r="I3107" s="8" t="s">
        <v>1496</v>
      </c>
      <c r="J3107" s="8" t="s">
        <v>963</v>
      </c>
      <c r="K3107" s="6" t="str">
        <f>"1.248,73"</f>
        <v>1.248,73</v>
      </c>
      <c r="L3107" s="6" t="str">
        <f>"312,18"</f>
        <v>312,18</v>
      </c>
      <c r="M3107" s="6" t="str">
        <f>"1.560,91"</f>
        <v>1.560,91</v>
      </c>
      <c r="N3107" s="8" t="s">
        <v>2812</v>
      </c>
      <c r="O3107" s="7"/>
      <c r="P3107" s="2" t="s">
        <v>7366</v>
      </c>
      <c r="Q3107" s="7"/>
      <c r="R3107" s="1"/>
      <c r="S3107" s="1" t="str">
        <f>"J-UN-2021-868"</f>
        <v>J-UN-2021-868</v>
      </c>
      <c r="T3107" s="1" t="s">
        <v>32</v>
      </c>
    </row>
    <row r="3108" spans="1:20" ht="51" x14ac:dyDescent="0.25">
      <c r="A3108" s="6">
        <v>3102</v>
      </c>
      <c r="B3108" s="1" t="str">
        <f>"2021-1004"</f>
        <v>2021-1004</v>
      </c>
      <c r="C3108" s="1" t="s">
        <v>2715</v>
      </c>
      <c r="D3108" s="1" t="s">
        <v>2716</v>
      </c>
      <c r="E3108" s="1" t="str">
        <f>""</f>
        <v/>
      </c>
      <c r="F3108" s="1" t="s">
        <v>1860</v>
      </c>
      <c r="G3108" s="1" t="str">
        <f>CONCATENATE(" LAGER BAŠIĆ D.O.O.,"," TRGOVAČKA 3,"," 10255 DONJI STUPNIK,"," OIB: 49617677906")</f>
        <v xml:space="preserve"> LAGER BAŠIĆ D.O.O., TRGOVAČKA 3, 10255 DONJI STUPNIK, OIB: 49617677906</v>
      </c>
      <c r="H3108" s="7"/>
      <c r="I3108" s="8" t="s">
        <v>67</v>
      </c>
      <c r="J3108" s="8" t="s">
        <v>240</v>
      </c>
      <c r="K3108" s="6" t="str">
        <f>"1.883,00"</f>
        <v>1.883,00</v>
      </c>
      <c r="L3108" s="6" t="str">
        <f>"470,75"</f>
        <v>470,75</v>
      </c>
      <c r="M3108" s="6" t="str">
        <f>"2.353,75"</f>
        <v>2.353,75</v>
      </c>
      <c r="N3108" s="8" t="s">
        <v>533</v>
      </c>
      <c r="O3108" s="7"/>
      <c r="P3108" s="2" t="s">
        <v>7367</v>
      </c>
      <c r="Q3108" s="7"/>
      <c r="R3108" s="1"/>
      <c r="S3108" s="1" t="str">
        <f>"J-UN-2021-873"</f>
        <v>J-UN-2021-873</v>
      </c>
      <c r="T3108" s="1" t="s">
        <v>32</v>
      </c>
    </row>
    <row r="3109" spans="1:20" ht="51" x14ac:dyDescent="0.25">
      <c r="A3109" s="6">
        <v>3103</v>
      </c>
      <c r="B3109" s="1" t="str">
        <f>"2021-498"</f>
        <v>2021-498</v>
      </c>
      <c r="C3109" s="1" t="s">
        <v>2699</v>
      </c>
      <c r="D3109" s="1" t="s">
        <v>1888</v>
      </c>
      <c r="E3109" s="1" t="str">
        <f>""</f>
        <v/>
      </c>
      <c r="F3109" s="1" t="s">
        <v>1860</v>
      </c>
      <c r="G3109" s="1" t="str">
        <f>CONCATENATE(" HONGOLDONIA D.O.O.,"," RUJANSKA 4,"," 10000 ZAGREB,"," OIB: 7925585026")</f>
        <v xml:space="preserve"> HONGOLDONIA D.O.O., RUJANSKA 4, 10000 ZAGREB, OIB: 7925585026</v>
      </c>
      <c r="H3109" s="7"/>
      <c r="I3109" s="8" t="s">
        <v>67</v>
      </c>
      <c r="J3109" s="8" t="s">
        <v>240</v>
      </c>
      <c r="K3109" s="6" t="str">
        <f>"782,00"</f>
        <v>782,00</v>
      </c>
      <c r="L3109" s="6" t="str">
        <f>"195,50"</f>
        <v>195,50</v>
      </c>
      <c r="M3109" s="6" t="str">
        <f>"977,50"</f>
        <v>977,50</v>
      </c>
      <c r="N3109" s="8" t="s">
        <v>1861</v>
      </c>
      <c r="O3109" s="7"/>
      <c r="P3109" s="2" t="s">
        <v>7368</v>
      </c>
      <c r="Q3109" s="7"/>
      <c r="R3109" s="1"/>
      <c r="S3109" s="1" t="str">
        <f>"J-UN-2021-874"</f>
        <v>J-UN-2021-874</v>
      </c>
      <c r="T3109" s="1" t="s">
        <v>32</v>
      </c>
    </row>
    <row r="3110" spans="1:20" ht="51" x14ac:dyDescent="0.25">
      <c r="A3110" s="6">
        <v>3104</v>
      </c>
      <c r="B3110" s="1" t="str">
        <f>"2021-2182"</f>
        <v>2021-2182</v>
      </c>
      <c r="C3110" s="1" t="s">
        <v>2858</v>
      </c>
      <c r="D3110" s="1" t="s">
        <v>1863</v>
      </c>
      <c r="E3110" s="1" t="str">
        <f>""</f>
        <v/>
      </c>
      <c r="F3110" s="1" t="s">
        <v>1860</v>
      </c>
      <c r="G3110" s="1" t="str">
        <f>CONCATENATE(" DOMEL D.O.O.,"," AVENIJA DUBROVNIK 15,"," 10020 ZAGREB,"," OIB: 642488577")</f>
        <v xml:space="preserve"> DOMEL D.O.O., AVENIJA DUBROVNIK 15, 10020 ZAGREB, OIB: 642488577</v>
      </c>
      <c r="H3110" s="7"/>
      <c r="I3110" s="8" t="s">
        <v>1861</v>
      </c>
      <c r="J3110" s="8" t="s">
        <v>252</v>
      </c>
      <c r="K3110" s="6" t="str">
        <f>"119.210,00"</f>
        <v>119.210,00</v>
      </c>
      <c r="L3110" s="6" t="str">
        <f>"29.802,50"</f>
        <v>29.802,50</v>
      </c>
      <c r="M3110" s="6" t="str">
        <f>"149.012,50"</f>
        <v>149.012,50</v>
      </c>
      <c r="N3110" s="8" t="s">
        <v>179</v>
      </c>
      <c r="O3110" s="7"/>
      <c r="P3110" s="2" t="s">
        <v>7369</v>
      </c>
      <c r="Q3110" s="7"/>
      <c r="R3110" s="1"/>
      <c r="S3110" s="1" t="str">
        <f>"J-UN-2021-875"</f>
        <v>J-UN-2021-875</v>
      </c>
      <c r="T3110" s="1" t="s">
        <v>32</v>
      </c>
    </row>
    <row r="3111" spans="1:20" ht="51" x14ac:dyDescent="0.25">
      <c r="A3111" s="6">
        <v>3105</v>
      </c>
      <c r="B3111" s="1" t="str">
        <f>"2021-1019"</f>
        <v>2021-1019</v>
      </c>
      <c r="C3111" s="1" t="s">
        <v>2720</v>
      </c>
      <c r="D3111" s="1" t="s">
        <v>21</v>
      </c>
      <c r="E3111" s="1" t="str">
        <f>""</f>
        <v/>
      </c>
      <c r="F3111" s="1" t="s">
        <v>1860</v>
      </c>
      <c r="G3111" s="1" t="str">
        <f>CONCATENATE(" STAR IMPORT D.O.O.,"," KOVINSKA 5,"," 10090 ZAGREB-SUSEDGRAD,"," OIB: 783122799")</f>
        <v xml:space="preserve"> STAR IMPORT D.O.O., KOVINSKA 5, 10090 ZAGREB-SUSEDGRAD, OIB: 783122799</v>
      </c>
      <c r="H3111" s="7"/>
      <c r="I3111" s="8" t="s">
        <v>67</v>
      </c>
      <c r="J3111" s="8" t="s">
        <v>240</v>
      </c>
      <c r="K3111" s="6" t="str">
        <f>"37.684,87"</f>
        <v>37.684,87</v>
      </c>
      <c r="L3111" s="6" t="str">
        <f>"9.421,22"</f>
        <v>9.421,22</v>
      </c>
      <c r="M3111" s="6" t="str">
        <f>"47.106,09"</f>
        <v>47.106,09</v>
      </c>
      <c r="N3111" s="8" t="s">
        <v>124</v>
      </c>
      <c r="O3111" s="7"/>
      <c r="P3111" s="2" t="s">
        <v>5614</v>
      </c>
      <c r="Q3111" s="7"/>
      <c r="R3111" s="1"/>
      <c r="S3111" s="1" t="str">
        <f>"J-UN-2021-876"</f>
        <v>J-UN-2021-876</v>
      </c>
      <c r="T3111" s="1" t="s">
        <v>32</v>
      </c>
    </row>
    <row r="3112" spans="1:20" ht="63.75" x14ac:dyDescent="0.25">
      <c r="A3112" s="6">
        <v>3106</v>
      </c>
      <c r="B3112" s="1" t="str">
        <f>"2021-704"</f>
        <v>2021-704</v>
      </c>
      <c r="C3112" s="1" t="s">
        <v>2817</v>
      </c>
      <c r="D3112" s="1" t="s">
        <v>2818</v>
      </c>
      <c r="E3112" s="1" t="str">
        <f>""</f>
        <v/>
      </c>
      <c r="F3112" s="1" t="s">
        <v>1860</v>
      </c>
      <c r="G3112" s="1" t="str">
        <f>CONCATENATE(" AUTO-MAG D.O.O.,"," GORNJOSTUPNIČKA 1/d,"," 10255 GORNJI STUPNIK,"," OIB: 99940897955")</f>
        <v xml:space="preserve"> AUTO-MAG D.O.O., GORNJOSTUPNIČKA 1/d, 10255 GORNJI STUPNIK, OIB: 99940897955</v>
      </c>
      <c r="H3112" s="7"/>
      <c r="I3112" s="8" t="s">
        <v>1861</v>
      </c>
      <c r="J3112" s="8" t="s">
        <v>252</v>
      </c>
      <c r="K3112" s="6" t="str">
        <f>"1.520,00"</f>
        <v>1.520,00</v>
      </c>
      <c r="L3112" s="6" t="str">
        <f>"380,00"</f>
        <v>380,00</v>
      </c>
      <c r="M3112" s="6" t="str">
        <f>"1.900,00"</f>
        <v>1.900,00</v>
      </c>
      <c r="N3112" s="8" t="s">
        <v>540</v>
      </c>
      <c r="O3112" s="7"/>
      <c r="P3112" s="2" t="s">
        <v>7370</v>
      </c>
      <c r="Q3112" s="7"/>
      <c r="R3112" s="1"/>
      <c r="S3112" s="1" t="str">
        <f>"J-UN-2021-877"</f>
        <v>J-UN-2021-877</v>
      </c>
      <c r="T3112" s="1" t="s">
        <v>32</v>
      </c>
    </row>
    <row r="3113" spans="1:20" ht="63.75" x14ac:dyDescent="0.25">
      <c r="A3113" s="6">
        <v>3107</v>
      </c>
      <c r="B3113" s="1" t="str">
        <f>"2021-2174"</f>
        <v>2021-2174</v>
      </c>
      <c r="C3113" s="1" t="s">
        <v>2773</v>
      </c>
      <c r="D3113" s="1" t="s">
        <v>2774</v>
      </c>
      <c r="E3113" s="1" t="str">
        <f>""</f>
        <v/>
      </c>
      <c r="F3113" s="1" t="s">
        <v>1860</v>
      </c>
      <c r="G3113" s="1" t="str">
        <f>CONCATENATE(" SUMAMETRIK D.O.O.,"," ULICA ANTUNA KANIŽLIĆA 10,"," 34000 POŽEGA,"," OIB: 23559088148")</f>
        <v xml:space="preserve"> SUMAMETRIK D.O.O., ULICA ANTUNA KANIŽLIĆA 10, 34000 POŽEGA, OIB: 23559088148</v>
      </c>
      <c r="H3113" s="7"/>
      <c r="I3113" s="8" t="s">
        <v>221</v>
      </c>
      <c r="J3113" s="8" t="s">
        <v>427</v>
      </c>
      <c r="K3113" s="6" t="str">
        <f>"3.059,55"</f>
        <v>3.059,55</v>
      </c>
      <c r="L3113" s="6" t="str">
        <f>"764,89"</f>
        <v>764,89</v>
      </c>
      <c r="M3113" s="6" t="str">
        <f>"3.824,44"</f>
        <v>3.824,44</v>
      </c>
      <c r="N3113" s="8" t="s">
        <v>1171</v>
      </c>
      <c r="O3113" s="7"/>
      <c r="P3113" s="2" t="s">
        <v>7371</v>
      </c>
      <c r="Q3113" s="7"/>
      <c r="R3113" s="1"/>
      <c r="S3113" s="1" t="str">
        <f>"J-UN-2021-878"</f>
        <v>J-UN-2021-878</v>
      </c>
      <c r="T3113" s="1" t="s">
        <v>32</v>
      </c>
    </row>
    <row r="3114" spans="1:20" ht="63.75" x14ac:dyDescent="0.25">
      <c r="A3114" s="6">
        <v>3108</v>
      </c>
      <c r="B3114" s="1" t="str">
        <f>"2021-101"</f>
        <v>2021-101</v>
      </c>
      <c r="C3114" s="1" t="s">
        <v>2859</v>
      </c>
      <c r="D3114" s="1" t="s">
        <v>2860</v>
      </c>
      <c r="E3114" s="1" t="str">
        <f>""</f>
        <v/>
      </c>
      <c r="F3114" s="1" t="s">
        <v>1860</v>
      </c>
      <c r="G3114" s="1" t="str">
        <f>CONCATENATE(" NARODNE NOVINE D.D.,"," SAVSKI GAJ XIII. PUT br. 6,"," 10000 ZAGREB,"," OIB: 64546066176")</f>
        <v xml:space="preserve"> NARODNE NOVINE D.D., SAVSKI GAJ XIII. PUT br. 6, 10000 ZAGREB, OIB: 64546066176</v>
      </c>
      <c r="H3114" s="7"/>
      <c r="I3114" s="8" t="s">
        <v>221</v>
      </c>
      <c r="J3114" s="8" t="s">
        <v>427</v>
      </c>
      <c r="K3114" s="6" t="str">
        <f>"4.125,00"</f>
        <v>4.125,00</v>
      </c>
      <c r="L3114" s="6" t="str">
        <f>"1.031,25"</f>
        <v>1.031,25</v>
      </c>
      <c r="M3114" s="6" t="str">
        <f>"5.156,25"</f>
        <v>5.156,25</v>
      </c>
      <c r="N3114" s="8" t="s">
        <v>2861</v>
      </c>
      <c r="O3114" s="7"/>
      <c r="P3114" s="2" t="s">
        <v>7372</v>
      </c>
      <c r="Q3114" s="7"/>
      <c r="R3114" s="1"/>
      <c r="S3114" s="1" t="str">
        <f>"J-UN-2021-879"</f>
        <v>J-UN-2021-879</v>
      </c>
      <c r="T3114" s="1" t="s">
        <v>32</v>
      </c>
    </row>
    <row r="3115" spans="1:20" ht="51" x14ac:dyDescent="0.25">
      <c r="A3115" s="6">
        <v>3109</v>
      </c>
      <c r="B3115" s="1" t="str">
        <f>"2021-695"</f>
        <v>2021-695</v>
      </c>
      <c r="C3115" s="1" t="s">
        <v>2683</v>
      </c>
      <c r="D3115" s="1" t="s">
        <v>2684</v>
      </c>
      <c r="E3115" s="1" t="str">
        <f>""</f>
        <v/>
      </c>
      <c r="F3115" s="1" t="s">
        <v>1860</v>
      </c>
      <c r="G3115" s="1" t="str">
        <f>CONCATENATE(" INDUSTROOPREMA D.O.O.,"," RIMSKI PUT 11K,"," 10360 SESVETE,"," OIB: 01291306683")</f>
        <v xml:space="preserve"> INDUSTROOPREMA D.O.O., RIMSKI PUT 11K, 10360 SESVETE, OIB: 01291306683</v>
      </c>
      <c r="H3115" s="7"/>
      <c r="I3115" s="8" t="s">
        <v>221</v>
      </c>
      <c r="J3115" s="8" t="s">
        <v>427</v>
      </c>
      <c r="K3115" s="6" t="str">
        <f>"4.920,00"</f>
        <v>4.920,00</v>
      </c>
      <c r="L3115" s="6" t="str">
        <f>"1.230,00"</f>
        <v>1.230,00</v>
      </c>
      <c r="M3115" s="6" t="str">
        <f>"6.150,00"</f>
        <v>6.150,00</v>
      </c>
      <c r="N3115" s="8" t="s">
        <v>2852</v>
      </c>
      <c r="O3115" s="7"/>
      <c r="P3115" s="2" t="s">
        <v>7373</v>
      </c>
      <c r="Q3115" s="7"/>
      <c r="R3115" s="1"/>
      <c r="S3115" s="1" t="str">
        <f>"J-UN-2021-880"</f>
        <v>J-UN-2021-880</v>
      </c>
      <c r="T3115" s="1" t="s">
        <v>32</v>
      </c>
    </row>
    <row r="3116" spans="1:20" ht="76.5" x14ac:dyDescent="0.25">
      <c r="A3116" s="6">
        <v>3110</v>
      </c>
      <c r="B3116" s="1" t="str">
        <f>"2021-1206"</f>
        <v>2021-1206</v>
      </c>
      <c r="C3116" s="1" t="s">
        <v>2821</v>
      </c>
      <c r="D3116" s="1" t="s">
        <v>1627</v>
      </c>
      <c r="E3116" s="1" t="str">
        <f>""</f>
        <v/>
      </c>
      <c r="F3116" s="1" t="s">
        <v>1860</v>
      </c>
      <c r="G3116" s="1" t="str">
        <f>CONCATENATE(" ELICOM D.O.O.,"," ŠTEFANOVEC 138,"," 10000 ZAGREB,"," OIB: 76370234816")</f>
        <v xml:space="preserve"> ELICOM D.O.O., ŠTEFANOVEC 138, 10000 ZAGREB, OIB: 76370234816</v>
      </c>
      <c r="H3116" s="7"/>
      <c r="I3116" s="8" t="s">
        <v>67</v>
      </c>
      <c r="J3116" s="8" t="s">
        <v>240</v>
      </c>
      <c r="K3116" s="6" t="str">
        <f>"8.986,10"</f>
        <v>8.986,10</v>
      </c>
      <c r="L3116" s="6" t="str">
        <f>"2.246,53"</f>
        <v>2.246,53</v>
      </c>
      <c r="M3116" s="6" t="str">
        <f>"11.232,63"</f>
        <v>11.232,63</v>
      </c>
      <c r="N3116" s="8" t="s">
        <v>1861</v>
      </c>
      <c r="O3116" s="7"/>
      <c r="P3116" s="2" t="s">
        <v>7374</v>
      </c>
      <c r="Q3116" s="7"/>
      <c r="R3116" s="1"/>
      <c r="S3116" s="1" t="str">
        <f>"J-UN-2021-881"</f>
        <v>J-UN-2021-881</v>
      </c>
      <c r="T3116" s="1" t="s">
        <v>32</v>
      </c>
    </row>
    <row r="3117" spans="1:20" ht="63.75" x14ac:dyDescent="0.25">
      <c r="A3117" s="6">
        <v>3111</v>
      </c>
      <c r="B3117" s="1" t="str">
        <f>"2021-914"</f>
        <v>2021-914</v>
      </c>
      <c r="C3117" s="1" t="s">
        <v>2733</v>
      </c>
      <c r="D3117" s="1" t="s">
        <v>914</v>
      </c>
      <c r="E3117" s="1" t="str">
        <f>""</f>
        <v/>
      </c>
      <c r="F3117" s="1" t="s">
        <v>1860</v>
      </c>
      <c r="G3117" s="1" t="str">
        <f>CONCATENATE(" EMIL FREY AUTO CENTAR D.O.O.,"," KOVINSKA 5,"," 10000 ZAGREB,"," OIB: 01930677284")</f>
        <v xml:space="preserve"> EMIL FREY AUTO CENTAR D.O.O., KOVINSKA 5, 10000 ZAGREB, OIB: 01930677284</v>
      </c>
      <c r="H3117" s="7"/>
      <c r="I3117" s="8" t="s">
        <v>67</v>
      </c>
      <c r="J3117" s="8" t="s">
        <v>240</v>
      </c>
      <c r="K3117" s="6" t="str">
        <f>"5.456,83"</f>
        <v>5.456,83</v>
      </c>
      <c r="L3117" s="6" t="str">
        <f>"1.364,21"</f>
        <v>1.364,21</v>
      </c>
      <c r="M3117" s="6" t="str">
        <f>"6.821,04"</f>
        <v>6.821,04</v>
      </c>
      <c r="N3117" s="8" t="s">
        <v>223</v>
      </c>
      <c r="O3117" s="7"/>
      <c r="P3117" s="2" t="s">
        <v>7375</v>
      </c>
      <c r="Q3117" s="7"/>
      <c r="R3117" s="1"/>
      <c r="S3117" s="1" t="str">
        <f>"J-UN-2021-882"</f>
        <v>J-UN-2021-882</v>
      </c>
      <c r="T3117" s="1" t="s">
        <v>32</v>
      </c>
    </row>
    <row r="3118" spans="1:20" ht="63.75" x14ac:dyDescent="0.25">
      <c r="A3118" s="6">
        <v>3112</v>
      </c>
      <c r="B3118" s="1" t="str">
        <f>"2021-194"</f>
        <v>2021-194</v>
      </c>
      <c r="C3118" s="1" t="s">
        <v>2862</v>
      </c>
      <c r="D3118" s="1" t="s">
        <v>689</v>
      </c>
      <c r="E3118" s="1" t="str">
        <f>""</f>
        <v/>
      </c>
      <c r="F3118" s="1" t="s">
        <v>1860</v>
      </c>
      <c r="G3118" s="1" t="str">
        <f>CONCATENATE(" KEMOBOJA-DUBRAVA D.O.O.,"," AVENIJA DUBRAVA 37,"," 10000 ZAGREB,"," OIB: 6402157427")</f>
        <v xml:space="preserve"> KEMOBOJA-DUBRAVA D.O.O., AVENIJA DUBRAVA 37, 10000 ZAGREB, OIB: 6402157427</v>
      </c>
      <c r="H3118" s="7"/>
      <c r="I3118" s="8" t="s">
        <v>48</v>
      </c>
      <c r="J3118" s="8" t="s">
        <v>507</v>
      </c>
      <c r="K3118" s="6" t="str">
        <f>"2.116,10"</f>
        <v>2.116,10</v>
      </c>
      <c r="L3118" s="6" t="str">
        <f>"529,03"</f>
        <v>529,03</v>
      </c>
      <c r="M3118" s="6" t="str">
        <f>"2.645,13"</f>
        <v>2.645,13</v>
      </c>
      <c r="N3118" s="8" t="s">
        <v>2696</v>
      </c>
      <c r="O3118" s="7"/>
      <c r="P3118" s="2" t="s">
        <v>7376</v>
      </c>
      <c r="Q3118" s="7"/>
      <c r="R3118" s="1"/>
      <c r="S3118" s="1" t="str">
        <f>"J-UN-2021-883"</f>
        <v>J-UN-2021-883</v>
      </c>
      <c r="T3118" s="1" t="s">
        <v>32</v>
      </c>
    </row>
    <row r="3119" spans="1:20" ht="63.75" x14ac:dyDescent="0.25">
      <c r="A3119" s="6">
        <v>3113</v>
      </c>
      <c r="B3119" s="1" t="str">
        <f>"2021-1095"</f>
        <v>2021-1095</v>
      </c>
      <c r="C3119" s="1" t="s">
        <v>2863</v>
      </c>
      <c r="D3119" s="1" t="s">
        <v>1209</v>
      </c>
      <c r="E3119" s="1" t="str">
        <f>""</f>
        <v/>
      </c>
      <c r="F3119" s="1" t="s">
        <v>1860</v>
      </c>
      <c r="G3119" s="1" t="str">
        <f>CONCATENATE(" DRÄGER SAFETY D.O.O.,"," AVENIJA VEĆESLAVA HOLJEVCA 40,"," 10010 ZAGREB,"," OIB: 32874587842")</f>
        <v xml:space="preserve"> DRÄGER SAFETY D.O.O., AVENIJA VEĆESLAVA HOLJEVCA 40, 10010 ZAGREB, OIB: 32874587842</v>
      </c>
      <c r="H3119" s="7"/>
      <c r="I3119" s="8" t="s">
        <v>67</v>
      </c>
      <c r="J3119" s="8" t="s">
        <v>240</v>
      </c>
      <c r="K3119" s="6" t="str">
        <f>"1.932,20"</f>
        <v>1.932,20</v>
      </c>
      <c r="L3119" s="6" t="str">
        <f>"483,05"</f>
        <v>483,05</v>
      </c>
      <c r="M3119" s="6" t="str">
        <f>"2.415,25"</f>
        <v>2.415,25</v>
      </c>
      <c r="N3119" s="8" t="s">
        <v>77</v>
      </c>
      <c r="O3119" s="7"/>
      <c r="P3119" s="2" t="s">
        <v>7377</v>
      </c>
      <c r="Q3119" s="7"/>
      <c r="R3119" s="1"/>
      <c r="S3119" s="1" t="str">
        <f>"J-UN-2021-884"</f>
        <v>J-UN-2021-884</v>
      </c>
      <c r="T3119" s="1" t="s">
        <v>32</v>
      </c>
    </row>
    <row r="3120" spans="1:20" ht="51" x14ac:dyDescent="0.25">
      <c r="A3120" s="6">
        <v>3114</v>
      </c>
      <c r="B3120" s="1" t="str">
        <f>"2021-1015"</f>
        <v>2021-1015</v>
      </c>
      <c r="C3120" s="1" t="s">
        <v>2492</v>
      </c>
      <c r="D3120" s="1" t="s">
        <v>2493</v>
      </c>
      <c r="E3120" s="1" t="str">
        <f>""</f>
        <v/>
      </c>
      <c r="F3120" s="1" t="s">
        <v>1860</v>
      </c>
      <c r="G3120" s="1" t="str">
        <f>CONCATENATE(" GRADATIN D.O.O.,"," LIVADARSKI PUT 19,"," 10360 SESVETE,"," OIB: 79147056526")</f>
        <v xml:space="preserve"> GRADATIN D.O.O., LIVADARSKI PUT 19, 10360 SESVETE, OIB: 79147056526</v>
      </c>
      <c r="H3120" s="7"/>
      <c r="I3120" s="8" t="s">
        <v>48</v>
      </c>
      <c r="J3120" s="8" t="s">
        <v>507</v>
      </c>
      <c r="K3120" s="6" t="str">
        <f>"4.604,00"</f>
        <v>4.604,00</v>
      </c>
      <c r="L3120" s="6" t="str">
        <f>"1.151,00"</f>
        <v>1.151,00</v>
      </c>
      <c r="M3120" s="6" t="str">
        <f>"5.755,00"</f>
        <v>5.755,00</v>
      </c>
      <c r="N3120" s="8" t="s">
        <v>533</v>
      </c>
      <c r="O3120" s="7"/>
      <c r="P3120" s="2" t="s">
        <v>7378</v>
      </c>
      <c r="Q3120" s="7"/>
      <c r="R3120" s="1"/>
      <c r="S3120" s="1" t="str">
        <f>"J-UN-2021-885"</f>
        <v>J-UN-2021-885</v>
      </c>
      <c r="T3120" s="1" t="s">
        <v>32</v>
      </c>
    </row>
    <row r="3121" spans="1:20" ht="51" x14ac:dyDescent="0.25">
      <c r="A3121" s="6">
        <v>3115</v>
      </c>
      <c r="B3121" s="1" t="str">
        <f>"2021-357"</f>
        <v>2021-357</v>
      </c>
      <c r="C3121" s="1" t="s">
        <v>2864</v>
      </c>
      <c r="D3121" s="1" t="s">
        <v>2659</v>
      </c>
      <c r="E3121" s="1" t="str">
        <f>""</f>
        <v/>
      </c>
      <c r="F3121" s="1" t="s">
        <v>1860</v>
      </c>
      <c r="G3121" s="1" t="str">
        <f>CONCATENATE(" SCHEDA D.O.O.,"," LJUDEVITA POSAVSKOG 29,"," 10360 SESVETE,"," OIB: 76219817247")</f>
        <v xml:space="preserve"> SCHEDA D.O.O., LJUDEVITA POSAVSKOG 29, 10360 SESVETE, OIB: 76219817247</v>
      </c>
      <c r="H3121" s="7"/>
      <c r="I3121" s="8" t="s">
        <v>1861</v>
      </c>
      <c r="J3121" s="8" t="s">
        <v>252</v>
      </c>
      <c r="K3121" s="6" t="str">
        <f>"52.360,00"</f>
        <v>52.360,00</v>
      </c>
      <c r="L3121" s="6" t="str">
        <f>"13.090,00"</f>
        <v>13.090,00</v>
      </c>
      <c r="M3121" s="6" t="str">
        <f>"65.450,00"</f>
        <v>65.450,00</v>
      </c>
      <c r="N3121" s="8" t="s">
        <v>1891</v>
      </c>
      <c r="O3121" s="7"/>
      <c r="P3121" s="2" t="s">
        <v>7379</v>
      </c>
      <c r="Q3121" s="7"/>
      <c r="R3121" s="1"/>
      <c r="S3121" s="1" t="str">
        <f>"J-UN-2021-886"</f>
        <v>J-UN-2021-886</v>
      </c>
      <c r="T3121" s="1" t="s">
        <v>32</v>
      </c>
    </row>
    <row r="3122" spans="1:20" ht="63.75" x14ac:dyDescent="0.25">
      <c r="A3122" s="6">
        <v>3116</v>
      </c>
      <c r="B3122" s="1" t="str">
        <f>"2021-915"</f>
        <v>2021-915</v>
      </c>
      <c r="C3122" s="1" t="s">
        <v>2563</v>
      </c>
      <c r="D3122" s="1" t="s">
        <v>914</v>
      </c>
      <c r="E3122" s="1" t="str">
        <f>""</f>
        <v/>
      </c>
      <c r="F3122" s="1" t="s">
        <v>1860</v>
      </c>
      <c r="G3122" s="1" t="str">
        <f>CONCATENATE(" AUTO-MAG D.O.O.,"," GORNJOSTUPNIČKA 1/d,"," 10255 GORNJI STUPNIK,"," OIB: 99940897955")</f>
        <v xml:space="preserve"> AUTO-MAG D.O.O., GORNJOSTUPNIČKA 1/d, 10255 GORNJI STUPNIK, OIB: 99940897955</v>
      </c>
      <c r="H3122" s="7"/>
      <c r="I3122" s="8" t="s">
        <v>1861</v>
      </c>
      <c r="J3122" s="8" t="s">
        <v>252</v>
      </c>
      <c r="K3122" s="6" t="str">
        <f>"3.585,00"</f>
        <v>3.585,00</v>
      </c>
      <c r="L3122" s="6" t="str">
        <f>"896,25"</f>
        <v>896,25</v>
      </c>
      <c r="M3122" s="6" t="str">
        <f>"4.481,25"</f>
        <v>4.481,25</v>
      </c>
      <c r="N3122" s="8" t="s">
        <v>540</v>
      </c>
      <c r="O3122" s="7"/>
      <c r="P3122" s="2" t="s">
        <v>7380</v>
      </c>
      <c r="Q3122" s="7"/>
      <c r="R3122" s="1"/>
      <c r="S3122" s="1" t="str">
        <f>"J-UN-2021-887"</f>
        <v>J-UN-2021-887</v>
      </c>
      <c r="T3122" s="1" t="s">
        <v>32</v>
      </c>
    </row>
    <row r="3123" spans="1:20" ht="63.75" x14ac:dyDescent="0.25">
      <c r="A3123" s="6">
        <v>3117</v>
      </c>
      <c r="B3123" s="1" t="str">
        <f>"2021-206"</f>
        <v>2021-206</v>
      </c>
      <c r="C3123" s="1" t="s">
        <v>2822</v>
      </c>
      <c r="D3123" s="1" t="s">
        <v>2823</v>
      </c>
      <c r="E3123" s="1" t="str">
        <f>""</f>
        <v/>
      </c>
      <c r="F3123" s="1" t="s">
        <v>1860</v>
      </c>
      <c r="G3123" s="1" t="str">
        <f>CONCATENATE(" KEMOBOJA-DUBRAVA D.O.O.,"," AVENIJA DUBRAVA 37,"," 10000 ZAGREB,"," OIB: 6402157427")</f>
        <v xml:space="preserve"> KEMOBOJA-DUBRAVA D.O.O., AVENIJA DUBRAVA 37, 10000 ZAGREB, OIB: 6402157427</v>
      </c>
      <c r="H3123" s="7"/>
      <c r="I3123" s="8" t="s">
        <v>1861</v>
      </c>
      <c r="J3123" s="8" t="s">
        <v>252</v>
      </c>
      <c r="K3123" s="6" t="str">
        <f>"1.950,00"</f>
        <v>1.950,00</v>
      </c>
      <c r="L3123" s="6" t="str">
        <f>"487,50"</f>
        <v>487,50</v>
      </c>
      <c r="M3123" s="6" t="str">
        <f>"2.437,50"</f>
        <v>2.437,50</v>
      </c>
      <c r="N3123" s="8" t="s">
        <v>1171</v>
      </c>
      <c r="O3123" s="7"/>
      <c r="P3123" s="2" t="s">
        <v>7303</v>
      </c>
      <c r="Q3123" s="7"/>
      <c r="R3123" s="1"/>
      <c r="S3123" s="1" t="str">
        <f>"J-UN-2021-892"</f>
        <v>J-UN-2021-892</v>
      </c>
      <c r="T3123" s="1" t="s">
        <v>32</v>
      </c>
    </row>
    <row r="3124" spans="1:20" ht="63.75" x14ac:dyDescent="0.25">
      <c r="A3124" s="6">
        <v>3118</v>
      </c>
      <c r="B3124" s="1" t="str">
        <f>"2021-180"</f>
        <v>2021-180</v>
      </c>
      <c r="C3124" s="1" t="s">
        <v>2737</v>
      </c>
      <c r="D3124" s="1" t="s">
        <v>689</v>
      </c>
      <c r="E3124" s="1" t="str">
        <f>""</f>
        <v/>
      </c>
      <c r="F3124" s="1" t="s">
        <v>1860</v>
      </c>
      <c r="G3124" s="1" t="str">
        <f>CONCATENATE(" KEMOBOJA-DUBRAVA D.O.O.,"," AVENIJA DUBRAVA 37,"," 10000 ZAGREB,"," OIB: 6402157427")</f>
        <v xml:space="preserve"> KEMOBOJA-DUBRAVA D.O.O., AVENIJA DUBRAVA 37, 10000 ZAGREB, OIB: 6402157427</v>
      </c>
      <c r="H3124" s="7"/>
      <c r="I3124" s="8" t="s">
        <v>1861</v>
      </c>
      <c r="J3124" s="8" t="s">
        <v>252</v>
      </c>
      <c r="K3124" s="6" t="str">
        <f>"580,00"</f>
        <v>580,00</v>
      </c>
      <c r="L3124" s="6" t="str">
        <f>"145,00"</f>
        <v>145,00</v>
      </c>
      <c r="M3124" s="6" t="str">
        <f>"725,00"</f>
        <v>725,00</v>
      </c>
      <c r="N3124" s="8" t="s">
        <v>1171</v>
      </c>
      <c r="O3124" s="7"/>
      <c r="P3124" s="2" t="s">
        <v>7381</v>
      </c>
      <c r="Q3124" s="7"/>
      <c r="R3124" s="1"/>
      <c r="S3124" s="1" t="str">
        <f>"J-UN-2021-893"</f>
        <v>J-UN-2021-893</v>
      </c>
      <c r="T3124" s="1" t="s">
        <v>32</v>
      </c>
    </row>
    <row r="3125" spans="1:20" ht="51" x14ac:dyDescent="0.25">
      <c r="A3125" s="6">
        <v>3119</v>
      </c>
      <c r="B3125" s="1" t="str">
        <f>"2021-1281"</f>
        <v>2021-1281</v>
      </c>
      <c r="C3125" s="1" t="s">
        <v>2412</v>
      </c>
      <c r="D3125" s="1" t="s">
        <v>2413</v>
      </c>
      <c r="E3125" s="1" t="str">
        <f>""</f>
        <v/>
      </c>
      <c r="F3125" s="1" t="s">
        <v>1860</v>
      </c>
      <c r="G3125" s="1" t="str">
        <f>CONCATENATE(" ELEKTRONIČKI RAČUNI D.O.O.,"," ILICA 412A,"," 10000 ZAGREB,"," OIB: 42889250808")</f>
        <v xml:space="preserve"> ELEKTRONIČKI RAČUNI D.O.O., ILICA 412A, 10000 ZAGREB, OIB: 42889250808</v>
      </c>
      <c r="H3125" s="7"/>
      <c r="I3125" s="8" t="s">
        <v>47</v>
      </c>
      <c r="J3125" s="8" t="s">
        <v>203</v>
      </c>
      <c r="K3125" s="6" t="str">
        <f>"11.000,00"</f>
        <v>11.000,00</v>
      </c>
      <c r="L3125" s="6" t="str">
        <f>"2.750,00"</f>
        <v>2.750,00</v>
      </c>
      <c r="M3125" s="6" t="str">
        <f>"13.750,00"</f>
        <v>13.750,00</v>
      </c>
      <c r="N3125" s="8" t="s">
        <v>278</v>
      </c>
      <c r="O3125" s="7"/>
      <c r="P3125" s="2" t="s">
        <v>7382</v>
      </c>
      <c r="Q3125" s="7"/>
      <c r="R3125" s="1"/>
      <c r="S3125" s="1" t="str">
        <f>"J-UN-2021-894"</f>
        <v>J-UN-2021-894</v>
      </c>
      <c r="T3125" s="1" t="s">
        <v>32</v>
      </c>
    </row>
    <row r="3126" spans="1:20" ht="51" x14ac:dyDescent="0.25">
      <c r="A3126" s="6">
        <v>3120</v>
      </c>
      <c r="B3126" s="1" t="str">
        <f>"2021-1011"</f>
        <v>2021-1011</v>
      </c>
      <c r="C3126" s="1" t="s">
        <v>2675</v>
      </c>
      <c r="D3126" s="1" t="s">
        <v>2676</v>
      </c>
      <c r="E3126" s="1" t="str">
        <f>""</f>
        <v/>
      </c>
      <c r="F3126" s="1" t="s">
        <v>1860</v>
      </c>
      <c r="G3126" s="1" t="str">
        <f>CONCATENATE(" AUTOBUS D.O.O.,"," I. RESNIK 178,"," 10040 ZAGREB,"," OIB: 77383886713")</f>
        <v xml:space="preserve"> AUTOBUS D.O.O., I. RESNIK 178, 10040 ZAGREB, OIB: 77383886713</v>
      </c>
      <c r="H3126" s="7"/>
      <c r="I3126" s="8" t="s">
        <v>67</v>
      </c>
      <c r="J3126" s="8" t="s">
        <v>240</v>
      </c>
      <c r="K3126" s="6" t="str">
        <f>"6.554,99"</f>
        <v>6.554,99</v>
      </c>
      <c r="L3126" s="6" t="str">
        <f>"1.638,75"</f>
        <v>1.638,75</v>
      </c>
      <c r="M3126" s="6" t="str">
        <f>"8.193,74"</f>
        <v>8.193,74</v>
      </c>
      <c r="N3126" s="8" t="s">
        <v>124</v>
      </c>
      <c r="O3126" s="7"/>
      <c r="P3126" s="2" t="s">
        <v>5614</v>
      </c>
      <c r="Q3126" s="7"/>
      <c r="R3126" s="1"/>
      <c r="S3126" s="1" t="str">
        <f>"J-UN-2021-895"</f>
        <v>J-UN-2021-895</v>
      </c>
      <c r="T3126" s="1" t="s">
        <v>32</v>
      </c>
    </row>
    <row r="3127" spans="1:20" ht="38.25" x14ac:dyDescent="0.25">
      <c r="A3127" s="6">
        <v>3121</v>
      </c>
      <c r="B3127" s="1" t="str">
        <f>"2021-1180"</f>
        <v>2021-1180</v>
      </c>
      <c r="C3127" s="1" t="s">
        <v>2857</v>
      </c>
      <c r="D3127" s="1" t="s">
        <v>1373</v>
      </c>
      <c r="E3127" s="1" t="str">
        <f>""</f>
        <v/>
      </c>
      <c r="F3127" s="1" t="s">
        <v>1860</v>
      </c>
      <c r="G3127" s="1" t="str">
        <f>CONCATENATE(" MAGIS TRITON D.O.O.,"," TRVIŽ 25,"," 52000 PAZIN,"," OIB: 52949364664")</f>
        <v xml:space="preserve"> MAGIS TRITON D.O.O., TRVIŽ 25, 52000 PAZIN, OIB: 52949364664</v>
      </c>
      <c r="H3127" s="7"/>
      <c r="I3127" s="8" t="s">
        <v>2812</v>
      </c>
      <c r="J3127" s="8" t="s">
        <v>1155</v>
      </c>
      <c r="K3127" s="6" t="str">
        <f>"9.533,16"</f>
        <v>9.533,16</v>
      </c>
      <c r="L3127" s="6" t="str">
        <f>"2.383,29"</f>
        <v>2.383,29</v>
      </c>
      <c r="M3127" s="6" t="str">
        <f>"11.916,45"</f>
        <v>11.916,45</v>
      </c>
      <c r="N3127" s="8" t="s">
        <v>2852</v>
      </c>
      <c r="O3127" s="7"/>
      <c r="P3127" s="2" t="s">
        <v>7383</v>
      </c>
      <c r="Q3127" s="7"/>
      <c r="R3127" s="1"/>
      <c r="S3127" s="1" t="str">
        <f>"J-UN-2021-896"</f>
        <v>J-UN-2021-896</v>
      </c>
      <c r="T3127" s="1" t="s">
        <v>32</v>
      </c>
    </row>
    <row r="3128" spans="1:20" ht="51" x14ac:dyDescent="0.25">
      <c r="A3128" s="6">
        <v>3122</v>
      </c>
      <c r="B3128" s="1" t="str">
        <f>"2021-305"</f>
        <v>2021-305</v>
      </c>
      <c r="C3128" s="1" t="s">
        <v>2831</v>
      </c>
      <c r="D3128" s="1" t="s">
        <v>2832</v>
      </c>
      <c r="E3128" s="1" t="str">
        <f>""</f>
        <v/>
      </c>
      <c r="F3128" s="1" t="s">
        <v>1860</v>
      </c>
      <c r="G3128" s="1" t="str">
        <f>CONCATENATE(" VATRO-PROMET D.O.O.,"," JEŽDOVEČKA 87,"," 10000 ZAGREB,"," OIB: 57189591567")</f>
        <v xml:space="preserve"> VATRO-PROMET D.O.O., JEŽDOVEČKA 87, 10000 ZAGREB, OIB: 57189591567</v>
      </c>
      <c r="H3128" s="7"/>
      <c r="I3128" s="8" t="s">
        <v>223</v>
      </c>
      <c r="J3128" s="8" t="s">
        <v>524</v>
      </c>
      <c r="K3128" s="6" t="str">
        <f>"8.360,00"</f>
        <v>8.360,00</v>
      </c>
      <c r="L3128" s="6" t="str">
        <f>"2.090,00"</f>
        <v>2.090,00</v>
      </c>
      <c r="M3128" s="6" t="str">
        <f>"10.450,00"</f>
        <v>10.450,00</v>
      </c>
      <c r="N3128" s="8" t="s">
        <v>2852</v>
      </c>
      <c r="O3128" s="7"/>
      <c r="P3128" s="2" t="s">
        <v>7384</v>
      </c>
      <c r="Q3128" s="7"/>
      <c r="R3128" s="1"/>
      <c r="S3128" s="1" t="str">
        <f>"J-UN-2021-897"</f>
        <v>J-UN-2021-897</v>
      </c>
      <c r="T3128" s="1" t="s">
        <v>32</v>
      </c>
    </row>
    <row r="3129" spans="1:20" ht="51" x14ac:dyDescent="0.25">
      <c r="A3129" s="6">
        <v>3123</v>
      </c>
      <c r="B3129" s="1" t="str">
        <f>"2021-122"</f>
        <v>2021-122</v>
      </c>
      <c r="C3129" s="1" t="s">
        <v>2865</v>
      </c>
      <c r="D3129" s="1" t="s">
        <v>766</v>
      </c>
      <c r="E3129" s="1" t="str">
        <f>""</f>
        <v/>
      </c>
      <c r="F3129" s="1" t="s">
        <v>1860</v>
      </c>
      <c r="G3129" s="1" t="str">
        <f>CONCATENATE(" COMET D.O.O.,"," VARAŽDINSKA 40/C,"," 42220 NOVI MAROF,"," OIB: 48249084626")</f>
        <v xml:space="preserve"> COMET D.O.O., VARAŽDINSKA 40/C, 42220 NOVI MAROF, OIB: 48249084626</v>
      </c>
      <c r="H3129" s="7"/>
      <c r="I3129" s="8" t="s">
        <v>221</v>
      </c>
      <c r="J3129" s="8" t="s">
        <v>427</v>
      </c>
      <c r="K3129" s="6" t="str">
        <f>"3.094,00"</f>
        <v>3.094,00</v>
      </c>
      <c r="L3129" s="6" t="str">
        <f>"773,50"</f>
        <v>773,50</v>
      </c>
      <c r="M3129" s="6" t="str">
        <f>"3.867,50"</f>
        <v>3.867,50</v>
      </c>
      <c r="N3129" s="8" t="s">
        <v>1929</v>
      </c>
      <c r="O3129" s="7"/>
      <c r="P3129" s="2" t="s">
        <v>7385</v>
      </c>
      <c r="Q3129" s="7"/>
      <c r="R3129" s="1"/>
      <c r="S3129" s="1" t="str">
        <f>"J-UN-2021-898"</f>
        <v>J-UN-2021-898</v>
      </c>
      <c r="T3129" s="1" t="s">
        <v>32</v>
      </c>
    </row>
    <row r="3130" spans="1:20" ht="51" x14ac:dyDescent="0.25">
      <c r="A3130" s="6">
        <v>3124</v>
      </c>
      <c r="B3130" s="1" t="str">
        <f>"2021-93"</f>
        <v>2021-93</v>
      </c>
      <c r="C3130" s="1" t="s">
        <v>2651</v>
      </c>
      <c r="D3130" s="1" t="s">
        <v>2652</v>
      </c>
      <c r="E3130" s="1" t="str">
        <f>""</f>
        <v/>
      </c>
      <c r="F3130" s="1" t="s">
        <v>1860</v>
      </c>
      <c r="G3130" s="1" t="str">
        <f>CONCATENATE(" BILAĆ COLOR D.O.O.,"," VODIĆKA 24,"," 10000 ZAGREB,"," OIB: 54294753")</f>
        <v xml:space="preserve"> BILAĆ COLOR D.O.O., VODIĆKA 24, 10000 ZAGREB, OIB: 54294753</v>
      </c>
      <c r="H3130" s="7"/>
      <c r="I3130" s="8" t="s">
        <v>533</v>
      </c>
      <c r="J3130" s="8" t="s">
        <v>263</v>
      </c>
      <c r="K3130" s="6" t="str">
        <f>"21.875,00"</f>
        <v>21.875,00</v>
      </c>
      <c r="L3130" s="6" t="str">
        <f>"5.468,75"</f>
        <v>5.468,75</v>
      </c>
      <c r="M3130" s="6" t="str">
        <f>"27.343,75"</f>
        <v>27.343,75</v>
      </c>
      <c r="N3130" s="8" t="s">
        <v>539</v>
      </c>
      <c r="O3130" s="7"/>
      <c r="P3130" s="2" t="s">
        <v>7386</v>
      </c>
      <c r="Q3130" s="7"/>
      <c r="R3130" s="1"/>
      <c r="S3130" s="1" t="str">
        <f>"J-UN-2021-899"</f>
        <v>J-UN-2021-899</v>
      </c>
      <c r="T3130" s="1" t="s">
        <v>32</v>
      </c>
    </row>
    <row r="3131" spans="1:20" ht="51" x14ac:dyDescent="0.25">
      <c r="A3131" s="6">
        <v>3125</v>
      </c>
      <c r="B3131" s="1" t="str">
        <f>"2021-695"</f>
        <v>2021-695</v>
      </c>
      <c r="C3131" s="1" t="s">
        <v>2683</v>
      </c>
      <c r="D3131" s="1" t="s">
        <v>2684</v>
      </c>
      <c r="E3131" s="1" t="str">
        <f>""</f>
        <v/>
      </c>
      <c r="F3131" s="1" t="s">
        <v>1860</v>
      </c>
      <c r="G3131" s="1" t="str">
        <f>CONCATENATE(" COMET D.O.O.,"," VARAŽDINSKA 40/C,"," 42220 NOVI MAROF,"," OIB: 48249084626")</f>
        <v xml:space="preserve"> COMET D.O.O., VARAŽDINSKA 40/C, 42220 NOVI MAROF, OIB: 48249084626</v>
      </c>
      <c r="H3131" s="7"/>
      <c r="I3131" s="8" t="s">
        <v>2792</v>
      </c>
      <c r="J3131" s="8" t="s">
        <v>1550</v>
      </c>
      <c r="K3131" s="6" t="str">
        <f>"844,00"</f>
        <v>844,00</v>
      </c>
      <c r="L3131" s="6" t="str">
        <f>"211,00"</f>
        <v>211,00</v>
      </c>
      <c r="M3131" s="6" t="str">
        <f>"1.055,00"</f>
        <v>1.055,00</v>
      </c>
      <c r="N3131" s="8" t="s">
        <v>2696</v>
      </c>
      <c r="O3131" s="7"/>
      <c r="P3131" s="2" t="s">
        <v>7387</v>
      </c>
      <c r="Q3131" s="7"/>
      <c r="R3131" s="1"/>
      <c r="S3131" s="1" t="str">
        <f>"J-UN-2021-901"</f>
        <v>J-UN-2021-901</v>
      </c>
      <c r="T3131" s="1" t="s">
        <v>32</v>
      </c>
    </row>
    <row r="3132" spans="1:20" ht="63.75" x14ac:dyDescent="0.25">
      <c r="A3132" s="6">
        <v>3126</v>
      </c>
      <c r="B3132" s="1" t="str">
        <f>"2021-1168"</f>
        <v>2021-1168</v>
      </c>
      <c r="C3132" s="1" t="s">
        <v>2784</v>
      </c>
      <c r="D3132" s="1" t="s">
        <v>2785</v>
      </c>
      <c r="E3132" s="1" t="str">
        <f>""</f>
        <v/>
      </c>
      <c r="F3132" s="1" t="s">
        <v>1860</v>
      </c>
      <c r="G3132" s="1" t="str">
        <f>CONCATENATE(" KAESER KOMPRESSOREN D.O.O.,"," RIMSKI PUT 11/D,"," 10360 SESVETE,"," OIB: 42572807012")</f>
        <v xml:space="preserve"> KAESER KOMPRESSOREN D.O.O., RIMSKI PUT 11/D, 10360 SESVETE, OIB: 42572807012</v>
      </c>
      <c r="H3132" s="7"/>
      <c r="I3132" s="8" t="s">
        <v>1905</v>
      </c>
      <c r="J3132" s="8" t="s">
        <v>922</v>
      </c>
      <c r="K3132" s="6" t="str">
        <f>"1.930,00"</f>
        <v>1.930,00</v>
      </c>
      <c r="L3132" s="6" t="str">
        <f>"482,50"</f>
        <v>482,50</v>
      </c>
      <c r="M3132" s="6" t="str">
        <f>"2.412,50"</f>
        <v>2.412,50</v>
      </c>
      <c r="N3132" s="8" t="s">
        <v>1476</v>
      </c>
      <c r="O3132" s="7"/>
      <c r="P3132" s="2" t="s">
        <v>7388</v>
      </c>
      <c r="Q3132" s="7"/>
      <c r="R3132" s="1"/>
      <c r="S3132" s="1" t="str">
        <f>"J-UN-2021-902"</f>
        <v>J-UN-2021-902</v>
      </c>
      <c r="T3132" s="1" t="s">
        <v>32</v>
      </c>
    </row>
    <row r="3133" spans="1:20" ht="63.75" x14ac:dyDescent="0.25">
      <c r="A3133" s="6">
        <v>3127</v>
      </c>
      <c r="B3133" s="1" t="str">
        <f>"2021-139"</f>
        <v>2021-139</v>
      </c>
      <c r="C3133" s="1" t="s">
        <v>2866</v>
      </c>
      <c r="D3133" s="1" t="s">
        <v>2867</v>
      </c>
      <c r="E3133" s="1" t="str">
        <f>""</f>
        <v/>
      </c>
      <c r="F3133" s="1" t="s">
        <v>1860</v>
      </c>
      <c r="G3133" s="1" t="str">
        <f>CONCATENATE(" POLJOOPSKRBA-TEHNO D.D.,"," SAMOBORSKA 96,"," 10000 ZAGREB,"," OIB: 5372167324")</f>
        <v xml:space="preserve"> POLJOOPSKRBA-TEHNO D.D., SAMOBORSKA 96, 10000 ZAGREB, OIB: 5372167324</v>
      </c>
      <c r="H3133" s="7"/>
      <c r="I3133" s="8" t="s">
        <v>221</v>
      </c>
      <c r="J3133" s="8" t="s">
        <v>427</v>
      </c>
      <c r="K3133" s="6" t="str">
        <f>"14.820,00"</f>
        <v>14.820,00</v>
      </c>
      <c r="L3133" s="6" t="str">
        <f>"3.705,00"</f>
        <v>3.705,00</v>
      </c>
      <c r="M3133" s="6" t="str">
        <f>"18.525,00"</f>
        <v>18.525,00</v>
      </c>
      <c r="N3133" s="8" t="s">
        <v>2696</v>
      </c>
      <c r="O3133" s="7"/>
      <c r="P3133" s="2" t="s">
        <v>7389</v>
      </c>
      <c r="Q3133" s="7"/>
      <c r="R3133" s="1"/>
      <c r="S3133" s="1" t="str">
        <f>"J-UN-2021-903"</f>
        <v>J-UN-2021-903</v>
      </c>
      <c r="T3133" s="1" t="s">
        <v>32</v>
      </c>
    </row>
    <row r="3134" spans="1:20" ht="51" x14ac:dyDescent="0.25">
      <c r="A3134" s="6">
        <v>3128</v>
      </c>
      <c r="B3134" s="1" t="str">
        <f>"2021-481"</f>
        <v>2021-481</v>
      </c>
      <c r="C3134" s="1" t="s">
        <v>2626</v>
      </c>
      <c r="D3134" s="1" t="s">
        <v>2627</v>
      </c>
      <c r="E3134" s="1" t="str">
        <f>""</f>
        <v/>
      </c>
      <c r="F3134" s="1" t="s">
        <v>1860</v>
      </c>
      <c r="G3134" s="1" t="str">
        <f>CONCATENATE(" E-ELMES D.O.O.,"," MATIJE MESIĆA 29A,"," 10370 DUGO SELO,"," OIB: 89958947498")</f>
        <v xml:space="preserve"> E-ELMES D.O.O., MATIJE MESIĆA 29A, 10370 DUGO SELO, OIB: 89958947498</v>
      </c>
      <c r="H3134" s="7"/>
      <c r="I3134" s="8" t="s">
        <v>2812</v>
      </c>
      <c r="J3134" s="8" t="s">
        <v>1155</v>
      </c>
      <c r="K3134" s="6" t="str">
        <f>"1.463,74"</f>
        <v>1.463,74</v>
      </c>
      <c r="L3134" s="6" t="str">
        <f>"365,94"</f>
        <v>365,94</v>
      </c>
      <c r="M3134" s="6" t="str">
        <f>"1.829,68"</f>
        <v>1.829,68</v>
      </c>
      <c r="N3134" s="8" t="s">
        <v>47</v>
      </c>
      <c r="O3134" s="7"/>
      <c r="P3134" s="2" t="s">
        <v>7390</v>
      </c>
      <c r="Q3134" s="7"/>
      <c r="R3134" s="1"/>
      <c r="S3134" s="1" t="str">
        <f>"J-UN-2021-904"</f>
        <v>J-UN-2021-904</v>
      </c>
      <c r="T3134" s="1" t="s">
        <v>32</v>
      </c>
    </row>
    <row r="3135" spans="1:20" ht="51" x14ac:dyDescent="0.25">
      <c r="A3135" s="6">
        <v>3129</v>
      </c>
      <c r="B3135" s="1" t="str">
        <f>"2021-1231"</f>
        <v>2021-1231</v>
      </c>
      <c r="C3135" s="1" t="s">
        <v>2618</v>
      </c>
      <c r="D3135" s="1" t="s">
        <v>2619</v>
      </c>
      <c r="E3135" s="1" t="str">
        <f>""</f>
        <v/>
      </c>
      <c r="F3135" s="1" t="s">
        <v>1860</v>
      </c>
      <c r="G3135" s="1" t="str">
        <f>CONCATENATE(" TRA-MONT D.O.O.,"," MILIVOJA MATOŠECA 5,"," 10000 ZAGREB,"," OIB: 05336208843")</f>
        <v xml:space="preserve"> TRA-MONT D.O.O., MILIVOJA MATOŠECA 5, 10000 ZAGREB, OIB: 05336208843</v>
      </c>
      <c r="H3135" s="7"/>
      <c r="I3135" s="8" t="s">
        <v>2812</v>
      </c>
      <c r="J3135" s="8" t="s">
        <v>1155</v>
      </c>
      <c r="K3135" s="6" t="str">
        <f>"1.380,00"</f>
        <v>1.380,00</v>
      </c>
      <c r="L3135" s="6" t="str">
        <f>"345,00"</f>
        <v>345,00</v>
      </c>
      <c r="M3135" s="6" t="str">
        <f>"1.725,00"</f>
        <v>1.725,00</v>
      </c>
      <c r="N3135" s="8" t="s">
        <v>47</v>
      </c>
      <c r="O3135" s="7"/>
      <c r="P3135" s="2" t="s">
        <v>5960</v>
      </c>
      <c r="Q3135" s="7"/>
      <c r="R3135" s="1"/>
      <c r="S3135" s="1" t="str">
        <f>"J-UN-2021-905"</f>
        <v>J-UN-2021-905</v>
      </c>
      <c r="T3135" s="1" t="s">
        <v>32</v>
      </c>
    </row>
    <row r="3136" spans="1:20" ht="63.75" x14ac:dyDescent="0.25">
      <c r="A3136" s="6">
        <v>3130</v>
      </c>
      <c r="B3136" s="1" t="str">
        <f>"2021-576"</f>
        <v>2021-576</v>
      </c>
      <c r="C3136" s="1" t="s">
        <v>2561</v>
      </c>
      <c r="D3136" s="1" t="s">
        <v>2156</v>
      </c>
      <c r="E3136" s="1" t="str">
        <f>""</f>
        <v/>
      </c>
      <c r="F3136" s="1" t="s">
        <v>1860</v>
      </c>
      <c r="G3136" s="1" t="str">
        <f>CONCATENATE(" MAKROMIKRO GRUPA D.O.O.,"," VUKOMERIČKA ULICA 6,"," 10410 VELIKA GORICA,"," OIB: 5046797487")</f>
        <v xml:space="preserve"> MAKROMIKRO GRUPA D.O.O., VUKOMERIČKA ULICA 6, 10410 VELIKA GORICA, OIB: 5046797487</v>
      </c>
      <c r="H3136" s="7"/>
      <c r="I3136" s="8" t="s">
        <v>221</v>
      </c>
      <c r="J3136" s="8" t="s">
        <v>427</v>
      </c>
      <c r="K3136" s="6" t="str">
        <f>"13.898,00"</f>
        <v>13.898,00</v>
      </c>
      <c r="L3136" s="6" t="str">
        <f>"3.474,50"</f>
        <v>3.474,50</v>
      </c>
      <c r="M3136" s="6" t="str">
        <f>"17.372,50"</f>
        <v>17.372,50</v>
      </c>
      <c r="N3136" s="8" t="s">
        <v>540</v>
      </c>
      <c r="O3136" s="7"/>
      <c r="P3136" s="2" t="s">
        <v>7391</v>
      </c>
      <c r="Q3136" s="7"/>
      <c r="R3136" s="1"/>
      <c r="S3136" s="1" t="str">
        <f>"J-UN-2021-906"</f>
        <v>J-UN-2021-906</v>
      </c>
      <c r="T3136" s="1" t="s">
        <v>32</v>
      </c>
    </row>
    <row r="3137" spans="1:20" ht="51" x14ac:dyDescent="0.25">
      <c r="A3137" s="6">
        <v>3131</v>
      </c>
      <c r="B3137" s="1" t="str">
        <f>"2021-1231"</f>
        <v>2021-1231</v>
      </c>
      <c r="C3137" s="1" t="s">
        <v>2618</v>
      </c>
      <c r="D3137" s="1" t="s">
        <v>2619</v>
      </c>
      <c r="E3137" s="1" t="str">
        <f>""</f>
        <v/>
      </c>
      <c r="F3137" s="1" t="s">
        <v>1860</v>
      </c>
      <c r="G3137" s="1" t="str">
        <f>CONCATENATE(" TRA-MONT D.O.O.,"," MILIVOJA MATOŠECA 5,"," 10000 ZAGREB,"," OIB: 05336208843")</f>
        <v xml:space="preserve"> TRA-MONT D.O.O., MILIVOJA MATOŠECA 5, 10000 ZAGREB, OIB: 05336208843</v>
      </c>
      <c r="H3137" s="7"/>
      <c r="I3137" s="8" t="s">
        <v>2812</v>
      </c>
      <c r="J3137" s="8" t="s">
        <v>1155</v>
      </c>
      <c r="K3137" s="6" t="str">
        <f>"980,00"</f>
        <v>980,00</v>
      </c>
      <c r="L3137" s="6" t="str">
        <f>"245,00"</f>
        <v>245,00</v>
      </c>
      <c r="M3137" s="6" t="str">
        <f>"1.225,00"</f>
        <v>1.225,00</v>
      </c>
      <c r="N3137" s="8" t="s">
        <v>47</v>
      </c>
      <c r="O3137" s="7"/>
      <c r="P3137" s="2" t="s">
        <v>7250</v>
      </c>
      <c r="Q3137" s="7"/>
      <c r="R3137" s="1"/>
      <c r="S3137" s="1" t="str">
        <f>"J-UN-2021-907"</f>
        <v>J-UN-2021-907</v>
      </c>
      <c r="T3137" s="1" t="s">
        <v>32</v>
      </c>
    </row>
    <row r="3138" spans="1:20" ht="38.25" x14ac:dyDescent="0.25">
      <c r="A3138" s="6">
        <v>3132</v>
      </c>
      <c r="B3138" s="1" t="str">
        <f>"2021-1180"</f>
        <v>2021-1180</v>
      </c>
      <c r="C3138" s="1" t="s">
        <v>2857</v>
      </c>
      <c r="D3138" s="1" t="s">
        <v>1373</v>
      </c>
      <c r="E3138" s="1" t="str">
        <f>""</f>
        <v/>
      </c>
      <c r="F3138" s="1" t="s">
        <v>1860</v>
      </c>
      <c r="G3138" s="1" t="str">
        <f>CONCATENATE(" MAGIS TRITON D.O.O.,"," TRVIŽ 25,"," 52000 PAZIN,"," OIB: 52949364664")</f>
        <v xml:space="preserve"> MAGIS TRITON D.O.O., TRVIŽ 25, 52000 PAZIN, OIB: 52949364664</v>
      </c>
      <c r="H3138" s="7"/>
      <c r="I3138" s="8" t="s">
        <v>2812</v>
      </c>
      <c r="J3138" s="8" t="s">
        <v>1155</v>
      </c>
      <c r="K3138" s="6" t="str">
        <f>"18.216,70"</f>
        <v>18.216,70</v>
      </c>
      <c r="L3138" s="6" t="str">
        <f>"4.554,18"</f>
        <v>4.554,18</v>
      </c>
      <c r="M3138" s="6" t="str">
        <f>"22.770,88"</f>
        <v>22.770,88</v>
      </c>
      <c r="N3138" s="8" t="s">
        <v>934</v>
      </c>
      <c r="O3138" s="7"/>
      <c r="P3138" s="2" t="s">
        <v>7392</v>
      </c>
      <c r="Q3138" s="7"/>
      <c r="R3138" s="1"/>
      <c r="S3138" s="1" t="str">
        <f>"J-UN-2021-909"</f>
        <v>J-UN-2021-909</v>
      </c>
      <c r="T3138" s="1" t="s">
        <v>32</v>
      </c>
    </row>
    <row r="3139" spans="1:20" ht="51" x14ac:dyDescent="0.25">
      <c r="A3139" s="6">
        <v>3133</v>
      </c>
      <c r="B3139" s="1" t="str">
        <f>"2021-1004"</f>
        <v>2021-1004</v>
      </c>
      <c r="C3139" s="1" t="s">
        <v>2715</v>
      </c>
      <c r="D3139" s="1" t="s">
        <v>2716</v>
      </c>
      <c r="E3139" s="1" t="str">
        <f>""</f>
        <v/>
      </c>
      <c r="F3139" s="1" t="s">
        <v>1860</v>
      </c>
      <c r="G3139" s="1" t="str">
        <f>CONCATENATE(" LAGER BAŠIĆ D.O.O.,"," TRGOVAČKA 3,"," 10255 DONJI STUPNIK,"," OIB: 49617677906")</f>
        <v xml:space="preserve"> LAGER BAŠIĆ D.O.O., TRGOVAČKA 3, 10255 DONJI STUPNIK, OIB: 49617677906</v>
      </c>
      <c r="H3139" s="7"/>
      <c r="I3139" s="8" t="s">
        <v>1905</v>
      </c>
      <c r="J3139" s="8" t="s">
        <v>922</v>
      </c>
      <c r="K3139" s="6" t="str">
        <f>"3.963,00"</f>
        <v>3.963,00</v>
      </c>
      <c r="L3139" s="6" t="str">
        <f>"990,75"</f>
        <v>990,75</v>
      </c>
      <c r="M3139" s="6" t="str">
        <f>"4.953,75"</f>
        <v>4.953,75</v>
      </c>
      <c r="N3139" s="8" t="s">
        <v>1992</v>
      </c>
      <c r="O3139" s="7"/>
      <c r="P3139" s="2" t="s">
        <v>7393</v>
      </c>
      <c r="Q3139" s="7"/>
      <c r="R3139" s="1"/>
      <c r="S3139" s="1" t="str">
        <f>"J-UN-2021-910"</f>
        <v>J-UN-2021-910</v>
      </c>
      <c r="T3139" s="1" t="s">
        <v>32</v>
      </c>
    </row>
    <row r="3140" spans="1:20" ht="51" x14ac:dyDescent="0.25">
      <c r="A3140" s="6">
        <v>3134</v>
      </c>
      <c r="B3140" s="1" t="str">
        <f>"2021-1231"</f>
        <v>2021-1231</v>
      </c>
      <c r="C3140" s="1" t="s">
        <v>2618</v>
      </c>
      <c r="D3140" s="1" t="s">
        <v>2619</v>
      </c>
      <c r="E3140" s="1" t="str">
        <f>""</f>
        <v/>
      </c>
      <c r="F3140" s="1" t="s">
        <v>1860</v>
      </c>
      <c r="G3140" s="1" t="str">
        <f>CONCATENATE(" TRA-MONT D.O.O.,"," MILIVOJA MATOŠECA 5,"," 10000 ZAGREB,"," OIB: 05336208843")</f>
        <v xml:space="preserve"> TRA-MONT D.O.O., MILIVOJA MATOŠECA 5, 10000 ZAGREB, OIB: 05336208843</v>
      </c>
      <c r="H3140" s="7"/>
      <c r="I3140" s="8" t="s">
        <v>1905</v>
      </c>
      <c r="J3140" s="8" t="s">
        <v>922</v>
      </c>
      <c r="K3140" s="6" t="str">
        <f>"340,00"</f>
        <v>340,00</v>
      </c>
      <c r="L3140" s="6" t="str">
        <f>"85,00"</f>
        <v>85,00</v>
      </c>
      <c r="M3140" s="6" t="str">
        <f>"425,00"</f>
        <v>425,00</v>
      </c>
      <c r="N3140" s="8" t="s">
        <v>47</v>
      </c>
      <c r="O3140" s="7"/>
      <c r="P3140" s="2" t="s">
        <v>7394</v>
      </c>
      <c r="Q3140" s="7"/>
      <c r="R3140" s="1"/>
      <c r="S3140" s="1" t="str">
        <f>"J-UN-2021-911"</f>
        <v>J-UN-2021-911</v>
      </c>
      <c r="T3140" s="1" t="s">
        <v>32</v>
      </c>
    </row>
    <row r="3141" spans="1:20" ht="63.75" x14ac:dyDescent="0.25">
      <c r="A3141" s="6">
        <v>3135</v>
      </c>
      <c r="B3141" s="1" t="str">
        <f>"2021-915"</f>
        <v>2021-915</v>
      </c>
      <c r="C3141" s="1" t="s">
        <v>2563</v>
      </c>
      <c r="D3141" s="1" t="s">
        <v>914</v>
      </c>
      <c r="E3141" s="1" t="str">
        <f>""</f>
        <v/>
      </c>
      <c r="F3141" s="1" t="s">
        <v>1860</v>
      </c>
      <c r="G3141" s="1" t="str">
        <f>CONCATENATE(" TOKIĆ D.O.O.,"," ULICA 144. BRIGADE HRVATSKE VOJSKE 1A,"," 10360 SESVETE,"," OIB: 7486748762")</f>
        <v xml:space="preserve"> TOKIĆ D.O.O., ULICA 144. BRIGADE HRVATSKE VOJSKE 1A, 10360 SESVETE, OIB: 7486748762</v>
      </c>
      <c r="H3141" s="7"/>
      <c r="I3141" s="8" t="s">
        <v>223</v>
      </c>
      <c r="J3141" s="8" t="s">
        <v>524</v>
      </c>
      <c r="K3141" s="6" t="str">
        <f>"1.969,12"</f>
        <v>1.969,12</v>
      </c>
      <c r="L3141" s="6" t="str">
        <f>"492,28"</f>
        <v>492,28</v>
      </c>
      <c r="M3141" s="6" t="str">
        <f>"2.461,40"</f>
        <v>2.461,40</v>
      </c>
      <c r="N3141" s="8" t="s">
        <v>2868</v>
      </c>
      <c r="O3141" s="7"/>
      <c r="P3141" s="2" t="s">
        <v>7395</v>
      </c>
      <c r="Q3141" s="7"/>
      <c r="R3141" s="1"/>
      <c r="S3141" s="1" t="str">
        <f>"J-UN-2021-927"</f>
        <v>J-UN-2021-927</v>
      </c>
      <c r="T3141" s="1" t="s">
        <v>32</v>
      </c>
    </row>
    <row r="3142" spans="1:20" ht="51" x14ac:dyDescent="0.25">
      <c r="A3142" s="6">
        <v>3136</v>
      </c>
      <c r="B3142" s="1" t="str">
        <f>"2021-1051"</f>
        <v>2021-1051</v>
      </c>
      <c r="C3142" s="1" t="s">
        <v>2786</v>
      </c>
      <c r="D3142" s="1" t="s">
        <v>476</v>
      </c>
      <c r="E3142" s="1" t="str">
        <f>""</f>
        <v/>
      </c>
      <c r="F3142" s="1" t="s">
        <v>1860</v>
      </c>
      <c r="G3142" s="1" t="str">
        <f>CONCATENATE(" KOPI-AS D.O.O.,"," CERNIČKA 4,"," 10000 ZAGREB,"," OIB: 96605206988")</f>
        <v xml:space="preserve"> KOPI-AS D.O.O., CERNIČKA 4, 10000 ZAGREB, OIB: 96605206988</v>
      </c>
      <c r="H3142" s="7"/>
      <c r="I3142" s="8" t="s">
        <v>48</v>
      </c>
      <c r="J3142" s="8" t="s">
        <v>507</v>
      </c>
      <c r="K3142" s="6" t="str">
        <f>"1.729,20"</f>
        <v>1.729,20</v>
      </c>
      <c r="L3142" s="6" t="str">
        <f>"432,30"</f>
        <v>432,30</v>
      </c>
      <c r="M3142" s="6" t="str">
        <f>"2.161,50"</f>
        <v>2.161,50</v>
      </c>
      <c r="N3142" s="8" t="s">
        <v>1891</v>
      </c>
      <c r="O3142" s="7"/>
      <c r="P3142" s="2" t="s">
        <v>7396</v>
      </c>
      <c r="Q3142" s="7"/>
      <c r="R3142" s="1"/>
      <c r="S3142" s="1" t="str">
        <f>"J-UN-2021-928"</f>
        <v>J-UN-2021-928</v>
      </c>
      <c r="T3142" s="1" t="s">
        <v>32</v>
      </c>
    </row>
    <row r="3143" spans="1:20" ht="51" x14ac:dyDescent="0.25">
      <c r="A3143" s="6">
        <v>3137</v>
      </c>
      <c r="B3143" s="1" t="str">
        <f>"2021-1015"</f>
        <v>2021-1015</v>
      </c>
      <c r="C3143" s="1" t="s">
        <v>2492</v>
      </c>
      <c r="D3143" s="1" t="s">
        <v>2493</v>
      </c>
      <c r="E3143" s="1" t="str">
        <f>""</f>
        <v/>
      </c>
      <c r="F3143" s="1" t="s">
        <v>1860</v>
      </c>
      <c r="G3143" s="1" t="str">
        <f>CONCATENATE(" STAR IMPORT D.O.O.,"," KOVINSKA 5,"," 10090 ZAGREB-SUSEDGRAD,"," OIB: 783122799")</f>
        <v xml:space="preserve"> STAR IMPORT D.O.O., KOVINSKA 5, 10090 ZAGREB-SUSEDGRAD, OIB: 783122799</v>
      </c>
      <c r="H3143" s="7"/>
      <c r="I3143" s="8" t="s">
        <v>48</v>
      </c>
      <c r="J3143" s="8" t="s">
        <v>507</v>
      </c>
      <c r="K3143" s="6" t="str">
        <f>"508,12"</f>
        <v>508,12</v>
      </c>
      <c r="L3143" s="6" t="str">
        <f>"127,03"</f>
        <v>127,03</v>
      </c>
      <c r="M3143" s="6" t="str">
        <f>"635,15"</f>
        <v>635,15</v>
      </c>
      <c r="N3143" s="8" t="s">
        <v>2696</v>
      </c>
      <c r="O3143" s="7"/>
      <c r="P3143" s="2" t="s">
        <v>7397</v>
      </c>
      <c r="Q3143" s="7"/>
      <c r="R3143" s="1"/>
      <c r="S3143" s="1" t="str">
        <f>"J-UN-2021-930"</f>
        <v>J-UN-2021-930</v>
      </c>
      <c r="T3143" s="1" t="s">
        <v>32</v>
      </c>
    </row>
    <row r="3144" spans="1:20" ht="63.75" x14ac:dyDescent="0.25">
      <c r="A3144" s="6">
        <v>3138</v>
      </c>
      <c r="B3144" s="1" t="str">
        <f>"2021-1176"</f>
        <v>2021-1176</v>
      </c>
      <c r="C3144" s="1" t="s">
        <v>2815</v>
      </c>
      <c r="D3144" s="1" t="s">
        <v>1373</v>
      </c>
      <c r="E3144" s="1" t="str">
        <f>""</f>
        <v/>
      </c>
      <c r="F3144" s="1" t="s">
        <v>1860</v>
      </c>
      <c r="G3144" s="1" t="str">
        <f>CONCATENATE(" STROJOOBNOVA,"," VL.TIHOMIR LJUBIĆ,"," RAVNICE 13,"," 10294 DONJA PUŠĆA,"," OIB: 50149576546")</f>
        <v xml:space="preserve"> STROJOOBNOVA, VL.TIHOMIR LJUBIĆ, RAVNICE 13, 10294 DONJA PUŠĆA, OIB: 50149576546</v>
      </c>
      <c r="H3144" s="7"/>
      <c r="I3144" s="8" t="s">
        <v>48</v>
      </c>
      <c r="J3144" s="8" t="s">
        <v>507</v>
      </c>
      <c r="K3144" s="6" t="str">
        <f>"6.960,00"</f>
        <v>6.960,00</v>
      </c>
      <c r="L3144" s="6" t="str">
        <f>"1.740,00"</f>
        <v>1.740,00</v>
      </c>
      <c r="M3144" s="6" t="str">
        <f>"8.700,00"</f>
        <v>8.700,00</v>
      </c>
      <c r="N3144" s="8" t="s">
        <v>1988</v>
      </c>
      <c r="O3144" s="7"/>
      <c r="P3144" s="2" t="s">
        <v>7398</v>
      </c>
      <c r="Q3144" s="7"/>
      <c r="R3144" s="1"/>
      <c r="S3144" s="1" t="str">
        <f>"J-UN-2021-931"</f>
        <v>J-UN-2021-931</v>
      </c>
      <c r="T3144" s="1" t="s">
        <v>32</v>
      </c>
    </row>
    <row r="3145" spans="1:20" ht="63.75" x14ac:dyDescent="0.25">
      <c r="A3145" s="6">
        <v>3139</v>
      </c>
      <c r="B3145" s="1" t="str">
        <f>"2021-915"</f>
        <v>2021-915</v>
      </c>
      <c r="C3145" s="1" t="s">
        <v>2563</v>
      </c>
      <c r="D3145" s="1" t="s">
        <v>914</v>
      </c>
      <c r="E3145" s="1" t="str">
        <f>""</f>
        <v/>
      </c>
      <c r="F3145" s="1" t="s">
        <v>1860</v>
      </c>
      <c r="G3145" s="1" t="str">
        <f>CONCATENATE(" TOKIĆ D.O.O.,"," ULICA 144. BRIGADE HRVATSKE VOJSKE 1A,"," 10360 SESVETE,"," OIB: 7486748762")</f>
        <v xml:space="preserve"> TOKIĆ D.O.O., ULICA 144. BRIGADE HRVATSKE VOJSKE 1A, 10360 SESVETE, OIB: 7486748762</v>
      </c>
      <c r="H3145" s="7"/>
      <c r="I3145" s="8" t="s">
        <v>223</v>
      </c>
      <c r="J3145" s="8" t="s">
        <v>524</v>
      </c>
      <c r="K3145" s="6" t="str">
        <f>"948,00"</f>
        <v>948,00</v>
      </c>
      <c r="L3145" s="6" t="str">
        <f>"237,00"</f>
        <v>237,00</v>
      </c>
      <c r="M3145" s="6" t="str">
        <f>"1.185,00"</f>
        <v>1.185,00</v>
      </c>
      <c r="N3145" s="8" t="s">
        <v>1476</v>
      </c>
      <c r="O3145" s="7"/>
      <c r="P3145" s="2" t="s">
        <v>7399</v>
      </c>
      <c r="Q3145" s="7"/>
      <c r="R3145" s="1"/>
      <c r="S3145" s="1" t="str">
        <f>"J-UN-2021-933"</f>
        <v>J-UN-2021-933</v>
      </c>
      <c r="T3145" s="1" t="s">
        <v>32</v>
      </c>
    </row>
    <row r="3146" spans="1:20" ht="51" x14ac:dyDescent="0.25">
      <c r="A3146" s="6">
        <v>3140</v>
      </c>
      <c r="B3146" s="1" t="str">
        <f>"2021-144"</f>
        <v>2021-144</v>
      </c>
      <c r="C3146" s="1" t="s">
        <v>2677</v>
      </c>
      <c r="D3146" s="1" t="s">
        <v>2678</v>
      </c>
      <c r="E3146" s="1" t="str">
        <f>""</f>
        <v/>
      </c>
      <c r="F3146" s="1" t="s">
        <v>1860</v>
      </c>
      <c r="G3146" s="1" t="str">
        <f>CONCATENATE(" LJEKARNA ZEUS,"," D. BUDAKA 17,"," 10000 ZAGREB,"," OIB: 348805628")</f>
        <v xml:space="preserve"> LJEKARNA ZEUS, D. BUDAKA 17, 10000 ZAGREB, OIB: 348805628</v>
      </c>
      <c r="H3146" s="7"/>
      <c r="I3146" s="8" t="s">
        <v>223</v>
      </c>
      <c r="J3146" s="8" t="s">
        <v>524</v>
      </c>
      <c r="K3146" s="6" t="str">
        <f>"4.485,20"</f>
        <v>4.485,20</v>
      </c>
      <c r="L3146" s="6" t="str">
        <f>"1.121,30"</f>
        <v>1.121,30</v>
      </c>
      <c r="M3146" s="6" t="str">
        <f>"5.606,50"</f>
        <v>5.606,50</v>
      </c>
      <c r="N3146" s="8" t="s">
        <v>1411</v>
      </c>
      <c r="O3146" s="7"/>
      <c r="P3146" s="2" t="s">
        <v>7400</v>
      </c>
      <c r="Q3146" s="7"/>
      <c r="R3146" s="1"/>
      <c r="S3146" s="1" t="str">
        <f>"J-UN-2021-934"</f>
        <v>J-UN-2021-934</v>
      </c>
      <c r="T3146" s="1" t="s">
        <v>32</v>
      </c>
    </row>
    <row r="3147" spans="1:20" ht="38.25" x14ac:dyDescent="0.25">
      <c r="A3147" s="6">
        <v>3141</v>
      </c>
      <c r="B3147" s="1" t="str">
        <f>"2021-1026"</f>
        <v>2021-1026</v>
      </c>
      <c r="C3147" s="1" t="s">
        <v>2564</v>
      </c>
      <c r="D3147" s="1" t="s">
        <v>21</v>
      </c>
      <c r="E3147" s="1" t="str">
        <f>""</f>
        <v/>
      </c>
      <c r="F3147" s="1" t="s">
        <v>1860</v>
      </c>
      <c r="G3147" s="1" t="str">
        <f>CONCATENATE(" O-K-TEH d.o.o.,"," VUČAK 16A,"," 10000 ZAGREB,"," OIB: 37322381288")</f>
        <v xml:space="preserve"> O-K-TEH d.o.o., VUČAK 16A, 10000 ZAGREB, OIB: 37322381288</v>
      </c>
      <c r="H3147" s="7"/>
      <c r="I3147" s="8" t="s">
        <v>48</v>
      </c>
      <c r="J3147" s="8" t="s">
        <v>507</v>
      </c>
      <c r="K3147" s="6" t="str">
        <f>"44.551,95"</f>
        <v>44.551,95</v>
      </c>
      <c r="L3147" s="6" t="str">
        <f>"11.137,99"</f>
        <v>11.137,99</v>
      </c>
      <c r="M3147" s="6" t="str">
        <f>"55.689,94"</f>
        <v>55.689,94</v>
      </c>
      <c r="N3147" s="8" t="s">
        <v>1445</v>
      </c>
      <c r="O3147" s="7"/>
      <c r="P3147" s="2" t="s">
        <v>7401</v>
      </c>
      <c r="Q3147" s="7"/>
      <c r="R3147" s="1"/>
      <c r="S3147" s="1" t="str">
        <f>"J-UN-2021-935"</f>
        <v>J-UN-2021-935</v>
      </c>
      <c r="T3147" s="1" t="s">
        <v>32</v>
      </c>
    </row>
    <row r="3148" spans="1:20" ht="63.75" x14ac:dyDescent="0.25">
      <c r="A3148" s="6">
        <v>3142</v>
      </c>
      <c r="B3148" s="1" t="str">
        <f>"2021-576"</f>
        <v>2021-576</v>
      </c>
      <c r="C3148" s="1" t="s">
        <v>2561</v>
      </c>
      <c r="D3148" s="1" t="s">
        <v>2156</v>
      </c>
      <c r="E3148" s="1" t="str">
        <f>""</f>
        <v/>
      </c>
      <c r="F3148" s="1" t="s">
        <v>1860</v>
      </c>
      <c r="G3148" s="1" t="str">
        <f>CONCATENATE(" MAKROMIKRO GRUPA D.O.O.,"," VUKOMERIČKA ULICA 6,"," 10410 VELIKA GORICA,"," OIB: 5046797487")</f>
        <v xml:space="preserve"> MAKROMIKRO GRUPA D.O.O., VUKOMERIČKA ULICA 6, 10410 VELIKA GORICA, OIB: 5046797487</v>
      </c>
      <c r="H3148" s="7"/>
      <c r="I3148" s="8" t="s">
        <v>223</v>
      </c>
      <c r="J3148" s="8" t="s">
        <v>524</v>
      </c>
      <c r="K3148" s="6" t="str">
        <f>"2.340,00"</f>
        <v>2.340,00</v>
      </c>
      <c r="L3148" s="6" t="str">
        <f>"585,00"</f>
        <v>585,00</v>
      </c>
      <c r="M3148" s="6" t="str">
        <f>"2.925,00"</f>
        <v>2.925,00</v>
      </c>
      <c r="N3148" s="8" t="s">
        <v>540</v>
      </c>
      <c r="O3148" s="7"/>
      <c r="P3148" s="2" t="s">
        <v>5882</v>
      </c>
      <c r="Q3148" s="7"/>
      <c r="R3148" s="1"/>
      <c r="S3148" s="1" t="str">
        <f>"J-UN-2021-937"</f>
        <v>J-UN-2021-937</v>
      </c>
      <c r="T3148" s="1" t="s">
        <v>32</v>
      </c>
    </row>
    <row r="3149" spans="1:20" ht="25.5" x14ac:dyDescent="0.25">
      <c r="A3149" s="6">
        <v>3143</v>
      </c>
      <c r="B3149" s="1" t="str">
        <f>"2021-373"</f>
        <v>2021-373</v>
      </c>
      <c r="C3149" s="1" t="s">
        <v>2810</v>
      </c>
      <c r="D3149" s="1" t="s">
        <v>2577</v>
      </c>
      <c r="E3149" s="1" t="str">
        <f>""</f>
        <v/>
      </c>
      <c r="F3149" s="1" t="s">
        <v>1860</v>
      </c>
      <c r="G3149" s="1" t="str">
        <f>CONCATENATE(" R-PIM D.O.O.,"," ,"," OIB: 38514700472")</f>
        <v xml:space="preserve"> R-PIM D.O.O., , OIB: 38514700472</v>
      </c>
      <c r="H3149" s="7"/>
      <c r="I3149" s="8" t="s">
        <v>223</v>
      </c>
      <c r="J3149" s="8" t="s">
        <v>524</v>
      </c>
      <c r="K3149" s="6" t="str">
        <f>"55.946,00"</f>
        <v>55.946,00</v>
      </c>
      <c r="L3149" s="6" t="str">
        <f>"13.986,50"</f>
        <v>13.986,50</v>
      </c>
      <c r="M3149" s="6" t="str">
        <f>"69.932,50"</f>
        <v>69.932,50</v>
      </c>
      <c r="N3149" s="8" t="s">
        <v>540</v>
      </c>
      <c r="O3149" s="7"/>
      <c r="P3149" s="2" t="s">
        <v>7402</v>
      </c>
      <c r="Q3149" s="7"/>
      <c r="R3149" s="1"/>
      <c r="S3149" s="1" t="str">
        <f>"J-UN-2021-938"</f>
        <v>J-UN-2021-938</v>
      </c>
      <c r="T3149" s="1" t="s">
        <v>32</v>
      </c>
    </row>
    <row r="3150" spans="1:20" ht="63.75" x14ac:dyDescent="0.25">
      <c r="A3150" s="6">
        <v>3144</v>
      </c>
      <c r="B3150" s="1" t="str">
        <f>"2021-915"</f>
        <v>2021-915</v>
      </c>
      <c r="C3150" s="1" t="s">
        <v>2563</v>
      </c>
      <c r="D3150" s="1" t="s">
        <v>914</v>
      </c>
      <c r="E3150" s="1" t="str">
        <f>""</f>
        <v/>
      </c>
      <c r="F3150" s="1" t="s">
        <v>1860</v>
      </c>
      <c r="G3150" s="1" t="str">
        <f>CONCATENATE(" M.C.JAKOVIĆ D.O.O.,"," SISAČKA CESTA II ODVOJAK BR. 34,"," 10020 ZAGREB,"," OIB: 7033479049")</f>
        <v xml:space="preserve"> M.C.JAKOVIĆ D.O.O., SISAČKA CESTA II ODVOJAK BR. 34, 10020 ZAGREB, OIB: 7033479049</v>
      </c>
      <c r="H3150" s="7"/>
      <c r="I3150" s="8" t="s">
        <v>48</v>
      </c>
      <c r="J3150" s="8" t="s">
        <v>507</v>
      </c>
      <c r="K3150" s="6" t="str">
        <f>"3.001,19"</f>
        <v>3.001,19</v>
      </c>
      <c r="L3150" s="6" t="str">
        <f>"750,30"</f>
        <v>750,30</v>
      </c>
      <c r="M3150" s="6" t="str">
        <f>"3.751,49"</f>
        <v>3.751,49</v>
      </c>
      <c r="N3150" s="8" t="s">
        <v>1411</v>
      </c>
      <c r="O3150" s="7"/>
      <c r="P3150" s="2" t="s">
        <v>7403</v>
      </c>
      <c r="Q3150" s="7"/>
      <c r="R3150" s="1"/>
      <c r="S3150" s="1" t="str">
        <f>"J-UN-2021-939"</f>
        <v>J-UN-2021-939</v>
      </c>
      <c r="T3150" s="1" t="s">
        <v>32</v>
      </c>
    </row>
    <row r="3151" spans="1:20" ht="63.75" x14ac:dyDescent="0.25">
      <c r="A3151" s="6">
        <v>3145</v>
      </c>
      <c r="B3151" s="1" t="str">
        <f>"2021-475"</f>
        <v>2021-475</v>
      </c>
      <c r="C3151" s="1" t="s">
        <v>2614</v>
      </c>
      <c r="D3151" s="1" t="s">
        <v>619</v>
      </c>
      <c r="E3151" s="1" t="str">
        <f>""</f>
        <v/>
      </c>
      <c r="F3151" s="1" t="s">
        <v>1860</v>
      </c>
      <c r="G3151" s="1" t="str">
        <f>CONCATENATE(" LEŽAJ TRADE D.O.O.,"," BRDOVEC,"," ZAGREBAČKA 26,"," 10291 PRIGORJE BRDOVEČKO,"," OIB: 64008199572")</f>
        <v xml:space="preserve"> LEŽAJ TRADE D.O.O., BRDOVEC, ZAGREBAČKA 26, 10291 PRIGORJE BRDOVEČKO, OIB: 64008199572</v>
      </c>
      <c r="H3151" s="7"/>
      <c r="I3151" s="8" t="s">
        <v>223</v>
      </c>
      <c r="J3151" s="8" t="s">
        <v>524</v>
      </c>
      <c r="K3151" s="6" t="str">
        <f>"6.201,10"</f>
        <v>6.201,10</v>
      </c>
      <c r="L3151" s="6" t="str">
        <f>"1.550,28"</f>
        <v>1.550,28</v>
      </c>
      <c r="M3151" s="6" t="str">
        <f>"7.751,38"</f>
        <v>7.751,38</v>
      </c>
      <c r="N3151" s="8" t="s">
        <v>1411</v>
      </c>
      <c r="O3151" s="7"/>
      <c r="P3151" s="2" t="s">
        <v>7404</v>
      </c>
      <c r="Q3151" s="7"/>
      <c r="R3151" s="1"/>
      <c r="S3151" s="1" t="str">
        <f>"J-UN-2021-940"</f>
        <v>J-UN-2021-940</v>
      </c>
      <c r="T3151" s="1" t="s">
        <v>32</v>
      </c>
    </row>
    <row r="3152" spans="1:20" ht="38.25" x14ac:dyDescent="0.25">
      <c r="A3152" s="6">
        <v>3146</v>
      </c>
      <c r="B3152" s="1" t="str">
        <f>"2021-2254"</f>
        <v>2021-2254</v>
      </c>
      <c r="C3152" s="1" t="s">
        <v>2869</v>
      </c>
      <c r="D3152" s="1" t="s">
        <v>1886</v>
      </c>
      <c r="E3152" s="1" t="str">
        <f>""</f>
        <v/>
      </c>
      <c r="F3152" s="1" t="s">
        <v>1860</v>
      </c>
      <c r="G3152" s="1" t="str">
        <f>CONCATENATE(" P.O. ALATI D.O.O.,"," RIVA 7,"," 52212 FAŽANA,"," OIB: 10238087103")</f>
        <v xml:space="preserve"> P.O. ALATI D.O.O., RIVA 7, 52212 FAŽANA, OIB: 10238087103</v>
      </c>
      <c r="H3152" s="7"/>
      <c r="I3152" s="8" t="s">
        <v>1861</v>
      </c>
      <c r="J3152" s="8" t="s">
        <v>252</v>
      </c>
      <c r="K3152" s="6" t="str">
        <f>"117.600,00"</f>
        <v>117.600,00</v>
      </c>
      <c r="L3152" s="6" t="str">
        <f>"29.400,00"</f>
        <v>29.400,00</v>
      </c>
      <c r="M3152" s="6" t="str">
        <f>"147.000,00"</f>
        <v>147.000,00</v>
      </c>
      <c r="N3152" s="8" t="s">
        <v>2792</v>
      </c>
      <c r="O3152" s="7"/>
      <c r="P3152" s="2" t="s">
        <v>7405</v>
      </c>
      <c r="Q3152" s="7"/>
      <c r="R3152" s="1"/>
      <c r="S3152" s="1" t="str">
        <f>"J-UN-2021-954"</f>
        <v>J-UN-2021-954</v>
      </c>
      <c r="T3152" s="1" t="s">
        <v>32</v>
      </c>
    </row>
    <row r="3153" spans="1:20" ht="51" x14ac:dyDescent="0.25">
      <c r="A3153" s="6">
        <v>3147</v>
      </c>
      <c r="B3153" s="1" t="str">
        <f>"2021-913"</f>
        <v>2021-913</v>
      </c>
      <c r="C3153" s="1" t="s">
        <v>2710</v>
      </c>
      <c r="D3153" s="1" t="s">
        <v>815</v>
      </c>
      <c r="E3153" s="1" t="str">
        <f>""</f>
        <v/>
      </c>
      <c r="F3153" s="1" t="s">
        <v>1860</v>
      </c>
      <c r="G3153" s="1" t="str">
        <f>CONCATENATE(" SELEKTA PRIMA D.O.O.,"," I. TRNAVA 49,"," 10000 ZAGREB,"," OIB: 68651120977")</f>
        <v xml:space="preserve"> SELEKTA PRIMA D.O.O., I. TRNAVA 49, 10000 ZAGREB, OIB: 68651120977</v>
      </c>
      <c r="H3153" s="7"/>
      <c r="I3153" s="8" t="s">
        <v>2748</v>
      </c>
      <c r="J3153" s="8" t="s">
        <v>902</v>
      </c>
      <c r="K3153" s="6" t="str">
        <f>"6.150,00"</f>
        <v>6.150,00</v>
      </c>
      <c r="L3153" s="6" t="str">
        <f>"1.537,50"</f>
        <v>1.537,50</v>
      </c>
      <c r="M3153" s="6" t="str">
        <f>"7.687,50"</f>
        <v>7.687,50</v>
      </c>
      <c r="N3153" s="8" t="s">
        <v>124</v>
      </c>
      <c r="O3153" s="7"/>
      <c r="P3153" s="2" t="s">
        <v>5614</v>
      </c>
      <c r="Q3153" s="7"/>
      <c r="R3153" s="1"/>
      <c r="S3153" s="1" t="str">
        <f>"J-UN-2021-955"</f>
        <v>J-UN-2021-955</v>
      </c>
      <c r="T3153" s="1" t="s">
        <v>32</v>
      </c>
    </row>
    <row r="3154" spans="1:20" ht="63.75" x14ac:dyDescent="0.25">
      <c r="A3154" s="6">
        <v>3148</v>
      </c>
      <c r="B3154" s="1" t="str">
        <f>"2021-168"</f>
        <v>2021-168</v>
      </c>
      <c r="C3154" s="1" t="s">
        <v>2870</v>
      </c>
      <c r="D3154" s="1" t="s">
        <v>2871</v>
      </c>
      <c r="E3154" s="1" t="str">
        <f>""</f>
        <v/>
      </c>
      <c r="F3154" s="1" t="s">
        <v>1860</v>
      </c>
      <c r="G3154" s="1" t="str">
        <f>CONCATENATE(" TEHNOGUMA d.o.o.,"," OBRTNIČKA 1,"," 10000 ZAGREB,"," OIB: 38867318377")</f>
        <v xml:space="preserve"> TEHNOGUMA d.o.o., OBRTNIČKA 1, 10000 ZAGREB, OIB: 38867318377</v>
      </c>
      <c r="H3154" s="7"/>
      <c r="I3154" s="8" t="s">
        <v>1861</v>
      </c>
      <c r="J3154" s="8" t="s">
        <v>252</v>
      </c>
      <c r="K3154" s="6" t="str">
        <f>"4.230,00"</f>
        <v>4.230,00</v>
      </c>
      <c r="L3154" s="6" t="str">
        <f>"1.057,50"</f>
        <v>1.057,50</v>
      </c>
      <c r="M3154" s="6" t="str">
        <f>"5.287,50"</f>
        <v>5.287,50</v>
      </c>
      <c r="N3154" s="8" t="s">
        <v>1411</v>
      </c>
      <c r="O3154" s="7"/>
      <c r="P3154" s="2" t="s">
        <v>7406</v>
      </c>
      <c r="Q3154" s="7"/>
      <c r="R3154" s="1"/>
      <c r="S3154" s="1" t="str">
        <f>"J-UN-2021-956"</f>
        <v>J-UN-2021-956</v>
      </c>
      <c r="T3154" s="1" t="s">
        <v>32</v>
      </c>
    </row>
    <row r="3155" spans="1:20" ht="51" x14ac:dyDescent="0.25">
      <c r="A3155" s="6">
        <v>3149</v>
      </c>
      <c r="B3155" s="1" t="str">
        <f>"2021-876"</f>
        <v>2021-876</v>
      </c>
      <c r="C3155" s="1" t="s">
        <v>2872</v>
      </c>
      <c r="D3155" s="1" t="s">
        <v>1833</v>
      </c>
      <c r="E3155" s="1" t="str">
        <f>""</f>
        <v/>
      </c>
      <c r="F3155" s="1" t="s">
        <v>1860</v>
      </c>
      <c r="G3155" s="1" t="str">
        <f>CONCATENATE(" D.R. AUTO D.O.O.,"," SELSKA CESTA 34,"," 10000 ZAGREB,"," OIB: 07523847158")</f>
        <v xml:space="preserve"> D.R. AUTO D.O.O., SELSKA CESTA 34, 10000 ZAGREB, OIB: 07523847158</v>
      </c>
      <c r="H3155" s="7"/>
      <c r="I3155" s="8" t="s">
        <v>1861</v>
      </c>
      <c r="J3155" s="8" t="s">
        <v>252</v>
      </c>
      <c r="K3155" s="6" t="str">
        <f>"6.096,28"</f>
        <v>6.096,28</v>
      </c>
      <c r="L3155" s="6" t="str">
        <f>"1.524,07"</f>
        <v>1.524,07</v>
      </c>
      <c r="M3155" s="6" t="str">
        <f>"7.620,35"</f>
        <v>7.620,35</v>
      </c>
      <c r="N3155" s="8" t="s">
        <v>223</v>
      </c>
      <c r="O3155" s="7"/>
      <c r="P3155" s="2" t="s">
        <v>7407</v>
      </c>
      <c r="Q3155" s="1" t="s">
        <v>5601</v>
      </c>
      <c r="R3155" s="1"/>
      <c r="S3155" s="1" t="str">
        <f>"J-UN-2021-958"</f>
        <v>J-UN-2021-958</v>
      </c>
      <c r="T3155" s="1" t="s">
        <v>32</v>
      </c>
    </row>
    <row r="3156" spans="1:20" ht="51" x14ac:dyDescent="0.25">
      <c r="A3156" s="6">
        <v>3150</v>
      </c>
      <c r="B3156" s="1" t="str">
        <f>"2021-905"</f>
        <v>2021-905</v>
      </c>
      <c r="C3156" s="1" t="s">
        <v>2798</v>
      </c>
      <c r="D3156" s="1" t="s">
        <v>914</v>
      </c>
      <c r="E3156" s="1" t="str">
        <f>""</f>
        <v/>
      </c>
      <c r="F3156" s="1" t="s">
        <v>1860</v>
      </c>
      <c r="G3156" s="1" t="str">
        <f>CONCATENATE(" D.R. AUTO D.O.O.,"," SELSKA CESTA 34,"," 10000 ZAGREB,"," OIB: 07523847158")</f>
        <v xml:space="preserve"> D.R. AUTO D.O.O., SELSKA CESTA 34, 10000 ZAGREB, OIB: 07523847158</v>
      </c>
      <c r="H3156" s="7"/>
      <c r="I3156" s="8" t="s">
        <v>221</v>
      </c>
      <c r="J3156" s="8" t="s">
        <v>427</v>
      </c>
      <c r="K3156" s="6" t="str">
        <f>"1.766,40"</f>
        <v>1.766,40</v>
      </c>
      <c r="L3156" s="6" t="str">
        <f>"441,60"</f>
        <v>441,60</v>
      </c>
      <c r="M3156" s="6" t="str">
        <f>"2.208,00"</f>
        <v>2.208,00</v>
      </c>
      <c r="N3156" s="8" t="s">
        <v>2792</v>
      </c>
      <c r="O3156" s="7"/>
      <c r="P3156" s="2" t="s">
        <v>7354</v>
      </c>
      <c r="Q3156" s="7"/>
      <c r="R3156" s="1"/>
      <c r="S3156" s="1" t="str">
        <f>"J-UN-2021-959"</f>
        <v>J-UN-2021-959</v>
      </c>
      <c r="T3156" s="1" t="s">
        <v>32</v>
      </c>
    </row>
    <row r="3157" spans="1:20" ht="63.75" x14ac:dyDescent="0.25">
      <c r="A3157" s="6">
        <v>3151</v>
      </c>
      <c r="B3157" s="1" t="str">
        <f>"2021-169"</f>
        <v>2021-169</v>
      </c>
      <c r="C3157" s="1" t="s">
        <v>2620</v>
      </c>
      <c r="D3157" s="1" t="s">
        <v>665</v>
      </c>
      <c r="E3157" s="1" t="str">
        <f>""</f>
        <v/>
      </c>
      <c r="F3157" s="1" t="s">
        <v>1860</v>
      </c>
      <c r="G3157" s="1" t="str">
        <f>CONCATENATE(" GUMIIMPEX - GRP D.O.O.,"," PAVLEKA MIŠKINE 64C,"," 42000 VARAŽDIN,"," OIB: 8229856262")</f>
        <v xml:space="preserve"> GUMIIMPEX - GRP D.O.O., PAVLEKA MIŠKINE 64C, 42000 VARAŽDIN, OIB: 8229856262</v>
      </c>
      <c r="H3157" s="7"/>
      <c r="I3157" s="8" t="s">
        <v>2792</v>
      </c>
      <c r="J3157" s="8" t="s">
        <v>1550</v>
      </c>
      <c r="K3157" s="6" t="str">
        <f>"1.906,00"</f>
        <v>1.906,00</v>
      </c>
      <c r="L3157" s="6" t="str">
        <f>"476,50"</f>
        <v>476,50</v>
      </c>
      <c r="M3157" s="6" t="str">
        <f>"2.382,50"</f>
        <v>2.382,50</v>
      </c>
      <c r="N3157" s="8" t="s">
        <v>2843</v>
      </c>
      <c r="O3157" s="7"/>
      <c r="P3157" s="2" t="s">
        <v>7408</v>
      </c>
      <c r="Q3157" s="7"/>
      <c r="R3157" s="1"/>
      <c r="S3157" s="1" t="str">
        <f>"J-UN-2021-960"</f>
        <v>J-UN-2021-960</v>
      </c>
      <c r="T3157" s="1" t="s">
        <v>32</v>
      </c>
    </row>
    <row r="3158" spans="1:20" ht="51" x14ac:dyDescent="0.25">
      <c r="A3158" s="6">
        <v>3152</v>
      </c>
      <c r="B3158" s="1" t="str">
        <f>"2021-915"</f>
        <v>2021-915</v>
      </c>
      <c r="C3158" s="1" t="s">
        <v>2563</v>
      </c>
      <c r="D3158" s="1" t="s">
        <v>914</v>
      </c>
      <c r="E3158" s="1" t="str">
        <f>""</f>
        <v/>
      </c>
      <c r="F3158" s="1" t="s">
        <v>1860</v>
      </c>
      <c r="G3158" s="1" t="str">
        <f>CONCATENATE(" D.R. AUTO D.O.O.,"," SELSKA CESTA 34,"," 10000 ZAGREB,"," OIB: 07523847158")</f>
        <v xml:space="preserve"> D.R. AUTO D.O.O., SELSKA CESTA 34, 10000 ZAGREB, OIB: 07523847158</v>
      </c>
      <c r="H3158" s="7"/>
      <c r="I3158" s="8" t="s">
        <v>221</v>
      </c>
      <c r="J3158" s="8" t="s">
        <v>427</v>
      </c>
      <c r="K3158" s="6" t="str">
        <f>"1.902,40"</f>
        <v>1.902,40</v>
      </c>
      <c r="L3158" s="6" t="str">
        <f>"475,60"</f>
        <v>475,60</v>
      </c>
      <c r="M3158" s="6" t="str">
        <f>"2.378,00"</f>
        <v>2.378,00</v>
      </c>
      <c r="N3158" s="8" t="s">
        <v>1549</v>
      </c>
      <c r="O3158" s="7"/>
      <c r="P3158" s="2" t="s">
        <v>7409</v>
      </c>
      <c r="Q3158" s="7"/>
      <c r="R3158" s="1"/>
      <c r="S3158" s="1" t="str">
        <f>"J-UN-2021-961"</f>
        <v>J-UN-2021-961</v>
      </c>
      <c r="T3158" s="1" t="s">
        <v>32</v>
      </c>
    </row>
    <row r="3159" spans="1:20" ht="38.25" x14ac:dyDescent="0.25">
      <c r="A3159" s="6">
        <v>3153</v>
      </c>
      <c r="B3159" s="1" t="str">
        <f>"2021-1015"</f>
        <v>2021-1015</v>
      </c>
      <c r="C3159" s="1" t="s">
        <v>2492</v>
      </c>
      <c r="D3159" s="1" t="s">
        <v>2493</v>
      </c>
      <c r="E3159" s="1" t="str">
        <f>""</f>
        <v/>
      </c>
      <c r="F3159" s="1" t="s">
        <v>1860</v>
      </c>
      <c r="G3159" s="1" t="str">
        <f>CONCATENATE(" O-K-TEH d.o.o.,"," VUČAK 16A,"," 10000 ZAGREB,"," OIB: 37322381288")</f>
        <v xml:space="preserve"> O-K-TEH d.o.o., VUČAK 16A, 10000 ZAGREB, OIB: 37322381288</v>
      </c>
      <c r="H3159" s="7"/>
      <c r="I3159" s="8" t="s">
        <v>221</v>
      </c>
      <c r="J3159" s="8" t="s">
        <v>427</v>
      </c>
      <c r="K3159" s="6" t="str">
        <f>"10.562,40"</f>
        <v>10.562,40</v>
      </c>
      <c r="L3159" s="6" t="str">
        <f>"2.640,60"</f>
        <v>2.640,60</v>
      </c>
      <c r="M3159" s="6" t="str">
        <f>"13.203,00"</f>
        <v>13.203,00</v>
      </c>
      <c r="N3159" s="8" t="s">
        <v>2843</v>
      </c>
      <c r="O3159" s="7"/>
      <c r="P3159" s="2" t="s">
        <v>7410</v>
      </c>
      <c r="Q3159" s="7"/>
      <c r="R3159" s="1"/>
      <c r="S3159" s="1" t="str">
        <f>"J-UN-2021-962"</f>
        <v>J-UN-2021-962</v>
      </c>
      <c r="T3159" s="1" t="s">
        <v>32</v>
      </c>
    </row>
    <row r="3160" spans="1:20" ht="51" x14ac:dyDescent="0.25">
      <c r="A3160" s="6">
        <v>3154</v>
      </c>
      <c r="B3160" s="1" t="str">
        <f>"2021-117"</f>
        <v>2021-117</v>
      </c>
      <c r="C3160" s="1" t="s">
        <v>2841</v>
      </c>
      <c r="D3160" s="1" t="s">
        <v>2842</v>
      </c>
      <c r="E3160" s="1" t="str">
        <f>""</f>
        <v/>
      </c>
      <c r="F3160" s="1" t="s">
        <v>1860</v>
      </c>
      <c r="G3160" s="1" t="str">
        <f>CONCATENATE(" BERST D.O.O.,"," ZLATKA ŠULENTIĆA 8,"," 10000 ZAGREB,"," OIB: 49285823308")</f>
        <v xml:space="preserve"> BERST D.O.O., ZLATKA ŠULENTIĆA 8, 10000 ZAGREB, OIB: 49285823308</v>
      </c>
      <c r="H3160" s="7"/>
      <c r="I3160" s="8" t="s">
        <v>2748</v>
      </c>
      <c r="J3160" s="8" t="s">
        <v>902</v>
      </c>
      <c r="K3160" s="6" t="str">
        <f>"9.030,00"</f>
        <v>9.030,00</v>
      </c>
      <c r="L3160" s="6" t="str">
        <f>"2.257,50"</f>
        <v>2.257,50</v>
      </c>
      <c r="M3160" s="6" t="str">
        <f>"11.287,50"</f>
        <v>11.287,50</v>
      </c>
      <c r="N3160" s="8" t="s">
        <v>1476</v>
      </c>
      <c r="O3160" s="7"/>
      <c r="P3160" s="2" t="s">
        <v>7411</v>
      </c>
      <c r="Q3160" s="7"/>
      <c r="R3160" s="1"/>
      <c r="S3160" s="1" t="str">
        <f>"J-UN-2021-963"</f>
        <v>J-UN-2021-963</v>
      </c>
      <c r="T3160" s="1" t="s">
        <v>32</v>
      </c>
    </row>
    <row r="3161" spans="1:20" ht="63.75" x14ac:dyDescent="0.25">
      <c r="A3161" s="6">
        <v>3155</v>
      </c>
      <c r="B3161" s="1" t="str">
        <f>"2021-1003"</f>
        <v>2021-1003</v>
      </c>
      <c r="C3161" s="1" t="s">
        <v>2839</v>
      </c>
      <c r="D3161" s="1" t="s">
        <v>2716</v>
      </c>
      <c r="E3161" s="1" t="str">
        <f>""</f>
        <v/>
      </c>
      <c r="F3161" s="1" t="s">
        <v>1860</v>
      </c>
      <c r="G3161" s="1" t="str">
        <f>CONCATENATE(" GRA-PO D.O.O.,"," GOSPODARSKA 5B,"," 10255 ZAGREB - STUPNIK,"," OIB: 05364995085")</f>
        <v xml:space="preserve"> GRA-PO D.O.O., GOSPODARSKA 5B, 10255 ZAGREB - STUPNIK, OIB: 05364995085</v>
      </c>
      <c r="H3161" s="7"/>
      <c r="I3161" s="8" t="s">
        <v>221</v>
      </c>
      <c r="J3161" s="8" t="s">
        <v>427</v>
      </c>
      <c r="K3161" s="6" t="str">
        <f>"32.883,00"</f>
        <v>32.883,00</v>
      </c>
      <c r="L3161" s="6" t="str">
        <f>"8.220,75"</f>
        <v>8.220,75</v>
      </c>
      <c r="M3161" s="6" t="str">
        <f>"41.103,75"</f>
        <v>41.103,75</v>
      </c>
      <c r="N3161" s="8" t="s">
        <v>1952</v>
      </c>
      <c r="O3161" s="7"/>
      <c r="P3161" s="2" t="s">
        <v>7412</v>
      </c>
      <c r="Q3161" s="7"/>
      <c r="R3161" s="1"/>
      <c r="S3161" s="1" t="str">
        <f>"J-UN-2021-964"</f>
        <v>J-UN-2021-964</v>
      </c>
      <c r="T3161" s="1" t="s">
        <v>32</v>
      </c>
    </row>
    <row r="3162" spans="1:20" ht="51" x14ac:dyDescent="0.25">
      <c r="A3162" s="6">
        <v>3156</v>
      </c>
      <c r="B3162" s="1" t="str">
        <f>"2021-211"</f>
        <v>2021-211</v>
      </c>
      <c r="C3162" s="1" t="s">
        <v>2873</v>
      </c>
      <c r="D3162" s="1" t="s">
        <v>689</v>
      </c>
      <c r="E3162" s="1" t="str">
        <f>""</f>
        <v/>
      </c>
      <c r="F3162" s="1" t="s">
        <v>1860</v>
      </c>
      <c r="G3162" s="1" t="str">
        <f>CONCATENATE(" BERST D.O.O.,"," ZLATKA ŠULENTIĆA 8,"," 10000 ZAGREB,"," OIB: 49285823308")</f>
        <v xml:space="preserve"> BERST D.O.O., ZLATKA ŠULENTIĆA 8, 10000 ZAGREB, OIB: 49285823308</v>
      </c>
      <c r="H3162" s="7"/>
      <c r="I3162" s="8" t="s">
        <v>1411</v>
      </c>
      <c r="J3162" s="8" t="s">
        <v>927</v>
      </c>
      <c r="K3162" s="6" t="str">
        <f>"1.740,00"</f>
        <v>1.740,00</v>
      </c>
      <c r="L3162" s="6" t="str">
        <f>"435,00"</f>
        <v>435,00</v>
      </c>
      <c r="M3162" s="6" t="str">
        <f>"2.175,00"</f>
        <v>2.175,00</v>
      </c>
      <c r="N3162" s="8" t="s">
        <v>1476</v>
      </c>
      <c r="O3162" s="7"/>
      <c r="P3162" s="2" t="s">
        <v>6495</v>
      </c>
      <c r="Q3162" s="7"/>
      <c r="R3162" s="1"/>
      <c r="S3162" s="1" t="str">
        <f>"J-UN-2021-966"</f>
        <v>J-UN-2021-966</v>
      </c>
      <c r="T3162" s="1" t="s">
        <v>32</v>
      </c>
    </row>
    <row r="3163" spans="1:20" ht="63.75" x14ac:dyDescent="0.25">
      <c r="A3163" s="6">
        <v>3157</v>
      </c>
      <c r="B3163" s="1" t="str">
        <f>"2021-1722"</f>
        <v>2021-1722</v>
      </c>
      <c r="C3163" s="1" t="s">
        <v>2646</v>
      </c>
      <c r="D3163" s="1" t="s">
        <v>2647</v>
      </c>
      <c r="E3163" s="1" t="str">
        <f>""</f>
        <v/>
      </c>
      <c r="F3163" s="1" t="s">
        <v>1860</v>
      </c>
      <c r="G3163" s="1" t="str">
        <f>CONCATENATE(" HRVATSKI ZAVOD ZA JAVNO ZDRAVSTVO - HZJZ,"," ROCKEFELLEROVA 7,"," 10000 ZAGREB,"," OIB: 7529753204")</f>
        <v xml:space="preserve"> HRVATSKI ZAVOD ZA JAVNO ZDRAVSTVO - HZJZ, ROCKEFELLEROVA 7, 10000 ZAGREB, OIB: 7529753204</v>
      </c>
      <c r="H3163" s="7"/>
      <c r="I3163" s="8" t="s">
        <v>1411</v>
      </c>
      <c r="J3163" s="8" t="s">
        <v>927</v>
      </c>
      <c r="K3163" s="6" t="str">
        <f>"432,00"</f>
        <v>432,00</v>
      </c>
      <c r="L3163" s="6" t="str">
        <f>"108,00"</f>
        <v>108,00</v>
      </c>
      <c r="M3163" s="6" t="str">
        <f>"540,00"</f>
        <v>540,00</v>
      </c>
      <c r="N3163" s="8" t="s">
        <v>671</v>
      </c>
      <c r="O3163" s="7"/>
      <c r="P3163" s="2" t="s">
        <v>7413</v>
      </c>
      <c r="Q3163" s="7"/>
      <c r="R3163" s="1"/>
      <c r="S3163" s="1" t="str">
        <f>"J-UN-2021-967"</f>
        <v>J-UN-2021-967</v>
      </c>
      <c r="T3163" s="1" t="s">
        <v>32</v>
      </c>
    </row>
    <row r="3164" spans="1:20" ht="51" x14ac:dyDescent="0.25">
      <c r="A3164" s="6">
        <v>3158</v>
      </c>
      <c r="B3164" s="1" t="str">
        <f>"2021-79"</f>
        <v>2021-79</v>
      </c>
      <c r="C3164" s="1" t="s">
        <v>2790</v>
      </c>
      <c r="D3164" s="1" t="s">
        <v>2791</v>
      </c>
      <c r="E3164" s="1" t="str">
        <f>""</f>
        <v/>
      </c>
      <c r="F3164" s="1" t="s">
        <v>1860</v>
      </c>
      <c r="G3164" s="1" t="str">
        <f>CONCATENATE(" PRO-TEHNA D.O.O.,"," MAKSIMIRSKA 64,"," 10000 ZAGREB,"," OIB: 88951687357")</f>
        <v xml:space="preserve"> PRO-TEHNA D.O.O., MAKSIMIRSKA 64, 10000 ZAGREB, OIB: 88951687357</v>
      </c>
      <c r="H3164" s="7"/>
      <c r="I3164" s="8" t="s">
        <v>1411</v>
      </c>
      <c r="J3164" s="8" t="s">
        <v>927</v>
      </c>
      <c r="K3164" s="6" t="str">
        <f>"4.224,00"</f>
        <v>4.224,00</v>
      </c>
      <c r="L3164" s="6" t="str">
        <f>"1.056,00"</f>
        <v>1.056,00</v>
      </c>
      <c r="M3164" s="6" t="str">
        <f>"5.280,00"</f>
        <v>5.280,00</v>
      </c>
      <c r="N3164" s="8" t="s">
        <v>1476</v>
      </c>
      <c r="O3164" s="7"/>
      <c r="P3164" s="2" t="s">
        <v>7414</v>
      </c>
      <c r="Q3164" s="7"/>
      <c r="R3164" s="1"/>
      <c r="S3164" s="1" t="str">
        <f>"J-UN-2021-969"</f>
        <v>J-UN-2021-969</v>
      </c>
      <c r="T3164" s="1" t="s">
        <v>32</v>
      </c>
    </row>
    <row r="3165" spans="1:20" ht="51" x14ac:dyDescent="0.25">
      <c r="A3165" s="6">
        <v>3159</v>
      </c>
      <c r="B3165" s="1" t="str">
        <f>"2021-695"</f>
        <v>2021-695</v>
      </c>
      <c r="C3165" s="1" t="s">
        <v>2683</v>
      </c>
      <c r="D3165" s="1" t="s">
        <v>2684</v>
      </c>
      <c r="E3165" s="1" t="str">
        <f>""</f>
        <v/>
      </c>
      <c r="F3165" s="1" t="s">
        <v>1860</v>
      </c>
      <c r="G3165" s="1" t="str">
        <f>CONCATENATE(" BASIC MODEL D.O.O.,"," TRAVANJSKA 19,"," 10000 ZAGREB,"," OIB: 64150104602")</f>
        <v xml:space="preserve"> BASIC MODEL D.O.O., TRAVANJSKA 19, 10000 ZAGREB, OIB: 64150104602</v>
      </c>
      <c r="H3165" s="7"/>
      <c r="I3165" s="8" t="s">
        <v>1411</v>
      </c>
      <c r="J3165" s="8" t="s">
        <v>927</v>
      </c>
      <c r="K3165" s="6" t="str">
        <f>"3.570,00"</f>
        <v>3.570,00</v>
      </c>
      <c r="L3165" s="6" t="str">
        <f>"892,50"</f>
        <v>892,50</v>
      </c>
      <c r="M3165" s="6" t="str">
        <f>"4.462,50"</f>
        <v>4.462,50</v>
      </c>
      <c r="N3165" s="8" t="s">
        <v>1476</v>
      </c>
      <c r="O3165" s="7"/>
      <c r="P3165" s="2" t="s">
        <v>7415</v>
      </c>
      <c r="Q3165" s="7"/>
      <c r="R3165" s="1"/>
      <c r="S3165" s="1" t="str">
        <f>"J-UN-2021-970"</f>
        <v>J-UN-2021-970</v>
      </c>
      <c r="T3165" s="1" t="s">
        <v>32</v>
      </c>
    </row>
    <row r="3166" spans="1:20" ht="63.75" x14ac:dyDescent="0.25">
      <c r="A3166" s="6">
        <v>3160</v>
      </c>
      <c r="B3166" s="1" t="str">
        <f>"2021-190"</f>
        <v>2021-190</v>
      </c>
      <c r="C3166" s="1" t="s">
        <v>2874</v>
      </c>
      <c r="D3166" s="1" t="s">
        <v>1428</v>
      </c>
      <c r="E3166" s="1" t="str">
        <f>""</f>
        <v/>
      </c>
      <c r="F3166" s="1" t="s">
        <v>1860</v>
      </c>
      <c r="G3166" s="1" t="str">
        <f>CONCATENATE(" KEMOBOJA-DUBRAVA D.O.O.,"," AVENIJA DUBRAVA 37,"," 10000 ZAGREB,"," OIB: 6402157427")</f>
        <v xml:space="preserve"> KEMOBOJA-DUBRAVA D.O.O., AVENIJA DUBRAVA 37, 10000 ZAGREB, OIB: 6402157427</v>
      </c>
      <c r="H3166" s="7"/>
      <c r="I3166" s="8" t="s">
        <v>1411</v>
      </c>
      <c r="J3166" s="8" t="s">
        <v>927</v>
      </c>
      <c r="K3166" s="6" t="str">
        <f>"1.148,00"</f>
        <v>1.148,00</v>
      </c>
      <c r="L3166" s="6" t="str">
        <f>"287,00"</f>
        <v>287,00</v>
      </c>
      <c r="M3166" s="6" t="str">
        <f>"1.435,00"</f>
        <v>1.435,00</v>
      </c>
      <c r="N3166" s="8" t="s">
        <v>1952</v>
      </c>
      <c r="O3166" s="7"/>
      <c r="P3166" s="2" t="s">
        <v>7211</v>
      </c>
      <c r="Q3166" s="7"/>
      <c r="R3166" s="1"/>
      <c r="S3166" s="1" t="str">
        <f>"J-UN-2021-971"</f>
        <v>J-UN-2021-971</v>
      </c>
      <c r="T3166" s="1" t="s">
        <v>32</v>
      </c>
    </row>
    <row r="3167" spans="1:20" ht="51" x14ac:dyDescent="0.25">
      <c r="A3167" s="6">
        <v>3161</v>
      </c>
      <c r="B3167" s="1" t="str">
        <f>"2021-389"</f>
        <v>2021-389</v>
      </c>
      <c r="C3167" s="1" t="s">
        <v>2875</v>
      </c>
      <c r="D3167" s="1" t="s">
        <v>2577</v>
      </c>
      <c r="E3167" s="1" t="str">
        <f>""</f>
        <v/>
      </c>
      <c r="F3167" s="1" t="s">
        <v>1860</v>
      </c>
      <c r="G3167" s="1" t="str">
        <f>CONCATENATE(" PK D.O.O.,"," INDUSTRIJSKA ZONA R-27,"," 51223 ŠKRLJEVO,"," OIB: 07930503403")</f>
        <v xml:space="preserve"> PK D.O.O., INDUSTRIJSKA ZONA R-27, 51223 ŠKRLJEVO, OIB: 07930503403</v>
      </c>
      <c r="H3167" s="7"/>
      <c r="I3167" s="8" t="s">
        <v>1861</v>
      </c>
      <c r="J3167" s="8" t="s">
        <v>252</v>
      </c>
      <c r="K3167" s="6" t="str">
        <f>"270,90"</f>
        <v>270,90</v>
      </c>
      <c r="L3167" s="6" t="str">
        <f>"67,73"</f>
        <v>67,73</v>
      </c>
      <c r="M3167" s="6" t="str">
        <f>"338,63"</f>
        <v>338,63</v>
      </c>
      <c r="N3167" s="8" t="s">
        <v>1929</v>
      </c>
      <c r="O3167" s="7"/>
      <c r="P3167" s="2" t="s">
        <v>7416</v>
      </c>
      <c r="Q3167" s="7"/>
      <c r="R3167" s="1"/>
      <c r="S3167" s="1" t="str">
        <f>"J-UN-2021-972"</f>
        <v>J-UN-2021-972</v>
      </c>
      <c r="T3167" s="1" t="s">
        <v>32</v>
      </c>
    </row>
    <row r="3168" spans="1:20" ht="51" x14ac:dyDescent="0.25">
      <c r="A3168" s="6">
        <v>3162</v>
      </c>
      <c r="B3168" s="1" t="str">
        <f>"2021-704"</f>
        <v>2021-704</v>
      </c>
      <c r="C3168" s="1" t="s">
        <v>2817</v>
      </c>
      <c r="D3168" s="1" t="s">
        <v>2818</v>
      </c>
      <c r="E3168" s="1" t="str">
        <f>""</f>
        <v/>
      </c>
      <c r="F3168" s="1" t="s">
        <v>1860</v>
      </c>
      <c r="G3168" s="1" t="str">
        <f>CONCATENATE(" CIAK TOOLS D.O.O.,"," KOVINSKA 4,"," 10090 ZAGREB-SUSEDGRAD,"," OIB: 26004523816")</f>
        <v xml:space="preserve"> CIAK TOOLS D.O.O., KOVINSKA 4, 10090 ZAGREB-SUSEDGRAD, OIB: 26004523816</v>
      </c>
      <c r="H3168" s="7"/>
      <c r="I3168" s="8" t="s">
        <v>2748</v>
      </c>
      <c r="J3168" s="8" t="s">
        <v>902</v>
      </c>
      <c r="K3168" s="6" t="str">
        <f>"11.956,06"</f>
        <v>11.956,06</v>
      </c>
      <c r="L3168" s="6" t="str">
        <f>"2.989,02"</f>
        <v>2.989,02</v>
      </c>
      <c r="M3168" s="6" t="str">
        <f>"14.945,08"</f>
        <v>14.945,08</v>
      </c>
      <c r="N3168" s="8" t="s">
        <v>1029</v>
      </c>
      <c r="O3168" s="7"/>
      <c r="P3168" s="2" t="s">
        <v>7417</v>
      </c>
      <c r="Q3168" s="1" t="s">
        <v>5601</v>
      </c>
      <c r="R3168" s="1"/>
      <c r="S3168" s="1" t="str">
        <f>"J-UN-2021-973"</f>
        <v>J-UN-2021-973</v>
      </c>
      <c r="T3168" s="1" t="s">
        <v>32</v>
      </c>
    </row>
    <row r="3169" spans="1:20" ht="63.75" x14ac:dyDescent="0.25">
      <c r="A3169" s="6">
        <v>3163</v>
      </c>
      <c r="B3169" s="1" t="str">
        <f>"2021-143"</f>
        <v>2021-143</v>
      </c>
      <c r="C3169" s="1" t="s">
        <v>2621</v>
      </c>
      <c r="D3169" s="1" t="s">
        <v>2622</v>
      </c>
      <c r="E3169" s="1" t="str">
        <f>""</f>
        <v/>
      </c>
      <c r="F3169" s="1" t="s">
        <v>1860</v>
      </c>
      <c r="G3169" s="1" t="str">
        <f>CONCATENATE(" KEMOBOJA-DUBRAVA D.O.O.,"," AVENIJA DUBRAVA 37,"," 10000 ZAGREB,"," OIB: 6402157427")</f>
        <v xml:space="preserve"> KEMOBOJA-DUBRAVA D.O.O., AVENIJA DUBRAVA 37, 10000 ZAGREB, OIB: 6402157427</v>
      </c>
      <c r="H3169" s="7"/>
      <c r="I3169" s="8" t="s">
        <v>540</v>
      </c>
      <c r="J3169" s="8" t="s">
        <v>402</v>
      </c>
      <c r="K3169" s="6" t="str">
        <f>"13.010,64"</f>
        <v>13.010,64</v>
      </c>
      <c r="L3169" s="6" t="str">
        <f>"3.252,66"</f>
        <v>3.252,66</v>
      </c>
      <c r="M3169" s="6" t="str">
        <f>"16.263,30"</f>
        <v>16.263,30</v>
      </c>
      <c r="N3169" s="8" t="s">
        <v>735</v>
      </c>
      <c r="O3169" s="7"/>
      <c r="P3169" s="2" t="s">
        <v>7418</v>
      </c>
      <c r="Q3169" s="1" t="s">
        <v>5601</v>
      </c>
      <c r="R3169" s="1"/>
      <c r="S3169" s="1" t="str">
        <f>"J-UN-2021-979"</f>
        <v>J-UN-2021-979</v>
      </c>
      <c r="T3169" s="1" t="s">
        <v>32</v>
      </c>
    </row>
    <row r="3170" spans="1:20" ht="51" x14ac:dyDescent="0.25">
      <c r="A3170" s="6">
        <v>3164</v>
      </c>
      <c r="B3170" s="1" t="str">
        <f>"2021-1204"</f>
        <v>2021-1204</v>
      </c>
      <c r="C3170" s="1" t="s">
        <v>2787</v>
      </c>
      <c r="D3170" s="1" t="s">
        <v>1627</v>
      </c>
      <c r="E3170" s="1" t="str">
        <f>""</f>
        <v/>
      </c>
      <c r="F3170" s="1" t="s">
        <v>1860</v>
      </c>
      <c r="G3170" s="1" t="str">
        <f>CONCATENATE(" ELICOM D.O.O.,"," ŠTEFANOVEC 138,"," 10000 ZAGREB,"," OIB: 76370234816")</f>
        <v xml:space="preserve"> ELICOM D.O.O., ŠTEFANOVEC 138, 10000 ZAGREB, OIB: 76370234816</v>
      </c>
      <c r="H3170" s="7"/>
      <c r="I3170" s="8" t="s">
        <v>2792</v>
      </c>
      <c r="J3170" s="8" t="s">
        <v>1550</v>
      </c>
      <c r="K3170" s="6" t="str">
        <f>"1.585,88"</f>
        <v>1.585,88</v>
      </c>
      <c r="L3170" s="6" t="str">
        <f>"396,47"</f>
        <v>396,47</v>
      </c>
      <c r="M3170" s="6" t="str">
        <f>"1.982,35"</f>
        <v>1.982,35</v>
      </c>
      <c r="N3170" s="8" t="s">
        <v>2748</v>
      </c>
      <c r="O3170" s="7"/>
      <c r="P3170" s="2" t="s">
        <v>7419</v>
      </c>
      <c r="Q3170" s="7"/>
      <c r="R3170" s="1"/>
      <c r="S3170" s="1" t="str">
        <f>"J-UN-2021-980"</f>
        <v>J-UN-2021-980</v>
      </c>
      <c r="T3170" s="1" t="s">
        <v>32</v>
      </c>
    </row>
    <row r="3171" spans="1:20" ht="76.5" x14ac:dyDescent="0.25">
      <c r="A3171" s="6">
        <v>3165</v>
      </c>
      <c r="B3171" s="1" t="str">
        <f>"2021-1206"</f>
        <v>2021-1206</v>
      </c>
      <c r="C3171" s="1" t="s">
        <v>2821</v>
      </c>
      <c r="D3171" s="1" t="s">
        <v>1627</v>
      </c>
      <c r="E3171" s="1" t="str">
        <f>""</f>
        <v/>
      </c>
      <c r="F3171" s="1" t="s">
        <v>1860</v>
      </c>
      <c r="G3171" s="1" t="str">
        <f>CONCATENATE(" ELICOM D.O.O.,"," ŠTEFANOVEC 138,"," 10000 ZAGREB,"," OIB: 76370234816")</f>
        <v xml:space="preserve"> ELICOM D.O.O., ŠTEFANOVEC 138, 10000 ZAGREB, OIB: 76370234816</v>
      </c>
      <c r="H3171" s="7"/>
      <c r="I3171" s="8" t="s">
        <v>2792</v>
      </c>
      <c r="J3171" s="8" t="s">
        <v>1550</v>
      </c>
      <c r="K3171" s="6" t="str">
        <f>"3.912,00"</f>
        <v>3.912,00</v>
      </c>
      <c r="L3171" s="6" t="str">
        <f>"978,00"</f>
        <v>978,00</v>
      </c>
      <c r="M3171" s="6" t="str">
        <f>"4.890,00"</f>
        <v>4.890,00</v>
      </c>
      <c r="N3171" s="8" t="s">
        <v>1501</v>
      </c>
      <c r="O3171" s="7"/>
      <c r="P3171" s="2" t="s">
        <v>7420</v>
      </c>
      <c r="Q3171" s="7"/>
      <c r="R3171" s="1"/>
      <c r="S3171" s="1" t="str">
        <f>"J-UN-2021-981"</f>
        <v>J-UN-2021-981</v>
      </c>
      <c r="T3171" s="1" t="s">
        <v>32</v>
      </c>
    </row>
    <row r="3172" spans="1:20" ht="63.75" x14ac:dyDescent="0.25">
      <c r="A3172" s="6">
        <v>3166</v>
      </c>
      <c r="B3172" s="1" t="str">
        <f>"2021-299"</f>
        <v>2021-299</v>
      </c>
      <c r="C3172" s="1" t="s">
        <v>2609</v>
      </c>
      <c r="D3172" s="1" t="s">
        <v>2610</v>
      </c>
      <c r="E3172" s="1" t="str">
        <f>""</f>
        <v/>
      </c>
      <c r="F3172" s="1" t="s">
        <v>1860</v>
      </c>
      <c r="G3172" s="1" t="str">
        <f>CONCATENATE(" LEŽAJ TRADE D.O.O.,"," BRDOVEC,"," ZAGREBAČKA 26,"," 10291 PRIGORJE BRDOVEČKO,"," OIB: 64008199572")</f>
        <v xml:space="preserve"> LEŽAJ TRADE D.O.O., BRDOVEC, ZAGREBAČKA 26, 10291 PRIGORJE BRDOVEČKO, OIB: 64008199572</v>
      </c>
      <c r="H3172" s="7"/>
      <c r="I3172" s="8" t="s">
        <v>540</v>
      </c>
      <c r="J3172" s="8" t="s">
        <v>402</v>
      </c>
      <c r="K3172" s="6" t="str">
        <f>"1.673,20"</f>
        <v>1.673,20</v>
      </c>
      <c r="L3172" s="6" t="str">
        <f>"418,30"</f>
        <v>418,30</v>
      </c>
      <c r="M3172" s="6" t="str">
        <f>"2.091,50"</f>
        <v>2.091,50</v>
      </c>
      <c r="N3172" s="8" t="s">
        <v>1171</v>
      </c>
      <c r="O3172" s="7"/>
      <c r="P3172" s="2" t="s">
        <v>7421</v>
      </c>
      <c r="Q3172" s="7"/>
      <c r="R3172" s="1"/>
      <c r="S3172" s="1" t="str">
        <f>"J-UN-2021-982"</f>
        <v>J-UN-2021-982</v>
      </c>
      <c r="T3172" s="1" t="s">
        <v>32</v>
      </c>
    </row>
    <row r="3173" spans="1:20" ht="89.25" x14ac:dyDescent="0.25">
      <c r="A3173" s="6">
        <v>3167</v>
      </c>
      <c r="B3173" s="1" t="str">
        <f>"2021-926"</f>
        <v>2021-926</v>
      </c>
      <c r="C3173" s="1" t="s">
        <v>2802</v>
      </c>
      <c r="D3173" s="1" t="s">
        <v>2803</v>
      </c>
      <c r="E3173" s="1" t="str">
        <f>""</f>
        <v/>
      </c>
      <c r="F3173" s="1" t="s">
        <v>1860</v>
      </c>
      <c r="G3173" s="1" t="str">
        <f>CONCATENATE(" AUTO HRVATSKA PRODAJNO SERVISNI CENTRI D.O.O.,"," ZASTAVNICE 25/C,"," 10251 HRVATSKI LESKOVAC,"," OIB: 87682591133")</f>
        <v xml:space="preserve"> AUTO HRVATSKA PRODAJNO SERVISNI CENTRI D.O.O., ZASTAVNICE 25/C, 10251 HRVATSKI LESKOVAC, OIB: 87682591133</v>
      </c>
      <c r="H3173" s="7"/>
      <c r="I3173" s="8" t="s">
        <v>2696</v>
      </c>
      <c r="J3173" s="8" t="s">
        <v>169</v>
      </c>
      <c r="K3173" s="6" t="str">
        <f>"18.834,48"</f>
        <v>18.834,48</v>
      </c>
      <c r="L3173" s="6" t="str">
        <f>"4.708,62"</f>
        <v>4.708,62</v>
      </c>
      <c r="M3173" s="6" t="str">
        <f>"23.543,10"</f>
        <v>23.543,10</v>
      </c>
      <c r="N3173" s="8" t="s">
        <v>2717</v>
      </c>
      <c r="O3173" s="7"/>
      <c r="P3173" s="2" t="s">
        <v>7422</v>
      </c>
      <c r="Q3173" s="7"/>
      <c r="R3173" s="1"/>
      <c r="S3173" s="1" t="str">
        <f>"J-UN-2021-985"</f>
        <v>J-UN-2021-985</v>
      </c>
      <c r="T3173" s="1" t="s">
        <v>32</v>
      </c>
    </row>
    <row r="3174" spans="1:20" ht="63.75" x14ac:dyDescent="0.25">
      <c r="A3174" s="6">
        <v>3168</v>
      </c>
      <c r="B3174" s="1" t="str">
        <f>"2021-629"</f>
        <v>2021-629</v>
      </c>
      <c r="C3174" s="1" t="s">
        <v>2876</v>
      </c>
      <c r="D3174" s="1" t="s">
        <v>794</v>
      </c>
      <c r="E3174" s="1" t="str">
        <f>""</f>
        <v/>
      </c>
      <c r="F3174" s="1" t="s">
        <v>1860</v>
      </c>
      <c r="G3174" s="1" t="str">
        <f>CONCATENATE(" C.I.A.K. AUTO D.O.O.,"," GORNJOSTUPNIČKA 96,"," 10255 GORNJI STUPNIK,"," OIB: 62595301902")</f>
        <v xml:space="preserve"> C.I.A.K. AUTO D.O.O., GORNJOSTUPNIČKA 96, 10255 GORNJI STUPNIK, OIB: 62595301902</v>
      </c>
      <c r="H3174" s="7"/>
      <c r="I3174" s="8" t="s">
        <v>1476</v>
      </c>
      <c r="J3174" s="8" t="s">
        <v>1121</v>
      </c>
      <c r="K3174" s="6" t="str">
        <f>"1.050,00"</f>
        <v>1.050,00</v>
      </c>
      <c r="L3174" s="6" t="str">
        <f>"262,50"</f>
        <v>262,50</v>
      </c>
      <c r="M3174" s="6" t="str">
        <f>"1.312,50"</f>
        <v>1.312,50</v>
      </c>
      <c r="N3174" s="8" t="s">
        <v>1320</v>
      </c>
      <c r="O3174" s="7"/>
      <c r="P3174" s="2" t="s">
        <v>7423</v>
      </c>
      <c r="Q3174" s="7"/>
      <c r="R3174" s="1"/>
      <c r="S3174" s="1" t="str">
        <f>"J-UN-2021-987"</f>
        <v>J-UN-2021-987</v>
      </c>
      <c r="T3174" s="1" t="s">
        <v>32</v>
      </c>
    </row>
    <row r="3175" spans="1:20" ht="63.75" x14ac:dyDescent="0.25">
      <c r="A3175" s="6">
        <v>3169</v>
      </c>
      <c r="B3175" s="1" t="str">
        <f>"2021-639"</f>
        <v>2021-639</v>
      </c>
      <c r="C3175" s="1" t="s">
        <v>2877</v>
      </c>
      <c r="D3175" s="1" t="s">
        <v>794</v>
      </c>
      <c r="E3175" s="1" t="str">
        <f>""</f>
        <v/>
      </c>
      <c r="F3175" s="1" t="s">
        <v>1860</v>
      </c>
      <c r="G3175" s="1" t="str">
        <f>CONCATENATE(" TOKIĆ D.O.O.,"," ULICA 144. BRIGADE HRVATSKE VOJSKE 1A,"," 10360 SESVETE,"," OIB: 7486748762")</f>
        <v xml:space="preserve"> TOKIĆ D.O.O., ULICA 144. BRIGADE HRVATSKE VOJSKE 1A, 10360 SESVETE, OIB: 7486748762</v>
      </c>
      <c r="H3175" s="7"/>
      <c r="I3175" s="8" t="s">
        <v>2696</v>
      </c>
      <c r="J3175" s="8" t="s">
        <v>169</v>
      </c>
      <c r="K3175" s="6" t="str">
        <f>"5.850,40"</f>
        <v>5.850,40</v>
      </c>
      <c r="L3175" s="6" t="str">
        <f>"1.462,60"</f>
        <v>1.462,60</v>
      </c>
      <c r="M3175" s="6" t="str">
        <f>"7.313,00"</f>
        <v>7.313,00</v>
      </c>
      <c r="N3175" s="8" t="s">
        <v>1929</v>
      </c>
      <c r="O3175" s="7"/>
      <c r="P3175" s="2" t="s">
        <v>7424</v>
      </c>
      <c r="Q3175" s="7"/>
      <c r="R3175" s="1"/>
      <c r="S3175" s="1" t="str">
        <f>"J-UN-2021-988"</f>
        <v>J-UN-2021-988</v>
      </c>
      <c r="T3175" s="1" t="s">
        <v>32</v>
      </c>
    </row>
    <row r="3176" spans="1:20" ht="51" x14ac:dyDescent="0.25">
      <c r="A3176" s="6">
        <v>3170</v>
      </c>
      <c r="B3176" s="1" t="str">
        <f>"2021-639"</f>
        <v>2021-639</v>
      </c>
      <c r="C3176" s="1" t="s">
        <v>2877</v>
      </c>
      <c r="D3176" s="1" t="s">
        <v>794</v>
      </c>
      <c r="E3176" s="1" t="str">
        <f>""</f>
        <v/>
      </c>
      <c r="F3176" s="1" t="s">
        <v>1860</v>
      </c>
      <c r="G3176" s="1" t="str">
        <f>CONCATENATE(" PURIĆ D.O.O.,"," ANDRIJE HEBRANGA 54,"," 10430 SAMOBOR,"," OIB: 56717147376")</f>
        <v xml:space="preserve"> PURIĆ D.O.O., ANDRIJE HEBRANGA 54, 10430 SAMOBOR, OIB: 56717147376</v>
      </c>
      <c r="H3176" s="7"/>
      <c r="I3176" s="8" t="s">
        <v>2696</v>
      </c>
      <c r="J3176" s="8" t="s">
        <v>169</v>
      </c>
      <c r="K3176" s="6" t="str">
        <f>"24.985,80"</f>
        <v>24.985,80</v>
      </c>
      <c r="L3176" s="6" t="str">
        <f>"6.246,45"</f>
        <v>6.246,45</v>
      </c>
      <c r="M3176" s="6" t="str">
        <f>"31.232,25"</f>
        <v>31.232,25</v>
      </c>
      <c r="N3176" s="8" t="s">
        <v>1988</v>
      </c>
      <c r="O3176" s="7"/>
      <c r="P3176" s="2" t="s">
        <v>7425</v>
      </c>
      <c r="Q3176" s="7"/>
      <c r="R3176" s="1"/>
      <c r="S3176" s="1" t="str">
        <f>"J-UN-2021-989"</f>
        <v>J-UN-2021-989</v>
      </c>
      <c r="T3176" s="1" t="s">
        <v>32</v>
      </c>
    </row>
    <row r="3177" spans="1:20" ht="51" x14ac:dyDescent="0.25">
      <c r="A3177" s="6">
        <v>3171</v>
      </c>
      <c r="B3177" s="1" t="str">
        <f>"2021-310"</f>
        <v>2021-310</v>
      </c>
      <c r="C3177" s="1" t="s">
        <v>2624</v>
      </c>
      <c r="D3177" s="1" t="s">
        <v>1334</v>
      </c>
      <c r="E3177" s="1" t="str">
        <f>""</f>
        <v/>
      </c>
      <c r="F3177" s="1" t="s">
        <v>1860</v>
      </c>
      <c r="G3177" s="1" t="str">
        <f>CONCATENATE(" PRO-TEHNA D.O.O.,"," MAKSIMIRSKA 64,"," 10000 ZAGREB,"," OIB: 88951687357")</f>
        <v xml:space="preserve"> PRO-TEHNA D.O.O., MAKSIMIRSKA 64, 10000 ZAGREB, OIB: 88951687357</v>
      </c>
      <c r="H3177" s="7"/>
      <c r="I3177" s="8" t="s">
        <v>1411</v>
      </c>
      <c r="J3177" s="8" t="s">
        <v>927</v>
      </c>
      <c r="K3177" s="6" t="str">
        <f>"6.890,00"</f>
        <v>6.890,00</v>
      </c>
      <c r="L3177" s="6" t="str">
        <f>"1.722,50"</f>
        <v>1.722,50</v>
      </c>
      <c r="M3177" s="6" t="str">
        <f>"8.612,50"</f>
        <v>8.612,50</v>
      </c>
      <c r="N3177" s="8" t="s">
        <v>2696</v>
      </c>
      <c r="O3177" s="7"/>
      <c r="P3177" s="2" t="s">
        <v>7426</v>
      </c>
      <c r="Q3177" s="7"/>
      <c r="R3177" s="1"/>
      <c r="S3177" s="1" t="str">
        <f>"J-UN-2021-990"</f>
        <v>J-UN-2021-990</v>
      </c>
      <c r="T3177" s="1" t="s">
        <v>32</v>
      </c>
    </row>
    <row r="3178" spans="1:20" ht="51" x14ac:dyDescent="0.25">
      <c r="A3178" s="6">
        <v>3172</v>
      </c>
      <c r="B3178" s="1" t="str">
        <f>"2021-2276"</f>
        <v>2021-2276</v>
      </c>
      <c r="C3178" s="1" t="s">
        <v>2878</v>
      </c>
      <c r="D3178" s="1" t="s">
        <v>941</v>
      </c>
      <c r="E3178" s="1" t="str">
        <f>""</f>
        <v/>
      </c>
      <c r="F3178" s="1" t="s">
        <v>1860</v>
      </c>
      <c r="G3178" s="1" t="str">
        <f>CONCATENATE(" NERING D.O.O.,"," LIVADARSKI PUT 24,"," 10360 SESVETE,"," OIB: 85965934616")</f>
        <v xml:space="preserve"> NERING D.O.O., LIVADARSKI PUT 24, 10360 SESVETE, OIB: 85965934616</v>
      </c>
      <c r="H3178" s="7"/>
      <c r="I3178" s="8" t="s">
        <v>1411</v>
      </c>
      <c r="J3178" s="8" t="s">
        <v>927</v>
      </c>
      <c r="K3178" s="6" t="str">
        <f>"76.000,00"</f>
        <v>76.000,00</v>
      </c>
      <c r="L3178" s="6" t="str">
        <f>"19.000,00"</f>
        <v>19.000,00</v>
      </c>
      <c r="M3178" s="6" t="str">
        <f>"95.000,00"</f>
        <v>95.000,00</v>
      </c>
      <c r="N3178" s="8" t="s">
        <v>182</v>
      </c>
      <c r="O3178" s="7"/>
      <c r="P3178" s="2" t="s">
        <v>7427</v>
      </c>
      <c r="Q3178" s="7"/>
      <c r="R3178" s="1"/>
      <c r="S3178" s="1" t="str">
        <f>"J-UN-2021-992"</f>
        <v>J-UN-2021-992</v>
      </c>
      <c r="T3178" s="1" t="s">
        <v>32</v>
      </c>
    </row>
    <row r="3179" spans="1:20" ht="51" x14ac:dyDescent="0.25">
      <c r="A3179" s="6">
        <v>3173</v>
      </c>
      <c r="B3179" s="1" t="str">
        <f>"2021-1015"</f>
        <v>2021-1015</v>
      </c>
      <c r="C3179" s="1" t="s">
        <v>2492</v>
      </c>
      <c r="D3179" s="1" t="s">
        <v>2493</v>
      </c>
      <c r="E3179" s="1" t="str">
        <f>""</f>
        <v/>
      </c>
      <c r="F3179" s="1" t="s">
        <v>1860</v>
      </c>
      <c r="G3179" s="1" t="str">
        <f>CONCATENATE(" STAR IMPORT D.O.O.,"," KOVINSKA 5,"," 10090 ZAGREB-SUSEDGRAD,"," OIB: 783122799")</f>
        <v xml:space="preserve"> STAR IMPORT D.O.O., KOVINSKA 5, 10090 ZAGREB-SUSEDGRAD, OIB: 783122799</v>
      </c>
      <c r="H3179" s="7"/>
      <c r="I3179" s="8" t="s">
        <v>2792</v>
      </c>
      <c r="J3179" s="8" t="s">
        <v>1550</v>
      </c>
      <c r="K3179" s="6" t="str">
        <f>"2.447,29"</f>
        <v>2.447,29</v>
      </c>
      <c r="L3179" s="6" t="str">
        <f>"611,82"</f>
        <v>611,82</v>
      </c>
      <c r="M3179" s="6" t="str">
        <f>"3.059,11"</f>
        <v>3.059,11</v>
      </c>
      <c r="N3179" s="8" t="s">
        <v>533</v>
      </c>
      <c r="O3179" s="7"/>
      <c r="P3179" s="2" t="s">
        <v>7428</v>
      </c>
      <c r="Q3179" s="7"/>
      <c r="R3179" s="1"/>
      <c r="S3179" s="1" t="str">
        <f>"J-UN-2021-993"</f>
        <v>J-UN-2021-993</v>
      </c>
      <c r="T3179" s="1" t="s">
        <v>32</v>
      </c>
    </row>
    <row r="3180" spans="1:20" ht="51" x14ac:dyDescent="0.25">
      <c r="A3180" s="6">
        <v>3174</v>
      </c>
      <c r="B3180" s="1" t="str">
        <f>"2021-1049"</f>
        <v>2021-1049</v>
      </c>
      <c r="C3180" s="1" t="s">
        <v>2469</v>
      </c>
      <c r="D3180" s="1" t="s">
        <v>2287</v>
      </c>
      <c r="E3180" s="1" t="str">
        <f>""</f>
        <v/>
      </c>
      <c r="F3180" s="1" t="s">
        <v>1860</v>
      </c>
      <c r="G3180" s="1" t="str">
        <f>CONCATENATE(" TIP - ZAGREB D.O.O.,"," VINOGRADSKA 34,"," 10431 SVETA NEDELJA,"," OIB: 36198195227")</f>
        <v xml:space="preserve"> TIP - ZAGREB D.O.O., VINOGRADSKA 34, 10431 SVETA NEDELJA, OIB: 36198195227</v>
      </c>
      <c r="H3180" s="7"/>
      <c r="I3180" s="8" t="s">
        <v>2696</v>
      </c>
      <c r="J3180" s="8" t="s">
        <v>169</v>
      </c>
      <c r="K3180" s="6" t="str">
        <f>"4.205,00"</f>
        <v>4.205,00</v>
      </c>
      <c r="L3180" s="6" t="str">
        <f>"1.051,25"</f>
        <v>1.051,25</v>
      </c>
      <c r="M3180" s="6" t="str">
        <f>"5.256,25"</f>
        <v>5.256,25</v>
      </c>
      <c r="N3180" s="8" t="s">
        <v>1929</v>
      </c>
      <c r="O3180" s="7"/>
      <c r="P3180" s="2" t="s">
        <v>7429</v>
      </c>
      <c r="Q3180" s="7"/>
      <c r="R3180" s="1"/>
      <c r="S3180" s="1" t="str">
        <f>"J-UN-2021-999"</f>
        <v>J-UN-2021-999</v>
      </c>
      <c r="T3180" s="1" t="s">
        <v>32</v>
      </c>
    </row>
    <row r="3181" spans="1:20" ht="63.75" x14ac:dyDescent="0.25">
      <c r="A3181" s="6">
        <v>3175</v>
      </c>
      <c r="B3181" s="1" t="str">
        <f>"2021-1792"</f>
        <v>2021-1792</v>
      </c>
      <c r="C3181" s="1" t="s">
        <v>2756</v>
      </c>
      <c r="D3181" s="1" t="s">
        <v>860</v>
      </c>
      <c r="E3181" s="1" t="str">
        <f>""</f>
        <v/>
      </c>
      <c r="F3181" s="1" t="s">
        <v>1860</v>
      </c>
      <c r="G3181" s="1" t="str">
        <f>CONCATENATE(" SERVIS I TRGOVINA ŽIBRAT,"," VL. DARKO ŽIBRAT,"," I RESNIK 52,"," 10000 ZAGREB,"," OIB: 46603270345")</f>
        <v xml:space="preserve"> SERVIS I TRGOVINA ŽIBRAT, VL. DARKO ŽIBRAT, I RESNIK 52, 10000 ZAGREB, OIB: 46603270345</v>
      </c>
      <c r="H3181" s="7"/>
      <c r="I3181" s="8" t="s">
        <v>2748</v>
      </c>
      <c r="J3181" s="8" t="s">
        <v>902</v>
      </c>
      <c r="K3181" s="6" t="str">
        <f>"19.250,00"</f>
        <v>19.250,00</v>
      </c>
      <c r="L3181" s="6" t="str">
        <f>"4.812,50"</f>
        <v>4.812,50</v>
      </c>
      <c r="M3181" s="6" t="str">
        <f>"24.062,50"</f>
        <v>24.062,50</v>
      </c>
      <c r="N3181" s="8" t="s">
        <v>540</v>
      </c>
      <c r="O3181" s="7"/>
      <c r="P3181" s="2" t="s">
        <v>7430</v>
      </c>
      <c r="Q3181" s="7"/>
      <c r="R3181" s="1"/>
      <c r="S3181" s="1" t="str">
        <f>"J-UN-2021-1000"</f>
        <v>J-UN-2021-1000</v>
      </c>
      <c r="T3181" s="1" t="s">
        <v>32</v>
      </c>
    </row>
    <row r="3182" spans="1:20" ht="63.75" x14ac:dyDescent="0.25">
      <c r="A3182" s="6">
        <v>3176</v>
      </c>
      <c r="B3182" s="1" t="str">
        <f>"2021-1101"</f>
        <v>2021-1101</v>
      </c>
      <c r="C3182" s="1" t="s">
        <v>2702</v>
      </c>
      <c r="D3182" s="1" t="s">
        <v>1209</v>
      </c>
      <c r="E3182" s="1" t="str">
        <f>""</f>
        <v/>
      </c>
      <c r="F3182" s="1" t="s">
        <v>1860</v>
      </c>
      <c r="G3182" s="1" t="str">
        <f>CONCATENATE(" DRÄGER SAFETY D.O.O.,"," AVENIJA VEĆESLAVA HOLJEVCA 40,"," 10010 ZAGREB,"," OIB: 32874587842")</f>
        <v xml:space="preserve"> DRÄGER SAFETY D.O.O., AVENIJA VEĆESLAVA HOLJEVCA 40, 10010 ZAGREB, OIB: 32874587842</v>
      </c>
      <c r="H3182" s="7"/>
      <c r="I3182" s="8" t="s">
        <v>533</v>
      </c>
      <c r="J3182" s="8" t="s">
        <v>263</v>
      </c>
      <c r="K3182" s="6" t="str">
        <f>"2.680,67"</f>
        <v>2.680,67</v>
      </c>
      <c r="L3182" s="6" t="str">
        <f>"670,17"</f>
        <v>670,17</v>
      </c>
      <c r="M3182" s="6" t="str">
        <f>"3.350,84"</f>
        <v>3.350,84</v>
      </c>
      <c r="N3182" s="8" t="s">
        <v>77</v>
      </c>
      <c r="O3182" s="7"/>
      <c r="P3182" s="2" t="s">
        <v>7431</v>
      </c>
      <c r="Q3182" s="7"/>
      <c r="R3182" s="1"/>
      <c r="S3182" s="1" t="str">
        <f>"J-UN-2021-1002"</f>
        <v>J-UN-2021-1002</v>
      </c>
      <c r="T3182" s="1" t="s">
        <v>32</v>
      </c>
    </row>
    <row r="3183" spans="1:20" ht="63.75" x14ac:dyDescent="0.25">
      <c r="A3183" s="6">
        <v>3177</v>
      </c>
      <c r="B3183" s="1" t="str">
        <f>"2021-463"</f>
        <v>2021-463</v>
      </c>
      <c r="C3183" s="1" t="s">
        <v>2600</v>
      </c>
      <c r="D3183" s="1" t="s">
        <v>2601</v>
      </c>
      <c r="E3183" s="1" t="str">
        <f>""</f>
        <v/>
      </c>
      <c r="F3183" s="1" t="s">
        <v>1860</v>
      </c>
      <c r="G3183" s="1" t="str">
        <f>CONCATENATE(" POLJOOPSKRBA-TEHNO D.D.,"," SAMOBORSKA 96,"," 10000 ZAGREB,"," OIB: 5372167324")</f>
        <v xml:space="preserve"> POLJOOPSKRBA-TEHNO D.D., SAMOBORSKA 96, 10000 ZAGREB, OIB: 5372167324</v>
      </c>
      <c r="H3183" s="7"/>
      <c r="I3183" s="8" t="s">
        <v>1929</v>
      </c>
      <c r="J3183" s="8" t="s">
        <v>287</v>
      </c>
      <c r="K3183" s="6" t="str">
        <f>"18.080,00"</f>
        <v>18.080,00</v>
      </c>
      <c r="L3183" s="6" t="str">
        <f>"4.520,00"</f>
        <v>4.520,00</v>
      </c>
      <c r="M3183" s="6" t="str">
        <f>"22.600,00"</f>
        <v>22.600,00</v>
      </c>
      <c r="N3183" s="8" t="s">
        <v>1891</v>
      </c>
      <c r="O3183" s="7"/>
      <c r="P3183" s="2" t="s">
        <v>7432</v>
      </c>
      <c r="Q3183" s="7"/>
      <c r="R3183" s="1"/>
      <c r="S3183" s="1" t="str">
        <f>"J-UN-2021-1003"</f>
        <v>J-UN-2021-1003</v>
      </c>
      <c r="T3183" s="1" t="s">
        <v>32</v>
      </c>
    </row>
    <row r="3184" spans="1:20" ht="51" x14ac:dyDescent="0.25">
      <c r="A3184" s="6">
        <v>3178</v>
      </c>
      <c r="B3184" s="1" t="str">
        <f>"2021-1154"</f>
        <v>2021-1154</v>
      </c>
      <c r="C3184" s="1" t="s">
        <v>2854</v>
      </c>
      <c r="D3184" s="1" t="s">
        <v>2855</v>
      </c>
      <c r="E3184" s="1" t="str">
        <f>""</f>
        <v/>
      </c>
      <c r="F3184" s="1" t="s">
        <v>1860</v>
      </c>
      <c r="G3184" s="1" t="str">
        <f>CONCATENATE(" TEHNO-HIDRAULIK D.O.O.,"," SAVIŠĆE 2,"," 10000 ZAGREB,"," OIB: 09925328419")</f>
        <v xml:space="preserve"> TEHNO-HIDRAULIK D.O.O., SAVIŠĆE 2, 10000 ZAGREB, OIB: 09925328419</v>
      </c>
      <c r="H3184" s="7"/>
      <c r="I3184" s="8" t="s">
        <v>2696</v>
      </c>
      <c r="J3184" s="8" t="s">
        <v>169</v>
      </c>
      <c r="K3184" s="6" t="str">
        <f>"4.873,33"</f>
        <v>4.873,33</v>
      </c>
      <c r="L3184" s="6" t="str">
        <f>"1.218,33"</f>
        <v>1.218,33</v>
      </c>
      <c r="M3184" s="6" t="str">
        <f>"6.091,66"</f>
        <v>6.091,66</v>
      </c>
      <c r="N3184" s="8" t="s">
        <v>2843</v>
      </c>
      <c r="O3184" s="7"/>
      <c r="P3184" s="2" t="s">
        <v>7433</v>
      </c>
      <c r="Q3184" s="7"/>
      <c r="R3184" s="1"/>
      <c r="S3184" s="1" t="str">
        <f>"J-UN-2021-1006"</f>
        <v>J-UN-2021-1006</v>
      </c>
      <c r="T3184" s="1" t="s">
        <v>32</v>
      </c>
    </row>
    <row r="3185" spans="1:20" ht="63.75" x14ac:dyDescent="0.25">
      <c r="A3185" s="6">
        <v>3179</v>
      </c>
      <c r="B3185" s="1" t="str">
        <f>"2021-458"</f>
        <v>2021-458</v>
      </c>
      <c r="C3185" s="1" t="s">
        <v>2738</v>
      </c>
      <c r="D3185" s="1" t="s">
        <v>2739</v>
      </c>
      <c r="E3185" s="1" t="str">
        <f>""</f>
        <v/>
      </c>
      <c r="F3185" s="1" t="s">
        <v>1860</v>
      </c>
      <c r="G3185" s="1" t="str">
        <f>CONCATENATE(" SUMAMETRIK D.O.O.,"," ULICA ANTUNA KANIŽLIĆA 10,"," 34000 POŽEGA,"," OIB: 23559088148")</f>
        <v xml:space="preserve"> SUMAMETRIK D.O.O., ULICA ANTUNA KANIŽLIĆA 10, 34000 POŽEGA, OIB: 23559088148</v>
      </c>
      <c r="H3185" s="7"/>
      <c r="I3185" s="8" t="s">
        <v>2696</v>
      </c>
      <c r="J3185" s="8" t="s">
        <v>169</v>
      </c>
      <c r="K3185" s="6" t="str">
        <f>"8.212,28"</f>
        <v>8.212,28</v>
      </c>
      <c r="L3185" s="6" t="str">
        <f>"2.053,07"</f>
        <v>2.053,07</v>
      </c>
      <c r="M3185" s="6" t="str">
        <f>"10.265,35"</f>
        <v>10.265,35</v>
      </c>
      <c r="N3185" s="8" t="s">
        <v>1952</v>
      </c>
      <c r="O3185" s="7"/>
      <c r="P3185" s="2" t="s">
        <v>7434</v>
      </c>
      <c r="Q3185" s="7"/>
      <c r="R3185" s="1"/>
      <c r="S3185" s="1" t="str">
        <f>"J-UN-2021-1008"</f>
        <v>J-UN-2021-1008</v>
      </c>
      <c r="T3185" s="1" t="s">
        <v>32</v>
      </c>
    </row>
    <row r="3186" spans="1:20" ht="51" x14ac:dyDescent="0.25">
      <c r="A3186" s="6">
        <v>3180</v>
      </c>
      <c r="B3186" s="1" t="str">
        <f>"2021-173"</f>
        <v>2021-173</v>
      </c>
      <c r="C3186" s="1" t="s">
        <v>2513</v>
      </c>
      <c r="D3186" s="1" t="s">
        <v>665</v>
      </c>
      <c r="E3186" s="1" t="str">
        <f>""</f>
        <v/>
      </c>
      <c r="F3186" s="1" t="s">
        <v>1860</v>
      </c>
      <c r="G3186" s="1" t="str">
        <f>CONCATENATE(" OLEUM FLEX D.O.O.,"," PUŠKARIĆEVA ULICA 11F,"," 10250 LUČKO,"," OIB: 53785632625")</f>
        <v xml:space="preserve"> OLEUM FLEX D.O.O., PUŠKARIĆEVA ULICA 11F, 10250 LUČKO, OIB: 53785632625</v>
      </c>
      <c r="H3186" s="7"/>
      <c r="I3186" s="8" t="s">
        <v>2696</v>
      </c>
      <c r="J3186" s="8" t="s">
        <v>169</v>
      </c>
      <c r="K3186" s="6" t="str">
        <f>"16.726,90"</f>
        <v>16.726,90</v>
      </c>
      <c r="L3186" s="6" t="str">
        <f>"4.181,73"</f>
        <v>4.181,73</v>
      </c>
      <c r="M3186" s="6" t="str">
        <f>"20.908,63"</f>
        <v>20.908,63</v>
      </c>
      <c r="N3186" s="8" t="s">
        <v>2843</v>
      </c>
      <c r="O3186" s="7"/>
      <c r="P3186" s="2" t="s">
        <v>7435</v>
      </c>
      <c r="Q3186" s="7"/>
      <c r="R3186" s="1"/>
      <c r="S3186" s="1" t="str">
        <f>"J-UN-2021-1009"</f>
        <v>J-UN-2021-1009</v>
      </c>
      <c r="T3186" s="1" t="s">
        <v>32</v>
      </c>
    </row>
    <row r="3187" spans="1:20" ht="51" x14ac:dyDescent="0.25">
      <c r="A3187" s="6">
        <v>3181</v>
      </c>
      <c r="B3187" s="1" t="str">
        <f>"2021-377"</f>
        <v>2021-377</v>
      </c>
      <c r="C3187" s="1" t="s">
        <v>2833</v>
      </c>
      <c r="D3187" s="1" t="s">
        <v>1962</v>
      </c>
      <c r="E3187" s="1" t="str">
        <f>""</f>
        <v/>
      </c>
      <c r="F3187" s="1" t="s">
        <v>1860</v>
      </c>
      <c r="G3187" s="1" t="str">
        <f>CONCATENATE(" TRIDION D.O.O.,"," ZAPADNA LOZICA 10,"," 10000 ZAGREB,"," OIB: 79247590666")</f>
        <v xml:space="preserve"> TRIDION D.O.O., ZAPADNA LOZICA 10, 10000 ZAGREB, OIB: 79247590666</v>
      </c>
      <c r="H3187" s="7"/>
      <c r="I3187" s="8" t="s">
        <v>223</v>
      </c>
      <c r="J3187" s="8" t="s">
        <v>524</v>
      </c>
      <c r="K3187" s="6" t="str">
        <f>"42.540,80"</f>
        <v>42.540,80</v>
      </c>
      <c r="L3187" s="6" t="str">
        <f>"10.635,20"</f>
        <v>10.635,20</v>
      </c>
      <c r="M3187" s="6" t="str">
        <f>"53.176,00"</f>
        <v>53.176,00</v>
      </c>
      <c r="N3187" s="8" t="s">
        <v>540</v>
      </c>
      <c r="O3187" s="7"/>
      <c r="P3187" s="2" t="s">
        <v>7436</v>
      </c>
      <c r="Q3187" s="1" t="s">
        <v>5601</v>
      </c>
      <c r="R3187" s="1"/>
      <c r="S3187" s="1" t="str">
        <f>"J-UN-2021-1010"</f>
        <v>J-UN-2021-1010</v>
      </c>
      <c r="T3187" s="1" t="s">
        <v>32</v>
      </c>
    </row>
    <row r="3188" spans="1:20" ht="51" x14ac:dyDescent="0.25">
      <c r="A3188" s="6">
        <v>3182</v>
      </c>
      <c r="B3188" s="1" t="str">
        <f>"2021-914"</f>
        <v>2021-914</v>
      </c>
      <c r="C3188" s="1" t="s">
        <v>2733</v>
      </c>
      <c r="D3188" s="1" t="s">
        <v>914</v>
      </c>
      <c r="E3188" s="1" t="str">
        <f>""</f>
        <v/>
      </c>
      <c r="F3188" s="1" t="s">
        <v>1860</v>
      </c>
      <c r="G3188" s="1" t="str">
        <f>CONCATENATE(" TPZ D.O.O.,"," NOVOSELSKA 25,"," 10000 ZAGREB,"," OIB: 68119083236")</f>
        <v xml:space="preserve"> TPZ D.O.O., NOVOSELSKA 25, 10000 ZAGREB, OIB: 68119083236</v>
      </c>
      <c r="H3188" s="7"/>
      <c r="I3188" s="8" t="s">
        <v>223</v>
      </c>
      <c r="J3188" s="8" t="s">
        <v>524</v>
      </c>
      <c r="K3188" s="6" t="str">
        <f>"25.793,63"</f>
        <v>25.793,63</v>
      </c>
      <c r="L3188" s="6" t="str">
        <f>"6.448,41"</f>
        <v>6.448,41</v>
      </c>
      <c r="M3188" s="6" t="str">
        <f>"32.242,04"</f>
        <v>32.242,04</v>
      </c>
      <c r="N3188" s="8" t="s">
        <v>124</v>
      </c>
      <c r="O3188" s="7"/>
      <c r="P3188" s="2" t="s">
        <v>5614</v>
      </c>
      <c r="Q3188" s="7"/>
      <c r="R3188" s="1"/>
      <c r="S3188" s="1" t="str">
        <f>"J-UN-2021-1012"</f>
        <v>J-UN-2021-1012</v>
      </c>
      <c r="T3188" s="1" t="s">
        <v>32</v>
      </c>
    </row>
    <row r="3189" spans="1:20" ht="51" x14ac:dyDescent="0.25">
      <c r="A3189" s="6">
        <v>3183</v>
      </c>
      <c r="B3189" s="1" t="str">
        <f>"2021-1115"</f>
        <v>2021-1115</v>
      </c>
      <c r="C3189" s="1" t="s">
        <v>2879</v>
      </c>
      <c r="D3189" s="1" t="s">
        <v>1007</v>
      </c>
      <c r="E3189" s="1" t="str">
        <f>""</f>
        <v/>
      </c>
      <c r="F3189" s="1" t="s">
        <v>1860</v>
      </c>
      <c r="G3189" s="1" t="str">
        <f>CONCATENATE(" ALING d.o.o.,"," FOLNEGOVIĆEVA 6,"," 10000 ZAGREB,"," OIB: 67349852816")</f>
        <v xml:space="preserve"> ALING d.o.o., FOLNEGOVIĆEVA 6, 10000 ZAGREB, OIB: 67349852816</v>
      </c>
      <c r="H3189" s="7"/>
      <c r="I3189" s="8" t="s">
        <v>2696</v>
      </c>
      <c r="J3189" s="8" t="s">
        <v>169</v>
      </c>
      <c r="K3189" s="6" t="str">
        <f>"5.500,00"</f>
        <v>5.500,00</v>
      </c>
      <c r="L3189" s="6" t="str">
        <f>"1.375,00"</f>
        <v>1.375,00</v>
      </c>
      <c r="M3189" s="6" t="str">
        <f>"6.875,00"</f>
        <v>6.875,00</v>
      </c>
      <c r="N3189" s="8" t="s">
        <v>1036</v>
      </c>
      <c r="O3189" s="7"/>
      <c r="P3189" s="2" t="s">
        <v>7058</v>
      </c>
      <c r="Q3189" s="7"/>
      <c r="R3189" s="1"/>
      <c r="S3189" s="1" t="str">
        <f>"J-UN-2021-1015"</f>
        <v>J-UN-2021-1015</v>
      </c>
      <c r="T3189" s="1" t="s">
        <v>32</v>
      </c>
    </row>
    <row r="3190" spans="1:20" ht="63.75" x14ac:dyDescent="0.25">
      <c r="A3190" s="6">
        <v>3184</v>
      </c>
      <c r="B3190" s="1" t="str">
        <f>"2021-163"</f>
        <v>2021-163</v>
      </c>
      <c r="C3190" s="1" t="s">
        <v>2712</v>
      </c>
      <c r="D3190" s="1" t="s">
        <v>2713</v>
      </c>
      <c r="E3190" s="1" t="str">
        <f>""</f>
        <v/>
      </c>
      <c r="F3190" s="1" t="s">
        <v>1860</v>
      </c>
      <c r="G3190" s="1" t="str">
        <f>CONCATENATE(" POLJOOPSKRBA-TEHNO D.D.,"," SAMOBORSKA 96,"," 10000 ZAGREB,"," OIB: 5372167324")</f>
        <v xml:space="preserve"> POLJOOPSKRBA-TEHNO D.D., SAMOBORSKA 96, 10000 ZAGREB, OIB: 5372167324</v>
      </c>
      <c r="H3190" s="7"/>
      <c r="I3190" s="8" t="s">
        <v>2696</v>
      </c>
      <c r="J3190" s="8" t="s">
        <v>169</v>
      </c>
      <c r="K3190" s="6" t="str">
        <f>"239,00"</f>
        <v>239,00</v>
      </c>
      <c r="L3190" s="6" t="str">
        <f>"59,75"</f>
        <v>59,75</v>
      </c>
      <c r="M3190" s="6" t="str">
        <f>"298,75"</f>
        <v>298,75</v>
      </c>
      <c r="N3190" s="8" t="s">
        <v>2843</v>
      </c>
      <c r="O3190" s="7"/>
      <c r="P3190" s="2" t="s">
        <v>7437</v>
      </c>
      <c r="Q3190" s="7"/>
      <c r="R3190" s="1"/>
      <c r="S3190" s="1" t="str">
        <f>"J-UN-2021-1016"</f>
        <v>J-UN-2021-1016</v>
      </c>
      <c r="T3190" s="1" t="s">
        <v>32</v>
      </c>
    </row>
    <row r="3191" spans="1:20" ht="51" x14ac:dyDescent="0.25">
      <c r="A3191" s="6">
        <v>3185</v>
      </c>
      <c r="B3191" s="1" t="str">
        <f>"2021-1412"</f>
        <v>2021-1412</v>
      </c>
      <c r="C3191" s="1" t="s">
        <v>2779</v>
      </c>
      <c r="D3191" s="1" t="s">
        <v>2780</v>
      </c>
      <c r="E3191" s="1" t="str">
        <f>""</f>
        <v/>
      </c>
      <c r="F3191" s="1" t="s">
        <v>1860</v>
      </c>
      <c r="G3191" s="1" t="str">
        <f>CONCATENATE(" EL KONCEPT D.O.O.,"," ULICA JULIJA KNIFER 2,"," 10000 ZAGREB,"," OIB: 96533691227")</f>
        <v xml:space="preserve"> EL KONCEPT D.O.O., ULICA JULIJA KNIFER 2, 10000 ZAGREB, OIB: 96533691227</v>
      </c>
      <c r="H3191" s="7"/>
      <c r="I3191" s="8" t="s">
        <v>223</v>
      </c>
      <c r="J3191" s="8" t="s">
        <v>524</v>
      </c>
      <c r="K3191" s="6" t="str">
        <f>"5.200,00"</f>
        <v>5.200,00</v>
      </c>
      <c r="L3191" s="6" t="str">
        <f>"1.300,00"</f>
        <v>1.300,00</v>
      </c>
      <c r="M3191" s="6" t="str">
        <f>"6.500,00"</f>
        <v>6.500,00</v>
      </c>
      <c r="N3191" s="8" t="s">
        <v>2748</v>
      </c>
      <c r="O3191" s="7"/>
      <c r="P3191" s="2" t="s">
        <v>6355</v>
      </c>
      <c r="Q3191" s="7"/>
      <c r="R3191" s="1"/>
      <c r="S3191" s="1" t="str">
        <f>"J-UN-2021-1017"</f>
        <v>J-UN-2021-1017</v>
      </c>
      <c r="T3191" s="1" t="s">
        <v>32</v>
      </c>
    </row>
    <row r="3192" spans="1:20" ht="51" x14ac:dyDescent="0.25">
      <c r="A3192" s="6">
        <v>3186</v>
      </c>
      <c r="B3192" s="1" t="str">
        <f>"2021-478"</f>
        <v>2021-478</v>
      </c>
      <c r="C3192" s="1" t="s">
        <v>2714</v>
      </c>
      <c r="D3192" s="1" t="s">
        <v>619</v>
      </c>
      <c r="E3192" s="1" t="str">
        <f>""</f>
        <v/>
      </c>
      <c r="F3192" s="1" t="s">
        <v>1860</v>
      </c>
      <c r="G3192" s="1" t="str">
        <f>CONCATENATE(" PRO-TEHNA D.O.O.,"," MAKSIMIRSKA 64,"," 10000 ZAGREB,"," OIB: 88951687357")</f>
        <v xml:space="preserve"> PRO-TEHNA D.O.O., MAKSIMIRSKA 64, 10000 ZAGREB, OIB: 88951687357</v>
      </c>
      <c r="H3192" s="7"/>
      <c r="I3192" s="8" t="s">
        <v>1476</v>
      </c>
      <c r="J3192" s="8" t="s">
        <v>1121</v>
      </c>
      <c r="K3192" s="6" t="str">
        <f>"2.780,00"</f>
        <v>2.780,00</v>
      </c>
      <c r="L3192" s="6" t="str">
        <f>"695,00"</f>
        <v>695,00</v>
      </c>
      <c r="M3192" s="6" t="str">
        <f>"3.475,00"</f>
        <v>3.475,00</v>
      </c>
      <c r="N3192" s="8" t="s">
        <v>2629</v>
      </c>
      <c r="O3192" s="7"/>
      <c r="P3192" s="2" t="s">
        <v>7438</v>
      </c>
      <c r="Q3192" s="7"/>
      <c r="R3192" s="1"/>
      <c r="S3192" s="1" t="str">
        <f>"J-UN-2021-1024"</f>
        <v>J-UN-2021-1024</v>
      </c>
      <c r="T3192" s="1" t="s">
        <v>32</v>
      </c>
    </row>
    <row r="3193" spans="1:20" ht="38.25" x14ac:dyDescent="0.25">
      <c r="A3193" s="6">
        <v>3187</v>
      </c>
      <c r="B3193" s="1" t="str">
        <f>"2021-2256"</f>
        <v>2021-2256</v>
      </c>
      <c r="C3193" s="1" t="s">
        <v>2880</v>
      </c>
      <c r="D3193" s="1" t="s">
        <v>1833</v>
      </c>
      <c r="E3193" s="1" t="str">
        <f>""</f>
        <v/>
      </c>
      <c r="F3193" s="1" t="s">
        <v>1860</v>
      </c>
      <c r="G3193" s="1" t="str">
        <f>CONCATENATE(" ZET D.O.O.,"," OZALJSKA 105,"," 10000 ZAGREB,"," OIB: 82031999604")</f>
        <v xml:space="preserve"> ZET D.O.O., OZALJSKA 105, 10000 ZAGREB, OIB: 82031999604</v>
      </c>
      <c r="H3193" s="7"/>
      <c r="I3193" s="8" t="s">
        <v>2748</v>
      </c>
      <c r="J3193" s="8" t="s">
        <v>902</v>
      </c>
      <c r="K3193" s="6" t="str">
        <f>"31.500,00"</f>
        <v>31.500,00</v>
      </c>
      <c r="L3193" s="6" t="str">
        <f>"7.875,00"</f>
        <v>7.875,00</v>
      </c>
      <c r="M3193" s="6" t="str">
        <f>"39.375,00"</f>
        <v>39.375,00</v>
      </c>
      <c r="N3193" s="8" t="s">
        <v>1988</v>
      </c>
      <c r="O3193" s="7"/>
      <c r="P3193" s="2" t="s">
        <v>7439</v>
      </c>
      <c r="Q3193" s="1"/>
      <c r="R3193" s="1"/>
      <c r="S3193" s="1" t="str">
        <f>"J-UN-2021-1025"</f>
        <v>J-UN-2021-1025</v>
      </c>
      <c r="T3193" s="1" t="s">
        <v>32</v>
      </c>
    </row>
    <row r="3194" spans="1:20" ht="51" x14ac:dyDescent="0.25">
      <c r="A3194" s="6">
        <v>3188</v>
      </c>
      <c r="B3194" s="1" t="str">
        <f>"2021-629"</f>
        <v>2021-629</v>
      </c>
      <c r="C3194" s="1" t="s">
        <v>2876</v>
      </c>
      <c r="D3194" s="1" t="s">
        <v>794</v>
      </c>
      <c r="E3194" s="1" t="str">
        <f>""</f>
        <v/>
      </c>
      <c r="F3194" s="1" t="s">
        <v>1860</v>
      </c>
      <c r="G3194" s="1" t="str">
        <f>CONCATENATE(" STAR IMPORT D.O.O.,"," KOVINSKA 5,"," 10090 ZAGREB-SUSEDGRAD,"," OIB: 783122799")</f>
        <v xml:space="preserve"> STAR IMPORT D.O.O., KOVINSKA 5, 10090 ZAGREB-SUSEDGRAD, OIB: 783122799</v>
      </c>
      <c r="H3194" s="7"/>
      <c r="I3194" s="8" t="s">
        <v>2748</v>
      </c>
      <c r="J3194" s="8" t="s">
        <v>902</v>
      </c>
      <c r="K3194" s="6" t="str">
        <f>"12.660,00"</f>
        <v>12.660,00</v>
      </c>
      <c r="L3194" s="6" t="str">
        <f>"3.165,00"</f>
        <v>3.165,00</v>
      </c>
      <c r="M3194" s="6" t="str">
        <f>"15.825,00"</f>
        <v>15.825,00</v>
      </c>
      <c r="N3194" s="8" t="s">
        <v>124</v>
      </c>
      <c r="O3194" s="7"/>
      <c r="P3194" s="2" t="s">
        <v>5614</v>
      </c>
      <c r="Q3194" s="7"/>
      <c r="R3194" s="1"/>
      <c r="S3194" s="1" t="str">
        <f>"J-UN-2021-1028"</f>
        <v>J-UN-2021-1028</v>
      </c>
      <c r="T3194" s="1" t="s">
        <v>32</v>
      </c>
    </row>
    <row r="3195" spans="1:20" ht="51" x14ac:dyDescent="0.25">
      <c r="A3195" s="6">
        <v>3189</v>
      </c>
      <c r="B3195" s="1" t="str">
        <f>"2021-424"</f>
        <v>2021-424</v>
      </c>
      <c r="C3195" s="1" t="s">
        <v>2881</v>
      </c>
      <c r="D3195" s="1" t="s">
        <v>2882</v>
      </c>
      <c r="E3195" s="1" t="str">
        <f>""</f>
        <v/>
      </c>
      <c r="F3195" s="1" t="s">
        <v>1860</v>
      </c>
      <c r="G3195" s="1" t="str">
        <f>CONCATENATE(" DEBENC PLUS D. O. O.,"," OSJEČKA 39,"," 51000 RIJEKA,"," OIB: 82510351433")</f>
        <v xml:space="preserve"> DEBENC PLUS D. O. O., OSJEČKA 39, 51000 RIJEKA, OIB: 82510351433</v>
      </c>
      <c r="H3195" s="7"/>
      <c r="I3195" s="8" t="s">
        <v>2748</v>
      </c>
      <c r="J3195" s="8" t="s">
        <v>902</v>
      </c>
      <c r="K3195" s="6" t="str">
        <f>"9.898,00"</f>
        <v>9.898,00</v>
      </c>
      <c r="L3195" s="6" t="str">
        <f>"2.474,50"</f>
        <v>2.474,50</v>
      </c>
      <c r="M3195" s="6" t="str">
        <f>"12.372,50"</f>
        <v>12.372,50</v>
      </c>
      <c r="N3195" s="8" t="s">
        <v>1988</v>
      </c>
      <c r="O3195" s="7"/>
      <c r="P3195" s="2" t="s">
        <v>7440</v>
      </c>
      <c r="Q3195" s="7"/>
      <c r="R3195" s="1"/>
      <c r="S3195" s="1" t="str">
        <f>"J-UN-2021-1029"</f>
        <v>J-UN-2021-1029</v>
      </c>
      <c r="T3195" s="1" t="s">
        <v>32</v>
      </c>
    </row>
    <row r="3196" spans="1:20" ht="76.5" x14ac:dyDescent="0.25">
      <c r="A3196" s="6">
        <v>3190</v>
      </c>
      <c r="B3196" s="1" t="str">
        <f>"2021-1116"</f>
        <v>2021-1116</v>
      </c>
      <c r="C3196" s="1" t="s">
        <v>2847</v>
      </c>
      <c r="D3196" s="1" t="s">
        <v>1007</v>
      </c>
      <c r="E3196" s="1" t="str">
        <f>""</f>
        <v/>
      </c>
      <c r="F3196" s="1" t="s">
        <v>1860</v>
      </c>
      <c r="G3196" s="1" t="str">
        <f>CONCATENATE(" BILIĆ-ERIĆ D.O.O.,"," TRGOVAČKI CENTAR MILLENNIJUM,"," LJUDEVITA POSAVSKOG 3,"," 10360 SESVETE,"," OIB: 685801282")</f>
        <v xml:space="preserve"> BILIĆ-ERIĆ D.O.O., TRGOVAČKI CENTAR MILLENNIJUM, LJUDEVITA POSAVSKOG 3, 10360 SESVETE, OIB: 685801282</v>
      </c>
      <c r="H3196" s="7"/>
      <c r="I3196" s="8" t="s">
        <v>2748</v>
      </c>
      <c r="J3196" s="8" t="s">
        <v>902</v>
      </c>
      <c r="K3196" s="6" t="str">
        <f>"3.470,00"</f>
        <v>3.470,00</v>
      </c>
      <c r="L3196" s="6" t="str">
        <f>"867,50"</f>
        <v>867,50</v>
      </c>
      <c r="M3196" s="6" t="str">
        <f>"4.337,50"</f>
        <v>4.337,50</v>
      </c>
      <c r="N3196" s="8" t="s">
        <v>1952</v>
      </c>
      <c r="O3196" s="7"/>
      <c r="P3196" s="2" t="s">
        <v>5856</v>
      </c>
      <c r="Q3196" s="7"/>
      <c r="R3196" s="1"/>
      <c r="S3196" s="1" t="str">
        <f>"J-UN-2021-1030"</f>
        <v>J-UN-2021-1030</v>
      </c>
      <c r="T3196" s="1" t="s">
        <v>32</v>
      </c>
    </row>
    <row r="3197" spans="1:20" ht="63.75" x14ac:dyDescent="0.25">
      <c r="A3197" s="6">
        <v>3191</v>
      </c>
      <c r="B3197" s="1" t="str">
        <f>"2021-93"</f>
        <v>2021-93</v>
      </c>
      <c r="C3197" s="1" t="s">
        <v>2651</v>
      </c>
      <c r="D3197" s="1" t="s">
        <v>2652</v>
      </c>
      <c r="E3197" s="1" t="str">
        <f>""</f>
        <v/>
      </c>
      <c r="F3197" s="1" t="s">
        <v>1860</v>
      </c>
      <c r="G3197" s="1" t="str">
        <f>CONCATENATE(" ELEKTRO-KOMUNIKACIJE D.O.O.,"," 14. PODBREŽJE 4,"," 10000 ZAGREB,"," OIB: 76412373309")</f>
        <v xml:space="preserve"> ELEKTRO-KOMUNIKACIJE D.O.O., 14. PODBREŽJE 4, 10000 ZAGREB, OIB: 76412373309</v>
      </c>
      <c r="H3197" s="7"/>
      <c r="I3197" s="8" t="s">
        <v>2843</v>
      </c>
      <c r="J3197" s="8" t="s">
        <v>2883</v>
      </c>
      <c r="K3197" s="6" t="str">
        <f>"3.829,00"</f>
        <v>3.829,00</v>
      </c>
      <c r="L3197" s="6" t="str">
        <f>"957,25"</f>
        <v>957,25</v>
      </c>
      <c r="M3197" s="6" t="str">
        <f>"4.786,25"</f>
        <v>4.786,25</v>
      </c>
      <c r="N3197" s="8" t="s">
        <v>206</v>
      </c>
      <c r="O3197" s="7"/>
      <c r="P3197" s="2" t="s">
        <v>7441</v>
      </c>
      <c r="Q3197" s="1" t="s">
        <v>582</v>
      </c>
      <c r="R3197" s="1"/>
      <c r="S3197" s="1" t="str">
        <f>"J-UN-2021-1031"</f>
        <v>J-UN-2021-1031</v>
      </c>
      <c r="T3197" s="1" t="s">
        <v>32</v>
      </c>
    </row>
    <row r="3198" spans="1:20" ht="63.75" x14ac:dyDescent="0.25">
      <c r="A3198" s="6">
        <v>3192</v>
      </c>
      <c r="B3198" s="1" t="str">
        <f>"2021-163"</f>
        <v>2021-163</v>
      </c>
      <c r="C3198" s="1" t="s">
        <v>2712</v>
      </c>
      <c r="D3198" s="1" t="s">
        <v>2713</v>
      </c>
      <c r="E3198" s="1" t="str">
        <f>""</f>
        <v/>
      </c>
      <c r="F3198" s="1" t="s">
        <v>1860</v>
      </c>
      <c r="G3198" s="1" t="str">
        <f>CONCATENATE(" ELEKTRO-KOMUNIKACIJE D.O.O.,"," 14. PODBREŽJE 4,"," 10000 ZAGREB,"," OIB: 76412373309")</f>
        <v xml:space="preserve"> ELEKTRO-KOMUNIKACIJE D.O.O., 14. PODBREŽJE 4, 10000 ZAGREB, OIB: 76412373309</v>
      </c>
      <c r="H3198" s="7"/>
      <c r="I3198" s="8" t="s">
        <v>1476</v>
      </c>
      <c r="J3198" s="8" t="s">
        <v>1121</v>
      </c>
      <c r="K3198" s="6" t="str">
        <f>"940,00"</f>
        <v>940,00</v>
      </c>
      <c r="L3198" s="6" t="str">
        <f>"235,00"</f>
        <v>235,00</v>
      </c>
      <c r="M3198" s="6" t="str">
        <f>"1.175,00"</f>
        <v>1.175,00</v>
      </c>
      <c r="N3198" s="8" t="s">
        <v>1988</v>
      </c>
      <c r="O3198" s="7"/>
      <c r="P3198" s="2" t="s">
        <v>7442</v>
      </c>
      <c r="Q3198" s="7"/>
      <c r="R3198" s="1"/>
      <c r="S3198" s="1" t="str">
        <f>"J-UN-2021-1033"</f>
        <v>J-UN-2021-1033</v>
      </c>
      <c r="T3198" s="1" t="s">
        <v>32</v>
      </c>
    </row>
    <row r="3199" spans="1:20" ht="51" x14ac:dyDescent="0.25">
      <c r="A3199" s="6">
        <v>3193</v>
      </c>
      <c r="B3199" s="1" t="str">
        <f>"2021-239"</f>
        <v>2021-239</v>
      </c>
      <c r="C3199" s="1" t="s">
        <v>2687</v>
      </c>
      <c r="D3199" s="1" t="s">
        <v>2688</v>
      </c>
      <c r="E3199" s="1" t="str">
        <f>""</f>
        <v/>
      </c>
      <c r="F3199" s="1" t="s">
        <v>1860</v>
      </c>
      <c r="G3199" s="1" t="str">
        <f>CONCATENATE(" BASIC D.O.O.,"," BJELOVARSKA ULICA 1,"," 21000 SPLIT,"," OIB: 5207275329")</f>
        <v xml:space="preserve"> BASIC D.O.O., BJELOVARSKA ULICA 1, 21000 SPLIT, OIB: 5207275329</v>
      </c>
      <c r="H3199" s="7"/>
      <c r="I3199" s="8" t="s">
        <v>1476</v>
      </c>
      <c r="J3199" s="8" t="s">
        <v>1121</v>
      </c>
      <c r="K3199" s="6" t="str">
        <f>"980,00"</f>
        <v>980,00</v>
      </c>
      <c r="L3199" s="6" t="str">
        <f>"245,00"</f>
        <v>245,00</v>
      </c>
      <c r="M3199" s="6" t="str">
        <f>"1.225,00"</f>
        <v>1.225,00</v>
      </c>
      <c r="N3199" s="8" t="s">
        <v>909</v>
      </c>
      <c r="O3199" s="7"/>
      <c r="P3199" s="2" t="s">
        <v>7250</v>
      </c>
      <c r="Q3199" s="7"/>
      <c r="R3199" s="1"/>
      <c r="S3199" s="1" t="str">
        <f>"J-UN-2021-1034"</f>
        <v>J-UN-2021-1034</v>
      </c>
      <c r="T3199" s="1" t="s">
        <v>32</v>
      </c>
    </row>
    <row r="3200" spans="1:20" ht="51" x14ac:dyDescent="0.25">
      <c r="A3200" s="6">
        <v>3194</v>
      </c>
      <c r="B3200" s="1" t="str">
        <f>"2021-237"</f>
        <v>2021-237</v>
      </c>
      <c r="C3200" s="1" t="s">
        <v>2703</v>
      </c>
      <c r="D3200" s="1" t="s">
        <v>2704</v>
      </c>
      <c r="E3200" s="1" t="str">
        <f>""</f>
        <v/>
      </c>
      <c r="F3200" s="1" t="s">
        <v>1860</v>
      </c>
      <c r="G3200" s="1" t="str">
        <f>CONCATENATE(" STROJOPROMET D.O.O.,"," ZAGREBAČKA 6,"," 10292 ŠENKOVEC,"," OIB: 97994010225")</f>
        <v xml:space="preserve"> STROJOPROMET D.O.O., ZAGREBAČKA 6, 10292 ŠENKOVEC, OIB: 97994010225</v>
      </c>
      <c r="H3200" s="7"/>
      <c r="I3200" s="8" t="s">
        <v>2285</v>
      </c>
      <c r="J3200" s="8" t="s">
        <v>600</v>
      </c>
      <c r="K3200" s="6" t="str">
        <f>"1.125,00"</f>
        <v>1.125,00</v>
      </c>
      <c r="L3200" s="6" t="str">
        <f>"281,25"</f>
        <v>281,25</v>
      </c>
      <c r="M3200" s="6" t="str">
        <f>"1.406,25"</f>
        <v>1.406,25</v>
      </c>
      <c r="N3200" s="8" t="s">
        <v>909</v>
      </c>
      <c r="O3200" s="7"/>
      <c r="P3200" s="2" t="s">
        <v>7443</v>
      </c>
      <c r="Q3200" s="1" t="s">
        <v>1177</v>
      </c>
      <c r="R3200" s="1"/>
      <c r="S3200" s="1" t="str">
        <f>"J-UN-2021-1035"</f>
        <v>J-UN-2021-1035</v>
      </c>
      <c r="T3200" s="1" t="s">
        <v>32</v>
      </c>
    </row>
    <row r="3201" spans="1:20" ht="63.75" x14ac:dyDescent="0.25">
      <c r="A3201" s="6">
        <v>3195</v>
      </c>
      <c r="B3201" s="1" t="str">
        <f>"2021-93"</f>
        <v>2021-93</v>
      </c>
      <c r="C3201" s="1" t="s">
        <v>2651</v>
      </c>
      <c r="D3201" s="1" t="s">
        <v>2652</v>
      </c>
      <c r="E3201" s="1" t="str">
        <f>""</f>
        <v/>
      </c>
      <c r="F3201" s="1" t="s">
        <v>1860</v>
      </c>
      <c r="G3201" s="1" t="str">
        <f>CONCATENATE(" ELEKTRO-KOMUNIKACIJE D.O.O.,"," 14. PODBREŽJE 4,"," 10000 ZAGREB,"," OIB: 76412373309")</f>
        <v xml:space="preserve"> ELEKTRO-KOMUNIKACIJE D.O.O., 14. PODBREŽJE 4, 10000 ZAGREB, OIB: 76412373309</v>
      </c>
      <c r="H3201" s="7"/>
      <c r="I3201" s="8" t="s">
        <v>2843</v>
      </c>
      <c r="J3201" s="8" t="s">
        <v>2883</v>
      </c>
      <c r="K3201" s="6" t="str">
        <f>"6.041,88"</f>
        <v>6.041,88</v>
      </c>
      <c r="L3201" s="6" t="str">
        <f>"1.510,47"</f>
        <v>1.510,47</v>
      </c>
      <c r="M3201" s="6" t="str">
        <f>"7.552,35"</f>
        <v>7.552,35</v>
      </c>
      <c r="N3201" s="8" t="s">
        <v>1350</v>
      </c>
      <c r="O3201" s="7"/>
      <c r="P3201" s="2" t="s">
        <v>7444</v>
      </c>
      <c r="Q3201" s="7"/>
      <c r="R3201" s="1"/>
      <c r="S3201" s="1" t="str">
        <f>"J-UN-2021-1036"</f>
        <v>J-UN-2021-1036</v>
      </c>
      <c r="T3201" s="1" t="s">
        <v>32</v>
      </c>
    </row>
    <row r="3202" spans="1:20" ht="51" x14ac:dyDescent="0.25">
      <c r="A3202" s="6">
        <v>3196</v>
      </c>
      <c r="B3202" s="1" t="str">
        <f>"2021-914"</f>
        <v>2021-914</v>
      </c>
      <c r="C3202" s="1" t="s">
        <v>2733</v>
      </c>
      <c r="D3202" s="1" t="s">
        <v>914</v>
      </c>
      <c r="E3202" s="1" t="str">
        <f>""</f>
        <v/>
      </c>
      <c r="F3202" s="1" t="s">
        <v>1860</v>
      </c>
      <c r="G3202" s="1" t="str">
        <f>CONCATENATE(" DROBILEC D.O.O.,"," MATUNOVA 14,"," 10000 ZAGREB,"," OIB: 87772955929")</f>
        <v xml:space="preserve"> DROBILEC D.O.O., MATUNOVA 14, 10000 ZAGREB, OIB: 87772955929</v>
      </c>
      <c r="H3202" s="7"/>
      <c r="I3202" s="8" t="s">
        <v>2748</v>
      </c>
      <c r="J3202" s="8" t="s">
        <v>902</v>
      </c>
      <c r="K3202" s="6" t="str">
        <f>"530,00"</f>
        <v>530,00</v>
      </c>
      <c r="L3202" s="6" t="str">
        <f>"132,50"</f>
        <v>132,50</v>
      </c>
      <c r="M3202" s="6" t="str">
        <f>"662,50"</f>
        <v>662,50</v>
      </c>
      <c r="N3202" s="8" t="s">
        <v>124</v>
      </c>
      <c r="O3202" s="7"/>
      <c r="P3202" s="2" t="s">
        <v>5614</v>
      </c>
      <c r="Q3202" s="7"/>
      <c r="R3202" s="1"/>
      <c r="S3202" s="1" t="str">
        <f>"J-UN-2021-1037"</f>
        <v>J-UN-2021-1037</v>
      </c>
      <c r="T3202" s="1" t="s">
        <v>32</v>
      </c>
    </row>
    <row r="3203" spans="1:20" ht="63.75" x14ac:dyDescent="0.25">
      <c r="A3203" s="6">
        <v>3197</v>
      </c>
      <c r="B3203" s="1" t="str">
        <f>"2021-1168"</f>
        <v>2021-1168</v>
      </c>
      <c r="C3203" s="1" t="s">
        <v>2784</v>
      </c>
      <c r="D3203" s="1" t="s">
        <v>2785</v>
      </c>
      <c r="E3203" s="1" t="str">
        <f>""</f>
        <v/>
      </c>
      <c r="F3203" s="1" t="s">
        <v>1860</v>
      </c>
      <c r="G3203" s="1" t="str">
        <f>CONCATENATE(" KAESER KOMPRESSOREN D.O.O.,"," RIMSKI PUT 11/D,"," 10360 SESVETE,"," OIB: 42572807012")</f>
        <v xml:space="preserve"> KAESER KOMPRESSOREN D.O.O., RIMSKI PUT 11/D, 10360 SESVETE, OIB: 42572807012</v>
      </c>
      <c r="H3203" s="7"/>
      <c r="I3203" s="8" t="s">
        <v>2696</v>
      </c>
      <c r="J3203" s="8" t="s">
        <v>169</v>
      </c>
      <c r="K3203" s="6" t="str">
        <f>"3.171,00"</f>
        <v>3.171,00</v>
      </c>
      <c r="L3203" s="6" t="str">
        <f>"792,75"</f>
        <v>792,75</v>
      </c>
      <c r="M3203" s="6" t="str">
        <f>"3.963,75"</f>
        <v>3.963,75</v>
      </c>
      <c r="N3203" s="8" t="s">
        <v>2884</v>
      </c>
      <c r="O3203" s="7"/>
      <c r="P3203" s="2" t="s">
        <v>7445</v>
      </c>
      <c r="Q3203" s="7"/>
      <c r="R3203" s="1"/>
      <c r="S3203" s="1" t="str">
        <f>"J-UN-2021-1040"</f>
        <v>J-UN-2021-1040</v>
      </c>
      <c r="T3203" s="1" t="s">
        <v>32</v>
      </c>
    </row>
    <row r="3204" spans="1:20" ht="76.5" x14ac:dyDescent="0.25">
      <c r="A3204" s="6">
        <v>3198</v>
      </c>
      <c r="B3204" s="1" t="str">
        <f>"2021-713"</f>
        <v>2021-713</v>
      </c>
      <c r="C3204" s="1" t="s">
        <v>2754</v>
      </c>
      <c r="D3204" s="1" t="s">
        <v>2755</v>
      </c>
      <c r="E3204" s="1" t="str">
        <f>""</f>
        <v/>
      </c>
      <c r="F3204" s="1" t="s">
        <v>1860</v>
      </c>
      <c r="G3204" s="1" t="str">
        <f>CONCATENATE(" EUROKOD PISAČIĆ D.O.O.,"," RUDEŠKA CESTA 16,"," 10000 ZAGREB,"," OIB: 8329104842")</f>
        <v xml:space="preserve"> EUROKOD PISAČIĆ D.O.O., RUDEŠKA CESTA 16, 10000 ZAGREB, OIB: 8329104842</v>
      </c>
      <c r="H3204" s="7"/>
      <c r="I3204" s="8" t="s">
        <v>2696</v>
      </c>
      <c r="J3204" s="8" t="s">
        <v>169</v>
      </c>
      <c r="K3204" s="6" t="str">
        <f>"23.350,00"</f>
        <v>23.350,00</v>
      </c>
      <c r="L3204" s="6" t="str">
        <f>"5.837,50"</f>
        <v>5.837,50</v>
      </c>
      <c r="M3204" s="6" t="str">
        <f>"29.187,50"</f>
        <v>29.187,50</v>
      </c>
      <c r="N3204" s="8" t="s">
        <v>124</v>
      </c>
      <c r="O3204" s="7"/>
      <c r="P3204" s="2" t="s">
        <v>5614</v>
      </c>
      <c r="Q3204" s="7"/>
      <c r="R3204" s="1"/>
      <c r="S3204" s="1" t="str">
        <f>"J-UN-2021-1041"</f>
        <v>J-UN-2021-1041</v>
      </c>
      <c r="T3204" s="1" t="s">
        <v>32</v>
      </c>
    </row>
    <row r="3205" spans="1:20" ht="63.75" x14ac:dyDescent="0.25">
      <c r="A3205" s="6">
        <v>3199</v>
      </c>
      <c r="B3205" s="1" t="str">
        <f>"2021-458"</f>
        <v>2021-458</v>
      </c>
      <c r="C3205" s="1" t="s">
        <v>2738</v>
      </c>
      <c r="D3205" s="1" t="s">
        <v>2739</v>
      </c>
      <c r="E3205" s="1" t="str">
        <f>""</f>
        <v/>
      </c>
      <c r="F3205" s="1" t="s">
        <v>1860</v>
      </c>
      <c r="G3205" s="1" t="str">
        <f>CONCATENATE(" A.M.I. COMMERCE - LOVREKOVIĆ d.o.o.,"," MAKSIMIRSKA 100,"," 10000 ZAGREB,"," OIB: 55326209639")</f>
        <v xml:space="preserve"> A.M.I. COMMERCE - LOVREKOVIĆ d.o.o., MAKSIMIRSKA 100, 10000 ZAGREB, OIB: 55326209639</v>
      </c>
      <c r="H3205" s="7"/>
      <c r="I3205" s="8" t="s">
        <v>2285</v>
      </c>
      <c r="J3205" s="8" t="s">
        <v>600</v>
      </c>
      <c r="K3205" s="6" t="str">
        <f>"1.436,50"</f>
        <v>1.436,50</v>
      </c>
      <c r="L3205" s="6" t="str">
        <f>"359,13"</f>
        <v>359,13</v>
      </c>
      <c r="M3205" s="6" t="str">
        <f>"1.795,63"</f>
        <v>1.795,63</v>
      </c>
      <c r="N3205" s="8" t="s">
        <v>77</v>
      </c>
      <c r="O3205" s="7"/>
      <c r="P3205" s="2" t="s">
        <v>7446</v>
      </c>
      <c r="Q3205" s="7"/>
      <c r="R3205" s="1"/>
      <c r="S3205" s="1" t="str">
        <f>"J-UN-2021-1042"</f>
        <v>J-UN-2021-1042</v>
      </c>
      <c r="T3205" s="1" t="s">
        <v>32</v>
      </c>
    </row>
    <row r="3206" spans="1:20" ht="51" x14ac:dyDescent="0.25">
      <c r="A3206" s="6">
        <v>3200</v>
      </c>
      <c r="B3206" s="1" t="str">
        <f>"2021-983"</f>
        <v>2021-983</v>
      </c>
      <c r="C3206" s="1" t="s">
        <v>2690</v>
      </c>
      <c r="D3206" s="1" t="s">
        <v>2691</v>
      </c>
      <c r="E3206" s="1" t="str">
        <f>""</f>
        <v/>
      </c>
      <c r="F3206" s="1" t="s">
        <v>1860</v>
      </c>
      <c r="G3206" s="1" t="str">
        <f>CONCATENATE(" SAFIR D.O.O.,"," HORVAĆANSKA 17,"," 10000 ZAGREB,"," OIB: 33548604975")</f>
        <v xml:space="preserve"> SAFIR D.O.O., HORVAĆANSKA 17, 10000 ZAGREB, OIB: 33548604975</v>
      </c>
      <c r="H3206" s="7"/>
      <c r="I3206" s="8" t="s">
        <v>1182</v>
      </c>
      <c r="J3206" s="8" t="s">
        <v>428</v>
      </c>
      <c r="K3206" s="6" t="str">
        <f>"800,00"</f>
        <v>800,00</v>
      </c>
      <c r="L3206" s="6" t="str">
        <f>"200,00"</f>
        <v>200,00</v>
      </c>
      <c r="M3206" s="6" t="str">
        <f>"1.000,00"</f>
        <v>1.000,00</v>
      </c>
      <c r="N3206" s="8" t="s">
        <v>2134</v>
      </c>
      <c r="O3206" s="7"/>
      <c r="P3206" s="2" t="s">
        <v>6409</v>
      </c>
      <c r="Q3206" s="7"/>
      <c r="R3206" s="1"/>
      <c r="S3206" s="1" t="str">
        <f>"J-UN-2021-1043"</f>
        <v>J-UN-2021-1043</v>
      </c>
      <c r="T3206" s="1" t="s">
        <v>32</v>
      </c>
    </row>
    <row r="3207" spans="1:20" ht="63.75" x14ac:dyDescent="0.25">
      <c r="A3207" s="6">
        <v>3201</v>
      </c>
      <c r="B3207" s="1" t="str">
        <f>"2021-999"</f>
        <v>2021-999</v>
      </c>
      <c r="C3207" s="1" t="s">
        <v>2794</v>
      </c>
      <c r="D3207" s="1" t="s">
        <v>2716</v>
      </c>
      <c r="E3207" s="1" t="str">
        <f>""</f>
        <v/>
      </c>
      <c r="F3207" s="1" t="s">
        <v>1860</v>
      </c>
      <c r="G3207" s="1" t="str">
        <f>CONCATENATE(" DDSERVIS D.O.O.,"," SISAČKA CESTA III ODVOJAK 7,"," 10020 ZAGREB,"," OIB: 95325472047")</f>
        <v xml:space="preserve"> DDSERVIS D.O.O., SISAČKA CESTA III ODVOJAK 7, 10020 ZAGREB, OIB: 95325472047</v>
      </c>
      <c r="H3207" s="7"/>
      <c r="I3207" s="8" t="s">
        <v>1929</v>
      </c>
      <c r="J3207" s="8" t="s">
        <v>287</v>
      </c>
      <c r="K3207" s="6" t="str">
        <f>"2.540,00"</f>
        <v>2.540,00</v>
      </c>
      <c r="L3207" s="6" t="str">
        <f>"635,00"</f>
        <v>635,00</v>
      </c>
      <c r="M3207" s="6" t="str">
        <f>"3.175,00"</f>
        <v>3.175,00</v>
      </c>
      <c r="N3207" s="8" t="s">
        <v>2843</v>
      </c>
      <c r="O3207" s="7"/>
      <c r="P3207" s="2" t="s">
        <v>7447</v>
      </c>
      <c r="Q3207" s="7"/>
      <c r="R3207" s="1"/>
      <c r="S3207" s="1" t="str">
        <f>"J-UN-2021-1045"</f>
        <v>J-UN-2021-1045</v>
      </c>
      <c r="T3207" s="1" t="s">
        <v>32</v>
      </c>
    </row>
    <row r="3208" spans="1:20" ht="51" x14ac:dyDescent="0.25">
      <c r="A3208" s="6">
        <v>3202</v>
      </c>
      <c r="B3208" s="1" t="str">
        <f>"2021-153"</f>
        <v>2021-153</v>
      </c>
      <c r="C3208" s="1" t="s">
        <v>2885</v>
      </c>
      <c r="D3208" s="1" t="s">
        <v>2886</v>
      </c>
      <c r="E3208" s="1" t="str">
        <f>""</f>
        <v/>
      </c>
      <c r="F3208" s="1" t="s">
        <v>1860</v>
      </c>
      <c r="G3208" s="1" t="str">
        <f>CONCATENATE(" SAFIR D.O.O.,"," HORVAĆANSKA 17,"," 10000 ZAGREB,"," OIB: 33548604975")</f>
        <v xml:space="preserve"> SAFIR D.O.O., HORVAĆANSKA 17, 10000 ZAGREB, OIB: 33548604975</v>
      </c>
      <c r="H3208" s="7"/>
      <c r="I3208" s="8" t="s">
        <v>1182</v>
      </c>
      <c r="J3208" s="8" t="s">
        <v>428</v>
      </c>
      <c r="K3208" s="6" t="str">
        <f>"13.380,00"</f>
        <v>13.380,00</v>
      </c>
      <c r="L3208" s="6" t="str">
        <f>"3.345,00"</f>
        <v>3.345,00</v>
      </c>
      <c r="M3208" s="6" t="str">
        <f>"16.725,00"</f>
        <v>16.725,00</v>
      </c>
      <c r="N3208" s="8" t="s">
        <v>1923</v>
      </c>
      <c r="O3208" s="7"/>
      <c r="P3208" s="2" t="s">
        <v>7448</v>
      </c>
      <c r="Q3208" s="7"/>
      <c r="R3208" s="1"/>
      <c r="S3208" s="1" t="str">
        <f>"J-UN-2021-1046"</f>
        <v>J-UN-2021-1046</v>
      </c>
      <c r="T3208" s="1" t="s">
        <v>32</v>
      </c>
    </row>
    <row r="3209" spans="1:20" ht="51" x14ac:dyDescent="0.25">
      <c r="A3209" s="6">
        <v>3203</v>
      </c>
      <c r="B3209" s="1" t="str">
        <f>"2021-478"</f>
        <v>2021-478</v>
      </c>
      <c r="C3209" s="1" t="s">
        <v>2714</v>
      </c>
      <c r="D3209" s="1" t="s">
        <v>619</v>
      </c>
      <c r="E3209" s="1" t="str">
        <f>""</f>
        <v/>
      </c>
      <c r="F3209" s="1" t="s">
        <v>1860</v>
      </c>
      <c r="G3209" s="1" t="str">
        <f>CONCATENATE(" NIACO D.O.O.,"," IVANA KAMENARIĆA 9,"," 10380 SVETI IVAN ZELINA,"," OIB: 61876916009")</f>
        <v xml:space="preserve"> NIACO D.O.O., IVANA KAMENARIĆA 9, 10380 SVETI IVAN ZELINA, OIB: 61876916009</v>
      </c>
      <c r="H3209" s="7"/>
      <c r="I3209" s="8" t="s">
        <v>1182</v>
      </c>
      <c r="J3209" s="8" t="s">
        <v>428</v>
      </c>
      <c r="K3209" s="6" t="str">
        <f>"360,00"</f>
        <v>360,00</v>
      </c>
      <c r="L3209" s="6" t="str">
        <f>"90,00"</f>
        <v>90,00</v>
      </c>
      <c r="M3209" s="6" t="str">
        <f>"450,00"</f>
        <v>450,00</v>
      </c>
      <c r="N3209" s="8" t="s">
        <v>77</v>
      </c>
      <c r="O3209" s="7"/>
      <c r="P3209" s="2" t="s">
        <v>5807</v>
      </c>
      <c r="Q3209" s="7"/>
      <c r="R3209" s="1"/>
      <c r="S3209" s="1" t="str">
        <f>"J-UN-2021-1047"</f>
        <v>J-UN-2021-1047</v>
      </c>
      <c r="T3209" s="1" t="s">
        <v>32</v>
      </c>
    </row>
    <row r="3210" spans="1:20" ht="51" x14ac:dyDescent="0.25">
      <c r="A3210" s="6">
        <v>3204</v>
      </c>
      <c r="B3210" s="1" t="str">
        <f>"2021-2278"</f>
        <v>2021-2278</v>
      </c>
      <c r="C3210" s="1" t="s">
        <v>2887</v>
      </c>
      <c r="D3210" s="1" t="s">
        <v>1322</v>
      </c>
      <c r="E3210" s="1" t="str">
        <f>""</f>
        <v/>
      </c>
      <c r="F3210" s="1" t="s">
        <v>1860</v>
      </c>
      <c r="G3210" s="1" t="str">
        <f>CONCATENATE(" VODOSKOK D.D.,"," ČULINEČKA CESTA 221/C,"," 10040 ZAGREB,"," OIB: 34134218058")</f>
        <v xml:space="preserve"> VODOSKOK D.D., ČULINEČKA CESTA 221/C, 10040 ZAGREB, OIB: 34134218058</v>
      </c>
      <c r="H3210" s="7"/>
      <c r="I3210" s="8" t="s">
        <v>2843</v>
      </c>
      <c r="J3210" s="8" t="s">
        <v>2883</v>
      </c>
      <c r="K3210" s="6" t="str">
        <f>"131.442,00"</f>
        <v>131.442,00</v>
      </c>
      <c r="L3210" s="6" t="str">
        <f>"32.860,50"</f>
        <v>32.860,50</v>
      </c>
      <c r="M3210" s="6" t="str">
        <f>"164.302,50"</f>
        <v>164.302,50</v>
      </c>
      <c r="N3210" s="8" t="s">
        <v>1988</v>
      </c>
      <c r="O3210" s="7"/>
      <c r="P3210" s="2" t="s">
        <v>7449</v>
      </c>
      <c r="Q3210" s="7"/>
      <c r="R3210" s="1"/>
      <c r="S3210" s="1" t="str">
        <f>"J-UN-2021-1048"</f>
        <v>J-UN-2021-1048</v>
      </c>
      <c r="T3210" s="1" t="s">
        <v>32</v>
      </c>
    </row>
    <row r="3211" spans="1:20" ht="51" x14ac:dyDescent="0.25">
      <c r="A3211" s="6">
        <v>3205</v>
      </c>
      <c r="B3211" s="1" t="str">
        <f>"2021-205"</f>
        <v>2021-205</v>
      </c>
      <c r="C3211" s="1" t="s">
        <v>2836</v>
      </c>
      <c r="D3211" s="1" t="s">
        <v>689</v>
      </c>
      <c r="E3211" s="1" t="str">
        <f>""</f>
        <v/>
      </c>
      <c r="F3211" s="1" t="s">
        <v>1860</v>
      </c>
      <c r="G3211" s="1" t="str">
        <f>CONCATENATE(" BILAĆ COLOR D.O.O.,"," VODIĆKA 24,"," 10000 ZAGREB,"," OIB: 54294753")</f>
        <v xml:space="preserve"> BILAĆ COLOR D.O.O., VODIĆKA 24, 10000 ZAGREB, OIB: 54294753</v>
      </c>
      <c r="H3211" s="7"/>
      <c r="I3211" s="8" t="s">
        <v>88</v>
      </c>
      <c r="J3211" s="8" t="s">
        <v>1551</v>
      </c>
      <c r="K3211" s="6" t="str">
        <f>"2.970,00"</f>
        <v>2.970,00</v>
      </c>
      <c r="L3211" s="6" t="str">
        <f>"742,50"</f>
        <v>742,50</v>
      </c>
      <c r="M3211" s="6" t="str">
        <f>"3.712,50"</f>
        <v>3.712,50</v>
      </c>
      <c r="N3211" s="8" t="s">
        <v>2888</v>
      </c>
      <c r="O3211" s="7"/>
      <c r="P3211" s="2" t="s">
        <v>7450</v>
      </c>
      <c r="Q3211" s="7"/>
      <c r="R3211" s="1"/>
      <c r="S3211" s="1" t="str">
        <f>"J-UN-2021-1058"</f>
        <v>J-UN-2021-1058</v>
      </c>
      <c r="T3211" s="1" t="s">
        <v>32</v>
      </c>
    </row>
    <row r="3212" spans="1:20" ht="51" x14ac:dyDescent="0.25">
      <c r="A3212" s="6">
        <v>3206</v>
      </c>
      <c r="B3212" s="1" t="str">
        <f>"2021-521"</f>
        <v>2021-521</v>
      </c>
      <c r="C3212" s="1" t="s">
        <v>2572</v>
      </c>
      <c r="D3212" s="1" t="s">
        <v>2573</v>
      </c>
      <c r="E3212" s="1" t="str">
        <f>""</f>
        <v/>
      </c>
      <c r="F3212" s="1" t="s">
        <v>1860</v>
      </c>
      <c r="G3212" s="1" t="str">
        <f>CONCATENATE(" AKD-ZAŠTITA D.O.O.,"," SAVSKA 28,"," 10000 ZAGREB,"," OIB: 09253797076")</f>
        <v xml:space="preserve"> AKD-ZAŠTITA D.O.O., SAVSKA 28, 10000 ZAGREB, OIB: 09253797076</v>
      </c>
      <c r="H3212" s="7"/>
      <c r="I3212" s="8" t="s">
        <v>2843</v>
      </c>
      <c r="J3212" s="8" t="s">
        <v>2883</v>
      </c>
      <c r="K3212" s="6" t="str">
        <f>"889,00"</f>
        <v>889,00</v>
      </c>
      <c r="L3212" s="6" t="str">
        <f>"222,25"</f>
        <v>222,25</v>
      </c>
      <c r="M3212" s="6" t="str">
        <f>"1.111,25"</f>
        <v>1.111,25</v>
      </c>
      <c r="N3212" s="8" t="s">
        <v>2696</v>
      </c>
      <c r="O3212" s="7"/>
      <c r="P3212" s="2" t="s">
        <v>7451</v>
      </c>
      <c r="Q3212" s="7"/>
      <c r="R3212" s="1"/>
      <c r="S3212" s="1" t="str">
        <f>"J-UN-2021-1059"</f>
        <v>J-UN-2021-1059</v>
      </c>
      <c r="T3212" s="1" t="s">
        <v>32</v>
      </c>
    </row>
    <row r="3213" spans="1:20" ht="38.25" x14ac:dyDescent="0.25">
      <c r="A3213" s="6">
        <v>3207</v>
      </c>
      <c r="B3213" s="1" t="str">
        <f>"2021-980"</f>
        <v>2021-980</v>
      </c>
      <c r="C3213" s="1" t="s">
        <v>2606</v>
      </c>
      <c r="D3213" s="1" t="s">
        <v>2607</v>
      </c>
      <c r="E3213" s="1" t="str">
        <f>""</f>
        <v/>
      </c>
      <c r="F3213" s="1" t="s">
        <v>1860</v>
      </c>
      <c r="G3213" s="1" t="str">
        <f>CONCATENATE(" PREMIUM D.O.O.,"," ,"," OIB: 9905063644")</f>
        <v xml:space="preserve"> PREMIUM D.O.O., , OIB: 9905063644</v>
      </c>
      <c r="H3213" s="7"/>
      <c r="I3213" s="8" t="s">
        <v>2843</v>
      </c>
      <c r="J3213" s="8" t="s">
        <v>2883</v>
      </c>
      <c r="K3213" s="6" t="str">
        <f>"5.883,20"</f>
        <v>5.883,20</v>
      </c>
      <c r="L3213" s="6" t="str">
        <f>"1.470,80"</f>
        <v>1.470,80</v>
      </c>
      <c r="M3213" s="6" t="str">
        <f>"7.354,00"</f>
        <v>7.354,00</v>
      </c>
      <c r="N3213" s="8" t="s">
        <v>2861</v>
      </c>
      <c r="O3213" s="7"/>
      <c r="P3213" s="2" t="s">
        <v>7452</v>
      </c>
      <c r="Q3213" s="7"/>
      <c r="R3213" s="1"/>
      <c r="S3213" s="1" t="str">
        <f>"J-UN-2021-1064"</f>
        <v>J-UN-2021-1064</v>
      </c>
      <c r="T3213" s="1" t="s">
        <v>32</v>
      </c>
    </row>
    <row r="3214" spans="1:20" ht="63.75" x14ac:dyDescent="0.25">
      <c r="A3214" s="6">
        <v>3208</v>
      </c>
      <c r="B3214" s="1" t="str">
        <f>"2021-1128"</f>
        <v>2021-1128</v>
      </c>
      <c r="C3214" s="1" t="s">
        <v>2889</v>
      </c>
      <c r="D3214" s="1" t="s">
        <v>1007</v>
      </c>
      <c r="E3214" s="1" t="str">
        <f>""</f>
        <v/>
      </c>
      <c r="F3214" s="1" t="s">
        <v>1860</v>
      </c>
      <c r="G3214" s="1" t="str">
        <f>CONCATENATE(" MERKANTILE D.D.,"," VRTNI PUT 8,"," 10000 ZAGREB,"," OIB: 44448417567")</f>
        <v xml:space="preserve"> MERKANTILE D.D., VRTNI PUT 8, 10000 ZAGREB, OIB: 44448417567</v>
      </c>
      <c r="H3214" s="7"/>
      <c r="I3214" s="8" t="s">
        <v>2843</v>
      </c>
      <c r="J3214" s="8" t="s">
        <v>2883</v>
      </c>
      <c r="K3214" s="6" t="str">
        <f>"34.611,85"</f>
        <v>34.611,85</v>
      </c>
      <c r="L3214" s="6" t="str">
        <f>"8.652,96"</f>
        <v>8.652,96</v>
      </c>
      <c r="M3214" s="6" t="str">
        <f>"43.264,81"</f>
        <v>43.264,81</v>
      </c>
      <c r="N3214" s="8" t="s">
        <v>442</v>
      </c>
      <c r="O3214" s="7"/>
      <c r="P3214" s="2" t="s">
        <v>7453</v>
      </c>
      <c r="Q3214" s="1" t="s">
        <v>488</v>
      </c>
      <c r="R3214" s="1"/>
      <c r="S3214" s="1" t="str">
        <f>"J-UN-2021-1065"</f>
        <v>J-UN-2021-1065</v>
      </c>
      <c r="T3214" s="1" t="s">
        <v>32</v>
      </c>
    </row>
    <row r="3215" spans="1:20" ht="51" x14ac:dyDescent="0.25">
      <c r="A3215" s="6">
        <v>3209</v>
      </c>
      <c r="B3215" s="1" t="str">
        <f>"2021-378"</f>
        <v>2021-378</v>
      </c>
      <c r="C3215" s="1" t="s">
        <v>2689</v>
      </c>
      <c r="D3215" s="1" t="s">
        <v>2577</v>
      </c>
      <c r="E3215" s="1" t="str">
        <f>""</f>
        <v/>
      </c>
      <c r="F3215" s="1" t="s">
        <v>1860</v>
      </c>
      <c r="G3215" s="1" t="str">
        <f>CONCATENATE(" MLAKAR VILIČARI D.O.O.,"," SAVSKA CESTA 1A,"," 10437 BESTOVJE,"," OIB: 02429758404")</f>
        <v xml:space="preserve"> MLAKAR VILIČARI D.O.O., SAVSKA CESTA 1A, 10437 BESTOVJE, OIB: 02429758404</v>
      </c>
      <c r="H3215" s="7"/>
      <c r="I3215" s="8" t="s">
        <v>2843</v>
      </c>
      <c r="J3215" s="8" t="s">
        <v>2883</v>
      </c>
      <c r="K3215" s="6" t="str">
        <f>"300,47"</f>
        <v>300,47</v>
      </c>
      <c r="L3215" s="6" t="str">
        <f>"75,12"</f>
        <v>75,12</v>
      </c>
      <c r="M3215" s="6" t="str">
        <f>"375,59"</f>
        <v>375,59</v>
      </c>
      <c r="N3215" s="8" t="s">
        <v>2852</v>
      </c>
      <c r="O3215" s="7"/>
      <c r="P3215" s="2" t="s">
        <v>7454</v>
      </c>
      <c r="Q3215" s="7"/>
      <c r="R3215" s="1"/>
      <c r="S3215" s="1" t="str">
        <f>"J-UN-2021-1066"</f>
        <v>J-UN-2021-1066</v>
      </c>
      <c r="T3215" s="1" t="s">
        <v>32</v>
      </c>
    </row>
    <row r="3216" spans="1:20" ht="51" x14ac:dyDescent="0.25">
      <c r="A3216" s="6">
        <v>3210</v>
      </c>
      <c r="B3216" s="1" t="str">
        <f>"2021-431"</f>
        <v>2021-431</v>
      </c>
      <c r="C3216" s="1" t="s">
        <v>2597</v>
      </c>
      <c r="D3216" s="1" t="s">
        <v>2598</v>
      </c>
      <c r="E3216" s="1" t="str">
        <f>""</f>
        <v/>
      </c>
      <c r="F3216" s="1" t="s">
        <v>1860</v>
      </c>
      <c r="G3216" s="1" t="str">
        <f>CONCATENATE(" SCHEDA D.O.O.,"," LJUDEVITA POSAVSKOG 29,"," 10360 SESVETE,"," OIB: 76219817247")</f>
        <v xml:space="preserve"> SCHEDA D.O.O., LJUDEVITA POSAVSKOG 29, 10360 SESVETE, OIB: 76219817247</v>
      </c>
      <c r="H3216" s="7"/>
      <c r="I3216" s="8" t="s">
        <v>88</v>
      </c>
      <c r="J3216" s="8" t="s">
        <v>1551</v>
      </c>
      <c r="K3216" s="6" t="str">
        <f>"1.600,00"</f>
        <v>1.600,00</v>
      </c>
      <c r="L3216" s="6" t="str">
        <f>"400,00"</f>
        <v>400,00</v>
      </c>
      <c r="M3216" s="6" t="str">
        <f>"2.000,00"</f>
        <v>2.000,00</v>
      </c>
      <c r="N3216" s="8" t="s">
        <v>599</v>
      </c>
      <c r="O3216" s="7"/>
      <c r="P3216" s="2" t="s">
        <v>6414</v>
      </c>
      <c r="Q3216" s="7"/>
      <c r="R3216" s="1"/>
      <c r="S3216" s="1" t="str">
        <f>"J-UN-2021-1067"</f>
        <v>J-UN-2021-1067</v>
      </c>
      <c r="T3216" s="1" t="s">
        <v>32</v>
      </c>
    </row>
    <row r="3217" spans="1:20" ht="51" x14ac:dyDescent="0.25">
      <c r="A3217" s="6">
        <v>3211</v>
      </c>
      <c r="B3217" s="1" t="str">
        <f>"2021-707"</f>
        <v>2021-707</v>
      </c>
      <c r="C3217" s="1" t="s">
        <v>2642</v>
      </c>
      <c r="D3217" s="1" t="s">
        <v>1236</v>
      </c>
      <c r="E3217" s="1" t="str">
        <f>""</f>
        <v/>
      </c>
      <c r="F3217" s="1" t="s">
        <v>1860</v>
      </c>
      <c r="G3217" s="1" t="str">
        <f>CONCATENATE(" EUROMONT INTRO D.O.O.,"," KANALSKI PUT 20,"," 10000 ZAGREB,"," OIB: 46289034988")</f>
        <v xml:space="preserve"> EUROMONT INTRO D.O.O., KANALSKI PUT 20, 10000 ZAGREB, OIB: 46289034988</v>
      </c>
      <c r="H3217" s="7"/>
      <c r="I3217" s="8" t="s">
        <v>2843</v>
      </c>
      <c r="J3217" s="8" t="s">
        <v>2883</v>
      </c>
      <c r="K3217" s="6" t="str">
        <f>"830,00"</f>
        <v>830,00</v>
      </c>
      <c r="L3217" s="6" t="str">
        <f>"207,50"</f>
        <v>207,50</v>
      </c>
      <c r="M3217" s="6" t="str">
        <f>"1.037,50"</f>
        <v>1.037,50</v>
      </c>
      <c r="N3217" s="8" t="s">
        <v>2890</v>
      </c>
      <c r="O3217" s="7"/>
      <c r="P3217" s="2" t="s">
        <v>7455</v>
      </c>
      <c r="Q3217" s="7"/>
      <c r="R3217" s="1"/>
      <c r="S3217" s="1" t="str">
        <f>"J-UN-2021-1068"</f>
        <v>J-UN-2021-1068</v>
      </c>
      <c r="T3217" s="1" t="s">
        <v>32</v>
      </c>
    </row>
    <row r="3218" spans="1:20" ht="51" x14ac:dyDescent="0.25">
      <c r="A3218" s="6">
        <v>3212</v>
      </c>
      <c r="B3218" s="1" t="str">
        <f>"2021-305"</f>
        <v>2021-305</v>
      </c>
      <c r="C3218" s="1" t="s">
        <v>2831</v>
      </c>
      <c r="D3218" s="1" t="s">
        <v>2832</v>
      </c>
      <c r="E3218" s="1" t="str">
        <f>""</f>
        <v/>
      </c>
      <c r="F3218" s="1" t="s">
        <v>1860</v>
      </c>
      <c r="G3218" s="1" t="str">
        <f>CONCATENATE(" HRT - ŠARIĆ D.O.O.,"," ZAGREBAČKA 217,"," 10370 DUGO SELO,"," OIB: 76454212077")</f>
        <v xml:space="preserve"> HRT - ŠARIĆ D.O.O., ZAGREBAČKA 217, 10370 DUGO SELO, OIB: 76454212077</v>
      </c>
      <c r="H3218" s="7"/>
      <c r="I3218" s="8" t="s">
        <v>1501</v>
      </c>
      <c r="J3218" s="8" t="s">
        <v>916</v>
      </c>
      <c r="K3218" s="6" t="str">
        <f>"26.365,00"</f>
        <v>26.365,00</v>
      </c>
      <c r="L3218" s="6" t="str">
        <f>"6.591,25"</f>
        <v>6.591,25</v>
      </c>
      <c r="M3218" s="6" t="str">
        <f>"32.956,25"</f>
        <v>32.956,25</v>
      </c>
      <c r="N3218" s="8" t="s">
        <v>2629</v>
      </c>
      <c r="O3218" s="7"/>
      <c r="P3218" s="2" t="s">
        <v>7456</v>
      </c>
      <c r="Q3218" s="7"/>
      <c r="R3218" s="1"/>
      <c r="S3218" s="1" t="str">
        <f>"J-UN-2021-1076"</f>
        <v>J-UN-2021-1076</v>
      </c>
      <c r="T3218" s="1" t="s">
        <v>32</v>
      </c>
    </row>
    <row r="3219" spans="1:20" ht="51" x14ac:dyDescent="0.25">
      <c r="A3219" s="6">
        <v>3213</v>
      </c>
      <c r="B3219" s="1" t="str">
        <f>"2021-915"</f>
        <v>2021-915</v>
      </c>
      <c r="C3219" s="1" t="s">
        <v>2563</v>
      </c>
      <c r="D3219" s="1" t="s">
        <v>914</v>
      </c>
      <c r="E3219" s="1" t="str">
        <f>""</f>
        <v/>
      </c>
      <c r="F3219" s="1" t="s">
        <v>1860</v>
      </c>
      <c r="G3219" s="1" t="str">
        <f>CONCATENATE(" D.R. AUTO D.O.O.,"," SELSKA CESTA 34,"," 10000 ZAGREB,"," OIB: 07523847158")</f>
        <v xml:space="preserve"> D.R. AUTO D.O.O., SELSKA CESTA 34, 10000 ZAGREB, OIB: 07523847158</v>
      </c>
      <c r="H3219" s="7"/>
      <c r="I3219" s="8" t="s">
        <v>77</v>
      </c>
      <c r="J3219" s="8" t="s">
        <v>281</v>
      </c>
      <c r="K3219" s="6" t="str">
        <f>"5.203,20"</f>
        <v>5.203,20</v>
      </c>
      <c r="L3219" s="6" t="str">
        <f>"1.300,80"</f>
        <v>1.300,80</v>
      </c>
      <c r="M3219" s="6" t="str">
        <f>"6.504,00"</f>
        <v>6.504,00</v>
      </c>
      <c r="N3219" s="8" t="s">
        <v>77</v>
      </c>
      <c r="O3219" s="7"/>
      <c r="P3219" s="2" t="s">
        <v>7457</v>
      </c>
      <c r="Q3219" s="7"/>
      <c r="R3219" s="1"/>
      <c r="S3219" s="1" t="str">
        <f>"J-UN-2021-1077"</f>
        <v>J-UN-2021-1077</v>
      </c>
      <c r="T3219" s="1" t="s">
        <v>32</v>
      </c>
    </row>
    <row r="3220" spans="1:20" ht="51" x14ac:dyDescent="0.25">
      <c r="A3220" s="6">
        <v>3214</v>
      </c>
      <c r="B3220" s="1" t="str">
        <f>"2021-203"</f>
        <v>2021-203</v>
      </c>
      <c r="C3220" s="1" t="s">
        <v>2302</v>
      </c>
      <c r="D3220" s="1" t="s">
        <v>689</v>
      </c>
      <c r="E3220" s="1" t="str">
        <f>""</f>
        <v/>
      </c>
      <c r="F3220" s="1" t="s">
        <v>1860</v>
      </c>
      <c r="G3220" s="1" t="str">
        <f>CONCATENATE(" ALFA PRINT D.O.O.,"," ANTE MIKE TRIPALA 9,"," 10000 ZAGREB,"," OIB: 197473974")</f>
        <v xml:space="preserve"> ALFA PRINT D.O.O., ANTE MIKE TRIPALA 9, 10000 ZAGREB, OIB: 197473974</v>
      </c>
      <c r="H3220" s="7"/>
      <c r="I3220" s="8" t="s">
        <v>77</v>
      </c>
      <c r="J3220" s="8" t="s">
        <v>281</v>
      </c>
      <c r="K3220" s="6" t="str">
        <f>"5.950,00"</f>
        <v>5.950,00</v>
      </c>
      <c r="L3220" s="6" t="str">
        <f>"1.487,50"</f>
        <v>1.487,50</v>
      </c>
      <c r="M3220" s="6" t="str">
        <f>"7.437,50"</f>
        <v>7.437,50</v>
      </c>
      <c r="N3220" s="8" t="s">
        <v>1501</v>
      </c>
      <c r="O3220" s="7"/>
      <c r="P3220" s="2" t="s">
        <v>7458</v>
      </c>
      <c r="Q3220" s="7"/>
      <c r="R3220" s="1"/>
      <c r="S3220" s="1" t="str">
        <f>"J-UN-2021-1078"</f>
        <v>J-UN-2021-1078</v>
      </c>
      <c r="T3220" s="1" t="s">
        <v>32</v>
      </c>
    </row>
    <row r="3221" spans="1:20" ht="51" x14ac:dyDescent="0.25">
      <c r="A3221" s="6">
        <v>3215</v>
      </c>
      <c r="B3221" s="1" t="str">
        <f>"2021-876"</f>
        <v>2021-876</v>
      </c>
      <c r="C3221" s="1" t="s">
        <v>2872</v>
      </c>
      <c r="D3221" s="1" t="s">
        <v>1833</v>
      </c>
      <c r="E3221" s="1" t="str">
        <f>""</f>
        <v/>
      </c>
      <c r="F3221" s="1" t="s">
        <v>1860</v>
      </c>
      <c r="G3221" s="1" t="str">
        <f>CONCATENATE(" AUTO ZOVAK D.O.O.,"," NIKOLE KRAMARIĆA 20,"," 10408 VELIKA MLAKA,"," OIB: 54549529724")</f>
        <v xml:space="preserve"> AUTO ZOVAK D.O.O., NIKOLE KRAMARIĆA 20, 10408 VELIKA MLAKA, OIB: 54549529724</v>
      </c>
      <c r="H3221" s="7"/>
      <c r="I3221" s="8" t="s">
        <v>77</v>
      </c>
      <c r="J3221" s="8" t="s">
        <v>281</v>
      </c>
      <c r="K3221" s="6" t="str">
        <f>"11.595,92"</f>
        <v>11.595,92</v>
      </c>
      <c r="L3221" s="6" t="str">
        <f>"2.898,98"</f>
        <v>2.898,98</v>
      </c>
      <c r="M3221" s="6" t="str">
        <f>"14.494,90"</f>
        <v>14.494,90</v>
      </c>
      <c r="N3221" s="8" t="s">
        <v>1044</v>
      </c>
      <c r="O3221" s="7"/>
      <c r="P3221" s="2" t="s">
        <v>7459</v>
      </c>
      <c r="Q3221" s="7"/>
      <c r="R3221" s="1"/>
      <c r="S3221" s="1" t="str">
        <f>"J-UN-2021-1079"</f>
        <v>J-UN-2021-1079</v>
      </c>
      <c r="T3221" s="1" t="s">
        <v>32</v>
      </c>
    </row>
    <row r="3222" spans="1:20" ht="63.75" x14ac:dyDescent="0.25">
      <c r="A3222" s="6">
        <v>3216</v>
      </c>
      <c r="B3222" s="1" t="str">
        <f>"2021-1015"</f>
        <v>2021-1015</v>
      </c>
      <c r="C3222" s="1" t="s">
        <v>2492</v>
      </c>
      <c r="D3222" s="1" t="s">
        <v>2493</v>
      </c>
      <c r="E3222" s="1" t="str">
        <f>""</f>
        <v/>
      </c>
      <c r="F3222" s="1" t="s">
        <v>1860</v>
      </c>
      <c r="G3222" s="1" t="str">
        <f>CONCATENATE(" PROPAN OPREMA D.O.O.,"," LUČKO,"," JEŽDOVEČKA 22/D,"," 10250 ZAGREB,"," OIB: 90577420988")</f>
        <v xml:space="preserve"> PROPAN OPREMA D.O.O., LUČKO, JEŽDOVEČKA 22/D, 10250 ZAGREB, OIB: 90577420988</v>
      </c>
      <c r="H3222" s="7"/>
      <c r="I3222" s="8" t="s">
        <v>77</v>
      </c>
      <c r="J3222" s="8" t="s">
        <v>281</v>
      </c>
      <c r="K3222" s="6" t="str">
        <f>"34.334,00"</f>
        <v>34.334,00</v>
      </c>
      <c r="L3222" s="6" t="str">
        <f>"8.583,50"</f>
        <v>8.583,50</v>
      </c>
      <c r="M3222" s="6" t="str">
        <f>"42.917,50"</f>
        <v>42.917,50</v>
      </c>
      <c r="N3222" s="8" t="s">
        <v>126</v>
      </c>
      <c r="O3222" s="7"/>
      <c r="P3222" s="2" t="s">
        <v>5614</v>
      </c>
      <c r="Q3222" s="7"/>
      <c r="R3222" s="1"/>
      <c r="S3222" s="1" t="str">
        <f>"J-UN-2021-1080"</f>
        <v>J-UN-2021-1080</v>
      </c>
      <c r="T3222" s="1" t="s">
        <v>32</v>
      </c>
    </row>
    <row r="3223" spans="1:20" ht="63.75" x14ac:dyDescent="0.25">
      <c r="A3223" s="6">
        <v>3217</v>
      </c>
      <c r="B3223" s="1" t="str">
        <f>"2021-1740"</f>
        <v>2021-1740</v>
      </c>
      <c r="C3223" s="1" t="s">
        <v>2891</v>
      </c>
      <c r="D3223" s="1" t="s">
        <v>165</v>
      </c>
      <c r="E3223" s="1" t="str">
        <f>""</f>
        <v/>
      </c>
      <c r="F3223" s="1" t="s">
        <v>1860</v>
      </c>
      <c r="G3223" s="1" t="str">
        <f>CONCATENATE(" KEMIS-TERMOCLEAN D.O.O.,"," SLAVONSKA AVENIJA 26/4,"," 10000 ZAGREB,"," OIB: 47719259482")</f>
        <v xml:space="preserve"> KEMIS-TERMOCLEAN D.O.O., SLAVONSKA AVENIJA 26/4, 10000 ZAGREB, OIB: 47719259482</v>
      </c>
      <c r="H3223" s="7"/>
      <c r="I3223" s="8" t="s">
        <v>1501</v>
      </c>
      <c r="J3223" s="8" t="s">
        <v>916</v>
      </c>
      <c r="K3223" s="6" t="str">
        <f>"2.500,00"</f>
        <v>2.500,00</v>
      </c>
      <c r="L3223" s="6" t="str">
        <f>"625,00"</f>
        <v>625,00</v>
      </c>
      <c r="M3223" s="6" t="str">
        <f>"3.125,00"</f>
        <v>3.125,00</v>
      </c>
      <c r="N3223" s="8" t="s">
        <v>2884</v>
      </c>
      <c r="O3223" s="7"/>
      <c r="P3223" s="2" t="s">
        <v>6399</v>
      </c>
      <c r="Q3223" s="7"/>
      <c r="R3223" s="1"/>
      <c r="S3223" s="1" t="str">
        <f>"J-UN-2021-1083"</f>
        <v>J-UN-2021-1083</v>
      </c>
      <c r="T3223" s="1" t="s">
        <v>32</v>
      </c>
    </row>
    <row r="3224" spans="1:20" ht="51" x14ac:dyDescent="0.25">
      <c r="A3224" s="6">
        <v>3218</v>
      </c>
      <c r="B3224" s="1" t="str">
        <f>"2021-1004"</f>
        <v>2021-1004</v>
      </c>
      <c r="C3224" s="1" t="s">
        <v>2715</v>
      </c>
      <c r="D3224" s="1" t="s">
        <v>2716</v>
      </c>
      <c r="E3224" s="1" t="str">
        <f>""</f>
        <v/>
      </c>
      <c r="F3224" s="1" t="s">
        <v>1860</v>
      </c>
      <c r="G3224" s="1" t="str">
        <f>CONCATENATE(" LAGER BAŠIĆ D.O.O.,"," TRGOVAČKA 3,"," 10255 DONJI STUPNIK,"," OIB: 49617677906")</f>
        <v xml:space="preserve"> LAGER BAŠIĆ D.O.O., TRGOVAČKA 3, 10255 DONJI STUPNIK, OIB: 49617677906</v>
      </c>
      <c r="H3224" s="7"/>
      <c r="I3224" s="8" t="s">
        <v>1923</v>
      </c>
      <c r="J3224" s="8" t="s">
        <v>563</v>
      </c>
      <c r="K3224" s="6" t="str">
        <f>"14.520,00"</f>
        <v>14.520,00</v>
      </c>
      <c r="L3224" s="6" t="str">
        <f>"3.630,00"</f>
        <v>3.630,00</v>
      </c>
      <c r="M3224" s="6" t="str">
        <f>"18.150,00"</f>
        <v>18.150,00</v>
      </c>
      <c r="N3224" s="8" t="s">
        <v>909</v>
      </c>
      <c r="O3224" s="7"/>
      <c r="P3224" s="2" t="s">
        <v>7460</v>
      </c>
      <c r="Q3224" s="7"/>
      <c r="R3224" s="1"/>
      <c r="S3224" s="1" t="str">
        <f>"J-UN-2021-1084"</f>
        <v>J-UN-2021-1084</v>
      </c>
      <c r="T3224" s="1" t="s">
        <v>32</v>
      </c>
    </row>
    <row r="3225" spans="1:20" ht="76.5" x14ac:dyDescent="0.25">
      <c r="A3225" s="6">
        <v>3219</v>
      </c>
      <c r="B3225" s="1" t="str">
        <f>"2021-1205"</f>
        <v>2021-1205</v>
      </c>
      <c r="C3225" s="1" t="s">
        <v>2892</v>
      </c>
      <c r="D3225" s="1" t="s">
        <v>1627</v>
      </c>
      <c r="E3225" s="1" t="str">
        <f>""</f>
        <v/>
      </c>
      <c r="F3225" s="1" t="s">
        <v>1860</v>
      </c>
      <c r="G3225" s="1" t="str">
        <f>CONCATENATE(" ELICOM D.O.O.,"," ŠTEFANOVEC 138,"," 10000 ZAGREB,"," OIB: 76370234816")</f>
        <v xml:space="preserve"> ELICOM D.O.O., ŠTEFANOVEC 138, 10000 ZAGREB, OIB: 76370234816</v>
      </c>
      <c r="H3225" s="7"/>
      <c r="I3225" s="8" t="s">
        <v>1923</v>
      </c>
      <c r="J3225" s="8" t="s">
        <v>563</v>
      </c>
      <c r="K3225" s="6" t="str">
        <f>"1.529,49"</f>
        <v>1.529,49</v>
      </c>
      <c r="L3225" s="6" t="str">
        <f>"382,37"</f>
        <v>382,37</v>
      </c>
      <c r="M3225" s="6" t="str">
        <f>"1.911,86"</f>
        <v>1.911,86</v>
      </c>
      <c r="N3225" s="8" t="s">
        <v>2134</v>
      </c>
      <c r="O3225" s="7"/>
      <c r="P3225" s="2" t="s">
        <v>7461</v>
      </c>
      <c r="Q3225" s="7"/>
      <c r="R3225" s="1"/>
      <c r="S3225" s="1" t="str">
        <f>"J-UN-2021-1085"</f>
        <v>J-UN-2021-1085</v>
      </c>
      <c r="T3225" s="1" t="s">
        <v>32</v>
      </c>
    </row>
    <row r="3226" spans="1:20" ht="63.75" x14ac:dyDescent="0.25">
      <c r="A3226" s="6">
        <v>3220</v>
      </c>
      <c r="B3226" s="1" t="str">
        <f>"2021-169"</f>
        <v>2021-169</v>
      </c>
      <c r="C3226" s="1" t="s">
        <v>2620</v>
      </c>
      <c r="D3226" s="1" t="s">
        <v>665</v>
      </c>
      <c r="E3226" s="1" t="str">
        <f>""</f>
        <v/>
      </c>
      <c r="F3226" s="1" t="s">
        <v>1860</v>
      </c>
      <c r="G3226" s="1" t="str">
        <f>CONCATENATE(" ELEKTRO-KOMUNIKACIJE D.O.O.,"," 14. PODBREŽJE 4,"," 10000 ZAGREB,"," OIB: 76412373309")</f>
        <v xml:space="preserve"> ELEKTRO-KOMUNIKACIJE D.O.O., 14. PODBREŽJE 4, 10000 ZAGREB, OIB: 76412373309</v>
      </c>
      <c r="H3226" s="7"/>
      <c r="I3226" s="8" t="s">
        <v>2717</v>
      </c>
      <c r="J3226" s="8" t="s">
        <v>429</v>
      </c>
      <c r="K3226" s="6" t="str">
        <f>"7.769,60"</f>
        <v>7.769,60</v>
      </c>
      <c r="L3226" s="6" t="str">
        <f>"1.942,40"</f>
        <v>1.942,40</v>
      </c>
      <c r="M3226" s="6" t="str">
        <f>"9.712,00"</f>
        <v>9.712,00</v>
      </c>
      <c r="N3226" s="8" t="s">
        <v>206</v>
      </c>
      <c r="O3226" s="7"/>
      <c r="P3226" s="2" t="s">
        <v>7462</v>
      </c>
      <c r="Q3226" s="7"/>
      <c r="R3226" s="1"/>
      <c r="S3226" s="1" t="str">
        <f>"J-UN-2021-1086"</f>
        <v>J-UN-2021-1086</v>
      </c>
      <c r="T3226" s="1" t="s">
        <v>32</v>
      </c>
    </row>
    <row r="3227" spans="1:20" ht="63.75" x14ac:dyDescent="0.25">
      <c r="A3227" s="6">
        <v>3221</v>
      </c>
      <c r="B3227" s="1" t="str">
        <f>"2021-2279"</f>
        <v>2021-2279</v>
      </c>
      <c r="C3227" s="1" t="s">
        <v>2893</v>
      </c>
      <c r="D3227" s="1" t="s">
        <v>2894</v>
      </c>
      <c r="E3227" s="1" t="str">
        <f>""</f>
        <v/>
      </c>
      <c r="F3227" s="1" t="s">
        <v>1860</v>
      </c>
      <c r="G3227" s="1" t="str">
        <f>CONCATENATE(" REMARI GRADNJA J.D.O.O.,"," ULICA DUBRAVKA DUJŠINA 18,"," 10000 ZAGREB,"," OIB: 07675826397")</f>
        <v xml:space="preserve"> REMARI GRADNJA J.D.O.O., ULICA DUBRAVKA DUJŠINA 18, 10000 ZAGREB, OIB: 07675826397</v>
      </c>
      <c r="H3227" s="7"/>
      <c r="I3227" s="8" t="s">
        <v>88</v>
      </c>
      <c r="J3227" s="8" t="s">
        <v>1551</v>
      </c>
      <c r="K3227" s="6" t="str">
        <f>"67.000,00"</f>
        <v>67.000,00</v>
      </c>
      <c r="L3227" s="6" t="str">
        <f>"16.750,00"</f>
        <v>16.750,00</v>
      </c>
      <c r="M3227" s="6" t="str">
        <f>"83.750,00"</f>
        <v>83.750,00</v>
      </c>
      <c r="N3227" s="8" t="s">
        <v>2895</v>
      </c>
      <c r="O3227" s="7"/>
      <c r="P3227" s="2" t="s">
        <v>7463</v>
      </c>
      <c r="Q3227" s="1"/>
      <c r="R3227" s="1"/>
      <c r="S3227" s="1" t="str">
        <f>"J-UN-2021-1087"</f>
        <v>J-UN-2021-1087</v>
      </c>
      <c r="T3227" s="1" t="s">
        <v>32</v>
      </c>
    </row>
    <row r="3228" spans="1:20" ht="51" x14ac:dyDescent="0.25">
      <c r="A3228" s="6">
        <v>3222</v>
      </c>
      <c r="B3228" s="1" t="str">
        <f>"2021-997"</f>
        <v>2021-997</v>
      </c>
      <c r="C3228" s="1" t="s">
        <v>2761</v>
      </c>
      <c r="D3228" s="1" t="s">
        <v>2762</v>
      </c>
      <c r="E3228" s="1" t="str">
        <f>""</f>
        <v/>
      </c>
      <c r="F3228" s="1" t="s">
        <v>1860</v>
      </c>
      <c r="G3228" s="1" t="str">
        <f>CONCATENATE(" MLD-USLUGE D.O.O.,"," IVANA GENERALIĆA BB,"," 48000 KOPRIVNICA,"," OIB: 48278869268")</f>
        <v xml:space="preserve"> MLD-USLUGE D.O.O., IVANA GENERALIĆA BB, 48000 KOPRIVNICA, OIB: 48278869268</v>
      </c>
      <c r="H3228" s="7"/>
      <c r="I3228" s="8" t="s">
        <v>1923</v>
      </c>
      <c r="J3228" s="8" t="s">
        <v>563</v>
      </c>
      <c r="K3228" s="6" t="str">
        <f>"3.007,50"</f>
        <v>3.007,50</v>
      </c>
      <c r="L3228" s="6" t="str">
        <f>"751,88"</f>
        <v>751,88</v>
      </c>
      <c r="M3228" s="6" t="str">
        <f>"3.759,38"</f>
        <v>3.759,38</v>
      </c>
      <c r="N3228" s="8" t="s">
        <v>1923</v>
      </c>
      <c r="O3228" s="7"/>
      <c r="P3228" s="2" t="s">
        <v>7464</v>
      </c>
      <c r="Q3228" s="7"/>
      <c r="R3228" s="1"/>
      <c r="S3228" s="1" t="str">
        <f>"J-UN-2021-1088"</f>
        <v>J-UN-2021-1088</v>
      </c>
      <c r="T3228" s="1" t="s">
        <v>32</v>
      </c>
    </row>
    <row r="3229" spans="1:20" ht="63.75" x14ac:dyDescent="0.25">
      <c r="A3229" s="6">
        <v>3223</v>
      </c>
      <c r="B3229" s="1" t="str">
        <f>"2021-1173"</f>
        <v>2021-1173</v>
      </c>
      <c r="C3229" s="1" t="s">
        <v>2777</v>
      </c>
      <c r="D3229" s="1" t="s">
        <v>1373</v>
      </c>
      <c r="E3229" s="1" t="str">
        <f>""</f>
        <v/>
      </c>
      <c r="F3229" s="1" t="s">
        <v>1860</v>
      </c>
      <c r="G3229" s="1" t="str">
        <f>CONCATENATE(" 3 M D.O.O.,"," GORNJE PODOTOČJE,"," ŠKOLSKA 60,"," 10410 VELIKA GORICA,"," OIB: 45975769859")</f>
        <v xml:space="preserve"> 3 M D.O.O., GORNJE PODOTOČJE, ŠKOLSKA 60, 10410 VELIKA GORICA, OIB: 45975769859</v>
      </c>
      <c r="H3229" s="7"/>
      <c r="I3229" s="8" t="s">
        <v>1923</v>
      </c>
      <c r="J3229" s="8" t="s">
        <v>563</v>
      </c>
      <c r="K3229" s="6" t="str">
        <f>"1.959,18"</f>
        <v>1.959,18</v>
      </c>
      <c r="L3229" s="6" t="str">
        <f>"489,80"</f>
        <v>489,80</v>
      </c>
      <c r="M3229" s="6" t="str">
        <f>"2.448,98"</f>
        <v>2.448,98</v>
      </c>
      <c r="N3229" s="8" t="s">
        <v>2896</v>
      </c>
      <c r="O3229" s="7"/>
      <c r="P3229" s="2" t="s">
        <v>7465</v>
      </c>
      <c r="Q3229" s="7"/>
      <c r="R3229" s="1"/>
      <c r="S3229" s="1" t="str">
        <f>"J-UN-2021-1089"</f>
        <v>J-UN-2021-1089</v>
      </c>
      <c r="T3229" s="1" t="s">
        <v>32</v>
      </c>
    </row>
    <row r="3230" spans="1:20" ht="51" x14ac:dyDescent="0.25">
      <c r="A3230" s="6">
        <v>3224</v>
      </c>
      <c r="B3230" s="1" t="str">
        <f>"2021-1740"</f>
        <v>2021-1740</v>
      </c>
      <c r="C3230" s="1" t="s">
        <v>2891</v>
      </c>
      <c r="D3230" s="1" t="s">
        <v>165</v>
      </c>
      <c r="E3230" s="1" t="str">
        <f>""</f>
        <v/>
      </c>
      <c r="F3230" s="1" t="s">
        <v>1860</v>
      </c>
      <c r="G3230" s="1" t="str">
        <f>CONCATENATE(" IND - EKO D.O.O.,"," KORZO 40/2,"," 51000 RIJEKA,"," OIB: 60067885527")</f>
        <v xml:space="preserve"> IND - EKO D.O.O., KORZO 40/2, 51000 RIJEKA, OIB: 60067885527</v>
      </c>
      <c r="H3230" s="7"/>
      <c r="I3230" s="8" t="s">
        <v>1923</v>
      </c>
      <c r="J3230" s="8" t="s">
        <v>563</v>
      </c>
      <c r="K3230" s="6" t="str">
        <f>"5.500,00"</f>
        <v>5.500,00</v>
      </c>
      <c r="L3230" s="6" t="str">
        <f>"1.375,00"</f>
        <v>1.375,00</v>
      </c>
      <c r="M3230" s="6" t="str">
        <f>"6.875,00"</f>
        <v>6.875,00</v>
      </c>
      <c r="N3230" s="8" t="s">
        <v>943</v>
      </c>
      <c r="O3230" s="7"/>
      <c r="P3230" s="2" t="s">
        <v>7058</v>
      </c>
      <c r="Q3230" s="1"/>
      <c r="R3230" s="1"/>
      <c r="S3230" s="1" t="str">
        <f>"J-UN-2021-1090"</f>
        <v>J-UN-2021-1090</v>
      </c>
      <c r="T3230" s="1" t="s">
        <v>32</v>
      </c>
    </row>
    <row r="3231" spans="1:20" ht="51" x14ac:dyDescent="0.25">
      <c r="A3231" s="6">
        <v>3225</v>
      </c>
      <c r="B3231" s="1" t="str">
        <f>"2021-627"</f>
        <v>2021-627</v>
      </c>
      <c r="C3231" s="1" t="s">
        <v>2727</v>
      </c>
      <c r="D3231" s="1" t="s">
        <v>794</v>
      </c>
      <c r="E3231" s="1" t="str">
        <f>""</f>
        <v/>
      </c>
      <c r="F3231" s="1" t="s">
        <v>1860</v>
      </c>
      <c r="G3231" s="1" t="str">
        <f>CONCATENATE(" TAHOGRAF D.O.O.,"," DR. FRANJE TUĐMANA 24,"," 10431 SVETA NEDELJA,"," OIB: 73777060562")</f>
        <v xml:space="preserve"> TAHOGRAF D.O.O., DR. FRANJE TUĐMANA 24, 10431 SVETA NEDELJA, OIB: 73777060562</v>
      </c>
      <c r="H3231" s="7"/>
      <c r="I3231" s="8" t="s">
        <v>2852</v>
      </c>
      <c r="J3231" s="8" t="s">
        <v>535</v>
      </c>
      <c r="K3231" s="6" t="str">
        <f>"7.600,00"</f>
        <v>7.600,00</v>
      </c>
      <c r="L3231" s="6" t="str">
        <f>"1.900,00"</f>
        <v>1.900,00</v>
      </c>
      <c r="M3231" s="6" t="str">
        <f>"9.500,00"</f>
        <v>9.500,00</v>
      </c>
      <c r="N3231" s="8" t="s">
        <v>1501</v>
      </c>
      <c r="O3231" s="7"/>
      <c r="P3231" s="2" t="s">
        <v>7466</v>
      </c>
      <c r="Q3231" s="7"/>
      <c r="R3231" s="1"/>
      <c r="S3231" s="1" t="str">
        <f>"J-UN-2021-1091"</f>
        <v>J-UN-2021-1091</v>
      </c>
      <c r="T3231" s="1" t="s">
        <v>32</v>
      </c>
    </row>
    <row r="3232" spans="1:20" ht="51" x14ac:dyDescent="0.25">
      <c r="A3232" s="6">
        <v>3226</v>
      </c>
      <c r="B3232" s="1" t="str">
        <f>"2021-327"</f>
        <v>2021-327</v>
      </c>
      <c r="C3232" s="1" t="s">
        <v>2763</v>
      </c>
      <c r="D3232" s="1" t="s">
        <v>2764</v>
      </c>
      <c r="E3232" s="1" t="str">
        <f>""</f>
        <v/>
      </c>
      <c r="F3232" s="1" t="s">
        <v>1860</v>
      </c>
      <c r="G3232" s="1" t="str">
        <f>CONCATENATE(" SAFIR D.O.O.,"," HORVAĆANSKA 17,"," 10000 ZAGREB,"," OIB: 33548604975")</f>
        <v xml:space="preserve"> SAFIR D.O.O., HORVAĆANSKA 17, 10000 ZAGREB, OIB: 33548604975</v>
      </c>
      <c r="H3232" s="7"/>
      <c r="I3232" s="8" t="s">
        <v>2717</v>
      </c>
      <c r="J3232" s="8" t="s">
        <v>429</v>
      </c>
      <c r="K3232" s="6" t="str">
        <f>"1.730,00"</f>
        <v>1.730,00</v>
      </c>
      <c r="L3232" s="6" t="str">
        <f>"432,50"</f>
        <v>432,50</v>
      </c>
      <c r="M3232" s="6" t="str">
        <f>"2.162,50"</f>
        <v>2.162,50</v>
      </c>
      <c r="N3232" s="8" t="s">
        <v>2895</v>
      </c>
      <c r="O3232" s="7"/>
      <c r="P3232" s="2" t="s">
        <v>7467</v>
      </c>
      <c r="Q3232" s="7"/>
      <c r="R3232" s="1"/>
      <c r="S3232" s="1" t="str">
        <f>"J-UN-2021-1093"</f>
        <v>J-UN-2021-1093</v>
      </c>
      <c r="T3232" s="1" t="s">
        <v>32</v>
      </c>
    </row>
    <row r="3233" spans="1:20" ht="63.75" x14ac:dyDescent="0.25">
      <c r="A3233" s="6">
        <v>3227</v>
      </c>
      <c r="B3233" s="1" t="str">
        <f>"2021-180"</f>
        <v>2021-180</v>
      </c>
      <c r="C3233" s="1" t="s">
        <v>2737</v>
      </c>
      <c r="D3233" s="1" t="s">
        <v>689</v>
      </c>
      <c r="E3233" s="1" t="str">
        <f>""</f>
        <v/>
      </c>
      <c r="F3233" s="1" t="s">
        <v>1860</v>
      </c>
      <c r="G3233" s="1" t="str">
        <f>CONCATENATE(" KEMOBOJA-DUBRAVA D.O.O.,"," AVENIJA DUBRAVA 37,"," 10000 ZAGREB,"," OIB: 6402157427")</f>
        <v xml:space="preserve"> KEMOBOJA-DUBRAVA D.O.O., AVENIJA DUBRAVA 37, 10000 ZAGREB, OIB: 6402157427</v>
      </c>
      <c r="H3233" s="7"/>
      <c r="I3233" s="8" t="s">
        <v>2717</v>
      </c>
      <c r="J3233" s="8" t="s">
        <v>429</v>
      </c>
      <c r="K3233" s="6" t="str">
        <f>"2.160,00"</f>
        <v>2.160,00</v>
      </c>
      <c r="L3233" s="6" t="str">
        <f>"540,00"</f>
        <v>540,00</v>
      </c>
      <c r="M3233" s="6" t="str">
        <f>"2.700,00"</f>
        <v>2.700,00</v>
      </c>
      <c r="N3233" s="8" t="s">
        <v>1891</v>
      </c>
      <c r="O3233" s="7"/>
      <c r="P3233" s="2" t="s">
        <v>7468</v>
      </c>
      <c r="Q3233" s="7"/>
      <c r="R3233" s="1"/>
      <c r="S3233" s="1" t="str">
        <f>"J-UN-2021-1094"</f>
        <v>J-UN-2021-1094</v>
      </c>
      <c r="T3233" s="1" t="s">
        <v>32</v>
      </c>
    </row>
    <row r="3234" spans="1:20" ht="51" x14ac:dyDescent="0.25">
      <c r="A3234" s="6">
        <v>3228</v>
      </c>
      <c r="B3234" s="1" t="str">
        <f>"2021-232"</f>
        <v>2021-232</v>
      </c>
      <c r="C3234" s="1" t="s">
        <v>2745</v>
      </c>
      <c r="D3234" s="1" t="s">
        <v>700</v>
      </c>
      <c r="E3234" s="1" t="str">
        <f>""</f>
        <v/>
      </c>
      <c r="F3234" s="1" t="s">
        <v>1860</v>
      </c>
      <c r="G3234" s="1" t="str">
        <f>CONCATENATE(" SCHEDA D.O.O.,"," LJUDEVITA POSAVSKOG 29,"," 10360 SESVETE,"," OIB: 76219817247")</f>
        <v xml:space="preserve"> SCHEDA D.O.O., LJUDEVITA POSAVSKOG 29, 10360 SESVETE, OIB: 76219817247</v>
      </c>
      <c r="H3234" s="7"/>
      <c r="I3234" s="8" t="s">
        <v>2717</v>
      </c>
      <c r="J3234" s="8" t="s">
        <v>429</v>
      </c>
      <c r="K3234" s="6" t="str">
        <f>"474,70"</f>
        <v>474,70</v>
      </c>
      <c r="L3234" s="6" t="str">
        <f>"118,68"</f>
        <v>118,68</v>
      </c>
      <c r="M3234" s="6" t="str">
        <f>"593,38"</f>
        <v>593,38</v>
      </c>
      <c r="N3234" s="8" t="s">
        <v>891</v>
      </c>
      <c r="O3234" s="7"/>
      <c r="P3234" s="2" t="s">
        <v>7469</v>
      </c>
      <c r="Q3234" s="7"/>
      <c r="R3234" s="1"/>
      <c r="S3234" s="1" t="str">
        <f>"J-UN-2021-1095"</f>
        <v>J-UN-2021-1095</v>
      </c>
      <c r="T3234" s="1" t="s">
        <v>32</v>
      </c>
    </row>
    <row r="3235" spans="1:20" ht="51" x14ac:dyDescent="0.25">
      <c r="A3235" s="6">
        <v>3229</v>
      </c>
      <c r="B3235" s="1" t="str">
        <f>"2021-498"</f>
        <v>2021-498</v>
      </c>
      <c r="C3235" s="1" t="s">
        <v>2699</v>
      </c>
      <c r="D3235" s="1" t="s">
        <v>1888</v>
      </c>
      <c r="E3235" s="1" t="str">
        <f>""</f>
        <v/>
      </c>
      <c r="F3235" s="1" t="s">
        <v>1860</v>
      </c>
      <c r="G3235" s="1" t="str">
        <f>CONCATENATE(" HUDEK ZAGREB D.O.O.,"," SUNEKOVA 145,"," 10000 ZAGREB,"," OIB: 43013193376")</f>
        <v xml:space="preserve"> HUDEK ZAGREB D.O.O., SUNEKOVA 145, 10000 ZAGREB, OIB: 43013193376</v>
      </c>
      <c r="H3235" s="7"/>
      <c r="I3235" s="8" t="s">
        <v>2852</v>
      </c>
      <c r="J3235" s="8" t="s">
        <v>535</v>
      </c>
      <c r="K3235" s="6" t="str">
        <f>"2.000,00"</f>
        <v>2.000,00</v>
      </c>
      <c r="L3235" s="6" t="str">
        <f>"500,00"</f>
        <v>500,00</v>
      </c>
      <c r="M3235" s="6" t="str">
        <f>"2.500,00"</f>
        <v>2.500,00</v>
      </c>
      <c r="N3235" s="8" t="s">
        <v>182</v>
      </c>
      <c r="O3235" s="7"/>
      <c r="P3235" s="2" t="s">
        <v>6405</v>
      </c>
      <c r="Q3235" s="7"/>
      <c r="R3235" s="1"/>
      <c r="S3235" s="1" t="str">
        <f>"J-UN-2021-1096"</f>
        <v>J-UN-2021-1096</v>
      </c>
      <c r="T3235" s="1" t="s">
        <v>32</v>
      </c>
    </row>
    <row r="3236" spans="1:20" ht="63.75" x14ac:dyDescent="0.25">
      <c r="A3236" s="6">
        <v>3230</v>
      </c>
      <c r="B3236" s="1" t="str">
        <f>"2021-576"</f>
        <v>2021-576</v>
      </c>
      <c r="C3236" s="1" t="s">
        <v>2561</v>
      </c>
      <c r="D3236" s="1" t="s">
        <v>2156</v>
      </c>
      <c r="E3236" s="1" t="str">
        <f>""</f>
        <v/>
      </c>
      <c r="F3236" s="1" t="s">
        <v>1860</v>
      </c>
      <c r="G3236" s="1" t="str">
        <f>CONCATENATE(" MAKROMIKRO GRUPA D.O.O.,"," VUKOMERIČKA ULICA 6,"," 10410 VELIKA GORICA,"," OIB: 5046797487")</f>
        <v xml:space="preserve"> MAKROMIKRO GRUPA D.O.O., VUKOMERIČKA ULICA 6, 10410 VELIKA GORICA, OIB: 5046797487</v>
      </c>
      <c r="H3236" s="7"/>
      <c r="I3236" s="8" t="s">
        <v>1501</v>
      </c>
      <c r="J3236" s="8" t="s">
        <v>916</v>
      </c>
      <c r="K3236" s="6" t="str">
        <f>"3.974,00"</f>
        <v>3.974,00</v>
      </c>
      <c r="L3236" s="6" t="str">
        <f>"993,50"</f>
        <v>993,50</v>
      </c>
      <c r="M3236" s="6" t="str">
        <f>"4.967,50"</f>
        <v>4.967,50</v>
      </c>
      <c r="N3236" s="8" t="s">
        <v>1445</v>
      </c>
      <c r="O3236" s="7"/>
      <c r="P3236" s="2" t="s">
        <v>7470</v>
      </c>
      <c r="Q3236" s="7"/>
      <c r="R3236" s="1"/>
      <c r="S3236" s="1" t="str">
        <f>"J-UN-2021-1099"</f>
        <v>J-UN-2021-1099</v>
      </c>
      <c r="T3236" s="1" t="s">
        <v>32</v>
      </c>
    </row>
    <row r="3237" spans="1:20" ht="51" x14ac:dyDescent="0.25">
      <c r="A3237" s="6">
        <v>3231</v>
      </c>
      <c r="B3237" s="1" t="str">
        <f>"2021-183"</f>
        <v>2021-183</v>
      </c>
      <c r="C3237" s="1" t="s">
        <v>2726</v>
      </c>
      <c r="D3237" s="1" t="s">
        <v>689</v>
      </c>
      <c r="E3237" s="1" t="str">
        <f>""</f>
        <v/>
      </c>
      <c r="F3237" s="1" t="s">
        <v>1860</v>
      </c>
      <c r="G3237" s="1" t="str">
        <f>CONCATENATE(" SCHEDA D.O.O.,"," LJUDEVITA POSAVSKOG 29,"," 10360 SESVETE,"," OIB: 76219817247")</f>
        <v xml:space="preserve"> SCHEDA D.O.O., LJUDEVITA POSAVSKOG 29, 10360 SESVETE, OIB: 76219817247</v>
      </c>
      <c r="H3237" s="7"/>
      <c r="I3237" s="8" t="s">
        <v>1501</v>
      </c>
      <c r="J3237" s="8" t="s">
        <v>916</v>
      </c>
      <c r="K3237" s="6" t="str">
        <f>"678,40"</f>
        <v>678,40</v>
      </c>
      <c r="L3237" s="6" t="str">
        <f>"169,60"</f>
        <v>169,60</v>
      </c>
      <c r="M3237" s="6" t="str">
        <f>"848,00"</f>
        <v>848,00</v>
      </c>
      <c r="N3237" s="8" t="s">
        <v>441</v>
      </c>
      <c r="O3237" s="7"/>
      <c r="P3237" s="2" t="s">
        <v>7471</v>
      </c>
      <c r="Q3237" s="7"/>
      <c r="R3237" s="1"/>
      <c r="S3237" s="1" t="str">
        <f>"J-UN-2021-1100"</f>
        <v>J-UN-2021-1100</v>
      </c>
      <c r="T3237" s="1" t="s">
        <v>32</v>
      </c>
    </row>
    <row r="3238" spans="1:20" ht="63.75" x14ac:dyDescent="0.25">
      <c r="A3238" s="6">
        <v>3232</v>
      </c>
      <c r="B3238" s="1" t="str">
        <f>"2021-325"</f>
        <v>2021-325</v>
      </c>
      <c r="C3238" s="1" t="s">
        <v>2700</v>
      </c>
      <c r="D3238" s="1" t="s">
        <v>2701</v>
      </c>
      <c r="E3238" s="1" t="str">
        <f>""</f>
        <v/>
      </c>
      <c r="F3238" s="1" t="s">
        <v>1860</v>
      </c>
      <c r="G3238" s="1" t="str">
        <f>CONCATENATE(" ELEKTRO-KOMUNIKACIJE D.O.O.,"," 14. PODBREŽJE 4,"," 10000 ZAGREB,"," OIB: 76412373309")</f>
        <v xml:space="preserve"> ELEKTRO-KOMUNIKACIJE D.O.O., 14. PODBREŽJE 4, 10000 ZAGREB, OIB: 76412373309</v>
      </c>
      <c r="H3238" s="7"/>
      <c r="I3238" s="8" t="s">
        <v>1501</v>
      </c>
      <c r="J3238" s="8" t="s">
        <v>916</v>
      </c>
      <c r="K3238" s="6" t="str">
        <f>"4.991,00"</f>
        <v>4.991,00</v>
      </c>
      <c r="L3238" s="6" t="str">
        <f>"1.247,75"</f>
        <v>1.247,75</v>
      </c>
      <c r="M3238" s="6" t="str">
        <f>"6.238,75"</f>
        <v>6.238,75</v>
      </c>
      <c r="N3238" s="8" t="s">
        <v>206</v>
      </c>
      <c r="O3238" s="7"/>
      <c r="P3238" s="2" t="s">
        <v>7472</v>
      </c>
      <c r="Q3238" s="7"/>
      <c r="R3238" s="1"/>
      <c r="S3238" s="1" t="str">
        <f>"J-UN-2021-1101"</f>
        <v>J-UN-2021-1101</v>
      </c>
      <c r="T3238" s="1" t="s">
        <v>32</v>
      </c>
    </row>
    <row r="3239" spans="1:20" ht="51" x14ac:dyDescent="0.25">
      <c r="A3239" s="6">
        <v>3233</v>
      </c>
      <c r="B3239" s="1" t="str">
        <f>"2021-491"</f>
        <v>2021-491</v>
      </c>
      <c r="C3239" s="1" t="s">
        <v>2788</v>
      </c>
      <c r="D3239" s="1" t="s">
        <v>2789</v>
      </c>
      <c r="E3239" s="1" t="str">
        <f>""</f>
        <v/>
      </c>
      <c r="F3239" s="1" t="s">
        <v>1860</v>
      </c>
      <c r="G3239" s="1" t="str">
        <f>CONCATENATE(" SCHEDA D.O.O.,"," LJUDEVITA POSAVSKOG 29,"," 10360 SESVETE,"," OIB: 76219817247")</f>
        <v xml:space="preserve"> SCHEDA D.O.O., LJUDEVITA POSAVSKOG 29, 10360 SESVETE, OIB: 76219817247</v>
      </c>
      <c r="H3239" s="7"/>
      <c r="I3239" s="8" t="s">
        <v>1501</v>
      </c>
      <c r="J3239" s="8" t="s">
        <v>916</v>
      </c>
      <c r="K3239" s="6" t="str">
        <f>"595,00"</f>
        <v>595,00</v>
      </c>
      <c r="L3239" s="6" t="str">
        <f>"148,75"</f>
        <v>148,75</v>
      </c>
      <c r="M3239" s="6" t="str">
        <f>"743,75"</f>
        <v>743,75</v>
      </c>
      <c r="N3239" s="8" t="s">
        <v>2291</v>
      </c>
      <c r="O3239" s="7"/>
      <c r="P3239" s="2" t="s">
        <v>7473</v>
      </c>
      <c r="Q3239" s="7"/>
      <c r="R3239" s="1"/>
      <c r="S3239" s="1" t="str">
        <f>"J-UN-2021-1102"</f>
        <v>J-UN-2021-1102</v>
      </c>
      <c r="T3239" s="1" t="s">
        <v>32</v>
      </c>
    </row>
    <row r="3240" spans="1:20" ht="51" x14ac:dyDescent="0.25">
      <c r="A3240" s="6">
        <v>3234</v>
      </c>
      <c r="B3240" s="1" t="str">
        <f>"2021-463"</f>
        <v>2021-463</v>
      </c>
      <c r="C3240" s="1" t="s">
        <v>2600</v>
      </c>
      <c r="D3240" s="1" t="s">
        <v>2601</v>
      </c>
      <c r="E3240" s="1" t="str">
        <f>""</f>
        <v/>
      </c>
      <c r="F3240" s="1" t="s">
        <v>1860</v>
      </c>
      <c r="G3240" s="1" t="str">
        <f>CONCATENATE(" NIACO D.O.O.,"," IVANA KAMENARIĆA 9,"," 10380 SVETI IVAN ZELINA,"," OIB: 61876916009")</f>
        <v xml:space="preserve"> NIACO D.O.O., IVANA KAMENARIĆA 9, 10380 SVETI IVAN ZELINA, OIB: 61876916009</v>
      </c>
      <c r="H3240" s="7"/>
      <c r="I3240" s="8" t="s">
        <v>1501</v>
      </c>
      <c r="J3240" s="8" t="s">
        <v>916</v>
      </c>
      <c r="K3240" s="6" t="str">
        <f>"2.440,00"</f>
        <v>2.440,00</v>
      </c>
      <c r="L3240" s="6" t="str">
        <f>"610,00"</f>
        <v>610,00</v>
      </c>
      <c r="M3240" s="6" t="str">
        <f>"3.050,00"</f>
        <v>3.050,00</v>
      </c>
      <c r="N3240" s="8" t="s">
        <v>581</v>
      </c>
      <c r="O3240" s="7"/>
      <c r="P3240" s="2" t="s">
        <v>6487</v>
      </c>
      <c r="Q3240" s="7"/>
      <c r="R3240" s="1"/>
      <c r="S3240" s="1" t="str">
        <f>"J-UN-2021-1103"</f>
        <v>J-UN-2021-1103</v>
      </c>
      <c r="T3240" s="1" t="s">
        <v>32</v>
      </c>
    </row>
    <row r="3241" spans="1:20" ht="51" x14ac:dyDescent="0.25">
      <c r="A3241" s="6">
        <v>3235</v>
      </c>
      <c r="B3241" s="1" t="str">
        <f>"2021-305"</f>
        <v>2021-305</v>
      </c>
      <c r="C3241" s="1" t="s">
        <v>2831</v>
      </c>
      <c r="D3241" s="1" t="s">
        <v>2832</v>
      </c>
      <c r="E3241" s="1" t="str">
        <f>""</f>
        <v/>
      </c>
      <c r="F3241" s="1" t="s">
        <v>1860</v>
      </c>
      <c r="G3241" s="1" t="str">
        <f>CONCATENATE(" HRT - ŠARIĆ D.O.O.,"," ZAGREBAČKA 217,"," 10370 DUGO SELO,"," OIB: 76454212077")</f>
        <v xml:space="preserve"> HRT - ŠARIĆ D.O.O., ZAGREBAČKA 217, 10370 DUGO SELO, OIB: 76454212077</v>
      </c>
      <c r="H3241" s="7"/>
      <c r="I3241" s="8" t="s">
        <v>2717</v>
      </c>
      <c r="J3241" s="8" t="s">
        <v>429</v>
      </c>
      <c r="K3241" s="6" t="str">
        <f>"8.095,00"</f>
        <v>8.095,00</v>
      </c>
      <c r="L3241" s="6" t="str">
        <f>"2.023,75"</f>
        <v>2.023,75</v>
      </c>
      <c r="M3241" s="6" t="str">
        <f>"10.118,75"</f>
        <v>10.118,75</v>
      </c>
      <c r="N3241" s="8" t="s">
        <v>124</v>
      </c>
      <c r="O3241" s="7"/>
      <c r="P3241" s="2" t="s">
        <v>5614</v>
      </c>
      <c r="Q3241" s="7"/>
      <c r="R3241" s="1"/>
      <c r="S3241" s="1" t="str">
        <f>"J-UN-2021-1104"</f>
        <v>J-UN-2021-1104</v>
      </c>
      <c r="T3241" s="1" t="s">
        <v>32</v>
      </c>
    </row>
    <row r="3242" spans="1:20" ht="51" x14ac:dyDescent="0.25">
      <c r="A3242" s="6">
        <v>3236</v>
      </c>
      <c r="B3242" s="1" t="str">
        <f>"2021-913"</f>
        <v>2021-913</v>
      </c>
      <c r="C3242" s="1" t="s">
        <v>2710</v>
      </c>
      <c r="D3242" s="1" t="s">
        <v>815</v>
      </c>
      <c r="E3242" s="1" t="str">
        <f>""</f>
        <v/>
      </c>
      <c r="F3242" s="1" t="s">
        <v>1860</v>
      </c>
      <c r="G3242" s="1" t="str">
        <f>CONCATENATE(" EUROPART D.O.O.,"," LUKŠIĆ 10A,"," 10000 ZAGREB,"," OIB: 17260643187")</f>
        <v xml:space="preserve"> EUROPART D.O.O., LUKŠIĆ 10A, 10000 ZAGREB, OIB: 17260643187</v>
      </c>
      <c r="H3242" s="7"/>
      <c r="I3242" s="8" t="s">
        <v>2717</v>
      </c>
      <c r="J3242" s="8" t="s">
        <v>429</v>
      </c>
      <c r="K3242" s="6" t="str">
        <f>"3.140,00"</f>
        <v>3.140,00</v>
      </c>
      <c r="L3242" s="6" t="str">
        <f>"785,00"</f>
        <v>785,00</v>
      </c>
      <c r="M3242" s="6" t="str">
        <f>"3.925,00"</f>
        <v>3.925,00</v>
      </c>
      <c r="N3242" s="8" t="s">
        <v>124</v>
      </c>
      <c r="O3242" s="7"/>
      <c r="P3242" s="2" t="s">
        <v>5614</v>
      </c>
      <c r="Q3242" s="7"/>
      <c r="R3242" s="1"/>
      <c r="S3242" s="1" t="str">
        <f>"J-UN-2021-1107"</f>
        <v>J-UN-2021-1107</v>
      </c>
      <c r="T3242" s="1" t="s">
        <v>32</v>
      </c>
    </row>
    <row r="3243" spans="1:20" ht="63.75" x14ac:dyDescent="0.25">
      <c r="A3243" s="6">
        <v>3237</v>
      </c>
      <c r="B3243" s="1" t="str">
        <f>"2021-377"</f>
        <v>2021-377</v>
      </c>
      <c r="C3243" s="1" t="s">
        <v>2833</v>
      </c>
      <c r="D3243" s="1" t="s">
        <v>1962</v>
      </c>
      <c r="E3243" s="1" t="str">
        <f>""</f>
        <v/>
      </c>
      <c r="F3243" s="1" t="s">
        <v>1860</v>
      </c>
      <c r="G3243" s="1" t="str">
        <f>CONCATENATE(" GRA-PO D.O.O.,"," GOSPODARSKA 5B,"," 10255 ZAGREB - STUPNIK,"," OIB: 05364995085")</f>
        <v xml:space="preserve"> GRA-PO D.O.O., GOSPODARSKA 5B, 10255 ZAGREB - STUPNIK, OIB: 05364995085</v>
      </c>
      <c r="H3243" s="7"/>
      <c r="I3243" s="8" t="s">
        <v>1923</v>
      </c>
      <c r="J3243" s="8" t="s">
        <v>563</v>
      </c>
      <c r="K3243" s="6" t="str">
        <f>"39.506,40"</f>
        <v>39.506,40</v>
      </c>
      <c r="L3243" s="6" t="str">
        <f>"9.876,60"</f>
        <v>9.876,60</v>
      </c>
      <c r="M3243" s="6" t="str">
        <f>"49.383,00"</f>
        <v>49.383,00</v>
      </c>
      <c r="N3243" s="8" t="s">
        <v>752</v>
      </c>
      <c r="O3243" s="7"/>
      <c r="P3243" s="2" t="s">
        <v>7474</v>
      </c>
      <c r="Q3243" s="1" t="s">
        <v>488</v>
      </c>
      <c r="R3243" s="1"/>
      <c r="S3243" s="1" t="str">
        <f>"J-UN-2021-1109"</f>
        <v>J-UN-2021-1109</v>
      </c>
      <c r="T3243" s="1" t="s">
        <v>32</v>
      </c>
    </row>
    <row r="3244" spans="1:20" ht="51" x14ac:dyDescent="0.25">
      <c r="A3244" s="6">
        <v>3238</v>
      </c>
      <c r="B3244" s="1" t="str">
        <f>"2021-1015"</f>
        <v>2021-1015</v>
      </c>
      <c r="C3244" s="1" t="s">
        <v>2492</v>
      </c>
      <c r="D3244" s="1" t="s">
        <v>2493</v>
      </c>
      <c r="E3244" s="1" t="str">
        <f>""</f>
        <v/>
      </c>
      <c r="F3244" s="1" t="s">
        <v>1860</v>
      </c>
      <c r="G3244" s="1" t="str">
        <f>CONCATENATE(" STAR IMPORT D.O.O.,"," KOVINSKA 5,"," 10090 ZAGREB-SUSEDGRAD,"," OIB: 783122799")</f>
        <v xml:space="preserve"> STAR IMPORT D.O.O., KOVINSKA 5, 10090 ZAGREB-SUSEDGRAD, OIB: 783122799</v>
      </c>
      <c r="H3244" s="7"/>
      <c r="I3244" s="8" t="s">
        <v>1923</v>
      </c>
      <c r="J3244" s="8" t="s">
        <v>563</v>
      </c>
      <c r="K3244" s="6" t="str">
        <f>"1.916,96"</f>
        <v>1.916,96</v>
      </c>
      <c r="L3244" s="6" t="str">
        <f>"479,24"</f>
        <v>479,24</v>
      </c>
      <c r="M3244" s="6" t="str">
        <f>"2.396,20"</f>
        <v>2.396,20</v>
      </c>
      <c r="N3244" s="8" t="s">
        <v>182</v>
      </c>
      <c r="O3244" s="7"/>
      <c r="P3244" s="2" t="s">
        <v>7475</v>
      </c>
      <c r="Q3244" s="7"/>
      <c r="R3244" s="1"/>
      <c r="S3244" s="1" t="str">
        <f>"J-UN-2021-1110"</f>
        <v>J-UN-2021-1110</v>
      </c>
      <c r="T3244" s="1" t="s">
        <v>32</v>
      </c>
    </row>
    <row r="3245" spans="1:20" ht="63.75" x14ac:dyDescent="0.25">
      <c r="A3245" s="6">
        <v>3239</v>
      </c>
      <c r="B3245" s="1" t="str">
        <f>"2021-2280"</f>
        <v>2021-2280</v>
      </c>
      <c r="C3245" s="1" t="s">
        <v>2897</v>
      </c>
      <c r="D3245" s="1" t="s">
        <v>1619</v>
      </c>
      <c r="E3245" s="1" t="str">
        <f>""</f>
        <v/>
      </c>
      <c r="F3245" s="1" t="s">
        <v>1860</v>
      </c>
      <c r="G3245" s="1" t="str">
        <f>CONCATENATE(" DDSERVIS D.O.O.,"," SISAČKA CESTA III ODVOJAK 7,"," 10020 ZAGREB,"," OIB: 95325472047")</f>
        <v xml:space="preserve"> DDSERVIS D.O.O., SISAČKA CESTA III ODVOJAK 7, 10020 ZAGREB, OIB: 95325472047</v>
      </c>
      <c r="H3245" s="7"/>
      <c r="I3245" s="8" t="s">
        <v>1501</v>
      </c>
      <c r="J3245" s="8" t="s">
        <v>916</v>
      </c>
      <c r="K3245" s="6" t="str">
        <f>"189.891,34"</f>
        <v>189.891,34</v>
      </c>
      <c r="L3245" s="6" t="str">
        <f>"47.472,84"</f>
        <v>47.472,84</v>
      </c>
      <c r="M3245" s="6" t="str">
        <f>"237.364,18"</f>
        <v>237.364,18</v>
      </c>
      <c r="N3245" s="8" t="s">
        <v>2896</v>
      </c>
      <c r="O3245" s="7"/>
      <c r="P3245" s="2" t="s">
        <v>7476</v>
      </c>
      <c r="Q3245" s="7"/>
      <c r="R3245" s="1"/>
      <c r="S3245" s="1" t="str">
        <f>"J-UN-2021-1117"</f>
        <v>J-UN-2021-1117</v>
      </c>
      <c r="T3245" s="1" t="s">
        <v>32</v>
      </c>
    </row>
    <row r="3246" spans="1:20" ht="38.25" x14ac:dyDescent="0.25">
      <c r="A3246" s="6">
        <v>3240</v>
      </c>
      <c r="B3246" s="1" t="str">
        <f>"2021-1176"</f>
        <v>2021-1176</v>
      </c>
      <c r="C3246" s="1" t="s">
        <v>2815</v>
      </c>
      <c r="D3246" s="1" t="s">
        <v>1373</v>
      </c>
      <c r="E3246" s="1" t="str">
        <f>""</f>
        <v/>
      </c>
      <c r="F3246" s="1" t="s">
        <v>1860</v>
      </c>
      <c r="G3246" s="1" t="str">
        <f>CONCATENATE(" BLEKI d.o.o.,"," VOĆNJAK 15,"," 10000 ZAGREB,"," OIB: 90806632168")</f>
        <v xml:space="preserve"> BLEKI d.o.o., VOĆNJAK 15, 10000 ZAGREB, OIB: 90806632168</v>
      </c>
      <c r="H3246" s="7"/>
      <c r="I3246" s="8" t="s">
        <v>1501</v>
      </c>
      <c r="J3246" s="8" t="s">
        <v>916</v>
      </c>
      <c r="K3246" s="6" t="str">
        <f>"2.245,00"</f>
        <v>2.245,00</v>
      </c>
      <c r="L3246" s="6" t="str">
        <f>"561,25"</f>
        <v>561,25</v>
      </c>
      <c r="M3246" s="6" t="str">
        <f>"2.806,25"</f>
        <v>2.806,25</v>
      </c>
      <c r="N3246" s="8" t="s">
        <v>1036</v>
      </c>
      <c r="O3246" s="7"/>
      <c r="P3246" s="2" t="s">
        <v>7477</v>
      </c>
      <c r="Q3246" s="7"/>
      <c r="R3246" s="1"/>
      <c r="S3246" s="1" t="str">
        <f>"J-UN-2021-1118"</f>
        <v>J-UN-2021-1118</v>
      </c>
      <c r="T3246" s="1" t="s">
        <v>32</v>
      </c>
    </row>
    <row r="3247" spans="1:20" ht="76.5" x14ac:dyDescent="0.25">
      <c r="A3247" s="6">
        <v>3241</v>
      </c>
      <c r="B3247" s="1" t="str">
        <f>"2021-1203"</f>
        <v>2021-1203</v>
      </c>
      <c r="C3247" s="1" t="s">
        <v>2750</v>
      </c>
      <c r="D3247" s="1" t="s">
        <v>1627</v>
      </c>
      <c r="E3247" s="1" t="str">
        <f>""</f>
        <v/>
      </c>
      <c r="F3247" s="1" t="s">
        <v>1860</v>
      </c>
      <c r="G3247" s="1" t="str">
        <f>CONCATENATE(" ELICOM D.O.O.,"," ŠTEFANOVEC 138,"," 10000 ZAGREB,"," OIB: 76370234816")</f>
        <v xml:space="preserve"> ELICOM D.O.O., ŠTEFANOVEC 138, 10000 ZAGREB, OIB: 76370234816</v>
      </c>
      <c r="H3247" s="7"/>
      <c r="I3247" s="8" t="s">
        <v>2134</v>
      </c>
      <c r="J3247" s="8" t="s">
        <v>520</v>
      </c>
      <c r="K3247" s="6" t="str">
        <f>"680,60"</f>
        <v>680,60</v>
      </c>
      <c r="L3247" s="6" t="str">
        <f>"170,15"</f>
        <v>170,15</v>
      </c>
      <c r="M3247" s="6" t="str">
        <f>"850,75"</f>
        <v>850,75</v>
      </c>
      <c r="N3247" s="8" t="s">
        <v>1445</v>
      </c>
      <c r="O3247" s="7"/>
      <c r="P3247" s="2" t="s">
        <v>7478</v>
      </c>
      <c r="Q3247" s="7"/>
      <c r="R3247" s="1"/>
      <c r="S3247" s="1" t="str">
        <f>"J-UN-2021-1122"</f>
        <v>J-UN-2021-1122</v>
      </c>
      <c r="T3247" s="1" t="s">
        <v>32</v>
      </c>
    </row>
    <row r="3248" spans="1:20" ht="51" x14ac:dyDescent="0.25">
      <c r="A3248" s="6">
        <v>3242</v>
      </c>
      <c r="B3248" s="1" t="str">
        <f>"2021-481"</f>
        <v>2021-481</v>
      </c>
      <c r="C3248" s="1" t="s">
        <v>2626</v>
      </c>
      <c r="D3248" s="1" t="s">
        <v>2627</v>
      </c>
      <c r="E3248" s="1" t="str">
        <f>""</f>
        <v/>
      </c>
      <c r="F3248" s="1" t="s">
        <v>1860</v>
      </c>
      <c r="G3248" s="1" t="str">
        <f>CONCATENATE(" E-ELMES D.O.O.,"," MATIJE MESIĆA 29A,"," 10370 DUGO SELO,"," OIB: 89958947498")</f>
        <v xml:space="preserve"> E-ELMES D.O.O., MATIJE MESIĆA 29A, 10370 DUGO SELO, OIB: 89958947498</v>
      </c>
      <c r="H3248" s="7"/>
      <c r="I3248" s="8" t="s">
        <v>2134</v>
      </c>
      <c r="J3248" s="8" t="s">
        <v>520</v>
      </c>
      <c r="K3248" s="6" t="str">
        <f>"886,50"</f>
        <v>886,50</v>
      </c>
      <c r="L3248" s="6" t="str">
        <f>"221,63"</f>
        <v>221,63</v>
      </c>
      <c r="M3248" s="6" t="str">
        <f>"1.108,13"</f>
        <v>1.108,13</v>
      </c>
      <c r="N3248" s="8" t="s">
        <v>1988</v>
      </c>
      <c r="O3248" s="7"/>
      <c r="P3248" s="2" t="s">
        <v>7479</v>
      </c>
      <c r="Q3248" s="7"/>
      <c r="R3248" s="1"/>
      <c r="S3248" s="1" t="str">
        <f>"J-UN-2021-1124"</f>
        <v>J-UN-2021-1124</v>
      </c>
      <c r="T3248" s="1" t="s">
        <v>32</v>
      </c>
    </row>
    <row r="3249" spans="1:20" ht="63.75" x14ac:dyDescent="0.25">
      <c r="A3249" s="6">
        <v>3243</v>
      </c>
      <c r="B3249" s="1" t="str">
        <f>"2021-280"</f>
        <v>2021-280</v>
      </c>
      <c r="C3249" s="1" t="s">
        <v>2616</v>
      </c>
      <c r="D3249" s="1" t="s">
        <v>2617</v>
      </c>
      <c r="E3249" s="1" t="str">
        <f>""</f>
        <v/>
      </c>
      <c r="F3249" s="1" t="s">
        <v>1860</v>
      </c>
      <c r="G3249" s="1" t="str">
        <f>CONCATENATE(" COLOR-CHEM D.O.O.,"," DRAGUTINA DOMJANIĆA 10,"," 10290 ZAPREŠIĆ,"," OIB: 25899170348")</f>
        <v xml:space="preserve"> COLOR-CHEM D.O.O., DRAGUTINA DOMJANIĆA 10, 10290 ZAPREŠIĆ, OIB: 25899170348</v>
      </c>
      <c r="H3249" s="7"/>
      <c r="I3249" s="8" t="s">
        <v>2291</v>
      </c>
      <c r="J3249" s="8" t="s">
        <v>408</v>
      </c>
      <c r="K3249" s="6" t="str">
        <f>"3.893,34"</f>
        <v>3.893,34</v>
      </c>
      <c r="L3249" s="6" t="str">
        <f>"973,34"</f>
        <v>973,34</v>
      </c>
      <c r="M3249" s="6" t="str">
        <f>"4.866,68"</f>
        <v>4.866,68</v>
      </c>
      <c r="N3249" s="8" t="s">
        <v>935</v>
      </c>
      <c r="O3249" s="7"/>
      <c r="P3249" s="2" t="s">
        <v>7480</v>
      </c>
      <c r="Q3249" s="7"/>
      <c r="R3249" s="1"/>
      <c r="S3249" s="1" t="str">
        <f>"J-UN-2021-1125"</f>
        <v>J-UN-2021-1125</v>
      </c>
      <c r="T3249" s="1" t="s">
        <v>32</v>
      </c>
    </row>
    <row r="3250" spans="1:20" ht="51" x14ac:dyDescent="0.25">
      <c r="A3250" s="6">
        <v>3244</v>
      </c>
      <c r="B3250" s="1" t="str">
        <f>"2021-693"</f>
        <v>2021-693</v>
      </c>
      <c r="C3250" s="1" t="s">
        <v>2898</v>
      </c>
      <c r="D3250" s="1" t="s">
        <v>2899</v>
      </c>
      <c r="E3250" s="1" t="str">
        <f>""</f>
        <v/>
      </c>
      <c r="F3250" s="1" t="s">
        <v>1860</v>
      </c>
      <c r="G3250" s="1" t="str">
        <f>CONCATENATE(" COTRA D.O.O.,"," IVANA SEVERA 17,"," 42000 VARAŽDIN,"," OIB: 36080822108")</f>
        <v xml:space="preserve"> COTRA D.O.O., IVANA SEVERA 17, 42000 VARAŽDIN, OIB: 36080822108</v>
      </c>
      <c r="H3250" s="7"/>
      <c r="I3250" s="8" t="s">
        <v>179</v>
      </c>
      <c r="J3250" s="8" t="s">
        <v>1157</v>
      </c>
      <c r="K3250" s="6" t="str">
        <f>"1.195,00"</f>
        <v>1.195,00</v>
      </c>
      <c r="L3250" s="6" t="str">
        <f>"298,75"</f>
        <v>298,75</v>
      </c>
      <c r="M3250" s="6" t="str">
        <f>"1.493,75"</f>
        <v>1.493,75</v>
      </c>
      <c r="N3250" s="8" t="s">
        <v>578</v>
      </c>
      <c r="O3250" s="7"/>
      <c r="P3250" s="2" t="s">
        <v>7481</v>
      </c>
      <c r="Q3250" s="7"/>
      <c r="R3250" s="1"/>
      <c r="S3250" s="1" t="str">
        <f>"J-UN-2021-1126"</f>
        <v>J-UN-2021-1126</v>
      </c>
      <c r="T3250" s="1" t="s">
        <v>32</v>
      </c>
    </row>
    <row r="3251" spans="1:20" ht="38.25" x14ac:dyDescent="0.25">
      <c r="A3251" s="6">
        <v>3245</v>
      </c>
      <c r="B3251" s="1" t="str">
        <f>"2021-882"</f>
        <v>2021-882</v>
      </c>
      <c r="C3251" s="1" t="s">
        <v>2565</v>
      </c>
      <c r="D3251" s="1" t="s">
        <v>1833</v>
      </c>
      <c r="E3251" s="1" t="str">
        <f>""</f>
        <v/>
      </c>
      <c r="F3251" s="1" t="s">
        <v>1860</v>
      </c>
      <c r="G3251" s="1" t="str">
        <f>CONCATENATE(" R-PIM D.O.O.,"," ,"," OIB: 38514700472")</f>
        <v xml:space="preserve"> R-PIM D.O.O., , OIB: 38514700472</v>
      </c>
      <c r="H3251" s="7"/>
      <c r="I3251" s="8" t="s">
        <v>179</v>
      </c>
      <c r="J3251" s="8" t="s">
        <v>1157</v>
      </c>
      <c r="K3251" s="6" t="str">
        <f>"3.118,00"</f>
        <v>3.118,00</v>
      </c>
      <c r="L3251" s="6" t="str">
        <f>"779,50"</f>
        <v>779,50</v>
      </c>
      <c r="M3251" s="6" t="str">
        <f>"3.897,50"</f>
        <v>3.897,50</v>
      </c>
      <c r="N3251" s="8" t="s">
        <v>581</v>
      </c>
      <c r="O3251" s="7"/>
      <c r="P3251" s="2" t="s">
        <v>7482</v>
      </c>
      <c r="Q3251" s="7"/>
      <c r="R3251" s="1"/>
      <c r="S3251" s="1" t="str">
        <f>"J-UN-2021-1127"</f>
        <v>J-UN-2021-1127</v>
      </c>
      <c r="T3251" s="1" t="s">
        <v>32</v>
      </c>
    </row>
    <row r="3252" spans="1:20" ht="76.5" x14ac:dyDescent="0.25">
      <c r="A3252" s="6">
        <v>3246</v>
      </c>
      <c r="B3252" s="1" t="str">
        <f>"2021-661"</f>
        <v>2021-661</v>
      </c>
      <c r="C3252" s="1" t="s">
        <v>2668</v>
      </c>
      <c r="D3252" s="1" t="s">
        <v>2669</v>
      </c>
      <c r="E3252" s="1" t="str">
        <f>""</f>
        <v/>
      </c>
      <c r="F3252" s="1" t="s">
        <v>1860</v>
      </c>
      <c r="G3252" s="1" t="str">
        <f>CONCATENATE(" SERVIS IMP CRPKE,"," vl. Dražen Kovačić,"," STROSSMAYEROV TRG 12,"," 10450 JASTREBARSKO,"," OIB: 13145108322")</f>
        <v xml:space="preserve"> SERVIS IMP CRPKE, vl. Dražen Kovačić, STROSSMAYEROV TRG 12, 10450 JASTREBARSKO, OIB: 13145108322</v>
      </c>
      <c r="H3252" s="7"/>
      <c r="I3252" s="8" t="s">
        <v>2291</v>
      </c>
      <c r="J3252" s="8" t="s">
        <v>408</v>
      </c>
      <c r="K3252" s="6" t="str">
        <f>"2.380,00"</f>
        <v>2.380,00</v>
      </c>
      <c r="L3252" s="6" t="str">
        <f>"595,00"</f>
        <v>595,00</v>
      </c>
      <c r="M3252" s="6" t="str">
        <f>"2.975,00"</f>
        <v>2.975,00</v>
      </c>
      <c r="N3252" s="8" t="s">
        <v>1060</v>
      </c>
      <c r="O3252" s="7"/>
      <c r="P3252" s="2" t="s">
        <v>7483</v>
      </c>
      <c r="Q3252" s="7"/>
      <c r="R3252" s="1"/>
      <c r="S3252" s="1" t="str">
        <f>"J-UN-2021-1128"</f>
        <v>J-UN-2021-1128</v>
      </c>
      <c r="T3252" s="1" t="s">
        <v>32</v>
      </c>
    </row>
    <row r="3253" spans="1:20" ht="63.75" x14ac:dyDescent="0.25">
      <c r="A3253" s="6">
        <v>3247</v>
      </c>
      <c r="B3253" s="1" t="str">
        <f>"2021-526"</f>
        <v>2021-526</v>
      </c>
      <c r="C3253" s="1" t="s">
        <v>2900</v>
      </c>
      <c r="D3253" s="1" t="s">
        <v>2043</v>
      </c>
      <c r="E3253" s="1" t="str">
        <f>""</f>
        <v/>
      </c>
      <c r="F3253" s="1" t="s">
        <v>1860</v>
      </c>
      <c r="G3253" s="1" t="str">
        <f>CONCATENATE(" VIZURA D.O.O.,"," ANTUNA GUSTAVA MATOŠA 8,"," 10410 VELIKA GORICA,"," OIB: 33751697377")</f>
        <v xml:space="preserve"> VIZURA D.O.O., ANTUNA GUSTAVA MATOŠA 8, 10410 VELIKA GORICA, OIB: 33751697377</v>
      </c>
      <c r="H3253" s="7"/>
      <c r="I3253" s="8" t="s">
        <v>2291</v>
      </c>
      <c r="J3253" s="8" t="s">
        <v>408</v>
      </c>
      <c r="K3253" s="6" t="str">
        <f>"6.117,75"</f>
        <v>6.117,75</v>
      </c>
      <c r="L3253" s="6" t="str">
        <f>"1.529,44"</f>
        <v>1.529,44</v>
      </c>
      <c r="M3253" s="6" t="str">
        <f>"7.647,19"</f>
        <v>7.647,19</v>
      </c>
      <c r="N3253" s="8" t="s">
        <v>441</v>
      </c>
      <c r="O3253" s="7"/>
      <c r="P3253" s="2" t="s">
        <v>7484</v>
      </c>
      <c r="Q3253" s="7"/>
      <c r="R3253" s="1"/>
      <c r="S3253" s="1" t="str">
        <f>"J-UN-2021-1129"</f>
        <v>J-UN-2021-1129</v>
      </c>
      <c r="T3253" s="1" t="s">
        <v>32</v>
      </c>
    </row>
    <row r="3254" spans="1:20" ht="51" x14ac:dyDescent="0.25">
      <c r="A3254" s="6">
        <v>3248</v>
      </c>
      <c r="B3254" s="1" t="str">
        <f>"2021-2193"</f>
        <v>2021-2193</v>
      </c>
      <c r="C3254" s="1" t="s">
        <v>2901</v>
      </c>
      <c r="D3254" s="1" t="s">
        <v>1242</v>
      </c>
      <c r="E3254" s="1" t="str">
        <f>""</f>
        <v/>
      </c>
      <c r="F3254" s="1" t="s">
        <v>1860</v>
      </c>
      <c r="G3254" s="1" t="str">
        <f>CONCATENATE(" FRIGOMOTORS D.O.O.,"," DUGOPOLJSKA 35,"," 21204 DUGOPOLJE,"," OIB: 09191580513")</f>
        <v xml:space="preserve"> FRIGOMOTORS D.O.O., DUGOPOLJSKA 35, 21204 DUGOPOLJE, OIB: 09191580513</v>
      </c>
      <c r="H3254" s="7"/>
      <c r="I3254" s="8" t="s">
        <v>2291</v>
      </c>
      <c r="J3254" s="8" t="s">
        <v>408</v>
      </c>
      <c r="K3254" s="6" t="str">
        <f>"163.110,00"</f>
        <v>163.110,00</v>
      </c>
      <c r="L3254" s="6" t="str">
        <f>"40.777,50"</f>
        <v>40.777,50</v>
      </c>
      <c r="M3254" s="6" t="str">
        <f>"203.887,50"</f>
        <v>203.887,50</v>
      </c>
      <c r="N3254" s="8" t="s">
        <v>416</v>
      </c>
      <c r="O3254" s="7"/>
      <c r="P3254" s="2" t="s">
        <v>7485</v>
      </c>
      <c r="Q3254" s="7"/>
      <c r="R3254" s="1"/>
      <c r="S3254" s="1" t="str">
        <f>"J-UN-2021-1130"</f>
        <v>J-UN-2021-1130</v>
      </c>
      <c r="T3254" s="1" t="s">
        <v>32</v>
      </c>
    </row>
    <row r="3255" spans="1:20" ht="51" x14ac:dyDescent="0.25">
      <c r="A3255" s="6">
        <v>3249</v>
      </c>
      <c r="B3255" s="1" t="str">
        <f>"2021-707"</f>
        <v>2021-707</v>
      </c>
      <c r="C3255" s="1" t="s">
        <v>2642</v>
      </c>
      <c r="D3255" s="1" t="s">
        <v>1236</v>
      </c>
      <c r="E3255" s="1" t="str">
        <f>""</f>
        <v/>
      </c>
      <c r="F3255" s="1" t="s">
        <v>1860</v>
      </c>
      <c r="G3255" s="1" t="str">
        <f>CONCATENATE(" VMK KOLEKTOR D.O.O.,"," ZLATARSKA 7,"," 10000 ZAGREB,"," OIB: 84637465479")</f>
        <v xml:space="preserve"> VMK KOLEKTOR D.O.O., ZLATARSKA 7, 10000 ZAGREB, OIB: 84637465479</v>
      </c>
      <c r="H3255" s="7"/>
      <c r="I3255" s="8" t="s">
        <v>2134</v>
      </c>
      <c r="J3255" s="8" t="s">
        <v>520</v>
      </c>
      <c r="K3255" s="6" t="str">
        <f>"3.435,10"</f>
        <v>3.435,10</v>
      </c>
      <c r="L3255" s="6" t="str">
        <f>"858,78"</f>
        <v>858,78</v>
      </c>
      <c r="M3255" s="6" t="str">
        <f>"4.293,88"</f>
        <v>4.293,88</v>
      </c>
      <c r="N3255" s="8" t="s">
        <v>634</v>
      </c>
      <c r="O3255" s="7"/>
      <c r="P3255" s="2" t="s">
        <v>7486</v>
      </c>
      <c r="Q3255" s="7"/>
      <c r="R3255" s="1"/>
      <c r="S3255" s="1" t="str">
        <f>"J-UN-2021-1131"</f>
        <v>J-UN-2021-1131</v>
      </c>
      <c r="T3255" s="1" t="s">
        <v>32</v>
      </c>
    </row>
    <row r="3256" spans="1:20" ht="51" x14ac:dyDescent="0.25">
      <c r="A3256" s="6">
        <v>3250</v>
      </c>
      <c r="B3256" s="1" t="str">
        <f>"2021-498"</f>
        <v>2021-498</v>
      </c>
      <c r="C3256" s="1" t="s">
        <v>2699</v>
      </c>
      <c r="D3256" s="1" t="s">
        <v>1888</v>
      </c>
      <c r="E3256" s="1" t="str">
        <f>""</f>
        <v/>
      </c>
      <c r="F3256" s="1" t="s">
        <v>1860</v>
      </c>
      <c r="G3256" s="1" t="str">
        <f>CONCATENATE(" CIAK TOOLS D.O.O.,"," KOVINSKA 4,"," 10090 ZAGREB-SUSEDGRAD,"," OIB: 26004523816")</f>
        <v xml:space="preserve"> CIAK TOOLS D.O.O., KOVINSKA 4, 10090 ZAGREB-SUSEDGRAD, OIB: 26004523816</v>
      </c>
      <c r="H3256" s="7"/>
      <c r="I3256" s="8" t="s">
        <v>2134</v>
      </c>
      <c r="J3256" s="8" t="s">
        <v>520</v>
      </c>
      <c r="K3256" s="6" t="str">
        <f>"709,00"</f>
        <v>709,00</v>
      </c>
      <c r="L3256" s="6" t="str">
        <f>"177,25"</f>
        <v>177,25</v>
      </c>
      <c r="M3256" s="6" t="str">
        <f>"886,25"</f>
        <v>886,25</v>
      </c>
      <c r="N3256" s="8" t="s">
        <v>1891</v>
      </c>
      <c r="O3256" s="7"/>
      <c r="P3256" s="2" t="s">
        <v>7487</v>
      </c>
      <c r="Q3256" s="7"/>
      <c r="R3256" s="1"/>
      <c r="S3256" s="1" t="str">
        <f>"J-UN-2021-1132"</f>
        <v>J-UN-2021-1132</v>
      </c>
      <c r="T3256" s="1" t="s">
        <v>32</v>
      </c>
    </row>
    <row r="3257" spans="1:20" ht="51" x14ac:dyDescent="0.25">
      <c r="A3257" s="6">
        <v>3251</v>
      </c>
      <c r="B3257" s="1" t="str">
        <f>"2021-1089"</f>
        <v>2021-1089</v>
      </c>
      <c r="C3257" s="1" t="s">
        <v>2902</v>
      </c>
      <c r="D3257" s="1" t="s">
        <v>2903</v>
      </c>
      <c r="E3257" s="1" t="str">
        <f>""</f>
        <v/>
      </c>
      <c r="F3257" s="1" t="s">
        <v>1860</v>
      </c>
      <c r="G3257" s="1" t="str">
        <f>CONCATENATE(" EOL GRUPA D.O.O.,"," SMIČIKLASOVA 5/C,"," 47000 KARLOVAC,"," OIB: 7109729867")</f>
        <v xml:space="preserve"> EOL GRUPA D.O.O., SMIČIKLASOVA 5/C, 47000 KARLOVAC, OIB: 7109729867</v>
      </c>
      <c r="H3257" s="7"/>
      <c r="I3257" s="8" t="s">
        <v>2134</v>
      </c>
      <c r="J3257" s="8" t="s">
        <v>520</v>
      </c>
      <c r="K3257" s="6" t="str">
        <f>"19.970,00"</f>
        <v>19.970,00</v>
      </c>
      <c r="L3257" s="6" t="str">
        <f>"4.992,50"</f>
        <v>4.992,50</v>
      </c>
      <c r="M3257" s="6" t="str">
        <f>"24.962,50"</f>
        <v>24.962,50</v>
      </c>
      <c r="N3257" s="8" t="s">
        <v>124</v>
      </c>
      <c r="O3257" s="7"/>
      <c r="P3257" s="2" t="s">
        <v>5614</v>
      </c>
      <c r="Q3257" s="7"/>
      <c r="R3257" s="1"/>
      <c r="S3257" s="1" t="str">
        <f>"J-UN-2021-1133"</f>
        <v>J-UN-2021-1133</v>
      </c>
      <c r="T3257" s="1" t="s">
        <v>32</v>
      </c>
    </row>
    <row r="3258" spans="1:20" ht="51" x14ac:dyDescent="0.25">
      <c r="A3258" s="6">
        <v>3252</v>
      </c>
      <c r="B3258" s="1" t="str">
        <f>"2021-99"</f>
        <v>2021-99</v>
      </c>
      <c r="C3258" s="1" t="s">
        <v>2734</v>
      </c>
      <c r="D3258" s="1" t="s">
        <v>2735</v>
      </c>
      <c r="E3258" s="1" t="str">
        <f>""</f>
        <v/>
      </c>
      <c r="F3258" s="1" t="s">
        <v>1860</v>
      </c>
      <c r="G3258" s="1" t="str">
        <f>CONCATENATE(" ARBORI CULTURA D.O.O.,"," POKUPSKO 86,"," 10414 POKUPSKO,"," OIB: 16690651659")</f>
        <v xml:space="preserve"> ARBORI CULTURA D.O.O., POKUPSKO 86, 10414 POKUPSKO, OIB: 16690651659</v>
      </c>
      <c r="H3258" s="7"/>
      <c r="I3258" s="8" t="s">
        <v>1988</v>
      </c>
      <c r="J3258" s="8" t="s">
        <v>214</v>
      </c>
      <c r="K3258" s="6" t="str">
        <f>"2.880,00"</f>
        <v>2.880,00</v>
      </c>
      <c r="L3258" s="6" t="str">
        <f>"720,00"</f>
        <v>720,00</v>
      </c>
      <c r="M3258" s="6" t="str">
        <f>"3.600,00"</f>
        <v>3.600,00</v>
      </c>
      <c r="N3258" s="8" t="s">
        <v>441</v>
      </c>
      <c r="O3258" s="7"/>
      <c r="P3258" s="2" t="s">
        <v>6268</v>
      </c>
      <c r="Q3258" s="7"/>
      <c r="R3258" s="1"/>
      <c r="S3258" s="1" t="str">
        <f>"J-UN-2021-1135"</f>
        <v>J-UN-2021-1135</v>
      </c>
      <c r="T3258" s="1" t="s">
        <v>32</v>
      </c>
    </row>
    <row r="3259" spans="1:20" ht="51" x14ac:dyDescent="0.25">
      <c r="A3259" s="6">
        <v>3253</v>
      </c>
      <c r="B3259" s="1" t="str">
        <f>"2021-74"</f>
        <v>2021-74</v>
      </c>
      <c r="C3259" s="1" t="s">
        <v>2685</v>
      </c>
      <c r="D3259" s="1" t="s">
        <v>2686</v>
      </c>
      <c r="E3259" s="1" t="str">
        <f>""</f>
        <v/>
      </c>
      <c r="F3259" s="1" t="s">
        <v>1860</v>
      </c>
      <c r="G3259" s="1" t="str">
        <f>CONCATENATE(" TED D.O.O.,"," VRHOVČEV VIJENAC 84,"," 10000 ZAGREB,"," OIB: 22740118957")</f>
        <v xml:space="preserve"> TED D.O.O., VRHOVČEV VIJENAC 84, 10000 ZAGREB, OIB: 22740118957</v>
      </c>
      <c r="H3259" s="7"/>
      <c r="I3259" s="8" t="s">
        <v>1988</v>
      </c>
      <c r="J3259" s="8" t="s">
        <v>214</v>
      </c>
      <c r="K3259" s="6" t="str">
        <f>"1.625,00"</f>
        <v>1.625,00</v>
      </c>
      <c r="L3259" s="6" t="str">
        <f>"406,25"</f>
        <v>406,25</v>
      </c>
      <c r="M3259" s="6" t="str">
        <f>"2.031,25"</f>
        <v>2.031,25</v>
      </c>
      <c r="N3259" s="8" t="s">
        <v>285</v>
      </c>
      <c r="O3259" s="7"/>
      <c r="P3259" s="2" t="s">
        <v>7488</v>
      </c>
      <c r="Q3259" s="7"/>
      <c r="R3259" s="1"/>
      <c r="S3259" s="1" t="str">
        <f>"J-UN-2021-1136"</f>
        <v>J-UN-2021-1136</v>
      </c>
      <c r="T3259" s="1" t="s">
        <v>32</v>
      </c>
    </row>
    <row r="3260" spans="1:20" ht="51" x14ac:dyDescent="0.25">
      <c r="A3260" s="6">
        <v>3254</v>
      </c>
      <c r="B3260" s="1" t="str">
        <f>"2021-318"</f>
        <v>2021-318</v>
      </c>
      <c r="C3260" s="1" t="s">
        <v>2608</v>
      </c>
      <c r="D3260" s="1" t="s">
        <v>1203</v>
      </c>
      <c r="E3260" s="1" t="str">
        <f>""</f>
        <v/>
      </c>
      <c r="F3260" s="1" t="s">
        <v>1860</v>
      </c>
      <c r="G3260" s="1" t="str">
        <f>CONCATENATE(" PRO-TEHNA D.O.O.,"," MAKSIMIRSKA 64,"," 10000 ZAGREB,"," OIB: 88951687357")</f>
        <v xml:space="preserve"> PRO-TEHNA D.O.O., MAKSIMIRSKA 64, 10000 ZAGREB, OIB: 88951687357</v>
      </c>
      <c r="H3260" s="7"/>
      <c r="I3260" s="8" t="s">
        <v>1044</v>
      </c>
      <c r="J3260" s="8" t="s">
        <v>931</v>
      </c>
      <c r="K3260" s="6" t="str">
        <f>"11.265,00"</f>
        <v>11.265,00</v>
      </c>
      <c r="L3260" s="6" t="str">
        <f>"2.816,25"</f>
        <v>2.816,25</v>
      </c>
      <c r="M3260" s="6" t="str">
        <f>"14.081,25"</f>
        <v>14.081,25</v>
      </c>
      <c r="N3260" s="8" t="s">
        <v>934</v>
      </c>
      <c r="O3260" s="7"/>
      <c r="P3260" s="2" t="s">
        <v>7489</v>
      </c>
      <c r="Q3260" s="7"/>
      <c r="R3260" s="1"/>
      <c r="S3260" s="1" t="str">
        <f>"J-UN-2021-1137"</f>
        <v>J-UN-2021-1137</v>
      </c>
      <c r="T3260" s="1" t="s">
        <v>32</v>
      </c>
    </row>
    <row r="3261" spans="1:20" ht="51" x14ac:dyDescent="0.25">
      <c r="A3261" s="6">
        <v>3255</v>
      </c>
      <c r="B3261" s="1" t="str">
        <f>"2021-377"</f>
        <v>2021-377</v>
      </c>
      <c r="C3261" s="1" t="s">
        <v>2833</v>
      </c>
      <c r="D3261" s="1" t="s">
        <v>1962</v>
      </c>
      <c r="E3261" s="1" t="str">
        <f>""</f>
        <v/>
      </c>
      <c r="F3261" s="1" t="s">
        <v>1860</v>
      </c>
      <c r="G3261" s="1" t="str">
        <f>CONCATENATE(" GRAPAK D.O.O.,"," M. SCHLENGERA 5,"," 42204 TURČIN,"," OIB: 8387333034")</f>
        <v xml:space="preserve"> GRAPAK D.O.O., M. SCHLENGERA 5, 42204 TURČIN, OIB: 8387333034</v>
      </c>
      <c r="H3261" s="7"/>
      <c r="I3261" s="8" t="s">
        <v>2134</v>
      </c>
      <c r="J3261" s="8" t="s">
        <v>520</v>
      </c>
      <c r="K3261" s="6" t="str">
        <f>"16.696,93"</f>
        <v>16.696,93</v>
      </c>
      <c r="L3261" s="6" t="str">
        <f>"4.174,23"</f>
        <v>4.174,23</v>
      </c>
      <c r="M3261" s="6" t="str">
        <f>"20.871,16"</f>
        <v>20.871,16</v>
      </c>
      <c r="N3261" s="8" t="s">
        <v>943</v>
      </c>
      <c r="O3261" s="7"/>
      <c r="P3261" s="2" t="s">
        <v>7490</v>
      </c>
      <c r="Q3261" s="7"/>
      <c r="R3261" s="1"/>
      <c r="S3261" s="1" t="str">
        <f>"J-UN-2021-1138"</f>
        <v>J-UN-2021-1138</v>
      </c>
      <c r="T3261" s="1" t="s">
        <v>32</v>
      </c>
    </row>
    <row r="3262" spans="1:20" ht="63.75" x14ac:dyDescent="0.25">
      <c r="A3262" s="6">
        <v>3256</v>
      </c>
      <c r="B3262" s="1" t="str">
        <f>"2021-376"</f>
        <v>2021-376</v>
      </c>
      <c r="C3262" s="1" t="s">
        <v>2904</v>
      </c>
      <c r="D3262" s="1" t="s">
        <v>2577</v>
      </c>
      <c r="E3262" s="1" t="str">
        <f>""</f>
        <v/>
      </c>
      <c r="F3262" s="1" t="s">
        <v>1860</v>
      </c>
      <c r="G3262" s="1" t="str">
        <f>CONCATENATE(" HIDRAULIKA KURELJA D.O.O.,"," MATENAČKA CESTA 41,"," 49290 DONJA STUBICA,"," OIB: 3092900595")</f>
        <v xml:space="preserve"> HIDRAULIKA KURELJA D.O.O., MATENAČKA CESTA 41, 49290 DONJA STUBICA, OIB: 3092900595</v>
      </c>
      <c r="H3262" s="7"/>
      <c r="I3262" s="8" t="s">
        <v>1988</v>
      </c>
      <c r="J3262" s="8" t="s">
        <v>214</v>
      </c>
      <c r="K3262" s="6" t="str">
        <f>"1.030,86"</f>
        <v>1.030,86</v>
      </c>
      <c r="L3262" s="6" t="str">
        <f>"257,72"</f>
        <v>257,72</v>
      </c>
      <c r="M3262" s="6" t="str">
        <f>"1.288,58"</f>
        <v>1.288,58</v>
      </c>
      <c r="N3262" s="8" t="s">
        <v>934</v>
      </c>
      <c r="O3262" s="7"/>
      <c r="P3262" s="2" t="s">
        <v>7491</v>
      </c>
      <c r="Q3262" s="7"/>
      <c r="R3262" s="1"/>
      <c r="S3262" s="1" t="str">
        <f>"J-UN-2021-1139"</f>
        <v>J-UN-2021-1139</v>
      </c>
      <c r="T3262" s="1" t="s">
        <v>32</v>
      </c>
    </row>
    <row r="3263" spans="1:20" ht="51" x14ac:dyDescent="0.25">
      <c r="A3263" s="6">
        <v>3257</v>
      </c>
      <c r="B3263" s="1" t="str">
        <f>"2021-377"</f>
        <v>2021-377</v>
      </c>
      <c r="C3263" s="1" t="s">
        <v>2833</v>
      </c>
      <c r="D3263" s="1" t="s">
        <v>1962</v>
      </c>
      <c r="E3263" s="1" t="str">
        <f>""</f>
        <v/>
      </c>
      <c r="F3263" s="1" t="s">
        <v>1860</v>
      </c>
      <c r="G3263" s="1" t="str">
        <f>CONCATENATE(" TRIDION D.O.O.,"," ZAPADNA LOZICA 10,"," 10000 ZAGREB,"," OIB: 79247590666")</f>
        <v xml:space="preserve"> TRIDION D.O.O., ZAPADNA LOZICA 10, 10000 ZAGREB, OIB: 79247590666</v>
      </c>
      <c r="H3263" s="7"/>
      <c r="I3263" s="8" t="s">
        <v>2134</v>
      </c>
      <c r="J3263" s="8" t="s">
        <v>520</v>
      </c>
      <c r="K3263" s="6" t="str">
        <f>"16.233,94"</f>
        <v>16.233,94</v>
      </c>
      <c r="L3263" s="6" t="str">
        <f>"4.058,49"</f>
        <v>4.058,49</v>
      </c>
      <c r="M3263" s="6" t="str">
        <f>"20.292,43"</f>
        <v>20.292,43</v>
      </c>
      <c r="N3263" s="8" t="s">
        <v>1988</v>
      </c>
      <c r="O3263" s="7"/>
      <c r="P3263" s="2" t="s">
        <v>7492</v>
      </c>
      <c r="Q3263" s="7"/>
      <c r="R3263" s="1"/>
      <c r="S3263" s="1" t="str">
        <f>"J-UN-2021-1140"</f>
        <v>J-UN-2021-1140</v>
      </c>
      <c r="T3263" s="1" t="s">
        <v>32</v>
      </c>
    </row>
    <row r="3264" spans="1:20" ht="63.75" x14ac:dyDescent="0.25">
      <c r="A3264" s="6">
        <v>3258</v>
      </c>
      <c r="B3264" s="1" t="str">
        <f>"2021-1101"</f>
        <v>2021-1101</v>
      </c>
      <c r="C3264" s="1" t="s">
        <v>2702</v>
      </c>
      <c r="D3264" s="1" t="s">
        <v>1209</v>
      </c>
      <c r="E3264" s="1" t="str">
        <f>""</f>
        <v/>
      </c>
      <c r="F3264" s="1" t="s">
        <v>1860</v>
      </c>
      <c r="G3264" s="1" t="str">
        <f>CONCATENATE(" DRÄGER SAFETY D.O.O.,"," AVENIJA VEĆESLAVA HOLJEVCA 40,"," 10010 ZAGREB,"," OIB: 32874587842")</f>
        <v xml:space="preserve"> DRÄGER SAFETY D.O.O., AVENIJA VEĆESLAVA HOLJEVCA 40, 10010 ZAGREB, OIB: 32874587842</v>
      </c>
      <c r="H3264" s="7"/>
      <c r="I3264" s="8" t="s">
        <v>2134</v>
      </c>
      <c r="J3264" s="8" t="s">
        <v>520</v>
      </c>
      <c r="K3264" s="6" t="str">
        <f>"1.571,00"</f>
        <v>1.571,00</v>
      </c>
      <c r="L3264" s="6" t="str">
        <f>"392,75"</f>
        <v>392,75</v>
      </c>
      <c r="M3264" s="6" t="str">
        <f>"1.963,75"</f>
        <v>1.963,75</v>
      </c>
      <c r="N3264" s="8" t="s">
        <v>891</v>
      </c>
      <c r="O3264" s="7"/>
      <c r="P3264" s="2" t="s">
        <v>7493</v>
      </c>
      <c r="Q3264" s="7"/>
      <c r="R3264" s="1"/>
      <c r="S3264" s="1" t="str">
        <f>"J-UN-2021-1141"</f>
        <v>J-UN-2021-1141</v>
      </c>
      <c r="T3264" s="1" t="s">
        <v>32</v>
      </c>
    </row>
    <row r="3265" spans="1:20" ht="38.25" x14ac:dyDescent="0.25">
      <c r="A3265" s="6">
        <v>3259</v>
      </c>
      <c r="B3265" s="1" t="str">
        <f>"2021-1348"</f>
        <v>2021-1348</v>
      </c>
      <c r="C3265" s="1" t="s">
        <v>2905</v>
      </c>
      <c r="D3265" s="1" t="s">
        <v>74</v>
      </c>
      <c r="E3265" s="1" t="str">
        <f>""</f>
        <v/>
      </c>
      <c r="F3265" s="1" t="s">
        <v>1860</v>
      </c>
      <c r="G3265" s="1" t="str">
        <f>CONCATENATE(" ZITEL EURO CONTROL,"," D.O.O. ZA USLUGE,"," ,"," OIB: 8252587483")</f>
        <v xml:space="preserve"> ZITEL EURO CONTROL, D.O.O. ZA USLUGE, , OIB: 8252587483</v>
      </c>
      <c r="H3265" s="7"/>
      <c r="I3265" s="8" t="s">
        <v>2134</v>
      </c>
      <c r="J3265" s="8" t="s">
        <v>520</v>
      </c>
      <c r="K3265" s="6" t="str">
        <f>"10.000,00"</f>
        <v>10.000,00</v>
      </c>
      <c r="L3265" s="6" t="str">
        <f>"2.500,00"</f>
        <v>2.500,00</v>
      </c>
      <c r="M3265" s="6" t="str">
        <f>"12.500,00"</f>
        <v>12.500,00</v>
      </c>
      <c r="N3265" s="8" t="s">
        <v>667</v>
      </c>
      <c r="O3265" s="7"/>
      <c r="P3265" s="2" t="s">
        <v>7194</v>
      </c>
      <c r="Q3265" s="7"/>
      <c r="R3265" s="1"/>
      <c r="S3265" s="1" t="str">
        <f>"J-UN-2021-1142"</f>
        <v>J-UN-2021-1142</v>
      </c>
      <c r="T3265" s="1" t="s">
        <v>32</v>
      </c>
    </row>
    <row r="3266" spans="1:20" ht="51" x14ac:dyDescent="0.25">
      <c r="A3266" s="6">
        <v>3260</v>
      </c>
      <c r="B3266" s="1" t="str">
        <f>"2021-341"</f>
        <v>2021-341</v>
      </c>
      <c r="C3266" s="1" t="s">
        <v>2695</v>
      </c>
      <c r="D3266" s="1" t="s">
        <v>2502</v>
      </c>
      <c r="E3266" s="1" t="str">
        <f>""</f>
        <v/>
      </c>
      <c r="F3266" s="1" t="s">
        <v>1860</v>
      </c>
      <c r="G3266" s="1" t="str">
        <f>CONCATENATE(" VODOSKOK D.D.,"," ČULINEČKA CESTA 221/C,"," 10040 ZAGREB,"," OIB: 34134218058")</f>
        <v xml:space="preserve"> VODOSKOK D.D., ČULINEČKA CESTA 221/C, 10040 ZAGREB, OIB: 34134218058</v>
      </c>
      <c r="H3266" s="7"/>
      <c r="I3266" s="8" t="s">
        <v>1988</v>
      </c>
      <c r="J3266" s="8" t="s">
        <v>214</v>
      </c>
      <c r="K3266" s="6" t="str">
        <f>"5.038,10"</f>
        <v>5.038,10</v>
      </c>
      <c r="L3266" s="6" t="str">
        <f>"1.259,53"</f>
        <v>1.259,53</v>
      </c>
      <c r="M3266" s="6" t="str">
        <f>"6.297,63"</f>
        <v>6.297,63</v>
      </c>
      <c r="N3266" s="8" t="s">
        <v>904</v>
      </c>
      <c r="O3266" s="7"/>
      <c r="P3266" s="2" t="s">
        <v>7494</v>
      </c>
      <c r="Q3266" s="7"/>
      <c r="R3266" s="1"/>
      <c r="S3266" s="1" t="str">
        <f>"J-UN-2021-1143"</f>
        <v>J-UN-2021-1143</v>
      </c>
      <c r="T3266" s="1" t="s">
        <v>32</v>
      </c>
    </row>
    <row r="3267" spans="1:20" ht="63.75" x14ac:dyDescent="0.25">
      <c r="A3267" s="6">
        <v>3261</v>
      </c>
      <c r="B3267" s="1" t="str">
        <f>"2021-144"</f>
        <v>2021-144</v>
      </c>
      <c r="C3267" s="1" t="s">
        <v>2677</v>
      </c>
      <c r="D3267" s="1" t="s">
        <v>2678</v>
      </c>
      <c r="E3267" s="1" t="str">
        <f>""</f>
        <v/>
      </c>
      <c r="F3267" s="1" t="s">
        <v>1860</v>
      </c>
      <c r="G3267" s="1" t="str">
        <f>CONCATENATE(" GRADSKA LJEKARNA ZAGREB,"," KRALJA DRŽISLAVA 6,"," 10000 ZAGREB,"," OIB: 37268254106")</f>
        <v xml:space="preserve"> GRADSKA LJEKARNA ZAGREB, KRALJA DRŽISLAVA 6, 10000 ZAGREB, OIB: 37268254106</v>
      </c>
      <c r="H3267" s="7"/>
      <c r="I3267" s="8" t="s">
        <v>1044</v>
      </c>
      <c r="J3267" s="8" t="s">
        <v>931</v>
      </c>
      <c r="K3267" s="6" t="str">
        <f>"2.499,55"</f>
        <v>2.499,55</v>
      </c>
      <c r="L3267" s="6" t="str">
        <f>"624,89"</f>
        <v>624,89</v>
      </c>
      <c r="M3267" s="6" t="str">
        <f>"3.124,44"</f>
        <v>3.124,44</v>
      </c>
      <c r="N3267" s="8" t="s">
        <v>2906</v>
      </c>
      <c r="O3267" s="7"/>
      <c r="P3267" s="2" t="s">
        <v>7495</v>
      </c>
      <c r="Q3267" s="7"/>
      <c r="R3267" s="1"/>
      <c r="S3267" s="1" t="str">
        <f>"J-UN-2021-1144"</f>
        <v>J-UN-2021-1144</v>
      </c>
      <c r="T3267" s="1" t="s">
        <v>32</v>
      </c>
    </row>
    <row r="3268" spans="1:20" ht="51" x14ac:dyDescent="0.25">
      <c r="A3268" s="6">
        <v>3262</v>
      </c>
      <c r="B3268" s="1" t="str">
        <f>"2021-315"</f>
        <v>2021-315</v>
      </c>
      <c r="C3268" s="1" t="s">
        <v>2706</v>
      </c>
      <c r="D3268" s="1" t="s">
        <v>1334</v>
      </c>
      <c r="E3268" s="1" t="str">
        <f>""</f>
        <v/>
      </c>
      <c r="F3268" s="1" t="s">
        <v>1860</v>
      </c>
      <c r="G3268" s="1" t="str">
        <f>CONCATENATE(" PRO-TEHNA D.O.O.,"," MAKSIMIRSKA 64,"," 10000 ZAGREB,"," OIB: 88951687357")</f>
        <v xml:space="preserve"> PRO-TEHNA D.O.O., MAKSIMIRSKA 64, 10000 ZAGREB, OIB: 88951687357</v>
      </c>
      <c r="H3268" s="7"/>
      <c r="I3268" s="8" t="s">
        <v>1044</v>
      </c>
      <c r="J3268" s="8" t="s">
        <v>931</v>
      </c>
      <c r="K3268" s="6" t="str">
        <f>"450,00"</f>
        <v>450,00</v>
      </c>
      <c r="L3268" s="6" t="str">
        <f>"112,50"</f>
        <v>112,50</v>
      </c>
      <c r="M3268" s="6" t="str">
        <f>"562,50"</f>
        <v>562,50</v>
      </c>
      <c r="N3268" s="8" t="s">
        <v>2906</v>
      </c>
      <c r="O3268" s="7"/>
      <c r="P3268" s="2" t="s">
        <v>7358</v>
      </c>
      <c r="Q3268" s="7"/>
      <c r="R3268" s="1"/>
      <c r="S3268" s="1" t="str">
        <f>"J-UN-2021-1147"</f>
        <v>J-UN-2021-1147</v>
      </c>
      <c r="T3268" s="1" t="s">
        <v>32</v>
      </c>
    </row>
    <row r="3269" spans="1:20" ht="51" x14ac:dyDescent="0.25">
      <c r="A3269" s="6">
        <v>3263</v>
      </c>
      <c r="B3269" s="1" t="str">
        <f>"2021-576"</f>
        <v>2021-576</v>
      </c>
      <c r="C3269" s="1" t="s">
        <v>2561</v>
      </c>
      <c r="D3269" s="1" t="s">
        <v>2156</v>
      </c>
      <c r="E3269" s="1" t="str">
        <f>""</f>
        <v/>
      </c>
      <c r="F3269" s="1" t="s">
        <v>1860</v>
      </c>
      <c r="G3269" s="1" t="str">
        <f>CONCATENATE(" TIP - ZAGREB D.O.O.,"," VINOGRADSKA 34,"," 10431 SVETA NEDELJA,"," OIB: 36198195227")</f>
        <v xml:space="preserve"> TIP - ZAGREB D.O.O., VINOGRADSKA 34, 10431 SVETA NEDELJA, OIB: 36198195227</v>
      </c>
      <c r="H3269" s="7"/>
      <c r="I3269" s="8" t="s">
        <v>1044</v>
      </c>
      <c r="J3269" s="8" t="s">
        <v>931</v>
      </c>
      <c r="K3269" s="6" t="str">
        <f>"11.651,00"</f>
        <v>11.651,00</v>
      </c>
      <c r="L3269" s="6" t="str">
        <f>"2.912,75"</f>
        <v>2.912,75</v>
      </c>
      <c r="M3269" s="6" t="str">
        <f>"14.563,75"</f>
        <v>14.563,75</v>
      </c>
      <c r="N3269" s="8" t="s">
        <v>935</v>
      </c>
      <c r="O3269" s="7"/>
      <c r="P3269" s="2" t="s">
        <v>7496</v>
      </c>
      <c r="Q3269" s="7"/>
      <c r="R3269" s="1"/>
      <c r="S3269" s="1" t="str">
        <f>"J-UN-2021-1148"</f>
        <v>J-UN-2021-1148</v>
      </c>
      <c r="T3269" s="1" t="s">
        <v>32</v>
      </c>
    </row>
    <row r="3270" spans="1:20" ht="51" x14ac:dyDescent="0.25">
      <c r="A3270" s="6">
        <v>3264</v>
      </c>
      <c r="B3270" s="1" t="str">
        <f>"2021-913"</f>
        <v>2021-913</v>
      </c>
      <c r="C3270" s="1" t="s">
        <v>2710</v>
      </c>
      <c r="D3270" s="1" t="s">
        <v>815</v>
      </c>
      <c r="E3270" s="1" t="str">
        <f>""</f>
        <v/>
      </c>
      <c r="F3270" s="1" t="s">
        <v>1860</v>
      </c>
      <c r="G3270" s="1" t="str">
        <f>CONCATENATE(" SCHEDA D.O.O.,"," LJUDEVITA POSAVSKOG 29,"," 10360 SESVETE,"," OIB: 76219817247")</f>
        <v xml:space="preserve"> SCHEDA D.O.O., LJUDEVITA POSAVSKOG 29, 10360 SESVETE, OIB: 76219817247</v>
      </c>
      <c r="H3270" s="7"/>
      <c r="I3270" s="8" t="s">
        <v>1044</v>
      </c>
      <c r="J3270" s="8" t="s">
        <v>931</v>
      </c>
      <c r="K3270" s="6" t="str">
        <f>"249,50"</f>
        <v>249,50</v>
      </c>
      <c r="L3270" s="6" t="str">
        <f>"62,38"</f>
        <v>62,38</v>
      </c>
      <c r="M3270" s="6" t="str">
        <f>"311,88"</f>
        <v>311,88</v>
      </c>
      <c r="N3270" s="8" t="s">
        <v>891</v>
      </c>
      <c r="O3270" s="7"/>
      <c r="P3270" s="2" t="s">
        <v>7497</v>
      </c>
      <c r="Q3270" s="7"/>
      <c r="R3270" s="1"/>
      <c r="S3270" s="1" t="str">
        <f>"J-UN-2021-1149"</f>
        <v>J-UN-2021-1149</v>
      </c>
      <c r="T3270" s="1" t="s">
        <v>32</v>
      </c>
    </row>
    <row r="3271" spans="1:20" ht="76.5" x14ac:dyDescent="0.25">
      <c r="A3271" s="6">
        <v>3265</v>
      </c>
      <c r="B3271" s="1" t="str">
        <f>"2021-1206"</f>
        <v>2021-1206</v>
      </c>
      <c r="C3271" s="1" t="s">
        <v>2821</v>
      </c>
      <c r="D3271" s="1" t="s">
        <v>1627</v>
      </c>
      <c r="E3271" s="1" t="str">
        <f>""</f>
        <v/>
      </c>
      <c r="F3271" s="1" t="s">
        <v>1860</v>
      </c>
      <c r="G3271" s="1" t="str">
        <f>CONCATENATE(" ELICOM D.O.O.,"," ŠTEFANOVEC 138,"," 10000 ZAGREB,"," OIB: 76370234816")</f>
        <v xml:space="preserve"> ELICOM D.O.O., ŠTEFANOVEC 138, 10000 ZAGREB, OIB: 76370234816</v>
      </c>
      <c r="H3271" s="7"/>
      <c r="I3271" s="8" t="s">
        <v>2134</v>
      </c>
      <c r="J3271" s="8" t="s">
        <v>520</v>
      </c>
      <c r="K3271" s="6" t="str">
        <f>"4.922,00"</f>
        <v>4.922,00</v>
      </c>
      <c r="L3271" s="6" t="str">
        <f>"1.230,50"</f>
        <v>1.230,50</v>
      </c>
      <c r="M3271" s="6" t="str">
        <f>"6.152,50"</f>
        <v>6.152,50</v>
      </c>
      <c r="N3271" s="8" t="s">
        <v>2895</v>
      </c>
      <c r="O3271" s="7"/>
      <c r="P3271" s="2" t="s">
        <v>7498</v>
      </c>
      <c r="Q3271" s="7"/>
      <c r="R3271" s="1"/>
      <c r="S3271" s="1" t="str">
        <f>"J-UN-2021-1150"</f>
        <v>J-UN-2021-1150</v>
      </c>
      <c r="T3271" s="1" t="s">
        <v>32</v>
      </c>
    </row>
    <row r="3272" spans="1:20" ht="63.75" x14ac:dyDescent="0.25">
      <c r="A3272" s="6">
        <v>3266</v>
      </c>
      <c r="B3272" s="1" t="str">
        <f>"2021-915"</f>
        <v>2021-915</v>
      </c>
      <c r="C3272" s="1" t="s">
        <v>2563</v>
      </c>
      <c r="D3272" s="1" t="s">
        <v>914</v>
      </c>
      <c r="E3272" s="1" t="str">
        <f>""</f>
        <v/>
      </c>
      <c r="F3272" s="1" t="s">
        <v>1860</v>
      </c>
      <c r="G3272" s="1" t="str">
        <f>CONCATENATE(" TOKIĆ D.O.O.,"," ULICA 144. BRIGADE HRVATSKE VOJSKE 1A,"," 10360 SESVETE,"," OIB: 7486748762")</f>
        <v xml:space="preserve"> TOKIĆ D.O.O., ULICA 144. BRIGADE HRVATSKE VOJSKE 1A, 10360 SESVETE, OIB: 7486748762</v>
      </c>
      <c r="H3272" s="7"/>
      <c r="I3272" s="8" t="s">
        <v>1988</v>
      </c>
      <c r="J3272" s="8" t="s">
        <v>214</v>
      </c>
      <c r="K3272" s="6" t="str">
        <f>"555,00"</f>
        <v>555,00</v>
      </c>
      <c r="L3272" s="6" t="str">
        <f>"138,75"</f>
        <v>138,75</v>
      </c>
      <c r="M3272" s="6" t="str">
        <f>"693,75"</f>
        <v>693,75</v>
      </c>
      <c r="N3272" s="8" t="s">
        <v>2895</v>
      </c>
      <c r="O3272" s="7"/>
      <c r="P3272" s="2" t="s">
        <v>7499</v>
      </c>
      <c r="Q3272" s="7"/>
      <c r="R3272" s="1"/>
      <c r="S3272" s="1" t="str">
        <f>"J-UN-2021-1151"</f>
        <v>J-UN-2021-1151</v>
      </c>
      <c r="T3272" s="1" t="s">
        <v>32</v>
      </c>
    </row>
    <row r="3273" spans="1:20" ht="51" x14ac:dyDescent="0.25">
      <c r="A3273" s="6">
        <v>3267</v>
      </c>
      <c r="B3273" s="1" t="str">
        <f>"2021-1116"</f>
        <v>2021-1116</v>
      </c>
      <c r="C3273" s="1" t="s">
        <v>2847</v>
      </c>
      <c r="D3273" s="1" t="s">
        <v>1007</v>
      </c>
      <c r="E3273" s="1" t="str">
        <f>""</f>
        <v/>
      </c>
      <c r="F3273" s="1" t="s">
        <v>1860</v>
      </c>
      <c r="G3273" s="1" t="str">
        <f>CONCATENATE(" ADC-ALARMNI CENTAR D.O.O.,"," LETOVANIČKA 22,"," 10000 ZAGREB,"," OIB: 9554213412")</f>
        <v xml:space="preserve"> ADC-ALARMNI CENTAR D.O.O., LETOVANIČKA 22, 10000 ZAGREB, OIB: 9554213412</v>
      </c>
      <c r="H3273" s="7"/>
      <c r="I3273" s="8" t="s">
        <v>2134</v>
      </c>
      <c r="J3273" s="8" t="s">
        <v>520</v>
      </c>
      <c r="K3273" s="6" t="str">
        <f>"780,00"</f>
        <v>780,00</v>
      </c>
      <c r="L3273" s="6" t="str">
        <f>"195,00"</f>
        <v>195,00</v>
      </c>
      <c r="M3273" s="6" t="str">
        <f>"975,00"</f>
        <v>975,00</v>
      </c>
      <c r="N3273" s="8" t="s">
        <v>2896</v>
      </c>
      <c r="O3273" s="7"/>
      <c r="P3273" s="2" t="s">
        <v>7500</v>
      </c>
      <c r="Q3273" s="7"/>
      <c r="R3273" s="1"/>
      <c r="S3273" s="1" t="str">
        <f>"J-UN-2021-1154"</f>
        <v>J-UN-2021-1154</v>
      </c>
      <c r="T3273" s="1" t="s">
        <v>32</v>
      </c>
    </row>
    <row r="3274" spans="1:20" ht="51" x14ac:dyDescent="0.25">
      <c r="A3274" s="6">
        <v>3268</v>
      </c>
      <c r="B3274" s="1" t="str">
        <f>"2021-1498"</f>
        <v>2021-1498</v>
      </c>
      <c r="C3274" s="1" t="s">
        <v>2641</v>
      </c>
      <c r="D3274" s="1" t="s">
        <v>515</v>
      </c>
      <c r="E3274" s="1" t="str">
        <f>""</f>
        <v/>
      </c>
      <c r="F3274" s="1" t="s">
        <v>1860</v>
      </c>
      <c r="G3274" s="1" t="str">
        <f>CONCATENATE(" INSTITUT IGH D.D.,"," JANKA RAKUŠE 1,"," 10000 ZAGREB,"," OIB: 79766124714")</f>
        <v xml:space="preserve"> INSTITUT IGH D.D., JANKA RAKUŠE 1, 10000 ZAGREB, OIB: 79766124714</v>
      </c>
      <c r="H3274" s="7"/>
      <c r="I3274" s="8" t="s">
        <v>2134</v>
      </c>
      <c r="J3274" s="8" t="s">
        <v>520</v>
      </c>
      <c r="K3274" s="6" t="str">
        <f>"15.936,00"</f>
        <v>15.936,00</v>
      </c>
      <c r="L3274" s="6" t="str">
        <f>"3.984,00"</f>
        <v>3.984,00</v>
      </c>
      <c r="M3274" s="6" t="str">
        <f>"19.920,00"</f>
        <v>19.920,00</v>
      </c>
      <c r="N3274" s="8" t="s">
        <v>30</v>
      </c>
      <c r="O3274" s="7"/>
      <c r="P3274" s="2" t="s">
        <v>7501</v>
      </c>
      <c r="Q3274" s="7"/>
      <c r="R3274" s="1"/>
      <c r="S3274" s="1" t="str">
        <f>"J-UN-2021-1155"</f>
        <v>J-UN-2021-1155</v>
      </c>
      <c r="T3274" s="1" t="s">
        <v>32</v>
      </c>
    </row>
    <row r="3275" spans="1:20" ht="51" x14ac:dyDescent="0.25">
      <c r="A3275" s="6">
        <v>3269</v>
      </c>
      <c r="B3275" s="1" t="str">
        <f>"2021-463"</f>
        <v>2021-463</v>
      </c>
      <c r="C3275" s="1" t="s">
        <v>2600</v>
      </c>
      <c r="D3275" s="1" t="s">
        <v>2601</v>
      </c>
      <c r="E3275" s="1" t="str">
        <f>""</f>
        <v/>
      </c>
      <c r="F3275" s="1" t="s">
        <v>1860</v>
      </c>
      <c r="G3275" s="1" t="str">
        <f>CONCATENATE(" PRO-TEHNA D.O.O.,"," MAKSIMIRSKA 64,"," 10000 ZAGREB,"," OIB: 88951687357")</f>
        <v xml:space="preserve"> PRO-TEHNA D.O.O., MAKSIMIRSKA 64, 10000 ZAGREB, OIB: 88951687357</v>
      </c>
      <c r="H3275" s="7"/>
      <c r="I3275" s="8" t="s">
        <v>179</v>
      </c>
      <c r="J3275" s="8" t="s">
        <v>1157</v>
      </c>
      <c r="K3275" s="6" t="str">
        <f>"2.854,00"</f>
        <v>2.854,00</v>
      </c>
      <c r="L3275" s="6" t="str">
        <f>"713,50"</f>
        <v>713,50</v>
      </c>
      <c r="M3275" s="6" t="str">
        <f>"3.567,50"</f>
        <v>3.567,50</v>
      </c>
      <c r="N3275" s="8" t="s">
        <v>335</v>
      </c>
      <c r="O3275" s="7"/>
      <c r="P3275" s="2" t="s">
        <v>7502</v>
      </c>
      <c r="Q3275" s="7"/>
      <c r="R3275" s="1"/>
      <c r="S3275" s="1" t="str">
        <f>"J-UN-2021-1157"</f>
        <v>J-UN-2021-1157</v>
      </c>
      <c r="T3275" s="1" t="s">
        <v>32</v>
      </c>
    </row>
    <row r="3276" spans="1:20" ht="63.75" x14ac:dyDescent="0.25">
      <c r="A3276" s="6">
        <v>3270</v>
      </c>
      <c r="B3276" s="1" t="str">
        <f>"2021-1101"</f>
        <v>2021-1101</v>
      </c>
      <c r="C3276" s="1" t="s">
        <v>2702</v>
      </c>
      <c r="D3276" s="1" t="s">
        <v>1209</v>
      </c>
      <c r="E3276" s="1" t="str">
        <f>""</f>
        <v/>
      </c>
      <c r="F3276" s="1" t="s">
        <v>1860</v>
      </c>
      <c r="G3276" s="1" t="str">
        <f>CONCATENATE(" DRÄGER SAFETY D.O.O.,"," AVENIJA VEĆESLAVA HOLJEVCA 40,"," 10010 ZAGREB,"," OIB: 32874587842")</f>
        <v xml:space="preserve"> DRÄGER SAFETY D.O.O., AVENIJA VEĆESLAVA HOLJEVCA 40, 10010 ZAGREB, OIB: 32874587842</v>
      </c>
      <c r="H3276" s="7"/>
      <c r="I3276" s="8" t="s">
        <v>2134</v>
      </c>
      <c r="J3276" s="8" t="s">
        <v>520</v>
      </c>
      <c r="K3276" s="6" t="str">
        <f>"1.854,50"</f>
        <v>1.854,50</v>
      </c>
      <c r="L3276" s="6" t="str">
        <f>"463,63"</f>
        <v>463,63</v>
      </c>
      <c r="M3276" s="6" t="str">
        <f>"2.318,13"</f>
        <v>2.318,13</v>
      </c>
      <c r="N3276" s="8" t="s">
        <v>891</v>
      </c>
      <c r="O3276" s="7"/>
      <c r="P3276" s="2" t="s">
        <v>7503</v>
      </c>
      <c r="Q3276" s="7"/>
      <c r="R3276" s="1"/>
      <c r="S3276" s="1" t="str">
        <f>"J-UN-2021-1158"</f>
        <v>J-UN-2021-1158</v>
      </c>
      <c r="T3276" s="1" t="s">
        <v>32</v>
      </c>
    </row>
    <row r="3277" spans="1:20" ht="51" x14ac:dyDescent="0.25">
      <c r="A3277" s="6">
        <v>3271</v>
      </c>
      <c r="B3277" s="1" t="str">
        <f>"2021-478"</f>
        <v>2021-478</v>
      </c>
      <c r="C3277" s="1" t="s">
        <v>2714</v>
      </c>
      <c r="D3277" s="1" t="s">
        <v>619</v>
      </c>
      <c r="E3277" s="1" t="str">
        <f>""</f>
        <v/>
      </c>
      <c r="F3277" s="1" t="s">
        <v>1860</v>
      </c>
      <c r="G3277" s="1" t="str">
        <f>CONCATENATE(" PRO-TEHNA D.O.O.,"," MAKSIMIRSKA 64,"," 10000 ZAGREB,"," OIB: 88951687357")</f>
        <v xml:space="preserve"> PRO-TEHNA D.O.O., MAKSIMIRSKA 64, 10000 ZAGREB, OIB: 88951687357</v>
      </c>
      <c r="H3277" s="7"/>
      <c r="I3277" s="8" t="s">
        <v>179</v>
      </c>
      <c r="J3277" s="8" t="s">
        <v>1157</v>
      </c>
      <c r="K3277" s="6" t="str">
        <f>"2.940,00"</f>
        <v>2.940,00</v>
      </c>
      <c r="L3277" s="6" t="str">
        <f>"735,00"</f>
        <v>735,00</v>
      </c>
      <c r="M3277" s="6" t="str">
        <f>"3.675,00"</f>
        <v>3.675,00</v>
      </c>
      <c r="N3277" s="8" t="s">
        <v>1167</v>
      </c>
      <c r="O3277" s="7"/>
      <c r="P3277" s="2" t="s">
        <v>7504</v>
      </c>
      <c r="Q3277" s="7"/>
      <c r="R3277" s="1"/>
      <c r="S3277" s="1" t="str">
        <f>"J-UN-2021-1159"</f>
        <v>J-UN-2021-1159</v>
      </c>
      <c r="T3277" s="1" t="s">
        <v>32</v>
      </c>
    </row>
    <row r="3278" spans="1:20" ht="51" x14ac:dyDescent="0.25">
      <c r="A3278" s="6">
        <v>3272</v>
      </c>
      <c r="B3278" s="1" t="str">
        <f>"2021-489"</f>
        <v>2021-489</v>
      </c>
      <c r="C3278" s="1" t="s">
        <v>2741</v>
      </c>
      <c r="D3278" s="1" t="s">
        <v>2742</v>
      </c>
      <c r="E3278" s="1" t="str">
        <f>""</f>
        <v/>
      </c>
      <c r="F3278" s="1" t="s">
        <v>1860</v>
      </c>
      <c r="G3278" s="1" t="str">
        <f>CONCATENATE(" SCHEDA D.O.O.,"," LJUDEVITA POSAVSKOG 29,"," 10360 SESVETE,"," OIB: 76219817247")</f>
        <v xml:space="preserve"> SCHEDA D.O.O., LJUDEVITA POSAVSKOG 29, 10360 SESVETE, OIB: 76219817247</v>
      </c>
      <c r="H3278" s="7"/>
      <c r="I3278" s="8" t="s">
        <v>2291</v>
      </c>
      <c r="J3278" s="8" t="s">
        <v>408</v>
      </c>
      <c r="K3278" s="6" t="str">
        <f>"1.572,70"</f>
        <v>1.572,70</v>
      </c>
      <c r="L3278" s="6" t="str">
        <f>"393,18"</f>
        <v>393,18</v>
      </c>
      <c r="M3278" s="6" t="str">
        <f>"1.965,88"</f>
        <v>1.965,88</v>
      </c>
      <c r="N3278" s="8" t="s">
        <v>1167</v>
      </c>
      <c r="O3278" s="7"/>
      <c r="P3278" s="2" t="s">
        <v>7505</v>
      </c>
      <c r="Q3278" s="7"/>
      <c r="R3278" s="1"/>
      <c r="S3278" s="1" t="str">
        <f>"J-UN-2021-1160"</f>
        <v>J-UN-2021-1160</v>
      </c>
      <c r="T3278" s="1" t="s">
        <v>32</v>
      </c>
    </row>
    <row r="3279" spans="1:20" ht="51" x14ac:dyDescent="0.25">
      <c r="A3279" s="6">
        <v>3273</v>
      </c>
      <c r="B3279" s="1" t="str">
        <f>"2021-2278"</f>
        <v>2021-2278</v>
      </c>
      <c r="C3279" s="1" t="s">
        <v>2887</v>
      </c>
      <c r="D3279" s="1" t="s">
        <v>1322</v>
      </c>
      <c r="E3279" s="1" t="str">
        <f>""</f>
        <v/>
      </c>
      <c r="F3279" s="1" t="s">
        <v>1860</v>
      </c>
      <c r="G3279" s="1" t="str">
        <f>CONCATENATE(" VODOSKOK D.D.,"," ČULINEČKA CESTA 221/C,"," 10040 ZAGREB,"," OIB: 34134218058")</f>
        <v xml:space="preserve"> VODOSKOK D.D., ČULINEČKA CESTA 221/C, 10040 ZAGREB, OIB: 34134218058</v>
      </c>
      <c r="H3279" s="7"/>
      <c r="I3279" s="8" t="s">
        <v>1988</v>
      </c>
      <c r="J3279" s="8" t="s">
        <v>214</v>
      </c>
      <c r="K3279" s="6" t="str">
        <f>"43.980,00"</f>
        <v>43.980,00</v>
      </c>
      <c r="L3279" s="6" t="str">
        <f>"10.995,00"</f>
        <v>10.995,00</v>
      </c>
      <c r="M3279" s="6" t="str">
        <f>"54.975,00"</f>
        <v>54.975,00</v>
      </c>
      <c r="N3279" s="8" t="s">
        <v>656</v>
      </c>
      <c r="O3279" s="7"/>
      <c r="P3279" s="2" t="s">
        <v>7506</v>
      </c>
      <c r="Q3279" s="7"/>
      <c r="R3279" s="1"/>
      <c r="S3279" s="1" t="str">
        <f>"J-UN-2021-1161"</f>
        <v>J-UN-2021-1161</v>
      </c>
      <c r="T3279" s="1" t="s">
        <v>32</v>
      </c>
    </row>
    <row r="3280" spans="1:20" ht="51" x14ac:dyDescent="0.25">
      <c r="A3280" s="6">
        <v>3274</v>
      </c>
      <c r="B3280" s="1" t="str">
        <f>"2021-325"</f>
        <v>2021-325</v>
      </c>
      <c r="C3280" s="1" t="s">
        <v>2700</v>
      </c>
      <c r="D3280" s="1" t="s">
        <v>2701</v>
      </c>
      <c r="E3280" s="1" t="str">
        <f>""</f>
        <v/>
      </c>
      <c r="F3280" s="1" t="s">
        <v>1860</v>
      </c>
      <c r="G3280" s="1" t="str">
        <f>CONCATENATE(" MATMETAL SISTEM D.O.O.,"," ZAGREBAČKA 99,"," 10360 SESVETE,"," OIB: 21789069512")</f>
        <v xml:space="preserve"> MATMETAL SISTEM D.O.O., ZAGREBAČKA 99, 10360 SESVETE, OIB: 21789069512</v>
      </c>
      <c r="H3280" s="7"/>
      <c r="I3280" s="8" t="s">
        <v>179</v>
      </c>
      <c r="J3280" s="8" t="s">
        <v>1157</v>
      </c>
      <c r="K3280" s="6" t="str">
        <f>"1.250,00"</f>
        <v>1.250,00</v>
      </c>
      <c r="L3280" s="6" t="str">
        <f>"312,50"</f>
        <v>312,50</v>
      </c>
      <c r="M3280" s="6" t="str">
        <f>"1.562,50"</f>
        <v>1.562,50</v>
      </c>
      <c r="N3280" s="8" t="s">
        <v>2906</v>
      </c>
      <c r="O3280" s="7"/>
      <c r="P3280" s="2" t="s">
        <v>7236</v>
      </c>
      <c r="Q3280" s="7"/>
      <c r="R3280" s="1"/>
      <c r="S3280" s="1" t="str">
        <f>"J-UN-2021-1164"</f>
        <v>J-UN-2021-1164</v>
      </c>
      <c r="T3280" s="1" t="s">
        <v>32</v>
      </c>
    </row>
    <row r="3281" spans="1:20" ht="51" x14ac:dyDescent="0.25">
      <c r="A3281" s="6">
        <v>3275</v>
      </c>
      <c r="B3281" s="1" t="str">
        <f>"2021-317"</f>
        <v>2021-317</v>
      </c>
      <c r="C3281" s="1" t="s">
        <v>2730</v>
      </c>
      <c r="D3281" s="1" t="s">
        <v>1203</v>
      </c>
      <c r="E3281" s="1" t="str">
        <f>""</f>
        <v/>
      </c>
      <c r="F3281" s="1" t="s">
        <v>1860</v>
      </c>
      <c r="G3281" s="1" t="str">
        <f>CONCATENATE(" PRO-TEHNA D.O.O.,"," MAKSIMIRSKA 64,"," 10000 ZAGREB,"," OIB: 88951687357")</f>
        <v xml:space="preserve"> PRO-TEHNA D.O.O., MAKSIMIRSKA 64, 10000 ZAGREB, OIB: 88951687357</v>
      </c>
      <c r="H3281" s="7"/>
      <c r="I3281" s="8" t="s">
        <v>1988</v>
      </c>
      <c r="J3281" s="8" t="s">
        <v>214</v>
      </c>
      <c r="K3281" s="6" t="str">
        <f>"19.850,00"</f>
        <v>19.850,00</v>
      </c>
      <c r="L3281" s="6" t="str">
        <f>"4.962,50"</f>
        <v>4.962,50</v>
      </c>
      <c r="M3281" s="6" t="str">
        <f>"24.812,50"</f>
        <v>24.812,50</v>
      </c>
      <c r="N3281" s="8" t="s">
        <v>1167</v>
      </c>
      <c r="O3281" s="7"/>
      <c r="P3281" s="2" t="s">
        <v>7507</v>
      </c>
      <c r="Q3281" s="7"/>
      <c r="R3281" s="1"/>
      <c r="S3281" s="1" t="str">
        <f>"J-UN-2021-1165"</f>
        <v>J-UN-2021-1165</v>
      </c>
      <c r="T3281" s="1" t="s">
        <v>32</v>
      </c>
    </row>
    <row r="3282" spans="1:20" ht="63.75" x14ac:dyDescent="0.25">
      <c r="A3282" s="6">
        <v>3276</v>
      </c>
      <c r="B3282" s="1" t="str">
        <f>"2021-77"</f>
        <v>2021-77</v>
      </c>
      <c r="C3282" s="1" t="s">
        <v>2907</v>
      </c>
      <c r="D3282" s="1" t="s">
        <v>143</v>
      </c>
      <c r="E3282" s="1" t="str">
        <f>""</f>
        <v/>
      </c>
      <c r="F3282" s="1" t="s">
        <v>1860</v>
      </c>
      <c r="G3282" s="1" t="str">
        <f>CONCATENATE(" URIHO - ZAGREB,"," AVENIJA MARINA DRŽIĆA 1,"," 10000 ZAGREB,"," OIB: 77931216562")</f>
        <v xml:space="preserve"> URIHO - ZAGREB, AVENIJA MARINA DRŽIĆA 1, 10000 ZAGREB, OIB: 77931216562</v>
      </c>
      <c r="H3282" s="7"/>
      <c r="I3282" s="8" t="s">
        <v>2291</v>
      </c>
      <c r="J3282" s="8" t="s">
        <v>408</v>
      </c>
      <c r="K3282" s="6" t="str">
        <f>"330,00"</f>
        <v>330,00</v>
      </c>
      <c r="L3282" s="6" t="str">
        <f>"82,50"</f>
        <v>82,50</v>
      </c>
      <c r="M3282" s="6" t="str">
        <f>"412,50"</f>
        <v>412,50</v>
      </c>
      <c r="N3282" s="8" t="s">
        <v>681</v>
      </c>
      <c r="O3282" s="7"/>
      <c r="P3282" s="2" t="s">
        <v>7508</v>
      </c>
      <c r="Q3282" s="7"/>
      <c r="R3282" s="1"/>
      <c r="S3282" s="1" t="str">
        <f>"J-UN-2021-1166"</f>
        <v>J-UN-2021-1166</v>
      </c>
      <c r="T3282" s="1" t="s">
        <v>32</v>
      </c>
    </row>
    <row r="3283" spans="1:20" ht="63.75" x14ac:dyDescent="0.25">
      <c r="A3283" s="6">
        <v>3277</v>
      </c>
      <c r="B3283" s="1" t="str">
        <f>"2021-999"</f>
        <v>2021-999</v>
      </c>
      <c r="C3283" s="1" t="s">
        <v>2794</v>
      </c>
      <c r="D3283" s="1" t="s">
        <v>2716</v>
      </c>
      <c r="E3283" s="1" t="str">
        <f>""</f>
        <v/>
      </c>
      <c r="F3283" s="1" t="s">
        <v>1860</v>
      </c>
      <c r="G3283" s="1" t="str">
        <f>CONCATENATE(" DDSERVIS D.O.O.,"," SISAČKA CESTA III ODVOJAK 7,"," 10020 ZAGREB,"," OIB: 95325472047")</f>
        <v xml:space="preserve"> DDSERVIS D.O.O., SISAČKA CESTA III ODVOJAK 7, 10020 ZAGREB, OIB: 95325472047</v>
      </c>
      <c r="H3283" s="7"/>
      <c r="I3283" s="8" t="s">
        <v>2134</v>
      </c>
      <c r="J3283" s="8" t="s">
        <v>520</v>
      </c>
      <c r="K3283" s="6" t="str">
        <f>"2.280,00"</f>
        <v>2.280,00</v>
      </c>
      <c r="L3283" s="6" t="str">
        <f>"570,00"</f>
        <v>570,00</v>
      </c>
      <c r="M3283" s="6" t="str">
        <f>"2.850,00"</f>
        <v>2.850,00</v>
      </c>
      <c r="N3283" s="8" t="s">
        <v>2896</v>
      </c>
      <c r="O3283" s="7"/>
      <c r="P3283" s="2" t="s">
        <v>7249</v>
      </c>
      <c r="Q3283" s="7"/>
      <c r="R3283" s="1"/>
      <c r="S3283" s="1" t="str">
        <f>"J-UN-2021-1167"</f>
        <v>J-UN-2021-1167</v>
      </c>
      <c r="T3283" s="1" t="s">
        <v>32</v>
      </c>
    </row>
    <row r="3284" spans="1:20" ht="51" x14ac:dyDescent="0.25">
      <c r="A3284" s="6">
        <v>3278</v>
      </c>
      <c r="B3284" s="1" t="str">
        <f>"2021-1015"</f>
        <v>2021-1015</v>
      </c>
      <c r="C3284" s="1" t="s">
        <v>2492</v>
      </c>
      <c r="D3284" s="1" t="s">
        <v>2493</v>
      </c>
      <c r="E3284" s="1" t="str">
        <f>""</f>
        <v/>
      </c>
      <c r="F3284" s="1" t="s">
        <v>1860</v>
      </c>
      <c r="G3284" s="1" t="str">
        <f>CONCATENATE(" STAR IMPORT D.O.O.,"," KOVINSKA 5,"," 10090 ZAGREB-SUSEDGRAD,"," OIB: 783122799")</f>
        <v xml:space="preserve"> STAR IMPORT D.O.O., KOVINSKA 5, 10090 ZAGREB-SUSEDGRAD, OIB: 783122799</v>
      </c>
      <c r="H3284" s="7"/>
      <c r="I3284" s="8" t="s">
        <v>2134</v>
      </c>
      <c r="J3284" s="8" t="s">
        <v>520</v>
      </c>
      <c r="K3284" s="6" t="str">
        <f>"940,39"</f>
        <v>940,39</v>
      </c>
      <c r="L3284" s="6" t="str">
        <f>"235,10"</f>
        <v>235,10</v>
      </c>
      <c r="M3284" s="6" t="str">
        <f>"1.175,49"</f>
        <v>1.175,49</v>
      </c>
      <c r="N3284" s="8" t="s">
        <v>1445</v>
      </c>
      <c r="O3284" s="7"/>
      <c r="P3284" s="2" t="s">
        <v>7509</v>
      </c>
      <c r="Q3284" s="7"/>
      <c r="R3284" s="1"/>
      <c r="S3284" s="1" t="str">
        <f>"J-UN-2021-1168"</f>
        <v>J-UN-2021-1168</v>
      </c>
      <c r="T3284" s="1" t="s">
        <v>32</v>
      </c>
    </row>
    <row r="3285" spans="1:20" ht="51" x14ac:dyDescent="0.25">
      <c r="A3285" s="6">
        <v>3279</v>
      </c>
      <c r="B3285" s="1" t="str">
        <f>"2021-1377"</f>
        <v>2021-1377</v>
      </c>
      <c r="C3285" s="1" t="s">
        <v>2908</v>
      </c>
      <c r="D3285" s="1" t="s">
        <v>74</v>
      </c>
      <c r="E3285" s="1" t="str">
        <f>""</f>
        <v/>
      </c>
      <c r="F3285" s="1" t="s">
        <v>1860</v>
      </c>
      <c r="G3285" s="1" t="str">
        <f>CONCATENATE("  SMARTNET D.O.O.,"," STINICE 12,"," 21000 SPLIT,"," OIB: 2337997359")</f>
        <v>  SMARTNET D.O.O., STINICE 12, 21000 SPLIT, OIB: 2337997359</v>
      </c>
      <c r="H3285" s="7"/>
      <c r="I3285" s="8" t="s">
        <v>2134</v>
      </c>
      <c r="J3285" s="8" t="s">
        <v>520</v>
      </c>
      <c r="K3285" s="6" t="str">
        <f>"28.800,00"</f>
        <v>28.800,00</v>
      </c>
      <c r="L3285" s="6" t="str">
        <f>"7.200,00"</f>
        <v>7.200,00</v>
      </c>
      <c r="M3285" s="6" t="str">
        <f>"36.000,00"</f>
        <v>36.000,00</v>
      </c>
      <c r="N3285" s="8" t="s">
        <v>1067</v>
      </c>
      <c r="O3285" s="7"/>
      <c r="P3285" s="2" t="s">
        <v>7510</v>
      </c>
      <c r="Q3285" s="7"/>
      <c r="R3285" s="1"/>
      <c r="S3285" s="1" t="str">
        <f>"J-UN-2021-1170"</f>
        <v>J-UN-2021-1170</v>
      </c>
      <c r="T3285" s="1" t="s">
        <v>32</v>
      </c>
    </row>
    <row r="3286" spans="1:20" ht="89.25" x14ac:dyDescent="0.25">
      <c r="A3286" s="6">
        <v>3280</v>
      </c>
      <c r="B3286" s="1" t="str">
        <f>"2021-1708"</f>
        <v>2021-1708</v>
      </c>
      <c r="C3286" s="1" t="s">
        <v>2643</v>
      </c>
      <c r="D3286" s="1" t="s">
        <v>1859</v>
      </c>
      <c r="E3286" s="1" t="str">
        <f>""</f>
        <v/>
      </c>
      <c r="F3286" s="1" t="s">
        <v>1860</v>
      </c>
      <c r="G3286" s="1" t="str">
        <f>CONCATENATE(" NARODNO UČILIŠTE,"," USTANOVA ZA OBRAZOVANJE I KULTURU U RIJECI,"," ŠKOLJIĆ 9,"," 51000 RIJEKA,"," OIB: 30819794669")</f>
        <v xml:space="preserve"> NARODNO UČILIŠTE, USTANOVA ZA OBRAZOVANJE I KULTURU U RIJECI, ŠKOLJIĆ 9, 51000 RIJEKA, OIB: 30819794669</v>
      </c>
      <c r="H3286" s="7"/>
      <c r="I3286" s="8" t="s">
        <v>2134</v>
      </c>
      <c r="J3286" s="8" t="s">
        <v>520</v>
      </c>
      <c r="K3286" s="6" t="str">
        <f>"1.120,00"</f>
        <v>1.120,00</v>
      </c>
      <c r="L3286" s="6" t="str">
        <f>"280,00"</f>
        <v>280,00</v>
      </c>
      <c r="M3286" s="6" t="str">
        <f>"1.400,00"</f>
        <v>1.400,00</v>
      </c>
      <c r="N3286" s="8" t="s">
        <v>124</v>
      </c>
      <c r="O3286" s="7"/>
      <c r="P3286" s="2" t="s">
        <v>5614</v>
      </c>
      <c r="Q3286" s="7"/>
      <c r="R3286" s="1"/>
      <c r="S3286" s="1" t="str">
        <f>"J-UN-2021-1171"</f>
        <v>J-UN-2021-1171</v>
      </c>
      <c r="T3286" s="1" t="s">
        <v>32</v>
      </c>
    </row>
    <row r="3287" spans="1:20" ht="76.5" x14ac:dyDescent="0.25">
      <c r="A3287" s="6">
        <v>3281</v>
      </c>
      <c r="B3287" s="1" t="str">
        <f>"2021-935"</f>
        <v>2021-935</v>
      </c>
      <c r="C3287" s="1" t="s">
        <v>2806</v>
      </c>
      <c r="D3287" s="1" t="s">
        <v>914</v>
      </c>
      <c r="E3287" s="1" t="str">
        <f>""</f>
        <v/>
      </c>
      <c r="F3287" s="1" t="s">
        <v>1860</v>
      </c>
      <c r="G3287" s="1" t="str">
        <f>CONCATENATE(" METALNO PLASTIČNA GALANTERIJA,"," VL. KREŠIMIR CVETKOVIĆ,"," CVETKOVIĆEV PUT 13,"," 10000 ZAGREB,"," OIB: 47166610982")</f>
        <v xml:space="preserve"> METALNO PLASTIČNA GALANTERIJA, VL. KREŠIMIR CVETKOVIĆ, CVETKOVIĆEV PUT 13, 10000 ZAGREB, OIB: 47166610982</v>
      </c>
      <c r="H3287" s="7"/>
      <c r="I3287" s="8" t="s">
        <v>1044</v>
      </c>
      <c r="J3287" s="8" t="s">
        <v>931</v>
      </c>
      <c r="K3287" s="6" t="str">
        <f>"42.730,00"</f>
        <v>42.730,00</v>
      </c>
      <c r="L3287" s="6" t="str">
        <f>"10.682,50"</f>
        <v>10.682,50</v>
      </c>
      <c r="M3287" s="6" t="str">
        <f>"53.412,50"</f>
        <v>53.412,50</v>
      </c>
      <c r="N3287" s="8" t="s">
        <v>2906</v>
      </c>
      <c r="O3287" s="7"/>
      <c r="P3287" s="2" t="s">
        <v>7511</v>
      </c>
      <c r="Q3287" s="7"/>
      <c r="R3287" s="1"/>
      <c r="S3287" s="1" t="str">
        <f>"J-UN-2021-1174"</f>
        <v>J-UN-2021-1174</v>
      </c>
      <c r="T3287" s="1" t="s">
        <v>32</v>
      </c>
    </row>
    <row r="3288" spans="1:20" ht="76.5" x14ac:dyDescent="0.25">
      <c r="A3288" s="6">
        <v>3282</v>
      </c>
      <c r="B3288" s="1" t="str">
        <f>"2021-1205"</f>
        <v>2021-1205</v>
      </c>
      <c r="C3288" s="1" t="s">
        <v>2892</v>
      </c>
      <c r="D3288" s="1" t="s">
        <v>1627</v>
      </c>
      <c r="E3288" s="1" t="str">
        <f>""</f>
        <v/>
      </c>
      <c r="F3288" s="1" t="s">
        <v>1860</v>
      </c>
      <c r="G3288" s="1" t="str">
        <f>CONCATENATE(" ELICOM D.O.O.,"," ŠTEFANOVEC 138,"," 10000 ZAGREB,"," OIB: 76370234816")</f>
        <v xml:space="preserve"> ELICOM D.O.O., ŠTEFANOVEC 138, 10000 ZAGREB, OIB: 76370234816</v>
      </c>
      <c r="H3288" s="7"/>
      <c r="I3288" s="8" t="s">
        <v>2134</v>
      </c>
      <c r="J3288" s="8" t="s">
        <v>520</v>
      </c>
      <c r="K3288" s="6" t="str">
        <f>"441,66"</f>
        <v>441,66</v>
      </c>
      <c r="L3288" s="6" t="str">
        <f>"110,42"</f>
        <v>110,42</v>
      </c>
      <c r="M3288" s="6" t="str">
        <f>"552,08"</f>
        <v>552,08</v>
      </c>
      <c r="N3288" s="8" t="s">
        <v>1988</v>
      </c>
      <c r="O3288" s="7"/>
      <c r="P3288" s="2" t="s">
        <v>7512</v>
      </c>
      <c r="Q3288" s="7"/>
      <c r="R3288" s="1"/>
      <c r="S3288" s="1" t="str">
        <f>"J-UN-2021-1175"</f>
        <v>J-UN-2021-1175</v>
      </c>
      <c r="T3288" s="1" t="s">
        <v>32</v>
      </c>
    </row>
    <row r="3289" spans="1:20" ht="63.75" x14ac:dyDescent="0.25">
      <c r="A3289" s="6">
        <v>3283</v>
      </c>
      <c r="B3289" s="1" t="str">
        <f>"2021-169"</f>
        <v>2021-169</v>
      </c>
      <c r="C3289" s="1" t="s">
        <v>2620</v>
      </c>
      <c r="D3289" s="1" t="s">
        <v>665</v>
      </c>
      <c r="E3289" s="1" t="str">
        <f>""</f>
        <v/>
      </c>
      <c r="F3289" s="1" t="s">
        <v>1860</v>
      </c>
      <c r="G3289" s="1" t="str">
        <f>CONCATENATE(" GUMIIMPEX - GRP D.O.O.,"," PAVLEKA MIŠKINE 64C,"," 42000 VARAŽDIN,"," OIB: 8229856262")</f>
        <v xml:space="preserve"> GUMIIMPEX - GRP D.O.O., PAVLEKA MIŠKINE 64C, 42000 VARAŽDIN, OIB: 8229856262</v>
      </c>
      <c r="H3289" s="7"/>
      <c r="I3289" s="8" t="s">
        <v>2134</v>
      </c>
      <c r="J3289" s="8" t="s">
        <v>520</v>
      </c>
      <c r="K3289" s="6" t="str">
        <f>"5.907,00"</f>
        <v>5.907,00</v>
      </c>
      <c r="L3289" s="6" t="str">
        <f>"1.476,75"</f>
        <v>1.476,75</v>
      </c>
      <c r="M3289" s="6" t="str">
        <f>"7.383,75"</f>
        <v>7.383,75</v>
      </c>
      <c r="N3289" s="8" t="s">
        <v>1036</v>
      </c>
      <c r="O3289" s="7"/>
      <c r="P3289" s="2" t="s">
        <v>7513</v>
      </c>
      <c r="Q3289" s="7"/>
      <c r="R3289" s="1"/>
      <c r="S3289" s="1" t="str">
        <f>"J-UN-2021-1176"</f>
        <v>J-UN-2021-1176</v>
      </c>
      <c r="T3289" s="1" t="s">
        <v>32</v>
      </c>
    </row>
    <row r="3290" spans="1:20" ht="51" x14ac:dyDescent="0.25">
      <c r="A3290" s="6">
        <v>3284</v>
      </c>
      <c r="B3290" s="1" t="str">
        <f>"2021-2174"</f>
        <v>2021-2174</v>
      </c>
      <c r="C3290" s="1" t="s">
        <v>2773</v>
      </c>
      <c r="D3290" s="1" t="s">
        <v>2774</v>
      </c>
      <c r="E3290" s="1" t="str">
        <f>""</f>
        <v/>
      </c>
      <c r="F3290" s="1" t="s">
        <v>1860</v>
      </c>
      <c r="G3290" s="1" t="str">
        <f>CONCATENATE(" VODOSKOK D.D.,"," ČULINEČKA CESTA 221/C,"," 10040 ZAGREB,"," OIB: 34134218058")</f>
        <v xml:space="preserve"> VODOSKOK D.D., ČULINEČKA CESTA 221/C, 10040 ZAGREB, OIB: 34134218058</v>
      </c>
      <c r="H3290" s="7"/>
      <c r="I3290" s="8" t="s">
        <v>1044</v>
      </c>
      <c r="J3290" s="8" t="s">
        <v>931</v>
      </c>
      <c r="K3290" s="6" t="str">
        <f>"1.630,00"</f>
        <v>1.630,00</v>
      </c>
      <c r="L3290" s="6" t="str">
        <f>"407,50"</f>
        <v>407,50</v>
      </c>
      <c r="M3290" s="6" t="str">
        <f>"2.037,50"</f>
        <v>2.037,50</v>
      </c>
      <c r="N3290" s="8" t="s">
        <v>943</v>
      </c>
      <c r="O3290" s="7"/>
      <c r="P3290" s="2" t="s">
        <v>7123</v>
      </c>
      <c r="Q3290" s="7"/>
      <c r="R3290" s="1"/>
      <c r="S3290" s="1" t="str">
        <f>"J-UN-2021-1177"</f>
        <v>J-UN-2021-1177</v>
      </c>
      <c r="T3290" s="1" t="s">
        <v>32</v>
      </c>
    </row>
    <row r="3291" spans="1:20" ht="51" x14ac:dyDescent="0.25">
      <c r="A3291" s="6">
        <v>3285</v>
      </c>
      <c r="B3291" s="1" t="str">
        <f>"2021-79"</f>
        <v>2021-79</v>
      </c>
      <c r="C3291" s="1" t="s">
        <v>2790</v>
      </c>
      <c r="D3291" s="1" t="s">
        <v>2791</v>
      </c>
      <c r="E3291" s="1" t="str">
        <f>""</f>
        <v/>
      </c>
      <c r="F3291" s="1" t="s">
        <v>1860</v>
      </c>
      <c r="G3291" s="1" t="str">
        <f>CONCATENATE(" BASIC D.O.O.,"," BJELOVARSKA ULICA 1,"," 21000 SPLIT,"," OIB: 5207275329")</f>
        <v xml:space="preserve"> BASIC D.O.O., BJELOVARSKA ULICA 1, 21000 SPLIT, OIB: 5207275329</v>
      </c>
      <c r="H3291" s="7"/>
      <c r="I3291" s="8" t="s">
        <v>179</v>
      </c>
      <c r="J3291" s="8" t="s">
        <v>1157</v>
      </c>
      <c r="K3291" s="6" t="str">
        <f>"1.200,00"</f>
        <v>1.200,00</v>
      </c>
      <c r="L3291" s="6" t="str">
        <f>"300,00"</f>
        <v>300,00</v>
      </c>
      <c r="M3291" s="6" t="str">
        <f>"1.500,00"</f>
        <v>1.500,00</v>
      </c>
      <c r="N3291" s="8" t="s">
        <v>656</v>
      </c>
      <c r="O3291" s="7"/>
      <c r="P3291" s="2" t="s">
        <v>6384</v>
      </c>
      <c r="Q3291" s="7"/>
      <c r="R3291" s="1"/>
      <c r="S3291" s="1" t="str">
        <f>"J-UN-2021-1178"</f>
        <v>J-UN-2021-1178</v>
      </c>
      <c r="T3291" s="1" t="s">
        <v>32</v>
      </c>
    </row>
    <row r="3292" spans="1:20" ht="63.75" x14ac:dyDescent="0.25">
      <c r="A3292" s="6">
        <v>3286</v>
      </c>
      <c r="B3292" s="1" t="str">
        <f>"2021-1533"</f>
        <v>2021-1533</v>
      </c>
      <c r="C3292" s="1" t="s">
        <v>2697</v>
      </c>
      <c r="D3292" s="1" t="s">
        <v>2698</v>
      </c>
      <c r="E3292" s="1" t="str">
        <f>""</f>
        <v/>
      </c>
      <c r="F3292" s="1" t="s">
        <v>1860</v>
      </c>
      <c r="G3292" s="1" t="str">
        <f>CONCATENATE(" OPREMA POD TLAKOM D.O.O.,"," ULICA KNEZA BRANIMIRA 22,"," 10040 ZAGREB,"," OIB: 07435417708")</f>
        <v xml:space="preserve"> OPREMA POD TLAKOM D.O.O., ULICA KNEZA BRANIMIRA 22, 10040 ZAGREB, OIB: 07435417708</v>
      </c>
      <c r="H3292" s="7"/>
      <c r="I3292" s="8" t="s">
        <v>179</v>
      </c>
      <c r="J3292" s="8" t="s">
        <v>1157</v>
      </c>
      <c r="K3292" s="6" t="str">
        <f>"4.730,00"</f>
        <v>4.730,00</v>
      </c>
      <c r="L3292" s="6" t="str">
        <f>"1.182,50"</f>
        <v>1.182,50</v>
      </c>
      <c r="M3292" s="6" t="str">
        <f>"5.912,50"</f>
        <v>5.912,50</v>
      </c>
      <c r="N3292" s="8" t="s">
        <v>188</v>
      </c>
      <c r="O3292" s="7"/>
      <c r="P3292" s="2" t="s">
        <v>7514</v>
      </c>
      <c r="Q3292" s="7"/>
      <c r="R3292" s="1"/>
      <c r="S3292" s="1" t="str">
        <f>"J-UN-2021-1179"</f>
        <v>J-UN-2021-1179</v>
      </c>
      <c r="T3292" s="1" t="s">
        <v>32</v>
      </c>
    </row>
    <row r="3293" spans="1:20" ht="51" x14ac:dyDescent="0.25">
      <c r="A3293" s="6">
        <v>3287</v>
      </c>
      <c r="B3293" s="1" t="str">
        <f>"2021-547"</f>
        <v>2021-547</v>
      </c>
      <c r="C3293" s="1" t="s">
        <v>2909</v>
      </c>
      <c r="D3293" s="1" t="s">
        <v>1007</v>
      </c>
      <c r="E3293" s="1" t="str">
        <f>""</f>
        <v/>
      </c>
      <c r="F3293" s="1" t="s">
        <v>1860</v>
      </c>
      <c r="G3293" s="1" t="str">
        <f>CONCATENATE(" MATREL D.O.O.,"," BAŠTIJANOVA 9/A,"," 10000 ZAGREB,"," OIB: 36539612336")</f>
        <v xml:space="preserve"> MATREL D.O.O., BAŠTIJANOVA 9/A, 10000 ZAGREB, OIB: 36539612336</v>
      </c>
      <c r="H3293" s="7"/>
      <c r="I3293" s="8" t="s">
        <v>2134</v>
      </c>
      <c r="J3293" s="8" t="s">
        <v>520</v>
      </c>
      <c r="K3293" s="6" t="str">
        <f>"56.871,00"</f>
        <v>56.871,00</v>
      </c>
      <c r="L3293" s="6" t="str">
        <f>"14.217,75"</f>
        <v>14.217,75</v>
      </c>
      <c r="M3293" s="6" t="str">
        <f>"71.088,75"</f>
        <v>71.088,75</v>
      </c>
      <c r="N3293" s="8" t="s">
        <v>585</v>
      </c>
      <c r="O3293" s="7"/>
      <c r="P3293" s="2" t="s">
        <v>7515</v>
      </c>
      <c r="Q3293" s="7"/>
      <c r="R3293" s="1"/>
      <c r="S3293" s="1" t="str">
        <f>"J-UN-2021-1182"</f>
        <v>J-UN-2021-1182</v>
      </c>
      <c r="T3293" s="1" t="s">
        <v>32</v>
      </c>
    </row>
    <row r="3294" spans="1:20" ht="51" x14ac:dyDescent="0.25">
      <c r="A3294" s="6">
        <v>3288</v>
      </c>
      <c r="B3294" s="1" t="str">
        <f>"2021-1126"</f>
        <v>2021-1126</v>
      </c>
      <c r="C3294" s="1" t="s">
        <v>2856</v>
      </c>
      <c r="D3294" s="1" t="s">
        <v>1007</v>
      </c>
      <c r="E3294" s="1" t="str">
        <f>""</f>
        <v/>
      </c>
      <c r="F3294" s="1" t="s">
        <v>1860</v>
      </c>
      <c r="G3294" s="1" t="str">
        <f>CONCATENATE(" BLUEMONT D.O.O.,"," VINCEKOV BREG 20,"," 10000 ZAGREB,"," OIB: 54895392358")</f>
        <v xml:space="preserve"> BLUEMONT D.O.O., VINCEKOV BREG 20, 10000 ZAGREB, OIB: 54895392358</v>
      </c>
      <c r="H3294" s="7"/>
      <c r="I3294" s="8" t="s">
        <v>1445</v>
      </c>
      <c r="J3294" s="8" t="s">
        <v>215</v>
      </c>
      <c r="K3294" s="6" t="str">
        <f>"28.246,95"</f>
        <v>28.246,95</v>
      </c>
      <c r="L3294" s="6" t="str">
        <f>"7.061,74"</f>
        <v>7.061,74</v>
      </c>
      <c r="M3294" s="6" t="str">
        <f>"35.308,69"</f>
        <v>35.308,69</v>
      </c>
      <c r="N3294" s="8" t="s">
        <v>2895</v>
      </c>
      <c r="O3294" s="7"/>
      <c r="P3294" s="2" t="s">
        <v>7516</v>
      </c>
      <c r="Q3294" s="7"/>
      <c r="R3294" s="1"/>
      <c r="S3294" s="1" t="str">
        <f>"J-UN-2021-1191"</f>
        <v>J-UN-2021-1191</v>
      </c>
      <c r="T3294" s="1" t="s">
        <v>32</v>
      </c>
    </row>
    <row r="3295" spans="1:20" ht="51" x14ac:dyDescent="0.25">
      <c r="A3295" s="6">
        <v>3289</v>
      </c>
      <c r="B3295" s="1" t="str">
        <f>"2021-1412"</f>
        <v>2021-1412</v>
      </c>
      <c r="C3295" s="1" t="s">
        <v>2779</v>
      </c>
      <c r="D3295" s="1" t="s">
        <v>2780</v>
      </c>
      <c r="E3295" s="1" t="str">
        <f>""</f>
        <v/>
      </c>
      <c r="F3295" s="1" t="s">
        <v>1860</v>
      </c>
      <c r="G3295" s="1" t="str">
        <f>CONCATENATE(" LEXPERA D.O.O.,"," TUŠKANOVA 37,"," 10000 ZAGREB,"," OIB: 79506290597")</f>
        <v xml:space="preserve"> LEXPERA D.O.O., TUŠKANOVA 37, 10000 ZAGREB, OIB: 79506290597</v>
      </c>
      <c r="H3295" s="7"/>
      <c r="I3295" s="8" t="s">
        <v>1445</v>
      </c>
      <c r="J3295" s="8" t="s">
        <v>215</v>
      </c>
      <c r="K3295" s="6" t="str">
        <f>"4.950,00"</f>
        <v>4.950,00</v>
      </c>
      <c r="L3295" s="6" t="str">
        <f>"1.237,50"</f>
        <v>1.237,50</v>
      </c>
      <c r="M3295" s="6" t="str">
        <f>"6.187,50"</f>
        <v>6.187,50</v>
      </c>
      <c r="N3295" s="8" t="s">
        <v>2884</v>
      </c>
      <c r="O3295" s="7"/>
      <c r="P3295" s="2" t="s">
        <v>7300</v>
      </c>
      <c r="Q3295" s="7"/>
      <c r="R3295" s="1"/>
      <c r="S3295" s="1" t="str">
        <f>"J-UN-2021-1192"</f>
        <v>J-UN-2021-1192</v>
      </c>
      <c r="T3295" s="1" t="s">
        <v>32</v>
      </c>
    </row>
    <row r="3296" spans="1:20" ht="63.75" x14ac:dyDescent="0.25">
      <c r="A3296" s="6">
        <v>3290</v>
      </c>
      <c r="B3296" s="1" t="str">
        <f>"2021-2282"</f>
        <v>2021-2282</v>
      </c>
      <c r="C3296" s="1" t="s">
        <v>2910</v>
      </c>
      <c r="D3296" s="1" t="s">
        <v>1373</v>
      </c>
      <c r="E3296" s="1" t="str">
        <f>""</f>
        <v/>
      </c>
      <c r="F3296" s="1" t="s">
        <v>1860</v>
      </c>
      <c r="G3296" s="1" t="str">
        <f>CONCATENATE(" AQUA INŽINJERING D.O.O,"," ZAGREBAČKA ULICA 15,"," 10360 SESVETE,"," OIB: 73980898845")</f>
        <v xml:space="preserve"> AQUA INŽINJERING D.O.O, ZAGREBAČKA ULICA 15, 10360 SESVETE, OIB: 73980898845</v>
      </c>
      <c r="H3296" s="7"/>
      <c r="I3296" s="8" t="s">
        <v>2291</v>
      </c>
      <c r="J3296" s="8" t="s">
        <v>408</v>
      </c>
      <c r="K3296" s="6" t="str">
        <f>"49.500,00"</f>
        <v>49.500,00</v>
      </c>
      <c r="L3296" s="6" t="str">
        <f>"12.375,00"</f>
        <v>12.375,00</v>
      </c>
      <c r="M3296" s="6" t="str">
        <f>"61.875,00"</f>
        <v>61.875,00</v>
      </c>
      <c r="N3296" s="8" t="s">
        <v>124</v>
      </c>
      <c r="O3296" s="7"/>
      <c r="P3296" s="2" t="s">
        <v>5614</v>
      </c>
      <c r="Q3296" s="7"/>
      <c r="R3296" s="1"/>
      <c r="S3296" s="1" t="str">
        <f>"J-UN-2021-1194"</f>
        <v>J-UN-2021-1194</v>
      </c>
      <c r="T3296" s="1" t="s">
        <v>32</v>
      </c>
    </row>
    <row r="3297" spans="1:20" ht="51" x14ac:dyDescent="0.25">
      <c r="A3297" s="6">
        <v>3291</v>
      </c>
      <c r="B3297" s="1" t="str">
        <f>"2021-437"</f>
        <v>2021-437</v>
      </c>
      <c r="C3297" s="1" t="s">
        <v>2795</v>
      </c>
      <c r="D3297" s="1" t="s">
        <v>1619</v>
      </c>
      <c r="E3297" s="1" t="str">
        <f>""</f>
        <v/>
      </c>
      <c r="F3297" s="1" t="s">
        <v>1860</v>
      </c>
      <c r="G3297" s="1" t="str">
        <f>CONCATENATE(" HITTNER D.O.O.,"," PAKRAČKA ULICA 10,"," 43000 BJELOVAR,"," OIB: 59308102082")</f>
        <v xml:space="preserve"> HITTNER D.O.O., PAKRAČKA ULICA 10, 43000 BJELOVAR, OIB: 59308102082</v>
      </c>
      <c r="H3297" s="7"/>
      <c r="I3297" s="8" t="s">
        <v>1445</v>
      </c>
      <c r="J3297" s="8" t="s">
        <v>215</v>
      </c>
      <c r="K3297" s="6" t="str">
        <f>"5.540,04"</f>
        <v>5.540,04</v>
      </c>
      <c r="L3297" s="6" t="str">
        <f>"1.385,01"</f>
        <v>1.385,01</v>
      </c>
      <c r="M3297" s="6" t="str">
        <f>"6.925,05"</f>
        <v>6.925,05</v>
      </c>
      <c r="N3297" s="8" t="s">
        <v>223</v>
      </c>
      <c r="O3297" s="7"/>
      <c r="P3297" s="2" t="s">
        <v>7517</v>
      </c>
      <c r="Q3297" s="7"/>
      <c r="R3297" s="1"/>
      <c r="S3297" s="1" t="str">
        <f>"J-UN-2021-1195"</f>
        <v>J-UN-2021-1195</v>
      </c>
      <c r="T3297" s="1" t="s">
        <v>32</v>
      </c>
    </row>
    <row r="3298" spans="1:20" ht="63.75" x14ac:dyDescent="0.25">
      <c r="A3298" s="6">
        <v>3292</v>
      </c>
      <c r="B3298" s="1" t="str">
        <f>"2021-915"</f>
        <v>2021-915</v>
      </c>
      <c r="C3298" s="1" t="s">
        <v>2563</v>
      </c>
      <c r="D3298" s="1" t="s">
        <v>914</v>
      </c>
      <c r="E3298" s="1" t="str">
        <f>""</f>
        <v/>
      </c>
      <c r="F3298" s="1" t="s">
        <v>1860</v>
      </c>
      <c r="G3298" s="1" t="str">
        <f>CONCATENATE(" TOKIĆ D.O.O.,"," ULICA 144. BRIGADE HRVATSKE VOJSKE 1A,"," 10360 SESVETE,"," OIB: 7486748762")</f>
        <v xml:space="preserve"> TOKIĆ D.O.O., ULICA 144. BRIGADE HRVATSKE VOJSKE 1A, 10360 SESVETE, OIB: 7486748762</v>
      </c>
      <c r="H3298" s="7"/>
      <c r="I3298" s="8" t="s">
        <v>2291</v>
      </c>
      <c r="J3298" s="8" t="s">
        <v>408</v>
      </c>
      <c r="K3298" s="6" t="str">
        <f>"671,00"</f>
        <v>671,00</v>
      </c>
      <c r="L3298" s="6" t="str">
        <f>"167,75"</f>
        <v>167,75</v>
      </c>
      <c r="M3298" s="6" t="str">
        <f>"838,75"</f>
        <v>838,75</v>
      </c>
      <c r="N3298" s="8" t="s">
        <v>578</v>
      </c>
      <c r="O3298" s="7"/>
      <c r="P3298" s="2" t="s">
        <v>7518</v>
      </c>
      <c r="Q3298" s="7"/>
      <c r="R3298" s="1"/>
      <c r="S3298" s="1" t="str">
        <f>"J-UN-2021-1198"</f>
        <v>J-UN-2021-1198</v>
      </c>
      <c r="T3298" s="1" t="s">
        <v>32</v>
      </c>
    </row>
    <row r="3299" spans="1:20" ht="51" x14ac:dyDescent="0.25">
      <c r="A3299" s="6">
        <v>3293</v>
      </c>
      <c r="B3299" s="1" t="str">
        <f>"2021-998"</f>
        <v>2021-998</v>
      </c>
      <c r="C3299" s="1" t="s">
        <v>2844</v>
      </c>
      <c r="D3299" s="1" t="s">
        <v>2716</v>
      </c>
      <c r="E3299" s="1" t="str">
        <f>""</f>
        <v/>
      </c>
      <c r="F3299" s="1" t="s">
        <v>1860</v>
      </c>
      <c r="G3299" s="1" t="str">
        <f>CONCATENATE(" GRADATIN D.O.O.,"," LIVADARSKI PUT 19,"," 10360 SESVETE,"," OIB: 79147056526")</f>
        <v xml:space="preserve"> GRADATIN D.O.O., LIVADARSKI PUT 19, 10360 SESVETE, OIB: 79147056526</v>
      </c>
      <c r="H3299" s="7"/>
      <c r="I3299" s="8" t="s">
        <v>1044</v>
      </c>
      <c r="J3299" s="8" t="s">
        <v>931</v>
      </c>
      <c r="K3299" s="6" t="str">
        <f>"1.122,00"</f>
        <v>1.122,00</v>
      </c>
      <c r="L3299" s="6" t="str">
        <f>"280,50"</f>
        <v>280,50</v>
      </c>
      <c r="M3299" s="6" t="str">
        <f>"1.402,50"</f>
        <v>1.402,50</v>
      </c>
      <c r="N3299" s="8" t="s">
        <v>1044</v>
      </c>
      <c r="O3299" s="7"/>
      <c r="P3299" s="2" t="s">
        <v>7519</v>
      </c>
      <c r="Q3299" s="7"/>
      <c r="R3299" s="1"/>
      <c r="S3299" s="1" t="str">
        <f>"J-UN-2021-1199"</f>
        <v>J-UN-2021-1199</v>
      </c>
      <c r="T3299" s="1" t="s">
        <v>32</v>
      </c>
    </row>
    <row r="3300" spans="1:20" ht="63.75" x14ac:dyDescent="0.25">
      <c r="A3300" s="6">
        <v>3294</v>
      </c>
      <c r="B3300" s="1" t="str">
        <f>"2021-437"</f>
        <v>2021-437</v>
      </c>
      <c r="C3300" s="1" t="s">
        <v>2795</v>
      </c>
      <c r="D3300" s="1" t="s">
        <v>1619</v>
      </c>
      <c r="E3300" s="1" t="str">
        <f>""</f>
        <v/>
      </c>
      <c r="F3300" s="1" t="s">
        <v>1860</v>
      </c>
      <c r="G3300" s="1" t="str">
        <f>CONCATENATE(" HIDROMEHANIKA D.O.O.,"," SLAVONSKA AVENIJA 26/10,"," 10000 ZAGREB,"," OIB: 9178029895")</f>
        <v xml:space="preserve"> HIDROMEHANIKA D.O.O., SLAVONSKA AVENIJA 26/10, 10000 ZAGREB, OIB: 9178029895</v>
      </c>
      <c r="H3300" s="7"/>
      <c r="I3300" s="8" t="s">
        <v>1044</v>
      </c>
      <c r="J3300" s="8" t="s">
        <v>931</v>
      </c>
      <c r="K3300" s="6" t="str">
        <f>"1.512,60"</f>
        <v>1.512,60</v>
      </c>
      <c r="L3300" s="6" t="str">
        <f>"378,15"</f>
        <v>378,15</v>
      </c>
      <c r="M3300" s="6" t="str">
        <f>"1.890,75"</f>
        <v>1.890,75</v>
      </c>
      <c r="N3300" s="8" t="s">
        <v>124</v>
      </c>
      <c r="O3300" s="7"/>
      <c r="P3300" s="2" t="s">
        <v>5614</v>
      </c>
      <c r="Q3300" s="7"/>
      <c r="R3300" s="1"/>
      <c r="S3300" s="1" t="str">
        <f>"J-UN-2021-1200"</f>
        <v>J-UN-2021-1200</v>
      </c>
      <c r="T3300" s="1" t="s">
        <v>32</v>
      </c>
    </row>
    <row r="3301" spans="1:20" ht="51" x14ac:dyDescent="0.25">
      <c r="A3301" s="6">
        <v>3295</v>
      </c>
      <c r="B3301" s="1" t="str">
        <f>"2021-1231"</f>
        <v>2021-1231</v>
      </c>
      <c r="C3301" s="1" t="s">
        <v>2618</v>
      </c>
      <c r="D3301" s="1" t="s">
        <v>2619</v>
      </c>
      <c r="E3301" s="1" t="str">
        <f>""</f>
        <v/>
      </c>
      <c r="F3301" s="1" t="s">
        <v>1860</v>
      </c>
      <c r="G3301" s="1" t="str">
        <f>CONCATENATE(" TRA-MONT D.O.O.,"," MILIVOJA MATOŠECA 5,"," 10000 ZAGREB,"," OIB: 05336208843")</f>
        <v xml:space="preserve"> TRA-MONT D.O.O., MILIVOJA MATOŠECA 5, 10000 ZAGREB, OIB: 05336208843</v>
      </c>
      <c r="H3301" s="7"/>
      <c r="I3301" s="8" t="s">
        <v>1044</v>
      </c>
      <c r="J3301" s="8" t="s">
        <v>931</v>
      </c>
      <c r="K3301" s="6" t="str">
        <f>"1.180,00"</f>
        <v>1.180,00</v>
      </c>
      <c r="L3301" s="6" t="str">
        <f>"295,00"</f>
        <v>295,00</v>
      </c>
      <c r="M3301" s="6" t="str">
        <f>"1.475,00"</f>
        <v>1.475,00</v>
      </c>
      <c r="N3301" s="8" t="s">
        <v>935</v>
      </c>
      <c r="O3301" s="7"/>
      <c r="P3301" s="2" t="s">
        <v>5794</v>
      </c>
      <c r="Q3301" s="7"/>
      <c r="R3301" s="1"/>
      <c r="S3301" s="1" t="str">
        <f>"J-UN-2021-1201"</f>
        <v>J-UN-2021-1201</v>
      </c>
      <c r="T3301" s="1" t="s">
        <v>32</v>
      </c>
    </row>
    <row r="3302" spans="1:20" ht="51" x14ac:dyDescent="0.25">
      <c r="A3302" s="6">
        <v>3296</v>
      </c>
      <c r="B3302" s="1" t="str">
        <f>"2021-1115"</f>
        <v>2021-1115</v>
      </c>
      <c r="C3302" s="1" t="s">
        <v>2879</v>
      </c>
      <c r="D3302" s="1" t="s">
        <v>1007</v>
      </c>
      <c r="E3302" s="1" t="str">
        <f>""</f>
        <v/>
      </c>
      <c r="F3302" s="1" t="s">
        <v>1860</v>
      </c>
      <c r="G3302" s="1" t="str">
        <f>CONCATENATE(" EUROPLAMEN D.O.O.,"," RUDOLFOV BREG 6,"," 10430 SAMOBOR,"," OIB: 69942917335")</f>
        <v xml:space="preserve"> EUROPLAMEN D.O.O., RUDOLFOV BREG 6, 10430 SAMOBOR, OIB: 69942917335</v>
      </c>
      <c r="H3302" s="7"/>
      <c r="I3302" s="8" t="s">
        <v>441</v>
      </c>
      <c r="J3302" s="8" t="s">
        <v>567</v>
      </c>
      <c r="K3302" s="6" t="str">
        <f>"14.500,00"</f>
        <v>14.500,00</v>
      </c>
      <c r="L3302" s="6" t="str">
        <f>"3.625,00"</f>
        <v>3.625,00</v>
      </c>
      <c r="M3302" s="6" t="str">
        <f>"18.125,00"</f>
        <v>18.125,00</v>
      </c>
      <c r="N3302" s="8" t="s">
        <v>190</v>
      </c>
      <c r="O3302" s="7"/>
      <c r="P3302" s="2" t="s">
        <v>7520</v>
      </c>
      <c r="Q3302" s="7"/>
      <c r="R3302" s="1"/>
      <c r="S3302" s="1" t="str">
        <f>"J-UN-2021-1204"</f>
        <v>J-UN-2021-1204</v>
      </c>
      <c r="T3302" s="1" t="s">
        <v>32</v>
      </c>
    </row>
    <row r="3303" spans="1:20" ht="51" x14ac:dyDescent="0.25">
      <c r="A3303" s="6">
        <v>3297</v>
      </c>
      <c r="B3303" s="1" t="str">
        <f>"2021-1180"</f>
        <v>2021-1180</v>
      </c>
      <c r="C3303" s="1" t="s">
        <v>2857</v>
      </c>
      <c r="D3303" s="1" t="s">
        <v>1373</v>
      </c>
      <c r="E3303" s="1" t="str">
        <f>""</f>
        <v/>
      </c>
      <c r="F3303" s="1" t="s">
        <v>1860</v>
      </c>
      <c r="G3303" s="1" t="str">
        <f>CONCATENATE(" BAZENI.HR D.O.O.,"," PETRA PRERADOVIĆA 3,"," 10410 VELIKA GORICA,"," OIB: 72767284497")</f>
        <v xml:space="preserve"> BAZENI.HR D.O.O., PETRA PRERADOVIĆA 3, 10410 VELIKA GORICA, OIB: 72767284497</v>
      </c>
      <c r="H3303" s="7"/>
      <c r="I3303" s="8" t="s">
        <v>1044</v>
      </c>
      <c r="J3303" s="8" t="s">
        <v>931</v>
      </c>
      <c r="K3303" s="6" t="str">
        <f>"7.126,06"</f>
        <v>7.126,06</v>
      </c>
      <c r="L3303" s="6" t="str">
        <f>"1.781,52"</f>
        <v>1.781,52</v>
      </c>
      <c r="M3303" s="6" t="str">
        <f>"8.907,58"</f>
        <v>8.907,58</v>
      </c>
      <c r="N3303" s="8" t="s">
        <v>2861</v>
      </c>
      <c r="O3303" s="7"/>
      <c r="P3303" s="2" t="s">
        <v>7521</v>
      </c>
      <c r="Q3303" s="7"/>
      <c r="R3303" s="1"/>
      <c r="S3303" s="1" t="str">
        <f>"J-UN-2021-1205"</f>
        <v>J-UN-2021-1205</v>
      </c>
      <c r="T3303" s="1" t="s">
        <v>32</v>
      </c>
    </row>
    <row r="3304" spans="1:20" ht="51" x14ac:dyDescent="0.25">
      <c r="A3304" s="6">
        <v>3298</v>
      </c>
      <c r="B3304" s="1" t="str">
        <f>"2021-1114"</f>
        <v>2021-1114</v>
      </c>
      <c r="C3304" s="1" t="s">
        <v>2485</v>
      </c>
      <c r="D3304" s="1" t="s">
        <v>1007</v>
      </c>
      <c r="E3304" s="1" t="str">
        <f>""</f>
        <v/>
      </c>
      <c r="F3304" s="1" t="s">
        <v>1860</v>
      </c>
      <c r="G3304" s="1" t="str">
        <f>CONCATENATE(" AUREL D.O.O.,"," BORONGAJSKA CESTA bb,"," 10000 ZAGREB,"," OIB: 62871653225")</f>
        <v xml:space="preserve"> AUREL D.O.O., BORONGAJSKA CESTA bb, 10000 ZAGREB, OIB: 62871653225</v>
      </c>
      <c r="H3304" s="7"/>
      <c r="I3304" s="8" t="s">
        <v>441</v>
      </c>
      <c r="J3304" s="8" t="s">
        <v>567</v>
      </c>
      <c r="K3304" s="6" t="str">
        <f>"23.587,50"</f>
        <v>23.587,50</v>
      </c>
      <c r="L3304" s="6" t="str">
        <f>"5.896,88"</f>
        <v>5.896,88</v>
      </c>
      <c r="M3304" s="6" t="str">
        <f>"29.484,38"</f>
        <v>29.484,38</v>
      </c>
      <c r="N3304" s="8" t="s">
        <v>1350</v>
      </c>
      <c r="O3304" s="7"/>
      <c r="P3304" s="2" t="s">
        <v>7522</v>
      </c>
      <c r="Q3304" s="7"/>
      <c r="R3304" s="1"/>
      <c r="S3304" s="1" t="str">
        <f>"J-UN-2021-1206"</f>
        <v>J-UN-2021-1206</v>
      </c>
      <c r="T3304" s="1" t="s">
        <v>32</v>
      </c>
    </row>
    <row r="3305" spans="1:20" ht="63.75" x14ac:dyDescent="0.25">
      <c r="A3305" s="6">
        <v>3299</v>
      </c>
      <c r="B3305" s="1" t="str">
        <f>"2021-1791"</f>
        <v>2021-1791</v>
      </c>
      <c r="C3305" s="1" t="s">
        <v>2558</v>
      </c>
      <c r="D3305" s="1" t="s">
        <v>860</v>
      </c>
      <c r="E3305" s="1" t="str">
        <f>""</f>
        <v/>
      </c>
      <c r="F3305" s="1" t="s">
        <v>1860</v>
      </c>
      <c r="G3305" s="1" t="str">
        <f>CONCATENATE(" STROJOGRADNJA,"," VL. DORA PERŠI,"," RAKITJE,"," RADNIČKA 9,"," 10431 SVETA NEDJELJA,"," OIB: 72791562742")</f>
        <v xml:space="preserve"> STROJOGRADNJA, VL. DORA PERŠI, RAKITJE, RADNIČKA 9, 10431 SVETA NEDJELJA, OIB: 72791562742</v>
      </c>
      <c r="H3305" s="7"/>
      <c r="I3305" s="8" t="s">
        <v>1044</v>
      </c>
      <c r="J3305" s="8" t="s">
        <v>931</v>
      </c>
      <c r="K3305" s="6" t="str">
        <f>"2.300,00"</f>
        <v>2.300,00</v>
      </c>
      <c r="L3305" s="6" t="str">
        <f>"575,00"</f>
        <v>575,00</v>
      </c>
      <c r="M3305" s="6" t="str">
        <f>"2.875,00"</f>
        <v>2.875,00</v>
      </c>
      <c r="N3305" s="8" t="s">
        <v>2843</v>
      </c>
      <c r="O3305" s="7"/>
      <c r="P3305" s="2" t="s">
        <v>7523</v>
      </c>
      <c r="Q3305" s="7"/>
      <c r="R3305" s="1"/>
      <c r="S3305" s="1" t="str">
        <f>"J-UN-2021-1207"</f>
        <v>J-UN-2021-1207</v>
      </c>
      <c r="T3305" s="1" t="s">
        <v>32</v>
      </c>
    </row>
    <row r="3306" spans="1:20" ht="51" x14ac:dyDescent="0.25">
      <c r="A3306" s="6">
        <v>3300</v>
      </c>
      <c r="B3306" s="1" t="str">
        <f>"2021-117"</f>
        <v>2021-117</v>
      </c>
      <c r="C3306" s="1" t="s">
        <v>2841</v>
      </c>
      <c r="D3306" s="1" t="s">
        <v>2842</v>
      </c>
      <c r="E3306" s="1" t="str">
        <f>""</f>
        <v/>
      </c>
      <c r="F3306" s="1" t="s">
        <v>1860</v>
      </c>
      <c r="G3306" s="1" t="str">
        <f>CONCATENATE(" SAFIR D.O.O.,"," HORVAĆANSKA 17,"," 10000 ZAGREB,"," OIB: 33548604975")</f>
        <v xml:space="preserve"> SAFIR D.O.O., HORVAĆANSKA 17, 10000 ZAGREB, OIB: 33548604975</v>
      </c>
      <c r="H3306" s="7"/>
      <c r="I3306" s="8" t="s">
        <v>2906</v>
      </c>
      <c r="J3306" s="8" t="s">
        <v>54</v>
      </c>
      <c r="K3306" s="6" t="str">
        <f>"1.035,00"</f>
        <v>1.035,00</v>
      </c>
      <c r="L3306" s="6" t="str">
        <f>"258,75"</f>
        <v>258,75</v>
      </c>
      <c r="M3306" s="6" t="str">
        <f>"1.293,75"</f>
        <v>1.293,75</v>
      </c>
      <c r="N3306" s="8" t="s">
        <v>891</v>
      </c>
      <c r="O3306" s="7"/>
      <c r="P3306" s="2" t="s">
        <v>7524</v>
      </c>
      <c r="Q3306" s="7"/>
      <c r="R3306" s="1"/>
      <c r="S3306" s="1" t="str">
        <f>"J-UN-2021-1208"</f>
        <v>J-UN-2021-1208</v>
      </c>
      <c r="T3306" s="1" t="s">
        <v>32</v>
      </c>
    </row>
    <row r="3307" spans="1:20" ht="51" x14ac:dyDescent="0.25">
      <c r="A3307" s="6">
        <v>3301</v>
      </c>
      <c r="B3307" s="1" t="str">
        <f>"2021-205"</f>
        <v>2021-205</v>
      </c>
      <c r="C3307" s="1" t="s">
        <v>2836</v>
      </c>
      <c r="D3307" s="1" t="s">
        <v>689</v>
      </c>
      <c r="E3307" s="1" t="str">
        <f>""</f>
        <v/>
      </c>
      <c r="F3307" s="1" t="s">
        <v>1860</v>
      </c>
      <c r="G3307" s="1" t="str">
        <f>CONCATENATE(" COMET D.O.O.,"," VARAŽDINSKA 40/C,"," 42220 NOVI MAROF,"," OIB: 48249084626")</f>
        <v xml:space="preserve"> COMET D.O.O., VARAŽDINSKA 40/C, 42220 NOVI MAROF, OIB: 48249084626</v>
      </c>
      <c r="H3307" s="7"/>
      <c r="I3307" s="8" t="s">
        <v>1058</v>
      </c>
      <c r="J3307" s="8" t="s">
        <v>2911</v>
      </c>
      <c r="K3307" s="6" t="str">
        <f>"640,00"</f>
        <v>640,00</v>
      </c>
      <c r="L3307" s="6" t="str">
        <f>"160,00"</f>
        <v>160,00</v>
      </c>
      <c r="M3307" s="6" t="str">
        <f>"800,00"</f>
        <v>800,00</v>
      </c>
      <c r="N3307" s="8" t="s">
        <v>891</v>
      </c>
      <c r="O3307" s="7"/>
      <c r="P3307" s="2" t="s">
        <v>7525</v>
      </c>
      <c r="Q3307" s="7"/>
      <c r="R3307" s="1"/>
      <c r="S3307" s="1" t="str">
        <f>"J-UN-2021-1209"</f>
        <v>J-UN-2021-1209</v>
      </c>
      <c r="T3307" s="1" t="s">
        <v>32</v>
      </c>
    </row>
    <row r="3308" spans="1:20" ht="51" x14ac:dyDescent="0.25">
      <c r="A3308" s="6">
        <v>3302</v>
      </c>
      <c r="B3308" s="1" t="str">
        <f>"2021-424"</f>
        <v>2021-424</v>
      </c>
      <c r="C3308" s="1" t="s">
        <v>2881</v>
      </c>
      <c r="D3308" s="1" t="s">
        <v>2882</v>
      </c>
      <c r="E3308" s="1" t="str">
        <f>""</f>
        <v/>
      </c>
      <c r="F3308" s="1" t="s">
        <v>1860</v>
      </c>
      <c r="G3308" s="1" t="str">
        <f>CONCATENATE(" DEBENC PLUS D. O. O.,"," OSJEČKA 39,"," 51000 RIJEKA,"," OIB: 82510351433")</f>
        <v xml:space="preserve"> DEBENC PLUS D. O. O., OSJEČKA 39, 51000 RIJEKA, OIB: 82510351433</v>
      </c>
      <c r="H3308" s="7"/>
      <c r="I3308" s="8" t="s">
        <v>1044</v>
      </c>
      <c r="J3308" s="8" t="s">
        <v>931</v>
      </c>
      <c r="K3308" s="6" t="str">
        <f>"12.590,24"</f>
        <v>12.590,24</v>
      </c>
      <c r="L3308" s="6" t="str">
        <f>"3.147,56"</f>
        <v>3.147,56</v>
      </c>
      <c r="M3308" s="6" t="str">
        <f>"15.737,80"</f>
        <v>15.737,80</v>
      </c>
      <c r="N3308" s="8" t="s">
        <v>1167</v>
      </c>
      <c r="O3308" s="7"/>
      <c r="P3308" s="2" t="s">
        <v>7526</v>
      </c>
      <c r="Q3308" s="7"/>
      <c r="R3308" s="1"/>
      <c r="S3308" s="1" t="str">
        <f>"J-UN-2021-1211"</f>
        <v>J-UN-2021-1211</v>
      </c>
      <c r="T3308" s="1" t="s">
        <v>32</v>
      </c>
    </row>
    <row r="3309" spans="1:20" ht="76.5" x14ac:dyDescent="0.25">
      <c r="A3309" s="6">
        <v>3303</v>
      </c>
      <c r="B3309" s="1" t="str">
        <f>"2021-1206"</f>
        <v>2021-1206</v>
      </c>
      <c r="C3309" s="1" t="s">
        <v>2821</v>
      </c>
      <c r="D3309" s="1" t="s">
        <v>1627</v>
      </c>
      <c r="E3309" s="1" t="str">
        <f>""</f>
        <v/>
      </c>
      <c r="F3309" s="1" t="s">
        <v>1860</v>
      </c>
      <c r="G3309" s="1" t="str">
        <f>CONCATENATE(" ELICOM D.O.O.,"," ŠTEFANOVEC 138,"," 10000 ZAGREB,"," OIB: 76370234816")</f>
        <v xml:space="preserve"> ELICOM D.O.O., ŠTEFANOVEC 138, 10000 ZAGREB, OIB: 76370234816</v>
      </c>
      <c r="H3309" s="7"/>
      <c r="I3309" s="8" t="s">
        <v>934</v>
      </c>
      <c r="J3309" s="8" t="s">
        <v>1122</v>
      </c>
      <c r="K3309" s="6" t="str">
        <f>"612,00"</f>
        <v>612,00</v>
      </c>
      <c r="L3309" s="6" t="str">
        <f>"153,00"</f>
        <v>153,00</v>
      </c>
      <c r="M3309" s="6" t="str">
        <f>"765,00"</f>
        <v>765,00</v>
      </c>
      <c r="N3309" s="8" t="s">
        <v>1058</v>
      </c>
      <c r="O3309" s="7"/>
      <c r="P3309" s="2" t="s">
        <v>7223</v>
      </c>
      <c r="Q3309" s="7"/>
      <c r="R3309" s="1"/>
      <c r="S3309" s="1" t="str">
        <f>"J-UN-2021-1212"</f>
        <v>J-UN-2021-1212</v>
      </c>
      <c r="T3309" s="1" t="s">
        <v>32</v>
      </c>
    </row>
    <row r="3310" spans="1:20" ht="76.5" x14ac:dyDescent="0.25">
      <c r="A3310" s="6">
        <v>3304</v>
      </c>
      <c r="B3310" s="1" t="str">
        <f>"2021-1723"</f>
        <v>2021-1723</v>
      </c>
      <c r="C3310" s="1" t="s">
        <v>2912</v>
      </c>
      <c r="D3310" s="1" t="s">
        <v>2647</v>
      </c>
      <c r="E3310" s="1" t="str">
        <f>""</f>
        <v/>
      </c>
      <c r="F3310" s="1" t="s">
        <v>1860</v>
      </c>
      <c r="G3310" s="1" t="str">
        <f>CONCATENATE(" USTANOVA ZA OBRAZOVANJE ODRASLIH VIMAL,"," KRIŽNA CESTA 18,"," 10000 ZAGREB,"," OIB: 842447647")</f>
        <v xml:space="preserve"> USTANOVA ZA OBRAZOVANJE ODRASLIH VIMAL, KRIŽNA CESTA 18, 10000 ZAGREB, OIB: 842447647</v>
      </c>
      <c r="H3310" s="7"/>
      <c r="I3310" s="8" t="s">
        <v>1044</v>
      </c>
      <c r="J3310" s="8" t="s">
        <v>931</v>
      </c>
      <c r="K3310" s="6" t="str">
        <f>"3.000,00"</f>
        <v>3.000,00</v>
      </c>
      <c r="L3310" s="6" t="str">
        <f>"750,00"</f>
        <v>750,00</v>
      </c>
      <c r="M3310" s="6" t="str">
        <f>"3.750,00"</f>
        <v>3.750,00</v>
      </c>
      <c r="N3310" s="8" t="s">
        <v>2770</v>
      </c>
      <c r="O3310" s="7"/>
      <c r="P3310" s="2" t="s">
        <v>5781</v>
      </c>
      <c r="Q3310" s="7"/>
      <c r="R3310" s="1"/>
      <c r="S3310" s="1" t="str">
        <f>"J-UN-2021-1215"</f>
        <v>J-UN-2021-1215</v>
      </c>
      <c r="T3310" s="1" t="s">
        <v>32</v>
      </c>
    </row>
    <row r="3311" spans="1:20" ht="38.25" x14ac:dyDescent="0.25">
      <c r="A3311" s="6">
        <v>3305</v>
      </c>
      <c r="B3311" s="1" t="str">
        <f>"2021-1015"</f>
        <v>2021-1015</v>
      </c>
      <c r="C3311" s="1" t="s">
        <v>2492</v>
      </c>
      <c r="D3311" s="1" t="s">
        <v>2493</v>
      </c>
      <c r="E3311" s="1" t="str">
        <f>""</f>
        <v/>
      </c>
      <c r="F3311" s="1" t="s">
        <v>1860</v>
      </c>
      <c r="G3311" s="1" t="str">
        <f>CONCATENATE(" O-K-TEH d.o.o.,"," VUČAK 16A,"," 10000 ZAGREB,"," OIB: 37322381288")</f>
        <v xml:space="preserve"> O-K-TEH d.o.o., VUČAK 16A, 10000 ZAGREB, OIB: 37322381288</v>
      </c>
      <c r="H3311" s="7"/>
      <c r="I3311" s="8" t="s">
        <v>2291</v>
      </c>
      <c r="J3311" s="8" t="s">
        <v>408</v>
      </c>
      <c r="K3311" s="6" t="str">
        <f>"2.251,80"</f>
        <v>2.251,80</v>
      </c>
      <c r="L3311" s="6" t="str">
        <f>"562,95"</f>
        <v>562,95</v>
      </c>
      <c r="M3311" s="6" t="str">
        <f>"2.814,75"</f>
        <v>2.814,75</v>
      </c>
      <c r="N3311" s="8" t="s">
        <v>1167</v>
      </c>
      <c r="O3311" s="7"/>
      <c r="P3311" s="2" t="s">
        <v>7527</v>
      </c>
      <c r="Q3311" s="7"/>
      <c r="R3311" s="1"/>
      <c r="S3311" s="1" t="str">
        <f>"J-UN-2021-1216"</f>
        <v>J-UN-2021-1216</v>
      </c>
      <c r="T3311" s="1" t="s">
        <v>32</v>
      </c>
    </row>
    <row r="3312" spans="1:20" ht="63.75" x14ac:dyDescent="0.25">
      <c r="A3312" s="6">
        <v>3306</v>
      </c>
      <c r="B3312" s="1" t="str">
        <f>"2021-898"</f>
        <v>2021-898</v>
      </c>
      <c r="C3312" s="1" t="s">
        <v>2670</v>
      </c>
      <c r="D3312" s="1" t="s">
        <v>2671</v>
      </c>
      <c r="E3312" s="1" t="str">
        <f>""</f>
        <v/>
      </c>
      <c r="F3312" s="1" t="s">
        <v>1860</v>
      </c>
      <c r="G3312" s="1" t="str">
        <f>CONCATENATE(" TOKIĆ D.O.O.,"," ULICA 144. BRIGADE HRVATSKE VOJSKE 1A,"," 10360 SESVETE,"," OIB: 7486748762")</f>
        <v xml:space="preserve"> TOKIĆ D.O.O., ULICA 144. BRIGADE HRVATSKE VOJSKE 1A, 10360 SESVETE, OIB: 7486748762</v>
      </c>
      <c r="H3312" s="7"/>
      <c r="I3312" s="8" t="s">
        <v>2291</v>
      </c>
      <c r="J3312" s="8" t="s">
        <v>408</v>
      </c>
      <c r="K3312" s="6" t="str">
        <f>"304,00"</f>
        <v>304,00</v>
      </c>
      <c r="L3312" s="6" t="str">
        <f>"76,00"</f>
        <v>76,00</v>
      </c>
      <c r="M3312" s="6" t="str">
        <f>"380,00"</f>
        <v>380,00</v>
      </c>
      <c r="N3312" s="8" t="s">
        <v>578</v>
      </c>
      <c r="O3312" s="7"/>
      <c r="P3312" s="2" t="s">
        <v>7528</v>
      </c>
      <c r="Q3312" s="7"/>
      <c r="R3312" s="1"/>
      <c r="S3312" s="1" t="str">
        <f>"J-UN-2021-1217"</f>
        <v>J-UN-2021-1217</v>
      </c>
      <c r="T3312" s="1" t="s">
        <v>32</v>
      </c>
    </row>
    <row r="3313" spans="1:20" ht="63.75" x14ac:dyDescent="0.25">
      <c r="A3313" s="6">
        <v>3307</v>
      </c>
      <c r="B3313" s="1" t="str">
        <f>"2021-1733"</f>
        <v>2021-1733</v>
      </c>
      <c r="C3313" s="1" t="s">
        <v>2405</v>
      </c>
      <c r="D3313" s="1" t="s">
        <v>880</v>
      </c>
      <c r="E3313" s="1" t="str">
        <f>""</f>
        <v/>
      </c>
      <c r="F3313" s="1" t="s">
        <v>1860</v>
      </c>
      <c r="G3313" s="1" t="str">
        <f>CONCATENATE(" POLIKLINIKA SVETI ROK M.D.,"," ULICA GRADA VUKOVARA 284,"," 10000 ZAGREB,"," OIB: 28842147765")</f>
        <v xml:space="preserve"> POLIKLINIKA SVETI ROK M.D., ULICA GRADA VUKOVARA 284, 10000 ZAGREB, OIB: 28842147765</v>
      </c>
      <c r="H3313" s="7"/>
      <c r="I3313" s="8" t="s">
        <v>934</v>
      </c>
      <c r="J3313" s="8" t="s">
        <v>1122</v>
      </c>
      <c r="K3313" s="6" t="str">
        <f>"3.900,00"</f>
        <v>3.900,00</v>
      </c>
      <c r="L3313" s="6" t="str">
        <f>"975,00"</f>
        <v>975,00</v>
      </c>
      <c r="M3313" s="6" t="str">
        <f>"4.875,00"</f>
        <v>4.875,00</v>
      </c>
      <c r="N3313" s="8" t="s">
        <v>2134</v>
      </c>
      <c r="O3313" s="7"/>
      <c r="P3313" s="2" t="s">
        <v>5639</v>
      </c>
      <c r="Q3313" s="7"/>
      <c r="R3313" s="1"/>
      <c r="S3313" s="1" t="str">
        <f>"J-UN-2021-1220"</f>
        <v>J-UN-2021-1220</v>
      </c>
      <c r="T3313" s="1" t="s">
        <v>32</v>
      </c>
    </row>
    <row r="3314" spans="1:20" ht="51" x14ac:dyDescent="0.25">
      <c r="A3314" s="6">
        <v>3308</v>
      </c>
      <c r="B3314" s="1" t="str">
        <f>"2021-1015"</f>
        <v>2021-1015</v>
      </c>
      <c r="C3314" s="1" t="s">
        <v>2492</v>
      </c>
      <c r="D3314" s="1" t="s">
        <v>2493</v>
      </c>
      <c r="E3314" s="1" t="str">
        <f>""</f>
        <v/>
      </c>
      <c r="F3314" s="1" t="s">
        <v>1860</v>
      </c>
      <c r="G3314" s="1" t="str">
        <f>CONCATENATE(" STAR IMPORT D.O.O.,"," KOVINSKA 5,"," 10090 ZAGREB-SUSEDGRAD,"," OIB: 783122799")</f>
        <v xml:space="preserve"> STAR IMPORT D.O.O., KOVINSKA 5, 10090 ZAGREB-SUSEDGRAD, OIB: 783122799</v>
      </c>
      <c r="H3314" s="7"/>
      <c r="I3314" s="8" t="s">
        <v>934</v>
      </c>
      <c r="J3314" s="8" t="s">
        <v>1122</v>
      </c>
      <c r="K3314" s="6" t="str">
        <f>"15.119,10"</f>
        <v>15.119,10</v>
      </c>
      <c r="L3314" s="6" t="str">
        <f>"3.779,78"</f>
        <v>3.779,78</v>
      </c>
      <c r="M3314" s="6" t="str">
        <f>"18.898,88"</f>
        <v>18.898,88</v>
      </c>
      <c r="N3314" s="8" t="s">
        <v>441</v>
      </c>
      <c r="O3314" s="7"/>
      <c r="P3314" s="2" t="s">
        <v>7529</v>
      </c>
      <c r="Q3314" s="7"/>
      <c r="R3314" s="1"/>
      <c r="S3314" s="1" t="str">
        <f>"J-UN-2021-1222"</f>
        <v>J-UN-2021-1222</v>
      </c>
      <c r="T3314" s="1" t="s">
        <v>32</v>
      </c>
    </row>
    <row r="3315" spans="1:20" ht="63.75" x14ac:dyDescent="0.25">
      <c r="A3315" s="6">
        <v>3309</v>
      </c>
      <c r="B3315" s="1" t="str">
        <f>"2021-1003"</f>
        <v>2021-1003</v>
      </c>
      <c r="C3315" s="1" t="s">
        <v>2839</v>
      </c>
      <c r="D3315" s="1" t="s">
        <v>2716</v>
      </c>
      <c r="E3315" s="1" t="str">
        <f>""</f>
        <v/>
      </c>
      <c r="F3315" s="1" t="s">
        <v>1860</v>
      </c>
      <c r="G3315" s="1" t="str">
        <f>CONCATENATE(" FORMA ELEKTRONIKA D.O.O.,"," I GARDIJSKE BRIGADE 'TIGROVI' 27/B,"," 10000 ZAGREB,"," OIB: 0991644176")</f>
        <v xml:space="preserve"> FORMA ELEKTRONIKA D.O.O., I GARDIJSKE BRIGADE 'TIGROVI' 27/B, 10000 ZAGREB, OIB: 0991644176</v>
      </c>
      <c r="H3315" s="7"/>
      <c r="I3315" s="8" t="s">
        <v>934</v>
      </c>
      <c r="J3315" s="8" t="s">
        <v>1122</v>
      </c>
      <c r="K3315" s="6" t="str">
        <f>"3.460,40"</f>
        <v>3.460,40</v>
      </c>
      <c r="L3315" s="6" t="str">
        <f>"865,10"</f>
        <v>865,10</v>
      </c>
      <c r="M3315" s="6" t="str">
        <f>"4.325,50"</f>
        <v>4.325,50</v>
      </c>
      <c r="N3315" s="8" t="s">
        <v>188</v>
      </c>
      <c r="O3315" s="7"/>
      <c r="P3315" s="2" t="s">
        <v>7530</v>
      </c>
      <c r="Q3315" s="7"/>
      <c r="R3315" s="1"/>
      <c r="S3315" s="1" t="str">
        <f>"J-UN-2021-1223"</f>
        <v>J-UN-2021-1223</v>
      </c>
      <c r="T3315" s="1" t="s">
        <v>32</v>
      </c>
    </row>
    <row r="3316" spans="1:20" ht="51" x14ac:dyDescent="0.25">
      <c r="A3316" s="6">
        <v>3310</v>
      </c>
      <c r="B3316" s="1" t="str">
        <f>"2021-478"</f>
        <v>2021-478</v>
      </c>
      <c r="C3316" s="1" t="s">
        <v>2714</v>
      </c>
      <c r="D3316" s="1" t="s">
        <v>619</v>
      </c>
      <c r="E3316" s="1" t="str">
        <f>""</f>
        <v/>
      </c>
      <c r="F3316" s="1" t="s">
        <v>1860</v>
      </c>
      <c r="G3316" s="1" t="str">
        <f>CONCATENATE(" NIACO D.O.O.,"," IVANA KAMENARIĆA 9,"," 10380 SVETI IVAN ZELINA,"," OIB: 61876916009")</f>
        <v xml:space="preserve"> NIACO D.O.O., IVANA KAMENARIĆA 9, 10380 SVETI IVAN ZELINA, OIB: 61876916009</v>
      </c>
      <c r="H3316" s="7"/>
      <c r="I3316" s="8" t="s">
        <v>2291</v>
      </c>
      <c r="J3316" s="8" t="s">
        <v>408</v>
      </c>
      <c r="K3316" s="6" t="str">
        <f>"2.580,00"</f>
        <v>2.580,00</v>
      </c>
      <c r="L3316" s="6" t="str">
        <f>"645,00"</f>
        <v>645,00</v>
      </c>
      <c r="M3316" s="6" t="str">
        <f>"3.225,00"</f>
        <v>3.225,00</v>
      </c>
      <c r="N3316" s="8" t="s">
        <v>1504</v>
      </c>
      <c r="O3316" s="7"/>
      <c r="P3316" s="2" t="s">
        <v>7531</v>
      </c>
      <c r="Q3316" s="7"/>
      <c r="R3316" s="1"/>
      <c r="S3316" s="1" t="str">
        <f>"J-UN-2021-1224"</f>
        <v>J-UN-2021-1224</v>
      </c>
      <c r="T3316" s="1" t="s">
        <v>32</v>
      </c>
    </row>
    <row r="3317" spans="1:20" ht="51" x14ac:dyDescent="0.25">
      <c r="A3317" s="6">
        <v>3311</v>
      </c>
      <c r="B3317" s="1" t="str">
        <f>"2021-693"</f>
        <v>2021-693</v>
      </c>
      <c r="C3317" s="1" t="s">
        <v>2898</v>
      </c>
      <c r="D3317" s="1" t="s">
        <v>2899</v>
      </c>
      <c r="E3317" s="1" t="str">
        <f>""</f>
        <v/>
      </c>
      <c r="F3317" s="1" t="s">
        <v>1860</v>
      </c>
      <c r="G3317" s="1" t="str">
        <f>CONCATENATE(" COTRA D.O.O.,"," IVANA SEVERA 17,"," 42000 VARAŽDIN,"," OIB: 36080822108")</f>
        <v xml:space="preserve"> COTRA D.O.O., IVANA SEVERA 17, 42000 VARAŽDIN, OIB: 36080822108</v>
      </c>
      <c r="H3317" s="7"/>
      <c r="I3317" s="8" t="s">
        <v>578</v>
      </c>
      <c r="J3317" s="8" t="s">
        <v>102</v>
      </c>
      <c r="K3317" s="6" t="str">
        <f>"7.415,00"</f>
        <v>7.415,00</v>
      </c>
      <c r="L3317" s="6" t="str">
        <f>"1.853,75"</f>
        <v>1.853,75</v>
      </c>
      <c r="M3317" s="6" t="str">
        <f>"9.268,75"</f>
        <v>9.268,75</v>
      </c>
      <c r="N3317" s="8" t="s">
        <v>2913</v>
      </c>
      <c r="O3317" s="7"/>
      <c r="P3317" s="2" t="s">
        <v>7532</v>
      </c>
      <c r="Q3317" s="7"/>
      <c r="R3317" s="1"/>
      <c r="S3317" s="1" t="str">
        <f>"J-UN-2021-1225"</f>
        <v>J-UN-2021-1225</v>
      </c>
      <c r="T3317" s="1" t="s">
        <v>32</v>
      </c>
    </row>
    <row r="3318" spans="1:20" ht="63.75" x14ac:dyDescent="0.25">
      <c r="A3318" s="6">
        <v>3312</v>
      </c>
      <c r="B3318" s="1" t="str">
        <f>"2021-704"</f>
        <v>2021-704</v>
      </c>
      <c r="C3318" s="1" t="s">
        <v>2817</v>
      </c>
      <c r="D3318" s="1" t="s">
        <v>2818</v>
      </c>
      <c r="E3318" s="1" t="str">
        <f>""</f>
        <v/>
      </c>
      <c r="F3318" s="1" t="s">
        <v>1860</v>
      </c>
      <c r="G3318" s="1" t="str">
        <f>CONCATENATE(" AUTO-MAG D.O.O.,"," GORNJOSTUPNIČKA 1/d,"," 10255 GORNJI STUPNIK,"," OIB: 99940897955")</f>
        <v xml:space="preserve"> AUTO-MAG D.O.O., GORNJOSTUPNIČKA 1/d, 10255 GORNJI STUPNIK, OIB: 99940897955</v>
      </c>
      <c r="H3318" s="7"/>
      <c r="I3318" s="8" t="s">
        <v>578</v>
      </c>
      <c r="J3318" s="8" t="s">
        <v>102</v>
      </c>
      <c r="K3318" s="6" t="str">
        <f>"1.140,00"</f>
        <v>1.140,00</v>
      </c>
      <c r="L3318" s="6" t="str">
        <f>"285,00"</f>
        <v>285,00</v>
      </c>
      <c r="M3318" s="6" t="str">
        <f>"1.425,00"</f>
        <v>1.425,00</v>
      </c>
      <c r="N3318" s="8" t="s">
        <v>1504</v>
      </c>
      <c r="O3318" s="7"/>
      <c r="P3318" s="2" t="s">
        <v>7533</v>
      </c>
      <c r="Q3318" s="7"/>
      <c r="R3318" s="1"/>
      <c r="S3318" s="1" t="str">
        <f>"J-UN-2021-1227"</f>
        <v>J-UN-2021-1227</v>
      </c>
      <c r="T3318" s="1" t="s">
        <v>32</v>
      </c>
    </row>
    <row r="3319" spans="1:20" ht="51" x14ac:dyDescent="0.25">
      <c r="A3319" s="6">
        <v>3313</v>
      </c>
      <c r="B3319" s="1" t="str">
        <f>"2021-1154"</f>
        <v>2021-1154</v>
      </c>
      <c r="C3319" s="1" t="s">
        <v>2854</v>
      </c>
      <c r="D3319" s="1" t="s">
        <v>2855</v>
      </c>
      <c r="E3319" s="1" t="str">
        <f>""</f>
        <v/>
      </c>
      <c r="F3319" s="1" t="s">
        <v>1860</v>
      </c>
      <c r="G3319" s="1" t="str">
        <f>CONCATENATE(" TEHNO-HIDRAULIK D.O.O.,"," SAVIŠĆE 2,"," 10000 ZAGREB,"," OIB: 09925328419")</f>
        <v xml:space="preserve"> TEHNO-HIDRAULIK D.O.O., SAVIŠĆE 2, 10000 ZAGREB, OIB: 09925328419</v>
      </c>
      <c r="H3319" s="7"/>
      <c r="I3319" s="8" t="s">
        <v>934</v>
      </c>
      <c r="J3319" s="8" t="s">
        <v>1122</v>
      </c>
      <c r="K3319" s="6" t="str">
        <f>"7.011,65"</f>
        <v>7.011,65</v>
      </c>
      <c r="L3319" s="6" t="str">
        <f>"1.752,91"</f>
        <v>1.752,91</v>
      </c>
      <c r="M3319" s="6" t="str">
        <f>"8.764,56"</f>
        <v>8.764,56</v>
      </c>
      <c r="N3319" s="8" t="s">
        <v>581</v>
      </c>
      <c r="O3319" s="7"/>
      <c r="P3319" s="2" t="s">
        <v>7534</v>
      </c>
      <c r="Q3319" s="7"/>
      <c r="R3319" s="1"/>
      <c r="S3319" s="1" t="str">
        <f>"J-UN-2021-1228"</f>
        <v>J-UN-2021-1228</v>
      </c>
      <c r="T3319" s="1" t="s">
        <v>32</v>
      </c>
    </row>
    <row r="3320" spans="1:20" ht="63.75" x14ac:dyDescent="0.25">
      <c r="A3320" s="6">
        <v>3314</v>
      </c>
      <c r="B3320" s="1" t="str">
        <f>"2021-1788"</f>
        <v>2021-1788</v>
      </c>
      <c r="C3320" s="1" t="s">
        <v>2765</v>
      </c>
      <c r="D3320" s="1" t="s">
        <v>2766</v>
      </c>
      <c r="E3320" s="1" t="str">
        <f>""</f>
        <v/>
      </c>
      <c r="F3320" s="1" t="s">
        <v>1860</v>
      </c>
      <c r="G3320" s="1" t="str">
        <f>CONCATENATE(" DOMAĆA RADINOST VL. DEAN GALEKOVIĆ,"," SOPOTSKI ODVOJAK 6,"," 10000 ZAGREB,"," OIB: 7951121434")</f>
        <v xml:space="preserve"> DOMAĆA RADINOST VL. DEAN GALEKOVIĆ, SOPOTSKI ODVOJAK 6, 10000 ZAGREB, OIB: 7951121434</v>
      </c>
      <c r="H3320" s="7"/>
      <c r="I3320" s="8" t="s">
        <v>934</v>
      </c>
      <c r="J3320" s="8" t="s">
        <v>1122</v>
      </c>
      <c r="K3320" s="6" t="str">
        <f>"5.480,00"</f>
        <v>5.480,00</v>
      </c>
      <c r="L3320" s="6" t="str">
        <f>"1.370,00"</f>
        <v>1.370,00</v>
      </c>
      <c r="M3320" s="6" t="str">
        <f>"6.850,00"</f>
        <v>6.850,00</v>
      </c>
      <c r="N3320" s="8" t="s">
        <v>1476</v>
      </c>
      <c r="O3320" s="7"/>
      <c r="P3320" s="2" t="s">
        <v>7535</v>
      </c>
      <c r="Q3320" s="7"/>
      <c r="R3320" s="1"/>
      <c r="S3320" s="1" t="str">
        <f>"J-UN-2021-1229"</f>
        <v>J-UN-2021-1229</v>
      </c>
      <c r="T3320" s="1" t="s">
        <v>32</v>
      </c>
    </row>
    <row r="3321" spans="1:20" ht="38.25" x14ac:dyDescent="0.25">
      <c r="A3321" s="6">
        <v>3315</v>
      </c>
      <c r="B3321" s="1" t="str">
        <f>"2021-979"</f>
        <v>2021-979</v>
      </c>
      <c r="C3321" s="1" t="s">
        <v>2914</v>
      </c>
      <c r="D3321" s="1" t="s">
        <v>2915</v>
      </c>
      <c r="E3321" s="1" t="str">
        <f>""</f>
        <v/>
      </c>
      <c r="F3321" s="1" t="s">
        <v>1860</v>
      </c>
      <c r="G3321" s="1" t="str">
        <f>CONCATENATE(" CRESCAT D.O.O.,"," NOVA VES 8,"," 10000 ZAGREB,"," OIB: 316081945")</f>
        <v xml:space="preserve"> CRESCAT D.O.O., NOVA VES 8, 10000 ZAGREB, OIB: 316081945</v>
      </c>
      <c r="H3321" s="7"/>
      <c r="I3321" s="8" t="s">
        <v>578</v>
      </c>
      <c r="J3321" s="8" t="s">
        <v>102</v>
      </c>
      <c r="K3321" s="6" t="str">
        <f>"7.917,30"</f>
        <v>7.917,30</v>
      </c>
      <c r="L3321" s="6" t="str">
        <f>"1.979,33"</f>
        <v>1.979,33</v>
      </c>
      <c r="M3321" s="6" t="str">
        <f>"9.896,63"</f>
        <v>9.896,63</v>
      </c>
      <c r="N3321" s="8" t="s">
        <v>1522</v>
      </c>
      <c r="O3321" s="7"/>
      <c r="P3321" s="2" t="s">
        <v>7536</v>
      </c>
      <c r="Q3321" s="1" t="s">
        <v>5601</v>
      </c>
      <c r="R3321" s="1"/>
      <c r="S3321" s="1" t="str">
        <f>"J-UN-2021-1230"</f>
        <v>J-UN-2021-1230</v>
      </c>
      <c r="T3321" s="1" t="s">
        <v>32</v>
      </c>
    </row>
    <row r="3322" spans="1:20" ht="51" x14ac:dyDescent="0.25">
      <c r="A3322" s="6">
        <v>3316</v>
      </c>
      <c r="B3322" s="1" t="str">
        <f>"2021-799"</f>
        <v>2021-799</v>
      </c>
      <c r="C3322" s="1" t="s">
        <v>2775</v>
      </c>
      <c r="D3322" s="1" t="s">
        <v>2776</v>
      </c>
      <c r="E3322" s="1" t="str">
        <f>""</f>
        <v/>
      </c>
      <c r="F3322" s="1" t="s">
        <v>1860</v>
      </c>
      <c r="G3322" s="1" t="str">
        <f>CONCATENATE(" SCHEDA D.O.O.,"," LJUDEVITA POSAVSKOG 29,"," 10360 SESVETE,"," OIB: 76219817247")</f>
        <v xml:space="preserve"> SCHEDA D.O.O., LJUDEVITA POSAVSKOG 29, 10360 SESVETE, OIB: 76219817247</v>
      </c>
      <c r="H3322" s="7"/>
      <c r="I3322" s="8" t="s">
        <v>578</v>
      </c>
      <c r="J3322" s="8" t="s">
        <v>102</v>
      </c>
      <c r="K3322" s="6" t="str">
        <f>"1.930,00"</f>
        <v>1.930,00</v>
      </c>
      <c r="L3322" s="6" t="str">
        <f>"482,50"</f>
        <v>482,50</v>
      </c>
      <c r="M3322" s="6" t="str">
        <f>"2.412,50"</f>
        <v>2.412,50</v>
      </c>
      <c r="N3322" s="8" t="s">
        <v>904</v>
      </c>
      <c r="O3322" s="7"/>
      <c r="P3322" s="2" t="s">
        <v>7388</v>
      </c>
      <c r="Q3322" s="7"/>
      <c r="R3322" s="1"/>
      <c r="S3322" s="1" t="str">
        <f>"J-UN-2021-1231"</f>
        <v>J-UN-2021-1231</v>
      </c>
      <c r="T3322" s="1" t="s">
        <v>32</v>
      </c>
    </row>
    <row r="3323" spans="1:20" ht="51" x14ac:dyDescent="0.25">
      <c r="A3323" s="6">
        <v>3317</v>
      </c>
      <c r="B3323" s="1" t="str">
        <f>"2021-489"</f>
        <v>2021-489</v>
      </c>
      <c r="C3323" s="1" t="s">
        <v>2741</v>
      </c>
      <c r="D3323" s="1" t="s">
        <v>2742</v>
      </c>
      <c r="E3323" s="1" t="str">
        <f>""</f>
        <v/>
      </c>
      <c r="F3323" s="1" t="s">
        <v>1860</v>
      </c>
      <c r="G3323" s="1" t="str">
        <f>CONCATENATE(" SCHEDA D.O.O.,"," LJUDEVITA POSAVSKOG 29,"," 10360 SESVETE,"," OIB: 76219817247")</f>
        <v xml:space="preserve"> SCHEDA D.O.O., LJUDEVITA POSAVSKOG 29, 10360 SESVETE, OIB: 76219817247</v>
      </c>
      <c r="H3323" s="7"/>
      <c r="I3323" s="8" t="s">
        <v>441</v>
      </c>
      <c r="J3323" s="8" t="s">
        <v>567</v>
      </c>
      <c r="K3323" s="6" t="str">
        <f>"6.271,00"</f>
        <v>6.271,00</v>
      </c>
      <c r="L3323" s="6" t="str">
        <f>"1.567,75"</f>
        <v>1.567,75</v>
      </c>
      <c r="M3323" s="6" t="str">
        <f>"7.838,75"</f>
        <v>7.838,75</v>
      </c>
      <c r="N3323" s="8" t="s">
        <v>145</v>
      </c>
      <c r="O3323" s="7"/>
      <c r="P3323" s="2" t="s">
        <v>7537</v>
      </c>
      <c r="Q3323" s="7"/>
      <c r="R3323" s="1"/>
      <c r="S3323" s="1" t="str">
        <f>"J-UN-2021-1232"</f>
        <v>J-UN-2021-1232</v>
      </c>
      <c r="T3323" s="1" t="s">
        <v>32</v>
      </c>
    </row>
    <row r="3324" spans="1:20" ht="51" x14ac:dyDescent="0.25">
      <c r="A3324" s="6">
        <v>3318</v>
      </c>
      <c r="B3324" s="1" t="str">
        <f>"2021-915"</f>
        <v>2021-915</v>
      </c>
      <c r="C3324" s="1" t="s">
        <v>2563</v>
      </c>
      <c r="D3324" s="1" t="s">
        <v>914</v>
      </c>
      <c r="E3324" s="1" t="str">
        <f>""</f>
        <v/>
      </c>
      <c r="F3324" s="1" t="s">
        <v>1860</v>
      </c>
      <c r="G3324" s="1" t="str">
        <f>CONCATENATE(" D.R. AUTO D.O.O.,"," SELSKA CESTA 34,"," 10000 ZAGREB,"," OIB: 07523847158")</f>
        <v xml:space="preserve"> D.R. AUTO D.O.O., SELSKA CESTA 34, 10000 ZAGREB, OIB: 07523847158</v>
      </c>
      <c r="H3324" s="7"/>
      <c r="I3324" s="8" t="s">
        <v>934</v>
      </c>
      <c r="J3324" s="8" t="s">
        <v>1122</v>
      </c>
      <c r="K3324" s="6" t="str">
        <f>"3.422,40"</f>
        <v>3.422,40</v>
      </c>
      <c r="L3324" s="6" t="str">
        <f>"855,60"</f>
        <v>855,60</v>
      </c>
      <c r="M3324" s="6" t="str">
        <f>"4.278,00"</f>
        <v>4.278,00</v>
      </c>
      <c r="N3324" s="8" t="s">
        <v>935</v>
      </c>
      <c r="O3324" s="7"/>
      <c r="P3324" s="2" t="s">
        <v>7538</v>
      </c>
      <c r="Q3324" s="7"/>
      <c r="R3324" s="1"/>
      <c r="S3324" s="1" t="str">
        <f>"J-UN-2021-1233"</f>
        <v>J-UN-2021-1233</v>
      </c>
      <c r="T3324" s="1" t="s">
        <v>32</v>
      </c>
    </row>
    <row r="3325" spans="1:20" ht="51" x14ac:dyDescent="0.25">
      <c r="A3325" s="6">
        <v>3319</v>
      </c>
      <c r="B3325" s="1" t="str">
        <f>"2021-1412"</f>
        <v>2021-1412</v>
      </c>
      <c r="C3325" s="1" t="s">
        <v>2779</v>
      </c>
      <c r="D3325" s="1" t="s">
        <v>2780</v>
      </c>
      <c r="E3325" s="1" t="str">
        <f>""</f>
        <v/>
      </c>
      <c r="F3325" s="1" t="s">
        <v>1860</v>
      </c>
      <c r="G3325" s="1" t="str">
        <f>CONCATENATE(" LEXPERA D.O.O.,"," TUŠKANOVA 37,"," 10000 ZAGREB,"," OIB: 79506290597")</f>
        <v xml:space="preserve"> LEXPERA D.O.O., TUŠKANOVA 37, 10000 ZAGREB, OIB: 79506290597</v>
      </c>
      <c r="H3325" s="7"/>
      <c r="I3325" s="8" t="s">
        <v>441</v>
      </c>
      <c r="J3325" s="8" t="s">
        <v>567</v>
      </c>
      <c r="K3325" s="6" t="str">
        <f>"3.312,00"</f>
        <v>3.312,00</v>
      </c>
      <c r="L3325" s="6" t="str">
        <f>"828,00"</f>
        <v>828,00</v>
      </c>
      <c r="M3325" s="6" t="str">
        <f>"4.140,00"</f>
        <v>4.140,00</v>
      </c>
      <c r="N3325" s="8" t="s">
        <v>124</v>
      </c>
      <c r="O3325" s="7"/>
      <c r="P3325" s="2" t="s">
        <v>5614</v>
      </c>
      <c r="Q3325" s="7"/>
      <c r="R3325" s="1"/>
      <c r="S3325" s="1" t="str">
        <f>"J-UN-2021-1234"</f>
        <v>J-UN-2021-1234</v>
      </c>
      <c r="T3325" s="1" t="s">
        <v>32</v>
      </c>
    </row>
    <row r="3326" spans="1:20" ht="51" x14ac:dyDescent="0.25">
      <c r="A3326" s="6">
        <v>3320</v>
      </c>
      <c r="B3326" s="1" t="str">
        <f>"2021-2287"</f>
        <v>2021-2287</v>
      </c>
      <c r="C3326" s="1" t="s">
        <v>2916</v>
      </c>
      <c r="D3326" s="1" t="s">
        <v>1473</v>
      </c>
      <c r="E3326" s="1" t="str">
        <f>""</f>
        <v/>
      </c>
      <c r="F3326" s="1" t="s">
        <v>1860</v>
      </c>
      <c r="G3326" s="1" t="str">
        <f>CONCATENATE(" KING ICT D.O.O.,"," BUZINSKI PRILAZ 10,"," 10010 ZAGREB,"," OIB: 67001695549")</f>
        <v xml:space="preserve"> KING ICT D.O.O., BUZINSKI PRILAZ 10, 10010 ZAGREB, OIB: 67001695549</v>
      </c>
      <c r="H3326" s="7"/>
      <c r="I3326" s="8" t="s">
        <v>586</v>
      </c>
      <c r="J3326" s="8" t="s">
        <v>525</v>
      </c>
      <c r="K3326" s="6" t="str">
        <f>"196.168,00"</f>
        <v>196.168,00</v>
      </c>
      <c r="L3326" s="6" t="str">
        <f>"49.042,00"</f>
        <v>49.042,00</v>
      </c>
      <c r="M3326" s="6" t="str">
        <f>"245.210,00"</f>
        <v>245.210,00</v>
      </c>
      <c r="N3326" s="8" t="s">
        <v>62</v>
      </c>
      <c r="O3326" s="7"/>
      <c r="P3326" s="2" t="s">
        <v>7539</v>
      </c>
      <c r="Q3326" s="7"/>
      <c r="R3326" s="1"/>
      <c r="S3326" s="1" t="str">
        <f>"J-UN-2021-1235"</f>
        <v>J-UN-2021-1235</v>
      </c>
      <c r="T3326" s="1" t="s">
        <v>32</v>
      </c>
    </row>
    <row r="3327" spans="1:20" ht="51" x14ac:dyDescent="0.25">
      <c r="A3327" s="6">
        <v>3321</v>
      </c>
      <c r="B3327" s="1" t="str">
        <f>"2021-2286"</f>
        <v>2021-2286</v>
      </c>
      <c r="C3327" s="1" t="s">
        <v>2917</v>
      </c>
      <c r="D3327" s="1" t="s">
        <v>1473</v>
      </c>
      <c r="E3327" s="1" t="str">
        <f>""</f>
        <v/>
      </c>
      <c r="F3327" s="1" t="s">
        <v>1860</v>
      </c>
      <c r="G3327" s="1" t="str">
        <f>CONCATENATE(" KING ICT D.O.O.,"," BUZINSKI PRILAZ 10,"," 10010 ZAGREB,"," OIB: 67001695549")</f>
        <v xml:space="preserve"> KING ICT D.O.O., BUZINSKI PRILAZ 10, 10010 ZAGREB, OIB: 67001695549</v>
      </c>
      <c r="H3327" s="7"/>
      <c r="I3327" s="8" t="s">
        <v>2918</v>
      </c>
      <c r="J3327" s="8" t="s">
        <v>410</v>
      </c>
      <c r="K3327" s="6" t="str">
        <f>"199.496,00"</f>
        <v>199.496,00</v>
      </c>
      <c r="L3327" s="6" t="str">
        <f>"49.874,00"</f>
        <v>49.874,00</v>
      </c>
      <c r="M3327" s="6" t="str">
        <f>"249.370,00"</f>
        <v>249.370,00</v>
      </c>
      <c r="N3327" s="8" t="s">
        <v>62</v>
      </c>
      <c r="O3327" s="7"/>
      <c r="P3327" s="2" t="s">
        <v>7540</v>
      </c>
      <c r="Q3327" s="7"/>
      <c r="R3327" s="1"/>
      <c r="S3327" s="1" t="str">
        <f>"J-UN-2021-1236"</f>
        <v>J-UN-2021-1236</v>
      </c>
      <c r="T3327" s="1" t="s">
        <v>32</v>
      </c>
    </row>
    <row r="3328" spans="1:20" ht="51" x14ac:dyDescent="0.25">
      <c r="A3328" s="6">
        <v>3322</v>
      </c>
      <c r="B3328" s="1" t="str">
        <f>"2021-1498"</f>
        <v>2021-1498</v>
      </c>
      <c r="C3328" s="1" t="s">
        <v>2641</v>
      </c>
      <c r="D3328" s="1" t="s">
        <v>515</v>
      </c>
      <c r="E3328" s="1" t="str">
        <f>""</f>
        <v/>
      </c>
      <c r="F3328" s="1" t="s">
        <v>1860</v>
      </c>
      <c r="G3328" s="1" t="str">
        <f>CONCATENATE(" INSTITUT IGH D.D.,"," JANKA RAKUŠE 1,"," 10000 ZAGREB,"," OIB: 79766124714")</f>
        <v xml:space="preserve"> INSTITUT IGH D.D., JANKA RAKUŠE 1, 10000 ZAGREB, OIB: 79766124714</v>
      </c>
      <c r="H3328" s="7"/>
      <c r="I3328" s="8" t="s">
        <v>441</v>
      </c>
      <c r="J3328" s="8" t="s">
        <v>567</v>
      </c>
      <c r="K3328" s="6" t="str">
        <f>"16.000,00"</f>
        <v>16.000,00</v>
      </c>
      <c r="L3328" s="6" t="str">
        <f>"4.000,00"</f>
        <v>4.000,00</v>
      </c>
      <c r="M3328" s="6" t="str">
        <f>"20.000,00"</f>
        <v>20.000,00</v>
      </c>
      <c r="N3328" s="8" t="s">
        <v>2770</v>
      </c>
      <c r="O3328" s="7"/>
      <c r="P3328" s="2" t="s">
        <v>7541</v>
      </c>
      <c r="Q3328" s="7"/>
      <c r="R3328" s="1"/>
      <c r="S3328" s="1" t="str">
        <f>"J-UN-2021-1247"</f>
        <v>J-UN-2021-1247</v>
      </c>
      <c r="T3328" s="1" t="s">
        <v>32</v>
      </c>
    </row>
    <row r="3329" spans="1:20" ht="63.75" x14ac:dyDescent="0.25">
      <c r="A3329" s="6">
        <v>3323</v>
      </c>
      <c r="B3329" s="1" t="str">
        <f>"2021-168"</f>
        <v>2021-168</v>
      </c>
      <c r="C3329" s="1" t="s">
        <v>2870</v>
      </c>
      <c r="D3329" s="1" t="s">
        <v>2871</v>
      </c>
      <c r="E3329" s="1" t="str">
        <f>""</f>
        <v/>
      </c>
      <c r="F3329" s="1" t="s">
        <v>1860</v>
      </c>
      <c r="G3329" s="1" t="str">
        <f>CONCATENATE(" GUMIIMPEX - GRP D.O.O.,"," PAVLEKA MIŠKINE 64C,"," 42000 VARAŽDIN,"," OIB: 8229856262")</f>
        <v xml:space="preserve"> GUMIIMPEX - GRP D.O.O., PAVLEKA MIŠKINE 64C, 42000 VARAŽDIN, OIB: 8229856262</v>
      </c>
      <c r="H3329" s="7"/>
      <c r="I3329" s="8" t="s">
        <v>935</v>
      </c>
      <c r="J3329" s="8" t="s">
        <v>374</v>
      </c>
      <c r="K3329" s="6" t="str">
        <f>"39.279,40"</f>
        <v>39.279,40</v>
      </c>
      <c r="L3329" s="6" t="str">
        <f>"9.819,85"</f>
        <v>9.819,85</v>
      </c>
      <c r="M3329" s="6" t="str">
        <f>"49.099,25"</f>
        <v>49.099,25</v>
      </c>
      <c r="N3329" s="8" t="s">
        <v>978</v>
      </c>
      <c r="O3329" s="7"/>
      <c r="P3329" s="2" t="s">
        <v>7542</v>
      </c>
      <c r="Q3329" s="7"/>
      <c r="R3329" s="1"/>
      <c r="S3329" s="1" t="str">
        <f>"J-UN-2021-1248"</f>
        <v>J-UN-2021-1248</v>
      </c>
      <c r="T3329" s="1" t="s">
        <v>32</v>
      </c>
    </row>
    <row r="3330" spans="1:20" ht="63.75" x14ac:dyDescent="0.25">
      <c r="A3330" s="6">
        <v>3324</v>
      </c>
      <c r="B3330" s="1" t="str">
        <f>"2021-906"</f>
        <v>2021-906</v>
      </c>
      <c r="C3330" s="1" t="s">
        <v>2782</v>
      </c>
      <c r="D3330" s="1" t="s">
        <v>815</v>
      </c>
      <c r="E3330" s="1" t="str">
        <f>""</f>
        <v/>
      </c>
      <c r="F3330" s="1" t="s">
        <v>1860</v>
      </c>
      <c r="G3330" s="1" t="str">
        <f>CONCATENATE(" LAUS INTERNATIONAL D.O.O.,"," DR. FRANJE TUĐMANA 16B,"," 10431 SVETA NEDELJA,"," OIB: 93039509752")</f>
        <v xml:space="preserve"> LAUS INTERNATIONAL D.O.O., DR. FRANJE TUĐMANA 16B, 10431 SVETA NEDELJA, OIB: 93039509752</v>
      </c>
      <c r="H3330" s="7"/>
      <c r="I3330" s="8" t="s">
        <v>935</v>
      </c>
      <c r="J3330" s="8" t="s">
        <v>374</v>
      </c>
      <c r="K3330" s="6" t="str">
        <f>"1.127,65"</f>
        <v>1.127,65</v>
      </c>
      <c r="L3330" s="6" t="str">
        <f>"281,91"</f>
        <v>281,91</v>
      </c>
      <c r="M3330" s="6" t="str">
        <f>"1.409,56"</f>
        <v>1.409,56</v>
      </c>
      <c r="N3330" s="8" t="s">
        <v>2300</v>
      </c>
      <c r="O3330" s="7"/>
      <c r="P3330" s="2" t="s">
        <v>7543</v>
      </c>
      <c r="Q3330" s="7"/>
      <c r="R3330" s="1"/>
      <c r="S3330" s="1" t="str">
        <f>"J-UN-2021-1249"</f>
        <v>J-UN-2021-1249</v>
      </c>
      <c r="T3330" s="1" t="s">
        <v>32</v>
      </c>
    </row>
    <row r="3331" spans="1:20" ht="76.5" x14ac:dyDescent="0.25">
      <c r="A3331" s="6">
        <v>3325</v>
      </c>
      <c r="B3331" s="1" t="str">
        <f>"2021-1206"</f>
        <v>2021-1206</v>
      </c>
      <c r="C3331" s="1" t="s">
        <v>2821</v>
      </c>
      <c r="D3331" s="1" t="s">
        <v>1627</v>
      </c>
      <c r="E3331" s="1" t="str">
        <f>""</f>
        <v/>
      </c>
      <c r="F3331" s="1" t="s">
        <v>1860</v>
      </c>
      <c r="G3331" s="1" t="str">
        <f>CONCATENATE(" ELICOM D.O.O.,"," ŠTEFANOVEC 138,"," 10000 ZAGREB,"," OIB: 76370234816")</f>
        <v xml:space="preserve"> ELICOM D.O.O., ŠTEFANOVEC 138, 10000 ZAGREB, OIB: 76370234816</v>
      </c>
      <c r="H3331" s="7"/>
      <c r="I3331" s="8" t="s">
        <v>581</v>
      </c>
      <c r="J3331" s="8" t="s">
        <v>377</v>
      </c>
      <c r="K3331" s="6" t="str">
        <f>"1.418,04"</f>
        <v>1.418,04</v>
      </c>
      <c r="L3331" s="6" t="str">
        <f>"354,51"</f>
        <v>354,51</v>
      </c>
      <c r="M3331" s="6" t="str">
        <f>"1.772,55"</f>
        <v>1.772,55</v>
      </c>
      <c r="N3331" s="8" t="s">
        <v>578</v>
      </c>
      <c r="O3331" s="7"/>
      <c r="P3331" s="2" t="s">
        <v>7544</v>
      </c>
      <c r="Q3331" s="7"/>
      <c r="R3331" s="1"/>
      <c r="S3331" s="1" t="str">
        <f>"J-UN-2021-1251"</f>
        <v>J-UN-2021-1251</v>
      </c>
      <c r="T3331" s="1" t="s">
        <v>32</v>
      </c>
    </row>
    <row r="3332" spans="1:20" ht="51" x14ac:dyDescent="0.25">
      <c r="A3332" s="6">
        <v>3326</v>
      </c>
      <c r="B3332" s="1" t="str">
        <f>"2021-1004"</f>
        <v>2021-1004</v>
      </c>
      <c r="C3332" s="1" t="s">
        <v>2715</v>
      </c>
      <c r="D3332" s="1" t="s">
        <v>2716</v>
      </c>
      <c r="E3332" s="1" t="str">
        <f>""</f>
        <v/>
      </c>
      <c r="F3332" s="1" t="s">
        <v>1860</v>
      </c>
      <c r="G3332" s="1" t="str">
        <f>CONCATENATE(" LAGER BAŠIĆ D.O.O.,"," TRGOVAČKA 3,"," 10255 DONJI STUPNIK,"," OIB: 49617677906")</f>
        <v xml:space="preserve"> LAGER BAŠIĆ D.O.O., TRGOVAČKA 3, 10255 DONJI STUPNIK, OIB: 49617677906</v>
      </c>
      <c r="H3332" s="7"/>
      <c r="I3332" s="8" t="s">
        <v>935</v>
      </c>
      <c r="J3332" s="8" t="s">
        <v>374</v>
      </c>
      <c r="K3332" s="6" t="str">
        <f>"14.724,00"</f>
        <v>14.724,00</v>
      </c>
      <c r="L3332" s="6" t="str">
        <f>"3.681,00"</f>
        <v>3.681,00</v>
      </c>
      <c r="M3332" s="6" t="str">
        <f>"18.405,00"</f>
        <v>18.405,00</v>
      </c>
      <c r="N3332" s="8" t="s">
        <v>1029</v>
      </c>
      <c r="O3332" s="7"/>
      <c r="P3332" s="2" t="s">
        <v>7545</v>
      </c>
      <c r="Q3332" s="7"/>
      <c r="R3332" s="1"/>
      <c r="S3332" s="1" t="str">
        <f>"J-UN-2021-1252"</f>
        <v>J-UN-2021-1252</v>
      </c>
      <c r="T3332" s="1" t="s">
        <v>32</v>
      </c>
    </row>
    <row r="3333" spans="1:20" ht="76.5" x14ac:dyDescent="0.25">
      <c r="A3333" s="6">
        <v>3327</v>
      </c>
      <c r="B3333" s="1" t="str">
        <f>"2021-1205"</f>
        <v>2021-1205</v>
      </c>
      <c r="C3333" s="1" t="s">
        <v>2892</v>
      </c>
      <c r="D3333" s="1" t="s">
        <v>1627</v>
      </c>
      <c r="E3333" s="1" t="str">
        <f>""</f>
        <v/>
      </c>
      <c r="F3333" s="1" t="s">
        <v>1860</v>
      </c>
      <c r="G3333" s="1" t="str">
        <f>CONCATENATE(" MAT-TOPS D.O.O.,"," J.KOVAČIĆA 5,"," 10413 KRAVARSKO(ŠILJAKOVINA),"," OIB: 99349765216")</f>
        <v xml:space="preserve"> MAT-TOPS D.O.O., J.KOVAČIĆA 5, 10413 KRAVARSKO(ŠILJAKOVINA), OIB: 99349765216</v>
      </c>
      <c r="H3333" s="7"/>
      <c r="I3333" s="8" t="s">
        <v>935</v>
      </c>
      <c r="J3333" s="8" t="s">
        <v>374</v>
      </c>
      <c r="K3333" s="6" t="str">
        <f>"15.668,80"</f>
        <v>15.668,80</v>
      </c>
      <c r="L3333" s="6" t="str">
        <f>"3.917,20"</f>
        <v>3.917,20</v>
      </c>
      <c r="M3333" s="6" t="str">
        <f>"19.586,00"</f>
        <v>19.586,00</v>
      </c>
      <c r="N3333" s="8" t="s">
        <v>799</v>
      </c>
      <c r="O3333" s="7"/>
      <c r="P3333" s="2" t="s">
        <v>7546</v>
      </c>
      <c r="Q3333" s="7"/>
      <c r="R3333" s="1"/>
      <c r="S3333" s="1" t="str">
        <f>"J-UN-2021-1253"</f>
        <v>J-UN-2021-1253</v>
      </c>
      <c r="T3333" s="1" t="s">
        <v>32</v>
      </c>
    </row>
    <row r="3334" spans="1:20" ht="51" x14ac:dyDescent="0.25">
      <c r="A3334" s="6">
        <v>3328</v>
      </c>
      <c r="B3334" s="1" t="str">
        <f>"2021-221"</f>
        <v>2021-221</v>
      </c>
      <c r="C3334" s="1" t="s">
        <v>2692</v>
      </c>
      <c r="D3334" s="1" t="s">
        <v>2693</v>
      </c>
      <c r="E3334" s="1" t="str">
        <f>""</f>
        <v/>
      </c>
      <c r="F3334" s="1" t="s">
        <v>1860</v>
      </c>
      <c r="G3334" s="1" t="str">
        <f>CONCATENATE(" COMET D.O.O.,"," VARAŽDINSKA 40/C,"," 42220 NOVI MAROF,"," OIB: 48249084626")</f>
        <v xml:space="preserve"> COMET D.O.O., VARAŽDINSKA 40/C, 42220 NOVI MAROF, OIB: 48249084626</v>
      </c>
      <c r="H3334" s="7"/>
      <c r="I3334" s="8" t="s">
        <v>656</v>
      </c>
      <c r="J3334" s="8" t="s">
        <v>317</v>
      </c>
      <c r="K3334" s="6" t="str">
        <f>"596,10"</f>
        <v>596,10</v>
      </c>
      <c r="L3334" s="6" t="str">
        <f>"149,03"</f>
        <v>149,03</v>
      </c>
      <c r="M3334" s="6" t="str">
        <f>"745,13"</f>
        <v>745,13</v>
      </c>
      <c r="N3334" s="8" t="s">
        <v>1167</v>
      </c>
      <c r="O3334" s="7"/>
      <c r="P3334" s="2" t="s">
        <v>7547</v>
      </c>
      <c r="Q3334" s="7"/>
      <c r="R3334" s="1"/>
      <c r="S3334" s="1" t="str">
        <f>"J-UN-2021-1254"</f>
        <v>J-UN-2021-1254</v>
      </c>
      <c r="T3334" s="1" t="s">
        <v>32</v>
      </c>
    </row>
    <row r="3335" spans="1:20" ht="51" x14ac:dyDescent="0.25">
      <c r="A3335" s="6">
        <v>3329</v>
      </c>
      <c r="B3335" s="1" t="str">
        <f>"2021-463"</f>
        <v>2021-463</v>
      </c>
      <c r="C3335" s="1" t="s">
        <v>2600</v>
      </c>
      <c r="D3335" s="1" t="s">
        <v>2601</v>
      </c>
      <c r="E3335" s="1" t="str">
        <f>""</f>
        <v/>
      </c>
      <c r="F3335" s="1" t="s">
        <v>1860</v>
      </c>
      <c r="G3335" s="1" t="str">
        <f>CONCATENATE(" NIACO D.O.O.,"," IVANA KAMENARIĆA 9,"," 10380 SVETI IVAN ZELINA,"," OIB: 61876916009")</f>
        <v xml:space="preserve"> NIACO D.O.O., IVANA KAMENARIĆA 9, 10380 SVETI IVAN ZELINA, OIB: 61876916009</v>
      </c>
      <c r="H3335" s="7"/>
      <c r="I3335" s="8" t="s">
        <v>656</v>
      </c>
      <c r="J3335" s="8" t="s">
        <v>317</v>
      </c>
      <c r="K3335" s="6" t="str">
        <f>"1.035,00"</f>
        <v>1.035,00</v>
      </c>
      <c r="L3335" s="6" t="str">
        <f>"258,75"</f>
        <v>258,75</v>
      </c>
      <c r="M3335" s="6" t="str">
        <f>"1.293,75"</f>
        <v>1.293,75</v>
      </c>
      <c r="N3335" s="8" t="s">
        <v>188</v>
      </c>
      <c r="O3335" s="7"/>
      <c r="P3335" s="2" t="s">
        <v>7524</v>
      </c>
      <c r="Q3335" s="7"/>
      <c r="R3335" s="1"/>
      <c r="S3335" s="1" t="str">
        <f>"J-UN-2021-1256"</f>
        <v>J-UN-2021-1256</v>
      </c>
      <c r="T3335" s="1" t="s">
        <v>32</v>
      </c>
    </row>
    <row r="3336" spans="1:20" ht="51" x14ac:dyDescent="0.25">
      <c r="A3336" s="6">
        <v>3330</v>
      </c>
      <c r="B3336" s="1" t="str">
        <f>"2021-707"</f>
        <v>2021-707</v>
      </c>
      <c r="C3336" s="1" t="s">
        <v>2642</v>
      </c>
      <c r="D3336" s="1" t="s">
        <v>1236</v>
      </c>
      <c r="E3336" s="1" t="str">
        <f>""</f>
        <v/>
      </c>
      <c r="F3336" s="1" t="s">
        <v>1860</v>
      </c>
      <c r="G3336" s="1" t="str">
        <f>CONCATENATE(" MEGA MONT D.O.O.,"," POPOVIĆEV PUT 2/D,"," 51211 MATULJI,"," OIB: 64536314217")</f>
        <v xml:space="preserve"> MEGA MONT D.O.O., POPOVIĆEV PUT 2/D, 51211 MATULJI, OIB: 64536314217</v>
      </c>
      <c r="H3336" s="7"/>
      <c r="I3336" s="8" t="s">
        <v>935</v>
      </c>
      <c r="J3336" s="8" t="s">
        <v>374</v>
      </c>
      <c r="K3336" s="6" t="str">
        <f>"525,00"</f>
        <v>525,00</v>
      </c>
      <c r="L3336" s="6" t="str">
        <f>"131,25"</f>
        <v>131,25</v>
      </c>
      <c r="M3336" s="6" t="str">
        <f>"656,25"</f>
        <v>656,25</v>
      </c>
      <c r="N3336" s="8" t="s">
        <v>581</v>
      </c>
      <c r="O3336" s="7"/>
      <c r="P3336" s="2" t="s">
        <v>7548</v>
      </c>
      <c r="Q3336" s="7"/>
      <c r="R3336" s="1"/>
      <c r="S3336" s="1" t="str">
        <f>"J-UN-2021-1257"</f>
        <v>J-UN-2021-1257</v>
      </c>
      <c r="T3336" s="1" t="s">
        <v>32</v>
      </c>
    </row>
    <row r="3337" spans="1:20" ht="51" x14ac:dyDescent="0.25">
      <c r="A3337" s="6">
        <v>3331</v>
      </c>
      <c r="B3337" s="1" t="str">
        <f>"2021-827"</f>
        <v>2021-827</v>
      </c>
      <c r="C3337" s="1" t="s">
        <v>2919</v>
      </c>
      <c r="D3337" s="1" t="s">
        <v>1877</v>
      </c>
      <c r="E3337" s="1" t="str">
        <f>""</f>
        <v/>
      </c>
      <c r="F3337" s="1" t="s">
        <v>1860</v>
      </c>
      <c r="G3337" s="1" t="str">
        <f>CONCATENATE(" INDUSTROOPREMA D.O.O.,"," RIMSKI PUT 11K,"," 10360 SESVETE,"," OIB: 01291306683")</f>
        <v xml:space="preserve"> INDUSTROOPREMA D.O.O., RIMSKI PUT 11K, 10360 SESVETE, OIB: 01291306683</v>
      </c>
      <c r="H3337" s="7"/>
      <c r="I3337" s="8" t="s">
        <v>1058</v>
      </c>
      <c r="J3337" s="8" t="s">
        <v>2911</v>
      </c>
      <c r="K3337" s="6" t="str">
        <f>"738,00"</f>
        <v>738,00</v>
      </c>
      <c r="L3337" s="6" t="str">
        <f>"184,50"</f>
        <v>184,50</v>
      </c>
      <c r="M3337" s="6" t="str">
        <f>"922,50"</f>
        <v>922,50</v>
      </c>
      <c r="N3337" s="8" t="s">
        <v>1060</v>
      </c>
      <c r="O3337" s="7"/>
      <c r="P3337" s="2" t="s">
        <v>7549</v>
      </c>
      <c r="Q3337" s="7"/>
      <c r="R3337" s="1"/>
      <c r="S3337" s="1" t="str">
        <f>"J-UN-2021-1258"</f>
        <v>J-UN-2021-1258</v>
      </c>
      <c r="T3337" s="1" t="s">
        <v>32</v>
      </c>
    </row>
    <row r="3338" spans="1:20" ht="63.75" x14ac:dyDescent="0.25">
      <c r="A3338" s="6">
        <v>3332</v>
      </c>
      <c r="B3338" s="1" t="str">
        <f>"2021-77"</f>
        <v>2021-77</v>
      </c>
      <c r="C3338" s="1" t="s">
        <v>2907</v>
      </c>
      <c r="D3338" s="1" t="s">
        <v>143</v>
      </c>
      <c r="E3338" s="1" t="str">
        <f>""</f>
        <v/>
      </c>
      <c r="F3338" s="1" t="s">
        <v>1860</v>
      </c>
      <c r="G3338" s="1" t="str">
        <f>CONCATENATE(" URIHO - ZAGREB,"," AVENIJA MARINA DRŽIĆA 1,"," 10000 ZAGREB,"," OIB: 77931216562")</f>
        <v xml:space="preserve"> URIHO - ZAGREB, AVENIJA MARINA DRŽIĆA 1, 10000 ZAGREB, OIB: 77931216562</v>
      </c>
      <c r="H3338" s="7"/>
      <c r="I3338" s="8" t="s">
        <v>1058</v>
      </c>
      <c r="J3338" s="8" t="s">
        <v>2911</v>
      </c>
      <c r="K3338" s="6" t="str">
        <f>"495,00"</f>
        <v>495,00</v>
      </c>
      <c r="L3338" s="6" t="str">
        <f>"123,75"</f>
        <v>123,75</v>
      </c>
      <c r="M3338" s="6" t="str">
        <f>"618,75"</f>
        <v>618,75</v>
      </c>
      <c r="N3338" s="8" t="s">
        <v>335</v>
      </c>
      <c r="O3338" s="7"/>
      <c r="P3338" s="2" t="s">
        <v>7328</v>
      </c>
      <c r="Q3338" s="7"/>
      <c r="R3338" s="1"/>
      <c r="S3338" s="1" t="str">
        <f>"J-UN-2021-1259"</f>
        <v>J-UN-2021-1259</v>
      </c>
      <c r="T3338" s="1" t="s">
        <v>32</v>
      </c>
    </row>
    <row r="3339" spans="1:20" ht="51" x14ac:dyDescent="0.25">
      <c r="A3339" s="6">
        <v>3333</v>
      </c>
      <c r="B3339" s="1" t="str">
        <f>"2021-192"</f>
        <v>2021-192</v>
      </c>
      <c r="C3339" s="1" t="s">
        <v>2722</v>
      </c>
      <c r="D3339" s="1" t="s">
        <v>689</v>
      </c>
      <c r="E3339" s="1" t="str">
        <f>""</f>
        <v/>
      </c>
      <c r="F3339" s="1" t="s">
        <v>1860</v>
      </c>
      <c r="G3339" s="1" t="str">
        <f>CONCATENATE(" BASIC MODEL D.O.O.,"," TRAVANJSKA 19,"," 10000 ZAGREB,"," OIB: 64150104602")</f>
        <v xml:space="preserve"> BASIC MODEL D.O.O., TRAVANJSKA 19, 10000 ZAGREB, OIB: 64150104602</v>
      </c>
      <c r="H3339" s="7"/>
      <c r="I3339" s="8" t="s">
        <v>1058</v>
      </c>
      <c r="J3339" s="8" t="s">
        <v>2911</v>
      </c>
      <c r="K3339" s="6" t="str">
        <f>"2.760,00"</f>
        <v>2.760,00</v>
      </c>
      <c r="L3339" s="6" t="str">
        <f>"690,00"</f>
        <v>690,00</v>
      </c>
      <c r="M3339" s="6" t="str">
        <f>"3.450,00"</f>
        <v>3.450,00</v>
      </c>
      <c r="N3339" s="8" t="s">
        <v>188</v>
      </c>
      <c r="O3339" s="7"/>
      <c r="P3339" s="2" t="s">
        <v>7550</v>
      </c>
      <c r="Q3339" s="7"/>
      <c r="R3339" s="1"/>
      <c r="S3339" s="1" t="str">
        <f>"J-UN-2021-1260"</f>
        <v>J-UN-2021-1260</v>
      </c>
      <c r="T3339" s="1" t="s">
        <v>32</v>
      </c>
    </row>
    <row r="3340" spans="1:20" ht="51" x14ac:dyDescent="0.25">
      <c r="A3340" s="6">
        <v>3334</v>
      </c>
      <c r="B3340" s="1" t="str">
        <f>"2021-310"</f>
        <v>2021-310</v>
      </c>
      <c r="C3340" s="1" t="s">
        <v>2624</v>
      </c>
      <c r="D3340" s="1" t="s">
        <v>1334</v>
      </c>
      <c r="E3340" s="1" t="str">
        <f>""</f>
        <v/>
      </c>
      <c r="F3340" s="1" t="s">
        <v>1860</v>
      </c>
      <c r="G3340" s="1" t="str">
        <f>CONCATENATE(" PRO-TEHNA D.O.O.,"," MAKSIMIRSKA 64,"," 10000 ZAGREB,"," OIB: 88951687357")</f>
        <v xml:space="preserve"> PRO-TEHNA D.O.O., MAKSIMIRSKA 64, 10000 ZAGREB, OIB: 88951687357</v>
      </c>
      <c r="H3340" s="7"/>
      <c r="I3340" s="8" t="s">
        <v>1058</v>
      </c>
      <c r="J3340" s="8" t="s">
        <v>2911</v>
      </c>
      <c r="K3340" s="6" t="str">
        <f>"5.100,00"</f>
        <v>5.100,00</v>
      </c>
      <c r="L3340" s="6" t="str">
        <f>"1.275,00"</f>
        <v>1.275,00</v>
      </c>
      <c r="M3340" s="6" t="str">
        <f>"6.375,00"</f>
        <v>6.375,00</v>
      </c>
      <c r="N3340" s="8" t="s">
        <v>911</v>
      </c>
      <c r="O3340" s="7"/>
      <c r="P3340" s="2" t="s">
        <v>7551</v>
      </c>
      <c r="Q3340" s="7"/>
      <c r="R3340" s="1"/>
      <c r="S3340" s="1" t="str">
        <f>"J-UN-2021-1261"</f>
        <v>J-UN-2021-1261</v>
      </c>
      <c r="T3340" s="1" t="s">
        <v>32</v>
      </c>
    </row>
    <row r="3341" spans="1:20" ht="51" x14ac:dyDescent="0.25">
      <c r="A3341" s="6">
        <v>3335</v>
      </c>
      <c r="B3341" s="1" t="str">
        <f>"2021-1015"</f>
        <v>2021-1015</v>
      </c>
      <c r="C3341" s="1" t="s">
        <v>2492</v>
      </c>
      <c r="D3341" s="1" t="s">
        <v>2493</v>
      </c>
      <c r="E3341" s="1" t="str">
        <f>""</f>
        <v/>
      </c>
      <c r="F3341" s="1" t="s">
        <v>1860</v>
      </c>
      <c r="G3341" s="1" t="str">
        <f>CONCATENATE(" TPZ D.O.O.,"," NOVOSELSKA 25,"," 10000 ZAGREB,"," OIB: 68119083236")</f>
        <v xml:space="preserve"> TPZ D.O.O., NOVOSELSKA 25, 10000 ZAGREB, OIB: 68119083236</v>
      </c>
      <c r="H3341" s="7"/>
      <c r="I3341" s="8" t="s">
        <v>2291</v>
      </c>
      <c r="J3341" s="8" t="s">
        <v>408</v>
      </c>
      <c r="K3341" s="6" t="str">
        <f>"9.452,42"</f>
        <v>9.452,42</v>
      </c>
      <c r="L3341" s="6" t="str">
        <f>"2.363,11"</f>
        <v>2.363,11</v>
      </c>
      <c r="M3341" s="6" t="str">
        <f>"11.815,53"</f>
        <v>11.815,53</v>
      </c>
      <c r="N3341" s="8" t="s">
        <v>441</v>
      </c>
      <c r="O3341" s="7"/>
      <c r="P3341" s="2" t="s">
        <v>7552</v>
      </c>
      <c r="Q3341" s="7"/>
      <c r="R3341" s="1"/>
      <c r="S3341" s="1" t="str">
        <f>"J-UN-2021-1262"</f>
        <v>J-UN-2021-1262</v>
      </c>
      <c r="T3341" s="1" t="s">
        <v>32</v>
      </c>
    </row>
    <row r="3342" spans="1:20" ht="89.25" x14ac:dyDescent="0.25">
      <c r="A3342" s="6">
        <v>3336</v>
      </c>
      <c r="B3342" s="1" t="str">
        <f>"2021-1764"</f>
        <v>2021-1764</v>
      </c>
      <c r="C3342" s="1" t="s">
        <v>2757</v>
      </c>
      <c r="D3342" s="1" t="s">
        <v>2724</v>
      </c>
      <c r="E3342" s="1" t="str">
        <f>""</f>
        <v/>
      </c>
      <c r="F3342" s="1" t="s">
        <v>1860</v>
      </c>
      <c r="G3342" s="1" t="str">
        <f>CONCATENATE(" ZAVOD ZA ISTRAŽIVANJE I RAZVOJ SIGURNOSTI D.O.O.,"," ULICA GRADA VUKOVARA 68,"," 10000 ZAGREB,"," OIB: 05494093403")</f>
        <v xml:space="preserve"> ZAVOD ZA ISTRAŽIVANJE I RAZVOJ SIGURNOSTI D.O.O., ULICA GRADA VUKOVARA 68, 10000 ZAGREB, OIB: 05494093403</v>
      </c>
      <c r="H3342" s="7"/>
      <c r="I3342" s="8" t="s">
        <v>1058</v>
      </c>
      <c r="J3342" s="8" t="s">
        <v>2911</v>
      </c>
      <c r="K3342" s="6" t="str">
        <f>"24.300,00"</f>
        <v>24.300,00</v>
      </c>
      <c r="L3342" s="6" t="str">
        <f>"6.075,00"</f>
        <v>6.075,00</v>
      </c>
      <c r="M3342" s="6" t="str">
        <f>"30.375,00"</f>
        <v>30.375,00</v>
      </c>
      <c r="N3342" s="8" t="s">
        <v>2770</v>
      </c>
      <c r="O3342" s="7"/>
      <c r="P3342" s="2" t="s">
        <v>7553</v>
      </c>
      <c r="Q3342" s="7"/>
      <c r="R3342" s="1"/>
      <c r="S3342" s="1" t="str">
        <f>"J-UN-2021-1263"</f>
        <v>J-UN-2021-1263</v>
      </c>
      <c r="T3342" s="1" t="s">
        <v>32</v>
      </c>
    </row>
    <row r="3343" spans="1:20" ht="63.75" x14ac:dyDescent="0.25">
      <c r="A3343" s="6">
        <v>3337</v>
      </c>
      <c r="B3343" s="1" t="str">
        <f>"2021-206"</f>
        <v>2021-206</v>
      </c>
      <c r="C3343" s="1" t="s">
        <v>2822</v>
      </c>
      <c r="D3343" s="1" t="s">
        <v>2823</v>
      </c>
      <c r="E3343" s="1" t="str">
        <f>""</f>
        <v/>
      </c>
      <c r="F3343" s="1" t="s">
        <v>1860</v>
      </c>
      <c r="G3343" s="1" t="str">
        <f>CONCATENATE(" KEMOBOJA-DUBRAVA D.O.O.,"," AVENIJA DUBRAVA 37,"," 10000 ZAGREB,"," OIB: 6402157427")</f>
        <v xml:space="preserve"> KEMOBOJA-DUBRAVA D.O.O., AVENIJA DUBRAVA 37, 10000 ZAGREB, OIB: 6402157427</v>
      </c>
      <c r="H3343" s="7"/>
      <c r="I3343" s="8" t="s">
        <v>1058</v>
      </c>
      <c r="J3343" s="8" t="s">
        <v>2911</v>
      </c>
      <c r="K3343" s="6" t="str">
        <f>"5.025,00"</f>
        <v>5.025,00</v>
      </c>
      <c r="L3343" s="6" t="str">
        <f>"1.256,25"</f>
        <v>1.256,25</v>
      </c>
      <c r="M3343" s="6" t="str">
        <f>"6.281,25"</f>
        <v>6.281,25</v>
      </c>
      <c r="N3343" s="8" t="s">
        <v>1350</v>
      </c>
      <c r="O3343" s="7"/>
      <c r="P3343" s="2" t="s">
        <v>7554</v>
      </c>
      <c r="Q3343" s="7"/>
      <c r="R3343" s="1"/>
      <c r="S3343" s="1" t="str">
        <f>"J-UN-2021-1265"</f>
        <v>J-UN-2021-1265</v>
      </c>
      <c r="T3343" s="1" t="s">
        <v>32</v>
      </c>
    </row>
    <row r="3344" spans="1:20" ht="51" x14ac:dyDescent="0.25">
      <c r="A3344" s="6">
        <v>3338</v>
      </c>
      <c r="B3344" s="1" t="str">
        <f>"2021-424"</f>
        <v>2021-424</v>
      </c>
      <c r="C3344" s="1" t="s">
        <v>2881</v>
      </c>
      <c r="D3344" s="1" t="s">
        <v>2882</v>
      </c>
      <c r="E3344" s="1" t="str">
        <f>""</f>
        <v/>
      </c>
      <c r="F3344" s="1" t="s">
        <v>1860</v>
      </c>
      <c r="G3344" s="1" t="str">
        <f>CONCATENATE(" BRIŠAR SERVIS D.O.O.,"," PRELČEVA 21D,"," 10360 SESVETE,"," OIB: 58933898865")</f>
        <v xml:space="preserve"> BRIŠAR SERVIS D.O.O., PRELČEVA 21D, 10360 SESVETE, OIB: 58933898865</v>
      </c>
      <c r="H3344" s="7"/>
      <c r="I3344" s="8" t="s">
        <v>2291</v>
      </c>
      <c r="J3344" s="8" t="s">
        <v>408</v>
      </c>
      <c r="K3344" s="6" t="str">
        <f>"3.659,27"</f>
        <v>3.659,27</v>
      </c>
      <c r="L3344" s="6" t="str">
        <f>"914,82"</f>
        <v>914,82</v>
      </c>
      <c r="M3344" s="6" t="str">
        <f>"4.574,09"</f>
        <v>4.574,09</v>
      </c>
      <c r="N3344" s="8" t="s">
        <v>581</v>
      </c>
      <c r="O3344" s="7"/>
      <c r="P3344" s="2" t="s">
        <v>7555</v>
      </c>
      <c r="Q3344" s="7"/>
      <c r="R3344" s="1"/>
      <c r="S3344" s="1" t="str">
        <f>"J-UN-2021-1267"</f>
        <v>J-UN-2021-1267</v>
      </c>
      <c r="T3344" s="1" t="s">
        <v>32</v>
      </c>
    </row>
    <row r="3345" spans="1:20" ht="51" x14ac:dyDescent="0.25">
      <c r="A3345" s="6">
        <v>3339</v>
      </c>
      <c r="B3345" s="1" t="str">
        <f>"2021-2165"</f>
        <v>2021-2165</v>
      </c>
      <c r="C3345" s="1" t="s">
        <v>2920</v>
      </c>
      <c r="D3345" s="1" t="s">
        <v>2359</v>
      </c>
      <c r="E3345" s="1" t="str">
        <f>""</f>
        <v/>
      </c>
      <c r="F3345" s="1" t="s">
        <v>1860</v>
      </c>
      <c r="G3345" s="1" t="str">
        <f>CONCATENATE(" TEHMAR D.O.O.,"," STAJNIČKA 5,"," 10251 HRVATSKI LESKOVAC,"," OIB: 78055843019")</f>
        <v xml:space="preserve"> TEHMAR D.O.O., STAJNIČKA 5, 10251 HRVATSKI LESKOVAC, OIB: 78055843019</v>
      </c>
      <c r="H3345" s="7"/>
      <c r="I3345" s="8" t="s">
        <v>2906</v>
      </c>
      <c r="J3345" s="8" t="s">
        <v>54</v>
      </c>
      <c r="K3345" s="6" t="str">
        <f>"69.510,00"</f>
        <v>69.510,00</v>
      </c>
      <c r="L3345" s="6" t="str">
        <f>"17.377,50"</f>
        <v>17.377,50</v>
      </c>
      <c r="M3345" s="6" t="str">
        <f>"86.887,50"</f>
        <v>86.887,50</v>
      </c>
      <c r="N3345" s="8" t="s">
        <v>2921</v>
      </c>
      <c r="O3345" s="7"/>
      <c r="P3345" s="2" t="s">
        <v>7556</v>
      </c>
      <c r="Q3345" s="7"/>
      <c r="R3345" s="1"/>
      <c r="S3345" s="1" t="str">
        <f>"J-UN-2021-1268"</f>
        <v>J-UN-2021-1268</v>
      </c>
      <c r="T3345" s="1" t="s">
        <v>32</v>
      </c>
    </row>
    <row r="3346" spans="1:20" ht="63.75" x14ac:dyDescent="0.25">
      <c r="A3346" s="6">
        <v>3340</v>
      </c>
      <c r="B3346" s="1" t="str">
        <f>"2021-1101"</f>
        <v>2021-1101</v>
      </c>
      <c r="C3346" s="1" t="s">
        <v>2702</v>
      </c>
      <c r="D3346" s="1" t="s">
        <v>1209</v>
      </c>
      <c r="E3346" s="1" t="str">
        <f>""</f>
        <v/>
      </c>
      <c r="F3346" s="1" t="s">
        <v>1860</v>
      </c>
      <c r="G3346" s="1" t="str">
        <f>CONCATENATE(" DRÄGER SAFETY D.O.O.,"," AVENIJA VEĆESLAVA HOLJEVCA 40,"," 10010 ZAGREB,"," OIB: 32874587842")</f>
        <v xml:space="preserve"> DRÄGER SAFETY D.O.O., AVENIJA VEĆESLAVA HOLJEVCA 40, 10010 ZAGREB, OIB: 32874587842</v>
      </c>
      <c r="H3346" s="7"/>
      <c r="I3346" s="8" t="s">
        <v>935</v>
      </c>
      <c r="J3346" s="8" t="s">
        <v>374</v>
      </c>
      <c r="K3346" s="6" t="str">
        <f>"411,50"</f>
        <v>411,50</v>
      </c>
      <c r="L3346" s="6" t="str">
        <f>"102,88"</f>
        <v>102,88</v>
      </c>
      <c r="M3346" s="6" t="str">
        <f>"514,38"</f>
        <v>514,38</v>
      </c>
      <c r="N3346" s="8" t="s">
        <v>176</v>
      </c>
      <c r="O3346" s="7"/>
      <c r="P3346" s="2" t="s">
        <v>7557</v>
      </c>
      <c r="Q3346" s="7"/>
      <c r="R3346" s="1"/>
      <c r="S3346" s="1" t="str">
        <f>"J-UN-2021-1269"</f>
        <v>J-UN-2021-1269</v>
      </c>
      <c r="T3346" s="1" t="s">
        <v>32</v>
      </c>
    </row>
    <row r="3347" spans="1:20" ht="51" x14ac:dyDescent="0.25">
      <c r="A3347" s="6">
        <v>3341</v>
      </c>
      <c r="B3347" s="1" t="str">
        <f>"2021-1204"</f>
        <v>2021-1204</v>
      </c>
      <c r="C3347" s="1" t="s">
        <v>2787</v>
      </c>
      <c r="D3347" s="1" t="s">
        <v>1627</v>
      </c>
      <c r="E3347" s="1" t="str">
        <f>""</f>
        <v/>
      </c>
      <c r="F3347" s="1" t="s">
        <v>1860</v>
      </c>
      <c r="G3347" s="1" t="str">
        <f>CONCATENATE(" ELICOM D.O.O.,"," ŠTEFANOVEC 138,"," 10000 ZAGREB,"," OIB: 76370234816")</f>
        <v xml:space="preserve"> ELICOM D.O.O., ŠTEFANOVEC 138, 10000 ZAGREB, OIB: 76370234816</v>
      </c>
      <c r="H3347" s="7"/>
      <c r="I3347" s="8" t="s">
        <v>935</v>
      </c>
      <c r="J3347" s="8" t="s">
        <v>374</v>
      </c>
      <c r="K3347" s="6" t="str">
        <f>"52.388,00"</f>
        <v>52.388,00</v>
      </c>
      <c r="L3347" s="6" t="str">
        <f>"13.097,00"</f>
        <v>13.097,00</v>
      </c>
      <c r="M3347" s="6" t="str">
        <f>"65.485,00"</f>
        <v>65.485,00</v>
      </c>
      <c r="N3347" s="8" t="s">
        <v>134</v>
      </c>
      <c r="O3347" s="7"/>
      <c r="P3347" s="2" t="s">
        <v>7558</v>
      </c>
      <c r="Q3347" s="7"/>
      <c r="R3347" s="1"/>
      <c r="S3347" s="1" t="str">
        <f>"J-UN-2021-1270"</f>
        <v>J-UN-2021-1270</v>
      </c>
      <c r="T3347" s="1" t="s">
        <v>32</v>
      </c>
    </row>
    <row r="3348" spans="1:20" ht="51" x14ac:dyDescent="0.25">
      <c r="A3348" s="6">
        <v>3342</v>
      </c>
      <c r="B3348" s="1" t="str">
        <f>"2021-980"</f>
        <v>2021-980</v>
      </c>
      <c r="C3348" s="1" t="s">
        <v>2606</v>
      </c>
      <c r="D3348" s="1" t="s">
        <v>2607</v>
      </c>
      <c r="E3348" s="1" t="str">
        <f>""</f>
        <v/>
      </c>
      <c r="F3348" s="1" t="s">
        <v>1860</v>
      </c>
      <c r="G3348" s="1" t="str">
        <f>CONCATENATE(" VIA-TRADE,"," ULICA GLAGOLJAŠA 1,"," 51260 CRIKVENICA,"," OIB: 32035649435")</f>
        <v xml:space="preserve"> VIA-TRADE, ULICA GLAGOLJAŠA 1, 51260 CRIKVENICA, OIB: 32035649435</v>
      </c>
      <c r="H3348" s="7"/>
      <c r="I3348" s="8" t="s">
        <v>935</v>
      </c>
      <c r="J3348" s="8" t="s">
        <v>374</v>
      </c>
      <c r="K3348" s="6" t="str">
        <f>"456,00"</f>
        <v>456,00</v>
      </c>
      <c r="L3348" s="6" t="str">
        <f>"114,00"</f>
        <v>114,00</v>
      </c>
      <c r="M3348" s="6" t="str">
        <f>"570,00"</f>
        <v>570,00</v>
      </c>
      <c r="N3348" s="8" t="s">
        <v>2906</v>
      </c>
      <c r="O3348" s="7"/>
      <c r="P3348" s="2" t="s">
        <v>7559</v>
      </c>
      <c r="Q3348" s="7"/>
      <c r="R3348" s="1"/>
      <c r="S3348" s="1" t="str">
        <f>"J-UN-2021-1271"</f>
        <v>J-UN-2021-1271</v>
      </c>
      <c r="T3348" s="1" t="s">
        <v>32</v>
      </c>
    </row>
    <row r="3349" spans="1:20" ht="76.5" x14ac:dyDescent="0.25">
      <c r="A3349" s="6">
        <v>3343</v>
      </c>
      <c r="B3349" s="1" t="str">
        <f>"2021-887"</f>
        <v>2021-887</v>
      </c>
      <c r="C3349" s="1" t="s">
        <v>2778</v>
      </c>
      <c r="D3349" s="1" t="s">
        <v>1833</v>
      </c>
      <c r="E3349" s="1" t="str">
        <f>""</f>
        <v/>
      </c>
      <c r="F3349" s="1" t="s">
        <v>1860</v>
      </c>
      <c r="G3349" s="1" t="str">
        <f>CONCATENATE(" WAWA D.O.O.,"," ODVOJAK INDUSTRIJSKE ULICE,"," NOVAKI 3,"," 10431 SVETA NEDJELJA,"," OIB: 59785180614")</f>
        <v xml:space="preserve"> WAWA D.O.O., ODVOJAK INDUSTRIJSKE ULICE, NOVAKI 3, 10431 SVETA NEDJELJA, OIB: 59785180614</v>
      </c>
      <c r="H3349" s="7"/>
      <c r="I3349" s="8" t="s">
        <v>935</v>
      </c>
      <c r="J3349" s="8" t="s">
        <v>374</v>
      </c>
      <c r="K3349" s="6" t="str">
        <f>"3.700,84"</f>
        <v>3.700,84</v>
      </c>
      <c r="L3349" s="6" t="str">
        <f>"925,21"</f>
        <v>925,21</v>
      </c>
      <c r="M3349" s="6" t="str">
        <f>"4.626,05"</f>
        <v>4.626,05</v>
      </c>
      <c r="N3349" s="8" t="s">
        <v>891</v>
      </c>
      <c r="O3349" s="7"/>
      <c r="P3349" s="2" t="s">
        <v>7560</v>
      </c>
      <c r="Q3349" s="7"/>
      <c r="R3349" s="1"/>
      <c r="S3349" s="1" t="str">
        <f>"J-UN-2021-1273"</f>
        <v>J-UN-2021-1273</v>
      </c>
      <c r="T3349" s="1" t="s">
        <v>32</v>
      </c>
    </row>
    <row r="3350" spans="1:20" ht="63.75" x14ac:dyDescent="0.25">
      <c r="A3350" s="6">
        <v>3344</v>
      </c>
      <c r="B3350" s="1" t="str">
        <f>"2021-979"</f>
        <v>2021-979</v>
      </c>
      <c r="C3350" s="1" t="s">
        <v>2914</v>
      </c>
      <c r="D3350" s="1" t="s">
        <v>2915</v>
      </c>
      <c r="E3350" s="1" t="str">
        <f>""</f>
        <v/>
      </c>
      <c r="F3350" s="1" t="s">
        <v>1860</v>
      </c>
      <c r="G3350" s="1" t="str">
        <f>CONCATENATE(" LATEKS D.O.O.,"," G. LADUČ,"," VLADIMIRA NAZORA 17,"," 10292 ŠENKOVEC,"," OIB: 15590766668")</f>
        <v xml:space="preserve"> LATEKS D.O.O., G. LADUČ, VLADIMIRA NAZORA 17, 10292 ŠENKOVEC, OIB: 15590766668</v>
      </c>
      <c r="H3350" s="7"/>
      <c r="I3350" s="8" t="s">
        <v>2906</v>
      </c>
      <c r="J3350" s="8" t="s">
        <v>54</v>
      </c>
      <c r="K3350" s="6" t="str">
        <f>"9.895,00"</f>
        <v>9.895,00</v>
      </c>
      <c r="L3350" s="6" t="str">
        <f>"2.473,75"</f>
        <v>2.473,75</v>
      </c>
      <c r="M3350" s="6" t="str">
        <f>"12.368,75"</f>
        <v>12.368,75</v>
      </c>
      <c r="N3350" s="8" t="s">
        <v>585</v>
      </c>
      <c r="O3350" s="7"/>
      <c r="P3350" s="2" t="s">
        <v>7561</v>
      </c>
      <c r="Q3350" s="7"/>
      <c r="R3350" s="1"/>
      <c r="S3350" s="1" t="str">
        <f>"J-UN-2021-1274"</f>
        <v>J-UN-2021-1274</v>
      </c>
      <c r="T3350" s="1" t="s">
        <v>32</v>
      </c>
    </row>
    <row r="3351" spans="1:20" ht="51" x14ac:dyDescent="0.25">
      <c r="A3351" s="6">
        <v>3345</v>
      </c>
      <c r="B3351" s="1" t="str">
        <f>"2021-1740"</f>
        <v>2021-1740</v>
      </c>
      <c r="C3351" s="1" t="s">
        <v>2891</v>
      </c>
      <c r="D3351" s="1" t="s">
        <v>165</v>
      </c>
      <c r="E3351" s="1" t="str">
        <f>""</f>
        <v/>
      </c>
      <c r="F3351" s="1" t="s">
        <v>1860</v>
      </c>
      <c r="G3351" s="1" t="str">
        <f>CONCATENATE(" ECO CASA D.O.O.,"," JUŠIĆI 69C,"," 51211 MATULJI,"," OIB: 36791514258")</f>
        <v xml:space="preserve"> ECO CASA D.O.O., JUŠIĆI 69C, 51211 MATULJI, OIB: 36791514258</v>
      </c>
      <c r="H3351" s="7"/>
      <c r="I3351" s="8" t="s">
        <v>935</v>
      </c>
      <c r="J3351" s="8" t="s">
        <v>374</v>
      </c>
      <c r="K3351" s="6" t="str">
        <f>"4.800,00"</f>
        <v>4.800,00</v>
      </c>
      <c r="L3351" s="6" t="str">
        <f>"1.200,00"</f>
        <v>1.200,00</v>
      </c>
      <c r="M3351" s="6" t="str">
        <f>"6.000,00"</f>
        <v>6.000,00</v>
      </c>
      <c r="N3351" s="8" t="s">
        <v>891</v>
      </c>
      <c r="O3351" s="7"/>
      <c r="P3351" s="2" t="s">
        <v>6850</v>
      </c>
      <c r="Q3351" s="7"/>
      <c r="R3351" s="1"/>
      <c r="S3351" s="1" t="str">
        <f>"J-UN-2021-1275"</f>
        <v>J-UN-2021-1275</v>
      </c>
      <c r="T3351" s="1" t="s">
        <v>32</v>
      </c>
    </row>
    <row r="3352" spans="1:20" ht="51" x14ac:dyDescent="0.25">
      <c r="A3352" s="6">
        <v>3346</v>
      </c>
      <c r="B3352" s="1" t="str">
        <f>"2021-983"</f>
        <v>2021-983</v>
      </c>
      <c r="C3352" s="1" t="s">
        <v>2690</v>
      </c>
      <c r="D3352" s="1" t="s">
        <v>2691</v>
      </c>
      <c r="E3352" s="1" t="str">
        <f>""</f>
        <v/>
      </c>
      <c r="F3352" s="1" t="s">
        <v>1860</v>
      </c>
      <c r="G3352" s="1" t="str">
        <f>CONCATENATE(" VODOSKOK D.D.,"," ČULINEČKA CESTA 221/C,"," 10040 ZAGREB,"," OIB: 34134218058")</f>
        <v xml:space="preserve"> VODOSKOK D.D., ČULINEČKA CESTA 221/C, 10040 ZAGREB, OIB: 34134218058</v>
      </c>
      <c r="H3352" s="7"/>
      <c r="I3352" s="8" t="s">
        <v>2906</v>
      </c>
      <c r="J3352" s="8" t="s">
        <v>54</v>
      </c>
      <c r="K3352" s="6" t="str">
        <f>"4.043,00"</f>
        <v>4.043,00</v>
      </c>
      <c r="L3352" s="6" t="str">
        <f>"1.010,75"</f>
        <v>1.010,75</v>
      </c>
      <c r="M3352" s="6" t="str">
        <f>"5.053,75"</f>
        <v>5.053,75</v>
      </c>
      <c r="N3352" s="8" t="s">
        <v>188</v>
      </c>
      <c r="O3352" s="7"/>
      <c r="P3352" s="2" t="s">
        <v>7562</v>
      </c>
      <c r="Q3352" s="7"/>
      <c r="R3352" s="1"/>
      <c r="S3352" s="1" t="str">
        <f>"J-UN-2021-1276"</f>
        <v>J-UN-2021-1276</v>
      </c>
      <c r="T3352" s="1" t="s">
        <v>32</v>
      </c>
    </row>
    <row r="3353" spans="1:20" ht="76.5" x14ac:dyDescent="0.25">
      <c r="A3353" s="6">
        <v>3347</v>
      </c>
      <c r="B3353" s="1" t="str">
        <f>"2021-77"</f>
        <v>2021-77</v>
      </c>
      <c r="C3353" s="1" t="s">
        <v>2907</v>
      </c>
      <c r="D3353" s="1" t="s">
        <v>143</v>
      </c>
      <c r="E3353" s="1" t="str">
        <f>""</f>
        <v/>
      </c>
      <c r="F3353" s="1" t="s">
        <v>1860</v>
      </c>
      <c r="G3353" s="1" t="str">
        <f>CONCATENATE(" SOCIJALNA ZADRUGA HUMANA NOVA ČAKOVEC,"," ULICA ŽRTAVA FAŠIZMA 3,"," 40000 ČAKOVEC,"," OIB: 27711345503")</f>
        <v xml:space="preserve"> SOCIJALNA ZADRUGA HUMANA NOVA ČAKOVEC, ULICA ŽRTAVA FAŠIZMA 3, 40000 ČAKOVEC, OIB: 27711345503</v>
      </c>
      <c r="H3353" s="7"/>
      <c r="I3353" s="8" t="s">
        <v>656</v>
      </c>
      <c r="J3353" s="8" t="s">
        <v>317</v>
      </c>
      <c r="K3353" s="6" t="str">
        <f>"6.500,00"</f>
        <v>6.500,00</v>
      </c>
      <c r="L3353" s="6" t="str">
        <f>"1.625,00"</f>
        <v>1.625,00</v>
      </c>
      <c r="M3353" s="6" t="str">
        <f>"8.125,00"</f>
        <v>8.125,00</v>
      </c>
      <c r="N3353" s="8" t="s">
        <v>911</v>
      </c>
      <c r="O3353" s="7"/>
      <c r="P3353" s="2" t="s">
        <v>7563</v>
      </c>
      <c r="Q3353" s="7"/>
      <c r="R3353" s="1"/>
      <c r="S3353" s="1" t="str">
        <f>"J-UN-2021-1277"</f>
        <v>J-UN-2021-1277</v>
      </c>
      <c r="T3353" s="1" t="s">
        <v>32</v>
      </c>
    </row>
    <row r="3354" spans="1:20" ht="63.75" x14ac:dyDescent="0.25">
      <c r="A3354" s="6">
        <v>3348</v>
      </c>
      <c r="B3354" s="1" t="str">
        <f>"2021-576"</f>
        <v>2021-576</v>
      </c>
      <c r="C3354" s="1" t="s">
        <v>2561</v>
      </c>
      <c r="D3354" s="1" t="s">
        <v>2156</v>
      </c>
      <c r="E3354" s="1" t="str">
        <f>""</f>
        <v/>
      </c>
      <c r="F3354" s="1" t="s">
        <v>1860</v>
      </c>
      <c r="G3354" s="1" t="str">
        <f>CONCATENATE(" MAKROMIKRO GRUPA D.O.O.,"," VUKOMERIČKA ULICA 6,"," 10410 VELIKA GORICA,"," OIB: 5046797487")</f>
        <v xml:space="preserve"> MAKROMIKRO GRUPA D.O.O., VUKOMERIČKA ULICA 6, 10410 VELIKA GORICA, OIB: 5046797487</v>
      </c>
      <c r="H3354" s="7"/>
      <c r="I3354" s="8" t="s">
        <v>656</v>
      </c>
      <c r="J3354" s="8" t="s">
        <v>317</v>
      </c>
      <c r="K3354" s="6" t="str">
        <f>"2.892,00"</f>
        <v>2.892,00</v>
      </c>
      <c r="L3354" s="6" t="str">
        <f>"723,00"</f>
        <v>723,00</v>
      </c>
      <c r="M3354" s="6" t="str">
        <f>"3.615,00"</f>
        <v>3.615,00</v>
      </c>
      <c r="N3354" s="8" t="s">
        <v>891</v>
      </c>
      <c r="O3354" s="7"/>
      <c r="P3354" s="2" t="s">
        <v>7266</v>
      </c>
      <c r="Q3354" s="7"/>
      <c r="R3354" s="1"/>
      <c r="S3354" s="1" t="str">
        <f>"J-UN-2021-1278"</f>
        <v>J-UN-2021-1278</v>
      </c>
      <c r="T3354" s="1" t="s">
        <v>32</v>
      </c>
    </row>
    <row r="3355" spans="1:20" ht="51" x14ac:dyDescent="0.25">
      <c r="A3355" s="6">
        <v>3349</v>
      </c>
      <c r="B3355" s="1" t="str">
        <f>"2021-221"</f>
        <v>2021-221</v>
      </c>
      <c r="C3355" s="1" t="s">
        <v>2692</v>
      </c>
      <c r="D3355" s="1" t="s">
        <v>2693</v>
      </c>
      <c r="E3355" s="1" t="str">
        <f>""</f>
        <v/>
      </c>
      <c r="F3355" s="1" t="s">
        <v>1860</v>
      </c>
      <c r="G3355" s="1" t="str">
        <f>CONCATENATE(" COMET D.O.O.,"," VARAŽDINSKA 40/C,"," 42220 NOVI MAROF,"," OIB: 48249084626")</f>
        <v xml:space="preserve"> COMET D.O.O., VARAŽDINSKA 40/C, 42220 NOVI MAROF, OIB: 48249084626</v>
      </c>
      <c r="H3355" s="7"/>
      <c r="I3355" s="8" t="s">
        <v>1058</v>
      </c>
      <c r="J3355" s="8" t="s">
        <v>2911</v>
      </c>
      <c r="K3355" s="6" t="str">
        <f>"669,00"</f>
        <v>669,00</v>
      </c>
      <c r="L3355" s="6" t="str">
        <f>"167,25"</f>
        <v>167,25</v>
      </c>
      <c r="M3355" s="6" t="str">
        <f>"836,25"</f>
        <v>836,25</v>
      </c>
      <c r="N3355" s="8" t="s">
        <v>1167</v>
      </c>
      <c r="O3355" s="7"/>
      <c r="P3355" s="2" t="s">
        <v>7564</v>
      </c>
      <c r="Q3355" s="7"/>
      <c r="R3355" s="1"/>
      <c r="S3355" s="1" t="str">
        <f>"J-UN-2021-1279"</f>
        <v>J-UN-2021-1279</v>
      </c>
      <c r="T3355" s="1" t="s">
        <v>32</v>
      </c>
    </row>
    <row r="3356" spans="1:20" ht="63.75" x14ac:dyDescent="0.25">
      <c r="A3356" s="6">
        <v>3350</v>
      </c>
      <c r="B3356" s="1" t="str">
        <f>"2021-491"</f>
        <v>2021-491</v>
      </c>
      <c r="C3356" s="1" t="s">
        <v>2788</v>
      </c>
      <c r="D3356" s="1" t="s">
        <v>2789</v>
      </c>
      <c r="E3356" s="1" t="str">
        <f>""</f>
        <v/>
      </c>
      <c r="F3356" s="1" t="s">
        <v>1860</v>
      </c>
      <c r="G3356" s="1" t="str">
        <f>CONCATENATE(" ELEKTRO-KOMUNIKACIJE D.O.O.,"," 14. PODBREŽJE 4,"," 10000 ZAGREB,"," OIB: 76412373309")</f>
        <v xml:space="preserve"> ELEKTRO-KOMUNIKACIJE D.O.O., 14. PODBREŽJE 4, 10000 ZAGREB, OIB: 76412373309</v>
      </c>
      <c r="H3356" s="7"/>
      <c r="I3356" s="8" t="s">
        <v>2913</v>
      </c>
      <c r="J3356" s="8" t="s">
        <v>432</v>
      </c>
      <c r="K3356" s="6" t="str">
        <f>"1.785,00"</f>
        <v>1.785,00</v>
      </c>
      <c r="L3356" s="6" t="str">
        <f>"446,25"</f>
        <v>446,25</v>
      </c>
      <c r="M3356" s="6" t="str">
        <f>"2.231,25"</f>
        <v>2.231,25</v>
      </c>
      <c r="N3356" s="8" t="s">
        <v>707</v>
      </c>
      <c r="O3356" s="7"/>
      <c r="P3356" s="2" t="s">
        <v>7565</v>
      </c>
      <c r="Q3356" s="7"/>
      <c r="R3356" s="1"/>
      <c r="S3356" s="1" t="str">
        <f>"J-UN-2021-1280"</f>
        <v>J-UN-2021-1280</v>
      </c>
      <c r="T3356" s="1" t="s">
        <v>32</v>
      </c>
    </row>
    <row r="3357" spans="1:20" ht="51" x14ac:dyDescent="0.25">
      <c r="A3357" s="6">
        <v>3351</v>
      </c>
      <c r="B3357" s="1" t="str">
        <f>"2021-1172"</f>
        <v>2021-1172</v>
      </c>
      <c r="C3357" s="1" t="s">
        <v>2922</v>
      </c>
      <c r="D3357" s="1" t="s">
        <v>1373</v>
      </c>
      <c r="E3357" s="1" t="str">
        <f>""</f>
        <v/>
      </c>
      <c r="F3357" s="1" t="s">
        <v>1860</v>
      </c>
      <c r="G3357" s="1" t="str">
        <f>CONCATENATE(" PIN TEHNIKA D.O.O.,"," PULSKA 15,"," 51000 RIJEKA,"," OIB: 1590243604")</f>
        <v xml:space="preserve"> PIN TEHNIKA D.O.O., PULSKA 15, 51000 RIJEKA, OIB: 1590243604</v>
      </c>
      <c r="H3357" s="7"/>
      <c r="I3357" s="8" t="s">
        <v>441</v>
      </c>
      <c r="J3357" s="8" t="s">
        <v>567</v>
      </c>
      <c r="K3357" s="6" t="str">
        <f>"2.000,00"</f>
        <v>2.000,00</v>
      </c>
      <c r="L3357" s="6" t="str">
        <f>"500,00"</f>
        <v>500,00</v>
      </c>
      <c r="M3357" s="6" t="str">
        <f>"2.500,00"</f>
        <v>2.500,00</v>
      </c>
      <c r="N3357" s="8" t="s">
        <v>771</v>
      </c>
      <c r="O3357" s="7"/>
      <c r="P3357" s="2" t="s">
        <v>6405</v>
      </c>
      <c r="Q3357" s="7"/>
      <c r="R3357" s="1"/>
      <c r="S3357" s="1" t="str">
        <f>"J-UN-2021-1326"</f>
        <v>J-UN-2021-1326</v>
      </c>
      <c r="T3357" s="1" t="s">
        <v>32</v>
      </c>
    </row>
    <row r="3358" spans="1:20" ht="63.75" x14ac:dyDescent="0.25">
      <c r="A3358" s="6">
        <v>3352</v>
      </c>
      <c r="B3358" s="1" t="str">
        <f>"2021-489"</f>
        <v>2021-489</v>
      </c>
      <c r="C3358" s="1" t="s">
        <v>2741</v>
      </c>
      <c r="D3358" s="1" t="s">
        <v>2742</v>
      </c>
      <c r="E3358" s="1" t="str">
        <f>""</f>
        <v/>
      </c>
      <c r="F3358" s="1" t="s">
        <v>1860</v>
      </c>
      <c r="G3358" s="1" t="str">
        <f>CONCATENATE(" ELEKTRO-KOMUNIKACIJE D.O.O.,"," 14. PODBREŽJE 4,"," 10000 ZAGREB,"," OIB: 76412373309")</f>
        <v xml:space="preserve"> ELEKTRO-KOMUNIKACIJE D.O.O., 14. PODBREŽJE 4, 10000 ZAGREB, OIB: 76412373309</v>
      </c>
      <c r="H3358" s="7"/>
      <c r="I3358" s="8" t="s">
        <v>2913</v>
      </c>
      <c r="J3358" s="8" t="s">
        <v>432</v>
      </c>
      <c r="K3358" s="6" t="str">
        <f>"1.190,00"</f>
        <v>1.190,00</v>
      </c>
      <c r="L3358" s="6" t="str">
        <f>"297,50"</f>
        <v>297,50</v>
      </c>
      <c r="M3358" s="6" t="str">
        <f>"1.487,50"</f>
        <v>1.487,50</v>
      </c>
      <c r="N3358" s="8" t="s">
        <v>2770</v>
      </c>
      <c r="O3358" s="7"/>
      <c r="P3358" s="2" t="s">
        <v>5645</v>
      </c>
      <c r="Q3358" s="7"/>
      <c r="R3358" s="1"/>
      <c r="S3358" s="1" t="str">
        <f>"J-UN-2021-1327"</f>
        <v>J-UN-2021-1327</v>
      </c>
      <c r="T3358" s="1" t="s">
        <v>32</v>
      </c>
    </row>
    <row r="3359" spans="1:20" ht="63.75" x14ac:dyDescent="0.25">
      <c r="A3359" s="6">
        <v>3353</v>
      </c>
      <c r="B3359" s="1" t="str">
        <f>"2021-1761"</f>
        <v>2021-1761</v>
      </c>
      <c r="C3359" s="1" t="s">
        <v>2923</v>
      </c>
      <c r="D3359" s="1" t="s">
        <v>2924</v>
      </c>
      <c r="E3359" s="1" t="str">
        <f>""</f>
        <v/>
      </c>
      <c r="F3359" s="1" t="s">
        <v>1860</v>
      </c>
      <c r="G3359" s="1" t="str">
        <f>CONCATENATE(" VODOOPSKRBA I ODVODNJA D.O.O.,"," FOLNEGOVIĆEVA 1B,"," 10000 ZAGREB,"," OIB: 83416546499")</f>
        <v xml:space="preserve"> VODOOPSKRBA I ODVODNJA D.O.O., FOLNEGOVIĆEVA 1B, 10000 ZAGREB, OIB: 83416546499</v>
      </c>
      <c r="H3359" s="7"/>
      <c r="I3359" s="8" t="s">
        <v>578</v>
      </c>
      <c r="J3359" s="8" t="s">
        <v>102</v>
      </c>
      <c r="K3359" s="6" t="str">
        <f>"124.600,00"</f>
        <v>124.600,00</v>
      </c>
      <c r="L3359" s="6" t="str">
        <f>"31.150,00"</f>
        <v>31.150,00</v>
      </c>
      <c r="M3359" s="6" t="str">
        <f>"155.750,00"</f>
        <v>155.750,00</v>
      </c>
      <c r="N3359" s="8" t="s">
        <v>124</v>
      </c>
      <c r="O3359" s="7"/>
      <c r="P3359" s="2" t="s">
        <v>5614</v>
      </c>
      <c r="Q3359" s="7"/>
      <c r="R3359" s="1"/>
      <c r="S3359" s="1" t="str">
        <f>"J-UN-2021-1328"</f>
        <v>J-UN-2021-1328</v>
      </c>
      <c r="T3359" s="1" t="s">
        <v>32</v>
      </c>
    </row>
    <row r="3360" spans="1:20" ht="76.5" x14ac:dyDescent="0.25">
      <c r="A3360" s="6">
        <v>3354</v>
      </c>
      <c r="B3360" s="1" t="str">
        <f>"2021-2214"</f>
        <v>2021-2214</v>
      </c>
      <c r="C3360" s="1" t="s">
        <v>2925</v>
      </c>
      <c r="D3360" s="1" t="s">
        <v>2107</v>
      </c>
      <c r="E3360" s="1" t="str">
        <f>""</f>
        <v/>
      </c>
      <c r="F3360" s="1" t="s">
        <v>1860</v>
      </c>
      <c r="G3360" s="1" t="str">
        <f>CONCATENATE(" MRAZEK D.O.O.,"," GOSPOČAK 69,"," 10000 ZAGREB,"," OIB: 52728032493")</f>
        <v xml:space="preserve"> MRAZEK D.O.O., GOSPOČAK 69, 10000 ZAGREB, OIB: 52728032493</v>
      </c>
      <c r="H3360" s="7"/>
      <c r="I3360" s="8" t="s">
        <v>1058</v>
      </c>
      <c r="J3360" s="8" t="s">
        <v>2911</v>
      </c>
      <c r="K3360" s="6" t="str">
        <f>"69.000,00"</f>
        <v>69.000,00</v>
      </c>
      <c r="L3360" s="6" t="str">
        <f>"17.250,00"</f>
        <v>17.250,00</v>
      </c>
      <c r="M3360" s="6" t="str">
        <f>"86.250,00"</f>
        <v>86.250,00</v>
      </c>
      <c r="N3360" s="8" t="s">
        <v>124</v>
      </c>
      <c r="O3360" s="7"/>
      <c r="P3360" s="2" t="s">
        <v>5614</v>
      </c>
      <c r="Q3360" s="7"/>
      <c r="R3360" s="1"/>
      <c r="S3360" s="1" t="str">
        <f>"J-UN-2021-1331"</f>
        <v>J-UN-2021-1331</v>
      </c>
      <c r="T3360" s="1" t="s">
        <v>32</v>
      </c>
    </row>
    <row r="3361" spans="1:20" ht="51" x14ac:dyDescent="0.25">
      <c r="A3361" s="6">
        <v>3355</v>
      </c>
      <c r="B3361" s="1" t="str">
        <f>"2021-481"</f>
        <v>2021-481</v>
      </c>
      <c r="C3361" s="1" t="s">
        <v>2626</v>
      </c>
      <c r="D3361" s="1" t="s">
        <v>2627</v>
      </c>
      <c r="E3361" s="1" t="str">
        <f>""</f>
        <v/>
      </c>
      <c r="F3361" s="1" t="s">
        <v>1860</v>
      </c>
      <c r="G3361" s="1" t="str">
        <f>CONCATENATE(" E-ELMES D.O.O.,"," MATIJE MESIĆA 29A,"," 10370 DUGO SELO,"," OIB: 89958947498")</f>
        <v xml:space="preserve"> E-ELMES D.O.O., MATIJE MESIĆA 29A, 10370 DUGO SELO, OIB: 89958947498</v>
      </c>
      <c r="H3361" s="7"/>
      <c r="I3361" s="8" t="s">
        <v>441</v>
      </c>
      <c r="J3361" s="8" t="s">
        <v>567</v>
      </c>
      <c r="K3361" s="6" t="str">
        <f>"1.008,00"</f>
        <v>1.008,00</v>
      </c>
      <c r="L3361" s="6" t="str">
        <f>"252,00"</f>
        <v>252,00</v>
      </c>
      <c r="M3361" s="6" t="str">
        <f>"1.260,00"</f>
        <v>1.260,00</v>
      </c>
      <c r="N3361" s="8" t="s">
        <v>911</v>
      </c>
      <c r="O3361" s="7"/>
      <c r="P3361" s="2" t="s">
        <v>7566</v>
      </c>
      <c r="Q3361" s="7"/>
      <c r="R3361" s="1"/>
      <c r="S3361" s="1" t="str">
        <f>"J-UN-2021-1333"</f>
        <v>J-UN-2021-1333</v>
      </c>
      <c r="T3361" s="1" t="s">
        <v>32</v>
      </c>
    </row>
    <row r="3362" spans="1:20" ht="63.75" x14ac:dyDescent="0.25">
      <c r="A3362" s="6">
        <v>3356</v>
      </c>
      <c r="B3362" s="1" t="str">
        <f>"2021-184"</f>
        <v>2021-184</v>
      </c>
      <c r="C3362" s="1" t="s">
        <v>2926</v>
      </c>
      <c r="D3362" s="1" t="s">
        <v>689</v>
      </c>
      <c r="E3362" s="1" t="str">
        <f>""</f>
        <v/>
      </c>
      <c r="F3362" s="1" t="s">
        <v>1860</v>
      </c>
      <c r="G3362" s="1" t="str">
        <f>CONCATENATE(" ROTOPLAST D.O.O.,"," PODUZETNIČKA 7,"," 10431 SVETA NEDJELJA - KERESTINEC,"," OIB: 3795557299")</f>
        <v xml:space="preserve"> ROTOPLAST D.O.O., PODUZETNIČKA 7, 10431 SVETA NEDJELJA - KERESTINEC, OIB: 3795557299</v>
      </c>
      <c r="H3362" s="7"/>
      <c r="I3362" s="8" t="s">
        <v>441</v>
      </c>
      <c r="J3362" s="8" t="s">
        <v>567</v>
      </c>
      <c r="K3362" s="6" t="str">
        <f>"198.284,00"</f>
        <v>198.284,00</v>
      </c>
      <c r="L3362" s="6" t="str">
        <f>"49.571,00"</f>
        <v>49.571,00</v>
      </c>
      <c r="M3362" s="6" t="str">
        <f>"247.855,00"</f>
        <v>247.855,00</v>
      </c>
      <c r="N3362" s="8" t="s">
        <v>2297</v>
      </c>
      <c r="O3362" s="7"/>
      <c r="P3362" s="2" t="s">
        <v>7567</v>
      </c>
      <c r="Q3362" s="7"/>
      <c r="R3362" s="1"/>
      <c r="S3362" s="1" t="str">
        <f>"J-UN-2021-1336"</f>
        <v>J-UN-2021-1336</v>
      </c>
      <c r="T3362" s="1" t="s">
        <v>32</v>
      </c>
    </row>
    <row r="3363" spans="1:20" ht="51" x14ac:dyDescent="0.25">
      <c r="A3363" s="6">
        <v>3357</v>
      </c>
      <c r="B3363" s="1" t="str">
        <f>"2021-1441"</f>
        <v>2021-1441</v>
      </c>
      <c r="C3363" s="1" t="s">
        <v>2316</v>
      </c>
      <c r="D3363" s="1" t="s">
        <v>2211</v>
      </c>
      <c r="E3363" s="1" t="str">
        <f>""</f>
        <v/>
      </c>
      <c r="F3363" s="1" t="s">
        <v>1860</v>
      </c>
      <c r="G3363" s="1" t="str">
        <f>CONCATENATE(" DELOITTE D.O.O.,"," RADNIČKA CESTA 80,"," 10000 ZAGREB,"," OIB: 1168645778")</f>
        <v xml:space="preserve"> DELOITTE D.O.O., RADNIČKA CESTA 80, 10000 ZAGREB, OIB: 1168645778</v>
      </c>
      <c r="H3363" s="7"/>
      <c r="I3363" s="8" t="s">
        <v>891</v>
      </c>
      <c r="J3363" s="8" t="s">
        <v>414</v>
      </c>
      <c r="K3363" s="6" t="str">
        <f>"41.200,00"</f>
        <v>41.200,00</v>
      </c>
      <c r="L3363" s="6" t="str">
        <f>"10.300,00"</f>
        <v>10.300,00</v>
      </c>
      <c r="M3363" s="6" t="str">
        <f>"51.500,00"</f>
        <v>51.500,00</v>
      </c>
      <c r="N3363" s="8" t="s">
        <v>856</v>
      </c>
      <c r="O3363" s="7"/>
      <c r="P3363" s="2" t="s">
        <v>7568</v>
      </c>
      <c r="Q3363" s="7"/>
      <c r="R3363" s="1"/>
      <c r="S3363" s="1" t="str">
        <f>"J-UN-2021-1337"</f>
        <v>J-UN-2021-1337</v>
      </c>
      <c r="T3363" s="1" t="s">
        <v>32</v>
      </c>
    </row>
    <row r="3364" spans="1:20" ht="51" x14ac:dyDescent="0.25">
      <c r="A3364" s="6">
        <v>3358</v>
      </c>
      <c r="B3364" s="1" t="str">
        <f>"2021-1283"</f>
        <v>2021-1283</v>
      </c>
      <c r="C3364" s="1" t="s">
        <v>2927</v>
      </c>
      <c r="D3364" s="1" t="s">
        <v>2928</v>
      </c>
      <c r="E3364" s="1" t="str">
        <f>""</f>
        <v/>
      </c>
      <c r="F3364" s="1" t="s">
        <v>1860</v>
      </c>
      <c r="G3364" s="1" t="str">
        <f>CONCATENATE(" AKT INTEGRA J.D.O.O.,"," ČRET 101/A,"," 10000 ZAGREB,"," OIB: 58938691385")</f>
        <v xml:space="preserve"> AKT INTEGRA J.D.O.O., ČRET 101/A, 10000 ZAGREB, OIB: 58938691385</v>
      </c>
      <c r="H3364" s="7"/>
      <c r="I3364" s="8" t="s">
        <v>891</v>
      </c>
      <c r="J3364" s="8" t="s">
        <v>414</v>
      </c>
      <c r="K3364" s="6" t="str">
        <f>"17.400,00"</f>
        <v>17.400,00</v>
      </c>
      <c r="L3364" s="6" t="str">
        <f>"4.350,00"</f>
        <v>4.350,00</v>
      </c>
      <c r="M3364" s="6" t="str">
        <f>"21.750,00"</f>
        <v>21.750,00</v>
      </c>
      <c r="N3364" s="8" t="s">
        <v>1139</v>
      </c>
      <c r="O3364" s="7"/>
      <c r="P3364" s="2" t="s">
        <v>6858</v>
      </c>
      <c r="Q3364" s="7"/>
      <c r="R3364" s="1"/>
      <c r="S3364" s="1" t="str">
        <f>"J-UN-2021-1338"</f>
        <v>J-UN-2021-1338</v>
      </c>
      <c r="T3364" s="1" t="s">
        <v>32</v>
      </c>
    </row>
    <row r="3365" spans="1:20" ht="38.25" x14ac:dyDescent="0.25">
      <c r="A3365" s="6">
        <v>3359</v>
      </c>
      <c r="B3365" s="1" t="str">
        <f>"2021-1412"</f>
        <v>2021-1412</v>
      </c>
      <c r="C3365" s="1" t="s">
        <v>2779</v>
      </c>
      <c r="D3365" s="1" t="s">
        <v>2780</v>
      </c>
      <c r="E3365" s="1" t="str">
        <f>""</f>
        <v/>
      </c>
      <c r="F3365" s="1" t="s">
        <v>1860</v>
      </c>
      <c r="G3365" s="1" t="str">
        <f>CONCATENATE(" DUN&amp;BRADSTREET D.O.O.,"," ,"," OIB: 48270876028")</f>
        <v xml:space="preserve"> DUN&amp;BRADSTREET D.O.O., , OIB: 48270876028</v>
      </c>
      <c r="H3365" s="7"/>
      <c r="I3365" s="8" t="s">
        <v>2906</v>
      </c>
      <c r="J3365" s="8" t="s">
        <v>54</v>
      </c>
      <c r="K3365" s="6" t="str">
        <f>"5.940,00"</f>
        <v>5.940,00</v>
      </c>
      <c r="L3365" s="6" t="str">
        <f>"1.485,00"</f>
        <v>1.485,00</v>
      </c>
      <c r="M3365" s="6" t="str">
        <f>"7.425,00"</f>
        <v>7.425,00</v>
      </c>
      <c r="N3365" s="8" t="s">
        <v>1058</v>
      </c>
      <c r="O3365" s="7"/>
      <c r="P3365" s="2" t="s">
        <v>7569</v>
      </c>
      <c r="Q3365" s="7"/>
      <c r="R3365" s="1"/>
      <c r="S3365" s="1" t="str">
        <f>"J-UN-2021-1339"</f>
        <v>J-UN-2021-1339</v>
      </c>
      <c r="T3365" s="1" t="s">
        <v>32</v>
      </c>
    </row>
    <row r="3366" spans="1:20" ht="51" x14ac:dyDescent="0.25">
      <c r="A3366" s="6">
        <v>3360</v>
      </c>
      <c r="B3366" s="1" t="str">
        <f>"2021-799"</f>
        <v>2021-799</v>
      </c>
      <c r="C3366" s="1" t="s">
        <v>2775</v>
      </c>
      <c r="D3366" s="1" t="s">
        <v>2776</v>
      </c>
      <c r="E3366" s="1" t="str">
        <f>""</f>
        <v/>
      </c>
      <c r="F3366" s="1" t="s">
        <v>1860</v>
      </c>
      <c r="G3366" s="1" t="str">
        <f>CONCATENATE(" Z - EL D.O.O.,"," INDUSTRIJSKA CESTA 28,"," 10360 SESVETE,"," OIB: 11374156664")</f>
        <v xml:space="preserve"> Z - EL D.O.O., INDUSTRIJSKA CESTA 28, 10360 SESVETE, OIB: 11374156664</v>
      </c>
      <c r="H3366" s="7"/>
      <c r="I3366" s="8" t="s">
        <v>1522</v>
      </c>
      <c r="J3366" s="8" t="s">
        <v>420</v>
      </c>
      <c r="K3366" s="6" t="str">
        <f>"3.000,00"</f>
        <v>3.000,00</v>
      </c>
      <c r="L3366" s="6" t="str">
        <f>"750,00"</f>
        <v>750,00</v>
      </c>
      <c r="M3366" s="6" t="str">
        <f>"3.750,00"</f>
        <v>3.750,00</v>
      </c>
      <c r="N3366" s="8" t="s">
        <v>159</v>
      </c>
      <c r="O3366" s="7"/>
      <c r="P3366" s="2" t="s">
        <v>7570</v>
      </c>
      <c r="Q3366" s="7"/>
      <c r="R3366" s="1"/>
      <c r="S3366" s="1" t="str">
        <f>"J-UN-2021-1341"</f>
        <v>J-UN-2021-1341</v>
      </c>
      <c r="T3366" s="1" t="s">
        <v>32</v>
      </c>
    </row>
    <row r="3367" spans="1:20" ht="51" x14ac:dyDescent="0.25">
      <c r="A3367" s="6">
        <v>3361</v>
      </c>
      <c r="B3367" s="1" t="str">
        <f>"2021-981"</f>
        <v>2021-981</v>
      </c>
      <c r="C3367" s="1" t="s">
        <v>2615</v>
      </c>
      <c r="D3367" s="1" t="s">
        <v>999</v>
      </c>
      <c r="E3367" s="1" t="str">
        <f>""</f>
        <v/>
      </c>
      <c r="F3367" s="1" t="s">
        <v>1860</v>
      </c>
      <c r="G3367" s="1" t="str">
        <f>CONCATENATE(" ARBORI CULTURA D.O.O.,"," POKUPSKO 86,"," 10414 POKUPSKO,"," OIB: 16690651659")</f>
        <v xml:space="preserve"> ARBORI CULTURA D.O.O., POKUPSKO 86, 10414 POKUPSKO, OIB: 16690651659</v>
      </c>
      <c r="H3367" s="7"/>
      <c r="I3367" s="8" t="s">
        <v>911</v>
      </c>
      <c r="J3367" s="8" t="s">
        <v>2929</v>
      </c>
      <c r="K3367" s="6" t="str">
        <f>"880,00"</f>
        <v>880,00</v>
      </c>
      <c r="L3367" s="6" t="str">
        <f>"220,00"</f>
        <v>220,00</v>
      </c>
      <c r="M3367" s="6" t="str">
        <f>"1.100,00"</f>
        <v>1.100,00</v>
      </c>
      <c r="N3367" s="8" t="s">
        <v>145</v>
      </c>
      <c r="O3367" s="7"/>
      <c r="P3367" s="2" t="s">
        <v>6508</v>
      </c>
      <c r="Q3367" s="7"/>
      <c r="R3367" s="1"/>
      <c r="S3367" s="1" t="str">
        <f>"J-UN-2021-1344"</f>
        <v>J-UN-2021-1344</v>
      </c>
      <c r="T3367" s="1" t="s">
        <v>32</v>
      </c>
    </row>
    <row r="3368" spans="1:20" ht="51" x14ac:dyDescent="0.25">
      <c r="A3368" s="6">
        <v>3362</v>
      </c>
      <c r="B3368" s="1" t="str">
        <f>"2021-309"</f>
        <v>2021-309</v>
      </c>
      <c r="C3368" s="1" t="s">
        <v>2930</v>
      </c>
      <c r="D3368" s="1" t="s">
        <v>1334</v>
      </c>
      <c r="E3368" s="1" t="str">
        <f>""</f>
        <v/>
      </c>
      <c r="F3368" s="1" t="s">
        <v>1860</v>
      </c>
      <c r="G3368" s="1" t="str">
        <f>CONCATENATE(" PFEIFER-TTI D.O.O.,"," ŠPINČIĆEVA 2A,"," 40000 ČAKOVEC,"," OIB: 38276446136")</f>
        <v xml:space="preserve"> PFEIFER-TTI D.O.O., ŠPINČIĆEVA 2A, 40000 ČAKOVEC, OIB: 38276446136</v>
      </c>
      <c r="H3368" s="7"/>
      <c r="I3368" s="8" t="s">
        <v>1167</v>
      </c>
      <c r="J3368" s="8" t="s">
        <v>1032</v>
      </c>
      <c r="K3368" s="6" t="str">
        <f>"780,00"</f>
        <v>780,00</v>
      </c>
      <c r="L3368" s="6" t="str">
        <f>"195,00"</f>
        <v>195,00</v>
      </c>
      <c r="M3368" s="6" t="str">
        <f>"975,00"</f>
        <v>975,00</v>
      </c>
      <c r="N3368" s="8" t="s">
        <v>190</v>
      </c>
      <c r="O3368" s="7"/>
      <c r="P3368" s="2" t="s">
        <v>7500</v>
      </c>
      <c r="Q3368" s="7"/>
      <c r="R3368" s="1"/>
      <c r="S3368" s="1" t="str">
        <f>"J-UN-2021-1345"</f>
        <v>J-UN-2021-1345</v>
      </c>
      <c r="T3368" s="1" t="s">
        <v>32</v>
      </c>
    </row>
    <row r="3369" spans="1:20" ht="63.75" x14ac:dyDescent="0.25">
      <c r="A3369" s="6">
        <v>3363</v>
      </c>
      <c r="B3369" s="1" t="str">
        <f>"2021-315"</f>
        <v>2021-315</v>
      </c>
      <c r="C3369" s="1" t="s">
        <v>2706</v>
      </c>
      <c r="D3369" s="1" t="s">
        <v>1334</v>
      </c>
      <c r="E3369" s="1" t="str">
        <f>""</f>
        <v/>
      </c>
      <c r="F3369" s="1" t="s">
        <v>1860</v>
      </c>
      <c r="G3369" s="1" t="str">
        <f>CONCATENATE(" KEMOBOJA-DUBRAVA D.O.O.,"," AVENIJA DUBRAVA 37,"," 10000 ZAGREB,"," OIB: 6402157427")</f>
        <v xml:space="preserve"> KEMOBOJA-DUBRAVA D.O.O., AVENIJA DUBRAVA 37, 10000 ZAGREB, OIB: 6402157427</v>
      </c>
      <c r="H3369" s="7"/>
      <c r="I3369" s="8" t="s">
        <v>911</v>
      </c>
      <c r="J3369" s="8" t="s">
        <v>2929</v>
      </c>
      <c r="K3369" s="6" t="str">
        <f>"3.101,70"</f>
        <v>3.101,70</v>
      </c>
      <c r="L3369" s="6" t="str">
        <f>"775,43"</f>
        <v>775,43</v>
      </c>
      <c r="M3369" s="6" t="str">
        <f>"3.877,13"</f>
        <v>3.877,13</v>
      </c>
      <c r="N3369" s="8" t="s">
        <v>190</v>
      </c>
      <c r="O3369" s="7"/>
      <c r="P3369" s="2" t="s">
        <v>7571</v>
      </c>
      <c r="Q3369" s="1" t="s">
        <v>5601</v>
      </c>
      <c r="R3369" s="1"/>
      <c r="S3369" s="1" t="str">
        <f>"J-UN-2021-1346"</f>
        <v>J-UN-2021-1346</v>
      </c>
      <c r="T3369" s="1" t="s">
        <v>32</v>
      </c>
    </row>
    <row r="3370" spans="1:20" ht="51" x14ac:dyDescent="0.25">
      <c r="A3370" s="6">
        <v>3364</v>
      </c>
      <c r="B3370" s="1" t="str">
        <f>"2021-914"</f>
        <v>2021-914</v>
      </c>
      <c r="C3370" s="1" t="s">
        <v>2733</v>
      </c>
      <c r="D3370" s="1" t="s">
        <v>914</v>
      </c>
      <c r="E3370" s="1" t="str">
        <f>""</f>
        <v/>
      </c>
      <c r="F3370" s="1" t="s">
        <v>1860</v>
      </c>
      <c r="G3370" s="1" t="str">
        <f>CONCATENATE(" TPZ D.O.O.,"," NOVOSELSKA 25,"," 10000 ZAGREB,"," OIB: 68119083236")</f>
        <v xml:space="preserve"> TPZ D.O.O., NOVOSELSKA 25, 10000 ZAGREB, OIB: 68119083236</v>
      </c>
      <c r="H3370" s="7"/>
      <c r="I3370" s="8" t="s">
        <v>656</v>
      </c>
      <c r="J3370" s="8" t="s">
        <v>317</v>
      </c>
      <c r="K3370" s="6" t="str">
        <f>"47.582,32"</f>
        <v>47.582,32</v>
      </c>
      <c r="L3370" s="6" t="str">
        <f>"11.895,58"</f>
        <v>11.895,58</v>
      </c>
      <c r="M3370" s="6" t="str">
        <f>"59.477,90"</f>
        <v>59.477,90</v>
      </c>
      <c r="N3370" s="8" t="s">
        <v>1058</v>
      </c>
      <c r="O3370" s="7"/>
      <c r="P3370" s="2" t="s">
        <v>7572</v>
      </c>
      <c r="Q3370" s="7"/>
      <c r="R3370" s="1"/>
      <c r="S3370" s="1" t="str">
        <f>"J-UN-2021-1347"</f>
        <v>J-UN-2021-1347</v>
      </c>
      <c r="T3370" s="1" t="s">
        <v>32</v>
      </c>
    </row>
    <row r="3371" spans="1:20" ht="51" x14ac:dyDescent="0.25">
      <c r="A3371" s="6">
        <v>3365</v>
      </c>
      <c r="B3371" s="1" t="str">
        <f>"2021-305"</f>
        <v>2021-305</v>
      </c>
      <c r="C3371" s="1" t="s">
        <v>2831</v>
      </c>
      <c r="D3371" s="1" t="s">
        <v>2832</v>
      </c>
      <c r="E3371" s="1" t="str">
        <f>""</f>
        <v/>
      </c>
      <c r="F3371" s="1" t="s">
        <v>1860</v>
      </c>
      <c r="G3371" s="1" t="str">
        <f>CONCATENATE(" VATRO-PROMET D.O.O.,"," JEŽDOVEČKA 87,"," 10000 ZAGREB,"," OIB: 57189591567")</f>
        <v xml:space="preserve"> VATRO-PROMET D.O.O., JEŽDOVEČKA 87, 10000 ZAGREB, OIB: 57189591567</v>
      </c>
      <c r="H3371" s="7"/>
      <c r="I3371" s="8" t="s">
        <v>1167</v>
      </c>
      <c r="J3371" s="8" t="s">
        <v>1032</v>
      </c>
      <c r="K3371" s="6" t="str">
        <f>"3.070,00"</f>
        <v>3.070,00</v>
      </c>
      <c r="L3371" s="6" t="str">
        <f>"767,50"</f>
        <v>767,50</v>
      </c>
      <c r="M3371" s="6" t="str">
        <f>"3.837,50"</f>
        <v>3.837,50</v>
      </c>
      <c r="N3371" s="8" t="s">
        <v>124</v>
      </c>
      <c r="O3371" s="7"/>
      <c r="P3371" s="2" t="s">
        <v>5614</v>
      </c>
      <c r="Q3371" s="7"/>
      <c r="R3371" s="1"/>
      <c r="S3371" s="1" t="str">
        <f>"J-UN-2021-1348"</f>
        <v>J-UN-2021-1348</v>
      </c>
      <c r="T3371" s="1" t="s">
        <v>32</v>
      </c>
    </row>
    <row r="3372" spans="1:20" ht="76.5" x14ac:dyDescent="0.25">
      <c r="A3372" s="6">
        <v>3366</v>
      </c>
      <c r="B3372" s="1" t="str">
        <f>"2021-1206"</f>
        <v>2021-1206</v>
      </c>
      <c r="C3372" s="1" t="s">
        <v>2821</v>
      </c>
      <c r="D3372" s="1" t="s">
        <v>1627</v>
      </c>
      <c r="E3372" s="1" t="str">
        <f>""</f>
        <v/>
      </c>
      <c r="F3372" s="1" t="s">
        <v>1860</v>
      </c>
      <c r="G3372" s="1" t="str">
        <f>CONCATENATE(" ELICOM D.O.O.,"," ŠTEFANOVEC 138,"," 10000 ZAGREB,"," OIB: 76370234816")</f>
        <v xml:space="preserve"> ELICOM D.O.O., ŠTEFANOVEC 138, 10000 ZAGREB, OIB: 76370234816</v>
      </c>
      <c r="H3372" s="7"/>
      <c r="I3372" s="8" t="s">
        <v>1058</v>
      </c>
      <c r="J3372" s="8" t="s">
        <v>2911</v>
      </c>
      <c r="K3372" s="6" t="str">
        <f>"11.388,78"</f>
        <v>11.388,78</v>
      </c>
      <c r="L3372" s="6" t="str">
        <f>"2.847,20"</f>
        <v>2.847,20</v>
      </c>
      <c r="M3372" s="6" t="str">
        <f>"14.235,98"</f>
        <v>14.235,98</v>
      </c>
      <c r="N3372" s="8" t="s">
        <v>1060</v>
      </c>
      <c r="O3372" s="7"/>
      <c r="P3372" s="2" t="s">
        <v>7573</v>
      </c>
      <c r="Q3372" s="7"/>
      <c r="R3372" s="1"/>
      <c r="S3372" s="1" t="str">
        <f>"J-UN-2021-1349"</f>
        <v>J-UN-2021-1349</v>
      </c>
      <c r="T3372" s="1" t="s">
        <v>32</v>
      </c>
    </row>
    <row r="3373" spans="1:20" ht="51" x14ac:dyDescent="0.25">
      <c r="A3373" s="6">
        <v>3367</v>
      </c>
      <c r="B3373" s="1" t="str">
        <f>"2021-327"</f>
        <v>2021-327</v>
      </c>
      <c r="C3373" s="1" t="s">
        <v>2763</v>
      </c>
      <c r="D3373" s="1" t="s">
        <v>2764</v>
      </c>
      <c r="E3373" s="1" t="str">
        <f>""</f>
        <v/>
      </c>
      <c r="F3373" s="1" t="s">
        <v>1860</v>
      </c>
      <c r="G3373" s="1" t="str">
        <f>CONCATENATE(" SVRDLO D.O.O.,"," ŠKOLSKA ULICA 10,"," 10370 DUGO SELO,"," OIB: 36535565458")</f>
        <v xml:space="preserve"> SVRDLO D.O.O., ŠKOLSKA ULICA 10, 10370 DUGO SELO, OIB: 36535565458</v>
      </c>
      <c r="H3373" s="7"/>
      <c r="I3373" s="8" t="s">
        <v>911</v>
      </c>
      <c r="J3373" s="8" t="s">
        <v>2929</v>
      </c>
      <c r="K3373" s="6" t="str">
        <f>"80.230,00"</f>
        <v>80.230,00</v>
      </c>
      <c r="L3373" s="6" t="str">
        <f>"20.057,50"</f>
        <v>20.057,50</v>
      </c>
      <c r="M3373" s="6" t="str">
        <f>"100.287,50"</f>
        <v>100.287,50</v>
      </c>
      <c r="N3373" s="8" t="s">
        <v>335</v>
      </c>
      <c r="O3373" s="7"/>
      <c r="P3373" s="2" t="s">
        <v>7574</v>
      </c>
      <c r="Q3373" s="7"/>
      <c r="R3373" s="1"/>
      <c r="S3373" s="1" t="str">
        <f>"J-UN-2021-1351"</f>
        <v>J-UN-2021-1351</v>
      </c>
      <c r="T3373" s="1" t="s">
        <v>32</v>
      </c>
    </row>
    <row r="3374" spans="1:20" ht="76.5" x14ac:dyDescent="0.25">
      <c r="A3374" s="6">
        <v>3368</v>
      </c>
      <c r="B3374" s="1" t="str">
        <f>"2021-1116"</f>
        <v>2021-1116</v>
      </c>
      <c r="C3374" s="1" t="s">
        <v>2847</v>
      </c>
      <c r="D3374" s="1" t="s">
        <v>1007</v>
      </c>
      <c r="E3374" s="1" t="str">
        <f>""</f>
        <v/>
      </c>
      <c r="F3374" s="1" t="s">
        <v>1860</v>
      </c>
      <c r="G3374" s="1" t="str">
        <f>CONCATENATE(" BILIĆ-ERIĆ D.O.O.,"," TRGOVAČKI CENTAR MILLENNIJUM,"," LJUDEVITA POSAVSKOG 3,"," 10360 SESVETE,"," OIB: 685801282")</f>
        <v xml:space="preserve"> BILIĆ-ERIĆ D.O.O., TRGOVAČKI CENTAR MILLENNIJUM, LJUDEVITA POSAVSKOG 3, 10360 SESVETE, OIB: 685801282</v>
      </c>
      <c r="H3374" s="7"/>
      <c r="I3374" s="8" t="s">
        <v>1058</v>
      </c>
      <c r="J3374" s="8" t="s">
        <v>2911</v>
      </c>
      <c r="K3374" s="6" t="str">
        <f>"18.174,00"</f>
        <v>18.174,00</v>
      </c>
      <c r="L3374" s="6" t="str">
        <f>"4.543,50"</f>
        <v>4.543,50</v>
      </c>
      <c r="M3374" s="6" t="str">
        <f>"22.717,50"</f>
        <v>22.717,50</v>
      </c>
      <c r="N3374" s="8" t="s">
        <v>159</v>
      </c>
      <c r="O3374" s="7"/>
      <c r="P3374" s="2" t="s">
        <v>7575</v>
      </c>
      <c r="Q3374" s="7"/>
      <c r="R3374" s="1"/>
      <c r="S3374" s="1" t="str">
        <f>"J-UN-2021-1352"</f>
        <v>J-UN-2021-1352</v>
      </c>
      <c r="T3374" s="1" t="s">
        <v>32</v>
      </c>
    </row>
    <row r="3375" spans="1:20" ht="89.25" x14ac:dyDescent="0.25">
      <c r="A3375" s="6">
        <v>3369</v>
      </c>
      <c r="B3375" s="1" t="str">
        <f>"2021-437"</f>
        <v>2021-437</v>
      </c>
      <c r="C3375" s="1" t="s">
        <v>2795</v>
      </c>
      <c r="D3375" s="1" t="s">
        <v>1619</v>
      </c>
      <c r="E3375" s="1" t="str">
        <f>""</f>
        <v/>
      </c>
      <c r="F3375" s="1" t="s">
        <v>1860</v>
      </c>
      <c r="G3375" s="1" t="str">
        <f>CONCATENATE(" AGRO - DOM,"," VL. ZORAN CRNOMARKOVIĆ I DUBRAVKO KUŠ,"," BUNIĆEVA 20,"," 10000 ZAGREB,"," OIB: 47865426584")</f>
        <v xml:space="preserve"> AGRO - DOM, VL. ZORAN CRNOMARKOVIĆ I DUBRAVKO KUŠ, BUNIĆEVA 20, 10000 ZAGREB, OIB: 47865426584</v>
      </c>
      <c r="H3375" s="7"/>
      <c r="I3375" s="8" t="s">
        <v>2913</v>
      </c>
      <c r="J3375" s="8" t="s">
        <v>432</v>
      </c>
      <c r="K3375" s="6" t="str">
        <f>"1.260,00"</f>
        <v>1.260,00</v>
      </c>
      <c r="L3375" s="6" t="str">
        <f>"315,00"</f>
        <v>315,00</v>
      </c>
      <c r="M3375" s="6" t="str">
        <f>"1.575,00"</f>
        <v>1.575,00</v>
      </c>
      <c r="N3375" s="8" t="s">
        <v>188</v>
      </c>
      <c r="O3375" s="7"/>
      <c r="P3375" s="2" t="s">
        <v>7576</v>
      </c>
      <c r="Q3375" s="7"/>
      <c r="R3375" s="1"/>
      <c r="S3375" s="1" t="str">
        <f>"J-UN-2021-1353"</f>
        <v>J-UN-2021-1353</v>
      </c>
      <c r="T3375" s="1" t="s">
        <v>32</v>
      </c>
    </row>
    <row r="3376" spans="1:20" ht="63.75" x14ac:dyDescent="0.25">
      <c r="A3376" s="6">
        <v>3370</v>
      </c>
      <c r="B3376" s="1" t="str">
        <f>"2021-377"</f>
        <v>2021-377</v>
      </c>
      <c r="C3376" s="1" t="s">
        <v>2833</v>
      </c>
      <c r="D3376" s="1" t="s">
        <v>1962</v>
      </c>
      <c r="E3376" s="1" t="str">
        <f>""</f>
        <v/>
      </c>
      <c r="F3376" s="1" t="s">
        <v>1860</v>
      </c>
      <c r="G3376" s="1" t="str">
        <f>CONCATENATE(" GRA-PO D.O.O.,"," GOSPODARSKA 5B,"," 10255 ZAGREB - STUPNIK,"," OIB: 05364995085")</f>
        <v xml:space="preserve"> GRA-PO D.O.O., GOSPODARSKA 5B, 10255 ZAGREB - STUPNIK, OIB: 05364995085</v>
      </c>
      <c r="H3376" s="7"/>
      <c r="I3376" s="8" t="s">
        <v>2913</v>
      </c>
      <c r="J3376" s="8" t="s">
        <v>432</v>
      </c>
      <c r="K3376" s="6" t="str">
        <f>"19.353,00"</f>
        <v>19.353,00</v>
      </c>
      <c r="L3376" s="6" t="str">
        <f>"4.838,25"</f>
        <v>4.838,25</v>
      </c>
      <c r="M3376" s="6" t="str">
        <f>"24.191,25"</f>
        <v>24.191,25</v>
      </c>
      <c r="N3376" s="8" t="s">
        <v>1167</v>
      </c>
      <c r="O3376" s="7"/>
      <c r="P3376" s="2" t="s">
        <v>7577</v>
      </c>
      <c r="Q3376" s="7"/>
      <c r="R3376" s="1"/>
      <c r="S3376" s="1" t="str">
        <f>"J-UN-2021-1354"</f>
        <v>J-UN-2021-1354</v>
      </c>
      <c r="T3376" s="1" t="s">
        <v>32</v>
      </c>
    </row>
    <row r="3377" spans="1:20" ht="51" x14ac:dyDescent="0.25">
      <c r="A3377" s="6">
        <v>3371</v>
      </c>
      <c r="B3377" s="1" t="str">
        <f>"2021-910"</f>
        <v>2021-910</v>
      </c>
      <c r="C3377" s="1" t="s">
        <v>2828</v>
      </c>
      <c r="D3377" s="1" t="s">
        <v>914</v>
      </c>
      <c r="E3377" s="1" t="str">
        <f>""</f>
        <v/>
      </c>
      <c r="F3377" s="1" t="s">
        <v>1860</v>
      </c>
      <c r="G3377" s="1" t="str">
        <f>CONCATENATE(" EUROPART D.O.O.,"," LUKŠIĆ 10A,"," 10000 ZAGREB,"," OIB: 17260643187")</f>
        <v xml:space="preserve"> EUROPART D.O.O., LUKŠIĆ 10A, 10000 ZAGREB, OIB: 17260643187</v>
      </c>
      <c r="H3377" s="7"/>
      <c r="I3377" s="8" t="s">
        <v>911</v>
      </c>
      <c r="J3377" s="8" t="s">
        <v>2929</v>
      </c>
      <c r="K3377" s="6" t="str">
        <f>"3.496,00"</f>
        <v>3.496,00</v>
      </c>
      <c r="L3377" s="6" t="str">
        <f>"874,00"</f>
        <v>874,00</v>
      </c>
      <c r="M3377" s="6" t="str">
        <f>"4.370,00"</f>
        <v>4.370,00</v>
      </c>
      <c r="N3377" s="8" t="s">
        <v>1029</v>
      </c>
      <c r="O3377" s="7"/>
      <c r="P3377" s="2" t="s">
        <v>7578</v>
      </c>
      <c r="Q3377" s="7"/>
      <c r="R3377" s="1"/>
      <c r="S3377" s="1" t="str">
        <f>"J-UN-2021-1355"</f>
        <v>J-UN-2021-1355</v>
      </c>
      <c r="T3377" s="1" t="s">
        <v>32</v>
      </c>
    </row>
    <row r="3378" spans="1:20" ht="63.75" x14ac:dyDescent="0.25">
      <c r="A3378" s="6">
        <v>3372</v>
      </c>
      <c r="B3378" s="1" t="str">
        <f>"2021-463"</f>
        <v>2021-463</v>
      </c>
      <c r="C3378" s="1" t="s">
        <v>2600</v>
      </c>
      <c r="D3378" s="1" t="s">
        <v>2601</v>
      </c>
      <c r="E3378" s="1" t="str">
        <f>""</f>
        <v/>
      </c>
      <c r="F3378" s="1" t="s">
        <v>1860</v>
      </c>
      <c r="G3378" s="1" t="str">
        <f>CONCATENATE(" POLJOOPSKRBA-TEHNO D.D.,"," SAMOBORSKA 96,"," 10000 ZAGREB,"," OIB: 5372167324")</f>
        <v xml:space="preserve"> POLJOOPSKRBA-TEHNO D.D., SAMOBORSKA 96, 10000 ZAGREB, OIB: 5372167324</v>
      </c>
      <c r="H3378" s="7"/>
      <c r="I3378" s="8" t="s">
        <v>1350</v>
      </c>
      <c r="J3378" s="8" t="s">
        <v>947</v>
      </c>
      <c r="K3378" s="6" t="str">
        <f>"1.550,00"</f>
        <v>1.550,00</v>
      </c>
      <c r="L3378" s="6" t="str">
        <f>"387,50"</f>
        <v>387,50</v>
      </c>
      <c r="M3378" s="6" t="str">
        <f>"1.937,50"</f>
        <v>1.937,50</v>
      </c>
      <c r="N3378" s="8" t="s">
        <v>790</v>
      </c>
      <c r="O3378" s="7"/>
      <c r="P3378" s="2" t="s">
        <v>7579</v>
      </c>
      <c r="Q3378" s="7"/>
      <c r="R3378" s="1"/>
      <c r="S3378" s="1" t="str">
        <f>"J-UN-2021-1356"</f>
        <v>J-UN-2021-1356</v>
      </c>
      <c r="T3378" s="1" t="s">
        <v>32</v>
      </c>
    </row>
    <row r="3379" spans="1:20" ht="63.75" x14ac:dyDescent="0.25">
      <c r="A3379" s="6">
        <v>3373</v>
      </c>
      <c r="B3379" s="1" t="str">
        <f>"2021-626"</f>
        <v>2021-626</v>
      </c>
      <c r="C3379" s="1" t="s">
        <v>2799</v>
      </c>
      <c r="D3379" s="1" t="s">
        <v>794</v>
      </c>
      <c r="E3379" s="1" t="str">
        <f>""</f>
        <v/>
      </c>
      <c r="F3379" s="1" t="s">
        <v>1860</v>
      </c>
      <c r="G3379" s="1" t="str">
        <f>CONCATENATE(" COMMUNITER AD DECUS D.O.O.,"," JURJA VES 62A,"," 10000 ZAGREB,"," OIB: 02319061049")</f>
        <v xml:space="preserve"> COMMUNITER AD DECUS D.O.O., JURJA VES 62A, 10000 ZAGREB, OIB: 02319061049</v>
      </c>
      <c r="H3379" s="7"/>
      <c r="I3379" s="8" t="s">
        <v>911</v>
      </c>
      <c r="J3379" s="8" t="s">
        <v>2929</v>
      </c>
      <c r="K3379" s="6" t="str">
        <f>"70.000,00"</f>
        <v>70.000,00</v>
      </c>
      <c r="L3379" s="6" t="str">
        <f>"17.500,00"</f>
        <v>17.500,00</v>
      </c>
      <c r="M3379" s="6" t="str">
        <f>"87.500,00"</f>
        <v>87.500,00</v>
      </c>
      <c r="N3379" s="8" t="s">
        <v>1504</v>
      </c>
      <c r="O3379" s="7"/>
      <c r="P3379" s="2" t="s">
        <v>7041</v>
      </c>
      <c r="Q3379" s="7"/>
      <c r="R3379" s="1"/>
      <c r="S3379" s="1" t="str">
        <f>"J-UN-2021-1357"</f>
        <v>J-UN-2021-1357</v>
      </c>
      <c r="T3379" s="1" t="s">
        <v>32</v>
      </c>
    </row>
    <row r="3380" spans="1:20" ht="51" x14ac:dyDescent="0.25">
      <c r="A3380" s="6">
        <v>3374</v>
      </c>
      <c r="B3380" s="1" t="str">
        <f>"2021-305"</f>
        <v>2021-305</v>
      </c>
      <c r="C3380" s="1" t="s">
        <v>2831</v>
      </c>
      <c r="D3380" s="1" t="s">
        <v>2832</v>
      </c>
      <c r="E3380" s="1" t="str">
        <f>""</f>
        <v/>
      </c>
      <c r="F3380" s="1" t="s">
        <v>1860</v>
      </c>
      <c r="G3380" s="1" t="str">
        <f>CONCATENATE(" HRT - ŠARIĆ D.O.O.,"," ZAGREBAČKA 217,"," 10370 DUGO SELO,"," OIB: 76454212077")</f>
        <v xml:space="preserve"> HRT - ŠARIĆ D.O.O., ZAGREBAČKA 217, 10370 DUGO SELO, OIB: 76454212077</v>
      </c>
      <c r="H3380" s="7"/>
      <c r="I3380" s="8" t="s">
        <v>911</v>
      </c>
      <c r="J3380" s="8" t="s">
        <v>2929</v>
      </c>
      <c r="K3380" s="6" t="str">
        <f>"1.906,00"</f>
        <v>1.906,00</v>
      </c>
      <c r="L3380" s="6" t="str">
        <f>"476,50"</f>
        <v>476,50</v>
      </c>
      <c r="M3380" s="6" t="str">
        <f>"2.382,50"</f>
        <v>2.382,50</v>
      </c>
      <c r="N3380" s="8" t="s">
        <v>585</v>
      </c>
      <c r="O3380" s="7"/>
      <c r="P3380" s="2" t="s">
        <v>7408</v>
      </c>
      <c r="Q3380" s="7"/>
      <c r="R3380" s="1"/>
      <c r="S3380" s="1" t="str">
        <f>"J-UN-2021-1360"</f>
        <v>J-UN-2021-1360</v>
      </c>
      <c r="T3380" s="1" t="s">
        <v>32</v>
      </c>
    </row>
    <row r="3381" spans="1:20" ht="51" x14ac:dyDescent="0.25">
      <c r="A3381" s="6">
        <v>3375</v>
      </c>
      <c r="B3381" s="1" t="str">
        <f>"2021-305"</f>
        <v>2021-305</v>
      </c>
      <c r="C3381" s="1" t="s">
        <v>2831</v>
      </c>
      <c r="D3381" s="1" t="s">
        <v>2832</v>
      </c>
      <c r="E3381" s="1" t="str">
        <f>""</f>
        <v/>
      </c>
      <c r="F3381" s="1" t="s">
        <v>1860</v>
      </c>
      <c r="G3381" s="1" t="str">
        <f>CONCATENATE(" PASTOR - TVA - D.D.,"," RAKITJE,"," NOVAČKA 2,"," 10437 BESTOVJE,"," OIB: 17140959007")</f>
        <v xml:space="preserve"> PASTOR - TVA - D.D., RAKITJE, NOVAČKA 2, 10437 BESTOVJE, OIB: 17140959007</v>
      </c>
      <c r="H3381" s="7"/>
      <c r="I3381" s="8" t="s">
        <v>1167</v>
      </c>
      <c r="J3381" s="8" t="s">
        <v>1032</v>
      </c>
      <c r="K3381" s="6" t="str">
        <f>"14.485,00"</f>
        <v>14.485,00</v>
      </c>
      <c r="L3381" s="6" t="str">
        <f>"3.621,25"</f>
        <v>3.621,25</v>
      </c>
      <c r="M3381" s="6" t="str">
        <f>"18.106,25"</f>
        <v>18.106,25</v>
      </c>
      <c r="N3381" s="8" t="s">
        <v>585</v>
      </c>
      <c r="O3381" s="7"/>
      <c r="P3381" s="2" t="s">
        <v>7580</v>
      </c>
      <c r="Q3381" s="7"/>
      <c r="R3381" s="1"/>
      <c r="S3381" s="1" t="str">
        <f>"J-UN-2021-1362"</f>
        <v>J-UN-2021-1362</v>
      </c>
      <c r="T3381" s="1" t="s">
        <v>32</v>
      </c>
    </row>
    <row r="3382" spans="1:20" ht="63.75" x14ac:dyDescent="0.25">
      <c r="A3382" s="6">
        <v>3376</v>
      </c>
      <c r="B3382" s="1" t="str">
        <f>"2021-1525"</f>
        <v>2021-1525</v>
      </c>
      <c r="C3382" s="1" t="s">
        <v>2284</v>
      </c>
      <c r="D3382" s="1" t="s">
        <v>381</v>
      </c>
      <c r="E3382" s="1" t="str">
        <f>""</f>
        <v/>
      </c>
      <c r="F3382" s="1" t="s">
        <v>1860</v>
      </c>
      <c r="G3382" s="1" t="str">
        <f>CONCATENATE(" RADOŠEVIĆ D.O.O.,"," ZAGREB,"," GORNJOSTUPNIČKA 18A,"," 10000 ZAGREB,"," OIB: 2093011435")</f>
        <v xml:space="preserve"> RADOŠEVIĆ D.O.O., ZAGREB, GORNJOSTUPNIČKA 18A, 10000 ZAGREB, OIB: 2093011435</v>
      </c>
      <c r="H3382" s="7"/>
      <c r="I3382" s="8" t="s">
        <v>1060</v>
      </c>
      <c r="J3382" s="8" t="s">
        <v>81</v>
      </c>
      <c r="K3382" s="6" t="str">
        <f>"22.800,00"</f>
        <v>22.800,00</v>
      </c>
      <c r="L3382" s="6" t="str">
        <f>"5.700,00"</f>
        <v>5.700,00</v>
      </c>
      <c r="M3382" s="6" t="str">
        <f>"28.500,00"</f>
        <v>28.500,00</v>
      </c>
      <c r="N3382" s="8" t="s">
        <v>604</v>
      </c>
      <c r="O3382" s="7"/>
      <c r="P3382" s="2" t="s">
        <v>7581</v>
      </c>
      <c r="Q3382" s="7"/>
      <c r="R3382" s="1"/>
      <c r="S3382" s="1" t="str">
        <f>"J-UN-2021-1365"</f>
        <v>J-UN-2021-1365</v>
      </c>
      <c r="T3382" s="1" t="s">
        <v>32</v>
      </c>
    </row>
    <row r="3383" spans="1:20" ht="51" x14ac:dyDescent="0.25">
      <c r="A3383" s="6">
        <v>3377</v>
      </c>
      <c r="B3383" s="1" t="str">
        <f>"2021-309"</f>
        <v>2021-309</v>
      </c>
      <c r="C3383" s="1" t="s">
        <v>2930</v>
      </c>
      <c r="D3383" s="1" t="s">
        <v>1334</v>
      </c>
      <c r="E3383" s="1" t="str">
        <f>""</f>
        <v/>
      </c>
      <c r="F3383" s="1" t="s">
        <v>1860</v>
      </c>
      <c r="G3383" s="1" t="str">
        <f>CONCATENATE(" PFEIFER-TTI D.O.O.,"," ŠPINČIĆEVA 2A,"," 40000 ČAKOVEC,"," OIB: 38276446136")</f>
        <v xml:space="preserve"> PFEIFER-TTI D.O.O., ŠPINČIĆEVA 2A, 40000 ČAKOVEC, OIB: 38276446136</v>
      </c>
      <c r="H3383" s="7"/>
      <c r="I3383" s="8" t="s">
        <v>1167</v>
      </c>
      <c r="J3383" s="8" t="s">
        <v>1032</v>
      </c>
      <c r="K3383" s="6" t="str">
        <f>"15.165,00"</f>
        <v>15.165,00</v>
      </c>
      <c r="L3383" s="6" t="str">
        <f>"3.791,25"</f>
        <v>3.791,25</v>
      </c>
      <c r="M3383" s="6" t="str">
        <f>"18.956,25"</f>
        <v>18.956,25</v>
      </c>
      <c r="N3383" s="8" t="s">
        <v>190</v>
      </c>
      <c r="O3383" s="7"/>
      <c r="P3383" s="2" t="s">
        <v>7582</v>
      </c>
      <c r="Q3383" s="7"/>
      <c r="R3383" s="1"/>
      <c r="S3383" s="1" t="str">
        <f>"J-UN-2021-1368"</f>
        <v>J-UN-2021-1368</v>
      </c>
      <c r="T3383" s="1" t="s">
        <v>32</v>
      </c>
    </row>
    <row r="3384" spans="1:20" ht="51" x14ac:dyDescent="0.25">
      <c r="A3384" s="6">
        <v>3378</v>
      </c>
      <c r="B3384" s="1" t="str">
        <f>"2021-958"</f>
        <v>2021-958</v>
      </c>
      <c r="C3384" s="1" t="s">
        <v>2931</v>
      </c>
      <c r="D3384" s="1" t="s">
        <v>2932</v>
      </c>
      <c r="E3384" s="1" t="str">
        <f>""</f>
        <v/>
      </c>
      <c r="F3384" s="1" t="s">
        <v>1860</v>
      </c>
      <c r="G3384" s="1" t="str">
        <f>CONCATENATE(" PRIMAT-RD D.O.O.,"," ZASTAVNICE 11,"," 10251 HRVATSKI LESKOVAC,"," OIB: 03868412563")</f>
        <v xml:space="preserve"> PRIMAT-RD D.O.O., ZASTAVNICE 11, 10251 HRVATSKI LESKOVAC, OIB: 03868412563</v>
      </c>
      <c r="H3384" s="7"/>
      <c r="I3384" s="8" t="s">
        <v>1167</v>
      </c>
      <c r="J3384" s="8" t="s">
        <v>1032</v>
      </c>
      <c r="K3384" s="6" t="str">
        <f>"33.187,00"</f>
        <v>33.187,00</v>
      </c>
      <c r="L3384" s="6" t="str">
        <f>"8.296,75"</f>
        <v>8.296,75</v>
      </c>
      <c r="M3384" s="6" t="str">
        <f>"41.483,75"</f>
        <v>41.483,75</v>
      </c>
      <c r="N3384" s="8" t="s">
        <v>126</v>
      </c>
      <c r="O3384" s="7"/>
      <c r="P3384" s="2" t="s">
        <v>7583</v>
      </c>
      <c r="Q3384" s="7"/>
      <c r="R3384" s="1"/>
      <c r="S3384" s="1" t="str">
        <f>"J-UN-2021-1369"</f>
        <v>J-UN-2021-1369</v>
      </c>
      <c r="T3384" s="1" t="s">
        <v>32</v>
      </c>
    </row>
    <row r="3385" spans="1:20" ht="63.75" x14ac:dyDescent="0.25">
      <c r="A3385" s="6">
        <v>3379</v>
      </c>
      <c r="B3385" s="1" t="str">
        <f>"2021-1723"</f>
        <v>2021-1723</v>
      </c>
      <c r="C3385" s="1" t="s">
        <v>2912</v>
      </c>
      <c r="D3385" s="1" t="s">
        <v>2647</v>
      </c>
      <c r="E3385" s="1" t="str">
        <f>""</f>
        <v/>
      </c>
      <c r="F3385" s="1" t="s">
        <v>1860</v>
      </c>
      <c r="G3385" s="1" t="str">
        <f>CONCATENATE(" PUČKO OTVORENO UČILIŠTE INVICTUS,"," DUBEČKA 94,"," 10000 ZAGREB,"," OIB: 07357960999")</f>
        <v xml:space="preserve"> PUČKO OTVORENO UČILIŠTE INVICTUS, DUBEČKA 94, 10000 ZAGREB, OIB: 07357960999</v>
      </c>
      <c r="H3385" s="7"/>
      <c r="I3385" s="8" t="s">
        <v>1167</v>
      </c>
      <c r="J3385" s="8" t="s">
        <v>1032</v>
      </c>
      <c r="K3385" s="6" t="str">
        <f>"9.050,00"</f>
        <v>9.050,00</v>
      </c>
      <c r="L3385" s="6" t="str">
        <f>"2.262,50"</f>
        <v>2.262,50</v>
      </c>
      <c r="M3385" s="6" t="str">
        <f>"11.312,50"</f>
        <v>11.312,50</v>
      </c>
      <c r="N3385" s="8" t="s">
        <v>675</v>
      </c>
      <c r="O3385" s="7"/>
      <c r="P3385" s="2" t="s">
        <v>7584</v>
      </c>
      <c r="Q3385" s="7"/>
      <c r="R3385" s="1"/>
      <c r="S3385" s="1" t="str">
        <f>"J-UN-2021-1370"</f>
        <v>J-UN-2021-1370</v>
      </c>
      <c r="T3385" s="1" t="s">
        <v>32</v>
      </c>
    </row>
    <row r="3386" spans="1:20" ht="76.5" x14ac:dyDescent="0.25">
      <c r="A3386" s="6">
        <v>3380</v>
      </c>
      <c r="B3386" s="1" t="str">
        <f>"2021-1791"</f>
        <v>2021-1791</v>
      </c>
      <c r="C3386" s="1" t="s">
        <v>2558</v>
      </c>
      <c r="D3386" s="1" t="s">
        <v>860</v>
      </c>
      <c r="E3386" s="1" t="str">
        <f>""</f>
        <v/>
      </c>
      <c r="F3386" s="1" t="s">
        <v>1860</v>
      </c>
      <c r="G3386" s="1" t="str">
        <f>CONCATENATE(" SPECIJALNA ZAVARIVANJA ČUKMAN D.O.O.,"," JEŽDOVEČKA ULICA 1C,"," 10250 LUČKO,"," OIB: 14195538193")</f>
        <v xml:space="preserve"> SPECIJALNA ZAVARIVANJA ČUKMAN D.O.O., JEŽDOVEČKA ULICA 1C, 10250 LUČKO, OIB: 14195538193</v>
      </c>
      <c r="H3386" s="7"/>
      <c r="I3386" s="8" t="s">
        <v>1058</v>
      </c>
      <c r="J3386" s="8" t="s">
        <v>2911</v>
      </c>
      <c r="K3386" s="6" t="str">
        <f>"5.356,00"</f>
        <v>5.356,00</v>
      </c>
      <c r="L3386" s="6" t="str">
        <f>"1.339,00"</f>
        <v>1.339,00</v>
      </c>
      <c r="M3386" s="6" t="str">
        <f>"6.695,00"</f>
        <v>6.695,00</v>
      </c>
      <c r="N3386" s="8" t="s">
        <v>891</v>
      </c>
      <c r="O3386" s="7"/>
      <c r="P3386" s="2" t="s">
        <v>7585</v>
      </c>
      <c r="Q3386" s="7"/>
      <c r="R3386" s="1"/>
      <c r="S3386" s="1" t="str">
        <f>"J-UN-2021-1373"</f>
        <v>J-UN-2021-1373</v>
      </c>
      <c r="T3386" s="1" t="s">
        <v>32</v>
      </c>
    </row>
    <row r="3387" spans="1:20" ht="51" x14ac:dyDescent="0.25">
      <c r="A3387" s="6">
        <v>3381</v>
      </c>
      <c r="B3387" s="1" t="str">
        <f>"2021-999"</f>
        <v>2021-999</v>
      </c>
      <c r="C3387" s="1" t="s">
        <v>2794</v>
      </c>
      <c r="D3387" s="1" t="s">
        <v>2716</v>
      </c>
      <c r="E3387" s="1" t="str">
        <f>""</f>
        <v/>
      </c>
      <c r="F3387" s="1" t="s">
        <v>1860</v>
      </c>
      <c r="G3387" s="1" t="str">
        <f>CONCATENATE(" PURIĆ D.O.O.,"," ANDRIJE HEBRANGA 54,"," 10430 SAMOBOR,"," OIB: 56717147376")</f>
        <v xml:space="preserve"> PURIĆ D.O.O., ANDRIJE HEBRANGA 54, 10430 SAMOBOR, OIB: 56717147376</v>
      </c>
      <c r="H3387" s="7"/>
      <c r="I3387" s="8" t="s">
        <v>1058</v>
      </c>
      <c r="J3387" s="8" t="s">
        <v>2911</v>
      </c>
      <c r="K3387" s="6" t="str">
        <f>"2.401,86"</f>
        <v>2.401,86</v>
      </c>
      <c r="L3387" s="6" t="str">
        <f>"600,47"</f>
        <v>600,47</v>
      </c>
      <c r="M3387" s="6" t="str">
        <f>"3.002,33"</f>
        <v>3.002,33</v>
      </c>
      <c r="N3387" s="8" t="s">
        <v>179</v>
      </c>
      <c r="O3387" s="7"/>
      <c r="P3387" s="2" t="s">
        <v>7586</v>
      </c>
      <c r="Q3387" s="7"/>
      <c r="R3387" s="1"/>
      <c r="S3387" s="1" t="str">
        <f>"J-UN-2021-1374"</f>
        <v>J-UN-2021-1374</v>
      </c>
      <c r="T3387" s="1" t="s">
        <v>32</v>
      </c>
    </row>
    <row r="3388" spans="1:20" ht="51" x14ac:dyDescent="0.25">
      <c r="A3388" s="6">
        <v>3382</v>
      </c>
      <c r="B3388" s="1" t="str">
        <f>"2021-704"</f>
        <v>2021-704</v>
      </c>
      <c r="C3388" s="1" t="s">
        <v>2817</v>
      </c>
      <c r="D3388" s="1" t="s">
        <v>2818</v>
      </c>
      <c r="E3388" s="1" t="str">
        <f>""</f>
        <v/>
      </c>
      <c r="F3388" s="1" t="s">
        <v>1860</v>
      </c>
      <c r="G3388" s="1" t="str">
        <f>CONCATENATE(" CIAK TOOLS D.O.O.,"," KOVINSKA 4,"," 10090 ZAGREB-SUSEDGRAD,"," OIB: 26004523816")</f>
        <v xml:space="preserve"> CIAK TOOLS D.O.O., KOVINSKA 4, 10090 ZAGREB-SUSEDGRAD, OIB: 26004523816</v>
      </c>
      <c r="H3388" s="7"/>
      <c r="I3388" s="8" t="s">
        <v>1522</v>
      </c>
      <c r="J3388" s="8" t="s">
        <v>420</v>
      </c>
      <c r="K3388" s="6" t="str">
        <f>"1.324,15"</f>
        <v>1.324,15</v>
      </c>
      <c r="L3388" s="6" t="str">
        <f>"331,04"</f>
        <v>331,04</v>
      </c>
      <c r="M3388" s="6" t="str">
        <f>"1.655,19"</f>
        <v>1.655,19</v>
      </c>
      <c r="N3388" s="8" t="s">
        <v>335</v>
      </c>
      <c r="O3388" s="7"/>
      <c r="P3388" s="2" t="s">
        <v>7587</v>
      </c>
      <c r="Q3388" s="7"/>
      <c r="R3388" s="1"/>
      <c r="S3388" s="1" t="str">
        <f>"J-UN-2021-1375"</f>
        <v>J-UN-2021-1375</v>
      </c>
      <c r="T3388" s="1" t="s">
        <v>32</v>
      </c>
    </row>
    <row r="3389" spans="1:20" ht="63.75" x14ac:dyDescent="0.25">
      <c r="A3389" s="6">
        <v>3383</v>
      </c>
      <c r="B3389" s="1" t="str">
        <f>"2021-325"</f>
        <v>2021-325</v>
      </c>
      <c r="C3389" s="1" t="s">
        <v>2700</v>
      </c>
      <c r="D3389" s="1" t="s">
        <v>2701</v>
      </c>
      <c r="E3389" s="1" t="str">
        <f>""</f>
        <v/>
      </c>
      <c r="F3389" s="1" t="s">
        <v>1860</v>
      </c>
      <c r="G3389" s="1" t="str">
        <f>CONCATENATE(" METAL-KOVIS D.O.O.,"," MALA RAKOVICA,"," STARA CESTA 14,"," 10430 SAMOBOR,"," OIB: 83581046582")</f>
        <v xml:space="preserve"> METAL-KOVIS D.O.O., MALA RAKOVICA, STARA CESTA 14, 10430 SAMOBOR, OIB: 83581046582</v>
      </c>
      <c r="H3389" s="7"/>
      <c r="I3389" s="8" t="s">
        <v>1167</v>
      </c>
      <c r="J3389" s="8" t="s">
        <v>1032</v>
      </c>
      <c r="K3389" s="6" t="str">
        <f>"4.352,40"</f>
        <v>4.352,40</v>
      </c>
      <c r="L3389" s="6" t="str">
        <f>"1.088,10"</f>
        <v>1.088,10</v>
      </c>
      <c r="M3389" s="6" t="str">
        <f>"5.440,50"</f>
        <v>5.440,50</v>
      </c>
      <c r="N3389" s="8" t="s">
        <v>911</v>
      </c>
      <c r="O3389" s="7"/>
      <c r="P3389" s="2" t="s">
        <v>7588</v>
      </c>
      <c r="Q3389" s="7"/>
      <c r="R3389" s="1"/>
      <c r="S3389" s="1" t="str">
        <f>"J-UN-2021-1376"</f>
        <v>J-UN-2021-1376</v>
      </c>
      <c r="T3389" s="1" t="s">
        <v>32</v>
      </c>
    </row>
    <row r="3390" spans="1:20" ht="51" x14ac:dyDescent="0.25">
      <c r="A3390" s="6">
        <v>3384</v>
      </c>
      <c r="B3390" s="1" t="str">
        <f>"2021-693"</f>
        <v>2021-693</v>
      </c>
      <c r="C3390" s="1" t="s">
        <v>2898</v>
      </c>
      <c r="D3390" s="1" t="s">
        <v>2899</v>
      </c>
      <c r="E3390" s="1" t="str">
        <f>""</f>
        <v/>
      </c>
      <c r="F3390" s="1" t="s">
        <v>1860</v>
      </c>
      <c r="G3390" s="1" t="str">
        <f>CONCATENATE(" COTRA D.O.O.,"," IVANA SEVERA 17,"," 42000 VARAŽDIN,"," OIB: 36080822108")</f>
        <v xml:space="preserve"> COTRA D.O.O., IVANA SEVERA 17, 42000 VARAŽDIN, OIB: 36080822108</v>
      </c>
      <c r="H3390" s="7"/>
      <c r="I3390" s="8" t="s">
        <v>1167</v>
      </c>
      <c r="J3390" s="8" t="s">
        <v>1032</v>
      </c>
      <c r="K3390" s="6" t="str">
        <f>"10.213,00"</f>
        <v>10.213,00</v>
      </c>
      <c r="L3390" s="6" t="str">
        <f>"2.553,25"</f>
        <v>2.553,25</v>
      </c>
      <c r="M3390" s="6" t="str">
        <f>"12.766,25"</f>
        <v>12.766,25</v>
      </c>
      <c r="N3390" s="8" t="s">
        <v>1504</v>
      </c>
      <c r="O3390" s="7"/>
      <c r="P3390" s="2" t="s">
        <v>7589</v>
      </c>
      <c r="Q3390" s="7"/>
      <c r="R3390" s="1"/>
      <c r="S3390" s="1" t="str">
        <f>"J-UN-2021-1377"</f>
        <v>J-UN-2021-1377</v>
      </c>
      <c r="T3390" s="1" t="s">
        <v>32</v>
      </c>
    </row>
    <row r="3391" spans="1:20" ht="51" x14ac:dyDescent="0.25">
      <c r="A3391" s="6">
        <v>3385</v>
      </c>
      <c r="B3391" s="1" t="str">
        <f>"2021-458"</f>
        <v>2021-458</v>
      </c>
      <c r="C3391" s="1" t="s">
        <v>2738</v>
      </c>
      <c r="D3391" s="1" t="s">
        <v>2739</v>
      </c>
      <c r="E3391" s="1" t="str">
        <f>""</f>
        <v/>
      </c>
      <c r="F3391" s="1" t="s">
        <v>1860</v>
      </c>
      <c r="G3391" s="1" t="str">
        <f>CONCATENATE(" HONGOLDONIA D.O.O.,"," RUJANSKA 4,"," 10000 ZAGREB,"," OIB: 7925585026")</f>
        <v xml:space="preserve"> HONGOLDONIA D.O.O., RUJANSKA 4, 10000 ZAGREB, OIB: 7925585026</v>
      </c>
      <c r="H3391" s="7"/>
      <c r="I3391" s="8" t="s">
        <v>656</v>
      </c>
      <c r="J3391" s="8" t="s">
        <v>317</v>
      </c>
      <c r="K3391" s="6" t="str">
        <f>"750,00"</f>
        <v>750,00</v>
      </c>
      <c r="L3391" s="6" t="str">
        <f>"187,50"</f>
        <v>187,50</v>
      </c>
      <c r="M3391" s="6" t="str">
        <f>"937,50"</f>
        <v>937,50</v>
      </c>
      <c r="N3391" s="8" t="s">
        <v>188</v>
      </c>
      <c r="O3391" s="7"/>
      <c r="P3391" s="2" t="s">
        <v>6841</v>
      </c>
      <c r="Q3391" s="7"/>
      <c r="R3391" s="1"/>
      <c r="S3391" s="1" t="str">
        <f>"J-UN-2021-1378"</f>
        <v>J-UN-2021-1378</v>
      </c>
      <c r="T3391" s="1" t="s">
        <v>32</v>
      </c>
    </row>
    <row r="3392" spans="1:20" ht="51" x14ac:dyDescent="0.25">
      <c r="A3392" s="6">
        <v>3386</v>
      </c>
      <c r="B3392" s="1" t="str">
        <f>"2021-186"</f>
        <v>2021-186</v>
      </c>
      <c r="C3392" s="1" t="s">
        <v>2933</v>
      </c>
      <c r="D3392" s="1" t="s">
        <v>689</v>
      </c>
      <c r="E3392" s="1" t="str">
        <f>""</f>
        <v/>
      </c>
      <c r="F3392" s="1" t="s">
        <v>1860</v>
      </c>
      <c r="G3392" s="1" t="str">
        <f>CONCATENATE(" TOKOS D.O.O.,"," PAPOVA 10,"," 10000 ZAGREB,"," OIB: 49637042156")</f>
        <v xml:space="preserve"> TOKOS D.O.O., PAPOVA 10, 10000 ZAGREB, OIB: 49637042156</v>
      </c>
      <c r="H3392" s="7"/>
      <c r="I3392" s="8" t="s">
        <v>1167</v>
      </c>
      <c r="J3392" s="8" t="s">
        <v>1032</v>
      </c>
      <c r="K3392" s="6" t="str">
        <f>"2.730,00"</f>
        <v>2.730,00</v>
      </c>
      <c r="L3392" s="6" t="str">
        <f>"682,50"</f>
        <v>682,50</v>
      </c>
      <c r="M3392" s="6" t="str">
        <f>"3.412,50"</f>
        <v>3.412,50</v>
      </c>
      <c r="N3392" s="8" t="s">
        <v>1257</v>
      </c>
      <c r="O3392" s="7"/>
      <c r="P3392" s="2" t="s">
        <v>7590</v>
      </c>
      <c r="Q3392" s="7"/>
      <c r="R3392" s="1"/>
      <c r="S3392" s="1" t="str">
        <f>"J-UN-2021-1379"</f>
        <v>J-UN-2021-1379</v>
      </c>
      <c r="T3392" s="1" t="s">
        <v>32</v>
      </c>
    </row>
    <row r="3393" spans="1:20" ht="76.5" x14ac:dyDescent="0.25">
      <c r="A3393" s="6">
        <v>3387</v>
      </c>
      <c r="B3393" s="1" t="str">
        <f>"2021-1506"</f>
        <v>2021-1506</v>
      </c>
      <c r="C3393" s="1" t="s">
        <v>1041</v>
      </c>
      <c r="D3393" s="1" t="s">
        <v>515</v>
      </c>
      <c r="E3393" s="1" t="str">
        <f>""</f>
        <v/>
      </c>
      <c r="F3393" s="1" t="s">
        <v>1860</v>
      </c>
      <c r="G3393" s="1" t="str">
        <f>CONCATENATE(" NASTAVNI ZAVOD ZA JAVNO ZDRAVSTVO DR. ANDRIJA ŠTAMPAR,"," MIROGOJSKA CESTA 16,"," 10000 ZAGREB,"," OIB: 3339200596")</f>
        <v xml:space="preserve"> NASTAVNI ZAVOD ZA JAVNO ZDRAVSTVO DR. ANDRIJA ŠTAMPAR, MIROGOJSKA CESTA 16, 10000 ZAGREB, OIB: 3339200596</v>
      </c>
      <c r="H3393" s="7"/>
      <c r="I3393" s="8" t="s">
        <v>656</v>
      </c>
      <c r="J3393" s="8" t="s">
        <v>317</v>
      </c>
      <c r="K3393" s="6" t="str">
        <f>"1.026,00"</f>
        <v>1.026,00</v>
      </c>
      <c r="L3393" s="6" t="str">
        <f>"256,50"</f>
        <v>256,50</v>
      </c>
      <c r="M3393" s="6" t="str">
        <f>"1.282,50"</f>
        <v>1.282,50</v>
      </c>
      <c r="N3393" s="8" t="s">
        <v>2934</v>
      </c>
      <c r="O3393" s="7"/>
      <c r="P3393" s="2" t="s">
        <v>7591</v>
      </c>
      <c r="Q3393" s="7"/>
      <c r="R3393" s="1"/>
      <c r="S3393" s="1" t="str">
        <f>"J-UN-2021-1380"</f>
        <v>J-UN-2021-1380</v>
      </c>
      <c r="T3393" s="1" t="s">
        <v>32</v>
      </c>
    </row>
    <row r="3394" spans="1:20" ht="51" x14ac:dyDescent="0.25">
      <c r="A3394" s="6">
        <v>3388</v>
      </c>
      <c r="B3394" s="1" t="str">
        <f>"2021-315"</f>
        <v>2021-315</v>
      </c>
      <c r="C3394" s="1" t="s">
        <v>2706</v>
      </c>
      <c r="D3394" s="1" t="s">
        <v>1334</v>
      </c>
      <c r="E3394" s="1" t="str">
        <f>""</f>
        <v/>
      </c>
      <c r="F3394" s="1" t="s">
        <v>1860</v>
      </c>
      <c r="G3394" s="1" t="str">
        <f>CONCATENATE(" SVRDLO D.O.O.,"," ŠKOLSKA ULICA 10,"," 10370 DUGO SELO,"," OIB: 36535565458")</f>
        <v xml:space="preserve"> SVRDLO D.O.O., ŠKOLSKA ULICA 10, 10370 DUGO SELO, OIB: 36535565458</v>
      </c>
      <c r="H3394" s="7"/>
      <c r="I3394" s="8" t="s">
        <v>911</v>
      </c>
      <c r="J3394" s="8" t="s">
        <v>1009</v>
      </c>
      <c r="K3394" s="6" t="str">
        <f>"2.526,00"</f>
        <v>2.526,00</v>
      </c>
      <c r="L3394" s="6" t="str">
        <f>"631,50"</f>
        <v>631,50</v>
      </c>
      <c r="M3394" s="6" t="str">
        <f>"3.157,50"</f>
        <v>3.157,50</v>
      </c>
      <c r="N3394" s="8" t="s">
        <v>327</v>
      </c>
      <c r="O3394" s="7"/>
      <c r="P3394" s="2" t="s">
        <v>7592</v>
      </c>
      <c r="Q3394" s="7"/>
      <c r="R3394" s="1"/>
      <c r="S3394" s="1" t="str">
        <f>"J-UN-2021-1381"</f>
        <v>J-UN-2021-1381</v>
      </c>
      <c r="T3394" s="1" t="s">
        <v>32</v>
      </c>
    </row>
    <row r="3395" spans="1:20" ht="51" x14ac:dyDescent="0.25">
      <c r="A3395" s="6">
        <v>3389</v>
      </c>
      <c r="B3395" s="1" t="str">
        <f>"2021-997"</f>
        <v>2021-997</v>
      </c>
      <c r="C3395" s="1" t="s">
        <v>2761</v>
      </c>
      <c r="D3395" s="1" t="s">
        <v>2762</v>
      </c>
      <c r="E3395" s="1" t="str">
        <f>""</f>
        <v/>
      </c>
      <c r="F3395" s="1" t="s">
        <v>1860</v>
      </c>
      <c r="G3395" s="1" t="str">
        <f>CONCATENATE(" BETAPROM D.O.O.,"," JURICANI 11,"," 52470 UMAG (UMAGO),"," OIB: 14729452829")</f>
        <v xml:space="preserve"> BETAPROM D.O.O., JURICANI 11, 52470 UMAG (UMAGO), OIB: 14729452829</v>
      </c>
      <c r="H3395" s="7"/>
      <c r="I3395" s="8" t="s">
        <v>656</v>
      </c>
      <c r="J3395" s="8" t="s">
        <v>317</v>
      </c>
      <c r="K3395" s="6" t="str">
        <f>"11.442,48"</f>
        <v>11.442,48</v>
      </c>
      <c r="L3395" s="6" t="str">
        <f>"2.860,62"</f>
        <v>2.860,62</v>
      </c>
      <c r="M3395" s="6" t="str">
        <f>"14.303,10"</f>
        <v>14.303,10</v>
      </c>
      <c r="N3395" s="8" t="s">
        <v>904</v>
      </c>
      <c r="O3395" s="7"/>
      <c r="P3395" s="2" t="s">
        <v>7593</v>
      </c>
      <c r="Q3395" s="7"/>
      <c r="R3395" s="1"/>
      <c r="S3395" s="1" t="str">
        <f>"J-UN-2021-1382"</f>
        <v>J-UN-2021-1382</v>
      </c>
      <c r="T3395" s="1" t="s">
        <v>32</v>
      </c>
    </row>
    <row r="3396" spans="1:20" ht="51" x14ac:dyDescent="0.25">
      <c r="A3396" s="6">
        <v>3390</v>
      </c>
      <c r="B3396" s="1" t="str">
        <f>"2021-1199"</f>
        <v>2021-1199</v>
      </c>
      <c r="C3396" s="1" t="s">
        <v>2638</v>
      </c>
      <c r="D3396" s="1" t="s">
        <v>1458</v>
      </c>
      <c r="E3396" s="1" t="str">
        <f>""</f>
        <v/>
      </c>
      <c r="F3396" s="1" t="s">
        <v>1860</v>
      </c>
      <c r="G3396" s="1" t="str">
        <f>CONCATENATE(" TEPESCO D.O.O.,"," JASENA 11A,"," 10040 ZAGREB,"," OIB: 7691411318")</f>
        <v xml:space="preserve"> TEPESCO D.O.O., JASENA 11A, 10040 ZAGREB, OIB: 7691411318</v>
      </c>
      <c r="H3396" s="7"/>
      <c r="I3396" s="8" t="s">
        <v>656</v>
      </c>
      <c r="J3396" s="8" t="s">
        <v>317</v>
      </c>
      <c r="K3396" s="6" t="str">
        <f>"6.000,00"</f>
        <v>6.000,00</v>
      </c>
      <c r="L3396" s="6" t="str">
        <f>"1.500,00"</f>
        <v>1.500,00</v>
      </c>
      <c r="M3396" s="6" t="str">
        <f>"7.500,00"</f>
        <v>7.500,00</v>
      </c>
      <c r="N3396" s="8" t="s">
        <v>124</v>
      </c>
      <c r="O3396" s="7"/>
      <c r="P3396" s="2" t="s">
        <v>5614</v>
      </c>
      <c r="Q3396" s="7"/>
      <c r="R3396" s="1"/>
      <c r="S3396" s="1" t="str">
        <f>"J-UN-2021-1383"</f>
        <v>J-UN-2021-1383</v>
      </c>
      <c r="T3396" s="1" t="s">
        <v>32</v>
      </c>
    </row>
    <row r="3397" spans="1:20" ht="63.75" x14ac:dyDescent="0.25">
      <c r="A3397" s="6">
        <v>3391</v>
      </c>
      <c r="B3397" s="1" t="str">
        <f>"2021-1015"</f>
        <v>2021-1015</v>
      </c>
      <c r="C3397" s="1" t="s">
        <v>2492</v>
      </c>
      <c r="D3397" s="1" t="s">
        <v>2493</v>
      </c>
      <c r="E3397" s="1" t="str">
        <f>""</f>
        <v/>
      </c>
      <c r="F3397" s="1" t="s">
        <v>1860</v>
      </c>
      <c r="G3397" s="1" t="str">
        <f>CONCATENATE(" HIDROMEHANIKA D.O.O.,"," SLAVONSKA AVENIJA 26/10,"," 10000 ZAGREB,"," OIB: 9178029895")</f>
        <v xml:space="preserve"> HIDROMEHANIKA D.O.O., SLAVONSKA AVENIJA 26/10, 10000 ZAGREB, OIB: 9178029895</v>
      </c>
      <c r="H3397" s="7"/>
      <c r="I3397" s="8" t="s">
        <v>911</v>
      </c>
      <c r="J3397" s="8" t="s">
        <v>2929</v>
      </c>
      <c r="K3397" s="6" t="str">
        <f>"1.760,00"</f>
        <v>1.760,00</v>
      </c>
      <c r="L3397" s="6" t="str">
        <f>"440,00"</f>
        <v>440,00</v>
      </c>
      <c r="M3397" s="6" t="str">
        <f>"2.200,00"</f>
        <v>2.200,00</v>
      </c>
      <c r="N3397" s="8" t="s">
        <v>124</v>
      </c>
      <c r="O3397" s="7"/>
      <c r="P3397" s="2" t="s">
        <v>5614</v>
      </c>
      <c r="Q3397" s="7"/>
      <c r="R3397" s="1"/>
      <c r="S3397" s="1" t="str">
        <f>"J-UN-2021-1396"</f>
        <v>J-UN-2021-1396</v>
      </c>
      <c r="T3397" s="1" t="s">
        <v>32</v>
      </c>
    </row>
    <row r="3398" spans="1:20" ht="51" x14ac:dyDescent="0.25">
      <c r="A3398" s="6">
        <v>3392</v>
      </c>
      <c r="B3398" s="1" t="str">
        <f>"2021-458"</f>
        <v>2021-458</v>
      </c>
      <c r="C3398" s="1" t="s">
        <v>2738</v>
      </c>
      <c r="D3398" s="1" t="s">
        <v>2739</v>
      </c>
      <c r="E3398" s="1" t="str">
        <f>""</f>
        <v/>
      </c>
      <c r="F3398" s="1" t="s">
        <v>1860</v>
      </c>
      <c r="G3398" s="1" t="str">
        <f>CONCATENATE(" BASIC D.O.O.,"," BJELOVARSKA ULICA 1,"," 21000 SPLIT,"," OIB: 5207275329")</f>
        <v xml:space="preserve"> BASIC D.O.O., BJELOVARSKA ULICA 1, 21000 SPLIT, OIB: 5207275329</v>
      </c>
      <c r="H3398" s="7"/>
      <c r="I3398" s="8" t="s">
        <v>904</v>
      </c>
      <c r="J3398" s="8" t="s">
        <v>1087</v>
      </c>
      <c r="K3398" s="6" t="str">
        <f>"600,00"</f>
        <v>600,00</v>
      </c>
      <c r="L3398" s="6" t="str">
        <f>"150,00"</f>
        <v>150,00</v>
      </c>
      <c r="M3398" s="6" t="str">
        <f>"750,00"</f>
        <v>750,00</v>
      </c>
      <c r="N3398" s="8" t="s">
        <v>2918</v>
      </c>
      <c r="O3398" s="7"/>
      <c r="P3398" s="2" t="s">
        <v>6376</v>
      </c>
      <c r="Q3398" s="7"/>
      <c r="R3398" s="1"/>
      <c r="S3398" s="1" t="str">
        <f>"J-UN-2021-1397"</f>
        <v>J-UN-2021-1397</v>
      </c>
      <c r="T3398" s="1" t="s">
        <v>32</v>
      </c>
    </row>
    <row r="3399" spans="1:20" ht="51" x14ac:dyDescent="0.25">
      <c r="A3399" s="6">
        <v>3393</v>
      </c>
      <c r="B3399" s="1" t="str">
        <f>"2021-318"</f>
        <v>2021-318</v>
      </c>
      <c r="C3399" s="1" t="s">
        <v>2608</v>
      </c>
      <c r="D3399" s="1" t="s">
        <v>1203</v>
      </c>
      <c r="E3399" s="1" t="str">
        <f>""</f>
        <v/>
      </c>
      <c r="F3399" s="1" t="s">
        <v>1860</v>
      </c>
      <c r="G3399" s="1" t="str">
        <f>CONCATENATE(" DIATEH D.O.O.,"," HRASTOVIČKA ULICA 33,"," 10250 LUČKO,"," OIB: 36086299082")</f>
        <v xml:space="preserve"> DIATEH D.O.O., HRASTOVIČKA ULICA 33, 10250 LUČKO, OIB: 36086299082</v>
      </c>
      <c r="H3399" s="7"/>
      <c r="I3399" s="8" t="s">
        <v>904</v>
      </c>
      <c r="J3399" s="8" t="s">
        <v>1087</v>
      </c>
      <c r="K3399" s="6" t="str">
        <f>"9.697,60"</f>
        <v>9.697,60</v>
      </c>
      <c r="L3399" s="6" t="str">
        <f>"2.424,40"</f>
        <v>2.424,40</v>
      </c>
      <c r="M3399" s="6" t="str">
        <f>"12.122,00"</f>
        <v>12.122,00</v>
      </c>
      <c r="N3399" s="8" t="s">
        <v>190</v>
      </c>
      <c r="O3399" s="7"/>
      <c r="P3399" s="2" t="s">
        <v>7594</v>
      </c>
      <c r="Q3399" s="7"/>
      <c r="R3399" s="1"/>
      <c r="S3399" s="1" t="str">
        <f>"J-UN-2021-1398"</f>
        <v>J-UN-2021-1398</v>
      </c>
      <c r="T3399" s="1" t="s">
        <v>32</v>
      </c>
    </row>
    <row r="3400" spans="1:20" ht="51" x14ac:dyDescent="0.25">
      <c r="A3400" s="6">
        <v>3394</v>
      </c>
      <c r="B3400" s="1" t="str">
        <f>"2021-712"</f>
        <v>2021-712</v>
      </c>
      <c r="C3400" s="1" t="s">
        <v>2935</v>
      </c>
      <c r="D3400" s="1" t="s">
        <v>1236</v>
      </c>
      <c r="E3400" s="1" t="str">
        <f>""</f>
        <v/>
      </c>
      <c r="F3400" s="1" t="s">
        <v>1860</v>
      </c>
      <c r="G3400" s="1" t="str">
        <f>CONCATENATE(" SWARCO CROATIA D.O.O.,"," SPREČKA 8,"," 10000 ZAGREB,"," OIB: 79421023865")</f>
        <v xml:space="preserve"> SWARCO CROATIA D.O.O., SPREČKA 8, 10000 ZAGREB, OIB: 79421023865</v>
      </c>
      <c r="H3400" s="7"/>
      <c r="I3400" s="8" t="s">
        <v>1522</v>
      </c>
      <c r="J3400" s="8" t="s">
        <v>420</v>
      </c>
      <c r="K3400" s="6" t="str">
        <f>"3.800,00"</f>
        <v>3.800,00</v>
      </c>
      <c r="L3400" s="6" t="str">
        <f>"950,00"</f>
        <v>950,00</v>
      </c>
      <c r="M3400" s="6" t="str">
        <f>"4.750,00"</f>
        <v>4.750,00</v>
      </c>
      <c r="N3400" s="8" t="s">
        <v>835</v>
      </c>
      <c r="O3400" s="7"/>
      <c r="P3400" s="2" t="s">
        <v>7595</v>
      </c>
      <c r="Q3400" s="7"/>
      <c r="R3400" s="1"/>
      <c r="S3400" s="1" t="str">
        <f>"J-UN-2021-1399"</f>
        <v>J-UN-2021-1399</v>
      </c>
      <c r="T3400" s="1" t="s">
        <v>32</v>
      </c>
    </row>
    <row r="3401" spans="1:20" ht="63.75" x14ac:dyDescent="0.25">
      <c r="A3401" s="6">
        <v>3395</v>
      </c>
      <c r="B3401" s="1" t="str">
        <f>"2021-183"</f>
        <v>2021-183</v>
      </c>
      <c r="C3401" s="1" t="s">
        <v>2726</v>
      </c>
      <c r="D3401" s="1" t="s">
        <v>689</v>
      </c>
      <c r="E3401" s="1" t="str">
        <f>""</f>
        <v/>
      </c>
      <c r="F3401" s="1" t="s">
        <v>1860</v>
      </c>
      <c r="G3401" s="1" t="str">
        <f>CONCATENATE(" ELEKTRO-KOMUNIKACIJE D.O.O.,"," 14. PODBREŽJE 4,"," 10000 ZAGREB,"," OIB: 76412373309")</f>
        <v xml:space="preserve"> ELEKTRO-KOMUNIKACIJE D.O.O., 14. PODBREŽJE 4, 10000 ZAGREB, OIB: 76412373309</v>
      </c>
      <c r="H3401" s="7"/>
      <c r="I3401" s="8" t="s">
        <v>904</v>
      </c>
      <c r="J3401" s="8" t="s">
        <v>1087</v>
      </c>
      <c r="K3401" s="6" t="str">
        <f>"895,00"</f>
        <v>895,00</v>
      </c>
      <c r="L3401" s="6" t="str">
        <f>"223,75"</f>
        <v>223,75</v>
      </c>
      <c r="M3401" s="6" t="str">
        <f>"1.118,75"</f>
        <v>1.118,75</v>
      </c>
      <c r="N3401" s="8" t="s">
        <v>604</v>
      </c>
      <c r="O3401" s="7"/>
      <c r="P3401" s="2" t="s">
        <v>7596</v>
      </c>
      <c r="Q3401" s="7"/>
      <c r="R3401" s="1"/>
      <c r="S3401" s="1" t="str">
        <f>"J-UN-2021-1401"</f>
        <v>J-UN-2021-1401</v>
      </c>
      <c r="T3401" s="1" t="s">
        <v>32</v>
      </c>
    </row>
    <row r="3402" spans="1:20" ht="51" x14ac:dyDescent="0.25">
      <c r="A3402" s="6">
        <v>3396</v>
      </c>
      <c r="B3402" s="1" t="str">
        <f>"2021-1186"</f>
        <v>2021-1186</v>
      </c>
      <c r="C3402" s="1" t="s">
        <v>2936</v>
      </c>
      <c r="D3402" s="1" t="s">
        <v>1373</v>
      </c>
      <c r="E3402" s="1" t="str">
        <f>""</f>
        <v/>
      </c>
      <c r="F3402" s="1" t="s">
        <v>1860</v>
      </c>
      <c r="G3402" s="1" t="str">
        <f>CONCATENATE(" BELSAN D.O.O.,"," BEDEKOVA 73,"," 10251 HRVATSKI LESKOVAC,"," OIB: 67797514346")</f>
        <v xml:space="preserve"> BELSAN D.O.O., BEDEKOVA 73, 10251 HRVATSKI LESKOVAC, OIB: 67797514346</v>
      </c>
      <c r="H3402" s="7"/>
      <c r="I3402" s="8" t="s">
        <v>1522</v>
      </c>
      <c r="J3402" s="8" t="s">
        <v>420</v>
      </c>
      <c r="K3402" s="6" t="str">
        <f>"3.470,00"</f>
        <v>3.470,00</v>
      </c>
      <c r="L3402" s="6" t="str">
        <f>"867,50"</f>
        <v>867,50</v>
      </c>
      <c r="M3402" s="6" t="str">
        <f>"4.337,50"</f>
        <v>4.337,50</v>
      </c>
      <c r="N3402" s="8" t="s">
        <v>159</v>
      </c>
      <c r="O3402" s="7"/>
      <c r="P3402" s="2" t="s">
        <v>5856</v>
      </c>
      <c r="Q3402" s="7"/>
      <c r="R3402" s="1"/>
      <c r="S3402" s="1" t="str">
        <f>"J-UN-2021-1403"</f>
        <v>J-UN-2021-1403</v>
      </c>
      <c r="T3402" s="1" t="s">
        <v>32</v>
      </c>
    </row>
    <row r="3403" spans="1:20" ht="51" x14ac:dyDescent="0.25">
      <c r="A3403" s="6">
        <v>3397</v>
      </c>
      <c r="B3403" s="1" t="str">
        <f>"2021-85"</f>
        <v>2021-85</v>
      </c>
      <c r="C3403" s="1" t="s">
        <v>2937</v>
      </c>
      <c r="D3403" s="1" t="s">
        <v>2938</v>
      </c>
      <c r="E3403" s="1" t="str">
        <f>""</f>
        <v/>
      </c>
      <c r="F3403" s="1" t="s">
        <v>1860</v>
      </c>
      <c r="G3403" s="1" t="str">
        <f>CONCATENATE(" SIGA PRO D.O.O.,"," MEĐIMURSKA 12,"," 42000 VARAŽDIN,"," OIB: 00204195795")</f>
        <v xml:space="preserve"> SIGA PRO D.O.O., MEĐIMURSKA 12, 42000 VARAŽDIN, OIB: 00204195795</v>
      </c>
      <c r="H3403" s="7"/>
      <c r="I3403" s="8" t="s">
        <v>904</v>
      </c>
      <c r="J3403" s="8" t="s">
        <v>1087</v>
      </c>
      <c r="K3403" s="6" t="str">
        <f>"9.800,00"</f>
        <v>9.800,00</v>
      </c>
      <c r="L3403" s="6" t="str">
        <f>"2.450,00"</f>
        <v>2.450,00</v>
      </c>
      <c r="M3403" s="6" t="str">
        <f>"12.250,00"</f>
        <v>12.250,00</v>
      </c>
      <c r="N3403" s="8" t="s">
        <v>183</v>
      </c>
      <c r="O3403" s="7"/>
      <c r="P3403" s="2" t="s">
        <v>7597</v>
      </c>
      <c r="Q3403" s="7"/>
      <c r="R3403" s="1"/>
      <c r="S3403" s="1" t="str">
        <f>"J-UN-2021-1404"</f>
        <v>J-UN-2021-1404</v>
      </c>
      <c r="T3403" s="1" t="s">
        <v>32</v>
      </c>
    </row>
    <row r="3404" spans="1:20" ht="51" x14ac:dyDescent="0.25">
      <c r="A3404" s="6">
        <v>3398</v>
      </c>
      <c r="B3404" s="1" t="str">
        <f>"2021-915"</f>
        <v>2021-915</v>
      </c>
      <c r="C3404" s="1" t="s">
        <v>2563</v>
      </c>
      <c r="D3404" s="1" t="s">
        <v>914</v>
      </c>
      <c r="E3404" s="1" t="str">
        <f>""</f>
        <v/>
      </c>
      <c r="F3404" s="1" t="s">
        <v>1860</v>
      </c>
      <c r="G3404" s="1" t="str">
        <f>CONCATENATE(" D.R. AUTO D.O.O.,"," SELSKA CESTA 34,"," 10000 ZAGREB,"," OIB: 07523847158")</f>
        <v xml:space="preserve"> D.R. AUTO D.O.O., SELSKA CESTA 34, 10000 ZAGREB, OIB: 07523847158</v>
      </c>
      <c r="H3404" s="7"/>
      <c r="I3404" s="8" t="s">
        <v>1522</v>
      </c>
      <c r="J3404" s="8" t="s">
        <v>420</v>
      </c>
      <c r="K3404" s="6" t="str">
        <f>"1.193,60"</f>
        <v>1.193,60</v>
      </c>
      <c r="L3404" s="6" t="str">
        <f>"298,40"</f>
        <v>298,40</v>
      </c>
      <c r="M3404" s="6" t="str">
        <f>"1.492,00"</f>
        <v>1.492,00</v>
      </c>
      <c r="N3404" s="8" t="s">
        <v>1350</v>
      </c>
      <c r="O3404" s="7"/>
      <c r="P3404" s="2" t="s">
        <v>7598</v>
      </c>
      <c r="Q3404" s="7"/>
      <c r="R3404" s="1"/>
      <c r="S3404" s="1" t="str">
        <f>"J-UN-2021-1405"</f>
        <v>J-UN-2021-1405</v>
      </c>
      <c r="T3404" s="1" t="s">
        <v>32</v>
      </c>
    </row>
    <row r="3405" spans="1:20" ht="51" x14ac:dyDescent="0.25">
      <c r="A3405" s="6">
        <v>3399</v>
      </c>
      <c r="B3405" s="1" t="str">
        <f>"2021-627"</f>
        <v>2021-627</v>
      </c>
      <c r="C3405" s="1" t="s">
        <v>2727</v>
      </c>
      <c r="D3405" s="1" t="s">
        <v>794</v>
      </c>
      <c r="E3405" s="1" t="str">
        <f>""</f>
        <v/>
      </c>
      <c r="F3405" s="1" t="s">
        <v>1860</v>
      </c>
      <c r="G3405" s="1" t="str">
        <f>CONCATENATE(" TAHOGRAF D.O.O.,"," DR. FRANJE TUĐMANA 24,"," 10431 SVETA NEDELJA,"," OIB: 73777060562")</f>
        <v xml:space="preserve"> TAHOGRAF D.O.O., DR. FRANJE TUĐMANA 24, 10431 SVETA NEDELJA, OIB: 73777060562</v>
      </c>
      <c r="H3405" s="7"/>
      <c r="I3405" s="8" t="s">
        <v>1522</v>
      </c>
      <c r="J3405" s="8" t="s">
        <v>420</v>
      </c>
      <c r="K3405" s="6" t="str">
        <f>"31.200,00"</f>
        <v>31.200,00</v>
      </c>
      <c r="L3405" s="6" t="str">
        <f>"7.800,00"</f>
        <v>7.800,00</v>
      </c>
      <c r="M3405" s="6" t="str">
        <f>"39.000,00"</f>
        <v>39.000,00</v>
      </c>
      <c r="N3405" s="8" t="s">
        <v>1504</v>
      </c>
      <c r="O3405" s="7"/>
      <c r="P3405" s="2" t="s">
        <v>7599</v>
      </c>
      <c r="Q3405" s="7"/>
      <c r="R3405" s="1"/>
      <c r="S3405" s="1" t="str">
        <f>"J-UN-2021-1406"</f>
        <v>J-UN-2021-1406</v>
      </c>
      <c r="T3405" s="1" t="s">
        <v>32</v>
      </c>
    </row>
    <row r="3406" spans="1:20" ht="51" x14ac:dyDescent="0.25">
      <c r="A3406" s="6">
        <v>3400</v>
      </c>
      <c r="B3406" s="1" t="str">
        <f>"2021-1791"</f>
        <v>2021-1791</v>
      </c>
      <c r="C3406" s="1" t="s">
        <v>2558</v>
      </c>
      <c r="D3406" s="1" t="s">
        <v>860</v>
      </c>
      <c r="E3406" s="1" t="str">
        <f>""</f>
        <v/>
      </c>
      <c r="F3406" s="1" t="s">
        <v>1860</v>
      </c>
      <c r="G3406" s="1" t="str">
        <f>CONCATENATE(" LIKTIN,"," VL. IVAN LEŠČIĆ,",","," PRESEKA 31,"," 10346 PRESEKA,"," OIB: 70816753053")</f>
        <v xml:space="preserve"> LIKTIN, VL. IVAN LEŠČIĆ,, PRESEKA 31, 10346 PRESEKA, OIB: 70816753053</v>
      </c>
      <c r="H3406" s="7"/>
      <c r="I3406" s="8" t="s">
        <v>911</v>
      </c>
      <c r="J3406" s="8" t="s">
        <v>2929</v>
      </c>
      <c r="K3406" s="6" t="str">
        <f>"663,00"</f>
        <v>663,00</v>
      </c>
      <c r="L3406" s="6" t="str">
        <f>"165,75"</f>
        <v>165,75</v>
      </c>
      <c r="M3406" s="6" t="str">
        <f>"828,75"</f>
        <v>828,75</v>
      </c>
      <c r="N3406" s="8" t="s">
        <v>2939</v>
      </c>
      <c r="O3406" s="7"/>
      <c r="P3406" s="2" t="s">
        <v>7600</v>
      </c>
      <c r="Q3406" s="7"/>
      <c r="R3406" s="1"/>
      <c r="S3406" s="1" t="str">
        <f>"J-UN-2021-1407"</f>
        <v>J-UN-2021-1407</v>
      </c>
      <c r="T3406" s="1" t="s">
        <v>32</v>
      </c>
    </row>
    <row r="3407" spans="1:20" ht="51" x14ac:dyDescent="0.25">
      <c r="A3407" s="6">
        <v>3401</v>
      </c>
      <c r="B3407" s="1" t="str">
        <f>"2021-221"</f>
        <v>2021-221</v>
      </c>
      <c r="C3407" s="1" t="s">
        <v>2692</v>
      </c>
      <c r="D3407" s="1" t="s">
        <v>2693</v>
      </c>
      <c r="E3407" s="1" t="str">
        <f>""</f>
        <v/>
      </c>
      <c r="F3407" s="1" t="s">
        <v>1860</v>
      </c>
      <c r="G3407" s="1" t="str">
        <f>CONCATENATE(" COMET D.O.O.,"," VARAŽDINSKA 40/C,"," 42220 NOVI MAROF,"," OIB: 48249084626")</f>
        <v xml:space="preserve"> COMET D.O.O., VARAŽDINSKA 40/C, 42220 NOVI MAROF, OIB: 48249084626</v>
      </c>
      <c r="H3407" s="7"/>
      <c r="I3407" s="8" t="s">
        <v>904</v>
      </c>
      <c r="J3407" s="8" t="s">
        <v>1087</v>
      </c>
      <c r="K3407" s="6" t="str">
        <f>"2.820,00"</f>
        <v>2.820,00</v>
      </c>
      <c r="L3407" s="6" t="str">
        <f>"705,00"</f>
        <v>705,00</v>
      </c>
      <c r="M3407" s="6" t="str">
        <f>"3.525,00"</f>
        <v>3.525,00</v>
      </c>
      <c r="N3407" s="8" t="s">
        <v>1257</v>
      </c>
      <c r="O3407" s="7"/>
      <c r="P3407" s="2" t="s">
        <v>7601</v>
      </c>
      <c r="Q3407" s="7"/>
      <c r="R3407" s="1"/>
      <c r="S3407" s="1" t="str">
        <f>"J-UN-2021-1408"</f>
        <v>J-UN-2021-1408</v>
      </c>
      <c r="T3407" s="1" t="s">
        <v>32</v>
      </c>
    </row>
    <row r="3408" spans="1:20" ht="51" x14ac:dyDescent="0.25">
      <c r="A3408" s="6">
        <v>3402</v>
      </c>
      <c r="B3408" s="1" t="str">
        <f>"2021-1154"</f>
        <v>2021-1154</v>
      </c>
      <c r="C3408" s="1" t="s">
        <v>2854</v>
      </c>
      <c r="D3408" s="1" t="s">
        <v>2855</v>
      </c>
      <c r="E3408" s="1" t="str">
        <f>""</f>
        <v/>
      </c>
      <c r="F3408" s="1" t="s">
        <v>1860</v>
      </c>
      <c r="G3408" s="1" t="str">
        <f>CONCATENATE(" TEHNO-HIDRAULIK D.O.O.,"," SAVIŠĆE 2,"," 10000 ZAGREB,"," OIB: 09925328419")</f>
        <v xml:space="preserve"> TEHNO-HIDRAULIK D.O.O., SAVIŠĆE 2, 10000 ZAGREB, OIB: 09925328419</v>
      </c>
      <c r="H3408" s="7"/>
      <c r="I3408" s="8" t="s">
        <v>1522</v>
      </c>
      <c r="J3408" s="8" t="s">
        <v>420</v>
      </c>
      <c r="K3408" s="6" t="str">
        <f>"10.217,43"</f>
        <v>10.217,43</v>
      </c>
      <c r="L3408" s="6" t="str">
        <f>"2.554,36"</f>
        <v>2.554,36</v>
      </c>
      <c r="M3408" s="6" t="str">
        <f>"12.771,79"</f>
        <v>12.771,79</v>
      </c>
      <c r="N3408" s="8" t="s">
        <v>159</v>
      </c>
      <c r="O3408" s="7"/>
      <c r="P3408" s="2" t="s">
        <v>7602</v>
      </c>
      <c r="Q3408" s="7"/>
      <c r="R3408" s="1"/>
      <c r="S3408" s="1" t="str">
        <f>"J-UN-2021-1409"</f>
        <v>J-UN-2021-1409</v>
      </c>
      <c r="T3408" s="1" t="s">
        <v>32</v>
      </c>
    </row>
    <row r="3409" spans="1:20" ht="51" x14ac:dyDescent="0.25">
      <c r="A3409" s="6">
        <v>3403</v>
      </c>
      <c r="B3409" s="1" t="str">
        <f>"2021-576"</f>
        <v>2021-576</v>
      </c>
      <c r="C3409" s="1" t="s">
        <v>2561</v>
      </c>
      <c r="D3409" s="1" t="s">
        <v>2156</v>
      </c>
      <c r="E3409" s="1" t="str">
        <f>""</f>
        <v/>
      </c>
      <c r="F3409" s="1" t="s">
        <v>1860</v>
      </c>
      <c r="G3409" s="1" t="str">
        <f>CONCATENATE(" KOPI-AS D.O.O.,"," CERNIČKA 4,"," 10000 ZAGREB,"," OIB: 96605206988")</f>
        <v xml:space="preserve"> KOPI-AS D.O.O., CERNIČKA 4, 10000 ZAGREB, OIB: 96605206988</v>
      </c>
      <c r="H3409" s="7"/>
      <c r="I3409" s="8" t="s">
        <v>904</v>
      </c>
      <c r="J3409" s="8" t="s">
        <v>1087</v>
      </c>
      <c r="K3409" s="6" t="str">
        <f>"3.760,00"</f>
        <v>3.760,00</v>
      </c>
      <c r="L3409" s="6" t="str">
        <f>"940,00"</f>
        <v>940,00</v>
      </c>
      <c r="M3409" s="6" t="str">
        <f>"4.700,00"</f>
        <v>4.700,00</v>
      </c>
      <c r="N3409" s="8" t="s">
        <v>327</v>
      </c>
      <c r="O3409" s="7"/>
      <c r="P3409" s="2" t="s">
        <v>7603</v>
      </c>
      <c r="Q3409" s="7"/>
      <c r="R3409" s="1"/>
      <c r="S3409" s="1" t="str">
        <f>"J-UN-2021-1411"</f>
        <v>J-UN-2021-1411</v>
      </c>
      <c r="T3409" s="1" t="s">
        <v>32</v>
      </c>
    </row>
    <row r="3410" spans="1:20" ht="63.75" x14ac:dyDescent="0.25">
      <c r="A3410" s="6">
        <v>3404</v>
      </c>
      <c r="B3410" s="1" t="str">
        <f>"2021-1053"</f>
        <v>2021-1053</v>
      </c>
      <c r="C3410" s="1" t="s">
        <v>2783</v>
      </c>
      <c r="D3410" s="1" t="s">
        <v>471</v>
      </c>
      <c r="E3410" s="1" t="str">
        <f>""</f>
        <v/>
      </c>
      <c r="F3410" s="1" t="s">
        <v>1860</v>
      </c>
      <c r="G3410" s="1" t="str">
        <f>CONCATENATE(" INFO-KOD d.o.o.,"," DINARSKI PUT 1B,"," 10090 ZAGREB-SUSEDGRAD,"," OIB: 87565323632")</f>
        <v xml:space="preserve"> INFO-KOD d.o.o., DINARSKI PUT 1B, 10090 ZAGREB-SUSEDGRAD, OIB: 87565323632</v>
      </c>
      <c r="H3410" s="7"/>
      <c r="I3410" s="8" t="s">
        <v>1522</v>
      </c>
      <c r="J3410" s="8" t="s">
        <v>420</v>
      </c>
      <c r="K3410" s="6" t="str">
        <f>"3.465,00"</f>
        <v>3.465,00</v>
      </c>
      <c r="L3410" s="6" t="str">
        <f>"866,25"</f>
        <v>866,25</v>
      </c>
      <c r="M3410" s="6" t="str">
        <f>"4.331,25"</f>
        <v>4.331,25</v>
      </c>
      <c r="N3410" s="8" t="s">
        <v>159</v>
      </c>
      <c r="O3410" s="7"/>
      <c r="P3410" s="2" t="s">
        <v>7604</v>
      </c>
      <c r="Q3410" s="7"/>
      <c r="R3410" s="1"/>
      <c r="S3410" s="1" t="str">
        <f>"J-UN-2021-1412"</f>
        <v>J-UN-2021-1412</v>
      </c>
      <c r="T3410" s="1" t="s">
        <v>32</v>
      </c>
    </row>
    <row r="3411" spans="1:20" ht="63.75" x14ac:dyDescent="0.25">
      <c r="A3411" s="6">
        <v>3405</v>
      </c>
      <c r="B3411" s="1" t="str">
        <f>"2021-80"</f>
        <v>2021-80</v>
      </c>
      <c r="C3411" s="1" t="s">
        <v>2731</v>
      </c>
      <c r="D3411" s="1" t="s">
        <v>2732</v>
      </c>
      <c r="E3411" s="1" t="str">
        <f>""</f>
        <v/>
      </c>
      <c r="F3411" s="1" t="s">
        <v>1860</v>
      </c>
      <c r="G3411" s="1" t="str">
        <f>CONCATENATE(" PROTING HORVAT D.O.O.,"," FRANA GALINOVIĆA 4,"," 49000 KRAPINA,"," OIB: 75263812619")</f>
        <v xml:space="preserve"> PROTING HORVAT D.O.O., FRANA GALINOVIĆA 4, 49000 KRAPINA, OIB: 75263812619</v>
      </c>
      <c r="H3411" s="7"/>
      <c r="I3411" s="8" t="s">
        <v>904</v>
      </c>
      <c r="J3411" s="8" t="s">
        <v>1087</v>
      </c>
      <c r="K3411" s="6" t="str">
        <f>"5.600,00"</f>
        <v>5.600,00</v>
      </c>
      <c r="L3411" s="6" t="str">
        <f>"1.400,00"</f>
        <v>1.400,00</v>
      </c>
      <c r="M3411" s="6" t="str">
        <f>"7.000,00"</f>
        <v>7.000,00</v>
      </c>
      <c r="N3411" s="8" t="s">
        <v>335</v>
      </c>
      <c r="O3411" s="7"/>
      <c r="P3411" s="2" t="s">
        <v>6356</v>
      </c>
      <c r="Q3411" s="7"/>
      <c r="R3411" s="1"/>
      <c r="S3411" s="1" t="str">
        <f>"J-UN-2021-1415"</f>
        <v>J-UN-2021-1415</v>
      </c>
      <c r="T3411" s="1" t="s">
        <v>32</v>
      </c>
    </row>
    <row r="3412" spans="1:20" ht="51" x14ac:dyDescent="0.25">
      <c r="A3412" s="6">
        <v>3406</v>
      </c>
      <c r="B3412" s="1" t="str">
        <f>"2021-79"</f>
        <v>2021-79</v>
      </c>
      <c r="C3412" s="1" t="s">
        <v>2790</v>
      </c>
      <c r="D3412" s="1" t="s">
        <v>2791</v>
      </c>
      <c r="E3412" s="1" t="str">
        <f>""</f>
        <v/>
      </c>
      <c r="F3412" s="1" t="s">
        <v>1860</v>
      </c>
      <c r="G3412" s="1" t="str">
        <f>CONCATENATE(" SAFIR D.O.O.,"," HORVAĆANSKA 17,"," 10000 ZAGREB,"," OIB: 33548604975")</f>
        <v xml:space="preserve"> SAFIR D.O.O., HORVAĆANSKA 17, 10000 ZAGREB, OIB: 33548604975</v>
      </c>
      <c r="H3412" s="7"/>
      <c r="I3412" s="8" t="s">
        <v>159</v>
      </c>
      <c r="J3412" s="8" t="s">
        <v>31</v>
      </c>
      <c r="K3412" s="6" t="str">
        <f>"1.560,00"</f>
        <v>1.560,00</v>
      </c>
      <c r="L3412" s="6" t="str">
        <f>"390,00"</f>
        <v>390,00</v>
      </c>
      <c r="M3412" s="6" t="str">
        <f>"1.950,00"</f>
        <v>1.950,00</v>
      </c>
      <c r="N3412" s="8" t="s">
        <v>2297</v>
      </c>
      <c r="O3412" s="7"/>
      <c r="P3412" s="2" t="s">
        <v>7605</v>
      </c>
      <c r="Q3412" s="7"/>
      <c r="R3412" s="1"/>
      <c r="S3412" s="1" t="str">
        <f>"J-UN-2021-1416"</f>
        <v>J-UN-2021-1416</v>
      </c>
      <c r="T3412" s="1" t="s">
        <v>32</v>
      </c>
    </row>
    <row r="3413" spans="1:20" ht="63.75" x14ac:dyDescent="0.25">
      <c r="A3413" s="6">
        <v>3407</v>
      </c>
      <c r="B3413" s="1" t="str">
        <f>"2021-626"</f>
        <v>2021-626</v>
      </c>
      <c r="C3413" s="1" t="s">
        <v>2799</v>
      </c>
      <c r="D3413" s="1" t="s">
        <v>794</v>
      </c>
      <c r="E3413" s="1" t="str">
        <f>""</f>
        <v/>
      </c>
      <c r="F3413" s="1" t="s">
        <v>1860</v>
      </c>
      <c r="G3413" s="1" t="str">
        <f>CONCATENATE(" COMMUNITER AD DECUS D.O.O.,"," JURJA VES 62A,"," 10000 ZAGREB,"," OIB: 02319061049")</f>
        <v xml:space="preserve"> COMMUNITER AD DECUS D.O.O., JURJA VES 62A, 10000 ZAGREB, OIB: 02319061049</v>
      </c>
      <c r="H3413" s="7"/>
      <c r="I3413" s="8" t="s">
        <v>190</v>
      </c>
      <c r="J3413" s="8" t="s">
        <v>58</v>
      </c>
      <c r="K3413" s="6" t="str">
        <f>"6.140,00"</f>
        <v>6.140,00</v>
      </c>
      <c r="L3413" s="6" t="str">
        <f>"1.535,00"</f>
        <v>1.535,00</v>
      </c>
      <c r="M3413" s="6" t="str">
        <f>"7.675,00"</f>
        <v>7.675,00</v>
      </c>
      <c r="N3413" s="7"/>
      <c r="O3413" s="9">
        <v>44565</v>
      </c>
      <c r="P3413" s="2" t="s">
        <v>5614</v>
      </c>
      <c r="Q3413" s="7"/>
      <c r="R3413" s="1"/>
      <c r="S3413" s="1" t="str">
        <f>"J-UN-2021-1417"</f>
        <v>J-UN-2021-1417</v>
      </c>
      <c r="T3413" s="1" t="s">
        <v>32</v>
      </c>
    </row>
    <row r="3414" spans="1:20" ht="63.75" x14ac:dyDescent="0.25">
      <c r="A3414" s="6">
        <v>3408</v>
      </c>
      <c r="B3414" s="1" t="str">
        <f>"2021-206"</f>
        <v>2021-206</v>
      </c>
      <c r="C3414" s="1" t="s">
        <v>2822</v>
      </c>
      <c r="D3414" s="1" t="s">
        <v>2823</v>
      </c>
      <c r="E3414" s="1" t="str">
        <f>""</f>
        <v/>
      </c>
      <c r="F3414" s="1" t="s">
        <v>1860</v>
      </c>
      <c r="G3414" s="1" t="str">
        <f>CONCATENATE(" KEMOBOJA-DUBRAVA D.O.O.,"," AVENIJA DUBRAVA 37,"," 10000 ZAGREB,"," OIB: 6402157427")</f>
        <v xml:space="preserve"> KEMOBOJA-DUBRAVA D.O.O., AVENIJA DUBRAVA 37, 10000 ZAGREB, OIB: 6402157427</v>
      </c>
      <c r="H3414" s="7"/>
      <c r="I3414" s="8" t="s">
        <v>190</v>
      </c>
      <c r="J3414" s="8" t="s">
        <v>58</v>
      </c>
      <c r="K3414" s="6" t="str">
        <f>"2.677,20"</f>
        <v>2.677,20</v>
      </c>
      <c r="L3414" s="6" t="str">
        <f>"669,30"</f>
        <v>669,30</v>
      </c>
      <c r="M3414" s="6" t="str">
        <f>"3.346,50"</f>
        <v>3.346,50</v>
      </c>
      <c r="N3414" s="8" t="s">
        <v>2921</v>
      </c>
      <c r="O3414" s="7"/>
      <c r="P3414" s="2" t="s">
        <v>7606</v>
      </c>
      <c r="Q3414" s="7"/>
      <c r="R3414" s="1"/>
      <c r="S3414" s="1" t="str">
        <f>"J-UN-2021-1418"</f>
        <v>J-UN-2021-1418</v>
      </c>
      <c r="T3414" s="1" t="s">
        <v>32</v>
      </c>
    </row>
    <row r="3415" spans="1:20" ht="63.75" x14ac:dyDescent="0.25">
      <c r="A3415" s="6">
        <v>3409</v>
      </c>
      <c r="B3415" s="1" t="str">
        <f>"2021-697"</f>
        <v>2021-697</v>
      </c>
      <c r="C3415" s="1" t="s">
        <v>2834</v>
      </c>
      <c r="D3415" s="1" t="s">
        <v>2835</v>
      </c>
      <c r="E3415" s="1" t="str">
        <f>""</f>
        <v/>
      </c>
      <c r="F3415" s="1" t="s">
        <v>1860</v>
      </c>
      <c r="G3415" s="1" t="str">
        <f>CONCATENATE(" ELEKTRO-KOMUNIKACIJE D.O.O.,"," 14. PODBREŽJE 4,"," 10000 ZAGREB,"," OIB: 76412373309")</f>
        <v xml:space="preserve"> ELEKTRO-KOMUNIKACIJE D.O.O., 14. PODBREŽJE 4, 10000 ZAGREB, OIB: 76412373309</v>
      </c>
      <c r="H3415" s="7"/>
      <c r="I3415" s="8" t="s">
        <v>2300</v>
      </c>
      <c r="J3415" s="8" t="s">
        <v>1159</v>
      </c>
      <c r="K3415" s="6" t="str">
        <f>"1.010,00"</f>
        <v>1.010,00</v>
      </c>
      <c r="L3415" s="6" t="str">
        <f>"252,50"</f>
        <v>252,50</v>
      </c>
      <c r="M3415" s="6" t="str">
        <f>"1.262,50"</f>
        <v>1.262,50</v>
      </c>
      <c r="N3415" s="8" t="s">
        <v>604</v>
      </c>
      <c r="O3415" s="7"/>
      <c r="P3415" s="2" t="s">
        <v>7607</v>
      </c>
      <c r="Q3415" s="7"/>
      <c r="R3415" s="1"/>
      <c r="S3415" s="1" t="str">
        <f>"J-UN-2021-1420"</f>
        <v>J-UN-2021-1420</v>
      </c>
      <c r="T3415" s="1" t="s">
        <v>32</v>
      </c>
    </row>
    <row r="3416" spans="1:20" ht="51" x14ac:dyDescent="0.25">
      <c r="A3416" s="6">
        <v>3410</v>
      </c>
      <c r="B3416" s="1" t="str">
        <f>"2021-75"</f>
        <v>2021-75</v>
      </c>
      <c r="C3416" s="1" t="s">
        <v>2612</v>
      </c>
      <c r="D3416" s="1" t="s">
        <v>2613</v>
      </c>
      <c r="E3416" s="1" t="str">
        <f>""</f>
        <v/>
      </c>
      <c r="F3416" s="1" t="s">
        <v>1860</v>
      </c>
      <c r="G3416" s="1" t="str">
        <f>CONCATENATE(" ELCON D.O.O.,"," MEĐIMURSKA 2,"," 42000 VARAŽDIN,"," OIB: 69554624078")</f>
        <v xml:space="preserve"> ELCON D.O.O., MEĐIMURSKA 2, 42000 VARAŽDIN, OIB: 69554624078</v>
      </c>
      <c r="H3416" s="7"/>
      <c r="I3416" s="8" t="s">
        <v>1522</v>
      </c>
      <c r="J3416" s="8" t="s">
        <v>420</v>
      </c>
      <c r="K3416" s="6" t="str">
        <f>"2.281,50"</f>
        <v>2.281,50</v>
      </c>
      <c r="L3416" s="6" t="str">
        <f>"570,38"</f>
        <v>570,38</v>
      </c>
      <c r="M3416" s="6" t="str">
        <f>"2.851,88"</f>
        <v>2.851,88</v>
      </c>
      <c r="N3416" s="8" t="s">
        <v>2297</v>
      </c>
      <c r="O3416" s="7"/>
      <c r="P3416" s="2" t="s">
        <v>7608</v>
      </c>
      <c r="Q3416" s="1" t="s">
        <v>5601</v>
      </c>
      <c r="R3416" s="1"/>
      <c r="S3416" s="1" t="str">
        <f>"J-UN-2021-1421"</f>
        <v>J-UN-2021-1421</v>
      </c>
      <c r="T3416" s="1" t="s">
        <v>32</v>
      </c>
    </row>
    <row r="3417" spans="1:20" ht="51" x14ac:dyDescent="0.25">
      <c r="A3417" s="6">
        <v>3411</v>
      </c>
      <c r="B3417" s="1" t="str">
        <f>"2021-341"</f>
        <v>2021-341</v>
      </c>
      <c r="C3417" s="1" t="s">
        <v>2695</v>
      </c>
      <c r="D3417" s="1" t="s">
        <v>2502</v>
      </c>
      <c r="E3417" s="1" t="str">
        <f>""</f>
        <v/>
      </c>
      <c r="F3417" s="1" t="s">
        <v>1860</v>
      </c>
      <c r="G3417" s="1" t="str">
        <f>CONCATENATE(" FDS-TRGOVINA D.O.O.,"," MAJSTORSKA 1G,"," 10000 ZAGREB,"," OIB: 71814187727")</f>
        <v xml:space="preserve"> FDS-TRGOVINA D.O.O., MAJSTORSKA 1G, 10000 ZAGREB, OIB: 71814187727</v>
      </c>
      <c r="H3417" s="7"/>
      <c r="I3417" s="8" t="s">
        <v>2300</v>
      </c>
      <c r="J3417" s="8" t="s">
        <v>1159</v>
      </c>
      <c r="K3417" s="6" t="str">
        <f>"874,20"</f>
        <v>874,20</v>
      </c>
      <c r="L3417" s="6" t="str">
        <f>"218,55"</f>
        <v>218,55</v>
      </c>
      <c r="M3417" s="6" t="str">
        <f>"1.092,75"</f>
        <v>1.092,75</v>
      </c>
      <c r="N3417" s="8" t="s">
        <v>707</v>
      </c>
      <c r="O3417" s="7"/>
      <c r="P3417" s="2" t="s">
        <v>7609</v>
      </c>
      <c r="Q3417" s="7"/>
      <c r="R3417" s="1"/>
      <c r="S3417" s="1" t="str">
        <f>"J-UN-2021-1422"</f>
        <v>J-UN-2021-1422</v>
      </c>
      <c r="T3417" s="1" t="s">
        <v>32</v>
      </c>
    </row>
    <row r="3418" spans="1:20" ht="51" x14ac:dyDescent="0.25">
      <c r="A3418" s="6">
        <v>3412</v>
      </c>
      <c r="B3418" s="1" t="str">
        <f>"2021-424"</f>
        <v>2021-424</v>
      </c>
      <c r="C3418" s="1" t="s">
        <v>2881</v>
      </c>
      <c r="D3418" s="1" t="s">
        <v>2882</v>
      </c>
      <c r="E3418" s="1" t="str">
        <f>""</f>
        <v/>
      </c>
      <c r="F3418" s="1" t="s">
        <v>1860</v>
      </c>
      <c r="G3418" s="1" t="str">
        <f>CONCATENATE(" SERVIS KOŠIĆ D.O.O.,"," BJELOVARSKA 7,"," 48260 KRIŽEVCI,"," OIB: 49900173834")</f>
        <v xml:space="preserve"> SERVIS KOŠIĆ D.O.O., BJELOVARSKA 7, 48260 KRIŽEVCI, OIB: 49900173834</v>
      </c>
      <c r="H3418" s="7"/>
      <c r="I3418" s="8" t="s">
        <v>1522</v>
      </c>
      <c r="J3418" s="8" t="s">
        <v>420</v>
      </c>
      <c r="K3418" s="6" t="str">
        <f>"1.117,60"</f>
        <v>1.117,60</v>
      </c>
      <c r="L3418" s="6" t="str">
        <f>"279,40"</f>
        <v>279,40</v>
      </c>
      <c r="M3418" s="6" t="str">
        <f>"1.397,00"</f>
        <v>1.397,00</v>
      </c>
      <c r="N3418" s="8" t="s">
        <v>1504</v>
      </c>
      <c r="O3418" s="7"/>
      <c r="P3418" s="2" t="s">
        <v>7610</v>
      </c>
      <c r="Q3418" s="7"/>
      <c r="R3418" s="1"/>
      <c r="S3418" s="1" t="str">
        <f>"J-UN-2021-1423"</f>
        <v>J-UN-2021-1423</v>
      </c>
      <c r="T3418" s="1" t="s">
        <v>32</v>
      </c>
    </row>
    <row r="3419" spans="1:20" ht="51" x14ac:dyDescent="0.25">
      <c r="A3419" s="6">
        <v>3413</v>
      </c>
      <c r="B3419" s="1" t="str">
        <f>"2021-310"</f>
        <v>2021-310</v>
      </c>
      <c r="C3419" s="1" t="s">
        <v>2624</v>
      </c>
      <c r="D3419" s="1" t="s">
        <v>1334</v>
      </c>
      <c r="E3419" s="1" t="str">
        <f>""</f>
        <v/>
      </c>
      <c r="F3419" s="1" t="s">
        <v>1860</v>
      </c>
      <c r="G3419" s="1" t="str">
        <f>CONCATENATE(" PRO-TEHNA D.O.O.,"," MAKSIMIRSKA 64,"," 10000 ZAGREB,"," OIB: 88951687357")</f>
        <v xml:space="preserve"> PRO-TEHNA D.O.O., MAKSIMIRSKA 64, 10000 ZAGREB, OIB: 88951687357</v>
      </c>
      <c r="H3419" s="7"/>
      <c r="I3419" s="8" t="s">
        <v>1504</v>
      </c>
      <c r="J3419" s="8" t="s">
        <v>964</v>
      </c>
      <c r="K3419" s="6" t="str">
        <f>"5.100,00"</f>
        <v>5.100,00</v>
      </c>
      <c r="L3419" s="6" t="str">
        <f>"1.275,00"</f>
        <v>1.275,00</v>
      </c>
      <c r="M3419" s="6" t="str">
        <f>"6.375,00"</f>
        <v>6.375,00</v>
      </c>
      <c r="N3419" s="8" t="s">
        <v>335</v>
      </c>
      <c r="O3419" s="7"/>
      <c r="P3419" s="2" t="s">
        <v>7551</v>
      </c>
      <c r="Q3419" s="7"/>
      <c r="R3419" s="1"/>
      <c r="S3419" s="1" t="str">
        <f>"J-UN-2021-1426"</f>
        <v>J-UN-2021-1426</v>
      </c>
      <c r="T3419" s="1" t="s">
        <v>32</v>
      </c>
    </row>
    <row r="3420" spans="1:20" ht="51" x14ac:dyDescent="0.25">
      <c r="A3420" s="6">
        <v>3414</v>
      </c>
      <c r="B3420" s="1" t="str">
        <f>"2021-389"</f>
        <v>2021-389</v>
      </c>
      <c r="C3420" s="1" t="s">
        <v>2875</v>
      </c>
      <c r="D3420" s="1" t="s">
        <v>2577</v>
      </c>
      <c r="E3420" s="1" t="str">
        <f>""</f>
        <v/>
      </c>
      <c r="F3420" s="1" t="s">
        <v>1860</v>
      </c>
      <c r="G3420" s="1" t="str">
        <f>CONCATENATE(" PK D.O.O.,"," INDUSTRIJSKA ZONA R-27,"," 51223 ŠKRLJEVO,"," OIB: 07930503403")</f>
        <v xml:space="preserve"> PK D.O.O., INDUSTRIJSKA ZONA R-27, 51223 ŠKRLJEVO, OIB: 07930503403</v>
      </c>
      <c r="H3420" s="7"/>
      <c r="I3420" s="8" t="s">
        <v>1060</v>
      </c>
      <c r="J3420" s="8" t="s">
        <v>81</v>
      </c>
      <c r="K3420" s="6" t="str">
        <f>"648,00"</f>
        <v>648,00</v>
      </c>
      <c r="L3420" s="6" t="str">
        <f>"162,00"</f>
        <v>162,00</v>
      </c>
      <c r="M3420" s="6" t="str">
        <f>"810,00"</f>
        <v>810,00</v>
      </c>
      <c r="N3420" s="8" t="s">
        <v>640</v>
      </c>
      <c r="O3420" s="7"/>
      <c r="P3420" s="2" t="s">
        <v>7611</v>
      </c>
      <c r="Q3420" s="7"/>
      <c r="R3420" s="1"/>
      <c r="S3420" s="1" t="str">
        <f>"J-UN-2021-1428"</f>
        <v>J-UN-2021-1428</v>
      </c>
      <c r="T3420" s="1" t="s">
        <v>32</v>
      </c>
    </row>
    <row r="3421" spans="1:20" ht="51" x14ac:dyDescent="0.25">
      <c r="A3421" s="6">
        <v>3415</v>
      </c>
      <c r="B3421" s="1" t="str">
        <f>"2021-707"</f>
        <v>2021-707</v>
      </c>
      <c r="C3421" s="1" t="s">
        <v>2642</v>
      </c>
      <c r="D3421" s="1" t="s">
        <v>1236</v>
      </c>
      <c r="E3421" s="1" t="str">
        <f>""</f>
        <v/>
      </c>
      <c r="F3421" s="1" t="s">
        <v>1860</v>
      </c>
      <c r="G3421" s="1" t="str">
        <f>CONCATENATE(" MEGA MONT D.O.O.,"," POPOVIĆEV PUT 2/D,"," 51211 MATULJI,"," OIB: 64536314217")</f>
        <v xml:space="preserve"> MEGA MONT D.O.O., POPOVIĆEV PUT 2/D, 51211 MATULJI, OIB: 64536314217</v>
      </c>
      <c r="H3421" s="7"/>
      <c r="I3421" s="8" t="s">
        <v>1060</v>
      </c>
      <c r="J3421" s="8" t="s">
        <v>81</v>
      </c>
      <c r="K3421" s="6" t="str">
        <f>"10.713,39"</f>
        <v>10.713,39</v>
      </c>
      <c r="L3421" s="6" t="str">
        <f>"2.678,35"</f>
        <v>2.678,35</v>
      </c>
      <c r="M3421" s="6" t="str">
        <f>"13.391,74"</f>
        <v>13.391,74</v>
      </c>
      <c r="N3421" s="8" t="s">
        <v>904</v>
      </c>
      <c r="O3421" s="7"/>
      <c r="P3421" s="2" t="s">
        <v>7612</v>
      </c>
      <c r="Q3421" s="7"/>
      <c r="R3421" s="1"/>
      <c r="S3421" s="1" t="str">
        <f>"J-UN-2021-1430"</f>
        <v>J-UN-2021-1430</v>
      </c>
      <c r="T3421" s="1" t="s">
        <v>32</v>
      </c>
    </row>
    <row r="3422" spans="1:20" ht="51" x14ac:dyDescent="0.25">
      <c r="A3422" s="6">
        <v>3416</v>
      </c>
      <c r="B3422" s="1" t="str">
        <f>"2021-1791"</f>
        <v>2021-1791</v>
      </c>
      <c r="C3422" s="1" t="s">
        <v>2558</v>
      </c>
      <c r="D3422" s="1" t="s">
        <v>860</v>
      </c>
      <c r="E3422" s="1" t="str">
        <f>""</f>
        <v/>
      </c>
      <c r="F3422" s="1" t="s">
        <v>1860</v>
      </c>
      <c r="G3422" s="1" t="str">
        <f>CONCATENATE(" PLEMAG D.O.O.,"," ALEJA LIPA 1/B,"," 10000 ZAGREB,"," OIB: 15144440967")</f>
        <v xml:space="preserve"> PLEMAG D.O.O., ALEJA LIPA 1/B, 10000 ZAGREB, OIB: 15144440967</v>
      </c>
      <c r="H3422" s="7"/>
      <c r="I3422" s="8" t="s">
        <v>1522</v>
      </c>
      <c r="J3422" s="8" t="s">
        <v>420</v>
      </c>
      <c r="K3422" s="6" t="str">
        <f>"3.270,00"</f>
        <v>3.270,00</v>
      </c>
      <c r="L3422" s="6" t="str">
        <f>"817,50"</f>
        <v>817,50</v>
      </c>
      <c r="M3422" s="6" t="str">
        <f>"4.087,50"</f>
        <v>4.087,50</v>
      </c>
      <c r="N3422" s="8" t="s">
        <v>124</v>
      </c>
      <c r="O3422" s="7"/>
      <c r="P3422" s="2" t="s">
        <v>5614</v>
      </c>
      <c r="Q3422" s="7"/>
      <c r="R3422" s="1"/>
      <c r="S3422" s="1" t="str">
        <f>"J-UN-2021-1432"</f>
        <v>J-UN-2021-1432</v>
      </c>
      <c r="T3422" s="1" t="s">
        <v>32</v>
      </c>
    </row>
    <row r="3423" spans="1:20" ht="63.75" x14ac:dyDescent="0.25">
      <c r="A3423" s="6">
        <v>3417</v>
      </c>
      <c r="B3423" s="1" t="str">
        <f>"2021-280"</f>
        <v>2021-280</v>
      </c>
      <c r="C3423" s="1" t="s">
        <v>2616</v>
      </c>
      <c r="D3423" s="1" t="s">
        <v>2617</v>
      </c>
      <c r="E3423" s="1" t="str">
        <f>""</f>
        <v/>
      </c>
      <c r="F3423" s="1" t="s">
        <v>1860</v>
      </c>
      <c r="G3423" s="1" t="str">
        <f>CONCATENATE(" A.M.I. COMMERCE - LOVREKOVIĆ d.o.o.,"," MAKSIMIRSKA 100,"," 10000 ZAGREB,"," OIB: 55326209639")</f>
        <v xml:space="preserve"> A.M.I. COMMERCE - LOVREKOVIĆ d.o.o., MAKSIMIRSKA 100, 10000 ZAGREB, OIB: 55326209639</v>
      </c>
      <c r="H3423" s="7"/>
      <c r="I3423" s="8" t="s">
        <v>1504</v>
      </c>
      <c r="J3423" s="8" t="s">
        <v>964</v>
      </c>
      <c r="K3423" s="6" t="str">
        <f>"2.595,00"</f>
        <v>2.595,00</v>
      </c>
      <c r="L3423" s="6" t="str">
        <f>"648,75"</f>
        <v>648,75</v>
      </c>
      <c r="M3423" s="6" t="str">
        <f>"3.243,75"</f>
        <v>3.243,75</v>
      </c>
      <c r="N3423" s="8" t="s">
        <v>168</v>
      </c>
      <c r="O3423" s="7"/>
      <c r="P3423" s="2" t="s">
        <v>7613</v>
      </c>
      <c r="Q3423" s="7"/>
      <c r="R3423" s="1"/>
      <c r="S3423" s="1" t="str">
        <f>"J-UN-2021-1433"</f>
        <v>J-UN-2021-1433</v>
      </c>
      <c r="T3423" s="1" t="s">
        <v>32</v>
      </c>
    </row>
    <row r="3424" spans="1:20" ht="76.5" x14ac:dyDescent="0.25">
      <c r="A3424" s="6">
        <v>3418</v>
      </c>
      <c r="B3424" s="1" t="str">
        <f>"2021-1696"</f>
        <v>2021-1696</v>
      </c>
      <c r="C3424" s="1" t="s">
        <v>2811</v>
      </c>
      <c r="D3424" s="1" t="s">
        <v>1859</v>
      </c>
      <c r="E3424" s="1" t="str">
        <f>""</f>
        <v/>
      </c>
      <c r="F3424" s="1" t="s">
        <v>1860</v>
      </c>
      <c r="G3424" s="1" t="str">
        <f>CONCATENATE(" USTANOVA ZA CJELOŽIVOTNO OBRAZOVANJE CTZ,"," BREŠĆENSKOG 4,"," 10000 ZAGREB,"," OIB: 3188492979")</f>
        <v xml:space="preserve"> USTANOVA ZA CJELOŽIVOTNO OBRAZOVANJE CTZ, BREŠĆENSKOG 4, 10000 ZAGREB, OIB: 3188492979</v>
      </c>
      <c r="H3424" s="7"/>
      <c r="I3424" s="8" t="s">
        <v>904</v>
      </c>
      <c r="J3424" s="8" t="s">
        <v>1087</v>
      </c>
      <c r="K3424" s="6" t="str">
        <f>"15.345,00"</f>
        <v>15.345,00</v>
      </c>
      <c r="L3424" s="6" t="str">
        <f>"3.836,25"</f>
        <v>3.836,25</v>
      </c>
      <c r="M3424" s="6" t="str">
        <f>"19.181,25"</f>
        <v>19.181,25</v>
      </c>
      <c r="N3424" s="8" t="s">
        <v>771</v>
      </c>
      <c r="O3424" s="7"/>
      <c r="P3424" s="2" t="s">
        <v>7614</v>
      </c>
      <c r="Q3424" s="7"/>
      <c r="R3424" s="1"/>
      <c r="S3424" s="1" t="str">
        <f>"J-UN-2021-1438"</f>
        <v>J-UN-2021-1438</v>
      </c>
      <c r="T3424" s="1" t="s">
        <v>32</v>
      </c>
    </row>
    <row r="3425" spans="1:20" ht="63.75" x14ac:dyDescent="0.25">
      <c r="A3425" s="6">
        <v>3419</v>
      </c>
      <c r="B3425" s="1" t="str">
        <f>"2021-144"</f>
        <v>2021-144</v>
      </c>
      <c r="C3425" s="1" t="s">
        <v>2677</v>
      </c>
      <c r="D3425" s="1" t="s">
        <v>2678</v>
      </c>
      <c r="E3425" s="1" t="str">
        <f>""</f>
        <v/>
      </c>
      <c r="F3425" s="1" t="s">
        <v>1860</v>
      </c>
      <c r="G3425" s="1" t="str">
        <f>CONCATENATE(" GRADSKA LJEKARNA ZAGREB,"," KRALJA DRŽISLAVA 6,"," 10000 ZAGREB,"," OIB: 37268254106")</f>
        <v xml:space="preserve"> GRADSKA LJEKARNA ZAGREB, KRALJA DRŽISLAVA 6, 10000 ZAGREB, OIB: 37268254106</v>
      </c>
      <c r="H3425" s="7"/>
      <c r="I3425" s="8" t="s">
        <v>159</v>
      </c>
      <c r="J3425" s="8" t="s">
        <v>31</v>
      </c>
      <c r="K3425" s="6" t="str">
        <f>"2.939,95"</f>
        <v>2.939,95</v>
      </c>
      <c r="L3425" s="6" t="str">
        <f>"734,99"</f>
        <v>734,99</v>
      </c>
      <c r="M3425" s="6" t="str">
        <f>"3.674,94"</f>
        <v>3.674,94</v>
      </c>
      <c r="N3425" s="8" t="s">
        <v>1257</v>
      </c>
      <c r="O3425" s="7"/>
      <c r="P3425" s="2" t="s">
        <v>7615</v>
      </c>
      <c r="Q3425" s="7"/>
      <c r="R3425" s="1"/>
      <c r="S3425" s="1" t="str">
        <f>"J-UN-2021-1439"</f>
        <v>J-UN-2021-1439</v>
      </c>
      <c r="T3425" s="1" t="s">
        <v>32</v>
      </c>
    </row>
    <row r="3426" spans="1:20" ht="51" x14ac:dyDescent="0.25">
      <c r="A3426" s="6">
        <v>3420</v>
      </c>
      <c r="B3426" s="1" t="str">
        <f>"2021-981"</f>
        <v>2021-981</v>
      </c>
      <c r="C3426" s="1" t="s">
        <v>2615</v>
      </c>
      <c r="D3426" s="1" t="s">
        <v>999</v>
      </c>
      <c r="E3426" s="1" t="str">
        <f>""</f>
        <v/>
      </c>
      <c r="F3426" s="1" t="s">
        <v>1860</v>
      </c>
      <c r="G3426" s="1" t="str">
        <f>CONCATENATE(" KOPI-AS D.O.O.,"," CERNIČKA 4,"," 10000 ZAGREB,"," OIB: 96605206988")</f>
        <v xml:space="preserve"> KOPI-AS D.O.O., CERNIČKA 4, 10000 ZAGREB, OIB: 96605206988</v>
      </c>
      <c r="H3426" s="7"/>
      <c r="I3426" s="8" t="s">
        <v>159</v>
      </c>
      <c r="J3426" s="8" t="s">
        <v>31</v>
      </c>
      <c r="K3426" s="6" t="str">
        <f>"1.799,10"</f>
        <v>1.799,10</v>
      </c>
      <c r="L3426" s="6" t="str">
        <f>"449,78"</f>
        <v>449,78</v>
      </c>
      <c r="M3426" s="6" t="str">
        <f>"2.248,88"</f>
        <v>2.248,88</v>
      </c>
      <c r="N3426" s="8" t="s">
        <v>585</v>
      </c>
      <c r="O3426" s="7"/>
      <c r="P3426" s="2" t="s">
        <v>7616</v>
      </c>
      <c r="Q3426" s="7"/>
      <c r="R3426" s="1"/>
      <c r="S3426" s="1" t="str">
        <f>"J-UN-2021-1440"</f>
        <v>J-UN-2021-1440</v>
      </c>
      <c r="T3426" s="1" t="s">
        <v>32</v>
      </c>
    </row>
    <row r="3427" spans="1:20" ht="51" x14ac:dyDescent="0.25">
      <c r="A3427" s="6">
        <v>3421</v>
      </c>
      <c r="B3427" s="1" t="str">
        <f>"2021-372"</f>
        <v>2021-372</v>
      </c>
      <c r="C3427" s="1" t="s">
        <v>2940</v>
      </c>
      <c r="D3427" s="1" t="s">
        <v>2577</v>
      </c>
      <c r="E3427" s="1" t="str">
        <f>""</f>
        <v/>
      </c>
      <c r="F3427" s="1" t="s">
        <v>1860</v>
      </c>
      <c r="G3427" s="1" t="str">
        <f>CONCATENATE(" VULKAN-NOVA D.O.O.,"," SPINČIĆEVA 9 i 12,"," 51000 RIJEKA,"," OIB: 12441871562")</f>
        <v xml:space="preserve"> VULKAN-NOVA D.O.O., SPINČIĆEVA 9 i 12, 51000 RIJEKA, OIB: 12441871562</v>
      </c>
      <c r="H3427" s="7"/>
      <c r="I3427" s="8" t="s">
        <v>1060</v>
      </c>
      <c r="J3427" s="8" t="s">
        <v>81</v>
      </c>
      <c r="K3427" s="6" t="str">
        <f>"21.520,00"</f>
        <v>21.520,00</v>
      </c>
      <c r="L3427" s="6" t="str">
        <f>"5.380,00"</f>
        <v>5.380,00</v>
      </c>
      <c r="M3427" s="6" t="str">
        <f>"26.900,00"</f>
        <v>26.900,00</v>
      </c>
      <c r="N3427" s="8" t="s">
        <v>1530</v>
      </c>
      <c r="O3427" s="7"/>
      <c r="P3427" s="2" t="s">
        <v>7617</v>
      </c>
      <c r="Q3427" s="7"/>
      <c r="R3427" s="1"/>
      <c r="S3427" s="1" t="str">
        <f>"J-UN-2021-1442"</f>
        <v>J-UN-2021-1442</v>
      </c>
      <c r="T3427" s="1" t="s">
        <v>32</v>
      </c>
    </row>
    <row r="3428" spans="1:20" ht="51" x14ac:dyDescent="0.25">
      <c r="A3428" s="6">
        <v>3422</v>
      </c>
      <c r="B3428" s="1" t="str">
        <f>"2021-1533"</f>
        <v>2021-1533</v>
      </c>
      <c r="C3428" s="1" t="s">
        <v>2697</v>
      </c>
      <c r="D3428" s="1" t="s">
        <v>2698</v>
      </c>
      <c r="E3428" s="1" t="str">
        <f>""</f>
        <v/>
      </c>
      <c r="F3428" s="1" t="s">
        <v>1860</v>
      </c>
      <c r="G3428" s="1" t="str">
        <f>CONCATENATE(" CROATIAINSPECT D.O.O.,"," TKALČIĆEVA 7,"," 10000 ZAGREB,"," OIB: 17295810199")</f>
        <v xml:space="preserve"> CROATIAINSPECT D.O.O., TKALČIĆEVA 7, 10000 ZAGREB, OIB: 17295810199</v>
      </c>
      <c r="H3428" s="7"/>
      <c r="I3428" s="8" t="s">
        <v>159</v>
      </c>
      <c r="J3428" s="8" t="s">
        <v>31</v>
      </c>
      <c r="K3428" s="6" t="str">
        <f>"2.130,00"</f>
        <v>2.130,00</v>
      </c>
      <c r="L3428" s="6" t="str">
        <f>"532,50"</f>
        <v>532,50</v>
      </c>
      <c r="M3428" s="6" t="str">
        <f>"2.662,50"</f>
        <v>2.662,50</v>
      </c>
      <c r="N3428" s="8" t="s">
        <v>790</v>
      </c>
      <c r="O3428" s="7"/>
      <c r="P3428" s="2" t="s">
        <v>7618</v>
      </c>
      <c r="Q3428" s="7"/>
      <c r="R3428" s="1"/>
      <c r="S3428" s="1" t="str">
        <f>"J-UN-2021-1443"</f>
        <v>J-UN-2021-1443</v>
      </c>
      <c r="T3428" s="1" t="s">
        <v>32</v>
      </c>
    </row>
    <row r="3429" spans="1:20" ht="51" x14ac:dyDescent="0.25">
      <c r="A3429" s="6">
        <v>3423</v>
      </c>
      <c r="B3429" s="1" t="str">
        <f>"2021-325"</f>
        <v>2021-325</v>
      </c>
      <c r="C3429" s="1" t="s">
        <v>2700</v>
      </c>
      <c r="D3429" s="1" t="s">
        <v>2701</v>
      </c>
      <c r="E3429" s="1" t="str">
        <f>""</f>
        <v/>
      </c>
      <c r="F3429" s="1" t="s">
        <v>1860</v>
      </c>
      <c r="G3429" s="1" t="str">
        <f>CONCATENATE(" VODOSKOK D.D.,"," ČULINEČKA CESTA 221/C,"," 10040 ZAGREB,"," OIB: 34134218058")</f>
        <v xml:space="preserve"> VODOSKOK D.D., ČULINEČKA CESTA 221/C, 10040 ZAGREB, OIB: 34134218058</v>
      </c>
      <c r="H3429" s="7"/>
      <c r="I3429" s="8" t="s">
        <v>159</v>
      </c>
      <c r="J3429" s="8" t="s">
        <v>31</v>
      </c>
      <c r="K3429" s="6" t="str">
        <f>"2.305,00"</f>
        <v>2.305,00</v>
      </c>
      <c r="L3429" s="6" t="str">
        <f>"576,25"</f>
        <v>576,25</v>
      </c>
      <c r="M3429" s="6" t="str">
        <f>"2.881,25"</f>
        <v>2.881,25</v>
      </c>
      <c r="N3429" s="8" t="s">
        <v>1067</v>
      </c>
      <c r="O3429" s="7"/>
      <c r="P3429" s="2" t="s">
        <v>7619</v>
      </c>
      <c r="Q3429" s="7"/>
      <c r="R3429" s="1"/>
      <c r="S3429" s="1" t="str">
        <f>"J-UN-2021-1444"</f>
        <v>J-UN-2021-1444</v>
      </c>
      <c r="T3429" s="1" t="s">
        <v>32</v>
      </c>
    </row>
    <row r="3430" spans="1:20" ht="51" x14ac:dyDescent="0.25">
      <c r="A3430" s="6">
        <v>3424</v>
      </c>
      <c r="B3430" s="1" t="str">
        <f>"2021-305"</f>
        <v>2021-305</v>
      </c>
      <c r="C3430" s="1" t="s">
        <v>2831</v>
      </c>
      <c r="D3430" s="1" t="s">
        <v>2832</v>
      </c>
      <c r="E3430" s="1" t="str">
        <f>""</f>
        <v/>
      </c>
      <c r="F3430" s="1" t="s">
        <v>1860</v>
      </c>
      <c r="G3430" s="1" t="str">
        <f>CONCATENATE(" VATROMAX K.M.B.,"," ĆIKOVIĆI 70A,"," 51215 KASTAV,"," OIB: 10545415025")</f>
        <v xml:space="preserve"> VATROMAX K.M.B., ĆIKOVIĆI 70A, 51215 KASTAV, OIB: 10545415025</v>
      </c>
      <c r="H3430" s="7"/>
      <c r="I3430" s="8" t="s">
        <v>1504</v>
      </c>
      <c r="J3430" s="8" t="s">
        <v>964</v>
      </c>
      <c r="K3430" s="6" t="str">
        <f>"12.185,00"</f>
        <v>12.185,00</v>
      </c>
      <c r="L3430" s="6" t="str">
        <f>"3.046,25"</f>
        <v>3.046,25</v>
      </c>
      <c r="M3430" s="6" t="str">
        <f>"15.231,25"</f>
        <v>15.231,25</v>
      </c>
      <c r="N3430" s="8" t="s">
        <v>1067</v>
      </c>
      <c r="O3430" s="7"/>
      <c r="P3430" s="2" t="s">
        <v>7620</v>
      </c>
      <c r="Q3430" s="7"/>
      <c r="R3430" s="1"/>
      <c r="S3430" s="1" t="str">
        <f>"J-UN-2021-1445"</f>
        <v>J-UN-2021-1445</v>
      </c>
      <c r="T3430" s="1" t="s">
        <v>32</v>
      </c>
    </row>
    <row r="3431" spans="1:20" ht="51" x14ac:dyDescent="0.25">
      <c r="A3431" s="6">
        <v>3425</v>
      </c>
      <c r="B3431" s="1" t="str">
        <f>"2021-2145"</f>
        <v>2021-2145</v>
      </c>
      <c r="C3431" s="1" t="s">
        <v>2694</v>
      </c>
      <c r="D3431" s="1" t="s">
        <v>1888</v>
      </c>
      <c r="E3431" s="1" t="str">
        <f>""</f>
        <v/>
      </c>
      <c r="F3431" s="1" t="s">
        <v>1860</v>
      </c>
      <c r="G3431" s="1" t="str">
        <f>CONCATENATE(" BASIC D.O.O.,"," BJELOVARSKA ULICA 1,"," 21000 SPLIT,"," OIB: 5207275329")</f>
        <v xml:space="preserve"> BASIC D.O.O., BJELOVARSKA ULICA 1, 21000 SPLIT, OIB: 5207275329</v>
      </c>
      <c r="H3431" s="7"/>
      <c r="I3431" s="8" t="s">
        <v>159</v>
      </c>
      <c r="J3431" s="8" t="s">
        <v>31</v>
      </c>
      <c r="K3431" s="6" t="str">
        <f>"8.665,00"</f>
        <v>8.665,00</v>
      </c>
      <c r="L3431" s="6" t="str">
        <f>"2.166,25"</f>
        <v>2.166,25</v>
      </c>
      <c r="M3431" s="6" t="str">
        <f>"10.831,25"</f>
        <v>10.831,25</v>
      </c>
      <c r="N3431" s="8" t="s">
        <v>396</v>
      </c>
      <c r="O3431" s="7"/>
      <c r="P3431" s="2" t="s">
        <v>7621</v>
      </c>
      <c r="Q3431" s="7"/>
      <c r="R3431" s="1"/>
      <c r="S3431" s="1" t="str">
        <f>"J-UN-2021-1446"</f>
        <v>J-UN-2021-1446</v>
      </c>
      <c r="T3431" s="1" t="s">
        <v>32</v>
      </c>
    </row>
    <row r="3432" spans="1:20" ht="51" x14ac:dyDescent="0.25">
      <c r="A3432" s="6">
        <v>3426</v>
      </c>
      <c r="B3432" s="1" t="str">
        <f>"2021-799"</f>
        <v>2021-799</v>
      </c>
      <c r="C3432" s="1" t="s">
        <v>2775</v>
      </c>
      <c r="D3432" s="1" t="s">
        <v>2776</v>
      </c>
      <c r="E3432" s="1" t="str">
        <f>""</f>
        <v/>
      </c>
      <c r="F3432" s="1" t="s">
        <v>1860</v>
      </c>
      <c r="G3432" s="1" t="str">
        <f>CONCATENATE(" PAKLENICA PROMET D.O.O.,"," ŠTRIGINA 15,"," 10000 ZAGREB,"," OIB: 72364126469")</f>
        <v xml:space="preserve"> PAKLENICA PROMET D.O.O., ŠTRIGINA 15, 10000 ZAGREB, OIB: 72364126469</v>
      </c>
      <c r="H3432" s="7"/>
      <c r="I3432" s="8" t="s">
        <v>159</v>
      </c>
      <c r="J3432" s="8" t="s">
        <v>31</v>
      </c>
      <c r="K3432" s="6" t="str">
        <f>"1.625,00"</f>
        <v>1.625,00</v>
      </c>
      <c r="L3432" s="6" t="str">
        <f>"406,25"</f>
        <v>406,25</v>
      </c>
      <c r="M3432" s="6" t="str">
        <f>"2.031,25"</f>
        <v>2.031,25</v>
      </c>
      <c r="N3432" s="8" t="s">
        <v>213</v>
      </c>
      <c r="O3432" s="7"/>
      <c r="P3432" s="2" t="s">
        <v>7488</v>
      </c>
      <c r="Q3432" s="7"/>
      <c r="R3432" s="1"/>
      <c r="S3432" s="1" t="str">
        <f>"J-UN-2021-1447"</f>
        <v>J-UN-2021-1447</v>
      </c>
      <c r="T3432" s="1" t="s">
        <v>32</v>
      </c>
    </row>
    <row r="3433" spans="1:20" ht="63.75" x14ac:dyDescent="0.25">
      <c r="A3433" s="6">
        <v>3427</v>
      </c>
      <c r="B3433" s="1" t="str">
        <f>"2021-425"</f>
        <v>2021-425</v>
      </c>
      <c r="C3433" s="1" t="s">
        <v>2829</v>
      </c>
      <c r="D3433" s="1" t="s">
        <v>2830</v>
      </c>
      <c r="E3433" s="1" t="str">
        <f>""</f>
        <v/>
      </c>
      <c r="F3433" s="1" t="s">
        <v>1860</v>
      </c>
      <c r="G3433" s="1" t="str">
        <f>CONCATENATE(" GUMIIMPEX - GRP D.O.O.,"," PAVLEKA MIŠKINE 64C,"," 42000 VARAŽDIN,"," OIB: 8229856262")</f>
        <v xml:space="preserve"> GUMIIMPEX - GRP D.O.O., PAVLEKA MIŠKINE 64C, 42000 VARAŽDIN, OIB: 8229856262</v>
      </c>
      <c r="H3433" s="7"/>
      <c r="I3433" s="8" t="s">
        <v>145</v>
      </c>
      <c r="J3433" s="8" t="s">
        <v>732</v>
      </c>
      <c r="K3433" s="6" t="str">
        <f>"23.466,30"</f>
        <v>23.466,30</v>
      </c>
      <c r="L3433" s="6" t="str">
        <f>"5.866,58"</f>
        <v>5.866,58</v>
      </c>
      <c r="M3433" s="6" t="str">
        <f>"29.332,88"</f>
        <v>29.332,88</v>
      </c>
      <c r="N3433" s="8" t="s">
        <v>675</v>
      </c>
      <c r="O3433" s="7"/>
      <c r="P3433" s="2" t="s">
        <v>7622</v>
      </c>
      <c r="Q3433" s="7"/>
      <c r="R3433" s="1"/>
      <c r="S3433" s="1" t="str">
        <f>"J-UN-2021-1448"</f>
        <v>J-UN-2021-1448</v>
      </c>
      <c r="T3433" s="1" t="s">
        <v>32</v>
      </c>
    </row>
    <row r="3434" spans="1:20" ht="51" x14ac:dyDescent="0.25">
      <c r="A3434" s="6">
        <v>3428</v>
      </c>
      <c r="B3434" s="1" t="str">
        <f>"2021-2316"</f>
        <v>2021-2316</v>
      </c>
      <c r="C3434" s="1" t="s">
        <v>2941</v>
      </c>
      <c r="D3434" s="1" t="s">
        <v>700</v>
      </c>
      <c r="E3434" s="1" t="str">
        <f>""</f>
        <v/>
      </c>
      <c r="F3434" s="1" t="s">
        <v>1860</v>
      </c>
      <c r="G3434" s="1" t="str">
        <f>CONCATENATE(" VODOSKOK D.D.,"," ČULINEČKA CESTA 221/C,"," 10040 ZAGREB,"," OIB: 34134218058")</f>
        <v xml:space="preserve"> VODOSKOK D.D., ČULINEČKA CESTA 221/C, 10040 ZAGREB, OIB: 34134218058</v>
      </c>
      <c r="H3434" s="7"/>
      <c r="I3434" s="8" t="s">
        <v>145</v>
      </c>
      <c r="J3434" s="8" t="s">
        <v>732</v>
      </c>
      <c r="K3434" s="6" t="str">
        <f>"138.620,00"</f>
        <v>138.620,00</v>
      </c>
      <c r="L3434" s="6" t="str">
        <f>"34.655,00"</f>
        <v>34.655,00</v>
      </c>
      <c r="M3434" s="6" t="str">
        <f>"173.275,00"</f>
        <v>173.275,00</v>
      </c>
      <c r="N3434" s="8" t="s">
        <v>124</v>
      </c>
      <c r="O3434" s="7"/>
      <c r="P3434" s="2" t="s">
        <v>5614</v>
      </c>
      <c r="Q3434" s="7"/>
      <c r="R3434" s="1"/>
      <c r="S3434" s="1" t="str">
        <f>"J-UN-2021-1449"</f>
        <v>J-UN-2021-1449</v>
      </c>
      <c r="T3434" s="1" t="s">
        <v>32</v>
      </c>
    </row>
    <row r="3435" spans="1:20" ht="51" x14ac:dyDescent="0.25">
      <c r="A3435" s="6">
        <v>3429</v>
      </c>
      <c r="B3435" s="1" t="str">
        <f>"2021-57"</f>
        <v>2021-57</v>
      </c>
      <c r="C3435" s="1" t="s">
        <v>2942</v>
      </c>
      <c r="D3435" s="1" t="s">
        <v>547</v>
      </c>
      <c r="E3435" s="1" t="str">
        <f>""</f>
        <v/>
      </c>
      <c r="F3435" s="1" t="s">
        <v>1860</v>
      </c>
      <c r="G3435" s="1" t="str">
        <f>CONCATENATE(" GIP PIONIR D.O.O.,"," ZAGREBAČKA 145B,"," 10000 ZAGREB,"," OIB: 38262788673")</f>
        <v xml:space="preserve"> GIP PIONIR D.O.O., ZAGREBAČKA 145B, 10000 ZAGREB, OIB: 38262788673</v>
      </c>
      <c r="H3435" s="7"/>
      <c r="I3435" s="8" t="s">
        <v>904</v>
      </c>
      <c r="J3435" s="8" t="s">
        <v>1087</v>
      </c>
      <c r="K3435" s="6" t="str">
        <f>"195.000,00"</f>
        <v>195.000,00</v>
      </c>
      <c r="L3435" s="6" t="str">
        <f>"48.750,00"</f>
        <v>48.750,00</v>
      </c>
      <c r="M3435" s="6" t="str">
        <f>"243.750,00"</f>
        <v>243.750,00</v>
      </c>
      <c r="N3435" s="8" t="s">
        <v>202</v>
      </c>
      <c r="O3435" s="7"/>
      <c r="P3435" s="2" t="s">
        <v>7623</v>
      </c>
      <c r="Q3435" s="7"/>
      <c r="R3435" s="1"/>
      <c r="S3435" s="1" t="str">
        <f>"J-UN-2021-1450"</f>
        <v>J-UN-2021-1450</v>
      </c>
      <c r="T3435" s="1" t="s">
        <v>32</v>
      </c>
    </row>
    <row r="3436" spans="1:20" ht="51" x14ac:dyDescent="0.25">
      <c r="A3436" s="6">
        <v>3430</v>
      </c>
      <c r="B3436" s="1" t="str">
        <f>"2021-2318"</f>
        <v>2021-2318</v>
      </c>
      <c r="C3436" s="1" t="s">
        <v>2943</v>
      </c>
      <c r="D3436" s="1" t="s">
        <v>700</v>
      </c>
      <c r="E3436" s="1" t="str">
        <f>""</f>
        <v/>
      </c>
      <c r="F3436" s="1" t="s">
        <v>1860</v>
      </c>
      <c r="G3436" s="1" t="str">
        <f>CONCATENATE(" JAKA D.O.O.,"," OGRIZOVIĆEVA 28/B,","  10 000 ZAGREB,"," OIB: 3770592196")</f>
        <v xml:space="preserve"> JAKA D.O.O., OGRIZOVIĆEVA 28/B,  10 000 ZAGREB, OIB: 3770592196</v>
      </c>
      <c r="H3436" s="7"/>
      <c r="I3436" s="8" t="s">
        <v>159</v>
      </c>
      <c r="J3436" s="8" t="s">
        <v>31</v>
      </c>
      <c r="K3436" s="6" t="str">
        <f>"189.350,00"</f>
        <v>189.350,00</v>
      </c>
      <c r="L3436" s="6" t="str">
        <f>"47.337,50"</f>
        <v>47.337,50</v>
      </c>
      <c r="M3436" s="6" t="str">
        <f>"236.687,50"</f>
        <v>236.687,50</v>
      </c>
      <c r="N3436" s="8" t="s">
        <v>99</v>
      </c>
      <c r="O3436" s="7"/>
      <c r="P3436" s="2" t="s">
        <v>7624</v>
      </c>
      <c r="Q3436" s="7"/>
      <c r="R3436" s="1"/>
      <c r="S3436" s="1" t="str">
        <f>"J-UN-2021-1452"</f>
        <v>J-UN-2021-1452</v>
      </c>
      <c r="T3436" s="1" t="s">
        <v>32</v>
      </c>
    </row>
    <row r="3437" spans="1:20" ht="51" x14ac:dyDescent="0.25">
      <c r="A3437" s="6">
        <v>3431</v>
      </c>
      <c r="B3437" s="1" t="str">
        <f>"2021-2317"</f>
        <v>2021-2317</v>
      </c>
      <c r="C3437" s="1" t="s">
        <v>2944</v>
      </c>
      <c r="D3437" s="1" t="s">
        <v>700</v>
      </c>
      <c r="E3437" s="1" t="str">
        <f>""</f>
        <v/>
      </c>
      <c r="F3437" s="1" t="s">
        <v>1860</v>
      </c>
      <c r="G3437" s="1" t="str">
        <f>CONCATENATE(" VODOSKOK D.D.,"," ČULINEČKA CESTA 221/C,"," 10040 ZAGREB,"," OIB: 34134218058")</f>
        <v xml:space="preserve"> VODOSKOK D.D., ČULINEČKA CESTA 221/C, 10040 ZAGREB, OIB: 34134218058</v>
      </c>
      <c r="H3437" s="7"/>
      <c r="I3437" s="8" t="s">
        <v>159</v>
      </c>
      <c r="J3437" s="8" t="s">
        <v>31</v>
      </c>
      <c r="K3437" s="6" t="str">
        <f>"75.000,00"</f>
        <v>75.000,00</v>
      </c>
      <c r="L3437" s="6" t="str">
        <f>"18.750,00"</f>
        <v>18.750,00</v>
      </c>
      <c r="M3437" s="6" t="str">
        <f>"93.750,00"</f>
        <v>93.750,00</v>
      </c>
      <c r="N3437" s="8" t="s">
        <v>585</v>
      </c>
      <c r="O3437" s="7"/>
      <c r="P3437" s="2" t="s">
        <v>7032</v>
      </c>
      <c r="Q3437" s="7"/>
      <c r="R3437" s="1"/>
      <c r="S3437" s="1" t="str">
        <f>"J-UN-2021-1453"</f>
        <v>J-UN-2021-1453</v>
      </c>
      <c r="T3437" s="1" t="s">
        <v>32</v>
      </c>
    </row>
    <row r="3438" spans="1:20" ht="51" x14ac:dyDescent="0.25">
      <c r="A3438" s="6">
        <v>3432</v>
      </c>
      <c r="B3438" s="1" t="str">
        <f>"2021-2133"</f>
        <v>2021-2133</v>
      </c>
      <c r="C3438" s="1" t="s">
        <v>2371</v>
      </c>
      <c r="D3438" s="1" t="s">
        <v>2372</v>
      </c>
      <c r="E3438" s="1" t="str">
        <f>""</f>
        <v/>
      </c>
      <c r="F3438" s="1" t="s">
        <v>1860</v>
      </c>
      <c r="G3438" s="1" t="str">
        <f>CONCATENATE(" VELEBIT-PROMET D.O.O.,"," INDUSTRIJSKA 5,"," 10370 DUGO SELO,"," OIB: 67912509737")</f>
        <v xml:space="preserve"> VELEBIT-PROMET D.O.O., INDUSTRIJSKA 5, 10370 DUGO SELO, OIB: 67912509737</v>
      </c>
      <c r="H3438" s="7"/>
      <c r="I3438" s="8" t="s">
        <v>159</v>
      </c>
      <c r="J3438" s="8" t="s">
        <v>31</v>
      </c>
      <c r="K3438" s="6" t="str">
        <f>"88.800,00"</f>
        <v>88.800,00</v>
      </c>
      <c r="L3438" s="6" t="str">
        <f>"22.200,00"</f>
        <v>22.200,00</v>
      </c>
      <c r="M3438" s="6" t="str">
        <f>"111.000,00"</f>
        <v>111.000,00</v>
      </c>
      <c r="N3438" s="8" t="s">
        <v>183</v>
      </c>
      <c r="O3438" s="7"/>
      <c r="P3438" s="2" t="s">
        <v>7625</v>
      </c>
      <c r="Q3438" s="7"/>
      <c r="R3438" s="1"/>
      <c r="S3438" s="1" t="str">
        <f>"J-UN-2021-1454"</f>
        <v>J-UN-2021-1454</v>
      </c>
      <c r="T3438" s="1" t="s">
        <v>32</v>
      </c>
    </row>
    <row r="3439" spans="1:20" ht="51" x14ac:dyDescent="0.25">
      <c r="A3439" s="6">
        <v>3433</v>
      </c>
      <c r="B3439" s="1" t="str">
        <f>"2021-1154"</f>
        <v>2021-1154</v>
      </c>
      <c r="C3439" s="1" t="s">
        <v>2854</v>
      </c>
      <c r="D3439" s="1" t="s">
        <v>2855</v>
      </c>
      <c r="E3439" s="1" t="str">
        <f>""</f>
        <v/>
      </c>
      <c r="F3439" s="1" t="s">
        <v>1860</v>
      </c>
      <c r="G3439" s="1" t="str">
        <f>CONCATENATE(" SAFIR D.O.O.,"," HORVAĆANSKA 17,"," 10000 ZAGREB,"," OIB: 33548604975")</f>
        <v xml:space="preserve"> SAFIR D.O.O., HORVAĆANSKA 17, 10000 ZAGREB, OIB: 33548604975</v>
      </c>
      <c r="H3439" s="7"/>
      <c r="I3439" s="8" t="s">
        <v>904</v>
      </c>
      <c r="J3439" s="8" t="s">
        <v>1087</v>
      </c>
      <c r="K3439" s="6" t="str">
        <f>"35.341,60"</f>
        <v>35.341,60</v>
      </c>
      <c r="L3439" s="6" t="str">
        <f>"8.835,40"</f>
        <v>8.835,40</v>
      </c>
      <c r="M3439" s="6" t="str">
        <f>"44.177,00"</f>
        <v>44.177,00</v>
      </c>
      <c r="N3439" s="8" t="s">
        <v>327</v>
      </c>
      <c r="O3439" s="7"/>
      <c r="P3439" s="2" t="s">
        <v>7626</v>
      </c>
      <c r="Q3439" s="7"/>
      <c r="R3439" s="1"/>
      <c r="S3439" s="1" t="str">
        <f>"J-UN-2021-1469"</f>
        <v>J-UN-2021-1469</v>
      </c>
      <c r="T3439" s="1" t="s">
        <v>32</v>
      </c>
    </row>
    <row r="3440" spans="1:20" ht="63.75" x14ac:dyDescent="0.25">
      <c r="A3440" s="6">
        <v>3434</v>
      </c>
      <c r="B3440" s="1" t="str">
        <f>"2021-915"</f>
        <v>2021-915</v>
      </c>
      <c r="C3440" s="1" t="s">
        <v>2563</v>
      </c>
      <c r="D3440" s="1" t="s">
        <v>914</v>
      </c>
      <c r="E3440" s="1" t="str">
        <f>""</f>
        <v/>
      </c>
      <c r="F3440" s="1" t="s">
        <v>1860</v>
      </c>
      <c r="G3440" s="1" t="str">
        <f>CONCATENATE(" TOKIĆ D.O.O.,"," ULICA 144. BRIGADE HRVATSKE VOJSKE 1A,"," 10360 SESVETE,"," OIB: 7486748762")</f>
        <v xml:space="preserve"> TOKIĆ D.O.O., ULICA 144. BRIGADE HRVATSKE VOJSKE 1A, 10360 SESVETE, OIB: 7486748762</v>
      </c>
      <c r="H3440" s="7"/>
      <c r="I3440" s="8" t="s">
        <v>2300</v>
      </c>
      <c r="J3440" s="8" t="s">
        <v>1159</v>
      </c>
      <c r="K3440" s="6" t="str">
        <f>"378,40"</f>
        <v>378,40</v>
      </c>
      <c r="L3440" s="6" t="str">
        <f>"94,60"</f>
        <v>94,60</v>
      </c>
      <c r="M3440" s="6" t="str">
        <f>"473,00"</f>
        <v>473,00</v>
      </c>
      <c r="N3440" s="8" t="s">
        <v>2934</v>
      </c>
      <c r="O3440" s="7"/>
      <c r="P3440" s="2" t="s">
        <v>7627</v>
      </c>
      <c r="Q3440" s="7"/>
      <c r="R3440" s="1"/>
      <c r="S3440" s="1" t="str">
        <f>"J-UN-2021-1470"</f>
        <v>J-UN-2021-1470</v>
      </c>
      <c r="T3440" s="1" t="s">
        <v>32</v>
      </c>
    </row>
    <row r="3441" spans="1:20" ht="63.75" x14ac:dyDescent="0.25">
      <c r="A3441" s="6">
        <v>3435</v>
      </c>
      <c r="B3441" s="1" t="str">
        <f>"2021-1791"</f>
        <v>2021-1791</v>
      </c>
      <c r="C3441" s="1" t="s">
        <v>2558</v>
      </c>
      <c r="D3441" s="1" t="s">
        <v>860</v>
      </c>
      <c r="E3441" s="1" t="str">
        <f>""</f>
        <v/>
      </c>
      <c r="F3441" s="1" t="s">
        <v>1860</v>
      </c>
      <c r="G3441" s="1" t="str">
        <f>CONCATENATE(" STROJOGRADNJA,"," VL. DORA PERŠI,"," RAKITJE,"," RADNIČKA 9,"," 10431 SVETA NEDJELJA,"," OIB: 72791562742")</f>
        <v xml:space="preserve"> STROJOGRADNJA, VL. DORA PERŠI, RAKITJE, RADNIČKA 9, 10431 SVETA NEDJELJA, OIB: 72791562742</v>
      </c>
      <c r="H3441" s="7"/>
      <c r="I3441" s="8" t="s">
        <v>904</v>
      </c>
      <c r="J3441" s="8" t="s">
        <v>1087</v>
      </c>
      <c r="K3441" s="6" t="str">
        <f>"12.540,00"</f>
        <v>12.540,00</v>
      </c>
      <c r="L3441" s="6" t="str">
        <f>"3.135,00"</f>
        <v>3.135,00</v>
      </c>
      <c r="M3441" s="6" t="str">
        <f>"15.675,00"</f>
        <v>15.675,00</v>
      </c>
      <c r="N3441" s="8" t="s">
        <v>2896</v>
      </c>
      <c r="O3441" s="7"/>
      <c r="P3441" s="2" t="s">
        <v>7628</v>
      </c>
      <c r="Q3441" s="7"/>
      <c r="R3441" s="1"/>
      <c r="S3441" s="1" t="str">
        <f>"J-UN-2021-1471"</f>
        <v>J-UN-2021-1471</v>
      </c>
      <c r="T3441" s="1" t="s">
        <v>32</v>
      </c>
    </row>
    <row r="3442" spans="1:20" ht="51" x14ac:dyDescent="0.25">
      <c r="A3442" s="6">
        <v>3436</v>
      </c>
      <c r="B3442" s="1" t="str">
        <f>"2021-341"</f>
        <v>2021-341</v>
      </c>
      <c r="C3442" s="1" t="s">
        <v>2695</v>
      </c>
      <c r="D3442" s="1" t="s">
        <v>2502</v>
      </c>
      <c r="E3442" s="1" t="str">
        <f>""</f>
        <v/>
      </c>
      <c r="F3442" s="1" t="s">
        <v>1860</v>
      </c>
      <c r="G3442" s="1" t="str">
        <f>CONCATENATE(" VODOSKOK D.D.,"," ČULINEČKA CESTA 221/C,"," 10040 ZAGREB,"," OIB: 34134218058")</f>
        <v xml:space="preserve"> VODOSKOK D.D., ČULINEČKA CESTA 221/C, 10040 ZAGREB, OIB: 34134218058</v>
      </c>
      <c r="H3442" s="7"/>
      <c r="I3442" s="8" t="s">
        <v>2300</v>
      </c>
      <c r="J3442" s="8" t="s">
        <v>1159</v>
      </c>
      <c r="K3442" s="6" t="str">
        <f>"2.269,00"</f>
        <v>2.269,00</v>
      </c>
      <c r="L3442" s="6" t="str">
        <f>"567,25"</f>
        <v>567,25</v>
      </c>
      <c r="M3442" s="6" t="str">
        <f>"2.836,25"</f>
        <v>2.836,25</v>
      </c>
      <c r="N3442" s="8" t="s">
        <v>206</v>
      </c>
      <c r="O3442" s="7"/>
      <c r="P3442" s="2" t="s">
        <v>7629</v>
      </c>
      <c r="Q3442" s="7"/>
      <c r="R3442" s="1"/>
      <c r="S3442" s="1" t="str">
        <f>"J-UN-2021-1474"</f>
        <v>J-UN-2021-1474</v>
      </c>
      <c r="T3442" s="1" t="s">
        <v>32</v>
      </c>
    </row>
    <row r="3443" spans="1:20" ht="63.75" x14ac:dyDescent="0.25">
      <c r="A3443" s="6">
        <v>3437</v>
      </c>
      <c r="B3443" s="1" t="str">
        <f>"2021-946"</f>
        <v>2021-946</v>
      </c>
      <c r="C3443" s="1" t="s">
        <v>2711</v>
      </c>
      <c r="D3443" s="1" t="s">
        <v>1914</v>
      </c>
      <c r="E3443" s="1" t="str">
        <f>""</f>
        <v/>
      </c>
      <c r="F3443" s="1" t="s">
        <v>1860</v>
      </c>
      <c r="G3443" s="1" t="str">
        <f>CONCATENATE(" TRGOVAČKI OBRT PELIĆ,"," VL. MARIJAN PELIĆ,"," VINODOLSKA 23,"," 51260 CRIKVENICA,"," OIB: 49551472754")</f>
        <v xml:space="preserve"> TRGOVAČKI OBRT PELIĆ, VL. MARIJAN PELIĆ, VINODOLSKA 23, 51260 CRIKVENICA, OIB: 49551472754</v>
      </c>
      <c r="H3443" s="7"/>
      <c r="I3443" s="8" t="s">
        <v>1350</v>
      </c>
      <c r="J3443" s="8" t="s">
        <v>947</v>
      </c>
      <c r="K3443" s="6" t="str">
        <f>"8.427,20"</f>
        <v>8.427,20</v>
      </c>
      <c r="L3443" s="6" t="str">
        <f>"2.106,80"</f>
        <v>2.106,80</v>
      </c>
      <c r="M3443" s="6" t="str">
        <f>"10.534,00"</f>
        <v>10.534,00</v>
      </c>
      <c r="N3443" s="8" t="s">
        <v>124</v>
      </c>
      <c r="O3443" s="7"/>
      <c r="P3443" s="2" t="s">
        <v>5614</v>
      </c>
      <c r="Q3443" s="7"/>
      <c r="R3443" s="1"/>
      <c r="S3443" s="1" t="str">
        <f>"J-UN-2021-1475"</f>
        <v>J-UN-2021-1475</v>
      </c>
      <c r="T3443" s="1" t="s">
        <v>32</v>
      </c>
    </row>
    <row r="3444" spans="1:20" ht="63.75" x14ac:dyDescent="0.25">
      <c r="A3444" s="6">
        <v>3438</v>
      </c>
      <c r="B3444" s="1" t="str">
        <f>"2021-180"</f>
        <v>2021-180</v>
      </c>
      <c r="C3444" s="1" t="s">
        <v>2737</v>
      </c>
      <c r="D3444" s="1" t="s">
        <v>689</v>
      </c>
      <c r="E3444" s="1" t="str">
        <f>""</f>
        <v/>
      </c>
      <c r="F3444" s="1" t="s">
        <v>1860</v>
      </c>
      <c r="G3444" s="1" t="str">
        <f>CONCATENATE(" ELEKTRO-KOMUNIKACIJE D.O.O.,"," 14. PODBREŽJE 4,"," 10000 ZAGREB,"," OIB: 76412373309")</f>
        <v xml:space="preserve"> ELEKTRO-KOMUNIKACIJE D.O.O., 14. PODBREŽJE 4, 10000 ZAGREB, OIB: 76412373309</v>
      </c>
      <c r="H3444" s="7"/>
      <c r="I3444" s="8" t="s">
        <v>1257</v>
      </c>
      <c r="J3444" s="8" t="s">
        <v>2945</v>
      </c>
      <c r="K3444" s="6" t="str">
        <f>"640,00"</f>
        <v>640,00</v>
      </c>
      <c r="L3444" s="6" t="str">
        <f>"160,00"</f>
        <v>160,00</v>
      </c>
      <c r="M3444" s="6" t="str">
        <f>"800,00"</f>
        <v>800,00</v>
      </c>
      <c r="N3444" s="8" t="s">
        <v>416</v>
      </c>
      <c r="O3444" s="7"/>
      <c r="P3444" s="2" t="s">
        <v>7525</v>
      </c>
      <c r="Q3444" s="7"/>
      <c r="R3444" s="1"/>
      <c r="S3444" s="1" t="str">
        <f>"J-UN-2021-1476"</f>
        <v>J-UN-2021-1476</v>
      </c>
      <c r="T3444" s="1" t="s">
        <v>32</v>
      </c>
    </row>
    <row r="3445" spans="1:20" ht="51" x14ac:dyDescent="0.25">
      <c r="A3445" s="6">
        <v>3439</v>
      </c>
      <c r="B3445" s="1" t="str">
        <f>"2021-221"</f>
        <v>2021-221</v>
      </c>
      <c r="C3445" s="1" t="s">
        <v>2692</v>
      </c>
      <c r="D3445" s="1" t="s">
        <v>2693</v>
      </c>
      <c r="E3445" s="1" t="str">
        <f>""</f>
        <v/>
      </c>
      <c r="F3445" s="1" t="s">
        <v>1860</v>
      </c>
      <c r="G3445" s="1" t="str">
        <f>CONCATENATE(" COMET D.O.O.,"," VARAŽDINSKA 40/C,"," 42220 NOVI MAROF,"," OIB: 48249084626")</f>
        <v xml:space="preserve"> COMET D.O.O., VARAŽDINSKA 40/C, 42220 NOVI MAROF, OIB: 48249084626</v>
      </c>
      <c r="H3445" s="7"/>
      <c r="I3445" s="8" t="s">
        <v>2300</v>
      </c>
      <c r="J3445" s="8" t="s">
        <v>1159</v>
      </c>
      <c r="K3445" s="6" t="str">
        <f>"11.680,00"</f>
        <v>11.680,00</v>
      </c>
      <c r="L3445" s="6" t="str">
        <f>"2.920,00"</f>
        <v>2.920,00</v>
      </c>
      <c r="M3445" s="6" t="str">
        <f>"14.600,00"</f>
        <v>14.600,00</v>
      </c>
      <c r="N3445" s="8" t="s">
        <v>2770</v>
      </c>
      <c r="O3445" s="7"/>
      <c r="P3445" s="2" t="s">
        <v>7630</v>
      </c>
      <c r="Q3445" s="7"/>
      <c r="R3445" s="1"/>
      <c r="S3445" s="1" t="str">
        <f>"J-UN-2021-1477"</f>
        <v>J-UN-2021-1477</v>
      </c>
      <c r="T3445" s="1" t="s">
        <v>32</v>
      </c>
    </row>
    <row r="3446" spans="1:20" ht="51" x14ac:dyDescent="0.25">
      <c r="A3446" s="6">
        <v>3440</v>
      </c>
      <c r="B3446" s="1" t="str">
        <f>"2021-203"</f>
        <v>2021-203</v>
      </c>
      <c r="C3446" s="1" t="s">
        <v>2302</v>
      </c>
      <c r="D3446" s="1" t="s">
        <v>689</v>
      </c>
      <c r="E3446" s="1" t="str">
        <f>""</f>
        <v/>
      </c>
      <c r="F3446" s="1" t="s">
        <v>1860</v>
      </c>
      <c r="G3446" s="1" t="str">
        <f>CONCATENATE(" ALFA PRINT D.O.O.,"," ANTE MIKE TRIPALA 9,"," 10000 ZAGREB,"," OIB: 197473974")</f>
        <v xml:space="preserve"> ALFA PRINT D.O.O., ANTE MIKE TRIPALA 9, 10000 ZAGREB, OIB: 197473974</v>
      </c>
      <c r="H3446" s="7"/>
      <c r="I3446" s="8" t="s">
        <v>2297</v>
      </c>
      <c r="J3446" s="8" t="s">
        <v>1099</v>
      </c>
      <c r="K3446" s="6" t="str">
        <f>"888,00"</f>
        <v>888,00</v>
      </c>
      <c r="L3446" s="6" t="str">
        <f>"222,00"</f>
        <v>222,00</v>
      </c>
      <c r="M3446" s="6" t="str">
        <f>"1.110,00"</f>
        <v>1.110,00</v>
      </c>
      <c r="N3446" s="8" t="s">
        <v>124</v>
      </c>
      <c r="O3446" s="7"/>
      <c r="P3446" s="2" t="s">
        <v>5614</v>
      </c>
      <c r="Q3446" s="7"/>
      <c r="R3446" s="1"/>
      <c r="S3446" s="1" t="str">
        <f>"J-UN-2021-1478"</f>
        <v>J-UN-2021-1478</v>
      </c>
      <c r="T3446" s="1" t="s">
        <v>32</v>
      </c>
    </row>
    <row r="3447" spans="1:20" ht="51" x14ac:dyDescent="0.25">
      <c r="A3447" s="6">
        <v>3441</v>
      </c>
      <c r="B3447" s="1" t="str">
        <f>"2021-461"</f>
        <v>2021-461</v>
      </c>
      <c r="C3447" s="1" t="s">
        <v>2946</v>
      </c>
      <c r="D3447" s="1" t="s">
        <v>2947</v>
      </c>
      <c r="E3447" s="1" t="str">
        <f>""</f>
        <v/>
      </c>
      <c r="F3447" s="1" t="s">
        <v>1860</v>
      </c>
      <c r="G3447" s="1" t="str">
        <f>CONCATENATE(" PRVOMAJSKA ZAGREB D.O.O.,"," PRIGORNICA 25,"," 10419 VUKOVINA,"," OIB: 58937342416")</f>
        <v xml:space="preserve"> PRVOMAJSKA ZAGREB D.O.O., PRIGORNICA 25, 10419 VUKOVINA, OIB: 58937342416</v>
      </c>
      <c r="H3447" s="7"/>
      <c r="I3447" s="8" t="s">
        <v>1350</v>
      </c>
      <c r="J3447" s="8" t="s">
        <v>947</v>
      </c>
      <c r="K3447" s="6" t="str">
        <f>"9.776,00"</f>
        <v>9.776,00</v>
      </c>
      <c r="L3447" s="6" t="str">
        <f>"2.444,00"</f>
        <v>2.444,00</v>
      </c>
      <c r="M3447" s="6" t="str">
        <f>"12.220,00"</f>
        <v>12.220,00</v>
      </c>
      <c r="N3447" s="8" t="s">
        <v>2921</v>
      </c>
      <c r="O3447" s="7"/>
      <c r="P3447" s="2" t="s">
        <v>7631</v>
      </c>
      <c r="Q3447" s="7"/>
      <c r="R3447" s="1"/>
      <c r="S3447" s="1" t="str">
        <f>"J-UN-2021-1479"</f>
        <v>J-UN-2021-1479</v>
      </c>
      <c r="T3447" s="1" t="s">
        <v>32</v>
      </c>
    </row>
    <row r="3448" spans="1:20" ht="51" x14ac:dyDescent="0.25">
      <c r="A3448" s="6">
        <v>3442</v>
      </c>
      <c r="B3448" s="1" t="str">
        <f>"2021-479"</f>
        <v>2021-479</v>
      </c>
      <c r="C3448" s="1" t="s">
        <v>2679</v>
      </c>
      <c r="D3448" s="1" t="s">
        <v>619</v>
      </c>
      <c r="E3448" s="1" t="str">
        <f>""</f>
        <v/>
      </c>
      <c r="F3448" s="1" t="s">
        <v>1860</v>
      </c>
      <c r="G3448" s="1" t="str">
        <f>CONCATENATE(" TRIDION D.O.O.,"," ZAPADNA LOZICA 10,"," 10000 ZAGREB,"," OIB: 79247590666")</f>
        <v xml:space="preserve"> TRIDION D.O.O., ZAPADNA LOZICA 10, 10000 ZAGREB, OIB: 79247590666</v>
      </c>
      <c r="H3448" s="7"/>
      <c r="I3448" s="8" t="s">
        <v>1350</v>
      </c>
      <c r="J3448" s="8" t="s">
        <v>947</v>
      </c>
      <c r="K3448" s="6" t="str">
        <f>"6.906,69"</f>
        <v>6.906,69</v>
      </c>
      <c r="L3448" s="6" t="str">
        <f>"1.726,67"</f>
        <v>1.726,67</v>
      </c>
      <c r="M3448" s="6" t="str">
        <f>"8.633,36"</f>
        <v>8.633,36</v>
      </c>
      <c r="N3448" s="8" t="s">
        <v>1350</v>
      </c>
      <c r="O3448" s="7"/>
      <c r="P3448" s="2" t="s">
        <v>7632</v>
      </c>
      <c r="Q3448" s="7"/>
      <c r="R3448" s="1"/>
      <c r="S3448" s="1" t="str">
        <f>"J-UN-2021-1481"</f>
        <v>J-UN-2021-1481</v>
      </c>
      <c r="T3448" s="1" t="s">
        <v>32</v>
      </c>
    </row>
    <row r="3449" spans="1:20" ht="51" x14ac:dyDescent="0.25">
      <c r="A3449" s="6">
        <v>3443</v>
      </c>
      <c r="B3449" s="1" t="str">
        <f>"2021-489"</f>
        <v>2021-489</v>
      </c>
      <c r="C3449" s="1" t="s">
        <v>2741</v>
      </c>
      <c r="D3449" s="1" t="s">
        <v>2742</v>
      </c>
      <c r="E3449" s="1" t="str">
        <f>""</f>
        <v/>
      </c>
      <c r="F3449" s="1" t="s">
        <v>1860</v>
      </c>
      <c r="G3449" s="1" t="str">
        <f>CONCATENATE(" OPREMA RADMAN D.O.O.,"," VELIKOPOLJSKA 29,"," 10000 ZAGREB,"," OIB: 27290068263")</f>
        <v xml:space="preserve"> OPREMA RADMAN D.O.O., VELIKOPOLJSKA 29, 10000 ZAGREB, OIB: 27290068263</v>
      </c>
      <c r="H3449" s="7"/>
      <c r="I3449" s="8" t="s">
        <v>2300</v>
      </c>
      <c r="J3449" s="8" t="s">
        <v>1159</v>
      </c>
      <c r="K3449" s="6" t="str">
        <f>"1.185,00"</f>
        <v>1.185,00</v>
      </c>
      <c r="L3449" s="6" t="str">
        <f>"296,25"</f>
        <v>296,25</v>
      </c>
      <c r="M3449" s="6" t="str">
        <f>"1.481,25"</f>
        <v>1.481,25</v>
      </c>
      <c r="N3449" s="8" t="s">
        <v>2934</v>
      </c>
      <c r="O3449" s="7"/>
      <c r="P3449" s="2" t="s">
        <v>7633</v>
      </c>
      <c r="Q3449" s="7"/>
      <c r="R3449" s="1"/>
      <c r="S3449" s="1" t="str">
        <f>"J-UN-2021-1482"</f>
        <v>J-UN-2021-1482</v>
      </c>
      <c r="T3449" s="1" t="s">
        <v>32</v>
      </c>
    </row>
    <row r="3450" spans="1:20" ht="63.75" x14ac:dyDescent="0.25">
      <c r="A3450" s="6">
        <v>3444</v>
      </c>
      <c r="B3450" s="1" t="str">
        <f>"2021-695"</f>
        <v>2021-695</v>
      </c>
      <c r="C3450" s="1" t="s">
        <v>2683</v>
      </c>
      <c r="D3450" s="1" t="s">
        <v>2684</v>
      </c>
      <c r="E3450" s="1" t="str">
        <f>""</f>
        <v/>
      </c>
      <c r="F3450" s="1" t="s">
        <v>1860</v>
      </c>
      <c r="G3450" s="1" t="str">
        <f>CONCATENATE(" NARODNE NOVINE D.D.,"," SAVSKI GAJ XIII. PUT br. 6,"," 10000 ZAGREB,"," OIB: 64546066176")</f>
        <v xml:space="preserve"> NARODNE NOVINE D.D., SAVSKI GAJ XIII. PUT br. 6, 10000 ZAGREB, OIB: 64546066176</v>
      </c>
      <c r="H3450" s="7"/>
      <c r="I3450" s="8" t="s">
        <v>585</v>
      </c>
      <c r="J3450" s="8" t="s">
        <v>227</v>
      </c>
      <c r="K3450" s="6" t="str">
        <f>"7.112,00"</f>
        <v>7.112,00</v>
      </c>
      <c r="L3450" s="6" t="str">
        <f>"1.778,00"</f>
        <v>1.778,00</v>
      </c>
      <c r="M3450" s="6" t="str">
        <f>"8.890,00"</f>
        <v>8.890,00</v>
      </c>
      <c r="N3450" s="8" t="s">
        <v>126</v>
      </c>
      <c r="O3450" s="7"/>
      <c r="P3450" s="2" t="s">
        <v>7634</v>
      </c>
      <c r="Q3450" s="7"/>
      <c r="R3450" s="1"/>
      <c r="S3450" s="1" t="str">
        <f>"J-UN-2021-1483"</f>
        <v>J-UN-2021-1483</v>
      </c>
      <c r="T3450" s="1" t="s">
        <v>32</v>
      </c>
    </row>
    <row r="3451" spans="1:20" ht="63.75" x14ac:dyDescent="0.25">
      <c r="A3451" s="6">
        <v>3445</v>
      </c>
      <c r="B3451" s="1" t="str">
        <f>"2021-1176"</f>
        <v>2021-1176</v>
      </c>
      <c r="C3451" s="1" t="s">
        <v>2815</v>
      </c>
      <c r="D3451" s="1" t="s">
        <v>1373</v>
      </c>
      <c r="E3451" s="1" t="str">
        <f>""</f>
        <v/>
      </c>
      <c r="F3451" s="1" t="s">
        <v>1860</v>
      </c>
      <c r="G3451" s="1" t="str">
        <f>CONCATENATE(" STROJOOBNOVA,"," VL.TIHOMIR LJUBIĆ,"," RAVNICE 13,"," 10294 DONJA PUŠĆA,"," OIB: 50149576546")</f>
        <v xml:space="preserve"> STROJOOBNOVA, VL.TIHOMIR LJUBIĆ, RAVNICE 13, 10294 DONJA PUŠĆA, OIB: 50149576546</v>
      </c>
      <c r="H3451" s="7"/>
      <c r="I3451" s="8" t="s">
        <v>1350</v>
      </c>
      <c r="J3451" s="8" t="s">
        <v>947</v>
      </c>
      <c r="K3451" s="6" t="str">
        <f>"6.960,00"</f>
        <v>6.960,00</v>
      </c>
      <c r="L3451" s="6" t="str">
        <f>"1.740,00"</f>
        <v>1.740,00</v>
      </c>
      <c r="M3451" s="6" t="str">
        <f>"8.700,00"</f>
        <v>8.700,00</v>
      </c>
      <c r="N3451" s="8" t="s">
        <v>757</v>
      </c>
      <c r="O3451" s="7"/>
      <c r="P3451" s="2" t="s">
        <v>7398</v>
      </c>
      <c r="Q3451" s="7"/>
      <c r="R3451" s="1"/>
      <c r="S3451" s="1" t="str">
        <f>"J-UN-2021-1484"</f>
        <v>J-UN-2021-1484</v>
      </c>
      <c r="T3451" s="1" t="s">
        <v>32</v>
      </c>
    </row>
    <row r="3452" spans="1:20" ht="63.75" x14ac:dyDescent="0.25">
      <c r="A3452" s="6">
        <v>3446</v>
      </c>
      <c r="B3452" s="1" t="str">
        <f>"2021-192"</f>
        <v>2021-192</v>
      </c>
      <c r="C3452" s="1" t="s">
        <v>2722</v>
      </c>
      <c r="D3452" s="1" t="s">
        <v>689</v>
      </c>
      <c r="E3452" s="1" t="str">
        <f>""</f>
        <v/>
      </c>
      <c r="F3452" s="1" t="s">
        <v>1860</v>
      </c>
      <c r="G3452" s="1" t="str">
        <f>CONCATENATE(" NARODNE NOVINE D.D.,"," SAVSKI GAJ XIII. PUT br. 6,"," 10000 ZAGREB,"," OIB: 64546066176")</f>
        <v xml:space="preserve"> NARODNE NOVINE D.D., SAVSKI GAJ XIII. PUT br. 6, 10000 ZAGREB, OIB: 64546066176</v>
      </c>
      <c r="H3452" s="7"/>
      <c r="I3452" s="8" t="s">
        <v>2300</v>
      </c>
      <c r="J3452" s="8" t="s">
        <v>1159</v>
      </c>
      <c r="K3452" s="6" t="str">
        <f>"7.000,00"</f>
        <v>7.000,00</v>
      </c>
      <c r="L3452" s="6" t="str">
        <f>"1.750,00"</f>
        <v>1.750,00</v>
      </c>
      <c r="M3452" s="6" t="str">
        <f>"8.750,00"</f>
        <v>8.750,00</v>
      </c>
      <c r="N3452" s="8" t="s">
        <v>176</v>
      </c>
      <c r="O3452" s="7"/>
      <c r="P3452" s="2" t="s">
        <v>6588</v>
      </c>
      <c r="Q3452" s="7"/>
      <c r="R3452" s="1"/>
      <c r="S3452" s="1" t="str">
        <f>"J-UN-2021-1486"</f>
        <v>J-UN-2021-1486</v>
      </c>
      <c r="T3452" s="1" t="s">
        <v>32</v>
      </c>
    </row>
    <row r="3453" spans="1:20" ht="51" x14ac:dyDescent="0.25">
      <c r="A3453" s="6">
        <v>3447</v>
      </c>
      <c r="B3453" s="1" t="str">
        <f>"2021-424"</f>
        <v>2021-424</v>
      </c>
      <c r="C3453" s="1" t="s">
        <v>2881</v>
      </c>
      <c r="D3453" s="1" t="s">
        <v>2882</v>
      </c>
      <c r="E3453" s="1" t="str">
        <f>""</f>
        <v/>
      </c>
      <c r="F3453" s="1" t="s">
        <v>1860</v>
      </c>
      <c r="G3453" s="1" t="str">
        <f>CONCATENATE(" BRIŠAR SERVIS D.O.O.,"," PRELČEVA 21D,"," 10360 SESVETE,"," OIB: 58933898865")</f>
        <v xml:space="preserve"> BRIŠAR SERVIS D.O.O., PRELČEVA 21D, 10360 SESVETE, OIB: 58933898865</v>
      </c>
      <c r="H3453" s="7"/>
      <c r="I3453" s="8" t="s">
        <v>1350</v>
      </c>
      <c r="J3453" s="8" t="s">
        <v>947</v>
      </c>
      <c r="K3453" s="6" t="str">
        <f>"2.481,46"</f>
        <v>2.481,46</v>
      </c>
      <c r="L3453" s="6" t="str">
        <f>"620,37"</f>
        <v>620,37</v>
      </c>
      <c r="M3453" s="6" t="str">
        <f>"3.101,83"</f>
        <v>3.101,83</v>
      </c>
      <c r="N3453" s="8" t="s">
        <v>190</v>
      </c>
      <c r="O3453" s="7"/>
      <c r="P3453" s="2" t="s">
        <v>7635</v>
      </c>
      <c r="Q3453" s="7"/>
      <c r="R3453" s="1"/>
      <c r="S3453" s="1" t="str">
        <f>"J-UN-2021-1487"</f>
        <v>J-UN-2021-1487</v>
      </c>
      <c r="T3453" s="1" t="s">
        <v>32</v>
      </c>
    </row>
    <row r="3454" spans="1:20" ht="63.75" x14ac:dyDescent="0.25">
      <c r="A3454" s="6">
        <v>3448</v>
      </c>
      <c r="B3454" s="1" t="str">
        <f>"2021-237"</f>
        <v>2021-237</v>
      </c>
      <c r="C3454" s="1" t="s">
        <v>2703</v>
      </c>
      <c r="D3454" s="1" t="s">
        <v>2704</v>
      </c>
      <c r="E3454" s="1" t="str">
        <f>""</f>
        <v/>
      </c>
      <c r="F3454" s="1" t="s">
        <v>1860</v>
      </c>
      <c r="G3454" s="1" t="str">
        <f>CONCATENATE(" PISMORAD D.O.O.,"," INDUSTRIJSKA 5,"," 10431 SVETA NEDELJA-NOVAKI,"," OIB: 33260306505")</f>
        <v xml:space="preserve"> PISMORAD D.O.O., INDUSTRIJSKA 5, 10431 SVETA NEDELJA-NOVAKI, OIB: 33260306505</v>
      </c>
      <c r="H3454" s="7"/>
      <c r="I3454" s="8" t="s">
        <v>2300</v>
      </c>
      <c r="J3454" s="8" t="s">
        <v>1159</v>
      </c>
      <c r="K3454" s="6" t="str">
        <f>"4.000,00"</f>
        <v>4.000,00</v>
      </c>
      <c r="L3454" s="6" t="str">
        <f>"1.000,00"</f>
        <v>1.000,00</v>
      </c>
      <c r="M3454" s="6" t="str">
        <f>"5.000,00"</f>
        <v>5.000,00</v>
      </c>
      <c r="N3454" s="8" t="s">
        <v>213</v>
      </c>
      <c r="O3454" s="7"/>
      <c r="P3454" s="2" t="s">
        <v>6367</v>
      </c>
      <c r="Q3454" s="7"/>
      <c r="R3454" s="1"/>
      <c r="S3454" s="1" t="str">
        <f>"J-UN-2021-1488"</f>
        <v>J-UN-2021-1488</v>
      </c>
      <c r="T3454" s="1" t="s">
        <v>32</v>
      </c>
    </row>
    <row r="3455" spans="1:20" ht="63.75" x14ac:dyDescent="0.25">
      <c r="A3455" s="6">
        <v>3449</v>
      </c>
      <c r="B3455" s="1" t="str">
        <f>"2021-1168"</f>
        <v>2021-1168</v>
      </c>
      <c r="C3455" s="1" t="s">
        <v>2784</v>
      </c>
      <c r="D3455" s="1" t="s">
        <v>2785</v>
      </c>
      <c r="E3455" s="1" t="str">
        <f>""</f>
        <v/>
      </c>
      <c r="F3455" s="1" t="s">
        <v>1860</v>
      </c>
      <c r="G3455" s="1" t="str">
        <f>CONCATENATE(" KAESER KOMPRESSOREN D.O.O.,"," RIMSKI PUT 11/D,"," 10360 SESVETE,"," OIB: 42572807012")</f>
        <v xml:space="preserve"> KAESER KOMPRESSOREN D.O.O., RIMSKI PUT 11/D, 10360 SESVETE, OIB: 42572807012</v>
      </c>
      <c r="H3455" s="7"/>
      <c r="I3455" s="8" t="s">
        <v>1350</v>
      </c>
      <c r="J3455" s="8" t="s">
        <v>947</v>
      </c>
      <c r="K3455" s="6" t="str">
        <f>"14.078,00"</f>
        <v>14.078,00</v>
      </c>
      <c r="L3455" s="6" t="str">
        <f>"3.519,50"</f>
        <v>3.519,50</v>
      </c>
      <c r="M3455" s="6" t="str">
        <f>"17.597,50"</f>
        <v>17.597,50</v>
      </c>
      <c r="N3455" s="8" t="s">
        <v>616</v>
      </c>
      <c r="O3455" s="7"/>
      <c r="P3455" s="2" t="s">
        <v>7636</v>
      </c>
      <c r="Q3455" s="7"/>
      <c r="R3455" s="1"/>
      <c r="S3455" s="1" t="str">
        <f>"J-UN-2021-1489"</f>
        <v>J-UN-2021-1489</v>
      </c>
      <c r="T3455" s="1" t="s">
        <v>32</v>
      </c>
    </row>
    <row r="3456" spans="1:20" ht="51" x14ac:dyDescent="0.25">
      <c r="A3456" s="6">
        <v>3450</v>
      </c>
      <c r="B3456" s="1" t="str">
        <f>"2021-876"</f>
        <v>2021-876</v>
      </c>
      <c r="C3456" s="1" t="s">
        <v>2872</v>
      </c>
      <c r="D3456" s="1" t="s">
        <v>1833</v>
      </c>
      <c r="E3456" s="1" t="str">
        <f>""</f>
        <v/>
      </c>
      <c r="F3456" s="1" t="s">
        <v>1860</v>
      </c>
      <c r="G3456" s="1" t="str">
        <f>CONCATENATE(" D.R. AUTO D.O.O.,"," SELSKA CESTA 34,"," 10000 ZAGREB,"," OIB: 07523847158")</f>
        <v xml:space="preserve"> D.R. AUTO D.O.O., SELSKA CESTA 34, 10000 ZAGREB, OIB: 07523847158</v>
      </c>
      <c r="H3456" s="7"/>
      <c r="I3456" s="8" t="s">
        <v>1350</v>
      </c>
      <c r="J3456" s="8" t="s">
        <v>947</v>
      </c>
      <c r="K3456" s="6" t="str">
        <f>"393,72"</f>
        <v>393,72</v>
      </c>
      <c r="L3456" s="6" t="str">
        <f>"98,43"</f>
        <v>98,43</v>
      </c>
      <c r="M3456" s="6" t="str">
        <f>"492,15"</f>
        <v>492,15</v>
      </c>
      <c r="N3456" s="8" t="s">
        <v>327</v>
      </c>
      <c r="O3456" s="7"/>
      <c r="P3456" s="2" t="s">
        <v>7637</v>
      </c>
      <c r="Q3456" s="7"/>
      <c r="R3456" s="1"/>
      <c r="S3456" s="1" t="str">
        <f>"J-UN-2021-1492"</f>
        <v>J-UN-2021-1492</v>
      </c>
      <c r="T3456" s="1" t="s">
        <v>32</v>
      </c>
    </row>
    <row r="3457" spans="1:20" ht="51" x14ac:dyDescent="0.25">
      <c r="A3457" s="6">
        <v>3451</v>
      </c>
      <c r="B3457" s="1" t="str">
        <f>"2021-376"</f>
        <v>2021-376</v>
      </c>
      <c r="C3457" s="1" t="s">
        <v>2904</v>
      </c>
      <c r="D3457" s="1" t="s">
        <v>2577</v>
      </c>
      <c r="E3457" s="1" t="str">
        <f>""</f>
        <v/>
      </c>
      <c r="F3457" s="1" t="s">
        <v>1860</v>
      </c>
      <c r="G3457" s="1" t="str">
        <f>CONCATENATE(" GRAPAK D.O.O.,"," M. SCHLENGERA 5,"," 42204 TURČIN,"," OIB: 8387333034")</f>
        <v xml:space="preserve"> GRAPAK D.O.O., M. SCHLENGERA 5, 42204 TURČIN, OIB: 8387333034</v>
      </c>
      <c r="H3457" s="7"/>
      <c r="I3457" s="8" t="s">
        <v>1350</v>
      </c>
      <c r="J3457" s="8" t="s">
        <v>947</v>
      </c>
      <c r="K3457" s="6" t="str">
        <f>"30.750,29"</f>
        <v>30.750,29</v>
      </c>
      <c r="L3457" s="6" t="str">
        <f>"7.687,57"</f>
        <v>7.687,57</v>
      </c>
      <c r="M3457" s="6" t="str">
        <f>"38.437,86"</f>
        <v>38.437,86</v>
      </c>
      <c r="N3457" s="8" t="s">
        <v>561</v>
      </c>
      <c r="O3457" s="7"/>
      <c r="P3457" s="2" t="s">
        <v>7638</v>
      </c>
      <c r="Q3457" s="7"/>
      <c r="R3457" s="1"/>
      <c r="S3457" s="1" t="str">
        <f>"J-UN-2021-1493"</f>
        <v>J-UN-2021-1493</v>
      </c>
      <c r="T3457" s="1" t="s">
        <v>32</v>
      </c>
    </row>
    <row r="3458" spans="1:20" ht="51" x14ac:dyDescent="0.25">
      <c r="A3458" s="6">
        <v>3452</v>
      </c>
      <c r="B3458" s="1" t="str">
        <f>"2021-1696"</f>
        <v>2021-1696</v>
      </c>
      <c r="C3458" s="1" t="s">
        <v>2811</v>
      </c>
      <c r="D3458" s="1" t="s">
        <v>1859</v>
      </c>
      <c r="E3458" s="1" t="str">
        <f>""</f>
        <v/>
      </c>
      <c r="F3458" s="1" t="s">
        <v>1860</v>
      </c>
      <c r="G3458" s="1" t="str">
        <f>CONCATENATE(" ABECEDA ZAŠTITE D.O.O.,"," KORZO 30A,"," 51000 RIJEKA,"," OIB: 49308237286")</f>
        <v xml:space="preserve"> ABECEDA ZAŠTITE D.O.O., KORZO 30A, 51000 RIJEKA, OIB: 49308237286</v>
      </c>
      <c r="H3458" s="7"/>
      <c r="I3458" s="8" t="s">
        <v>585</v>
      </c>
      <c r="J3458" s="8" t="s">
        <v>227</v>
      </c>
      <c r="K3458" s="6" t="str">
        <f>"16.500,00"</f>
        <v>16.500,00</v>
      </c>
      <c r="L3458" s="6" t="str">
        <f>"4.125,00"</f>
        <v>4.125,00</v>
      </c>
      <c r="M3458" s="6" t="str">
        <f>"20.625,00"</f>
        <v>20.625,00</v>
      </c>
      <c r="N3458" s="8" t="s">
        <v>1530</v>
      </c>
      <c r="O3458" s="7"/>
      <c r="P3458" s="2" t="s">
        <v>7639</v>
      </c>
      <c r="Q3458" s="7"/>
      <c r="R3458" s="1"/>
      <c r="S3458" s="1" t="str">
        <f>"J-UN-2021-1494"</f>
        <v>J-UN-2021-1494</v>
      </c>
      <c r="T3458" s="1" t="s">
        <v>32</v>
      </c>
    </row>
    <row r="3459" spans="1:20" ht="38.25" x14ac:dyDescent="0.25">
      <c r="A3459" s="6">
        <v>3453</v>
      </c>
      <c r="B3459" s="1" t="str">
        <f>"2021-882"</f>
        <v>2021-882</v>
      </c>
      <c r="C3459" s="1" t="s">
        <v>2565</v>
      </c>
      <c r="D3459" s="1" t="s">
        <v>1833</v>
      </c>
      <c r="E3459" s="1" t="str">
        <f>""</f>
        <v/>
      </c>
      <c r="F3459" s="1" t="s">
        <v>1860</v>
      </c>
      <c r="G3459" s="1" t="str">
        <f>CONCATENATE(" R-PIM D.O.O.,"," ,"," OIB: 38514700472")</f>
        <v xml:space="preserve"> R-PIM D.O.O., , OIB: 38514700472</v>
      </c>
      <c r="H3459" s="7"/>
      <c r="I3459" s="8" t="s">
        <v>1350</v>
      </c>
      <c r="J3459" s="8" t="s">
        <v>947</v>
      </c>
      <c r="K3459" s="6" t="str">
        <f>"4.448,00"</f>
        <v>4.448,00</v>
      </c>
      <c r="L3459" s="6" t="str">
        <f>"1.112,00"</f>
        <v>1.112,00</v>
      </c>
      <c r="M3459" s="6" t="str">
        <f>"5.560,00"</f>
        <v>5.560,00</v>
      </c>
      <c r="N3459" s="8" t="s">
        <v>1257</v>
      </c>
      <c r="O3459" s="7"/>
      <c r="P3459" s="2" t="s">
        <v>7640</v>
      </c>
      <c r="Q3459" s="7"/>
      <c r="R3459" s="1"/>
      <c r="S3459" s="1" t="str">
        <f>"J-UN-2021-1495"</f>
        <v>J-UN-2021-1495</v>
      </c>
      <c r="T3459" s="1" t="s">
        <v>32</v>
      </c>
    </row>
    <row r="3460" spans="1:20" ht="51" x14ac:dyDescent="0.25">
      <c r="A3460" s="6">
        <v>3454</v>
      </c>
      <c r="B3460" s="1" t="str">
        <f>"2021-946"</f>
        <v>2021-946</v>
      </c>
      <c r="C3460" s="1" t="s">
        <v>2711</v>
      </c>
      <c r="D3460" s="1" t="s">
        <v>1914</v>
      </c>
      <c r="E3460" s="1" t="str">
        <f>""</f>
        <v/>
      </c>
      <c r="F3460" s="1" t="s">
        <v>1860</v>
      </c>
      <c r="G3460" s="1" t="str">
        <f>CONCATENATE(" TRGOVINA KRK D.D.,"," DUBAŠLJANSKA 80,"," 51511 MALINSKA,"," OIB: 66548420466")</f>
        <v xml:space="preserve"> TRGOVINA KRK D.D., DUBAŠLJANSKA 80, 51511 MALINSKA, OIB: 66548420466</v>
      </c>
      <c r="H3460" s="7"/>
      <c r="I3460" s="8" t="s">
        <v>1350</v>
      </c>
      <c r="J3460" s="8" t="s">
        <v>947</v>
      </c>
      <c r="K3460" s="6" t="str">
        <f>"2.890,86"</f>
        <v>2.890,86</v>
      </c>
      <c r="L3460" s="6" t="str">
        <f>"722,72"</f>
        <v>722,72</v>
      </c>
      <c r="M3460" s="6" t="str">
        <f>"3.613,58"</f>
        <v>3.613,58</v>
      </c>
      <c r="N3460" s="8" t="s">
        <v>124</v>
      </c>
      <c r="O3460" s="7"/>
      <c r="P3460" s="2" t="s">
        <v>5614</v>
      </c>
      <c r="Q3460" s="7"/>
      <c r="R3460" s="1"/>
      <c r="S3460" s="1" t="str">
        <f>"J-UN-2021-1497"</f>
        <v>J-UN-2021-1497</v>
      </c>
      <c r="T3460" s="1" t="s">
        <v>32</v>
      </c>
    </row>
    <row r="3461" spans="1:20" ht="51" x14ac:dyDescent="0.25">
      <c r="A3461" s="6">
        <v>3455</v>
      </c>
      <c r="B3461" s="1" t="str">
        <f>"2021-163"</f>
        <v>2021-163</v>
      </c>
      <c r="C3461" s="1" t="s">
        <v>2712</v>
      </c>
      <c r="D3461" s="1" t="s">
        <v>2713</v>
      </c>
      <c r="E3461" s="1" t="str">
        <f>""</f>
        <v/>
      </c>
      <c r="F3461" s="1" t="s">
        <v>1860</v>
      </c>
      <c r="G3461" s="1" t="str">
        <f>CONCATENATE(" SCHEDA D.O.O.,"," LJUDEVITA POSAVSKOG 29,"," 10360 SESVETE,"," OIB: 76219817247")</f>
        <v xml:space="preserve"> SCHEDA D.O.O., LJUDEVITA POSAVSKOG 29, 10360 SESVETE, OIB: 76219817247</v>
      </c>
      <c r="H3461" s="7"/>
      <c r="I3461" s="8" t="s">
        <v>2918</v>
      </c>
      <c r="J3461" s="8" t="s">
        <v>410</v>
      </c>
      <c r="K3461" s="6" t="str">
        <f>"29.000,00"</f>
        <v>29.000,00</v>
      </c>
      <c r="L3461" s="6" t="str">
        <f>"7.250,00"</f>
        <v>7.250,00</v>
      </c>
      <c r="M3461" s="6" t="str">
        <f>"36.250,00"</f>
        <v>36.250,00</v>
      </c>
      <c r="N3461" s="8" t="s">
        <v>800</v>
      </c>
      <c r="O3461" s="7"/>
      <c r="P3461" s="2" t="s">
        <v>7641</v>
      </c>
      <c r="Q3461" s="7"/>
      <c r="R3461" s="1"/>
      <c r="S3461" s="1" t="str">
        <f>"J-UN-2021-1498"</f>
        <v>J-UN-2021-1498</v>
      </c>
      <c r="T3461" s="1" t="s">
        <v>32</v>
      </c>
    </row>
    <row r="3462" spans="1:20" ht="63.75" x14ac:dyDescent="0.25">
      <c r="A3462" s="6">
        <v>3456</v>
      </c>
      <c r="B3462" s="1" t="str">
        <f>"2021-1672"</f>
        <v>2021-1672</v>
      </c>
      <c r="C3462" s="1" t="s">
        <v>1390</v>
      </c>
      <c r="D3462" s="1" t="s">
        <v>1391</v>
      </c>
      <c r="E3462" s="1" t="str">
        <f>""</f>
        <v/>
      </c>
      <c r="F3462" s="1" t="s">
        <v>1860</v>
      </c>
      <c r="G3462" s="1" t="str">
        <f>CONCATENATE(" HITRA PRODUKCIJA DOKUMENATA D.O.O.,"," ZADARSKA ULICA 80,"," 10000 ZAGREB,"," OIB: 65443507068")</f>
        <v xml:space="preserve"> HITRA PRODUKCIJA DOKUMENATA D.O.O., ZADARSKA ULICA 80, 10000 ZAGREB, OIB: 65443507068</v>
      </c>
      <c r="H3462" s="7"/>
      <c r="I3462" s="8" t="s">
        <v>2918</v>
      </c>
      <c r="J3462" s="8" t="s">
        <v>410</v>
      </c>
      <c r="K3462" s="6" t="str">
        <f>"29.970,00"</f>
        <v>29.970,00</v>
      </c>
      <c r="L3462" s="6" t="str">
        <f>"7.492,50"</f>
        <v>7.492,50</v>
      </c>
      <c r="M3462" s="6" t="str">
        <f>"37.462,50"</f>
        <v>37.462,50</v>
      </c>
      <c r="N3462" s="8" t="s">
        <v>277</v>
      </c>
      <c r="O3462" s="7"/>
      <c r="P3462" s="2" t="s">
        <v>7642</v>
      </c>
      <c r="Q3462" s="1" t="s">
        <v>488</v>
      </c>
      <c r="R3462" s="1"/>
      <c r="S3462" s="1" t="str">
        <f>"J-UN-2021-1499"</f>
        <v>J-UN-2021-1499</v>
      </c>
      <c r="T3462" s="1" t="s">
        <v>32</v>
      </c>
    </row>
    <row r="3463" spans="1:20" ht="51" x14ac:dyDescent="0.25">
      <c r="A3463" s="6">
        <v>3457</v>
      </c>
      <c r="B3463" s="1" t="str">
        <f>"2021-1305"</f>
        <v>2021-1305</v>
      </c>
      <c r="C3463" s="1" t="s">
        <v>2728</v>
      </c>
      <c r="D3463" s="1" t="s">
        <v>2729</v>
      </c>
      <c r="E3463" s="1" t="str">
        <f>""</f>
        <v/>
      </c>
      <c r="F3463" s="1" t="s">
        <v>1860</v>
      </c>
      <c r="G3463" s="1" t="str">
        <f>CONCATENATE(" ADRIA NORMA D.O.O.,"," VUKOVARSKA 284D,"," 10000 ZAGREB,"," OIB: 80109305109")</f>
        <v xml:space="preserve"> ADRIA NORMA D.O.O., VUKOVARSKA 284D, 10000 ZAGREB, OIB: 80109305109</v>
      </c>
      <c r="H3463" s="7"/>
      <c r="I3463" s="8" t="s">
        <v>2918</v>
      </c>
      <c r="J3463" s="8" t="s">
        <v>410</v>
      </c>
      <c r="K3463" s="6" t="str">
        <f>"19.800,00"</f>
        <v>19.800,00</v>
      </c>
      <c r="L3463" s="6" t="str">
        <f>"4.950,00"</f>
        <v>4.950,00</v>
      </c>
      <c r="M3463" s="6" t="str">
        <f>"24.750,00"</f>
        <v>24.750,00</v>
      </c>
      <c r="N3463" s="8" t="s">
        <v>213</v>
      </c>
      <c r="O3463" s="7"/>
      <c r="P3463" s="2" t="s">
        <v>7643</v>
      </c>
      <c r="Q3463" s="7"/>
      <c r="R3463" s="1"/>
      <c r="S3463" s="1" t="str">
        <f>"J-UN-2021-1500"</f>
        <v>J-UN-2021-1500</v>
      </c>
      <c r="T3463" s="1" t="s">
        <v>32</v>
      </c>
    </row>
    <row r="3464" spans="1:20" ht="63.75" x14ac:dyDescent="0.25">
      <c r="A3464" s="6">
        <v>3458</v>
      </c>
      <c r="B3464" s="1" t="str">
        <f>"2021-378"</f>
        <v>2021-378</v>
      </c>
      <c r="C3464" s="1" t="s">
        <v>2689</v>
      </c>
      <c r="D3464" s="1" t="s">
        <v>2577</v>
      </c>
      <c r="E3464" s="1" t="str">
        <f>""</f>
        <v/>
      </c>
      <c r="F3464" s="1" t="s">
        <v>1860</v>
      </c>
      <c r="G3464" s="1" t="str">
        <f>CONCATENATE(" GRA-PO D.O.O.,"," GOSPODARSKA 5B,"," 10255 ZAGREB - STUPNIK,"," OIB: 05364995085")</f>
        <v xml:space="preserve"> GRA-PO D.O.O., GOSPODARSKA 5B, 10255 ZAGREB - STUPNIK, OIB: 05364995085</v>
      </c>
      <c r="H3464" s="7"/>
      <c r="I3464" s="8" t="s">
        <v>1350</v>
      </c>
      <c r="J3464" s="8" t="s">
        <v>947</v>
      </c>
      <c r="K3464" s="6" t="str">
        <f>"11.199,00"</f>
        <v>11.199,00</v>
      </c>
      <c r="L3464" s="6" t="str">
        <f>"2.799,75"</f>
        <v>2.799,75</v>
      </c>
      <c r="M3464" s="6" t="str">
        <f>"13.998,75"</f>
        <v>13.998,75</v>
      </c>
      <c r="N3464" s="8" t="s">
        <v>327</v>
      </c>
      <c r="O3464" s="7"/>
      <c r="P3464" s="2" t="s">
        <v>7644</v>
      </c>
      <c r="Q3464" s="7"/>
      <c r="R3464" s="1"/>
      <c r="S3464" s="1" t="str">
        <f>"J-UN-2021-1502"</f>
        <v>J-UN-2021-1502</v>
      </c>
      <c r="T3464" s="1" t="s">
        <v>32</v>
      </c>
    </row>
    <row r="3465" spans="1:20" ht="51" x14ac:dyDescent="0.25">
      <c r="A3465" s="6">
        <v>3459</v>
      </c>
      <c r="B3465" s="1" t="str">
        <f>"2021-704"</f>
        <v>2021-704</v>
      </c>
      <c r="C3465" s="1" t="s">
        <v>2817</v>
      </c>
      <c r="D3465" s="1" t="s">
        <v>2818</v>
      </c>
      <c r="E3465" s="1" t="str">
        <f>""</f>
        <v/>
      </c>
      <c r="F3465" s="1" t="s">
        <v>1860</v>
      </c>
      <c r="G3465" s="1" t="str">
        <f>CONCATENATE(" CIAK TOOLS D.O.O.,"," KOVINSKA 4,"," 10090 ZAGREB-SUSEDGRAD,"," OIB: 26004523816")</f>
        <v xml:space="preserve"> CIAK TOOLS D.O.O., KOVINSKA 4, 10090 ZAGREB-SUSEDGRAD, OIB: 26004523816</v>
      </c>
      <c r="H3465" s="7"/>
      <c r="I3465" s="8" t="s">
        <v>2300</v>
      </c>
      <c r="J3465" s="8" t="s">
        <v>1159</v>
      </c>
      <c r="K3465" s="6" t="str">
        <f>"2.090,00"</f>
        <v>2.090,00</v>
      </c>
      <c r="L3465" s="6" t="str">
        <f>"522,50"</f>
        <v>522,50</v>
      </c>
      <c r="M3465" s="6" t="str">
        <f>"2.612,50"</f>
        <v>2.612,50</v>
      </c>
      <c r="N3465" s="8" t="s">
        <v>779</v>
      </c>
      <c r="O3465" s="7"/>
      <c r="P3465" s="2" t="s">
        <v>7645</v>
      </c>
      <c r="Q3465" s="1" t="s">
        <v>5601</v>
      </c>
      <c r="R3465" s="1"/>
      <c r="S3465" s="1" t="str">
        <f>"J-UN-2021-1503"</f>
        <v>J-UN-2021-1503</v>
      </c>
      <c r="T3465" s="1" t="s">
        <v>32</v>
      </c>
    </row>
    <row r="3466" spans="1:20" ht="63.75" x14ac:dyDescent="0.25">
      <c r="A3466" s="6">
        <v>3460</v>
      </c>
      <c r="B3466" s="1" t="str">
        <f>"2021-80"</f>
        <v>2021-80</v>
      </c>
      <c r="C3466" s="1" t="s">
        <v>2731</v>
      </c>
      <c r="D3466" s="1" t="s">
        <v>2732</v>
      </c>
      <c r="E3466" s="1" t="str">
        <f>""</f>
        <v/>
      </c>
      <c r="F3466" s="1" t="s">
        <v>1860</v>
      </c>
      <c r="G3466" s="1" t="str">
        <f>CONCATENATE(" PROTING HORVAT D.O.O.,"," FRANA GALINOVIĆA 4,"," 49000 KRAPINA,"," OIB: 75263812619")</f>
        <v xml:space="preserve"> PROTING HORVAT D.O.O., FRANA GALINOVIĆA 4, 49000 KRAPINA, OIB: 75263812619</v>
      </c>
      <c r="H3466" s="7"/>
      <c r="I3466" s="8" t="s">
        <v>2300</v>
      </c>
      <c r="J3466" s="8" t="s">
        <v>1159</v>
      </c>
      <c r="K3466" s="6" t="str">
        <f>"2.300,00"</f>
        <v>2.300,00</v>
      </c>
      <c r="L3466" s="6" t="str">
        <f>"575,00"</f>
        <v>575,00</v>
      </c>
      <c r="M3466" s="6" t="str">
        <f>"2.875,00"</f>
        <v>2.875,00</v>
      </c>
      <c r="N3466" s="8" t="s">
        <v>2921</v>
      </c>
      <c r="O3466" s="7"/>
      <c r="P3466" s="2" t="s">
        <v>7523</v>
      </c>
      <c r="Q3466" s="7"/>
      <c r="R3466" s="1"/>
      <c r="S3466" s="1" t="str">
        <f>"J-UN-2021-1504"</f>
        <v>J-UN-2021-1504</v>
      </c>
      <c r="T3466" s="1" t="s">
        <v>32</v>
      </c>
    </row>
    <row r="3467" spans="1:20" ht="76.5" x14ac:dyDescent="0.25">
      <c r="A3467" s="6">
        <v>3461</v>
      </c>
      <c r="B3467" s="1" t="str">
        <f>"2021-1203"</f>
        <v>2021-1203</v>
      </c>
      <c r="C3467" s="1" t="s">
        <v>2750</v>
      </c>
      <c r="D3467" s="1" t="s">
        <v>1627</v>
      </c>
      <c r="E3467" s="1" t="str">
        <f>""</f>
        <v/>
      </c>
      <c r="F3467" s="1" t="s">
        <v>1860</v>
      </c>
      <c r="G3467" s="1" t="str">
        <f>CONCATENATE(" ELICOM D.O.O.,"," ŠTEFANOVEC 138,"," 10000 ZAGREB,"," OIB: 76370234816")</f>
        <v xml:space="preserve"> ELICOM D.O.O., ŠTEFANOVEC 138, 10000 ZAGREB, OIB: 76370234816</v>
      </c>
      <c r="H3467" s="7"/>
      <c r="I3467" s="8" t="s">
        <v>1350</v>
      </c>
      <c r="J3467" s="8" t="s">
        <v>947</v>
      </c>
      <c r="K3467" s="6" t="str">
        <f>"4.882,44"</f>
        <v>4.882,44</v>
      </c>
      <c r="L3467" s="6" t="str">
        <f>"1.220,61"</f>
        <v>1.220,61</v>
      </c>
      <c r="M3467" s="6" t="str">
        <f>"6.103,05"</f>
        <v>6.103,05</v>
      </c>
      <c r="N3467" s="8" t="s">
        <v>1257</v>
      </c>
      <c r="O3467" s="7"/>
      <c r="P3467" s="2" t="s">
        <v>7646</v>
      </c>
      <c r="Q3467" s="7"/>
      <c r="R3467" s="1"/>
      <c r="S3467" s="1" t="str">
        <f>"J-UN-2021-1506"</f>
        <v>J-UN-2021-1506</v>
      </c>
      <c r="T3467" s="1" t="s">
        <v>32</v>
      </c>
    </row>
    <row r="3468" spans="1:20" ht="51" x14ac:dyDescent="0.25">
      <c r="A3468" s="6">
        <v>3462</v>
      </c>
      <c r="B3468" s="1" t="str">
        <f>"2021-998"</f>
        <v>2021-998</v>
      </c>
      <c r="C3468" s="1" t="s">
        <v>2844</v>
      </c>
      <c r="D3468" s="1" t="s">
        <v>2716</v>
      </c>
      <c r="E3468" s="1" t="str">
        <f>""</f>
        <v/>
      </c>
      <c r="F3468" s="1" t="s">
        <v>1860</v>
      </c>
      <c r="G3468" s="1" t="str">
        <f>CONCATENATE(" GRADATIN D.O.O.,"," LIVADARSKI PUT 19,"," 10360 SESVETE,"," OIB: 79147056526")</f>
        <v xml:space="preserve"> GRADATIN D.O.O., LIVADARSKI PUT 19, 10360 SESVETE, OIB: 79147056526</v>
      </c>
      <c r="H3468" s="7"/>
      <c r="I3468" s="8" t="s">
        <v>1350</v>
      </c>
      <c r="J3468" s="8" t="s">
        <v>947</v>
      </c>
      <c r="K3468" s="6" t="str">
        <f>"6.800,00"</f>
        <v>6.800,00</v>
      </c>
      <c r="L3468" s="6" t="str">
        <f>"1.700,00"</f>
        <v>1.700,00</v>
      </c>
      <c r="M3468" s="6" t="str">
        <f>"8.500,00"</f>
        <v>8.500,00</v>
      </c>
      <c r="N3468" s="8" t="s">
        <v>1504</v>
      </c>
      <c r="O3468" s="7"/>
      <c r="P3468" s="2" t="s">
        <v>7647</v>
      </c>
      <c r="Q3468" s="7"/>
      <c r="R3468" s="1"/>
      <c r="S3468" s="1" t="str">
        <f>"J-UN-2021-1507"</f>
        <v>J-UN-2021-1507</v>
      </c>
      <c r="T3468" s="1" t="s">
        <v>32</v>
      </c>
    </row>
    <row r="3469" spans="1:20" ht="51" x14ac:dyDescent="0.25">
      <c r="A3469" s="6">
        <v>3463</v>
      </c>
      <c r="B3469" s="1" t="str">
        <f>"2021-693"</f>
        <v>2021-693</v>
      </c>
      <c r="C3469" s="1" t="s">
        <v>2898</v>
      </c>
      <c r="D3469" s="1" t="s">
        <v>2899</v>
      </c>
      <c r="E3469" s="1" t="str">
        <f>""</f>
        <v/>
      </c>
      <c r="F3469" s="1" t="s">
        <v>1860</v>
      </c>
      <c r="G3469" s="1" t="str">
        <f>CONCATENATE(" COTRA D.O.O.,"," IVANA SEVERA 17,"," 42000 VARAŽDIN,"," OIB: 36080822108")</f>
        <v xml:space="preserve"> COTRA D.O.O., IVANA SEVERA 17, 42000 VARAŽDIN, OIB: 36080822108</v>
      </c>
      <c r="H3469" s="7"/>
      <c r="I3469" s="8" t="s">
        <v>2300</v>
      </c>
      <c r="J3469" s="8" t="s">
        <v>1159</v>
      </c>
      <c r="K3469" s="6" t="str">
        <f>"29.437,50"</f>
        <v>29.437,50</v>
      </c>
      <c r="L3469" s="6" t="str">
        <f>"7.359,38"</f>
        <v>7.359,38</v>
      </c>
      <c r="M3469" s="6" t="str">
        <f>"36.796,88"</f>
        <v>36.796,88</v>
      </c>
      <c r="N3469" s="8" t="s">
        <v>1076</v>
      </c>
      <c r="O3469" s="7"/>
      <c r="P3469" s="2" t="s">
        <v>7648</v>
      </c>
      <c r="Q3469" s="7"/>
      <c r="R3469" s="1"/>
      <c r="S3469" s="1" t="str">
        <f>"J-UN-2021-1509"</f>
        <v>J-UN-2021-1509</v>
      </c>
      <c r="T3469" s="1" t="s">
        <v>32</v>
      </c>
    </row>
    <row r="3470" spans="1:20" ht="51" x14ac:dyDescent="0.25">
      <c r="A3470" s="6">
        <v>3464</v>
      </c>
      <c r="B3470" s="1" t="str">
        <f>"2021-1154"</f>
        <v>2021-1154</v>
      </c>
      <c r="C3470" s="1" t="s">
        <v>2854</v>
      </c>
      <c r="D3470" s="1" t="s">
        <v>2855</v>
      </c>
      <c r="E3470" s="1" t="str">
        <f>""</f>
        <v/>
      </c>
      <c r="F3470" s="1" t="s">
        <v>1860</v>
      </c>
      <c r="G3470" s="1" t="str">
        <f>CONCATENATE(" TEHNO-HIDRAULIK D.O.O.,"," SAVIŠĆE 2,"," 10000 ZAGREB,"," OIB: 09925328419")</f>
        <v xml:space="preserve"> TEHNO-HIDRAULIK D.O.O., SAVIŠĆE 2, 10000 ZAGREB, OIB: 09925328419</v>
      </c>
      <c r="H3470" s="7"/>
      <c r="I3470" s="8" t="s">
        <v>1350</v>
      </c>
      <c r="J3470" s="8" t="s">
        <v>947</v>
      </c>
      <c r="K3470" s="6" t="str">
        <f>"6.219,92"</f>
        <v>6.219,92</v>
      </c>
      <c r="L3470" s="6" t="str">
        <f>"1.554,98"</f>
        <v>1.554,98</v>
      </c>
      <c r="M3470" s="6" t="str">
        <f>"7.774,90"</f>
        <v>7.774,90</v>
      </c>
      <c r="N3470" s="8" t="s">
        <v>1257</v>
      </c>
      <c r="O3470" s="7"/>
      <c r="P3470" s="2" t="s">
        <v>7649</v>
      </c>
      <c r="Q3470" s="7"/>
      <c r="R3470" s="1"/>
      <c r="S3470" s="1" t="str">
        <f>"J-UN-2021-1510"</f>
        <v>J-UN-2021-1510</v>
      </c>
      <c r="T3470" s="1" t="s">
        <v>32</v>
      </c>
    </row>
    <row r="3471" spans="1:20" ht="51" x14ac:dyDescent="0.25">
      <c r="A3471" s="6">
        <v>3465</v>
      </c>
      <c r="B3471" s="1" t="str">
        <f>"2021-101"</f>
        <v>2021-101</v>
      </c>
      <c r="C3471" s="1" t="s">
        <v>2859</v>
      </c>
      <c r="D3471" s="1" t="s">
        <v>2860</v>
      </c>
      <c r="E3471" s="1" t="str">
        <f>""</f>
        <v/>
      </c>
      <c r="F3471" s="1" t="s">
        <v>1860</v>
      </c>
      <c r="G3471" s="1" t="str">
        <f>CONCATENATE(" BASIC MODEL D.O.O.,"," TRAVANJSKA 19,"," 10000 ZAGREB,"," OIB: 64150104602")</f>
        <v xml:space="preserve"> BASIC MODEL D.O.O., TRAVANJSKA 19, 10000 ZAGREB, OIB: 64150104602</v>
      </c>
      <c r="H3471" s="7"/>
      <c r="I3471" s="8" t="s">
        <v>2300</v>
      </c>
      <c r="J3471" s="8" t="s">
        <v>1159</v>
      </c>
      <c r="K3471" s="6" t="str">
        <f>"13.370,00"</f>
        <v>13.370,00</v>
      </c>
      <c r="L3471" s="6" t="str">
        <f>"3.342,50"</f>
        <v>3.342,50</v>
      </c>
      <c r="M3471" s="6" t="str">
        <f>"16.712,50"</f>
        <v>16.712,50</v>
      </c>
      <c r="N3471" s="8" t="s">
        <v>2934</v>
      </c>
      <c r="O3471" s="7"/>
      <c r="P3471" s="2" t="s">
        <v>7650</v>
      </c>
      <c r="Q3471" s="7"/>
      <c r="R3471" s="1"/>
      <c r="S3471" s="1" t="str">
        <f>"J-UN-2021-1511"</f>
        <v>J-UN-2021-1511</v>
      </c>
      <c r="T3471" s="1" t="s">
        <v>32</v>
      </c>
    </row>
    <row r="3472" spans="1:20" ht="51" x14ac:dyDescent="0.25">
      <c r="A3472" s="6">
        <v>3466</v>
      </c>
      <c r="B3472" s="1" t="str">
        <f>"2021-1004"</f>
        <v>2021-1004</v>
      </c>
      <c r="C3472" s="1" t="s">
        <v>2715</v>
      </c>
      <c r="D3472" s="1" t="s">
        <v>2716</v>
      </c>
      <c r="E3472" s="1" t="str">
        <f>""</f>
        <v/>
      </c>
      <c r="F3472" s="1" t="s">
        <v>1860</v>
      </c>
      <c r="G3472" s="1" t="str">
        <f>CONCATENATE(" LAGER BAŠIĆ D.O.O.,"," TRGOVAČKA 3,"," 10255 DONJI STUPNIK,"," OIB: 49617677906")</f>
        <v xml:space="preserve"> LAGER BAŠIĆ D.O.O., TRGOVAČKA 3, 10255 DONJI STUPNIK, OIB: 49617677906</v>
      </c>
      <c r="H3472" s="7"/>
      <c r="I3472" s="8" t="s">
        <v>1350</v>
      </c>
      <c r="J3472" s="8" t="s">
        <v>947</v>
      </c>
      <c r="K3472" s="6" t="str">
        <f>"1.789,00"</f>
        <v>1.789,00</v>
      </c>
      <c r="L3472" s="6" t="str">
        <f>"447,25"</f>
        <v>447,25</v>
      </c>
      <c r="M3472" s="6" t="str">
        <f>"2.236,25"</f>
        <v>2.236,25</v>
      </c>
      <c r="N3472" s="8" t="s">
        <v>752</v>
      </c>
      <c r="O3472" s="7"/>
      <c r="P3472" s="2" t="s">
        <v>6555</v>
      </c>
      <c r="Q3472" s="7"/>
      <c r="R3472" s="1"/>
      <c r="S3472" s="1" t="str">
        <f>"J-UN-2021-1512"</f>
        <v>J-UN-2021-1512</v>
      </c>
      <c r="T3472" s="1" t="s">
        <v>32</v>
      </c>
    </row>
    <row r="3473" spans="1:20" ht="51" x14ac:dyDescent="0.25">
      <c r="A3473" s="6">
        <v>3467</v>
      </c>
      <c r="B3473" s="1" t="str">
        <f>"2021-341"</f>
        <v>2021-341</v>
      </c>
      <c r="C3473" s="1" t="s">
        <v>2695</v>
      </c>
      <c r="D3473" s="1" t="s">
        <v>2502</v>
      </c>
      <c r="E3473" s="1" t="str">
        <f>""</f>
        <v/>
      </c>
      <c r="F3473" s="1" t="s">
        <v>1860</v>
      </c>
      <c r="G3473" s="1" t="str">
        <f>CONCATENATE(" VODOSKOK D.D.,"," ČULINEČKA CESTA 221/C,"," 10040 ZAGREB,"," OIB: 34134218058")</f>
        <v xml:space="preserve"> VODOSKOK D.D., ČULINEČKA CESTA 221/C, 10040 ZAGREB, OIB: 34134218058</v>
      </c>
      <c r="H3473" s="7"/>
      <c r="I3473" s="8" t="s">
        <v>2300</v>
      </c>
      <c r="J3473" s="8" t="s">
        <v>1159</v>
      </c>
      <c r="K3473" s="6" t="str">
        <f>"1.860,00"</f>
        <v>1.860,00</v>
      </c>
      <c r="L3473" s="6" t="str">
        <f>"465,00"</f>
        <v>465,00</v>
      </c>
      <c r="M3473" s="6" t="str">
        <f>"2.325,00"</f>
        <v>2.325,00</v>
      </c>
      <c r="N3473" s="8" t="s">
        <v>634</v>
      </c>
      <c r="O3473" s="7"/>
      <c r="P3473" s="2" t="s">
        <v>7651</v>
      </c>
      <c r="Q3473" s="7"/>
      <c r="R3473" s="1"/>
      <c r="S3473" s="1" t="str">
        <f>"J-UN-2021-1514"</f>
        <v>J-UN-2021-1514</v>
      </c>
      <c r="T3473" s="1" t="s">
        <v>32</v>
      </c>
    </row>
    <row r="3474" spans="1:20" ht="51" x14ac:dyDescent="0.25">
      <c r="A3474" s="6">
        <v>3468</v>
      </c>
      <c r="B3474" s="1" t="str">
        <f>"2021-946"</f>
        <v>2021-946</v>
      </c>
      <c r="C3474" s="1" t="s">
        <v>2711</v>
      </c>
      <c r="D3474" s="1" t="s">
        <v>1914</v>
      </c>
      <c r="E3474" s="1" t="str">
        <f>""</f>
        <v/>
      </c>
      <c r="F3474" s="1" t="s">
        <v>1860</v>
      </c>
      <c r="G3474" s="1" t="str">
        <f>CONCATENATE(" DUPIN S.L. D.O.O.,"," ŠESTAVINA BB,"," 51551 VELI LOŠINJ,"," OIB: 18466715353")</f>
        <v xml:space="preserve"> DUPIN S.L. D.O.O., ŠESTAVINA BB, 51551 VELI LOŠINJ, OIB: 18466715353</v>
      </c>
      <c r="H3474" s="7"/>
      <c r="I3474" s="8" t="s">
        <v>1350</v>
      </c>
      <c r="J3474" s="8" t="s">
        <v>947</v>
      </c>
      <c r="K3474" s="6" t="str">
        <f>"2.074,22"</f>
        <v>2.074,22</v>
      </c>
      <c r="L3474" s="6" t="str">
        <f>"518,56"</f>
        <v>518,56</v>
      </c>
      <c r="M3474" s="6" t="str">
        <f>"2.592,78"</f>
        <v>2.592,78</v>
      </c>
      <c r="N3474" s="8" t="s">
        <v>1118</v>
      </c>
      <c r="O3474" s="7"/>
      <c r="P3474" s="2" t="s">
        <v>7652</v>
      </c>
      <c r="Q3474" s="7"/>
      <c r="R3474" s="1"/>
      <c r="S3474" s="1" t="str">
        <f>"J-UN-2021-1515"</f>
        <v>J-UN-2021-1515</v>
      </c>
      <c r="T3474" s="1" t="s">
        <v>32</v>
      </c>
    </row>
    <row r="3475" spans="1:20" ht="51" x14ac:dyDescent="0.25">
      <c r="A3475" s="6">
        <v>3469</v>
      </c>
      <c r="B3475" s="1" t="str">
        <f>"2021-981"</f>
        <v>2021-981</v>
      </c>
      <c r="C3475" s="1" t="s">
        <v>2615</v>
      </c>
      <c r="D3475" s="1" t="s">
        <v>999</v>
      </c>
      <c r="E3475" s="1" t="str">
        <f>""</f>
        <v/>
      </c>
      <c r="F3475" s="1" t="s">
        <v>1860</v>
      </c>
      <c r="G3475" s="1" t="str">
        <f>CONCATENATE(" ARBORI CULTURA D.O.O.,"," POKUPSKO 86,"," 10414 POKUPSKO,"," OIB: 16690651659")</f>
        <v xml:space="preserve"> ARBORI CULTURA D.O.O., POKUPSKO 86, 10414 POKUPSKO, OIB: 16690651659</v>
      </c>
      <c r="H3475" s="7"/>
      <c r="I3475" s="8" t="s">
        <v>2300</v>
      </c>
      <c r="J3475" s="8" t="s">
        <v>1159</v>
      </c>
      <c r="K3475" s="6" t="str">
        <f>"840,00"</f>
        <v>840,00</v>
      </c>
      <c r="L3475" s="6" t="str">
        <f>"210,00"</f>
        <v>210,00</v>
      </c>
      <c r="M3475" s="6" t="str">
        <f>"1.050,00"</f>
        <v>1.050,00</v>
      </c>
      <c r="N3475" s="8" t="s">
        <v>634</v>
      </c>
      <c r="O3475" s="7"/>
      <c r="P3475" s="2" t="s">
        <v>6581</v>
      </c>
      <c r="Q3475" s="7"/>
      <c r="R3475" s="1"/>
      <c r="S3475" s="1" t="str">
        <f>"J-UN-2021-1516"</f>
        <v>J-UN-2021-1516</v>
      </c>
      <c r="T3475" s="1" t="s">
        <v>32</v>
      </c>
    </row>
    <row r="3476" spans="1:20" ht="63.75" x14ac:dyDescent="0.25">
      <c r="A3476" s="6">
        <v>3470</v>
      </c>
      <c r="B3476" s="1" t="str">
        <f>"2021-1227"</f>
        <v>2021-1227</v>
      </c>
      <c r="C3476" s="1" t="s">
        <v>266</v>
      </c>
      <c r="D3476" s="1" t="s">
        <v>267</v>
      </c>
      <c r="E3476" s="1" t="str">
        <f>""</f>
        <v/>
      </c>
      <c r="F3476" s="1" t="s">
        <v>1860</v>
      </c>
      <c r="G3476" s="1" t="str">
        <f>CONCATENATE(" TK ELEVATOR EASTERN EUROPE GMBH,"," FALLEROVO ŠETALIŠTE 22,"," 10000 ZAGREB,"," OIB: 94505281348")</f>
        <v xml:space="preserve"> TK ELEVATOR EASTERN EUROPE GMBH, FALLEROVO ŠETALIŠTE 22, 10000 ZAGREB, OIB: 94505281348</v>
      </c>
      <c r="H3476" s="7"/>
      <c r="I3476" s="8" t="s">
        <v>1504</v>
      </c>
      <c r="J3476" s="8" t="s">
        <v>964</v>
      </c>
      <c r="K3476" s="6" t="str">
        <f>"7.505,00"</f>
        <v>7.505,00</v>
      </c>
      <c r="L3476" s="6" t="str">
        <f>"1.876,25"</f>
        <v>1.876,25</v>
      </c>
      <c r="M3476" s="6" t="str">
        <f>"9.381,25"</f>
        <v>9.381,25</v>
      </c>
      <c r="N3476" s="8" t="s">
        <v>335</v>
      </c>
      <c r="O3476" s="7"/>
      <c r="P3476" s="2" t="s">
        <v>7653</v>
      </c>
      <c r="Q3476" s="1" t="s">
        <v>727</v>
      </c>
      <c r="R3476" s="1"/>
      <c r="S3476" s="1" t="str">
        <f>"J-UN-2021-1517"</f>
        <v>J-UN-2021-1517</v>
      </c>
      <c r="T3476" s="1" t="s">
        <v>32</v>
      </c>
    </row>
    <row r="3477" spans="1:20" ht="51" x14ac:dyDescent="0.25">
      <c r="A3477" s="6">
        <v>3471</v>
      </c>
      <c r="B3477" s="1" t="str">
        <f>"2021-940"</f>
        <v>2021-940</v>
      </c>
      <c r="C3477" s="1" t="s">
        <v>2707</v>
      </c>
      <c r="D3477" s="1" t="s">
        <v>2708</v>
      </c>
      <c r="E3477" s="1" t="str">
        <f>""</f>
        <v/>
      </c>
      <c r="F3477" s="1" t="s">
        <v>1860</v>
      </c>
      <c r="G3477" s="1" t="str">
        <f>CONCATENATE(" TED D.O.O.,"," VRHOVČEV VIJENAC 84,"," 10000 ZAGREB,"," OIB: 22740118957")</f>
        <v xml:space="preserve"> TED D.O.O., VRHOVČEV VIJENAC 84, 10000 ZAGREB, OIB: 22740118957</v>
      </c>
      <c r="H3477" s="7"/>
      <c r="I3477" s="8" t="s">
        <v>2300</v>
      </c>
      <c r="J3477" s="8" t="s">
        <v>1159</v>
      </c>
      <c r="K3477" s="6" t="str">
        <f>"1.826,00"</f>
        <v>1.826,00</v>
      </c>
      <c r="L3477" s="6" t="str">
        <f>"456,50"</f>
        <v>456,50</v>
      </c>
      <c r="M3477" s="6" t="str">
        <f>"2.282,50"</f>
        <v>2.282,50</v>
      </c>
      <c r="N3477" s="8" t="s">
        <v>225</v>
      </c>
      <c r="O3477" s="7"/>
      <c r="P3477" s="2" t="s">
        <v>7654</v>
      </c>
      <c r="Q3477" s="7"/>
      <c r="R3477" s="1"/>
      <c r="S3477" s="1" t="str">
        <f>"J-UN-2021-1519"</f>
        <v>J-UN-2021-1519</v>
      </c>
      <c r="T3477" s="1" t="s">
        <v>32</v>
      </c>
    </row>
    <row r="3478" spans="1:20" ht="76.5" x14ac:dyDescent="0.25">
      <c r="A3478" s="6">
        <v>3472</v>
      </c>
      <c r="B3478" s="1" t="str">
        <f>"2021-1506"</f>
        <v>2021-1506</v>
      </c>
      <c r="C3478" s="1" t="s">
        <v>1041</v>
      </c>
      <c r="D3478" s="1" t="s">
        <v>515</v>
      </c>
      <c r="E3478" s="1" t="str">
        <f>""</f>
        <v/>
      </c>
      <c r="F3478" s="1" t="s">
        <v>1860</v>
      </c>
      <c r="G3478" s="1" t="str">
        <f>CONCATENATE(" NASTAVNI ZAVOD ZA JAVNO ZDRAVSTVO DR. ANDRIJA ŠTAMPAR,"," MIROGOJSKA CESTA 16,"," 10000 ZAGREB,"," OIB: 3339200596")</f>
        <v xml:space="preserve"> NASTAVNI ZAVOD ZA JAVNO ZDRAVSTVO DR. ANDRIJA ŠTAMPAR, MIROGOJSKA CESTA 16, 10000 ZAGREB, OIB: 3339200596</v>
      </c>
      <c r="H3478" s="7"/>
      <c r="I3478" s="8" t="s">
        <v>2300</v>
      </c>
      <c r="J3478" s="8" t="s">
        <v>1159</v>
      </c>
      <c r="K3478" s="6" t="str">
        <f>"516,50"</f>
        <v>516,50</v>
      </c>
      <c r="L3478" s="6" t="str">
        <f>"129,13"</f>
        <v>129,13</v>
      </c>
      <c r="M3478" s="6" t="str">
        <f>"645,63"</f>
        <v>645,63</v>
      </c>
      <c r="N3478" s="8" t="s">
        <v>2770</v>
      </c>
      <c r="O3478" s="7"/>
      <c r="P3478" s="2" t="s">
        <v>7259</v>
      </c>
      <c r="Q3478" s="7"/>
      <c r="R3478" s="1"/>
      <c r="S3478" s="1" t="str">
        <f>"J-UN-2021-1520"</f>
        <v>J-UN-2021-1520</v>
      </c>
      <c r="T3478" s="1" t="s">
        <v>32</v>
      </c>
    </row>
    <row r="3479" spans="1:20" ht="63.75" x14ac:dyDescent="0.25">
      <c r="A3479" s="6">
        <v>3473</v>
      </c>
      <c r="B3479" s="1" t="str">
        <f>"2021-1791"</f>
        <v>2021-1791</v>
      </c>
      <c r="C3479" s="1" t="s">
        <v>2558</v>
      </c>
      <c r="D3479" s="1" t="s">
        <v>860</v>
      </c>
      <c r="E3479" s="1" t="str">
        <f>""</f>
        <v/>
      </c>
      <c r="F3479" s="1" t="s">
        <v>1860</v>
      </c>
      <c r="G3479" s="1" t="str">
        <f>CONCATENATE(" GUMIIMPEX - GRP D.O.O.,"," PAVLEKA MIŠKINE 64C,"," 42000 VARAŽDIN,"," OIB: 8229856262")</f>
        <v xml:space="preserve"> GUMIIMPEX - GRP D.O.O., PAVLEKA MIŠKINE 64C, 42000 VARAŽDIN, OIB: 8229856262</v>
      </c>
      <c r="H3479" s="7"/>
      <c r="I3479" s="8" t="s">
        <v>1504</v>
      </c>
      <c r="J3479" s="8" t="s">
        <v>964</v>
      </c>
      <c r="K3479" s="6" t="str">
        <f>"1.392,40"</f>
        <v>1.392,40</v>
      </c>
      <c r="L3479" s="6" t="str">
        <f>"348,10"</f>
        <v>348,10</v>
      </c>
      <c r="M3479" s="6" t="str">
        <f>"1.740,50"</f>
        <v>1.740,50</v>
      </c>
      <c r="N3479" s="8" t="s">
        <v>255</v>
      </c>
      <c r="O3479" s="7"/>
      <c r="P3479" s="2" t="s">
        <v>7655</v>
      </c>
      <c r="Q3479" s="7"/>
      <c r="R3479" s="1"/>
      <c r="S3479" s="1" t="str">
        <f>"J-UN-2021-1521"</f>
        <v>J-UN-2021-1521</v>
      </c>
      <c r="T3479" s="1" t="s">
        <v>32</v>
      </c>
    </row>
    <row r="3480" spans="1:20" ht="51" x14ac:dyDescent="0.25">
      <c r="A3480" s="6">
        <v>3474</v>
      </c>
      <c r="B3480" s="1" t="str">
        <f>"2021-153"</f>
        <v>2021-153</v>
      </c>
      <c r="C3480" s="1" t="s">
        <v>2885</v>
      </c>
      <c r="D3480" s="1" t="s">
        <v>2886</v>
      </c>
      <c r="E3480" s="1" t="str">
        <f>""</f>
        <v/>
      </c>
      <c r="F3480" s="1" t="s">
        <v>1860</v>
      </c>
      <c r="G3480" s="1" t="str">
        <f>CONCATENATE(" TED D.O.O.,"," VRHOVČEV VIJENAC 84,"," 10000 ZAGREB,"," OIB: 22740118957")</f>
        <v xml:space="preserve"> TED D.O.O., VRHOVČEV VIJENAC 84, 10000 ZAGREB, OIB: 22740118957</v>
      </c>
      <c r="H3480" s="7"/>
      <c r="I3480" s="8" t="s">
        <v>2300</v>
      </c>
      <c r="J3480" s="8" t="s">
        <v>1159</v>
      </c>
      <c r="K3480" s="6" t="str">
        <f>"8.610,00"</f>
        <v>8.610,00</v>
      </c>
      <c r="L3480" s="6" t="str">
        <f>"2.152,50"</f>
        <v>2.152,50</v>
      </c>
      <c r="M3480" s="6" t="str">
        <f>"10.762,50"</f>
        <v>10.762,50</v>
      </c>
      <c r="N3480" s="8" t="s">
        <v>225</v>
      </c>
      <c r="O3480" s="7"/>
      <c r="P3480" s="2" t="s">
        <v>7656</v>
      </c>
      <c r="Q3480" s="7"/>
      <c r="R3480" s="1"/>
      <c r="S3480" s="1" t="str">
        <f>"J-UN-2021-1523"</f>
        <v>J-UN-2021-1523</v>
      </c>
      <c r="T3480" s="1" t="s">
        <v>32</v>
      </c>
    </row>
    <row r="3481" spans="1:20" ht="63.75" x14ac:dyDescent="0.25">
      <c r="A3481" s="6">
        <v>3475</v>
      </c>
      <c r="B3481" s="1" t="str">
        <f>"2021-72"</f>
        <v>2021-72</v>
      </c>
      <c r="C3481" s="1" t="s">
        <v>2534</v>
      </c>
      <c r="D3481" s="1" t="s">
        <v>2535</v>
      </c>
      <c r="E3481" s="1" t="str">
        <f>""</f>
        <v/>
      </c>
      <c r="F3481" s="1" t="s">
        <v>1860</v>
      </c>
      <c r="G3481" s="1" t="str">
        <f>CONCATENATE(" JULIUS MEINL BONFANTI D.O.O.,"," LJUBLJANSKA ULICA 4,"," 10431 SVETA NEDELJA,"," OIB: 39546130894")</f>
        <v xml:space="preserve"> JULIUS MEINL BONFANTI D.O.O., LJUBLJANSKA ULICA 4, 10431 SVETA NEDELJA, OIB: 39546130894</v>
      </c>
      <c r="H3481" s="7"/>
      <c r="I3481" s="8" t="s">
        <v>2300</v>
      </c>
      <c r="J3481" s="8" t="s">
        <v>1159</v>
      </c>
      <c r="K3481" s="6" t="str">
        <f>"6.761,00"</f>
        <v>6.761,00</v>
      </c>
      <c r="L3481" s="6" t="str">
        <f>"1.690,25"</f>
        <v>1.690,25</v>
      </c>
      <c r="M3481" s="6" t="str">
        <f>"8.451,25"</f>
        <v>8.451,25</v>
      </c>
      <c r="N3481" s="8" t="s">
        <v>1067</v>
      </c>
      <c r="O3481" s="7"/>
      <c r="P3481" s="2" t="s">
        <v>7657</v>
      </c>
      <c r="Q3481" s="7"/>
      <c r="R3481" s="1"/>
      <c r="S3481" s="1" t="str">
        <f>"J-UN-2021-1524"</f>
        <v>J-UN-2021-1524</v>
      </c>
      <c r="T3481" s="1" t="s">
        <v>32</v>
      </c>
    </row>
    <row r="3482" spans="1:20" ht="63.75" x14ac:dyDescent="0.25">
      <c r="A3482" s="6">
        <v>3476</v>
      </c>
      <c r="B3482" s="1" t="str">
        <f>"2021-491"</f>
        <v>2021-491</v>
      </c>
      <c r="C3482" s="1" t="s">
        <v>2788</v>
      </c>
      <c r="D3482" s="1" t="s">
        <v>2789</v>
      </c>
      <c r="E3482" s="1" t="str">
        <f>""</f>
        <v/>
      </c>
      <c r="F3482" s="1" t="s">
        <v>1860</v>
      </c>
      <c r="G3482" s="1" t="str">
        <f>CONCATENATE(" ELEKTRO-KOMUNIKACIJE D.O.O.,"," 14. PODBREŽJE 4,"," 10000 ZAGREB,"," OIB: 76412373309")</f>
        <v xml:space="preserve"> ELEKTRO-KOMUNIKACIJE D.O.O., 14. PODBREŽJE 4, 10000 ZAGREB, OIB: 76412373309</v>
      </c>
      <c r="H3482" s="7"/>
      <c r="I3482" s="8" t="s">
        <v>2300</v>
      </c>
      <c r="J3482" s="8" t="s">
        <v>1159</v>
      </c>
      <c r="K3482" s="6" t="str">
        <f>"4.835,00"</f>
        <v>4.835,00</v>
      </c>
      <c r="L3482" s="6" t="str">
        <f>"1.208,75"</f>
        <v>1.208,75</v>
      </c>
      <c r="M3482" s="6" t="str">
        <f>"6.043,75"</f>
        <v>6.043,75</v>
      </c>
      <c r="N3482" s="8" t="s">
        <v>183</v>
      </c>
      <c r="O3482" s="7"/>
      <c r="P3482" s="2" t="s">
        <v>7658</v>
      </c>
      <c r="Q3482" s="7"/>
      <c r="R3482" s="1"/>
      <c r="S3482" s="1" t="str">
        <f>"J-UN-2021-1527"</f>
        <v>J-UN-2021-1527</v>
      </c>
      <c r="T3482" s="1" t="s">
        <v>32</v>
      </c>
    </row>
    <row r="3483" spans="1:20" ht="63.75" x14ac:dyDescent="0.25">
      <c r="A3483" s="6">
        <v>3477</v>
      </c>
      <c r="B3483" s="1" t="str">
        <f>"2021-425"</f>
        <v>2021-425</v>
      </c>
      <c r="C3483" s="1" t="s">
        <v>2829</v>
      </c>
      <c r="D3483" s="1" t="s">
        <v>2830</v>
      </c>
      <c r="E3483" s="1" t="str">
        <f>""</f>
        <v/>
      </c>
      <c r="F3483" s="1" t="s">
        <v>1860</v>
      </c>
      <c r="G3483" s="1" t="str">
        <f>CONCATENATE(" HIDROMEHANIKA D.O.O.,"," SLAVONSKA AVENIJA 26/10,"," 10000 ZAGREB,"," OIB: 9178029895")</f>
        <v xml:space="preserve"> HIDROMEHANIKA D.O.O., SLAVONSKA AVENIJA 26/10, 10000 ZAGREB, OIB: 9178029895</v>
      </c>
      <c r="H3483" s="7"/>
      <c r="I3483" s="8" t="s">
        <v>1504</v>
      </c>
      <c r="J3483" s="8" t="s">
        <v>964</v>
      </c>
      <c r="K3483" s="6" t="str">
        <f>"7.054,20"</f>
        <v>7.054,20</v>
      </c>
      <c r="L3483" s="6" t="str">
        <f>"1.763,55"</f>
        <v>1.763,55</v>
      </c>
      <c r="M3483" s="6" t="str">
        <f>"8.817,75"</f>
        <v>8.817,75</v>
      </c>
      <c r="N3483" s="8" t="s">
        <v>1029</v>
      </c>
      <c r="O3483" s="7"/>
      <c r="P3483" s="2" t="s">
        <v>7659</v>
      </c>
      <c r="Q3483" s="7"/>
      <c r="R3483" s="1"/>
      <c r="S3483" s="1" t="str">
        <f>"J-UN-2021-1529"</f>
        <v>J-UN-2021-1529</v>
      </c>
      <c r="T3483" s="1" t="s">
        <v>32</v>
      </c>
    </row>
    <row r="3484" spans="1:20" ht="63.75" x14ac:dyDescent="0.25">
      <c r="A3484" s="6">
        <v>3478</v>
      </c>
      <c r="B3484" s="1" t="str">
        <f>"2021-203"</f>
        <v>2021-203</v>
      </c>
      <c r="C3484" s="1" t="s">
        <v>2302</v>
      </c>
      <c r="D3484" s="1" t="s">
        <v>689</v>
      </c>
      <c r="E3484" s="1" t="str">
        <f>""</f>
        <v/>
      </c>
      <c r="F3484" s="1" t="s">
        <v>1860</v>
      </c>
      <c r="G3484" s="1" t="str">
        <f>CONCATENATE(" NIKOM REKLAM D.O.O.,"," MATIJE DIVKOVIĆA 4,"," 10000 ZAGREB,"," OIB: 4717861472")</f>
        <v xml:space="preserve"> NIKOM REKLAM D.O.O., MATIJE DIVKOVIĆA 4, 10000 ZAGREB, OIB: 4717861472</v>
      </c>
      <c r="H3484" s="7"/>
      <c r="I3484" s="8" t="s">
        <v>904</v>
      </c>
      <c r="J3484" s="8" t="s">
        <v>1087</v>
      </c>
      <c r="K3484" s="6" t="str">
        <f>"7.175,00"</f>
        <v>7.175,00</v>
      </c>
      <c r="L3484" s="6" t="str">
        <f>"1.793,75"</f>
        <v>1.793,75</v>
      </c>
      <c r="M3484" s="6" t="str">
        <f>"8.968,75"</f>
        <v>8.968,75</v>
      </c>
      <c r="N3484" s="8" t="s">
        <v>190</v>
      </c>
      <c r="O3484" s="7"/>
      <c r="P3484" s="2" t="s">
        <v>7660</v>
      </c>
      <c r="Q3484" s="7"/>
      <c r="R3484" s="1"/>
      <c r="S3484" s="1" t="str">
        <f>"J-UN-2021-1531"</f>
        <v>J-UN-2021-1531</v>
      </c>
      <c r="T3484" s="1" t="s">
        <v>32</v>
      </c>
    </row>
    <row r="3485" spans="1:20" ht="51" x14ac:dyDescent="0.25">
      <c r="A3485" s="6">
        <v>3479</v>
      </c>
      <c r="B3485" s="1" t="str">
        <f>"2021-277"</f>
        <v>2021-277</v>
      </c>
      <c r="C3485" s="1" t="s">
        <v>2948</v>
      </c>
      <c r="D3485" s="1" t="s">
        <v>2949</v>
      </c>
      <c r="E3485" s="1" t="str">
        <f>""</f>
        <v/>
      </c>
      <c r="F3485" s="1" t="s">
        <v>1860</v>
      </c>
      <c r="G3485" s="1" t="str">
        <f>CONCATENATE(" VODOSKOK D.D.,"," ČULINEČKA CESTA 221/C,"," 10040 ZAGREB,"," OIB: 34134218058")</f>
        <v xml:space="preserve"> VODOSKOK D.D., ČULINEČKA CESTA 221/C, 10040 ZAGREB, OIB: 34134218058</v>
      </c>
      <c r="H3485" s="7"/>
      <c r="I3485" s="8" t="s">
        <v>2300</v>
      </c>
      <c r="J3485" s="8" t="s">
        <v>1159</v>
      </c>
      <c r="K3485" s="6" t="str">
        <f>"19.609,00"</f>
        <v>19.609,00</v>
      </c>
      <c r="L3485" s="6" t="str">
        <f>"4.902,25"</f>
        <v>4.902,25</v>
      </c>
      <c r="M3485" s="6" t="str">
        <f>"24.511,25"</f>
        <v>24.511,25</v>
      </c>
      <c r="N3485" s="8" t="s">
        <v>206</v>
      </c>
      <c r="O3485" s="7"/>
      <c r="P3485" s="2" t="s">
        <v>7661</v>
      </c>
      <c r="Q3485" s="7"/>
      <c r="R3485" s="1"/>
      <c r="S3485" s="1" t="str">
        <f>"J-UN-2021-1535"</f>
        <v>J-UN-2021-1535</v>
      </c>
      <c r="T3485" s="1" t="s">
        <v>32</v>
      </c>
    </row>
    <row r="3486" spans="1:20" ht="127.5" x14ac:dyDescent="0.25">
      <c r="A3486" s="6">
        <v>3480</v>
      </c>
      <c r="B3486" s="1" t="str">
        <f>"2021-2252"</f>
        <v>2021-2252</v>
      </c>
      <c r="C3486" s="1" t="s">
        <v>2950</v>
      </c>
      <c r="D3486" s="1" t="s">
        <v>2951</v>
      </c>
      <c r="E3486" s="1" t="str">
        <f>""</f>
        <v/>
      </c>
      <c r="F3486" s="1" t="s">
        <v>1860</v>
      </c>
      <c r="G3486" s="1"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3486" s="7"/>
      <c r="I3486" s="8" t="s">
        <v>2300</v>
      </c>
      <c r="J3486" s="8" t="s">
        <v>1159</v>
      </c>
      <c r="K3486" s="6" t="str">
        <f>"35.200,00"</f>
        <v>35.200,00</v>
      </c>
      <c r="L3486" s="6" t="str">
        <f>"8.800,00"</f>
        <v>8.800,00</v>
      </c>
      <c r="M3486" s="6" t="str">
        <f>"44.000,00"</f>
        <v>44.000,00</v>
      </c>
      <c r="N3486" s="8" t="s">
        <v>640</v>
      </c>
      <c r="O3486" s="7"/>
      <c r="P3486" s="2" t="s">
        <v>7662</v>
      </c>
      <c r="Q3486" s="7"/>
      <c r="R3486" s="1"/>
      <c r="S3486" s="1" t="str">
        <f>"J-UN-2021-1536"</f>
        <v>J-UN-2021-1536</v>
      </c>
      <c r="T3486" s="1" t="s">
        <v>32</v>
      </c>
    </row>
    <row r="3487" spans="1:20" ht="51" x14ac:dyDescent="0.25">
      <c r="A3487" s="6">
        <v>3481</v>
      </c>
      <c r="B3487" s="1" t="str">
        <f>"2021-45"</f>
        <v>2021-45</v>
      </c>
      <c r="C3487" s="1" t="s">
        <v>2952</v>
      </c>
      <c r="D3487" s="1" t="s">
        <v>2953</v>
      </c>
      <c r="E3487" s="1" t="str">
        <f>""</f>
        <v/>
      </c>
      <c r="F3487" s="1" t="s">
        <v>1860</v>
      </c>
      <c r="G3487" s="1" t="str">
        <f>CONCATENATE(" ARBORI CULTURA D.O.O.,"," POKUPSKO 86,"," 10414 POKUPSKO,"," OIB: 16690651659")</f>
        <v xml:space="preserve"> ARBORI CULTURA D.O.O., POKUPSKO 86, 10414 POKUPSKO, OIB: 16690651659</v>
      </c>
      <c r="H3487" s="7"/>
      <c r="I3487" s="8" t="s">
        <v>2297</v>
      </c>
      <c r="J3487" s="8" t="s">
        <v>1099</v>
      </c>
      <c r="K3487" s="6" t="str">
        <f>"89.900,00"</f>
        <v>89.900,00</v>
      </c>
      <c r="L3487" s="6" t="str">
        <f>"22.475,00"</f>
        <v>22.475,00</v>
      </c>
      <c r="M3487" s="6" t="str">
        <f>"112.375,00"</f>
        <v>112.375,00</v>
      </c>
      <c r="N3487" s="8" t="s">
        <v>213</v>
      </c>
      <c r="O3487" s="7"/>
      <c r="P3487" s="2" t="s">
        <v>7663</v>
      </c>
      <c r="Q3487" s="7"/>
      <c r="R3487" s="1"/>
      <c r="S3487" s="1" t="str">
        <f>"J-UN-2021-1539"</f>
        <v>J-UN-2021-1539</v>
      </c>
      <c r="T3487" s="1" t="s">
        <v>32</v>
      </c>
    </row>
    <row r="3488" spans="1:20" ht="76.5" x14ac:dyDescent="0.25">
      <c r="A3488" s="6">
        <v>3482</v>
      </c>
      <c r="B3488" s="1" t="str">
        <f>"2021-1015"</f>
        <v>2021-1015</v>
      </c>
      <c r="C3488" s="1" t="s">
        <v>2492</v>
      </c>
      <c r="D3488" s="1" t="s">
        <v>2493</v>
      </c>
      <c r="E3488" s="1" t="str">
        <f>""</f>
        <v/>
      </c>
      <c r="F3488" s="1" t="s">
        <v>1860</v>
      </c>
      <c r="G3488" s="1" t="str">
        <f>CONCATENATE(" AUTOELEKTRO - OBRT,"," VL. BORIS KAJFEŠ,"," SAMOBORSKA CESTA 308,"," 10090 ZAGREB-SUSEDGRAD,"," OIB: 14433749943")</f>
        <v xml:space="preserve"> AUTOELEKTRO - OBRT, VL. BORIS KAJFEŠ, SAMOBORSKA CESTA 308, 10090 ZAGREB-SUSEDGRAD, OIB: 14433749943</v>
      </c>
      <c r="H3488" s="7"/>
      <c r="I3488" s="8" t="s">
        <v>159</v>
      </c>
      <c r="J3488" s="8" t="s">
        <v>31</v>
      </c>
      <c r="K3488" s="6" t="str">
        <f>"729,16"</f>
        <v>729,16</v>
      </c>
      <c r="L3488" s="6" t="str">
        <f>"182,29"</f>
        <v>182,29</v>
      </c>
      <c r="M3488" s="6" t="str">
        <f>"911,45"</f>
        <v>911,45</v>
      </c>
      <c r="N3488" s="8" t="s">
        <v>746</v>
      </c>
      <c r="O3488" s="7"/>
      <c r="P3488" s="2" t="s">
        <v>7664</v>
      </c>
      <c r="Q3488" s="7"/>
      <c r="R3488" s="1"/>
      <c r="S3488" s="1" t="str">
        <f>"J-UN-2021-1540"</f>
        <v>J-UN-2021-1540</v>
      </c>
      <c r="T3488" s="1" t="s">
        <v>32</v>
      </c>
    </row>
    <row r="3489" spans="1:20" ht="76.5" x14ac:dyDescent="0.25">
      <c r="A3489" s="6">
        <v>3483</v>
      </c>
      <c r="B3489" s="1" t="str">
        <f>"2021-221"</f>
        <v>2021-221</v>
      </c>
      <c r="C3489" s="1" t="s">
        <v>2692</v>
      </c>
      <c r="D3489" s="1" t="s">
        <v>2693</v>
      </c>
      <c r="E3489" s="1" t="str">
        <f>""</f>
        <v/>
      </c>
      <c r="F3489" s="1" t="s">
        <v>1860</v>
      </c>
      <c r="G3489" s="1" t="str">
        <f>CONCATENATE(" SMIT-COMMERCE D.O.O.,"," GORNJOSTUPNIČKA 9B,"," 10255 GORNJI STUPNIK,"," OIB: 9524348214")</f>
        <v xml:space="preserve"> SMIT-COMMERCE D.O.O., GORNJOSTUPNIČKA 9B, 10255 GORNJI STUPNIK, OIB: 9524348214</v>
      </c>
      <c r="H3489" s="7"/>
      <c r="I3489" s="8" t="s">
        <v>2918</v>
      </c>
      <c r="J3489" s="8" t="s">
        <v>410</v>
      </c>
      <c r="K3489" s="6" t="str">
        <f>"1.536,00"</f>
        <v>1.536,00</v>
      </c>
      <c r="L3489" s="6" t="str">
        <f>"384,00"</f>
        <v>384,00</v>
      </c>
      <c r="M3489" s="6" t="str">
        <f>"1.920,00"</f>
        <v>1.920,00</v>
      </c>
      <c r="N3489" s="8" t="s">
        <v>707</v>
      </c>
      <c r="O3489" s="7"/>
      <c r="P3489" s="2" t="s">
        <v>7665</v>
      </c>
      <c r="Q3489" s="7"/>
      <c r="R3489" s="1"/>
      <c r="S3489" s="1" t="str">
        <f>"J-UN-2021-1542"</f>
        <v>J-UN-2021-1542</v>
      </c>
      <c r="T3489" s="1" t="s">
        <v>32</v>
      </c>
    </row>
    <row r="3490" spans="1:20" ht="51" x14ac:dyDescent="0.25">
      <c r="A3490" s="6">
        <v>3484</v>
      </c>
      <c r="B3490" s="1" t="str">
        <f>"2021-462"</f>
        <v>2021-462</v>
      </c>
      <c r="C3490" s="1" t="s">
        <v>2840</v>
      </c>
      <c r="D3490" s="1" t="s">
        <v>2601</v>
      </c>
      <c r="E3490" s="1" t="str">
        <f>""</f>
        <v/>
      </c>
      <c r="F3490" s="1" t="s">
        <v>1860</v>
      </c>
      <c r="G3490" s="1" t="str">
        <f>CONCATENATE(" REPRO-GRAV D.O.O.,"," BABUKIĆEVA 3/A,"," 10000 ZAGREB,"," OIB: 60256816339")</f>
        <v xml:space="preserve"> REPRO-GRAV D.O.O., BABUKIĆEVA 3/A, 10000 ZAGREB, OIB: 60256816339</v>
      </c>
      <c r="H3490" s="7"/>
      <c r="I3490" s="8" t="s">
        <v>159</v>
      </c>
      <c r="J3490" s="8" t="s">
        <v>31</v>
      </c>
      <c r="K3490" s="6" t="str">
        <f>"53.411,64"</f>
        <v>53.411,64</v>
      </c>
      <c r="L3490" s="6" t="str">
        <f>"13.352,91"</f>
        <v>13.352,91</v>
      </c>
      <c r="M3490" s="6" t="str">
        <f>"66.764,55"</f>
        <v>66.764,55</v>
      </c>
      <c r="N3490" s="8" t="s">
        <v>616</v>
      </c>
      <c r="O3490" s="7"/>
      <c r="P3490" s="2" t="s">
        <v>7666</v>
      </c>
      <c r="Q3490" s="7"/>
      <c r="R3490" s="1"/>
      <c r="S3490" s="1" t="str">
        <f>"J-UN-2021-1543"</f>
        <v>J-UN-2021-1543</v>
      </c>
      <c r="T3490" s="1" t="s">
        <v>32</v>
      </c>
    </row>
    <row r="3491" spans="1:20" ht="51" x14ac:dyDescent="0.25">
      <c r="A3491" s="6">
        <v>3485</v>
      </c>
      <c r="B3491" s="1" t="str">
        <f>"2021-1723"</f>
        <v>2021-1723</v>
      </c>
      <c r="C3491" s="1" t="s">
        <v>2912</v>
      </c>
      <c r="D3491" s="1" t="s">
        <v>2647</v>
      </c>
      <c r="E3491" s="1" t="str">
        <f>""</f>
        <v/>
      </c>
      <c r="F3491" s="1" t="s">
        <v>1860</v>
      </c>
      <c r="G3491" s="1" t="str">
        <f>CONCATENATE(" ZIRS UČILIŠTE,"," ULICA GRADA VUKOVARA 68,"," 10000 ZAGREB,"," OIB: 22228764473")</f>
        <v xml:space="preserve"> ZIRS UČILIŠTE, ULICA GRADA VUKOVARA 68, 10000 ZAGREB, OIB: 22228764473</v>
      </c>
      <c r="H3491" s="7"/>
      <c r="I3491" s="8" t="s">
        <v>2918</v>
      </c>
      <c r="J3491" s="8" t="s">
        <v>410</v>
      </c>
      <c r="K3491" s="6" t="str">
        <f>"2.300,00"</f>
        <v>2.300,00</v>
      </c>
      <c r="L3491" s="6" t="str">
        <f>"575,00"</f>
        <v>575,00</v>
      </c>
      <c r="M3491" s="6" t="str">
        <f>"2.875,00"</f>
        <v>2.875,00</v>
      </c>
      <c r="N3491" s="8" t="s">
        <v>421</v>
      </c>
      <c r="O3491" s="7"/>
      <c r="P3491" s="2" t="s">
        <v>6233</v>
      </c>
      <c r="Q3491" s="7"/>
      <c r="R3491" s="1"/>
      <c r="S3491" s="1" t="str">
        <f>"J-UN-2021-1544"</f>
        <v>J-UN-2021-1544</v>
      </c>
      <c r="T3491" s="1" t="s">
        <v>32</v>
      </c>
    </row>
    <row r="3492" spans="1:20" ht="63.75" x14ac:dyDescent="0.25">
      <c r="A3492" s="6">
        <v>3486</v>
      </c>
      <c r="B3492" s="1" t="str">
        <f>"2021-1101"</f>
        <v>2021-1101</v>
      </c>
      <c r="C3492" s="1" t="s">
        <v>2702</v>
      </c>
      <c r="D3492" s="1" t="s">
        <v>1209</v>
      </c>
      <c r="E3492" s="1" t="str">
        <f>""</f>
        <v/>
      </c>
      <c r="F3492" s="1" t="s">
        <v>1860</v>
      </c>
      <c r="G3492" s="1" t="str">
        <f>CONCATENATE(" DRÄGER SAFETY D.O.O.,"," AVENIJA VEĆESLAVA HOLJEVCA 40,"," 10010 ZAGREB,"," OIB: 32874587842")</f>
        <v xml:space="preserve"> DRÄGER SAFETY D.O.O., AVENIJA VEĆESLAVA HOLJEVCA 40, 10010 ZAGREB, OIB: 32874587842</v>
      </c>
      <c r="H3492" s="7"/>
      <c r="I3492" s="8" t="s">
        <v>190</v>
      </c>
      <c r="J3492" s="8" t="s">
        <v>58</v>
      </c>
      <c r="K3492" s="6" t="str">
        <f>"11.417,06"</f>
        <v>11.417,06</v>
      </c>
      <c r="L3492" s="6" t="str">
        <f>"2.854,27"</f>
        <v>2.854,27</v>
      </c>
      <c r="M3492" s="6" t="str">
        <f>"14.271,33"</f>
        <v>14.271,33</v>
      </c>
      <c r="N3492" s="8" t="s">
        <v>120</v>
      </c>
      <c r="O3492" s="7"/>
      <c r="P3492" s="2" t="s">
        <v>7667</v>
      </c>
      <c r="Q3492" s="7"/>
      <c r="R3492" s="1"/>
      <c r="S3492" s="1" t="str">
        <f>"J-UN-2021-1545"</f>
        <v>J-UN-2021-1545</v>
      </c>
      <c r="T3492" s="1" t="s">
        <v>32</v>
      </c>
    </row>
    <row r="3493" spans="1:20" ht="63.75" x14ac:dyDescent="0.25">
      <c r="A3493" s="6">
        <v>3487</v>
      </c>
      <c r="B3493" s="1" t="str">
        <f>"2021-45"</f>
        <v>2021-45</v>
      </c>
      <c r="C3493" s="1" t="s">
        <v>2952</v>
      </c>
      <c r="D3493" s="1" t="s">
        <v>2953</v>
      </c>
      <c r="E3493" s="1" t="str">
        <f>""</f>
        <v/>
      </c>
      <c r="F3493" s="1" t="s">
        <v>1860</v>
      </c>
      <c r="G3493" s="1" t="str">
        <f>CONCATENATE(" POLJOPRIVREDNIK VLADO CRLJENKOVIĆ,"," BANIĆEVA 44,"," 35404 CERNIK,"," OIB: 565136778")</f>
        <v xml:space="preserve"> POLJOPRIVREDNIK VLADO CRLJENKOVIĆ, BANIĆEVA 44, 35404 CERNIK, OIB: 565136778</v>
      </c>
      <c r="H3493" s="7"/>
      <c r="I3493" s="8" t="s">
        <v>2297</v>
      </c>
      <c r="J3493" s="8" t="s">
        <v>1099</v>
      </c>
      <c r="K3493" s="6" t="str">
        <f>"102.900,00"</f>
        <v>102.900,00</v>
      </c>
      <c r="L3493" s="6" t="str">
        <f>"25.725,00"</f>
        <v>25.725,00</v>
      </c>
      <c r="M3493" s="6" t="str">
        <f>"128.625,00"</f>
        <v>128.625,00</v>
      </c>
      <c r="N3493" s="8" t="s">
        <v>120</v>
      </c>
      <c r="O3493" s="7"/>
      <c r="P3493" s="2" t="s">
        <v>7668</v>
      </c>
      <c r="Q3493" s="7"/>
      <c r="R3493" s="1"/>
      <c r="S3493" s="1" t="str">
        <f>"J-UN-2021-1546"</f>
        <v>J-UN-2021-1546</v>
      </c>
      <c r="T3493" s="1" t="s">
        <v>32</v>
      </c>
    </row>
    <row r="3494" spans="1:20" ht="51" x14ac:dyDescent="0.25">
      <c r="A3494" s="6">
        <v>3488</v>
      </c>
      <c r="B3494" s="1" t="str">
        <f>"2021-1792"</f>
        <v>2021-1792</v>
      </c>
      <c r="C3494" s="1" t="s">
        <v>2756</v>
      </c>
      <c r="D3494" s="1" t="s">
        <v>860</v>
      </c>
      <c r="E3494" s="1" t="str">
        <f>""</f>
        <v/>
      </c>
      <c r="F3494" s="1" t="s">
        <v>1860</v>
      </c>
      <c r="G3494" s="1" t="str">
        <f>CONCATENATE(" AKZ-M D.O.O.,"," KOLODVORSKA 52,"," 10410 VELIKA GORICA,"," OIB: 91959812092")</f>
        <v xml:space="preserve"> AKZ-M D.O.O., KOLODVORSKA 52, 10410 VELIKA GORICA, OIB: 91959812092</v>
      </c>
      <c r="H3494" s="7"/>
      <c r="I3494" s="8" t="s">
        <v>2918</v>
      </c>
      <c r="J3494" s="8" t="s">
        <v>410</v>
      </c>
      <c r="K3494" s="6" t="str">
        <f>"15.740,00"</f>
        <v>15.740,00</v>
      </c>
      <c r="L3494" s="6" t="str">
        <f>"3.935,00"</f>
        <v>3.935,00</v>
      </c>
      <c r="M3494" s="6" t="str">
        <f>"19.675,00"</f>
        <v>19.675,00</v>
      </c>
      <c r="N3494" s="8" t="s">
        <v>168</v>
      </c>
      <c r="O3494" s="7"/>
      <c r="P3494" s="2" t="s">
        <v>7669</v>
      </c>
      <c r="Q3494" s="7"/>
      <c r="R3494" s="1"/>
      <c r="S3494" s="1" t="str">
        <f>"J-UN-2021-1548"</f>
        <v>J-UN-2021-1548</v>
      </c>
      <c r="T3494" s="1" t="s">
        <v>32</v>
      </c>
    </row>
    <row r="3495" spans="1:20" ht="51" x14ac:dyDescent="0.25">
      <c r="A3495" s="6">
        <v>3489</v>
      </c>
      <c r="B3495" s="1" t="str">
        <f>"2021-1199"</f>
        <v>2021-1199</v>
      </c>
      <c r="C3495" s="1" t="s">
        <v>2638</v>
      </c>
      <c r="D3495" s="1" t="s">
        <v>1458</v>
      </c>
      <c r="E3495" s="1" t="str">
        <f>""</f>
        <v/>
      </c>
      <c r="F3495" s="1" t="s">
        <v>1860</v>
      </c>
      <c r="G3495" s="1" t="str">
        <f>CONCATENATE(" TEPESCO D.O.O.,"," JASENA 11A,"," 10040 ZAGREB,"," OIB: 7691411318")</f>
        <v xml:space="preserve"> TEPESCO D.O.O., JASENA 11A, 10040 ZAGREB, OIB: 7691411318</v>
      </c>
      <c r="H3495" s="7"/>
      <c r="I3495" s="8" t="s">
        <v>190</v>
      </c>
      <c r="J3495" s="8" t="s">
        <v>58</v>
      </c>
      <c r="K3495" s="6" t="str">
        <f>"59.680,00"</f>
        <v>59.680,00</v>
      </c>
      <c r="L3495" s="6" t="str">
        <f>"14.920,00"</f>
        <v>14.920,00</v>
      </c>
      <c r="M3495" s="6" t="str">
        <f>"74.600,00"</f>
        <v>74.600,00</v>
      </c>
      <c r="N3495" s="8" t="s">
        <v>124</v>
      </c>
      <c r="O3495" s="7"/>
      <c r="P3495" s="2" t="s">
        <v>5614</v>
      </c>
      <c r="Q3495" s="7"/>
      <c r="R3495" s="1"/>
      <c r="S3495" s="1" t="str">
        <f>"J-UN-2021-1549"</f>
        <v>J-UN-2021-1549</v>
      </c>
      <c r="T3495" s="1" t="s">
        <v>32</v>
      </c>
    </row>
    <row r="3496" spans="1:20" ht="63.75" x14ac:dyDescent="0.25">
      <c r="A3496" s="6">
        <v>3490</v>
      </c>
      <c r="B3496" s="1" t="str">
        <f>"2021-1015"</f>
        <v>2021-1015</v>
      </c>
      <c r="C3496" s="1" t="s">
        <v>2492</v>
      </c>
      <c r="D3496" s="1" t="s">
        <v>2493</v>
      </c>
      <c r="E3496" s="1" t="str">
        <f>""</f>
        <v/>
      </c>
      <c r="F3496" s="1" t="s">
        <v>1860</v>
      </c>
      <c r="G3496" s="1" t="str">
        <f>CONCATENATE(" TOKIĆ D.O.O.,"," ULICA 144. BRIGADE HRVATSKE VOJSKE 1A,"," 10360 SESVETE,"," OIB: 7486748762")</f>
        <v xml:space="preserve"> TOKIĆ D.O.O., ULICA 144. BRIGADE HRVATSKE VOJSKE 1A, 10360 SESVETE, OIB: 7486748762</v>
      </c>
      <c r="H3496" s="7"/>
      <c r="I3496" s="8" t="s">
        <v>2918</v>
      </c>
      <c r="J3496" s="8" t="s">
        <v>410</v>
      </c>
      <c r="K3496" s="6" t="str">
        <f>"5.150,00"</f>
        <v>5.150,00</v>
      </c>
      <c r="L3496" s="6" t="str">
        <f>"1.287,50"</f>
        <v>1.287,50</v>
      </c>
      <c r="M3496" s="6" t="str">
        <f>"6.437,50"</f>
        <v>6.437,50</v>
      </c>
      <c r="N3496" s="8" t="s">
        <v>2921</v>
      </c>
      <c r="O3496" s="7"/>
      <c r="P3496" s="2" t="s">
        <v>7670</v>
      </c>
      <c r="Q3496" s="7"/>
      <c r="R3496" s="1"/>
      <c r="S3496" s="1" t="str">
        <f>"J-UN-2021-1550"</f>
        <v>J-UN-2021-1550</v>
      </c>
      <c r="T3496" s="1" t="s">
        <v>32</v>
      </c>
    </row>
    <row r="3497" spans="1:20" ht="63.75" x14ac:dyDescent="0.25">
      <c r="A3497" s="6">
        <v>3491</v>
      </c>
      <c r="B3497" s="1" t="str">
        <f>"2021-1484"</f>
        <v>2021-1484</v>
      </c>
      <c r="C3497" s="1" t="s">
        <v>2954</v>
      </c>
      <c r="D3497" s="1" t="s">
        <v>2955</v>
      </c>
      <c r="E3497" s="1" t="str">
        <f>""</f>
        <v/>
      </c>
      <c r="F3497" s="1" t="s">
        <v>1860</v>
      </c>
      <c r="G3497" s="1" t="str">
        <f>CONCATENATE(" DRŽAVNI HIDROMETEOROLOŠKI ZAVOD - DHMZ,"," GRIČ 3,"," 10000 ZAGREB,"," OIB: 74660437164")</f>
        <v xml:space="preserve"> DRŽAVNI HIDROMETEOROLOŠKI ZAVOD - DHMZ, GRIČ 3, 10000 ZAGREB, OIB: 74660437164</v>
      </c>
      <c r="H3497" s="7"/>
      <c r="I3497" s="8" t="s">
        <v>159</v>
      </c>
      <c r="J3497" s="8" t="s">
        <v>31</v>
      </c>
      <c r="K3497" s="6" t="str">
        <f>"69.480,00"</f>
        <v>69.480,00</v>
      </c>
      <c r="L3497" s="6" t="str">
        <f>"17.370,00"</f>
        <v>17.370,00</v>
      </c>
      <c r="M3497" s="6" t="str">
        <f>"86.850,00"</f>
        <v>86.850,00</v>
      </c>
      <c r="N3497" s="8" t="s">
        <v>400</v>
      </c>
      <c r="O3497" s="7"/>
      <c r="P3497" s="2" t="s">
        <v>7671</v>
      </c>
      <c r="Q3497" s="7"/>
      <c r="R3497" s="1"/>
      <c r="S3497" s="1" t="str">
        <f>"J-UN-2021-1551"</f>
        <v>J-UN-2021-1551</v>
      </c>
      <c r="T3497" s="1" t="s">
        <v>32</v>
      </c>
    </row>
    <row r="3498" spans="1:20" ht="51" x14ac:dyDescent="0.25">
      <c r="A3498" s="6">
        <v>3492</v>
      </c>
      <c r="B3498" s="1" t="str">
        <f>"2021-907"</f>
        <v>2021-907</v>
      </c>
      <c r="C3498" s="1" t="s">
        <v>2956</v>
      </c>
      <c r="D3498" s="1" t="s">
        <v>815</v>
      </c>
      <c r="E3498" s="1" t="str">
        <f>""</f>
        <v/>
      </c>
      <c r="F3498" s="1" t="s">
        <v>1860</v>
      </c>
      <c r="G3498" s="1" t="str">
        <f>CONCATENATE(" MIGRAL D.O.O.,"," RUJANSKA 1,"," 10000 ZAGREB,"," OIB: 957173045")</f>
        <v xml:space="preserve"> MIGRAL D.O.O., RUJANSKA 1, 10000 ZAGREB, OIB: 957173045</v>
      </c>
      <c r="H3498" s="7"/>
      <c r="I3498" s="8" t="s">
        <v>190</v>
      </c>
      <c r="J3498" s="8" t="s">
        <v>58</v>
      </c>
      <c r="K3498" s="6" t="str">
        <f>"5.082,00"</f>
        <v>5.082,00</v>
      </c>
      <c r="L3498" s="6" t="str">
        <f>"1.270,50"</f>
        <v>1.270,50</v>
      </c>
      <c r="M3498" s="6" t="str">
        <f>"6.352,50"</f>
        <v>6.352,50</v>
      </c>
      <c r="N3498" s="8" t="s">
        <v>1067</v>
      </c>
      <c r="O3498" s="7"/>
      <c r="P3498" s="2" t="s">
        <v>6002</v>
      </c>
      <c r="Q3498" s="1"/>
      <c r="R3498" s="1"/>
      <c r="S3498" s="1" t="str">
        <f>"J-UN-2021-1552"</f>
        <v>J-UN-2021-1552</v>
      </c>
      <c r="T3498" s="1" t="s">
        <v>32</v>
      </c>
    </row>
    <row r="3499" spans="1:20" ht="51" x14ac:dyDescent="0.25">
      <c r="A3499" s="6">
        <v>3493</v>
      </c>
      <c r="B3499" s="1" t="str">
        <f>"2021-1360"</f>
        <v>2021-1360</v>
      </c>
      <c r="C3499" s="1" t="s">
        <v>2957</v>
      </c>
      <c r="D3499" s="1" t="s">
        <v>74</v>
      </c>
      <c r="E3499" s="1" t="str">
        <f>""</f>
        <v/>
      </c>
      <c r="F3499" s="1" t="s">
        <v>1860</v>
      </c>
      <c r="G3499" s="1" t="str">
        <f>CONCATENATE(" MEGA MONT D.O.O.,"," POPOVIĆEV PUT 2/D,"," 51211 MATULJI,"," OIB: 64536314217")</f>
        <v xml:space="preserve"> MEGA MONT D.O.O., POPOVIĆEV PUT 2/D, 51211 MATULJI, OIB: 64536314217</v>
      </c>
      <c r="H3499" s="7"/>
      <c r="I3499" s="8" t="s">
        <v>190</v>
      </c>
      <c r="J3499" s="8" t="s">
        <v>58</v>
      </c>
      <c r="K3499" s="6" t="str">
        <f>"5.400,00"</f>
        <v>5.400,00</v>
      </c>
      <c r="L3499" s="6" t="str">
        <f>"1.350,00"</f>
        <v>1.350,00</v>
      </c>
      <c r="M3499" s="6" t="str">
        <f>"6.750,00"</f>
        <v>6.750,00</v>
      </c>
      <c r="N3499" s="8" t="s">
        <v>190</v>
      </c>
      <c r="O3499" s="7"/>
      <c r="P3499" s="2" t="s">
        <v>6589</v>
      </c>
      <c r="Q3499" s="7"/>
      <c r="R3499" s="1"/>
      <c r="S3499" s="1" t="str">
        <f>"J-UN-2021-1555"</f>
        <v>J-UN-2021-1555</v>
      </c>
      <c r="T3499" s="1" t="s">
        <v>32</v>
      </c>
    </row>
    <row r="3500" spans="1:20" ht="63.75" x14ac:dyDescent="0.25">
      <c r="A3500" s="6">
        <v>3494</v>
      </c>
      <c r="B3500" s="1" t="str">
        <f>"2021-2176"</f>
        <v>2021-2176</v>
      </c>
      <c r="C3500" s="1" t="s">
        <v>2958</v>
      </c>
      <c r="D3500" s="1" t="s">
        <v>1581</v>
      </c>
      <c r="E3500" s="1" t="str">
        <f>""</f>
        <v/>
      </c>
      <c r="F3500" s="1" t="s">
        <v>1860</v>
      </c>
      <c r="G3500" s="1" t="str">
        <f>CONCATENATE(" GRADITELJSTVO I TRGOVINA PERIĆ D.O.O.,"," NAD LIPOM 12,"," 10000 ZAGREB,"," OIB: 43566372258")</f>
        <v xml:space="preserve"> GRADITELJSTVO I TRGOVINA PERIĆ D.O.O., NAD LIPOM 12, 10000 ZAGREB, OIB: 43566372258</v>
      </c>
      <c r="H3500" s="7"/>
      <c r="I3500" s="8" t="s">
        <v>2918</v>
      </c>
      <c r="J3500" s="8" t="s">
        <v>410</v>
      </c>
      <c r="K3500" s="6" t="str">
        <f>"399.601,64"</f>
        <v>399.601,64</v>
      </c>
      <c r="L3500" s="6" t="str">
        <f>"99.900,41"</f>
        <v>99.900,41</v>
      </c>
      <c r="M3500" s="6" t="str">
        <f>"499.502,05"</f>
        <v>499.502,05</v>
      </c>
      <c r="N3500" s="8" t="s">
        <v>126</v>
      </c>
      <c r="O3500" s="7"/>
      <c r="P3500" s="2">
        <v>398974.2</v>
      </c>
      <c r="Q3500" s="7"/>
      <c r="R3500" s="1"/>
      <c r="S3500" s="1" t="str">
        <f>"J-UN-2021-1556"</f>
        <v>J-UN-2021-1556</v>
      </c>
      <c r="T3500" s="1" t="s">
        <v>32</v>
      </c>
    </row>
    <row r="3501" spans="1:20" ht="63.75" x14ac:dyDescent="0.25">
      <c r="A3501" s="6">
        <v>3495</v>
      </c>
      <c r="B3501" s="1" t="str">
        <f>"2021-431"</f>
        <v>2021-431</v>
      </c>
      <c r="C3501" s="1" t="s">
        <v>2597</v>
      </c>
      <c r="D3501" s="1" t="s">
        <v>2598</v>
      </c>
      <c r="E3501" s="1" t="str">
        <f>""</f>
        <v/>
      </c>
      <c r="F3501" s="1" t="s">
        <v>1860</v>
      </c>
      <c r="G3501" s="1" t="str">
        <f>CONCATENATE(" TOKIĆ D.O.O.,"," ULICA 144. BRIGADE HRVATSKE VOJSKE 1A,"," 10360 SESVETE,"," OIB: 7486748762")</f>
        <v xml:space="preserve"> TOKIĆ D.O.O., ULICA 144. BRIGADE HRVATSKE VOJSKE 1A, 10360 SESVETE, OIB: 7486748762</v>
      </c>
      <c r="H3501" s="7"/>
      <c r="I3501" s="8" t="s">
        <v>585</v>
      </c>
      <c r="J3501" s="8" t="s">
        <v>227</v>
      </c>
      <c r="K3501" s="6" t="str">
        <f>"2.590,00"</f>
        <v>2.590,00</v>
      </c>
      <c r="L3501" s="6" t="str">
        <f>"647,50"</f>
        <v>647,50</v>
      </c>
      <c r="M3501" s="6" t="str">
        <f>"3.237,50"</f>
        <v>3.237,50</v>
      </c>
      <c r="N3501" s="8" t="s">
        <v>616</v>
      </c>
      <c r="O3501" s="7"/>
      <c r="P3501" s="2" t="s">
        <v>7672</v>
      </c>
      <c r="Q3501" s="7"/>
      <c r="R3501" s="1"/>
      <c r="S3501" s="1" t="str">
        <f>"J-UN-2021-1560"</f>
        <v>J-UN-2021-1560</v>
      </c>
      <c r="T3501" s="1" t="s">
        <v>32</v>
      </c>
    </row>
    <row r="3502" spans="1:20" ht="63.75" x14ac:dyDescent="0.25">
      <c r="A3502" s="6">
        <v>3496</v>
      </c>
      <c r="B3502" s="1" t="str">
        <f>"2021-1080"</f>
        <v>2021-1080</v>
      </c>
      <c r="C3502" s="1" t="s">
        <v>2959</v>
      </c>
      <c r="D3502" s="1" t="s">
        <v>2960</v>
      </c>
      <c r="E3502" s="1" t="str">
        <f>""</f>
        <v/>
      </c>
      <c r="F3502" s="1" t="s">
        <v>1860</v>
      </c>
      <c r="G3502" s="1" t="str">
        <f>CONCATENATE(" TRITONEL MULTIMEDIA D.O.O,"," A.MIHANOVIĆA 21,"," 10434 STRMEC SAMOBORSKI,"," OIB: 42303492343")</f>
        <v xml:space="preserve"> TRITONEL MULTIMEDIA D.O.O, A.MIHANOVIĆA 21, 10434 STRMEC SAMOBORSKI, OIB: 42303492343</v>
      </c>
      <c r="H3502" s="7"/>
      <c r="I3502" s="8" t="s">
        <v>159</v>
      </c>
      <c r="J3502" s="8" t="s">
        <v>31</v>
      </c>
      <c r="K3502" s="6" t="str">
        <f>"4.455,00"</f>
        <v>4.455,00</v>
      </c>
      <c r="L3502" s="6" t="str">
        <f>"1.113,75"</f>
        <v>1.113,75</v>
      </c>
      <c r="M3502" s="6" t="str">
        <f>"5.568,75"</f>
        <v>5.568,75</v>
      </c>
      <c r="N3502" s="8" t="s">
        <v>1076</v>
      </c>
      <c r="O3502" s="7"/>
      <c r="P3502" s="2" t="s">
        <v>7673</v>
      </c>
      <c r="Q3502" s="7"/>
      <c r="R3502" s="1"/>
      <c r="S3502" s="1" t="str">
        <f>"J-UN-2021-1561"</f>
        <v>J-UN-2021-1561</v>
      </c>
      <c r="T3502" s="1" t="s">
        <v>32</v>
      </c>
    </row>
    <row r="3503" spans="1:20" ht="51" x14ac:dyDescent="0.25">
      <c r="A3503" s="6">
        <v>3497</v>
      </c>
      <c r="B3503" s="1" t="str">
        <f>"2021-305"</f>
        <v>2021-305</v>
      </c>
      <c r="C3503" s="1" t="s">
        <v>2831</v>
      </c>
      <c r="D3503" s="1" t="s">
        <v>2832</v>
      </c>
      <c r="E3503" s="1" t="str">
        <f>""</f>
        <v/>
      </c>
      <c r="F3503" s="1" t="s">
        <v>1860</v>
      </c>
      <c r="G3503" s="1" t="str">
        <f>CONCATENATE(" VATROMAX K.M.B.,"," ĆIKOVIĆI 70A,"," 51215 KASTAV,"," OIB: 10545415025")</f>
        <v xml:space="preserve"> VATROMAX K.M.B., ĆIKOVIĆI 70A, 51215 KASTAV, OIB: 10545415025</v>
      </c>
      <c r="H3503" s="7"/>
      <c r="I3503" s="8" t="s">
        <v>585</v>
      </c>
      <c r="J3503" s="8" t="s">
        <v>227</v>
      </c>
      <c r="K3503" s="6" t="str">
        <f>"8.400,00"</f>
        <v>8.400,00</v>
      </c>
      <c r="L3503" s="6" t="str">
        <f>"2.100,00"</f>
        <v>2.100,00</v>
      </c>
      <c r="M3503" s="6" t="str">
        <f>"10.500,00"</f>
        <v>10.500,00</v>
      </c>
      <c r="N3503" s="8" t="s">
        <v>2770</v>
      </c>
      <c r="O3503" s="7"/>
      <c r="P3503" s="2" t="s">
        <v>7674</v>
      </c>
      <c r="Q3503" s="7"/>
      <c r="R3503" s="1"/>
      <c r="S3503" s="1" t="str">
        <f>"J-UN-2021-1563"</f>
        <v>J-UN-2021-1563</v>
      </c>
      <c r="T3503" s="1" t="s">
        <v>32</v>
      </c>
    </row>
    <row r="3504" spans="1:20" ht="76.5" x14ac:dyDescent="0.25">
      <c r="A3504" s="6">
        <v>3498</v>
      </c>
      <c r="B3504" s="1" t="str">
        <f>"2021-143"</f>
        <v>2021-143</v>
      </c>
      <c r="C3504" s="1" t="s">
        <v>2621</v>
      </c>
      <c r="D3504" s="1" t="s">
        <v>2622</v>
      </c>
      <c r="E3504" s="1" t="str">
        <f>""</f>
        <v/>
      </c>
      <c r="F3504" s="1" t="s">
        <v>1860</v>
      </c>
      <c r="G3504" s="1" t="str">
        <f>CONCATENATE(" SMIT-COMMERCE D.O.O.,"," GORNJOSTUPNIČKA 9B,"," 10255 GORNJI STUPNIK,"," OIB: 9524348214")</f>
        <v xml:space="preserve"> SMIT-COMMERCE D.O.O., GORNJOSTUPNIČKA 9B, 10255 GORNJI STUPNIK, OIB: 9524348214</v>
      </c>
      <c r="H3504" s="7"/>
      <c r="I3504" s="8" t="s">
        <v>585</v>
      </c>
      <c r="J3504" s="8" t="s">
        <v>227</v>
      </c>
      <c r="K3504" s="6" t="str">
        <f>"1.520,00"</f>
        <v>1.520,00</v>
      </c>
      <c r="L3504" s="6" t="str">
        <f>"380,00"</f>
        <v>380,00</v>
      </c>
      <c r="M3504" s="6" t="str">
        <f>"1.900,00"</f>
        <v>1.900,00</v>
      </c>
      <c r="N3504" s="8" t="s">
        <v>183</v>
      </c>
      <c r="O3504" s="7"/>
      <c r="P3504" s="2" t="s">
        <v>7370</v>
      </c>
      <c r="Q3504" s="7"/>
      <c r="R3504" s="1"/>
      <c r="S3504" s="1" t="str">
        <f>"J-UN-2021-1564"</f>
        <v>J-UN-2021-1564</v>
      </c>
      <c r="T3504" s="1" t="s">
        <v>32</v>
      </c>
    </row>
    <row r="3505" spans="1:20" ht="63.75" x14ac:dyDescent="0.25">
      <c r="A3505" s="6">
        <v>3499</v>
      </c>
      <c r="B3505" s="1" t="str">
        <f>"2021-1101"</f>
        <v>2021-1101</v>
      </c>
      <c r="C3505" s="1" t="s">
        <v>2702</v>
      </c>
      <c r="D3505" s="1" t="s">
        <v>1209</v>
      </c>
      <c r="E3505" s="1" t="str">
        <f>""</f>
        <v/>
      </c>
      <c r="F3505" s="1" t="s">
        <v>1860</v>
      </c>
      <c r="G3505" s="1" t="str">
        <f>CONCATENATE(" DRÄGER SAFETY D.O.O.,"," AVENIJA VEĆESLAVA HOLJEVCA 40,"," 10010 ZAGREB,"," OIB: 32874587842")</f>
        <v xml:space="preserve"> DRÄGER SAFETY D.O.O., AVENIJA VEĆESLAVA HOLJEVCA 40, 10010 ZAGREB, OIB: 32874587842</v>
      </c>
      <c r="H3505" s="7"/>
      <c r="I3505" s="8" t="s">
        <v>327</v>
      </c>
      <c r="J3505" s="8" t="s">
        <v>1849</v>
      </c>
      <c r="K3505" s="6" t="str">
        <f>"1.814,75"</f>
        <v>1.814,75</v>
      </c>
      <c r="L3505" s="6" t="str">
        <f>"453,69"</f>
        <v>453,69</v>
      </c>
      <c r="M3505" s="6" t="str">
        <f>"2.268,44"</f>
        <v>2.268,44</v>
      </c>
      <c r="N3505" s="8" t="s">
        <v>124</v>
      </c>
      <c r="O3505" s="7"/>
      <c r="P3505" s="2" t="s">
        <v>5614</v>
      </c>
      <c r="Q3505" s="7"/>
      <c r="R3505" s="1"/>
      <c r="S3505" s="1" t="str">
        <f>"J-UN-2021-1565"</f>
        <v>J-UN-2021-1565</v>
      </c>
      <c r="T3505" s="1" t="s">
        <v>32</v>
      </c>
    </row>
    <row r="3506" spans="1:20" ht="63.75" x14ac:dyDescent="0.25">
      <c r="A3506" s="6">
        <v>3500</v>
      </c>
      <c r="B3506" s="1" t="str">
        <f>"2021-72"</f>
        <v>2021-72</v>
      </c>
      <c r="C3506" s="1" t="s">
        <v>2534</v>
      </c>
      <c r="D3506" s="1" t="s">
        <v>2535</v>
      </c>
      <c r="E3506" s="1" t="str">
        <f>""</f>
        <v/>
      </c>
      <c r="F3506" s="1" t="s">
        <v>1860</v>
      </c>
      <c r="G3506" s="1" t="str">
        <f>CONCATENATE(" JULIUS MEINL BONFANTI D.O.O.,"," LJUBLJANSKA ULICA 4,"," 10431 SVETA NEDELJA,"," OIB: 39546130894")</f>
        <v xml:space="preserve"> JULIUS MEINL BONFANTI D.O.O., LJUBLJANSKA ULICA 4, 10431 SVETA NEDELJA, OIB: 39546130894</v>
      </c>
      <c r="H3506" s="7"/>
      <c r="I3506" s="8" t="s">
        <v>585</v>
      </c>
      <c r="J3506" s="8" t="s">
        <v>227</v>
      </c>
      <c r="K3506" s="6" t="str">
        <f>"1.340,00"</f>
        <v>1.340,00</v>
      </c>
      <c r="L3506" s="6" t="str">
        <f>"335,00"</f>
        <v>335,00</v>
      </c>
      <c r="M3506" s="6" t="str">
        <f>"1.675,00"</f>
        <v>1.675,00</v>
      </c>
      <c r="N3506" s="8" t="s">
        <v>2770</v>
      </c>
      <c r="O3506" s="7"/>
      <c r="P3506" s="2" t="s">
        <v>7675</v>
      </c>
      <c r="Q3506" s="7"/>
      <c r="R3506" s="1"/>
      <c r="S3506" s="1" t="str">
        <f>"J-UN-2021-1567"</f>
        <v>J-UN-2021-1567</v>
      </c>
      <c r="T3506" s="1" t="s">
        <v>32</v>
      </c>
    </row>
    <row r="3507" spans="1:20" ht="51" x14ac:dyDescent="0.25">
      <c r="A3507" s="6">
        <v>3501</v>
      </c>
      <c r="B3507" s="1" t="str">
        <f>"2021-937"</f>
        <v>2021-937</v>
      </c>
      <c r="C3507" s="1" t="s">
        <v>2751</v>
      </c>
      <c r="D3507" s="1" t="s">
        <v>2752</v>
      </c>
      <c r="E3507" s="1" t="str">
        <f>""</f>
        <v/>
      </c>
      <c r="F3507" s="1" t="s">
        <v>1860</v>
      </c>
      <c r="G3507" s="1" t="str">
        <f>CONCATENATE(" TPZ D.O.O.,"," NOVOSELSKA 25,"," 10000 ZAGREB,"," OIB: 68119083236")</f>
        <v xml:space="preserve"> TPZ D.O.O., NOVOSELSKA 25, 10000 ZAGREB, OIB: 68119083236</v>
      </c>
      <c r="H3507" s="7"/>
      <c r="I3507" s="8" t="s">
        <v>159</v>
      </c>
      <c r="J3507" s="8" t="s">
        <v>31</v>
      </c>
      <c r="K3507" s="6" t="str">
        <f>"2.812,53"</f>
        <v>2.812,53</v>
      </c>
      <c r="L3507" s="6" t="str">
        <f>"703,13"</f>
        <v>703,13</v>
      </c>
      <c r="M3507" s="6" t="str">
        <f>"3.515,66"</f>
        <v>3.515,66</v>
      </c>
      <c r="N3507" s="8" t="s">
        <v>327</v>
      </c>
      <c r="O3507" s="7"/>
      <c r="P3507" s="2" t="s">
        <v>7676</v>
      </c>
      <c r="Q3507" s="7"/>
      <c r="R3507" s="1"/>
      <c r="S3507" s="1" t="str">
        <f>"J-UN-2021-1568"</f>
        <v>J-UN-2021-1568</v>
      </c>
      <c r="T3507" s="1" t="s">
        <v>32</v>
      </c>
    </row>
    <row r="3508" spans="1:20" ht="38.25" x14ac:dyDescent="0.25">
      <c r="A3508" s="6">
        <v>3502</v>
      </c>
      <c r="B3508" s="1" t="str">
        <f>"2021-1792"</f>
        <v>2021-1792</v>
      </c>
      <c r="C3508" s="1" t="s">
        <v>2756</v>
      </c>
      <c r="D3508" s="1" t="s">
        <v>860</v>
      </c>
      <c r="E3508" s="1" t="str">
        <f>""</f>
        <v/>
      </c>
      <c r="F3508" s="1" t="s">
        <v>1860</v>
      </c>
      <c r="G3508" s="1" t="str">
        <f>CONCATENATE(" HIDROTERM-SD D.O.O.,"," ,"," OIB: 929030013")</f>
        <v xml:space="preserve"> HIDROTERM-SD D.O.O., , OIB: 929030013</v>
      </c>
      <c r="H3508" s="7"/>
      <c r="I3508" s="8" t="s">
        <v>2918</v>
      </c>
      <c r="J3508" s="8" t="s">
        <v>410</v>
      </c>
      <c r="K3508" s="6" t="str">
        <f>"69.990,00"</f>
        <v>69.990,00</v>
      </c>
      <c r="L3508" s="6" t="str">
        <f>"17.497,50"</f>
        <v>17.497,50</v>
      </c>
      <c r="M3508" s="6" t="str">
        <f>"87.487,50"</f>
        <v>87.487,50</v>
      </c>
      <c r="N3508" s="8" t="s">
        <v>120</v>
      </c>
      <c r="O3508" s="7"/>
      <c r="P3508" s="2" t="s">
        <v>7677</v>
      </c>
      <c r="Q3508" s="7"/>
      <c r="R3508" s="1"/>
      <c r="S3508" s="1" t="str">
        <f>"J-UN-2021-1571"</f>
        <v>J-UN-2021-1571</v>
      </c>
      <c r="T3508" s="1" t="s">
        <v>32</v>
      </c>
    </row>
    <row r="3509" spans="1:20" ht="63.75" x14ac:dyDescent="0.25">
      <c r="A3509" s="6">
        <v>3503</v>
      </c>
      <c r="B3509" s="1" t="str">
        <f>"2021-61"</f>
        <v>2021-61</v>
      </c>
      <c r="C3509" s="1" t="s">
        <v>2743</v>
      </c>
      <c r="D3509" s="1" t="s">
        <v>2744</v>
      </c>
      <c r="E3509" s="1" t="str">
        <f>""</f>
        <v/>
      </c>
      <c r="F3509" s="1" t="s">
        <v>1860</v>
      </c>
      <c r="G3509" s="1" t="str">
        <f>CONCATENATE(" 3 M D.O.O.,"," GORNJE PODOTOČJE,"," ŠKOLSKA 60,"," 10410 VELIKA GORICA,"," OIB: 45975769859")</f>
        <v xml:space="preserve"> 3 M D.O.O., GORNJE PODOTOČJE, ŠKOLSKA 60, 10410 VELIKA GORICA, OIB: 45975769859</v>
      </c>
      <c r="H3509" s="7"/>
      <c r="I3509" s="8" t="s">
        <v>585</v>
      </c>
      <c r="J3509" s="8" t="s">
        <v>227</v>
      </c>
      <c r="K3509" s="6" t="str">
        <f>"9.660,00"</f>
        <v>9.660,00</v>
      </c>
      <c r="L3509" s="6" t="str">
        <f>"2.415,00"</f>
        <v>2.415,00</v>
      </c>
      <c r="M3509" s="6" t="str">
        <f>"12.075,00"</f>
        <v>12.075,00</v>
      </c>
      <c r="N3509" s="8" t="s">
        <v>213</v>
      </c>
      <c r="O3509" s="7"/>
      <c r="P3509" s="2" t="s">
        <v>7210</v>
      </c>
      <c r="Q3509" s="7"/>
      <c r="R3509" s="1"/>
      <c r="S3509" s="1" t="str">
        <f>"J-UN-2021-1572"</f>
        <v>J-UN-2021-1572</v>
      </c>
      <c r="T3509" s="1" t="s">
        <v>32</v>
      </c>
    </row>
    <row r="3510" spans="1:20" ht="89.25" x14ac:dyDescent="0.25">
      <c r="A3510" s="6">
        <v>3504</v>
      </c>
      <c r="B3510" s="1" t="str">
        <f>"2021-2299"</f>
        <v>2021-2299</v>
      </c>
      <c r="C3510" s="1" t="s">
        <v>2961</v>
      </c>
      <c r="D3510" s="1" t="s">
        <v>1641</v>
      </c>
      <c r="E3510" s="1" t="str">
        <f>""</f>
        <v/>
      </c>
      <c r="F3510" s="1" t="s">
        <v>1860</v>
      </c>
      <c r="G3510" s="1" t="str">
        <f>CONCATENATE(" URED OVLAŠTENOG INŽENJERA STROJARSTVA,"," DAVOR DABINOVIĆ,"," SV. MATEJA 52,"," 10010 ZAGREB-SLOBOŠTINA,"," OIB: 81585887958")</f>
        <v xml:space="preserve"> URED OVLAŠTENOG INŽENJERA STROJARSTVA, DAVOR DABINOVIĆ, SV. MATEJA 52, 10010 ZAGREB-SLOBOŠTINA, OIB: 81585887958</v>
      </c>
      <c r="H3510" s="7"/>
      <c r="I3510" s="8" t="s">
        <v>159</v>
      </c>
      <c r="J3510" s="8" t="s">
        <v>31</v>
      </c>
      <c r="K3510" s="6" t="str">
        <f>"24.000,00"</f>
        <v>24.000,00</v>
      </c>
      <c r="L3510" s="6" t="str">
        <f>"6.000,00"</f>
        <v>6.000,00</v>
      </c>
      <c r="M3510" s="6" t="str">
        <f>"30.000,00"</f>
        <v>30.000,00</v>
      </c>
      <c r="N3510" s="8" t="s">
        <v>671</v>
      </c>
      <c r="O3510" s="7"/>
      <c r="P3510" s="2" t="s">
        <v>5741</v>
      </c>
      <c r="Q3510" s="7"/>
      <c r="R3510" s="1"/>
      <c r="S3510" s="1" t="str">
        <f>"J-UN-2021-1574"</f>
        <v>J-UN-2021-1574</v>
      </c>
      <c r="T3510" s="1" t="s">
        <v>32</v>
      </c>
    </row>
    <row r="3511" spans="1:20" ht="51" x14ac:dyDescent="0.25">
      <c r="A3511" s="6">
        <v>3505</v>
      </c>
      <c r="B3511" s="1" t="str">
        <f>"2021-2329"</f>
        <v>2021-2329</v>
      </c>
      <c r="C3511" s="1" t="s">
        <v>2962</v>
      </c>
      <c r="D3511" s="1" t="s">
        <v>2963</v>
      </c>
      <c r="E3511" s="1" t="str">
        <f>""</f>
        <v/>
      </c>
      <c r="F3511" s="1" t="s">
        <v>1860</v>
      </c>
      <c r="G3511" s="1" t="str">
        <f>CONCATENATE(" BOXES D.O.O.,"," GUSTAVA KRKLECA 11,"," 10000 ZAGREB,"," OIB: 41791523272")</f>
        <v xml:space="preserve"> BOXES D.O.O., GUSTAVA KRKLECA 11, 10000 ZAGREB, OIB: 41791523272</v>
      </c>
      <c r="H3511" s="7"/>
      <c r="I3511" s="8" t="s">
        <v>2300</v>
      </c>
      <c r="J3511" s="8" t="s">
        <v>1159</v>
      </c>
      <c r="K3511" s="6" t="str">
        <f>"45.347,50"</f>
        <v>45.347,50</v>
      </c>
      <c r="L3511" s="6" t="str">
        <f>"11.336,88"</f>
        <v>11.336,88</v>
      </c>
      <c r="M3511" s="6" t="str">
        <f>"56.684,38"</f>
        <v>56.684,38</v>
      </c>
      <c r="N3511" s="8" t="s">
        <v>562</v>
      </c>
      <c r="O3511" s="7"/>
      <c r="P3511" s="2" t="s">
        <v>7678</v>
      </c>
      <c r="Q3511" s="7"/>
      <c r="R3511" s="1"/>
      <c r="S3511" s="1" t="str">
        <f>"J-UN-2021-1576"</f>
        <v>J-UN-2021-1576</v>
      </c>
      <c r="T3511" s="1" t="s">
        <v>32</v>
      </c>
    </row>
    <row r="3512" spans="1:20" ht="51" x14ac:dyDescent="0.25">
      <c r="A3512" s="6">
        <v>3506</v>
      </c>
      <c r="B3512" s="1" t="str">
        <f>"2021-2326"</f>
        <v>2021-2326</v>
      </c>
      <c r="C3512" s="1" t="s">
        <v>2964</v>
      </c>
      <c r="D3512" s="1" t="s">
        <v>1726</v>
      </c>
      <c r="E3512" s="1" t="str">
        <f>""</f>
        <v/>
      </c>
      <c r="F3512" s="1" t="s">
        <v>1860</v>
      </c>
      <c r="G3512" s="1" t="str">
        <f>CONCATENATE(" BOXES D.O.O.,"," GUSTAVA KRKLECA 11,"," 10000 ZAGREB,"," OIB: 41791523272")</f>
        <v xml:space="preserve"> BOXES D.O.O., GUSTAVA KRKLECA 11, 10000 ZAGREB, OIB: 41791523272</v>
      </c>
      <c r="H3512" s="7"/>
      <c r="I3512" s="8" t="s">
        <v>2300</v>
      </c>
      <c r="J3512" s="8" t="s">
        <v>1159</v>
      </c>
      <c r="K3512" s="6" t="str">
        <f>"40.324,00"</f>
        <v>40.324,00</v>
      </c>
      <c r="L3512" s="6" t="str">
        <f>"10.081,00"</f>
        <v>10.081,00</v>
      </c>
      <c r="M3512" s="6" t="str">
        <f>"50.405,00"</f>
        <v>50.405,00</v>
      </c>
      <c r="N3512" s="8" t="s">
        <v>2921</v>
      </c>
      <c r="O3512" s="7"/>
      <c r="P3512" s="2" t="s">
        <v>7679</v>
      </c>
      <c r="Q3512" s="7"/>
      <c r="R3512" s="1"/>
      <c r="S3512" s="1" t="str">
        <f>"J-UN-2021-1577"</f>
        <v>J-UN-2021-1577</v>
      </c>
      <c r="T3512" s="1" t="s">
        <v>32</v>
      </c>
    </row>
    <row r="3513" spans="1:20" ht="51" x14ac:dyDescent="0.25">
      <c r="A3513" s="6">
        <v>3507</v>
      </c>
      <c r="B3513" s="1" t="str">
        <f>"2021-2328"</f>
        <v>2021-2328</v>
      </c>
      <c r="C3513" s="1" t="s">
        <v>2965</v>
      </c>
      <c r="D3513" s="1" t="s">
        <v>1726</v>
      </c>
      <c r="E3513" s="1" t="str">
        <f>""</f>
        <v/>
      </c>
      <c r="F3513" s="1" t="s">
        <v>1860</v>
      </c>
      <c r="G3513" s="1" t="str">
        <f>CONCATENATE(" BOXES D.O.O.,"," GUSTAVA KRKLECA 11,"," 10000 ZAGREB,"," OIB: 41791523272")</f>
        <v xml:space="preserve"> BOXES D.O.O., GUSTAVA KRKLECA 11, 10000 ZAGREB, OIB: 41791523272</v>
      </c>
      <c r="H3513" s="7"/>
      <c r="I3513" s="8" t="s">
        <v>2300</v>
      </c>
      <c r="J3513" s="8" t="s">
        <v>1159</v>
      </c>
      <c r="K3513" s="6" t="str">
        <f>"94.319,70"</f>
        <v>94.319,70</v>
      </c>
      <c r="L3513" s="6" t="str">
        <f>"23.579,93"</f>
        <v>23.579,93</v>
      </c>
      <c r="M3513" s="6" t="str">
        <f>"117.899,63"</f>
        <v>117.899,63</v>
      </c>
      <c r="N3513" s="8" t="s">
        <v>562</v>
      </c>
      <c r="O3513" s="7"/>
      <c r="P3513" s="2" t="s">
        <v>7680</v>
      </c>
      <c r="Q3513" s="7"/>
      <c r="R3513" s="1"/>
      <c r="S3513" s="1" t="str">
        <f>"J-UN-2021-1579"</f>
        <v>J-UN-2021-1579</v>
      </c>
      <c r="T3513" s="1" t="s">
        <v>32</v>
      </c>
    </row>
    <row r="3514" spans="1:20" ht="51" x14ac:dyDescent="0.25">
      <c r="A3514" s="6">
        <v>3508</v>
      </c>
      <c r="B3514" s="1" t="str">
        <f>"2021-2327"</f>
        <v>2021-2327</v>
      </c>
      <c r="C3514" s="1" t="s">
        <v>2966</v>
      </c>
      <c r="D3514" s="1" t="s">
        <v>1726</v>
      </c>
      <c r="E3514" s="1" t="str">
        <f>""</f>
        <v/>
      </c>
      <c r="F3514" s="1" t="s">
        <v>1860</v>
      </c>
      <c r="G3514" s="1" t="str">
        <f>CONCATENATE(" BOXES D.O.O.,"," GUSTAVA KRKLECA 11,"," 10000 ZAGREB,"," OIB: 41791523272")</f>
        <v xml:space="preserve"> BOXES D.O.O., GUSTAVA KRKLECA 11, 10000 ZAGREB, OIB: 41791523272</v>
      </c>
      <c r="H3514" s="7"/>
      <c r="I3514" s="8" t="s">
        <v>2918</v>
      </c>
      <c r="J3514" s="8" t="s">
        <v>410</v>
      </c>
      <c r="K3514" s="6" t="str">
        <f>"144.714,53"</f>
        <v>144.714,53</v>
      </c>
      <c r="L3514" s="6" t="str">
        <f>"36.178,63"</f>
        <v>36.178,63</v>
      </c>
      <c r="M3514" s="6" t="str">
        <f>"180.893,16"</f>
        <v>180.893,16</v>
      </c>
      <c r="N3514" s="8" t="s">
        <v>239</v>
      </c>
      <c r="O3514" s="7"/>
      <c r="P3514" s="2" t="s">
        <v>7681</v>
      </c>
      <c r="Q3514" s="7"/>
      <c r="R3514" s="1"/>
      <c r="S3514" s="1" t="str">
        <f>"J-UN-2021-1590"</f>
        <v>J-UN-2021-1590</v>
      </c>
      <c r="T3514" s="1" t="s">
        <v>32</v>
      </c>
    </row>
    <row r="3515" spans="1:20" ht="51" x14ac:dyDescent="0.25">
      <c r="A3515" s="6">
        <v>3509</v>
      </c>
      <c r="B3515" s="1" t="str">
        <f>"2021-2298"</f>
        <v>2021-2298</v>
      </c>
      <c r="C3515" s="1" t="s">
        <v>2967</v>
      </c>
      <c r="D3515" s="1" t="s">
        <v>1352</v>
      </c>
      <c r="E3515" s="1" t="str">
        <f>""</f>
        <v/>
      </c>
      <c r="F3515" s="1" t="s">
        <v>1860</v>
      </c>
      <c r="G3515" s="1" t="str">
        <f>CONCATENATE(" AUTO BENUSSI D.O.O.,"," INDUSTRIJSKA 2D,"," 52100 PULA,"," OIB: 96262119913")</f>
        <v xml:space="preserve"> AUTO BENUSSI D.O.O., INDUSTRIJSKA 2D, 52100 PULA, OIB: 96262119913</v>
      </c>
      <c r="H3515" s="7"/>
      <c r="I3515" s="8" t="s">
        <v>2918</v>
      </c>
      <c r="J3515" s="8" t="s">
        <v>410</v>
      </c>
      <c r="K3515" s="6" t="str">
        <f>"130.905,00"</f>
        <v>130.905,00</v>
      </c>
      <c r="L3515" s="6" t="str">
        <f>"32.726,25"</f>
        <v>32.726,25</v>
      </c>
      <c r="M3515" s="6" t="str">
        <f>"163.631,25"</f>
        <v>163.631,25</v>
      </c>
      <c r="N3515" s="8" t="s">
        <v>698</v>
      </c>
      <c r="O3515" s="7"/>
      <c r="P3515" s="2" t="s">
        <v>7682</v>
      </c>
      <c r="Q3515" s="1"/>
      <c r="R3515" s="1"/>
      <c r="S3515" s="1" t="str">
        <f>"J-UN-2021-1613"</f>
        <v>J-UN-2021-1613</v>
      </c>
      <c r="T3515" s="1" t="s">
        <v>32</v>
      </c>
    </row>
    <row r="3516" spans="1:20" ht="51" x14ac:dyDescent="0.25">
      <c r="A3516" s="6">
        <v>3510</v>
      </c>
      <c r="B3516" s="1" t="str">
        <f>"2021-1019"</f>
        <v>2021-1019</v>
      </c>
      <c r="C3516" s="1" t="s">
        <v>2720</v>
      </c>
      <c r="D3516" s="1" t="s">
        <v>21</v>
      </c>
      <c r="E3516" s="1" t="str">
        <f>""</f>
        <v/>
      </c>
      <c r="F3516" s="1" t="s">
        <v>1860</v>
      </c>
      <c r="G3516" s="1" t="str">
        <f>CONCATENATE(" STAR IMPORT D.O.O.,"," KOVINSKA 5,"," 10090 ZAGREB-SUSEDGRAD,"," OIB: 783122799")</f>
        <v xml:space="preserve"> STAR IMPORT D.O.O., KOVINSKA 5, 10090 ZAGREB-SUSEDGRAD, OIB: 783122799</v>
      </c>
      <c r="H3516" s="7"/>
      <c r="I3516" s="8" t="s">
        <v>586</v>
      </c>
      <c r="J3516" s="8" t="s">
        <v>525</v>
      </c>
      <c r="K3516" s="6" t="str">
        <f>"7.832,31"</f>
        <v>7.832,31</v>
      </c>
      <c r="L3516" s="6" t="str">
        <f>"1.958,08"</f>
        <v>1.958,08</v>
      </c>
      <c r="M3516" s="6" t="str">
        <f>"9.790,39"</f>
        <v>9.790,39</v>
      </c>
      <c r="N3516" s="8" t="s">
        <v>1257</v>
      </c>
      <c r="O3516" s="7"/>
      <c r="P3516" s="2" t="s">
        <v>7683</v>
      </c>
      <c r="Q3516" s="7"/>
      <c r="R3516" s="1"/>
      <c r="S3516" s="1" t="str">
        <f>"J-UN-2021-1619"</f>
        <v>J-UN-2021-1619</v>
      </c>
      <c r="T3516" s="1" t="s">
        <v>32</v>
      </c>
    </row>
    <row r="3517" spans="1:20" ht="51" x14ac:dyDescent="0.25">
      <c r="A3517" s="6">
        <v>3511</v>
      </c>
      <c r="B3517" s="1" t="str">
        <f>"2021-905"</f>
        <v>2021-905</v>
      </c>
      <c r="C3517" s="1" t="s">
        <v>2798</v>
      </c>
      <c r="D3517" s="1" t="s">
        <v>914</v>
      </c>
      <c r="E3517" s="1" t="str">
        <f>""</f>
        <v/>
      </c>
      <c r="F3517" s="1" t="s">
        <v>1860</v>
      </c>
      <c r="G3517" s="1" t="str">
        <f>CONCATENATE(" D.R. AUTO D.O.O.,"," SELSKA CESTA 34,"," 10000 ZAGREB,"," OIB: 07523847158")</f>
        <v xml:space="preserve"> D.R. AUTO D.O.O., SELSKA CESTA 34, 10000 ZAGREB, OIB: 07523847158</v>
      </c>
      <c r="H3517" s="7"/>
      <c r="I3517" s="8" t="s">
        <v>1067</v>
      </c>
      <c r="J3517" s="8" t="s">
        <v>1191</v>
      </c>
      <c r="K3517" s="6" t="str">
        <f>"3.175,40"</f>
        <v>3.175,40</v>
      </c>
      <c r="L3517" s="6" t="str">
        <f>"793,85"</f>
        <v>793,85</v>
      </c>
      <c r="M3517" s="6" t="str">
        <f>"3.969,25"</f>
        <v>3.969,25</v>
      </c>
      <c r="N3517" s="8" t="s">
        <v>1067</v>
      </c>
      <c r="O3517" s="7"/>
      <c r="P3517" s="2" t="s">
        <v>7684</v>
      </c>
      <c r="Q3517" s="7"/>
      <c r="R3517" s="1"/>
      <c r="S3517" s="1" t="str">
        <f>"J-UN-2021-1620"</f>
        <v>J-UN-2021-1620</v>
      </c>
      <c r="T3517" s="1" t="s">
        <v>32</v>
      </c>
    </row>
    <row r="3518" spans="1:20" ht="127.5" x14ac:dyDescent="0.25">
      <c r="A3518" s="6">
        <v>3512</v>
      </c>
      <c r="B3518" s="1" t="str">
        <f>"2021-2178"</f>
        <v>2021-2178</v>
      </c>
      <c r="C3518" s="1" t="s">
        <v>2968</v>
      </c>
      <c r="D3518" s="1" t="s">
        <v>2969</v>
      </c>
      <c r="E3518" s="1" t="str">
        <f>""</f>
        <v/>
      </c>
      <c r="F3518" s="1" t="s">
        <v>1860</v>
      </c>
      <c r="G3518" s="1"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3518" s="7"/>
      <c r="I3518" s="8" t="s">
        <v>2770</v>
      </c>
      <c r="J3518" s="8" t="s">
        <v>207</v>
      </c>
      <c r="K3518" s="6" t="str">
        <f>"379.565,00"</f>
        <v>379.565,00</v>
      </c>
      <c r="L3518" s="6" t="str">
        <f>"94.891,25"</f>
        <v>94.891,25</v>
      </c>
      <c r="M3518" s="6" t="str">
        <f>"474.456,25"</f>
        <v>474.456,25</v>
      </c>
      <c r="N3518" s="8" t="s">
        <v>893</v>
      </c>
      <c r="O3518" s="7"/>
      <c r="P3518" s="2" t="s">
        <v>7685</v>
      </c>
      <c r="Q3518" s="7"/>
      <c r="R3518" s="1"/>
      <c r="S3518" s="1" t="str">
        <f>"J-UN-2021-1621"</f>
        <v>J-UN-2021-1621</v>
      </c>
      <c r="T3518" s="1" t="s">
        <v>32</v>
      </c>
    </row>
    <row r="3519" spans="1:20" ht="51" x14ac:dyDescent="0.25">
      <c r="A3519" s="6">
        <v>3513</v>
      </c>
      <c r="B3519" s="1" t="str">
        <f>"2021-526"</f>
        <v>2021-526</v>
      </c>
      <c r="C3519" s="1" t="s">
        <v>2900</v>
      </c>
      <c r="D3519" s="1" t="s">
        <v>2043</v>
      </c>
      <c r="E3519" s="1" t="str">
        <f>""</f>
        <v/>
      </c>
      <c r="F3519" s="1" t="s">
        <v>1860</v>
      </c>
      <c r="G3519" s="1" t="str">
        <f>CONCATENATE(" ECCOS-INŽENJERING D.O.O.,"," BANI 110,"," 10000 ZAGREB,"," OIB: 71629027685")</f>
        <v xml:space="preserve"> ECCOS-INŽENJERING D.O.O., BANI 110, 10000 ZAGREB, OIB: 71629027685</v>
      </c>
      <c r="H3519" s="7"/>
      <c r="I3519" s="8" t="s">
        <v>2934</v>
      </c>
      <c r="J3519" s="8" t="s">
        <v>1009</v>
      </c>
      <c r="K3519" s="6" t="str">
        <f>"39.987,00"</f>
        <v>39.987,00</v>
      </c>
      <c r="L3519" s="6" t="str">
        <f>"9.996,75"</f>
        <v>9.996,75</v>
      </c>
      <c r="M3519" s="6" t="str">
        <f>"49.983,75"</f>
        <v>49.983,75</v>
      </c>
      <c r="N3519" s="8" t="s">
        <v>640</v>
      </c>
      <c r="O3519" s="7"/>
      <c r="P3519" s="2" t="s">
        <v>7686</v>
      </c>
      <c r="Q3519" s="7"/>
      <c r="R3519" s="1"/>
      <c r="S3519" s="1" t="str">
        <f>"J-UN-2021-1622"</f>
        <v>J-UN-2021-1622</v>
      </c>
      <c r="T3519" s="1" t="s">
        <v>32</v>
      </c>
    </row>
    <row r="3520" spans="1:20" ht="76.5" x14ac:dyDescent="0.25">
      <c r="A3520" s="6">
        <v>3514</v>
      </c>
      <c r="B3520" s="1" t="str">
        <f>"2021-93"</f>
        <v>2021-93</v>
      </c>
      <c r="C3520" s="1" t="s">
        <v>2651</v>
      </c>
      <c r="D3520" s="1" t="s">
        <v>2652</v>
      </c>
      <c r="E3520" s="1" t="str">
        <f>""</f>
        <v/>
      </c>
      <c r="F3520" s="1" t="s">
        <v>1860</v>
      </c>
      <c r="G3520" s="1" t="str">
        <f>CONCATENATE(" SMIT-COMMERCE D.O.O.,"," GORNJOSTUPNIČKA 9B,"," 10255 GORNJI STUPNIK,"," OIB: 9524348214")</f>
        <v xml:space="preserve"> SMIT-COMMERCE D.O.O., GORNJOSTUPNIČKA 9B, 10255 GORNJI STUPNIK, OIB: 9524348214</v>
      </c>
      <c r="H3520" s="7"/>
      <c r="I3520" s="8" t="s">
        <v>2770</v>
      </c>
      <c r="J3520" s="8" t="s">
        <v>207</v>
      </c>
      <c r="K3520" s="6" t="str">
        <f>"2.416,58"</f>
        <v>2.416,58</v>
      </c>
      <c r="L3520" s="6" t="str">
        <f>"604,15"</f>
        <v>604,15</v>
      </c>
      <c r="M3520" s="6" t="str">
        <f>"3.020,73"</f>
        <v>3.020,73</v>
      </c>
      <c r="N3520" s="8" t="s">
        <v>225</v>
      </c>
      <c r="O3520" s="7"/>
      <c r="P3520" s="2" t="s">
        <v>7687</v>
      </c>
      <c r="Q3520" s="7"/>
      <c r="R3520" s="1"/>
      <c r="S3520" s="1" t="str">
        <f>"J-UN-2021-1623"</f>
        <v>J-UN-2021-1623</v>
      </c>
      <c r="T3520" s="1" t="s">
        <v>32</v>
      </c>
    </row>
    <row r="3521" spans="1:20" ht="51" x14ac:dyDescent="0.25">
      <c r="A3521" s="6">
        <v>3515</v>
      </c>
      <c r="B3521" s="1" t="str">
        <f>"2021-707"</f>
        <v>2021-707</v>
      </c>
      <c r="C3521" s="1" t="s">
        <v>2642</v>
      </c>
      <c r="D3521" s="1" t="s">
        <v>1236</v>
      </c>
      <c r="E3521" s="1" t="str">
        <f>""</f>
        <v/>
      </c>
      <c r="F3521" s="1" t="s">
        <v>1860</v>
      </c>
      <c r="G3521" s="1" t="str">
        <f>CONCATENATE(" MEGA MONT D.O.O.,"," POPOVIĆEV PUT 2/D,"," 51211 MATULJI,"," OIB: 64536314217")</f>
        <v xml:space="preserve"> MEGA MONT D.O.O., POPOVIĆEV PUT 2/D, 51211 MATULJI, OIB: 64536314217</v>
      </c>
      <c r="H3521" s="7"/>
      <c r="I3521" s="8" t="s">
        <v>2934</v>
      </c>
      <c r="J3521" s="8" t="s">
        <v>1009</v>
      </c>
      <c r="K3521" s="6" t="str">
        <f>"24.700,00"</f>
        <v>24.700,00</v>
      </c>
      <c r="L3521" s="6" t="str">
        <f>"6.175,00"</f>
        <v>6.175,00</v>
      </c>
      <c r="M3521" s="6" t="str">
        <f>"30.875,00"</f>
        <v>30.875,00</v>
      </c>
      <c r="N3521" s="8" t="s">
        <v>771</v>
      </c>
      <c r="O3521" s="7"/>
      <c r="P3521" s="2" t="s">
        <v>7688</v>
      </c>
      <c r="Q3521" s="7"/>
      <c r="R3521" s="1"/>
      <c r="S3521" s="1" t="str">
        <f>"J-UN-2021-1624"</f>
        <v>J-UN-2021-1624</v>
      </c>
      <c r="T3521" s="1" t="s">
        <v>32</v>
      </c>
    </row>
    <row r="3522" spans="1:20" ht="76.5" x14ac:dyDescent="0.25">
      <c r="A3522" s="6">
        <v>3516</v>
      </c>
      <c r="B3522" s="1" t="str">
        <f>"2021-887"</f>
        <v>2021-887</v>
      </c>
      <c r="C3522" s="1" t="s">
        <v>2778</v>
      </c>
      <c r="D3522" s="1" t="s">
        <v>1833</v>
      </c>
      <c r="E3522" s="1" t="str">
        <f>""</f>
        <v/>
      </c>
      <c r="F3522" s="1" t="s">
        <v>1860</v>
      </c>
      <c r="G3522" s="1" t="str">
        <f>CONCATENATE(" WAWA D.O.O.,"," ODVOJAK INDUSTRIJSKE ULICE,"," NOVAKI 3,"," 10431 SVETA NEDJELJA,"," OIB: 59785180614")</f>
        <v xml:space="preserve"> WAWA D.O.O., ODVOJAK INDUSTRIJSKE ULICE, NOVAKI 3, 10431 SVETA NEDJELJA, OIB: 59785180614</v>
      </c>
      <c r="H3522" s="7"/>
      <c r="I3522" s="8" t="s">
        <v>586</v>
      </c>
      <c r="J3522" s="8" t="s">
        <v>525</v>
      </c>
      <c r="K3522" s="6" t="str">
        <f>"65.110,14"</f>
        <v>65.110,14</v>
      </c>
      <c r="L3522" s="6" t="str">
        <f>"16.277,54"</f>
        <v>16.277,54</v>
      </c>
      <c r="M3522" s="6" t="str">
        <f>"81.387,68"</f>
        <v>81.387,68</v>
      </c>
      <c r="N3522" s="8" t="s">
        <v>163</v>
      </c>
      <c r="O3522" s="7"/>
      <c r="P3522" s="2" t="s">
        <v>7689</v>
      </c>
      <c r="Q3522" s="7"/>
      <c r="R3522" s="1"/>
      <c r="S3522" s="1" t="str">
        <f>"J-UN-2021-1625"</f>
        <v>J-UN-2021-1625</v>
      </c>
      <c r="T3522" s="1" t="s">
        <v>32</v>
      </c>
    </row>
    <row r="3523" spans="1:20" ht="51" x14ac:dyDescent="0.25">
      <c r="A3523" s="6">
        <v>3517</v>
      </c>
      <c r="B3523" s="1" t="str">
        <f>"2021-202"</f>
        <v>2021-202</v>
      </c>
      <c r="C3523" s="1" t="s">
        <v>2970</v>
      </c>
      <c r="D3523" s="1" t="s">
        <v>2971</v>
      </c>
      <c r="E3523" s="1" t="str">
        <f>""</f>
        <v/>
      </c>
      <c r="F3523" s="1" t="s">
        <v>1860</v>
      </c>
      <c r="G3523" s="1" t="str">
        <f>CONCATENATE(" LUMAKO TIM D.O.O.,"," KIRINŠČAK 25,"," 10000 ZAGREB,"," OIB: 42244128744")</f>
        <v xml:space="preserve"> LUMAKO TIM D.O.O., KIRINŠČAK 25, 10000 ZAGREB, OIB: 42244128744</v>
      </c>
      <c r="H3523" s="7"/>
      <c r="I3523" s="8" t="s">
        <v>2770</v>
      </c>
      <c r="J3523" s="8" t="s">
        <v>207</v>
      </c>
      <c r="K3523" s="6" t="str">
        <f>"5.702,60"</f>
        <v>5.702,60</v>
      </c>
      <c r="L3523" s="6" t="str">
        <f>"1.425,65"</f>
        <v>1.425,65</v>
      </c>
      <c r="M3523" s="6" t="str">
        <f>"7.128,25"</f>
        <v>7.128,25</v>
      </c>
      <c r="N3523" s="8" t="s">
        <v>930</v>
      </c>
      <c r="O3523" s="7"/>
      <c r="P3523" s="2" t="s">
        <v>7690</v>
      </c>
      <c r="Q3523" s="7"/>
      <c r="R3523" s="1"/>
      <c r="S3523" s="1" t="str">
        <f>"J-UN-2021-1626"</f>
        <v>J-UN-2021-1626</v>
      </c>
      <c r="T3523" s="1" t="s">
        <v>32</v>
      </c>
    </row>
    <row r="3524" spans="1:20" ht="76.5" x14ac:dyDescent="0.25">
      <c r="A3524" s="6">
        <v>3518</v>
      </c>
      <c r="B3524" s="1" t="str">
        <f>"2021-1205"</f>
        <v>2021-1205</v>
      </c>
      <c r="C3524" s="1" t="s">
        <v>2892</v>
      </c>
      <c r="D3524" s="1" t="s">
        <v>1627</v>
      </c>
      <c r="E3524" s="1" t="str">
        <f>""</f>
        <v/>
      </c>
      <c r="F3524" s="1" t="s">
        <v>1860</v>
      </c>
      <c r="G3524" s="1" t="str">
        <f>CONCATENATE(" ELICOM D.O.O.,"," ŠTEFANOVEC 138,"," 10000 ZAGREB,"," OIB: 76370234816")</f>
        <v xml:space="preserve"> ELICOM D.O.O., ŠTEFANOVEC 138, 10000 ZAGREB, OIB: 76370234816</v>
      </c>
      <c r="H3524" s="7"/>
      <c r="I3524" s="8" t="s">
        <v>585</v>
      </c>
      <c r="J3524" s="8" t="s">
        <v>227</v>
      </c>
      <c r="K3524" s="6" t="str">
        <f>"9.311,98"</f>
        <v>9.311,98</v>
      </c>
      <c r="L3524" s="6" t="str">
        <f>"2.328,00"</f>
        <v>2.328,00</v>
      </c>
      <c r="M3524" s="6" t="str">
        <f>"11.639,98"</f>
        <v>11.639,98</v>
      </c>
      <c r="N3524" s="8" t="s">
        <v>2770</v>
      </c>
      <c r="O3524" s="7"/>
      <c r="P3524" s="2" t="s">
        <v>7691</v>
      </c>
      <c r="Q3524" s="1" t="s">
        <v>5601</v>
      </c>
      <c r="R3524" s="1"/>
      <c r="S3524" s="1" t="str">
        <f>"J-UN-2021-1627"</f>
        <v>J-UN-2021-1627</v>
      </c>
      <c r="T3524" s="1" t="s">
        <v>32</v>
      </c>
    </row>
    <row r="3525" spans="1:20" ht="51" x14ac:dyDescent="0.25">
      <c r="A3525" s="6">
        <v>3519</v>
      </c>
      <c r="B3525" s="1" t="str">
        <f>"2021-707"</f>
        <v>2021-707</v>
      </c>
      <c r="C3525" s="1" t="s">
        <v>2642</v>
      </c>
      <c r="D3525" s="1" t="s">
        <v>1236</v>
      </c>
      <c r="E3525" s="1" t="str">
        <f>""</f>
        <v/>
      </c>
      <c r="F3525" s="1" t="s">
        <v>1860</v>
      </c>
      <c r="G3525" s="1" t="str">
        <f>CONCATENATE(" EUROMONT INTRO D.O.O.,"," KANALSKI PUT 20,"," 10000 ZAGREB,"," OIB: 46289034988")</f>
        <v xml:space="preserve"> EUROMONT INTRO D.O.O., KANALSKI PUT 20, 10000 ZAGREB, OIB: 46289034988</v>
      </c>
      <c r="H3525" s="7"/>
      <c r="I3525" s="8" t="s">
        <v>585</v>
      </c>
      <c r="J3525" s="8" t="s">
        <v>227</v>
      </c>
      <c r="K3525" s="6" t="str">
        <f>"1.982,25"</f>
        <v>1.982,25</v>
      </c>
      <c r="L3525" s="6" t="str">
        <f>"495,56"</f>
        <v>495,56</v>
      </c>
      <c r="M3525" s="6" t="str">
        <f>"2.477,81"</f>
        <v>2.477,81</v>
      </c>
      <c r="N3525" s="8" t="s">
        <v>145</v>
      </c>
      <c r="O3525" s="7"/>
      <c r="P3525" s="2" t="s">
        <v>7692</v>
      </c>
      <c r="Q3525" s="7"/>
      <c r="R3525" s="1"/>
      <c r="S3525" s="1" t="str">
        <f>"J-UN-2021-1628"</f>
        <v>J-UN-2021-1628</v>
      </c>
      <c r="T3525" s="1" t="s">
        <v>32</v>
      </c>
    </row>
    <row r="3526" spans="1:20" ht="51" x14ac:dyDescent="0.25">
      <c r="A3526" s="6">
        <v>3520</v>
      </c>
      <c r="B3526" s="1" t="str">
        <f>"2021-799"</f>
        <v>2021-799</v>
      </c>
      <c r="C3526" s="1" t="s">
        <v>2775</v>
      </c>
      <c r="D3526" s="1" t="s">
        <v>2776</v>
      </c>
      <c r="E3526" s="1" t="str">
        <f>""</f>
        <v/>
      </c>
      <c r="F3526" s="1" t="s">
        <v>1860</v>
      </c>
      <c r="G3526" s="1" t="str">
        <f>CONCATENATE(" SCHEDA D.O.O.,"," LJUDEVITA POSAVSKOG 29,"," 10360 SESVETE,"," OIB: 76219817247")</f>
        <v xml:space="preserve"> SCHEDA D.O.O., LJUDEVITA POSAVSKOG 29, 10360 SESVETE, OIB: 76219817247</v>
      </c>
      <c r="H3526" s="7"/>
      <c r="I3526" s="8" t="s">
        <v>2770</v>
      </c>
      <c r="J3526" s="8" t="s">
        <v>207</v>
      </c>
      <c r="K3526" s="6" t="str">
        <f>"3.872,05"</f>
        <v>3.872,05</v>
      </c>
      <c r="L3526" s="6" t="str">
        <f>"968,01"</f>
        <v>968,01</v>
      </c>
      <c r="M3526" s="6" t="str">
        <f>"4.840,06"</f>
        <v>4.840,06</v>
      </c>
      <c r="N3526" s="8" t="s">
        <v>183</v>
      </c>
      <c r="O3526" s="7"/>
      <c r="P3526" s="2" t="s">
        <v>7693</v>
      </c>
      <c r="Q3526" s="7"/>
      <c r="R3526" s="1"/>
      <c r="S3526" s="1" t="str">
        <f>"J-UN-2021-1629"</f>
        <v>J-UN-2021-1629</v>
      </c>
      <c r="T3526" s="1" t="s">
        <v>32</v>
      </c>
    </row>
    <row r="3527" spans="1:20" ht="51" x14ac:dyDescent="0.25">
      <c r="A3527" s="6">
        <v>3521</v>
      </c>
      <c r="B3527" s="1" t="str">
        <f>"2021-321"</f>
        <v>2021-321</v>
      </c>
      <c r="C3527" s="1" t="s">
        <v>2972</v>
      </c>
      <c r="D3527" s="1" t="s">
        <v>1203</v>
      </c>
      <c r="E3527" s="1" t="str">
        <f>""</f>
        <v/>
      </c>
      <c r="F3527" s="1" t="s">
        <v>1860</v>
      </c>
      <c r="G3527" s="1" t="str">
        <f>CONCATENATE(" SAFIR D.O.O.,"," HORVAĆANSKA 17,"," 10000 ZAGREB,"," OIB: 33548604975")</f>
        <v xml:space="preserve"> SAFIR D.O.O., HORVAĆANSKA 17, 10000 ZAGREB, OIB: 33548604975</v>
      </c>
      <c r="H3527" s="7"/>
      <c r="I3527" s="8" t="s">
        <v>2770</v>
      </c>
      <c r="J3527" s="8" t="s">
        <v>207</v>
      </c>
      <c r="K3527" s="6" t="str">
        <f>"1.100,00"</f>
        <v>1.100,00</v>
      </c>
      <c r="L3527" s="6" t="str">
        <f>"275,00"</f>
        <v>275,00</v>
      </c>
      <c r="M3527" s="6" t="str">
        <f>"1.375,00"</f>
        <v>1.375,00</v>
      </c>
      <c r="N3527" s="8" t="s">
        <v>225</v>
      </c>
      <c r="O3527" s="7"/>
      <c r="P3527" s="2" t="s">
        <v>7315</v>
      </c>
      <c r="Q3527" s="7"/>
      <c r="R3527" s="1"/>
      <c r="S3527" s="1" t="str">
        <f>"J-UN-2021-1631"</f>
        <v>J-UN-2021-1631</v>
      </c>
      <c r="T3527" s="1" t="s">
        <v>32</v>
      </c>
    </row>
    <row r="3528" spans="1:20" ht="51" x14ac:dyDescent="0.25">
      <c r="A3528" s="6">
        <v>3522</v>
      </c>
      <c r="B3528" s="1" t="str">
        <f>"2021-378"</f>
        <v>2021-378</v>
      </c>
      <c r="C3528" s="1" t="s">
        <v>2689</v>
      </c>
      <c r="D3528" s="1" t="s">
        <v>2577</v>
      </c>
      <c r="E3528" s="1" t="str">
        <f>""</f>
        <v/>
      </c>
      <c r="F3528" s="1" t="s">
        <v>1860</v>
      </c>
      <c r="G3528" s="1" t="str">
        <f>CONCATENATE(" TPZ D.O.O.,"," NOVOSELSKA 25,"," 10000 ZAGREB,"," OIB: 68119083236")</f>
        <v xml:space="preserve"> TPZ D.O.O., NOVOSELSKA 25, 10000 ZAGREB, OIB: 68119083236</v>
      </c>
      <c r="H3528" s="7"/>
      <c r="I3528" s="8" t="s">
        <v>585</v>
      </c>
      <c r="J3528" s="8" t="s">
        <v>227</v>
      </c>
      <c r="K3528" s="6" t="str">
        <f>"6.952,65"</f>
        <v>6.952,65</v>
      </c>
      <c r="L3528" s="6" t="str">
        <f>"1.738,16"</f>
        <v>1.738,16</v>
      </c>
      <c r="M3528" s="6" t="str">
        <f>"8.690,81"</f>
        <v>8.690,81</v>
      </c>
      <c r="N3528" s="8" t="s">
        <v>2770</v>
      </c>
      <c r="O3528" s="7"/>
      <c r="P3528" s="2" t="s">
        <v>7694</v>
      </c>
      <c r="Q3528" s="7"/>
      <c r="R3528" s="1"/>
      <c r="S3528" s="1" t="str">
        <f>"J-UN-2021-1632"</f>
        <v>J-UN-2021-1632</v>
      </c>
      <c r="T3528" s="1" t="s">
        <v>32</v>
      </c>
    </row>
    <row r="3529" spans="1:20" ht="51" x14ac:dyDescent="0.25">
      <c r="A3529" s="6">
        <v>3523</v>
      </c>
      <c r="B3529" s="1" t="str">
        <f>"2021-905"</f>
        <v>2021-905</v>
      </c>
      <c r="C3529" s="1" t="s">
        <v>2798</v>
      </c>
      <c r="D3529" s="1" t="s">
        <v>914</v>
      </c>
      <c r="E3529" s="1" t="str">
        <f>""</f>
        <v/>
      </c>
      <c r="F3529" s="1" t="s">
        <v>1860</v>
      </c>
      <c r="G3529" s="1" t="str">
        <f>CONCATENATE(" D.R. AUTO D.O.O.,"," SELSKA CESTA 34,"," 10000 ZAGREB,"," OIB: 07523847158")</f>
        <v xml:space="preserve"> D.R. AUTO D.O.O., SELSKA CESTA 34, 10000 ZAGREB, OIB: 07523847158</v>
      </c>
      <c r="H3529" s="7"/>
      <c r="I3529" s="8" t="s">
        <v>586</v>
      </c>
      <c r="J3529" s="8" t="s">
        <v>525</v>
      </c>
      <c r="K3529" s="6" t="str">
        <f>"1.670,40"</f>
        <v>1.670,40</v>
      </c>
      <c r="L3529" s="6" t="str">
        <f>"417,60"</f>
        <v>417,60</v>
      </c>
      <c r="M3529" s="6" t="str">
        <f>"2.088,00"</f>
        <v>2.088,00</v>
      </c>
      <c r="N3529" s="8" t="s">
        <v>586</v>
      </c>
      <c r="O3529" s="7"/>
      <c r="P3529" s="2" t="s">
        <v>7695</v>
      </c>
      <c r="Q3529" s="7"/>
      <c r="R3529" s="1"/>
      <c r="S3529" s="1" t="str">
        <f>"J-UN-2021-1636"</f>
        <v>J-UN-2021-1636</v>
      </c>
      <c r="T3529" s="1" t="s">
        <v>32</v>
      </c>
    </row>
    <row r="3530" spans="1:20" ht="51" x14ac:dyDescent="0.25">
      <c r="A3530" s="6">
        <v>3524</v>
      </c>
      <c r="B3530" s="1" t="str">
        <f>"2021-776"</f>
        <v>2021-776</v>
      </c>
      <c r="C3530" s="1" t="s">
        <v>2628</v>
      </c>
      <c r="D3530" s="1" t="s">
        <v>2010</v>
      </c>
      <c r="E3530" s="1" t="str">
        <f>""</f>
        <v/>
      </c>
      <c r="F3530" s="1" t="s">
        <v>1860</v>
      </c>
      <c r="G3530" s="1" t="str">
        <f>CONCATENATE(" INSTITUT IGH D.D.,"," JANKA RAKUŠE 1,"," 10000 ZAGREB,"," OIB: 79766124714")</f>
        <v xml:space="preserve"> INSTITUT IGH D.D., JANKA RAKUŠE 1, 10000 ZAGREB, OIB: 79766124714</v>
      </c>
      <c r="H3530" s="7"/>
      <c r="I3530" s="8" t="s">
        <v>586</v>
      </c>
      <c r="J3530" s="8" t="s">
        <v>525</v>
      </c>
      <c r="K3530" s="6" t="str">
        <f>"9.120,00"</f>
        <v>9.120,00</v>
      </c>
      <c r="L3530" s="6" t="str">
        <f>"2.280,00"</f>
        <v>2.280,00</v>
      </c>
      <c r="M3530" s="6" t="str">
        <f>"11.400,00"</f>
        <v>11.400,00</v>
      </c>
      <c r="N3530" s="8" t="s">
        <v>126</v>
      </c>
      <c r="O3530" s="7"/>
      <c r="P3530" s="2" t="s">
        <v>7696</v>
      </c>
      <c r="Q3530" s="7"/>
      <c r="R3530" s="1"/>
      <c r="S3530" s="1" t="str">
        <f>"J-UN-2021-1637"</f>
        <v>J-UN-2021-1637</v>
      </c>
      <c r="T3530" s="1" t="s">
        <v>32</v>
      </c>
    </row>
    <row r="3531" spans="1:20" ht="51" x14ac:dyDescent="0.25">
      <c r="A3531" s="6">
        <v>3525</v>
      </c>
      <c r="B3531" s="1" t="str">
        <f>"2021-192"</f>
        <v>2021-192</v>
      </c>
      <c r="C3531" s="1" t="s">
        <v>2722</v>
      </c>
      <c r="D3531" s="1" t="s">
        <v>689</v>
      </c>
      <c r="E3531" s="1" t="str">
        <f>""</f>
        <v/>
      </c>
      <c r="F3531" s="1" t="s">
        <v>1860</v>
      </c>
      <c r="G3531" s="1" t="str">
        <f>CONCATENATE(" BASIC MODEL D.O.O.,"," TRAVANJSKA 19,"," 10000 ZAGREB,"," OIB: 64150104602")</f>
        <v xml:space="preserve"> BASIC MODEL D.O.O., TRAVANJSKA 19, 10000 ZAGREB, OIB: 64150104602</v>
      </c>
      <c r="H3531" s="7"/>
      <c r="I3531" s="8" t="s">
        <v>2770</v>
      </c>
      <c r="J3531" s="8" t="s">
        <v>207</v>
      </c>
      <c r="K3531" s="6" t="str">
        <f>"3.450,00"</f>
        <v>3.450,00</v>
      </c>
      <c r="L3531" s="6" t="str">
        <f>"862,50"</f>
        <v>862,50</v>
      </c>
      <c r="M3531" s="6" t="str">
        <f>"4.312,50"</f>
        <v>4.312,50</v>
      </c>
      <c r="N3531" s="8" t="s">
        <v>134</v>
      </c>
      <c r="O3531" s="7"/>
      <c r="P3531" s="2" t="s">
        <v>7697</v>
      </c>
      <c r="Q3531" s="7"/>
      <c r="R3531" s="1"/>
      <c r="S3531" s="1" t="str">
        <f>"J-UN-2021-1638"</f>
        <v>J-UN-2021-1638</v>
      </c>
      <c r="T3531" s="1" t="s">
        <v>32</v>
      </c>
    </row>
    <row r="3532" spans="1:20" ht="63.75" x14ac:dyDescent="0.25">
      <c r="A3532" s="6">
        <v>3526</v>
      </c>
      <c r="B3532" s="1" t="str">
        <f>"2021-2177"</f>
        <v>2021-2177</v>
      </c>
      <c r="C3532" s="1" t="s">
        <v>2973</v>
      </c>
      <c r="D3532" s="1" t="s">
        <v>2974</v>
      </c>
      <c r="E3532" s="1" t="str">
        <f>""</f>
        <v/>
      </c>
      <c r="F3532" s="1" t="s">
        <v>1860</v>
      </c>
      <c r="G3532" s="1" t="str">
        <f>CONCATENATE(" POLIESTER BRAJDIĆ D.O.O.,"," AUGUSTA ŠENOE 40,"," 10431 SVETA NEDELJA,"," OIB: 5463486")</f>
        <v xml:space="preserve"> POLIESTER BRAJDIĆ D.O.O., AUGUSTA ŠENOE 40, 10431 SVETA NEDELJA, OIB: 5463486</v>
      </c>
      <c r="H3532" s="7"/>
      <c r="I3532" s="8" t="s">
        <v>2921</v>
      </c>
      <c r="J3532" s="8" t="s">
        <v>458</v>
      </c>
      <c r="K3532" s="6" t="str">
        <f>"276.720,00"</f>
        <v>276.720,00</v>
      </c>
      <c r="L3532" s="6" t="str">
        <f>"69.180,00"</f>
        <v>69.180,00</v>
      </c>
      <c r="M3532" s="6" t="str">
        <f>"345.900,00"</f>
        <v>345.900,00</v>
      </c>
      <c r="N3532" s="8" t="s">
        <v>124</v>
      </c>
      <c r="O3532" s="7"/>
      <c r="P3532" s="2" t="s">
        <v>5614</v>
      </c>
      <c r="Q3532" s="7"/>
      <c r="R3532" s="1"/>
      <c r="S3532" s="1" t="str">
        <f>"J-UN-2021-1639"</f>
        <v>J-UN-2021-1639</v>
      </c>
      <c r="T3532" s="1" t="s">
        <v>32</v>
      </c>
    </row>
    <row r="3533" spans="1:20" ht="63.75" x14ac:dyDescent="0.25">
      <c r="A3533" s="6">
        <v>3527</v>
      </c>
      <c r="B3533" s="1" t="str">
        <f>"2021-458"</f>
        <v>2021-458</v>
      </c>
      <c r="C3533" s="1" t="s">
        <v>2738</v>
      </c>
      <c r="D3533" s="1" t="s">
        <v>2739</v>
      </c>
      <c r="E3533" s="1" t="str">
        <f>""</f>
        <v/>
      </c>
      <c r="F3533" s="1" t="s">
        <v>1860</v>
      </c>
      <c r="G3533" s="1" t="str">
        <f>CONCATENATE(" A.M.I. COMMERCE - LOVREKOVIĆ d.o.o.,"," MAKSIMIRSKA 100,"," 10000 ZAGREB,"," OIB: 55326209639")</f>
        <v xml:space="preserve"> A.M.I. COMMERCE - LOVREKOVIĆ d.o.o., MAKSIMIRSKA 100, 10000 ZAGREB, OIB: 55326209639</v>
      </c>
      <c r="H3533" s="7"/>
      <c r="I3533" s="8" t="s">
        <v>2770</v>
      </c>
      <c r="J3533" s="8" t="s">
        <v>207</v>
      </c>
      <c r="K3533" s="6" t="str">
        <f>"6.436,20"</f>
        <v>6.436,20</v>
      </c>
      <c r="L3533" s="6" t="str">
        <f>"1.609,05"</f>
        <v>1.609,05</v>
      </c>
      <c r="M3533" s="6" t="str">
        <f>"8.045,25"</f>
        <v>8.045,25</v>
      </c>
      <c r="N3533" s="8" t="s">
        <v>1530</v>
      </c>
      <c r="O3533" s="7"/>
      <c r="P3533" s="2" t="s">
        <v>7698</v>
      </c>
      <c r="Q3533" s="7"/>
      <c r="R3533" s="1"/>
      <c r="S3533" s="1" t="str">
        <f>"J-UN-2021-1641"</f>
        <v>J-UN-2021-1641</v>
      </c>
      <c r="T3533" s="1" t="s">
        <v>32</v>
      </c>
    </row>
    <row r="3534" spans="1:20" ht="51" x14ac:dyDescent="0.25">
      <c r="A3534" s="6">
        <v>3528</v>
      </c>
      <c r="B3534" s="1" t="str">
        <f>"2021-1231"</f>
        <v>2021-1231</v>
      </c>
      <c r="C3534" s="1" t="s">
        <v>2618</v>
      </c>
      <c r="D3534" s="1" t="s">
        <v>2619</v>
      </c>
      <c r="E3534" s="1" t="str">
        <f>""</f>
        <v/>
      </c>
      <c r="F3534" s="1" t="s">
        <v>1860</v>
      </c>
      <c r="G3534" s="1" t="str">
        <f>CONCATENATE(" TRA-MONT D.O.O.,"," MILIVOJA MATOŠECA 5,"," 10000 ZAGREB,"," OIB: 05336208843")</f>
        <v xml:space="preserve"> TRA-MONT D.O.O., MILIVOJA MATOŠECA 5, 10000 ZAGREB, OIB: 05336208843</v>
      </c>
      <c r="H3534" s="7"/>
      <c r="I3534" s="8" t="s">
        <v>586</v>
      </c>
      <c r="J3534" s="8" t="s">
        <v>525</v>
      </c>
      <c r="K3534" s="6" t="str">
        <f>"2.021,00"</f>
        <v>2.021,00</v>
      </c>
      <c r="L3534" s="6" t="str">
        <f>"505,25"</f>
        <v>505,25</v>
      </c>
      <c r="M3534" s="6" t="str">
        <f>"2.526,25"</f>
        <v>2.526,25</v>
      </c>
      <c r="N3534" s="8" t="s">
        <v>1257</v>
      </c>
      <c r="O3534" s="7"/>
      <c r="P3534" s="2" t="s">
        <v>7699</v>
      </c>
      <c r="Q3534" s="7"/>
      <c r="R3534" s="1"/>
      <c r="S3534" s="1" t="str">
        <f>"J-UN-2021-1642"</f>
        <v>J-UN-2021-1642</v>
      </c>
      <c r="T3534" s="1" t="s">
        <v>32</v>
      </c>
    </row>
    <row r="3535" spans="1:20" ht="63.75" x14ac:dyDescent="0.25">
      <c r="A3535" s="6">
        <v>3529</v>
      </c>
      <c r="B3535" s="1" t="str">
        <f>"2021-915"</f>
        <v>2021-915</v>
      </c>
      <c r="C3535" s="1" t="s">
        <v>2563</v>
      </c>
      <c r="D3535" s="1" t="s">
        <v>914</v>
      </c>
      <c r="E3535" s="1" t="str">
        <f>""</f>
        <v/>
      </c>
      <c r="F3535" s="1" t="s">
        <v>1860</v>
      </c>
      <c r="G3535" s="1" t="str">
        <f>CONCATENATE(" TOKIĆ D.O.O.,"," ULICA 144. BRIGADE HRVATSKE VOJSKE 1A,"," 10360 SESVETE,"," OIB: 7486748762")</f>
        <v xml:space="preserve"> TOKIĆ D.O.O., ULICA 144. BRIGADE HRVATSKE VOJSKE 1A, 10360 SESVETE, OIB: 7486748762</v>
      </c>
      <c r="H3535" s="7"/>
      <c r="I3535" s="8" t="s">
        <v>2770</v>
      </c>
      <c r="J3535" s="8" t="s">
        <v>207</v>
      </c>
      <c r="K3535" s="6" t="str">
        <f>"4.615,00"</f>
        <v>4.615,00</v>
      </c>
      <c r="L3535" s="6" t="str">
        <f>"1.153,75"</f>
        <v>1.153,75</v>
      </c>
      <c r="M3535" s="6" t="str">
        <f>"5.768,75"</f>
        <v>5.768,75</v>
      </c>
      <c r="N3535" s="8" t="s">
        <v>616</v>
      </c>
      <c r="O3535" s="7"/>
      <c r="P3535" s="2" t="s">
        <v>7700</v>
      </c>
      <c r="Q3535" s="7"/>
      <c r="R3535" s="1"/>
      <c r="S3535" s="1" t="str">
        <f>"J-UN-2021-1643"</f>
        <v>J-UN-2021-1643</v>
      </c>
      <c r="T3535" s="1" t="s">
        <v>32</v>
      </c>
    </row>
    <row r="3536" spans="1:20" ht="63.75" x14ac:dyDescent="0.25">
      <c r="A3536" s="6">
        <v>3530</v>
      </c>
      <c r="B3536" s="1" t="str">
        <f>"2021-1168"</f>
        <v>2021-1168</v>
      </c>
      <c r="C3536" s="1" t="s">
        <v>2784</v>
      </c>
      <c r="D3536" s="1" t="s">
        <v>2785</v>
      </c>
      <c r="E3536" s="1" t="str">
        <f>""</f>
        <v/>
      </c>
      <c r="F3536" s="1" t="s">
        <v>1860</v>
      </c>
      <c r="G3536" s="1" t="str">
        <f>CONCATENATE(" KUM TRADE ENGINEERING D.O.O.,"," SAVSKI GAJ XIII PUT 2,"," 10000 ZAGREB,"," OIB: 15856331916")</f>
        <v xml:space="preserve"> KUM TRADE ENGINEERING D.O.O., SAVSKI GAJ XIII PUT 2, 10000 ZAGREB, OIB: 15856331916</v>
      </c>
      <c r="H3536" s="7"/>
      <c r="I3536" s="8" t="s">
        <v>2934</v>
      </c>
      <c r="J3536" s="8" t="s">
        <v>1009</v>
      </c>
      <c r="K3536" s="6" t="str">
        <f>"594,00"</f>
        <v>594,00</v>
      </c>
      <c r="L3536" s="6" t="str">
        <f>"148,50"</f>
        <v>148,50</v>
      </c>
      <c r="M3536" s="6" t="str">
        <f>"742,50"</f>
        <v>742,50</v>
      </c>
      <c r="N3536" s="8" t="s">
        <v>99</v>
      </c>
      <c r="O3536" s="7"/>
      <c r="P3536" s="2" t="s">
        <v>7701</v>
      </c>
      <c r="Q3536" s="7"/>
      <c r="R3536" s="1"/>
      <c r="S3536" s="1" t="str">
        <f>"J-UN-2021-1644"</f>
        <v>J-UN-2021-1644</v>
      </c>
      <c r="T3536" s="1" t="s">
        <v>32</v>
      </c>
    </row>
    <row r="3537" spans="1:20" ht="51" x14ac:dyDescent="0.25">
      <c r="A3537" s="6">
        <v>3531</v>
      </c>
      <c r="B3537" s="1" t="str">
        <f>"2021-239"</f>
        <v>2021-239</v>
      </c>
      <c r="C3537" s="1" t="s">
        <v>2687</v>
      </c>
      <c r="D3537" s="1" t="s">
        <v>2688</v>
      </c>
      <c r="E3537" s="1" t="str">
        <f>""</f>
        <v/>
      </c>
      <c r="F3537" s="1" t="s">
        <v>1860</v>
      </c>
      <c r="G3537" s="1" t="str">
        <f>CONCATENATE(" BASIC D.O.O.,"," BJELOVARSKA ULICA 1,"," 21000 SPLIT,"," OIB: 5207275329")</f>
        <v xml:space="preserve"> BASIC D.O.O., BJELOVARSKA ULICA 1, 21000 SPLIT, OIB: 5207275329</v>
      </c>
      <c r="H3537" s="7"/>
      <c r="I3537" s="8" t="s">
        <v>2918</v>
      </c>
      <c r="J3537" s="8" t="s">
        <v>1009</v>
      </c>
      <c r="K3537" s="6" t="str">
        <f>"2.464,50"</f>
        <v>2.464,50</v>
      </c>
      <c r="L3537" s="6" t="str">
        <f>"616,13"</f>
        <v>616,13</v>
      </c>
      <c r="M3537" s="6" t="str">
        <f>"3.080,63"</f>
        <v>3.080,63</v>
      </c>
      <c r="N3537" s="8" t="s">
        <v>177</v>
      </c>
      <c r="O3537" s="7"/>
      <c r="P3537" s="2" t="s">
        <v>7702</v>
      </c>
      <c r="Q3537" s="7"/>
      <c r="R3537" s="1"/>
      <c r="S3537" s="1" t="str">
        <f>"J-UN-2021-1645"</f>
        <v>J-UN-2021-1645</v>
      </c>
      <c r="T3537" s="1" t="s">
        <v>32</v>
      </c>
    </row>
    <row r="3538" spans="1:20" ht="76.5" x14ac:dyDescent="0.25">
      <c r="A3538" s="6">
        <v>3532</v>
      </c>
      <c r="B3538" s="1" t="str">
        <f>"2021-1205"</f>
        <v>2021-1205</v>
      </c>
      <c r="C3538" s="1" t="s">
        <v>2892</v>
      </c>
      <c r="D3538" s="1" t="s">
        <v>1627</v>
      </c>
      <c r="E3538" s="1" t="str">
        <f>""</f>
        <v/>
      </c>
      <c r="F3538" s="1" t="s">
        <v>1860</v>
      </c>
      <c r="G3538" s="1" t="str">
        <f>CONCATENATE(" ELICOM D.O.O.,"," ŠTEFANOVEC 138,"," 10000 ZAGREB,"," OIB: 76370234816")</f>
        <v xml:space="preserve"> ELICOM D.O.O., ŠTEFANOVEC 138, 10000 ZAGREB, OIB: 76370234816</v>
      </c>
      <c r="H3538" s="7"/>
      <c r="I3538" s="8" t="s">
        <v>585</v>
      </c>
      <c r="J3538" s="8" t="s">
        <v>227</v>
      </c>
      <c r="K3538" s="6" t="str">
        <f>"8.473,35"</f>
        <v>8.473,35</v>
      </c>
      <c r="L3538" s="6" t="str">
        <f>"2.118,34"</f>
        <v>2.118,34</v>
      </c>
      <c r="M3538" s="6" t="str">
        <f>"10.591,69"</f>
        <v>10.591,69</v>
      </c>
      <c r="N3538" s="8" t="s">
        <v>98</v>
      </c>
      <c r="O3538" s="7"/>
      <c r="P3538" s="2" t="s">
        <v>7703</v>
      </c>
      <c r="Q3538" s="1" t="s">
        <v>5601</v>
      </c>
      <c r="R3538" s="1"/>
      <c r="S3538" s="1" t="str">
        <f>"J-UN-2021-1646"</f>
        <v>J-UN-2021-1646</v>
      </c>
      <c r="T3538" s="1" t="s">
        <v>32</v>
      </c>
    </row>
    <row r="3539" spans="1:20" ht="63.75" x14ac:dyDescent="0.25">
      <c r="A3539" s="6">
        <v>3533</v>
      </c>
      <c r="B3539" s="1" t="str">
        <f>"2021-378"</f>
        <v>2021-378</v>
      </c>
      <c r="C3539" s="1" t="s">
        <v>2689</v>
      </c>
      <c r="D3539" s="1" t="s">
        <v>2577</v>
      </c>
      <c r="E3539" s="1" t="str">
        <f>""</f>
        <v/>
      </c>
      <c r="F3539" s="1" t="s">
        <v>1860</v>
      </c>
      <c r="G3539" s="1" t="str">
        <f>CONCATENATE(" GRA-PO D.O.O.,"," GOSPODARSKA 5B,"," 10255 ZAGREB - STUPNIK,"," OIB: 05364995085")</f>
        <v xml:space="preserve"> GRA-PO D.O.O., GOSPODARSKA 5B, 10255 ZAGREB - STUPNIK, OIB: 05364995085</v>
      </c>
      <c r="H3539" s="7"/>
      <c r="I3539" s="8" t="s">
        <v>585</v>
      </c>
      <c r="J3539" s="8" t="s">
        <v>227</v>
      </c>
      <c r="K3539" s="6" t="str">
        <f>"18.403,00"</f>
        <v>18.403,00</v>
      </c>
      <c r="L3539" s="6" t="str">
        <f>"4.600,75"</f>
        <v>4.600,75</v>
      </c>
      <c r="M3539" s="6" t="str">
        <f>"23.003,75"</f>
        <v>23.003,75</v>
      </c>
      <c r="N3539" s="8" t="s">
        <v>1067</v>
      </c>
      <c r="O3539" s="7"/>
      <c r="P3539" s="2" t="s">
        <v>7704</v>
      </c>
      <c r="Q3539" s="7"/>
      <c r="R3539" s="1"/>
      <c r="S3539" s="1" t="str">
        <f>"J-UN-2021-1647"</f>
        <v>J-UN-2021-1647</v>
      </c>
      <c r="T3539" s="1" t="s">
        <v>32</v>
      </c>
    </row>
    <row r="3540" spans="1:20" ht="89.25" x14ac:dyDescent="0.25">
      <c r="A3540" s="6">
        <v>3534</v>
      </c>
      <c r="B3540" s="1" t="str">
        <f>"2021-211"</f>
        <v>2021-211</v>
      </c>
      <c r="C3540" s="1" t="s">
        <v>2873</v>
      </c>
      <c r="D3540" s="1" t="s">
        <v>689</v>
      </c>
      <c r="E3540" s="1" t="str">
        <f>""</f>
        <v/>
      </c>
      <c r="F3540" s="1" t="s">
        <v>1860</v>
      </c>
      <c r="G3540" s="1" t="str">
        <f>CONCATENATE(" ZAVOD ZA ISTRAŽIVANJE I RAZVOJ SIGURNOSTI D.O.O.,"," ULICA GRADA VUKOVARA 68,"," 10000 ZAGREB,"," OIB: 05494093403")</f>
        <v xml:space="preserve"> ZAVOD ZA ISTRAŽIVANJE I RAZVOJ SIGURNOSTI D.O.O., ULICA GRADA VUKOVARA 68, 10000 ZAGREB, OIB: 05494093403</v>
      </c>
      <c r="H3540" s="7"/>
      <c r="I3540" s="8" t="s">
        <v>2770</v>
      </c>
      <c r="J3540" s="8" t="s">
        <v>207</v>
      </c>
      <c r="K3540" s="6" t="str">
        <f>"6.482,50"</f>
        <v>6.482,50</v>
      </c>
      <c r="L3540" s="6" t="str">
        <f>"1.620,63"</f>
        <v>1.620,63</v>
      </c>
      <c r="M3540" s="6" t="str">
        <f>"8.103,13"</f>
        <v>8.103,13</v>
      </c>
      <c r="N3540" s="8" t="s">
        <v>99</v>
      </c>
      <c r="O3540" s="7"/>
      <c r="P3540" s="2" t="s">
        <v>7705</v>
      </c>
      <c r="Q3540" s="7"/>
      <c r="R3540" s="1"/>
      <c r="S3540" s="1" t="str">
        <f>"J-UN-2021-1648"</f>
        <v>J-UN-2021-1648</v>
      </c>
      <c r="T3540" s="1" t="s">
        <v>32</v>
      </c>
    </row>
    <row r="3541" spans="1:20" ht="51" x14ac:dyDescent="0.25">
      <c r="A3541" s="6">
        <v>3535</v>
      </c>
      <c r="B3541" s="1" t="str">
        <f>"2021-915"</f>
        <v>2021-915</v>
      </c>
      <c r="C3541" s="1" t="s">
        <v>2563</v>
      </c>
      <c r="D3541" s="1" t="s">
        <v>914</v>
      </c>
      <c r="E3541" s="1" t="str">
        <f>""</f>
        <v/>
      </c>
      <c r="F3541" s="1" t="s">
        <v>1860</v>
      </c>
      <c r="G3541" s="1" t="str">
        <f>CONCATENATE(" D.R. AUTO D.O.O.,"," SELSKA CESTA 34,"," 10000 ZAGREB,"," OIB: 07523847158")</f>
        <v xml:space="preserve"> D.R. AUTO D.O.O., SELSKA CESTA 34, 10000 ZAGREB, OIB: 07523847158</v>
      </c>
      <c r="H3541" s="7"/>
      <c r="I3541" s="8" t="s">
        <v>585</v>
      </c>
      <c r="J3541" s="8" t="s">
        <v>227</v>
      </c>
      <c r="K3541" s="6" t="str">
        <f>"2.733,60"</f>
        <v>2.733,60</v>
      </c>
      <c r="L3541" s="6" t="str">
        <f>"683,40"</f>
        <v>683,40</v>
      </c>
      <c r="M3541" s="6" t="str">
        <f>"3.417,00"</f>
        <v>3.417,00</v>
      </c>
      <c r="N3541" s="8" t="s">
        <v>585</v>
      </c>
      <c r="O3541" s="7"/>
      <c r="P3541" s="2" t="s">
        <v>7706</v>
      </c>
      <c r="Q3541" s="7"/>
      <c r="R3541" s="1"/>
      <c r="S3541" s="1" t="str">
        <f>"J-UN-2021-1649"</f>
        <v>J-UN-2021-1649</v>
      </c>
      <c r="T3541" s="1" t="s">
        <v>32</v>
      </c>
    </row>
    <row r="3542" spans="1:20" ht="51" x14ac:dyDescent="0.25">
      <c r="A3542" s="6">
        <v>3536</v>
      </c>
      <c r="B3542" s="1" t="str">
        <f>"2021-983"</f>
        <v>2021-983</v>
      </c>
      <c r="C3542" s="1" t="s">
        <v>2690</v>
      </c>
      <c r="D3542" s="1" t="s">
        <v>2691</v>
      </c>
      <c r="E3542" s="1" t="str">
        <f>""</f>
        <v/>
      </c>
      <c r="F3542" s="1" t="s">
        <v>1860</v>
      </c>
      <c r="G3542" s="1" t="str">
        <f>CONCATENATE(" VODOSKOK D.D.,"," ČULINEČKA CESTA 221/C,"," 10040 ZAGREB,"," OIB: 34134218058")</f>
        <v xml:space="preserve"> VODOSKOK D.D., ČULINEČKA CESTA 221/C, 10040 ZAGREB, OIB: 34134218058</v>
      </c>
      <c r="H3542" s="7"/>
      <c r="I3542" s="8" t="s">
        <v>2934</v>
      </c>
      <c r="J3542" s="8" t="s">
        <v>1009</v>
      </c>
      <c r="K3542" s="6" t="str">
        <f>"900,00"</f>
        <v>900,00</v>
      </c>
      <c r="L3542" s="6" t="str">
        <f>"225,00"</f>
        <v>225,00</v>
      </c>
      <c r="M3542" s="6" t="str">
        <f>"1.125,00"</f>
        <v>1.125,00</v>
      </c>
      <c r="N3542" s="8" t="s">
        <v>616</v>
      </c>
      <c r="O3542" s="7"/>
      <c r="P3542" s="2" t="s">
        <v>6769</v>
      </c>
      <c r="Q3542" s="7"/>
      <c r="R3542" s="1"/>
      <c r="S3542" s="1" t="str">
        <f>"J-UN-2021-1651"</f>
        <v>J-UN-2021-1651</v>
      </c>
      <c r="T3542" s="1" t="s">
        <v>32</v>
      </c>
    </row>
    <row r="3543" spans="1:20" ht="51" x14ac:dyDescent="0.25">
      <c r="A3543" s="6">
        <v>3537</v>
      </c>
      <c r="B3543" s="1" t="str">
        <f>"2021-981"</f>
        <v>2021-981</v>
      </c>
      <c r="C3543" s="1" t="s">
        <v>2615</v>
      </c>
      <c r="D3543" s="1" t="s">
        <v>999</v>
      </c>
      <c r="E3543" s="1" t="str">
        <f>""</f>
        <v/>
      </c>
      <c r="F3543" s="1" t="s">
        <v>1860</v>
      </c>
      <c r="G3543" s="1" t="str">
        <f>CONCATENATE(" INSAKO D.O.O.,"," PUŽEVA 11,"," 10000 ZAGREB,"," OIB: 39851720584")</f>
        <v xml:space="preserve"> INSAKO D.O.O., PUŽEVA 11, 10000 ZAGREB, OIB: 39851720584</v>
      </c>
      <c r="H3543" s="7"/>
      <c r="I3543" s="8" t="s">
        <v>2770</v>
      </c>
      <c r="J3543" s="8" t="s">
        <v>207</v>
      </c>
      <c r="K3543" s="6" t="str">
        <f>"12.322,00"</f>
        <v>12.322,00</v>
      </c>
      <c r="L3543" s="6" t="str">
        <f>"3.080,50"</f>
        <v>3.080,50</v>
      </c>
      <c r="M3543" s="6" t="str">
        <f>"15.402,50"</f>
        <v>15.402,50</v>
      </c>
      <c r="N3543" s="8" t="s">
        <v>225</v>
      </c>
      <c r="O3543" s="7"/>
      <c r="P3543" s="2" t="s">
        <v>7707</v>
      </c>
      <c r="Q3543" s="7"/>
      <c r="R3543" s="1"/>
      <c r="S3543" s="1" t="str">
        <f>"J-UN-2021-1652"</f>
        <v>J-UN-2021-1652</v>
      </c>
      <c r="T3543" s="1" t="s">
        <v>32</v>
      </c>
    </row>
    <row r="3544" spans="1:20" ht="63.75" x14ac:dyDescent="0.25">
      <c r="A3544" s="6">
        <v>3538</v>
      </c>
      <c r="B3544" s="1" t="str">
        <f>"2021-2191"</f>
        <v>2021-2191</v>
      </c>
      <c r="C3544" s="1" t="s">
        <v>2975</v>
      </c>
      <c r="D3544" s="1" t="s">
        <v>1986</v>
      </c>
      <c r="E3544" s="1" t="str">
        <f>""</f>
        <v/>
      </c>
      <c r="F3544" s="1" t="s">
        <v>1860</v>
      </c>
      <c r="G3544" s="1" t="str">
        <f>CONCATENATE(" BODROŽIĆ,"," RALIŠ I PRIJATELJI J.D.O.O.,"," ULICA GRADA CHICAGA 26,"," 10000 ZAGREB,"," OIB: 33143360337")</f>
        <v xml:space="preserve"> BODROŽIĆ, RALIŠ I PRIJATELJI J.D.O.O., ULICA GRADA CHICAGA 26, 10000 ZAGREB, OIB: 33143360337</v>
      </c>
      <c r="H3544" s="7"/>
      <c r="I3544" s="8" t="s">
        <v>1257</v>
      </c>
      <c r="J3544" s="8" t="s">
        <v>2976</v>
      </c>
      <c r="K3544" s="6" t="str">
        <f>"110.000,00"</f>
        <v>110.000,00</v>
      </c>
      <c r="L3544" s="6" t="str">
        <f>"27.500,00"</f>
        <v>27.500,00</v>
      </c>
      <c r="M3544" s="6" t="str">
        <f>"137.500,00"</f>
        <v>137.500,00</v>
      </c>
      <c r="N3544" s="8" t="s">
        <v>124</v>
      </c>
      <c r="O3544" s="7"/>
      <c r="P3544" s="2" t="s">
        <v>7041</v>
      </c>
      <c r="Q3544" s="7"/>
      <c r="R3544" s="1"/>
      <c r="S3544" s="1" t="str">
        <f>"J-UN-2021-1675"</f>
        <v>J-UN-2021-1675</v>
      </c>
      <c r="T3544" s="1" t="s">
        <v>32</v>
      </c>
    </row>
    <row r="3545" spans="1:20" ht="63.75" x14ac:dyDescent="0.25">
      <c r="A3545" s="6">
        <v>3539</v>
      </c>
      <c r="B3545" s="1" t="str">
        <f>"2021-2191"</f>
        <v>2021-2191</v>
      </c>
      <c r="C3545" s="1" t="s">
        <v>2975</v>
      </c>
      <c r="D3545" s="1" t="s">
        <v>1986</v>
      </c>
      <c r="E3545" s="1" t="str">
        <f>""</f>
        <v/>
      </c>
      <c r="F3545" s="1" t="s">
        <v>1860</v>
      </c>
      <c r="G3545" s="1" t="str">
        <f>CONCATENATE(" BODROŽIĆ,"," RALIŠ I PRIJATELJI J.D.O.O.,"," ULICA GRADA CHICAGA 26,"," 10000 ZAGREB,"," OIB: 33143360337")</f>
        <v xml:space="preserve"> BODROŽIĆ, RALIŠ I PRIJATELJI J.D.O.O., ULICA GRADA CHICAGA 26, 10000 ZAGREB, OIB: 33143360337</v>
      </c>
      <c r="H3545" s="7"/>
      <c r="I3545" s="8" t="s">
        <v>964</v>
      </c>
      <c r="J3545" s="8" t="s">
        <v>2976</v>
      </c>
      <c r="K3545" s="6" t="str">
        <f>"35.000,00"</f>
        <v>35.000,00</v>
      </c>
      <c r="L3545" s="6" t="str">
        <f>"8.750,00"</f>
        <v>8.750,00</v>
      </c>
      <c r="M3545" s="6" t="str">
        <f>"43.750,00"</f>
        <v>43.750,00</v>
      </c>
      <c r="N3545" s="8" t="s">
        <v>124</v>
      </c>
      <c r="O3545" s="7"/>
      <c r="P3545" s="2" t="s">
        <v>7143</v>
      </c>
      <c r="Q3545" s="7"/>
      <c r="R3545" s="1"/>
      <c r="S3545" s="1" t="str">
        <f>"J-UN-2021-1675#1"</f>
        <v>J-UN-2021-1675#1</v>
      </c>
      <c r="T3545" s="1" t="s">
        <v>32</v>
      </c>
    </row>
    <row r="3546" spans="1:20" ht="51" x14ac:dyDescent="0.25">
      <c r="A3546" s="6">
        <v>3540</v>
      </c>
      <c r="B3546" s="1" t="str">
        <f>"2021-1412"</f>
        <v>2021-1412</v>
      </c>
      <c r="C3546" s="1" t="s">
        <v>2779</v>
      </c>
      <c r="D3546" s="1" t="s">
        <v>2780</v>
      </c>
      <c r="E3546" s="1" t="str">
        <f>""</f>
        <v/>
      </c>
      <c r="F3546" s="1" t="s">
        <v>1860</v>
      </c>
      <c r="G3546" s="1" t="str">
        <f>CONCATENATE(" HANZA MEDIA D.O.O.,"," KORANSKA 2,"," 10000 ZAGREB,"," OIB: 79517545745")</f>
        <v xml:space="preserve"> HANZA MEDIA D.O.O., KORANSKA 2, 10000 ZAGREB, OIB: 79517545745</v>
      </c>
      <c r="H3546" s="7"/>
      <c r="I3546" s="8" t="s">
        <v>1257</v>
      </c>
      <c r="J3546" s="8" t="s">
        <v>2945</v>
      </c>
      <c r="K3546" s="6" t="str">
        <f>"445,71"</f>
        <v>445,71</v>
      </c>
      <c r="L3546" s="6" t="str">
        <f>"111,43"</f>
        <v>111,43</v>
      </c>
      <c r="M3546" s="6" t="str">
        <f>"557,14"</f>
        <v>557,14</v>
      </c>
      <c r="N3546" s="8" t="s">
        <v>124</v>
      </c>
      <c r="O3546" s="7"/>
      <c r="P3546" s="2" t="s">
        <v>5614</v>
      </c>
      <c r="Q3546" s="7"/>
      <c r="R3546" s="1"/>
      <c r="S3546" s="1" t="str">
        <f>"J-UN-2021-1676"</f>
        <v>J-UN-2021-1676</v>
      </c>
      <c r="T3546" s="1" t="s">
        <v>32</v>
      </c>
    </row>
    <row r="3547" spans="1:20" ht="51" x14ac:dyDescent="0.25">
      <c r="A3547" s="6">
        <v>3541</v>
      </c>
      <c r="B3547" s="1" t="str">
        <f>"2021-1412"</f>
        <v>2021-1412</v>
      </c>
      <c r="C3547" s="1" t="s">
        <v>2779</v>
      </c>
      <c r="D3547" s="1" t="s">
        <v>2780</v>
      </c>
      <c r="E3547" s="1" t="str">
        <f>""</f>
        <v/>
      </c>
      <c r="F3547" s="1" t="s">
        <v>1860</v>
      </c>
      <c r="G3547" s="1" t="str">
        <f>CONCATENATE(" VEČERNJI LIST D.O.O.,"," OREŠKOVIĆEVA 6H1,"," 10000 ZAGREB,"," OIB: 92276133102")</f>
        <v xml:space="preserve"> VEČERNJI LIST D.O.O., OREŠKOVIĆEVA 6H1, 10000 ZAGREB, OIB: 92276133102</v>
      </c>
      <c r="H3547" s="7"/>
      <c r="I3547" s="8" t="s">
        <v>1257</v>
      </c>
      <c r="J3547" s="8" t="s">
        <v>2945</v>
      </c>
      <c r="K3547" s="6" t="str">
        <f>"854,28"</f>
        <v>854,28</v>
      </c>
      <c r="L3547" s="6" t="str">
        <f>"213,57"</f>
        <v>213,57</v>
      </c>
      <c r="M3547" s="6" t="str">
        <f>"1.067,85"</f>
        <v>1.067,85</v>
      </c>
      <c r="N3547" s="8" t="s">
        <v>124</v>
      </c>
      <c r="O3547" s="7"/>
      <c r="P3547" s="2" t="s">
        <v>5614</v>
      </c>
      <c r="Q3547" s="7"/>
      <c r="R3547" s="1"/>
      <c r="S3547" s="1" t="str">
        <f>"J-UN-2021-1677"</f>
        <v>J-UN-2021-1677</v>
      </c>
      <c r="T3547" s="1" t="s">
        <v>32</v>
      </c>
    </row>
    <row r="3548" spans="1:20" ht="38.25" x14ac:dyDescent="0.25">
      <c r="A3548" s="6">
        <v>3542</v>
      </c>
      <c r="B3548" s="1" t="str">
        <f>"2021-980"</f>
        <v>2021-980</v>
      </c>
      <c r="C3548" s="1" t="s">
        <v>2606</v>
      </c>
      <c r="D3548" s="1" t="s">
        <v>2607</v>
      </c>
      <c r="E3548" s="1" t="str">
        <f>""</f>
        <v/>
      </c>
      <c r="F3548" s="1" t="s">
        <v>1860</v>
      </c>
      <c r="G3548" s="1" t="str">
        <f>CONCATENATE(" PREMIUM D.O.O.,"," ,"," OIB: 9905063644")</f>
        <v xml:space="preserve"> PREMIUM D.O.O., , OIB: 9905063644</v>
      </c>
      <c r="H3548" s="7"/>
      <c r="I3548" s="8" t="s">
        <v>2934</v>
      </c>
      <c r="J3548" s="8" t="s">
        <v>1009</v>
      </c>
      <c r="K3548" s="6" t="str">
        <f>"7.132,00"</f>
        <v>7.132,00</v>
      </c>
      <c r="L3548" s="6" t="str">
        <f>"1.783,00"</f>
        <v>1.783,00</v>
      </c>
      <c r="M3548" s="6" t="str">
        <f>"8.915,00"</f>
        <v>8.915,00</v>
      </c>
      <c r="N3548" s="8" t="s">
        <v>98</v>
      </c>
      <c r="O3548" s="7"/>
      <c r="P3548" s="2" t="s">
        <v>7708</v>
      </c>
      <c r="Q3548" s="7"/>
      <c r="R3548" s="1"/>
      <c r="S3548" s="1" t="str">
        <f>"J-UN-2021-1678"</f>
        <v>J-UN-2021-1678</v>
      </c>
      <c r="T3548" s="1" t="s">
        <v>32</v>
      </c>
    </row>
    <row r="3549" spans="1:20" ht="51" x14ac:dyDescent="0.25">
      <c r="A3549" s="6">
        <v>3543</v>
      </c>
      <c r="B3549" s="1" t="str">
        <f>"2021-1126"</f>
        <v>2021-1126</v>
      </c>
      <c r="C3549" s="1" t="s">
        <v>2856</v>
      </c>
      <c r="D3549" s="1" t="s">
        <v>1007</v>
      </c>
      <c r="E3549" s="1" t="str">
        <f>""</f>
        <v/>
      </c>
      <c r="F3549" s="1" t="s">
        <v>1860</v>
      </c>
      <c r="G3549" s="1" t="str">
        <f>CONCATENATE(" BLUEMONT D.O.O.,"," VINCEKOV BREG 20,"," 10000 ZAGREB,"," OIB: 54895392358")</f>
        <v xml:space="preserve"> BLUEMONT D.O.O., VINCEKOV BREG 20, 10000 ZAGREB, OIB: 54895392358</v>
      </c>
      <c r="H3549" s="7"/>
      <c r="I3549" s="8" t="s">
        <v>634</v>
      </c>
      <c r="J3549" s="8" t="s">
        <v>388</v>
      </c>
      <c r="K3549" s="6" t="str">
        <f>"54.110,88"</f>
        <v>54.110,88</v>
      </c>
      <c r="L3549" s="6" t="str">
        <f>"13.527,72"</f>
        <v>13.527,72</v>
      </c>
      <c r="M3549" s="6" t="str">
        <f>"67.638,60"</f>
        <v>67.638,60</v>
      </c>
      <c r="N3549" s="8" t="s">
        <v>183</v>
      </c>
      <c r="O3549" s="7"/>
      <c r="P3549" s="2" t="s">
        <v>7709</v>
      </c>
      <c r="Q3549" s="7"/>
      <c r="R3549" s="1"/>
      <c r="S3549" s="1" t="str">
        <f>"J-UN-2021-1679"</f>
        <v>J-UN-2021-1679</v>
      </c>
      <c r="T3549" s="1" t="s">
        <v>32</v>
      </c>
    </row>
    <row r="3550" spans="1:20" ht="51" x14ac:dyDescent="0.25">
      <c r="A3550" s="6">
        <v>3544</v>
      </c>
      <c r="B3550" s="1" t="str">
        <f>"2021-79"</f>
        <v>2021-79</v>
      </c>
      <c r="C3550" s="1" t="s">
        <v>2790</v>
      </c>
      <c r="D3550" s="1" t="s">
        <v>2791</v>
      </c>
      <c r="E3550" s="1" t="str">
        <f>""</f>
        <v/>
      </c>
      <c r="F3550" s="1" t="s">
        <v>1860</v>
      </c>
      <c r="G3550" s="1" t="str">
        <f>CONCATENATE(" ARBORI CULTURA D.O.O.,"," POKUPSKO 86,"," 10414 POKUPSKO,"," OIB: 16690651659")</f>
        <v xml:space="preserve"> ARBORI CULTURA D.O.O., POKUPSKO 86, 10414 POKUPSKO, OIB: 16690651659</v>
      </c>
      <c r="H3550" s="7"/>
      <c r="I3550" s="8" t="s">
        <v>634</v>
      </c>
      <c r="J3550" s="8" t="s">
        <v>388</v>
      </c>
      <c r="K3550" s="6" t="str">
        <f>"48.450,00"</f>
        <v>48.450,00</v>
      </c>
      <c r="L3550" s="6" t="str">
        <f>"12.112,50"</f>
        <v>12.112,50</v>
      </c>
      <c r="M3550" s="6" t="str">
        <f>"60.562,50"</f>
        <v>60.562,50</v>
      </c>
      <c r="N3550" s="8" t="s">
        <v>134</v>
      </c>
      <c r="O3550" s="7"/>
      <c r="P3550" s="2" t="s">
        <v>7710</v>
      </c>
      <c r="Q3550" s="7"/>
      <c r="R3550" s="1"/>
      <c r="S3550" s="1" t="str">
        <f>"J-UN-2021-1680"</f>
        <v>J-UN-2021-1680</v>
      </c>
      <c r="T3550" s="1" t="s">
        <v>32</v>
      </c>
    </row>
    <row r="3551" spans="1:20" ht="38.25" x14ac:dyDescent="0.25">
      <c r="A3551" s="6">
        <v>3545</v>
      </c>
      <c r="B3551" s="1" t="str">
        <f>"2021-547"</f>
        <v>2021-547</v>
      </c>
      <c r="C3551" s="1" t="s">
        <v>2909</v>
      </c>
      <c r="D3551" s="1" t="s">
        <v>1007</v>
      </c>
      <c r="E3551" s="1" t="str">
        <f>""</f>
        <v/>
      </c>
      <c r="F3551" s="1" t="s">
        <v>1860</v>
      </c>
      <c r="G3551" s="1" t="str">
        <f>CONCATENATE(" HIDROTERM-SD D.O.O.,"," ,"," OIB: 929030013")</f>
        <v xml:space="preserve"> HIDROTERM-SD D.O.O., , OIB: 929030013</v>
      </c>
      <c r="H3551" s="7"/>
      <c r="I3551" s="8" t="s">
        <v>1257</v>
      </c>
      <c r="J3551" s="8" t="s">
        <v>2945</v>
      </c>
      <c r="K3551" s="6" t="str">
        <f>"64.421,88"</f>
        <v>64.421,88</v>
      </c>
      <c r="L3551" s="6" t="str">
        <f>"16.105,47"</f>
        <v>16.105,47</v>
      </c>
      <c r="M3551" s="6" t="str">
        <f>"80.527,35"</f>
        <v>80.527,35</v>
      </c>
      <c r="N3551" s="8" t="s">
        <v>2770</v>
      </c>
      <c r="O3551" s="7"/>
      <c r="P3551" s="2" t="s">
        <v>7711</v>
      </c>
      <c r="Q3551" s="7"/>
      <c r="R3551" s="1"/>
      <c r="S3551" s="1" t="str">
        <f>"J-UN-2021-1683"</f>
        <v>J-UN-2021-1683</v>
      </c>
      <c r="T3551" s="1" t="s">
        <v>32</v>
      </c>
    </row>
    <row r="3552" spans="1:20" ht="63.75" x14ac:dyDescent="0.25">
      <c r="A3552" s="6">
        <v>3546</v>
      </c>
      <c r="B3552" s="1" t="str">
        <f>"2021-2336"</f>
        <v>2021-2336</v>
      </c>
      <c r="C3552" s="1" t="s">
        <v>2977</v>
      </c>
      <c r="D3552" s="1" t="s">
        <v>700</v>
      </c>
      <c r="E3552" s="1" t="str">
        <f>""</f>
        <v/>
      </c>
      <c r="F3552" s="1" t="s">
        <v>1860</v>
      </c>
      <c r="G3552" s="1" t="str">
        <f>CONCATENATE(" OMNIMERKUR D.O.O.,"," GORNJOSTUPNIČKA 1B,"," 10255 GORNJI STUPNIK,"," OIB: 43764396102")</f>
        <v xml:space="preserve"> OMNIMERKUR D.O.O., GORNJOSTUPNIČKA 1B, 10255 GORNJI STUPNIK, OIB: 43764396102</v>
      </c>
      <c r="H3552" s="7"/>
      <c r="I3552" s="8" t="s">
        <v>1076</v>
      </c>
      <c r="J3552" s="8" t="s">
        <v>1104</v>
      </c>
      <c r="K3552" s="6" t="str">
        <f>"131.500,00"</f>
        <v>131.500,00</v>
      </c>
      <c r="L3552" s="6" t="str">
        <f>"32.875,00"</f>
        <v>32.875,00</v>
      </c>
      <c r="M3552" s="6" t="str">
        <f>"164.375,00"</f>
        <v>164.375,00</v>
      </c>
      <c r="N3552" s="8" t="s">
        <v>771</v>
      </c>
      <c r="O3552" s="7"/>
      <c r="P3552" s="2" t="s">
        <v>7712</v>
      </c>
      <c r="Q3552" s="7"/>
      <c r="R3552" s="1"/>
      <c r="S3552" s="1" t="str">
        <f>"J-UN-2021-1684"</f>
        <v>J-UN-2021-1684</v>
      </c>
      <c r="T3552" s="1" t="s">
        <v>32</v>
      </c>
    </row>
    <row r="3553" spans="1:20" ht="51" x14ac:dyDescent="0.25">
      <c r="A3553" s="6">
        <v>3547</v>
      </c>
      <c r="B3553" s="1" t="str">
        <f>"2021-2340"</f>
        <v>2021-2340</v>
      </c>
      <c r="C3553" s="1" t="s">
        <v>2978</v>
      </c>
      <c r="D3553" s="1" t="s">
        <v>2362</v>
      </c>
      <c r="E3553" s="1" t="str">
        <f>""</f>
        <v/>
      </c>
      <c r="F3553" s="1" t="s">
        <v>1860</v>
      </c>
      <c r="G3553" s="1" t="str">
        <f>CONCATENATE(" SENTA D.O.O.,"," SVETOKRIŠKA ULICA 17,"," 48260 KRIŽEVCI,"," OIB: 20997151105")</f>
        <v xml:space="preserve"> SENTA D.O.O., SVETOKRIŠKA ULICA 17, 48260 KRIŽEVCI, OIB: 20997151105</v>
      </c>
      <c r="H3553" s="7"/>
      <c r="I3553" s="8" t="s">
        <v>1076</v>
      </c>
      <c r="J3553" s="8" t="s">
        <v>1104</v>
      </c>
      <c r="K3553" s="6" t="str">
        <f>"150.000,00"</f>
        <v>150.000,00</v>
      </c>
      <c r="L3553" s="6" t="str">
        <f>"37.500,00"</f>
        <v>37.500,00</v>
      </c>
      <c r="M3553" s="6" t="str">
        <f>"187.500,00"</f>
        <v>187.500,00</v>
      </c>
      <c r="N3553" s="8" t="s">
        <v>291</v>
      </c>
      <c r="O3553" s="7"/>
      <c r="P3553" s="2" t="s">
        <v>5908</v>
      </c>
      <c r="Q3553" s="1"/>
      <c r="R3553" s="1"/>
      <c r="S3553" s="1" t="str">
        <f>"J-UN-2021-1687"</f>
        <v>J-UN-2021-1687</v>
      </c>
      <c r="T3553" s="1" t="s">
        <v>32</v>
      </c>
    </row>
    <row r="3554" spans="1:20" ht="51" x14ac:dyDescent="0.25">
      <c r="A3554" s="6">
        <v>3548</v>
      </c>
      <c r="B3554" s="1" t="str">
        <f>"2021-2323"</f>
        <v>2021-2323</v>
      </c>
      <c r="C3554" s="1" t="s">
        <v>2979</v>
      </c>
      <c r="D3554" s="1" t="s">
        <v>381</v>
      </c>
      <c r="E3554" s="1" t="str">
        <f>""</f>
        <v/>
      </c>
      <c r="F3554" s="1" t="s">
        <v>1860</v>
      </c>
      <c r="G3554" s="1" t="str">
        <f>CONCATENATE(" EKONERG D.O.O.,"," KORANSKA ULICA 5,"," 10000 ZAGREB,"," OIB: 71690188016")</f>
        <v xml:space="preserve"> EKONERG D.O.O., KORANSKA ULICA 5, 10000 ZAGREB, OIB: 71690188016</v>
      </c>
      <c r="H3554" s="7"/>
      <c r="I3554" s="8" t="s">
        <v>2921</v>
      </c>
      <c r="J3554" s="8" t="s">
        <v>458</v>
      </c>
      <c r="K3554" s="6" t="str">
        <f>"28.000,00"</f>
        <v>28.000,00</v>
      </c>
      <c r="L3554" s="6" t="str">
        <f>"7.000,00"</f>
        <v>7.000,00</v>
      </c>
      <c r="M3554" s="6" t="str">
        <f>"35.000,00"</f>
        <v>35.000,00</v>
      </c>
      <c r="N3554" s="8" t="s">
        <v>126</v>
      </c>
      <c r="O3554" s="7"/>
      <c r="P3554" s="2" t="s">
        <v>6834</v>
      </c>
      <c r="Q3554" s="7"/>
      <c r="R3554" s="1"/>
      <c r="S3554" s="1" t="str">
        <f>"J-UN-2021-1688"</f>
        <v>J-UN-2021-1688</v>
      </c>
      <c r="T3554" s="1" t="s">
        <v>32</v>
      </c>
    </row>
    <row r="3555" spans="1:20" ht="63.75" x14ac:dyDescent="0.25">
      <c r="A3555" s="6">
        <v>3549</v>
      </c>
      <c r="B3555" s="1" t="str">
        <f>"2021-478"</f>
        <v>2021-478</v>
      </c>
      <c r="C3555" s="1" t="s">
        <v>2714</v>
      </c>
      <c r="D3555" s="1" t="s">
        <v>619</v>
      </c>
      <c r="E3555" s="1" t="str">
        <f>""</f>
        <v/>
      </c>
      <c r="F3555" s="1" t="s">
        <v>1860</v>
      </c>
      <c r="G3555" s="1" t="str">
        <f>CONCATENATE(" TOKIĆ D.O.O.,"," ULICA 144. BRIGADE HRVATSKE VOJSKE 1A,"," 10360 SESVETE,"," OIB: 7486748762")</f>
        <v xml:space="preserve"> TOKIĆ D.O.O., ULICA 144. BRIGADE HRVATSKE VOJSKE 1A, 10360 SESVETE, OIB: 7486748762</v>
      </c>
      <c r="H3555" s="7"/>
      <c r="I3555" s="8" t="s">
        <v>1530</v>
      </c>
      <c r="J3555" s="8" t="s">
        <v>553</v>
      </c>
      <c r="K3555" s="6" t="str">
        <f>"18.550,00"</f>
        <v>18.550,00</v>
      </c>
      <c r="L3555" s="6" t="str">
        <f>"4.637,50"</f>
        <v>4.637,50</v>
      </c>
      <c r="M3555" s="6" t="str">
        <f>"23.187,50"</f>
        <v>23.187,50</v>
      </c>
      <c r="N3555" s="8" t="s">
        <v>698</v>
      </c>
      <c r="O3555" s="7"/>
      <c r="P3555" s="2" t="s">
        <v>7713</v>
      </c>
      <c r="Q3555" s="7"/>
      <c r="R3555" s="1"/>
      <c r="S3555" s="1" t="str">
        <f>"J-UN-2021-1691"</f>
        <v>J-UN-2021-1691</v>
      </c>
      <c r="T3555" s="1" t="s">
        <v>32</v>
      </c>
    </row>
    <row r="3556" spans="1:20" ht="51" x14ac:dyDescent="0.25">
      <c r="A3556" s="6">
        <v>3550</v>
      </c>
      <c r="B3556" s="1" t="str">
        <f>"2021-1154"</f>
        <v>2021-1154</v>
      </c>
      <c r="C3556" s="1" t="s">
        <v>2854</v>
      </c>
      <c r="D3556" s="1" t="s">
        <v>2855</v>
      </c>
      <c r="E3556" s="1" t="str">
        <f>""</f>
        <v/>
      </c>
      <c r="F3556" s="1" t="s">
        <v>1860</v>
      </c>
      <c r="G3556" s="1" t="str">
        <f>CONCATENATE(" TEHNO-HIDRAULIK D.O.O.,"," SAVIŠĆE 2,"," 10000 ZAGREB,"," OIB: 09925328419")</f>
        <v xml:space="preserve"> TEHNO-HIDRAULIK D.O.O., SAVIŠĆE 2, 10000 ZAGREB, OIB: 09925328419</v>
      </c>
      <c r="H3556" s="7"/>
      <c r="I3556" s="8" t="s">
        <v>1076</v>
      </c>
      <c r="J3556" s="8" t="s">
        <v>1104</v>
      </c>
      <c r="K3556" s="6" t="str">
        <f>"8.124,98"</f>
        <v>8.124,98</v>
      </c>
      <c r="L3556" s="6" t="str">
        <f>"2.031,25"</f>
        <v>2.031,25</v>
      </c>
      <c r="M3556" s="6" t="str">
        <f>"10.156,23"</f>
        <v>10.156,23</v>
      </c>
      <c r="N3556" s="8" t="s">
        <v>99</v>
      </c>
      <c r="O3556" s="7"/>
      <c r="P3556" s="2" t="s">
        <v>7714</v>
      </c>
      <c r="Q3556" s="7"/>
      <c r="R3556" s="1"/>
      <c r="S3556" s="1" t="str">
        <f>"J-UN-2021-1693"</f>
        <v>J-UN-2021-1693</v>
      </c>
      <c r="T3556" s="1" t="s">
        <v>32</v>
      </c>
    </row>
    <row r="3557" spans="1:20" ht="51" x14ac:dyDescent="0.25">
      <c r="A3557" s="6">
        <v>3551</v>
      </c>
      <c r="B3557" s="1" t="str">
        <f>"2021-318"</f>
        <v>2021-318</v>
      </c>
      <c r="C3557" s="1" t="s">
        <v>2608</v>
      </c>
      <c r="D3557" s="1" t="s">
        <v>1203</v>
      </c>
      <c r="E3557" s="1" t="str">
        <f>""</f>
        <v/>
      </c>
      <c r="F3557" s="1" t="s">
        <v>1860</v>
      </c>
      <c r="G3557" s="1" t="str">
        <f>CONCATENATE(" SAFIR D.O.O.,"," HORVAĆANSKA 17,"," 10000 ZAGREB,"," OIB: 33548604975")</f>
        <v xml:space="preserve"> SAFIR D.O.O., HORVAĆANSKA 17, 10000 ZAGREB, OIB: 33548604975</v>
      </c>
      <c r="H3557" s="7"/>
      <c r="I3557" s="8" t="s">
        <v>1530</v>
      </c>
      <c r="J3557" s="8" t="s">
        <v>553</v>
      </c>
      <c r="K3557" s="6" t="str">
        <f>"656,00"</f>
        <v>656,00</v>
      </c>
      <c r="L3557" s="6" t="str">
        <f>"164,00"</f>
        <v>164,00</v>
      </c>
      <c r="M3557" s="6" t="str">
        <f>"820,00"</f>
        <v>820,00</v>
      </c>
      <c r="N3557" s="8" t="s">
        <v>213</v>
      </c>
      <c r="O3557" s="7"/>
      <c r="P3557" s="2" t="s">
        <v>7715</v>
      </c>
      <c r="Q3557" s="7"/>
      <c r="R3557" s="1"/>
      <c r="S3557" s="1" t="str">
        <f>"J-UN-2021-1694"</f>
        <v>J-UN-2021-1694</v>
      </c>
      <c r="T3557" s="1" t="s">
        <v>32</v>
      </c>
    </row>
    <row r="3558" spans="1:20" ht="51" x14ac:dyDescent="0.25">
      <c r="A3558" s="6">
        <v>3552</v>
      </c>
      <c r="B3558" s="1" t="str">
        <f>"2021-117"</f>
        <v>2021-117</v>
      </c>
      <c r="C3558" s="1" t="s">
        <v>2841</v>
      </c>
      <c r="D3558" s="1" t="s">
        <v>2842</v>
      </c>
      <c r="E3558" s="1" t="str">
        <f>""</f>
        <v/>
      </c>
      <c r="F3558" s="1" t="s">
        <v>1860</v>
      </c>
      <c r="G3558" s="1" t="str">
        <f>CONCATENATE(" TAHOGRAF D.O.O.,"," DR. FRANJE TUĐMANA 24,"," 10431 SVETA NEDELJA,"," OIB: 73777060562")</f>
        <v xml:space="preserve"> TAHOGRAF D.O.O., DR. FRANJE TUĐMANA 24, 10431 SVETA NEDELJA, OIB: 73777060562</v>
      </c>
      <c r="H3558" s="7"/>
      <c r="I3558" s="8" t="s">
        <v>1530</v>
      </c>
      <c r="J3558" s="8" t="s">
        <v>553</v>
      </c>
      <c r="K3558" s="6" t="str">
        <f>"1.444,00"</f>
        <v>1.444,00</v>
      </c>
      <c r="L3558" s="6" t="str">
        <f>"361,00"</f>
        <v>361,00</v>
      </c>
      <c r="M3558" s="6" t="str">
        <f>"1.805,00"</f>
        <v>1.805,00</v>
      </c>
      <c r="N3558" s="8" t="s">
        <v>99</v>
      </c>
      <c r="O3558" s="7"/>
      <c r="P3558" s="2" t="s">
        <v>7716</v>
      </c>
      <c r="Q3558" s="7"/>
      <c r="R3558" s="1"/>
      <c r="S3558" s="1" t="str">
        <f>"J-UN-2021-1695"</f>
        <v>J-UN-2021-1695</v>
      </c>
      <c r="T3558" s="1" t="s">
        <v>32</v>
      </c>
    </row>
    <row r="3559" spans="1:20" ht="63.75" x14ac:dyDescent="0.25">
      <c r="A3559" s="6">
        <v>3553</v>
      </c>
      <c r="B3559" s="1" t="str">
        <f>"2021-1227"</f>
        <v>2021-1227</v>
      </c>
      <c r="C3559" s="1" t="s">
        <v>266</v>
      </c>
      <c r="D3559" s="1" t="s">
        <v>267</v>
      </c>
      <c r="E3559" s="1" t="str">
        <f>""</f>
        <v/>
      </c>
      <c r="F3559" s="1" t="s">
        <v>1860</v>
      </c>
      <c r="G3559" s="1" t="str">
        <f>CONCATENATE(" OTIS DIZALA D.O.O.,"," PRILAZ VLADISLAVA BRAJKOVIĆA 15,"," 10000 ZAGREB,"," OIB: 76080865307")</f>
        <v xml:space="preserve"> OTIS DIZALA D.O.O., PRILAZ VLADISLAVA BRAJKOVIĆA 15, 10000 ZAGREB, OIB: 76080865307</v>
      </c>
      <c r="H3559" s="7"/>
      <c r="I3559" s="8" t="s">
        <v>1530</v>
      </c>
      <c r="J3559" s="8" t="s">
        <v>553</v>
      </c>
      <c r="K3559" s="6" t="str">
        <f>"7.200,00"</f>
        <v>7.200,00</v>
      </c>
      <c r="L3559" s="6" t="str">
        <f>"1.800,00"</f>
        <v>1.800,00</v>
      </c>
      <c r="M3559" s="6" t="str">
        <f>"9.000,00"</f>
        <v>9.000,00</v>
      </c>
      <c r="N3559" s="8" t="s">
        <v>508</v>
      </c>
      <c r="O3559" s="7"/>
      <c r="P3559" s="2" t="s">
        <v>5806</v>
      </c>
      <c r="Q3559" s="1"/>
      <c r="R3559" s="1"/>
      <c r="S3559" s="1" t="str">
        <f>"J-UN-2021-1696"</f>
        <v>J-UN-2021-1696</v>
      </c>
      <c r="T3559" s="1" t="s">
        <v>32</v>
      </c>
    </row>
    <row r="3560" spans="1:20" ht="38.25" x14ac:dyDescent="0.25">
      <c r="A3560" s="6">
        <v>3554</v>
      </c>
      <c r="B3560" s="1" t="str">
        <f>"2021-1176"</f>
        <v>2021-1176</v>
      </c>
      <c r="C3560" s="1" t="s">
        <v>2815</v>
      </c>
      <c r="D3560" s="1" t="s">
        <v>1373</v>
      </c>
      <c r="E3560" s="1" t="str">
        <f>""</f>
        <v/>
      </c>
      <c r="F3560" s="1" t="s">
        <v>1860</v>
      </c>
      <c r="G3560" s="1" t="str">
        <f>CONCATENATE(" BLEKI d.o.o.,"," VOĆNJAK 15,"," 10000 ZAGREB,"," OIB: 90806632168")</f>
        <v xml:space="preserve"> BLEKI d.o.o., VOĆNJAK 15, 10000 ZAGREB, OIB: 90806632168</v>
      </c>
      <c r="H3560" s="7"/>
      <c r="I3560" s="8" t="s">
        <v>1076</v>
      </c>
      <c r="J3560" s="8" t="s">
        <v>1104</v>
      </c>
      <c r="K3560" s="6" t="str">
        <f>"1.471,00"</f>
        <v>1.471,00</v>
      </c>
      <c r="L3560" s="6" t="str">
        <f>"367,75"</f>
        <v>367,75</v>
      </c>
      <c r="M3560" s="6" t="str">
        <f>"1.838,75"</f>
        <v>1.838,75</v>
      </c>
      <c r="N3560" s="8" t="s">
        <v>134</v>
      </c>
      <c r="O3560" s="7"/>
      <c r="P3560" s="2" t="s">
        <v>7717</v>
      </c>
      <c r="Q3560" s="7"/>
      <c r="R3560" s="1"/>
      <c r="S3560" s="1" t="str">
        <f>"J-UN-2021-1698"</f>
        <v>J-UN-2021-1698</v>
      </c>
      <c r="T3560" s="1" t="s">
        <v>32</v>
      </c>
    </row>
    <row r="3561" spans="1:20" ht="63.75" x14ac:dyDescent="0.25">
      <c r="A3561" s="6">
        <v>3555</v>
      </c>
      <c r="B3561" s="1" t="str">
        <f>"2021-1015"</f>
        <v>2021-1015</v>
      </c>
      <c r="C3561" s="1" t="s">
        <v>2492</v>
      </c>
      <c r="D3561" s="1" t="s">
        <v>2493</v>
      </c>
      <c r="E3561" s="1" t="str">
        <f>""</f>
        <v/>
      </c>
      <c r="F3561" s="1" t="s">
        <v>1860</v>
      </c>
      <c r="G3561" s="1" t="str">
        <f>CONCATENATE(" TOKIĆ D.O.O.,"," ULICA 144. BRIGADE HRVATSKE VOJSKE 1A,"," 10360 SESVETE,"," OIB: 7486748762")</f>
        <v xml:space="preserve"> TOKIĆ D.O.O., ULICA 144. BRIGADE HRVATSKE VOJSKE 1A, 10360 SESVETE, OIB: 7486748762</v>
      </c>
      <c r="H3561" s="7"/>
      <c r="I3561" s="8" t="s">
        <v>134</v>
      </c>
      <c r="J3561" s="8" t="s">
        <v>383</v>
      </c>
      <c r="K3561" s="6" t="str">
        <f>"1.154,00"</f>
        <v>1.154,00</v>
      </c>
      <c r="L3561" s="6" t="str">
        <f>"288,50"</f>
        <v>288,50</v>
      </c>
      <c r="M3561" s="6" t="str">
        <f>"1.442,50"</f>
        <v>1.442,50</v>
      </c>
      <c r="N3561" s="8" t="s">
        <v>640</v>
      </c>
      <c r="O3561" s="7"/>
      <c r="P3561" s="2" t="s">
        <v>7718</v>
      </c>
      <c r="Q3561" s="7"/>
      <c r="R3561" s="1"/>
      <c r="S3561" s="1" t="str">
        <f>"J-UN-2021-1700"</f>
        <v>J-UN-2021-1700</v>
      </c>
      <c r="T3561" s="1" t="s">
        <v>32</v>
      </c>
    </row>
    <row r="3562" spans="1:20" ht="63.75" x14ac:dyDescent="0.25">
      <c r="A3562" s="6">
        <v>3556</v>
      </c>
      <c r="B3562" s="1" t="str">
        <f>"2021-144"</f>
        <v>2021-144</v>
      </c>
      <c r="C3562" s="1" t="s">
        <v>2677</v>
      </c>
      <c r="D3562" s="1" t="s">
        <v>2678</v>
      </c>
      <c r="E3562" s="1" t="str">
        <f>""</f>
        <v/>
      </c>
      <c r="F3562" s="1" t="s">
        <v>1860</v>
      </c>
      <c r="G3562" s="1" t="str">
        <f>CONCATENATE(" GRADSKA LJEKARNA ZAGREB,"," KRALJA DRŽISLAVA 6,"," 10000 ZAGREB,"," OIB: 37268254106")</f>
        <v xml:space="preserve"> GRADSKA LJEKARNA ZAGREB, KRALJA DRŽISLAVA 6, 10000 ZAGREB, OIB: 37268254106</v>
      </c>
      <c r="H3562" s="7"/>
      <c r="I3562" s="8" t="s">
        <v>134</v>
      </c>
      <c r="J3562" s="8" t="s">
        <v>383</v>
      </c>
      <c r="K3562" s="6" t="str">
        <f>"3.326,88"</f>
        <v>3.326,88</v>
      </c>
      <c r="L3562" s="6" t="str">
        <f>"831,72"</f>
        <v>831,72</v>
      </c>
      <c r="M3562" s="6" t="str">
        <f>"4.158,60"</f>
        <v>4.158,60</v>
      </c>
      <c r="N3562" s="8" t="s">
        <v>89</v>
      </c>
      <c r="O3562" s="7"/>
      <c r="P3562" s="2" t="s">
        <v>7719</v>
      </c>
      <c r="Q3562" s="7"/>
      <c r="R3562" s="1"/>
      <c r="S3562" s="1" t="str">
        <f>"J-UN-2021-1702"</f>
        <v>J-UN-2021-1702</v>
      </c>
      <c r="T3562" s="1" t="s">
        <v>32</v>
      </c>
    </row>
    <row r="3563" spans="1:20" ht="51" x14ac:dyDescent="0.25">
      <c r="A3563" s="6">
        <v>3557</v>
      </c>
      <c r="B3563" s="1" t="str">
        <f>"2021-946"</f>
        <v>2021-946</v>
      </c>
      <c r="C3563" s="1" t="s">
        <v>2711</v>
      </c>
      <c r="D3563" s="1" t="s">
        <v>1914</v>
      </c>
      <c r="E3563" s="1" t="str">
        <f>""</f>
        <v/>
      </c>
      <c r="F3563" s="1" t="s">
        <v>1860</v>
      </c>
      <c r="G3563" s="1" t="str">
        <f>CONCATENATE(" VODOSKOK D.D.,"," ČULINEČKA CESTA 221/C,"," 10040 ZAGREB,"," OIB: 34134218058")</f>
        <v xml:space="preserve"> VODOSKOK D.D., ČULINEČKA CESTA 221/C, 10040 ZAGREB, OIB: 34134218058</v>
      </c>
      <c r="H3563" s="7"/>
      <c r="I3563" s="8" t="s">
        <v>134</v>
      </c>
      <c r="J3563" s="8" t="s">
        <v>383</v>
      </c>
      <c r="K3563" s="6" t="str">
        <f>"18.200,00"</f>
        <v>18.200,00</v>
      </c>
      <c r="L3563" s="6" t="str">
        <f>"4.550,00"</f>
        <v>4.550,00</v>
      </c>
      <c r="M3563" s="6" t="str">
        <f>"22.750,00"</f>
        <v>22.750,00</v>
      </c>
      <c r="N3563" s="8" t="s">
        <v>801</v>
      </c>
      <c r="O3563" s="7"/>
      <c r="P3563" s="2" t="s">
        <v>7720</v>
      </c>
      <c r="Q3563" s="7"/>
      <c r="R3563" s="1"/>
      <c r="S3563" s="1" t="str">
        <f>"J-UN-2021-1703"</f>
        <v>J-UN-2021-1703</v>
      </c>
      <c r="T3563" s="1" t="s">
        <v>32</v>
      </c>
    </row>
    <row r="3564" spans="1:20" ht="51" x14ac:dyDescent="0.25">
      <c r="A3564" s="6">
        <v>3558</v>
      </c>
      <c r="B3564" s="1" t="str">
        <f>"2021-299"</f>
        <v>2021-299</v>
      </c>
      <c r="C3564" s="1" t="s">
        <v>2609</v>
      </c>
      <c r="D3564" s="1" t="s">
        <v>2610</v>
      </c>
      <c r="E3564" s="1" t="str">
        <f>""</f>
        <v/>
      </c>
      <c r="F3564" s="1" t="s">
        <v>1860</v>
      </c>
      <c r="G3564" s="1" t="str">
        <f>CONCATENATE(" SAFIR D.O.O.,"," HORVAĆANSKA 17,"," 10000 ZAGREB,"," OIB: 33548604975")</f>
        <v xml:space="preserve"> SAFIR D.O.O., HORVAĆANSKA 17, 10000 ZAGREB, OIB: 33548604975</v>
      </c>
      <c r="H3564" s="7"/>
      <c r="I3564" s="8" t="s">
        <v>134</v>
      </c>
      <c r="J3564" s="8" t="s">
        <v>383</v>
      </c>
      <c r="K3564" s="6" t="str">
        <f>"2.704,60"</f>
        <v>2.704,60</v>
      </c>
      <c r="L3564" s="6" t="str">
        <f>"676,15"</f>
        <v>676,15</v>
      </c>
      <c r="M3564" s="6" t="str">
        <f>"3.380,75"</f>
        <v>3.380,75</v>
      </c>
      <c r="N3564" s="8" t="s">
        <v>640</v>
      </c>
      <c r="O3564" s="7"/>
      <c r="P3564" s="2" t="s">
        <v>7721</v>
      </c>
      <c r="Q3564" s="7"/>
      <c r="R3564" s="1"/>
      <c r="S3564" s="1" t="str">
        <f>"J-UN-2021-1705"</f>
        <v>J-UN-2021-1705</v>
      </c>
      <c r="T3564" s="1" t="s">
        <v>32</v>
      </c>
    </row>
    <row r="3565" spans="1:20" ht="51" x14ac:dyDescent="0.25">
      <c r="A3565" s="6">
        <v>3559</v>
      </c>
      <c r="B3565" s="1" t="str">
        <f>"2021-1114"</f>
        <v>2021-1114</v>
      </c>
      <c r="C3565" s="1" t="s">
        <v>2485</v>
      </c>
      <c r="D3565" s="1" t="s">
        <v>1007</v>
      </c>
      <c r="E3565" s="1" t="str">
        <f>""</f>
        <v/>
      </c>
      <c r="F3565" s="1" t="s">
        <v>1860</v>
      </c>
      <c r="G3565" s="1" t="str">
        <f>CONCATENATE(" AUREL D.O.O.,"," BORONGAJSKA CESTA bb,"," 10000 ZAGREB,"," OIB: 62871653225")</f>
        <v xml:space="preserve"> AUREL D.O.O., BORONGAJSKA CESTA bb, 10000 ZAGREB, OIB: 62871653225</v>
      </c>
      <c r="H3565" s="7"/>
      <c r="I3565" s="8" t="s">
        <v>1076</v>
      </c>
      <c r="J3565" s="8" t="s">
        <v>1104</v>
      </c>
      <c r="K3565" s="6" t="str">
        <f>"10.440,00"</f>
        <v>10.440,00</v>
      </c>
      <c r="L3565" s="6" t="str">
        <f>"2.610,00"</f>
        <v>2.610,00</v>
      </c>
      <c r="M3565" s="6" t="str">
        <f>"13.050,00"</f>
        <v>13.050,00</v>
      </c>
      <c r="N3565" s="8" t="s">
        <v>534</v>
      </c>
      <c r="O3565" s="7"/>
      <c r="P3565" s="2" t="s">
        <v>7722</v>
      </c>
      <c r="Q3565" s="7"/>
      <c r="R3565" s="1"/>
      <c r="S3565" s="1" t="str">
        <f>"J-UN-2021-1706"</f>
        <v>J-UN-2021-1706</v>
      </c>
      <c r="T3565" s="1" t="s">
        <v>32</v>
      </c>
    </row>
    <row r="3566" spans="1:20" ht="51" x14ac:dyDescent="0.25">
      <c r="A3566" s="6">
        <v>3560</v>
      </c>
      <c r="B3566" s="1" t="str">
        <f>"2021-1115"</f>
        <v>2021-1115</v>
      </c>
      <c r="C3566" s="1" t="s">
        <v>2879</v>
      </c>
      <c r="D3566" s="1" t="s">
        <v>1007</v>
      </c>
      <c r="E3566" s="1" t="str">
        <f>""</f>
        <v/>
      </c>
      <c r="F3566" s="1" t="s">
        <v>1860</v>
      </c>
      <c r="G3566" s="1" t="str">
        <f>CONCATENATE(" TEHNOPLAM D.O.O.,"," USKOČKA 29,"," 10000 ZAGREB,"," OIB: 95347519849")</f>
        <v xml:space="preserve"> TEHNOPLAM D.O.O., USKOČKA 29, 10000 ZAGREB, OIB: 95347519849</v>
      </c>
      <c r="H3566" s="7"/>
      <c r="I3566" s="8" t="s">
        <v>134</v>
      </c>
      <c r="J3566" s="8" t="s">
        <v>383</v>
      </c>
      <c r="K3566" s="6" t="str">
        <f>"28.499,00"</f>
        <v>28.499,00</v>
      </c>
      <c r="L3566" s="6" t="str">
        <f>"7.124,75"</f>
        <v>7.124,75</v>
      </c>
      <c r="M3566" s="6" t="str">
        <f>"35.623,75"</f>
        <v>35.623,75</v>
      </c>
      <c r="N3566" s="8" t="s">
        <v>735</v>
      </c>
      <c r="O3566" s="7"/>
      <c r="P3566" s="2" t="s">
        <v>7723</v>
      </c>
      <c r="Q3566" s="7"/>
      <c r="R3566" s="1"/>
      <c r="S3566" s="1" t="str">
        <f>"J-UN-2021-1709"</f>
        <v>J-UN-2021-1709</v>
      </c>
      <c r="T3566" s="1" t="s">
        <v>32</v>
      </c>
    </row>
    <row r="3567" spans="1:20" ht="51" x14ac:dyDescent="0.25">
      <c r="A3567" s="6">
        <v>3561</v>
      </c>
      <c r="B3567" s="1" t="str">
        <f>"2021-237"</f>
        <v>2021-237</v>
      </c>
      <c r="C3567" s="1" t="s">
        <v>2703</v>
      </c>
      <c r="D3567" s="1" t="s">
        <v>2704</v>
      </c>
      <c r="E3567" s="1" t="str">
        <f>""</f>
        <v/>
      </c>
      <c r="F3567" s="1" t="s">
        <v>1860</v>
      </c>
      <c r="G3567" s="1" t="str">
        <f>CONCATENATE(" ELEKTROCENTAR PETEK D.O.O.,"," ETANSKA CESTA 8,"," 10310 IVANIĆ-GRAD,"," OIB: 17491977848")</f>
        <v xml:space="preserve"> ELEKTROCENTAR PETEK D.O.O., ETANSKA CESTA 8, 10310 IVANIĆ-GRAD, OIB: 17491977848</v>
      </c>
      <c r="H3567" s="7"/>
      <c r="I3567" s="8" t="s">
        <v>225</v>
      </c>
      <c r="J3567" s="8" t="s">
        <v>1200</v>
      </c>
      <c r="K3567" s="6" t="str">
        <f>"4.641,12"</f>
        <v>4.641,12</v>
      </c>
      <c r="L3567" s="6" t="str">
        <f>"1.160,28"</f>
        <v>1.160,28</v>
      </c>
      <c r="M3567" s="6" t="str">
        <f>"5.801,40"</f>
        <v>5.801,40</v>
      </c>
      <c r="N3567" s="8" t="s">
        <v>640</v>
      </c>
      <c r="O3567" s="7"/>
      <c r="P3567" s="2" t="s">
        <v>7724</v>
      </c>
      <c r="Q3567" s="1" t="s">
        <v>582</v>
      </c>
      <c r="R3567" s="1"/>
      <c r="S3567" s="1" t="str">
        <f>"J-UN-2021-1710"</f>
        <v>J-UN-2021-1710</v>
      </c>
      <c r="T3567" s="1" t="s">
        <v>32</v>
      </c>
    </row>
    <row r="3568" spans="1:20" ht="38.25" x14ac:dyDescent="0.25">
      <c r="A3568" s="6">
        <v>3562</v>
      </c>
      <c r="B3568" s="1" t="str">
        <f>"2021-882"</f>
        <v>2021-882</v>
      </c>
      <c r="C3568" s="1" t="s">
        <v>2565</v>
      </c>
      <c r="D3568" s="1" t="s">
        <v>1833</v>
      </c>
      <c r="E3568" s="1" t="str">
        <f>""</f>
        <v/>
      </c>
      <c r="F3568" s="1" t="s">
        <v>1860</v>
      </c>
      <c r="G3568" s="1" t="str">
        <f>CONCATENATE(" R-PIM D.O.O.,"," ,"," OIB: 38514700472")</f>
        <v xml:space="preserve"> R-PIM D.O.O., , OIB: 38514700472</v>
      </c>
      <c r="H3568" s="7"/>
      <c r="I3568" s="8" t="s">
        <v>707</v>
      </c>
      <c r="J3568" s="8" t="s">
        <v>892</v>
      </c>
      <c r="K3568" s="6" t="str">
        <f>"662,00"</f>
        <v>662,00</v>
      </c>
      <c r="L3568" s="6" t="str">
        <f>"165,50"</f>
        <v>165,50</v>
      </c>
      <c r="M3568" s="6" t="str">
        <f>"827,50"</f>
        <v>827,50</v>
      </c>
      <c r="N3568" s="8" t="s">
        <v>1530</v>
      </c>
      <c r="O3568" s="7"/>
      <c r="P3568" s="2" t="s">
        <v>7725</v>
      </c>
      <c r="Q3568" s="7"/>
      <c r="R3568" s="1"/>
      <c r="S3568" s="1" t="str">
        <f>"J-UN-2021-1711"</f>
        <v>J-UN-2021-1711</v>
      </c>
      <c r="T3568" s="1" t="s">
        <v>32</v>
      </c>
    </row>
    <row r="3569" spans="1:20" ht="76.5" x14ac:dyDescent="0.25">
      <c r="A3569" s="6">
        <v>3563</v>
      </c>
      <c r="B3569" s="1" t="str">
        <f>"2021-1203"</f>
        <v>2021-1203</v>
      </c>
      <c r="C3569" s="1" t="s">
        <v>2750</v>
      </c>
      <c r="D3569" s="1" t="s">
        <v>1627</v>
      </c>
      <c r="E3569" s="1" t="str">
        <f>""</f>
        <v/>
      </c>
      <c r="F3569" s="1" t="s">
        <v>1860</v>
      </c>
      <c r="G3569" s="1" t="str">
        <f>CONCATENATE(" ELICOM D.O.O.,"," ŠTEFANOVEC 138,"," 10000 ZAGREB,"," OIB: 76370234816")</f>
        <v xml:space="preserve"> ELICOM D.O.O., ŠTEFANOVEC 138, 10000 ZAGREB, OIB: 76370234816</v>
      </c>
      <c r="H3569" s="7"/>
      <c r="I3569" s="8" t="s">
        <v>707</v>
      </c>
      <c r="J3569" s="8" t="s">
        <v>892</v>
      </c>
      <c r="K3569" s="6" t="str">
        <f>"2.891,16"</f>
        <v>2.891,16</v>
      </c>
      <c r="L3569" s="6" t="str">
        <f>"722,79"</f>
        <v>722,79</v>
      </c>
      <c r="M3569" s="6" t="str">
        <f>"3.613,95"</f>
        <v>3.613,95</v>
      </c>
      <c r="N3569" s="8" t="s">
        <v>1530</v>
      </c>
      <c r="O3569" s="7"/>
      <c r="P3569" s="2" t="s">
        <v>7726</v>
      </c>
      <c r="Q3569" s="7"/>
      <c r="R3569" s="1"/>
      <c r="S3569" s="1" t="str">
        <f>"J-UN-2021-1712"</f>
        <v>J-UN-2021-1712</v>
      </c>
      <c r="T3569" s="1" t="s">
        <v>32</v>
      </c>
    </row>
    <row r="3570" spans="1:20" ht="51" x14ac:dyDescent="0.25">
      <c r="A3570" s="6">
        <v>3564</v>
      </c>
      <c r="B3570" s="1" t="str">
        <f>"2021-1231"</f>
        <v>2021-1231</v>
      </c>
      <c r="C3570" s="1" t="s">
        <v>2618</v>
      </c>
      <c r="D3570" s="1" t="s">
        <v>2619</v>
      </c>
      <c r="E3570" s="1" t="str">
        <f>""</f>
        <v/>
      </c>
      <c r="F3570" s="1" t="s">
        <v>1860</v>
      </c>
      <c r="G3570" s="1" t="str">
        <f>CONCATENATE(" TRA-MONT D.O.O.,"," MILIVOJA MATOŠECA 5,"," 10000 ZAGREB,"," OIB: 05336208843")</f>
        <v xml:space="preserve"> TRA-MONT D.O.O., MILIVOJA MATOŠECA 5, 10000 ZAGREB, OIB: 05336208843</v>
      </c>
      <c r="H3570" s="7"/>
      <c r="I3570" s="8" t="s">
        <v>707</v>
      </c>
      <c r="J3570" s="8" t="s">
        <v>892</v>
      </c>
      <c r="K3570" s="6" t="str">
        <f>"620,00"</f>
        <v>620,00</v>
      </c>
      <c r="L3570" s="6" t="str">
        <f>"155,00"</f>
        <v>155,00</v>
      </c>
      <c r="M3570" s="6" t="str">
        <f>"775,00"</f>
        <v>775,00</v>
      </c>
      <c r="N3570" s="8" t="s">
        <v>225</v>
      </c>
      <c r="O3570" s="7"/>
      <c r="P3570" s="2" t="s">
        <v>7727</v>
      </c>
      <c r="Q3570" s="7"/>
      <c r="R3570" s="1"/>
      <c r="S3570" s="1" t="str">
        <f>"J-UN-2021-1713"</f>
        <v>J-UN-2021-1713</v>
      </c>
      <c r="T3570" s="1" t="s">
        <v>32</v>
      </c>
    </row>
    <row r="3571" spans="1:20" ht="63.75" x14ac:dyDescent="0.25">
      <c r="A3571" s="6">
        <v>3565</v>
      </c>
      <c r="B3571" s="1" t="str">
        <f>"2021-183"</f>
        <v>2021-183</v>
      </c>
      <c r="C3571" s="1" t="s">
        <v>2726</v>
      </c>
      <c r="D3571" s="1" t="s">
        <v>689</v>
      </c>
      <c r="E3571" s="1" t="str">
        <f>""</f>
        <v/>
      </c>
      <c r="F3571" s="1" t="s">
        <v>1860</v>
      </c>
      <c r="G3571" s="1" t="str">
        <f>CONCATENATE(" DRAVA INTERNATIONAL D.O.O.,"," STJEPANA RADIĆA 15,"," 31000 OSIJEK,"," OIB: 40223379376")</f>
        <v xml:space="preserve"> DRAVA INTERNATIONAL D.O.O., STJEPANA RADIĆA 15, 31000 OSIJEK, OIB: 40223379376</v>
      </c>
      <c r="H3571" s="7"/>
      <c r="I3571" s="8" t="s">
        <v>134</v>
      </c>
      <c r="J3571" s="8" t="s">
        <v>383</v>
      </c>
      <c r="K3571" s="6" t="str">
        <f>"37.758,00"</f>
        <v>37.758,00</v>
      </c>
      <c r="L3571" s="6" t="str">
        <f>"9.439,50"</f>
        <v>9.439,50</v>
      </c>
      <c r="M3571" s="6" t="str">
        <f>"47.197,50"</f>
        <v>47.197,50</v>
      </c>
      <c r="N3571" s="8" t="s">
        <v>616</v>
      </c>
      <c r="O3571" s="7"/>
      <c r="P3571" s="2" t="s">
        <v>7728</v>
      </c>
      <c r="Q3571" s="7"/>
      <c r="R3571" s="1"/>
      <c r="S3571" s="1" t="str">
        <f>"J-UN-2021-1714"</f>
        <v>J-UN-2021-1714</v>
      </c>
      <c r="T3571" s="1" t="s">
        <v>32</v>
      </c>
    </row>
    <row r="3572" spans="1:20" ht="38.25" x14ac:dyDescent="0.25">
      <c r="A3572" s="6">
        <v>3566</v>
      </c>
      <c r="B3572" s="1" t="str">
        <f>"2021-882"</f>
        <v>2021-882</v>
      </c>
      <c r="C3572" s="1" t="s">
        <v>2565</v>
      </c>
      <c r="D3572" s="1" t="s">
        <v>1833</v>
      </c>
      <c r="E3572" s="1" t="str">
        <f>""</f>
        <v/>
      </c>
      <c r="F3572" s="1" t="s">
        <v>1860</v>
      </c>
      <c r="G3572" s="1" t="str">
        <f>CONCATENATE(" R-PIM D.O.O.,"," ,"," OIB: 38514700472")</f>
        <v xml:space="preserve"> R-PIM D.O.O., , OIB: 38514700472</v>
      </c>
      <c r="H3572" s="7"/>
      <c r="I3572" s="8" t="s">
        <v>225</v>
      </c>
      <c r="J3572" s="8" t="s">
        <v>1200</v>
      </c>
      <c r="K3572" s="6" t="str">
        <f>"5.983,00"</f>
        <v>5.983,00</v>
      </c>
      <c r="L3572" s="6" t="str">
        <f>"1.495,75"</f>
        <v>1.495,75</v>
      </c>
      <c r="M3572" s="6" t="str">
        <f>"7.478,75"</f>
        <v>7.478,75</v>
      </c>
      <c r="N3572" s="8" t="s">
        <v>534</v>
      </c>
      <c r="O3572" s="7"/>
      <c r="P3572" s="2" t="s">
        <v>7729</v>
      </c>
      <c r="Q3572" s="7"/>
      <c r="R3572" s="1"/>
      <c r="S3572" s="1" t="str">
        <f>"J-UN-2021-1715"</f>
        <v>J-UN-2021-1715</v>
      </c>
      <c r="T3572" s="1" t="s">
        <v>32</v>
      </c>
    </row>
    <row r="3573" spans="1:20" ht="51" x14ac:dyDescent="0.25">
      <c r="A3573" s="6">
        <v>3567</v>
      </c>
      <c r="B3573" s="1" t="str">
        <f>"2021-75"</f>
        <v>2021-75</v>
      </c>
      <c r="C3573" s="1" t="s">
        <v>2612</v>
      </c>
      <c r="D3573" s="1" t="s">
        <v>2613</v>
      </c>
      <c r="E3573" s="1" t="str">
        <f>""</f>
        <v/>
      </c>
      <c r="F3573" s="1" t="s">
        <v>1860</v>
      </c>
      <c r="G3573" s="1" t="str">
        <f>CONCATENATE(" ELCON D.O.O.,"," MEĐIMURSKA 2,"," 42000 VARAŽDIN,"," OIB: 69554624078")</f>
        <v xml:space="preserve"> ELCON D.O.O., MEĐIMURSKA 2, 42000 VARAŽDIN, OIB: 69554624078</v>
      </c>
      <c r="H3573" s="7"/>
      <c r="I3573" s="8" t="s">
        <v>225</v>
      </c>
      <c r="J3573" s="8" t="s">
        <v>1200</v>
      </c>
      <c r="K3573" s="6" t="str">
        <f>"945,00"</f>
        <v>945,00</v>
      </c>
      <c r="L3573" s="6" t="str">
        <f>"236,25"</f>
        <v>236,25</v>
      </c>
      <c r="M3573" s="6" t="str">
        <f>"1.181,25"</f>
        <v>1.181,25</v>
      </c>
      <c r="N3573" s="8" t="s">
        <v>124</v>
      </c>
      <c r="O3573" s="7"/>
      <c r="P3573" s="2" t="s">
        <v>5614</v>
      </c>
      <c r="Q3573" s="7"/>
      <c r="R3573" s="1"/>
      <c r="S3573" s="1" t="str">
        <f>"J-UN-2021-1716"</f>
        <v>J-UN-2021-1716</v>
      </c>
      <c r="T3573" s="1" t="s">
        <v>32</v>
      </c>
    </row>
    <row r="3574" spans="1:20" ht="63.75" x14ac:dyDescent="0.25">
      <c r="A3574" s="6">
        <v>3568</v>
      </c>
      <c r="B3574" s="1" t="str">
        <f>"2021-906"</f>
        <v>2021-906</v>
      </c>
      <c r="C3574" s="1" t="s">
        <v>2782</v>
      </c>
      <c r="D3574" s="1" t="s">
        <v>815</v>
      </c>
      <c r="E3574" s="1" t="str">
        <f>""</f>
        <v/>
      </c>
      <c r="F3574" s="1" t="s">
        <v>1860</v>
      </c>
      <c r="G3574" s="1" t="str">
        <f>CONCATENATE(" LAUS INTERNATIONAL D.O.O.,"," DR. FRANJE TUĐMANA 16B,"," 10431 SVETA NEDELJA,"," OIB: 93039509752")</f>
        <v xml:space="preserve"> LAUS INTERNATIONAL D.O.O., DR. FRANJE TUĐMANA 16B, 10431 SVETA NEDELJA, OIB: 93039509752</v>
      </c>
      <c r="H3574" s="7"/>
      <c r="I3574" s="8" t="s">
        <v>707</v>
      </c>
      <c r="J3574" s="8" t="s">
        <v>892</v>
      </c>
      <c r="K3574" s="6" t="str">
        <f>"2.193,00"</f>
        <v>2.193,00</v>
      </c>
      <c r="L3574" s="6" t="str">
        <f>"548,25"</f>
        <v>548,25</v>
      </c>
      <c r="M3574" s="6" t="str">
        <f>"2.741,25"</f>
        <v>2.741,25</v>
      </c>
      <c r="N3574" s="8" t="s">
        <v>1076</v>
      </c>
      <c r="O3574" s="7"/>
      <c r="P3574" s="2" t="s">
        <v>7730</v>
      </c>
      <c r="Q3574" s="7"/>
      <c r="R3574" s="1"/>
      <c r="S3574" s="1" t="str">
        <f>"J-UN-2021-1718"</f>
        <v>J-UN-2021-1718</v>
      </c>
      <c r="T3574" s="1" t="s">
        <v>32</v>
      </c>
    </row>
    <row r="3575" spans="1:20" ht="63.75" x14ac:dyDescent="0.25">
      <c r="A3575" s="6">
        <v>3569</v>
      </c>
      <c r="B3575" s="1" t="str">
        <f>"2021-315"</f>
        <v>2021-315</v>
      </c>
      <c r="C3575" s="1" t="s">
        <v>2706</v>
      </c>
      <c r="D3575" s="1" t="s">
        <v>1334</v>
      </c>
      <c r="E3575" s="1" t="str">
        <f>""</f>
        <v/>
      </c>
      <c r="F3575" s="1" t="s">
        <v>1860</v>
      </c>
      <c r="G3575" s="1" t="str">
        <f>CONCATENATE(" VELEKEM D.D.,"," UL.KNEZA LJUDEVITA POSAVSKOG 13,"," 10360 SESVETE,"," OIB: 62347407589")</f>
        <v xml:space="preserve"> VELEKEM D.D., UL.KNEZA LJUDEVITA POSAVSKOG 13, 10360 SESVETE, OIB: 62347407589</v>
      </c>
      <c r="H3575" s="7"/>
      <c r="I3575" s="8" t="s">
        <v>225</v>
      </c>
      <c r="J3575" s="8" t="s">
        <v>1200</v>
      </c>
      <c r="K3575" s="6" t="str">
        <f>"2.392,00"</f>
        <v>2.392,00</v>
      </c>
      <c r="L3575" s="6" t="str">
        <f>"598,00"</f>
        <v>598,00</v>
      </c>
      <c r="M3575" s="6" t="str">
        <f>"2.990,00"</f>
        <v>2.990,00</v>
      </c>
      <c r="N3575" s="8" t="s">
        <v>291</v>
      </c>
      <c r="O3575" s="7"/>
      <c r="P3575" s="2" t="s">
        <v>7731</v>
      </c>
      <c r="Q3575" s="7"/>
      <c r="R3575" s="1"/>
      <c r="S3575" s="1" t="str">
        <f>"J-UN-2021-1719"</f>
        <v>J-UN-2021-1719</v>
      </c>
      <c r="T3575" s="1" t="s">
        <v>32</v>
      </c>
    </row>
    <row r="3576" spans="1:20" ht="63.75" x14ac:dyDescent="0.25">
      <c r="A3576" s="6">
        <v>3570</v>
      </c>
      <c r="B3576" s="1" t="str">
        <f>"2021-697"</f>
        <v>2021-697</v>
      </c>
      <c r="C3576" s="1" t="s">
        <v>2834</v>
      </c>
      <c r="D3576" s="1" t="s">
        <v>2835</v>
      </c>
      <c r="E3576" s="1" t="str">
        <f>""</f>
        <v/>
      </c>
      <c r="F3576" s="1" t="s">
        <v>1860</v>
      </c>
      <c r="G3576" s="1" t="str">
        <f>CONCATENATE(" ELEKTRO-KOMUNIKACIJE D.O.O.,"," 14. PODBREŽJE 4,"," 10000 ZAGREB,"," OIB: 76412373309")</f>
        <v xml:space="preserve"> ELEKTRO-KOMUNIKACIJE D.O.O., 14. PODBREŽJE 4, 10000 ZAGREB, OIB: 76412373309</v>
      </c>
      <c r="H3576" s="7"/>
      <c r="I3576" s="8" t="s">
        <v>1530</v>
      </c>
      <c r="J3576" s="8" t="s">
        <v>553</v>
      </c>
      <c r="K3576" s="6" t="str">
        <f>"3.705,00"</f>
        <v>3.705,00</v>
      </c>
      <c r="L3576" s="6" t="str">
        <f>"926,25"</f>
        <v>926,25</v>
      </c>
      <c r="M3576" s="6" t="str">
        <f>"4.631,25"</f>
        <v>4.631,25</v>
      </c>
      <c r="N3576" s="8" t="s">
        <v>671</v>
      </c>
      <c r="O3576" s="7"/>
      <c r="P3576" s="2" t="s">
        <v>7732</v>
      </c>
      <c r="Q3576" s="7"/>
      <c r="R3576" s="1"/>
      <c r="S3576" s="1" t="str">
        <f>"J-UN-2021-1720"</f>
        <v>J-UN-2021-1720</v>
      </c>
      <c r="T3576" s="1" t="s">
        <v>32</v>
      </c>
    </row>
    <row r="3577" spans="1:20" ht="63.75" x14ac:dyDescent="0.25">
      <c r="A3577" s="6">
        <v>3571</v>
      </c>
      <c r="B3577" s="1" t="str">
        <f>"2021-2203"</f>
        <v>2021-2203</v>
      </c>
      <c r="C3577" s="1" t="s">
        <v>2796</v>
      </c>
      <c r="D3577" s="1" t="s">
        <v>2797</v>
      </c>
      <c r="E3577" s="1" t="str">
        <f>""</f>
        <v/>
      </c>
      <c r="F3577" s="1" t="s">
        <v>1860</v>
      </c>
      <c r="G3577" s="1" t="str">
        <f>CONCATENATE(" HIDROMEHANIKA D.O.O.,"," SLAVONSKA AVENIJA 26/10,"," 10000 ZAGREB,"," OIB: 9178029895")</f>
        <v xml:space="preserve"> HIDROMEHANIKA D.O.O., SLAVONSKA AVENIJA 26/10, 10000 ZAGREB, OIB: 9178029895</v>
      </c>
      <c r="H3577" s="7"/>
      <c r="I3577" s="8" t="s">
        <v>707</v>
      </c>
      <c r="J3577" s="8" t="s">
        <v>892</v>
      </c>
      <c r="K3577" s="6" t="str">
        <f>"2.880,00"</f>
        <v>2.880,00</v>
      </c>
      <c r="L3577" s="6" t="str">
        <f>"720,00"</f>
        <v>720,00</v>
      </c>
      <c r="M3577" s="6" t="str">
        <f>"3.600,00"</f>
        <v>3.600,00</v>
      </c>
      <c r="N3577" s="8" t="s">
        <v>124</v>
      </c>
      <c r="O3577" s="7"/>
      <c r="P3577" s="2" t="s">
        <v>5614</v>
      </c>
      <c r="Q3577" s="7"/>
      <c r="R3577" s="1"/>
      <c r="S3577" s="1" t="str">
        <f>"J-UN-2021-1721"</f>
        <v>J-UN-2021-1721</v>
      </c>
      <c r="T3577" s="1" t="s">
        <v>32</v>
      </c>
    </row>
    <row r="3578" spans="1:20" ht="38.25" x14ac:dyDescent="0.25">
      <c r="A3578" s="6">
        <v>3572</v>
      </c>
      <c r="B3578" s="1" t="str">
        <f>"2021-866"</f>
        <v>2021-866</v>
      </c>
      <c r="C3578" s="1" t="s">
        <v>2980</v>
      </c>
      <c r="D3578" s="1" t="s">
        <v>2981</v>
      </c>
      <c r="E3578" s="1" t="str">
        <f>""</f>
        <v/>
      </c>
      <c r="F3578" s="1" t="s">
        <v>1860</v>
      </c>
      <c r="G3578" s="1" t="str">
        <f>CONCATENATE(" ZET D.O.O.,"," OZALJSKA 105,"," 10000 ZAGREB,"," OIB: 82031999604")</f>
        <v xml:space="preserve"> ZET D.O.O., OZALJSKA 105, 10000 ZAGREB, OIB: 82031999604</v>
      </c>
      <c r="H3578" s="7"/>
      <c r="I3578" s="8" t="s">
        <v>707</v>
      </c>
      <c r="J3578" s="8" t="s">
        <v>892</v>
      </c>
      <c r="K3578" s="6" t="str">
        <f>"38.130,00"</f>
        <v>38.130,00</v>
      </c>
      <c r="L3578" s="6" t="str">
        <f>"9.532,50"</f>
        <v>9.532,50</v>
      </c>
      <c r="M3578" s="6" t="str">
        <f>"47.662,50"</f>
        <v>47.662,50</v>
      </c>
      <c r="N3578" s="8" t="s">
        <v>790</v>
      </c>
      <c r="O3578" s="7"/>
      <c r="P3578" s="2" t="s">
        <v>7733</v>
      </c>
      <c r="Q3578" s="7"/>
      <c r="R3578" s="1"/>
      <c r="S3578" s="1" t="str">
        <f>"J-UN-2021-1722"</f>
        <v>J-UN-2021-1722</v>
      </c>
      <c r="T3578" s="1" t="s">
        <v>32</v>
      </c>
    </row>
    <row r="3579" spans="1:20" ht="51" x14ac:dyDescent="0.25">
      <c r="A3579" s="6">
        <v>3573</v>
      </c>
      <c r="B3579" s="1" t="str">
        <f>"2021-1413"</f>
        <v>2021-1413</v>
      </c>
      <c r="C3579" s="1" t="s">
        <v>2483</v>
      </c>
      <c r="D3579" s="1" t="s">
        <v>2484</v>
      </c>
      <c r="E3579" s="1" t="str">
        <f>""</f>
        <v/>
      </c>
      <c r="F3579" s="1" t="s">
        <v>1860</v>
      </c>
      <c r="G3579" s="1" t="str">
        <f>CONCATENATE(" PRESSCUT D.O.O.,"," DOMAGOJEVA 2,"," 10000 ZAGREB,"," OIB: 34672089688")</f>
        <v xml:space="preserve"> PRESSCUT D.O.O., DOMAGOJEVA 2, 10000 ZAGREB, OIB: 34672089688</v>
      </c>
      <c r="H3579" s="7"/>
      <c r="I3579" s="8" t="s">
        <v>206</v>
      </c>
      <c r="J3579" s="8" t="s">
        <v>1147</v>
      </c>
      <c r="K3579" s="6" t="str">
        <f>"65.472,00"</f>
        <v>65.472,00</v>
      </c>
      <c r="L3579" s="6" t="str">
        <f>"16.368,00"</f>
        <v>16.368,00</v>
      </c>
      <c r="M3579" s="6" t="str">
        <f>"81.840,00"</f>
        <v>81.840,00</v>
      </c>
      <c r="N3579" s="8" t="s">
        <v>207</v>
      </c>
      <c r="O3579" s="7"/>
      <c r="P3579" s="2" t="s">
        <v>7734</v>
      </c>
      <c r="Q3579" s="7"/>
      <c r="R3579" s="1"/>
      <c r="S3579" s="1" t="str">
        <f>"J-UN-2021-1724"</f>
        <v>J-UN-2021-1724</v>
      </c>
      <c r="T3579" s="1" t="s">
        <v>32</v>
      </c>
    </row>
    <row r="3580" spans="1:20" ht="89.25" x14ac:dyDescent="0.25">
      <c r="A3580" s="6">
        <v>3574</v>
      </c>
      <c r="B3580" s="1" t="str">
        <f>"2021-1163"</f>
        <v>2021-1163</v>
      </c>
      <c r="C3580" s="1" t="s">
        <v>2982</v>
      </c>
      <c r="D3580" s="1" t="s">
        <v>2404</v>
      </c>
      <c r="E3580" s="1" t="str">
        <f>""</f>
        <v/>
      </c>
      <c r="F3580" s="1" t="s">
        <v>1860</v>
      </c>
      <c r="G3580" s="1" t="str">
        <f>CONCATENATE(" ELEKTRO - REMONT,"," SERVIS PLAMENIKA I KOTLOVA,"," VL. KRUNOSLAV JANJIĆ,"," ZAGREBAČKA 117,"," 35000 SLAVONSKI BROD,"," OIB: 247954733")</f>
        <v xml:space="preserve"> ELEKTRO - REMONT, SERVIS PLAMENIKA I KOTLOVA, VL. KRUNOSLAV JANJIĆ, ZAGREBAČKA 117, 35000 SLAVONSKI BROD, OIB: 247954733</v>
      </c>
      <c r="H3580" s="7"/>
      <c r="I3580" s="8" t="s">
        <v>1530</v>
      </c>
      <c r="J3580" s="8" t="s">
        <v>553</v>
      </c>
      <c r="K3580" s="6" t="str">
        <f>"24.850,00"</f>
        <v>24.850,00</v>
      </c>
      <c r="L3580" s="6" t="str">
        <f>"6.212,50"</f>
        <v>6.212,50</v>
      </c>
      <c r="M3580" s="6" t="str">
        <f>"31.062,50"</f>
        <v>31.062,50</v>
      </c>
      <c r="N3580" s="8" t="s">
        <v>124</v>
      </c>
      <c r="O3580" s="7"/>
      <c r="P3580" s="2" t="s">
        <v>5614</v>
      </c>
      <c r="Q3580" s="7"/>
      <c r="R3580" s="1"/>
      <c r="S3580" s="1" t="str">
        <f>"J-UN-2021-1729"</f>
        <v>J-UN-2021-1729</v>
      </c>
      <c r="T3580" s="1" t="s">
        <v>32</v>
      </c>
    </row>
    <row r="3581" spans="1:20" ht="76.5" x14ac:dyDescent="0.25">
      <c r="A3581" s="6">
        <v>3575</v>
      </c>
      <c r="B3581" s="1" t="str">
        <f>"2021-1206"</f>
        <v>2021-1206</v>
      </c>
      <c r="C3581" s="1" t="s">
        <v>2821</v>
      </c>
      <c r="D3581" s="1" t="s">
        <v>1627</v>
      </c>
      <c r="E3581" s="1" t="str">
        <f>""</f>
        <v/>
      </c>
      <c r="F3581" s="1" t="s">
        <v>1860</v>
      </c>
      <c r="G3581" s="1" t="str">
        <f>CONCATENATE(" ELICOM D.O.O.,"," ŠTEFANOVEC 138,"," 10000 ZAGREB,"," OIB: 76370234816")</f>
        <v xml:space="preserve"> ELICOM D.O.O., ŠTEFANOVEC 138, 10000 ZAGREB, OIB: 76370234816</v>
      </c>
      <c r="H3581" s="7"/>
      <c r="I3581" s="8" t="s">
        <v>225</v>
      </c>
      <c r="J3581" s="8" t="s">
        <v>1200</v>
      </c>
      <c r="K3581" s="6" t="str">
        <f>"13.680,90"</f>
        <v>13.680,90</v>
      </c>
      <c r="L3581" s="6" t="str">
        <f>"3.420,23"</f>
        <v>3.420,23</v>
      </c>
      <c r="M3581" s="6" t="str">
        <f>"17.101,13"</f>
        <v>17.101,13</v>
      </c>
      <c r="N3581" s="8" t="s">
        <v>137</v>
      </c>
      <c r="O3581" s="7"/>
      <c r="P3581" s="2" t="s">
        <v>7735</v>
      </c>
      <c r="Q3581" s="7"/>
      <c r="R3581" s="1"/>
      <c r="S3581" s="1" t="str">
        <f>"J-UN-2021-1730"</f>
        <v>J-UN-2021-1730</v>
      </c>
      <c r="T3581" s="1" t="s">
        <v>32</v>
      </c>
    </row>
    <row r="3582" spans="1:20" ht="51" x14ac:dyDescent="0.25">
      <c r="A3582" s="6">
        <v>3576</v>
      </c>
      <c r="B3582" s="1" t="str">
        <f>"2021-1412"</f>
        <v>2021-1412</v>
      </c>
      <c r="C3582" s="1" t="s">
        <v>2779</v>
      </c>
      <c r="D3582" s="1" t="s">
        <v>2780</v>
      </c>
      <c r="E3582" s="1" t="str">
        <f>""</f>
        <v/>
      </c>
      <c r="F3582" s="1" t="s">
        <v>1860</v>
      </c>
      <c r="G3582" s="1" t="str">
        <f>CONCATENATE(" 24SATA D.O.O.,"," OREŠKOVIĆEVA 6H/I,"," 10000 ZAGREB,"," OIB: 7809304765")</f>
        <v xml:space="preserve"> 24SATA D.O.O., OREŠKOVIĆEVA 6H/I, 10000 ZAGREB, OIB: 7809304765</v>
      </c>
      <c r="H3582" s="7"/>
      <c r="I3582" s="8" t="s">
        <v>1530</v>
      </c>
      <c r="J3582" s="8" t="s">
        <v>553</v>
      </c>
      <c r="K3582" s="6" t="str">
        <f>"189,52"</f>
        <v>189,52</v>
      </c>
      <c r="L3582" s="6" t="str">
        <f>"47,38"</f>
        <v>47,38</v>
      </c>
      <c r="M3582" s="6" t="str">
        <f>"236,90"</f>
        <v>236,90</v>
      </c>
      <c r="N3582" s="8" t="s">
        <v>124</v>
      </c>
      <c r="O3582" s="7"/>
      <c r="P3582" s="2" t="s">
        <v>5614</v>
      </c>
      <c r="Q3582" s="7"/>
      <c r="R3582" s="1"/>
      <c r="S3582" s="1" t="str">
        <f>"J-UN-2021-1731"</f>
        <v>J-UN-2021-1731</v>
      </c>
      <c r="T3582" s="1" t="s">
        <v>32</v>
      </c>
    </row>
    <row r="3583" spans="1:20" ht="76.5" x14ac:dyDescent="0.25">
      <c r="A3583" s="6">
        <v>3577</v>
      </c>
      <c r="B3583" s="1" t="str">
        <f>"2021-1205"</f>
        <v>2021-1205</v>
      </c>
      <c r="C3583" s="1" t="s">
        <v>2892</v>
      </c>
      <c r="D3583" s="1" t="s">
        <v>1627</v>
      </c>
      <c r="E3583" s="1" t="str">
        <f>""</f>
        <v/>
      </c>
      <c r="F3583" s="1" t="s">
        <v>1860</v>
      </c>
      <c r="G3583" s="1" t="str">
        <f>CONCATENATE(" MAT-TOPS D.O.O.,"," J.KOVAČIĆA 5,"," 10413 KRAVARSKO(ŠILJAKOVINA),"," OIB: 99349765216")</f>
        <v xml:space="preserve"> MAT-TOPS D.O.O., J.KOVAČIĆA 5, 10413 KRAVARSKO(ŠILJAKOVINA), OIB: 99349765216</v>
      </c>
      <c r="H3583" s="7"/>
      <c r="I3583" s="8" t="s">
        <v>206</v>
      </c>
      <c r="J3583" s="8" t="s">
        <v>1147</v>
      </c>
      <c r="K3583" s="6" t="str">
        <f>"8.307,50"</f>
        <v>8.307,50</v>
      </c>
      <c r="L3583" s="6" t="str">
        <f>"2.076,88"</f>
        <v>2.076,88</v>
      </c>
      <c r="M3583" s="6" t="str">
        <f>"10.384,38"</f>
        <v>10.384,38</v>
      </c>
      <c r="N3583" s="8" t="s">
        <v>799</v>
      </c>
      <c r="O3583" s="7"/>
      <c r="P3583" s="2" t="s">
        <v>7736</v>
      </c>
      <c r="Q3583" s="7"/>
      <c r="R3583" s="1"/>
      <c r="S3583" s="1" t="str">
        <f>"J-UN-2021-1732"</f>
        <v>J-UN-2021-1732</v>
      </c>
      <c r="T3583" s="1" t="s">
        <v>32</v>
      </c>
    </row>
    <row r="3584" spans="1:20" ht="63.75" x14ac:dyDescent="0.25">
      <c r="A3584" s="6">
        <v>3578</v>
      </c>
      <c r="B3584" s="1" t="str">
        <f>"2021-1694"</f>
        <v>2021-1694</v>
      </c>
      <c r="C3584" s="1" t="s">
        <v>2983</v>
      </c>
      <c r="D3584" s="1" t="s">
        <v>1859</v>
      </c>
      <c r="E3584" s="1" t="str">
        <f>""</f>
        <v/>
      </c>
      <c r="F3584" s="1" t="s">
        <v>1860</v>
      </c>
      <c r="G3584" s="1" t="str">
        <f>CONCATENATE(" ŠKOLA ZA CESTOVNI PROMET,"," TRG J.F. KENNEDYJA 8,"," 10000 ZAGREB,"," OIB: 63422210966")</f>
        <v xml:space="preserve"> ŠKOLA ZA CESTOVNI PROMET, TRG J.F. KENNEDYJA 8, 10000 ZAGREB, OIB: 63422210966</v>
      </c>
      <c r="H3584" s="7"/>
      <c r="I3584" s="8" t="s">
        <v>99</v>
      </c>
      <c r="J3584" s="8" t="s">
        <v>489</v>
      </c>
      <c r="K3584" s="6" t="str">
        <f>"19.200,00"</f>
        <v>19.200,00</v>
      </c>
      <c r="L3584" s="6" t="str">
        <f>"4.800,00"</f>
        <v>4.800,00</v>
      </c>
      <c r="M3584" s="6" t="str">
        <f>"24.000,00"</f>
        <v>24.000,00</v>
      </c>
      <c r="N3584" s="8" t="s">
        <v>696</v>
      </c>
      <c r="O3584" s="7"/>
      <c r="P3584" s="2" t="s">
        <v>7737</v>
      </c>
      <c r="Q3584" s="7"/>
      <c r="R3584" s="1"/>
      <c r="S3584" s="1" t="str">
        <f>"J-UN-2021-1733"</f>
        <v>J-UN-2021-1733</v>
      </c>
      <c r="T3584" s="1" t="s">
        <v>32</v>
      </c>
    </row>
    <row r="3585" spans="1:20" ht="51" x14ac:dyDescent="0.25">
      <c r="A3585" s="6">
        <v>3579</v>
      </c>
      <c r="B3585" s="1" t="str">
        <f>"2021-627"</f>
        <v>2021-627</v>
      </c>
      <c r="C3585" s="1" t="s">
        <v>2727</v>
      </c>
      <c r="D3585" s="1" t="s">
        <v>794</v>
      </c>
      <c r="E3585" s="1" t="str">
        <f>""</f>
        <v/>
      </c>
      <c r="F3585" s="1" t="s">
        <v>1860</v>
      </c>
      <c r="G3585" s="1" t="str">
        <f>CONCATENATE(" TAHOGRAF D.O.O.,"," DR. FRANJE TUĐMANA 24,"," 10431 SVETA NEDELJA,"," OIB: 73777060562")</f>
        <v xml:space="preserve"> TAHOGRAF D.O.O., DR. FRANJE TUĐMANA 24, 10431 SVETA NEDELJA, OIB: 73777060562</v>
      </c>
      <c r="H3585" s="7"/>
      <c r="I3585" s="8" t="s">
        <v>99</v>
      </c>
      <c r="J3585" s="8" t="s">
        <v>489</v>
      </c>
      <c r="K3585" s="6" t="str">
        <f>"8.465,00"</f>
        <v>8.465,00</v>
      </c>
      <c r="L3585" s="6" t="str">
        <f>"2.116,25"</f>
        <v>2.116,25</v>
      </c>
      <c r="M3585" s="6" t="str">
        <f>"10.581,25"</f>
        <v>10.581,25</v>
      </c>
      <c r="N3585" s="8" t="s">
        <v>183</v>
      </c>
      <c r="O3585" s="7"/>
      <c r="P3585" s="2" t="s">
        <v>7738</v>
      </c>
      <c r="Q3585" s="7"/>
      <c r="R3585" s="1"/>
      <c r="S3585" s="1" t="str">
        <f>"J-UN-2021-1734"</f>
        <v>J-UN-2021-1734</v>
      </c>
      <c r="T3585" s="1" t="s">
        <v>32</v>
      </c>
    </row>
    <row r="3586" spans="1:20" ht="63.75" x14ac:dyDescent="0.25">
      <c r="A3586" s="6">
        <v>3580</v>
      </c>
      <c r="B3586" s="1" t="str">
        <f>"2021-1095"</f>
        <v>2021-1095</v>
      </c>
      <c r="C3586" s="1" t="s">
        <v>2863</v>
      </c>
      <c r="D3586" s="1" t="s">
        <v>1209</v>
      </c>
      <c r="E3586" s="1" t="str">
        <f>""</f>
        <v/>
      </c>
      <c r="F3586" s="1" t="s">
        <v>1860</v>
      </c>
      <c r="G3586" s="1" t="str">
        <f>CONCATENATE(" INSTITUT RUĐER BOŠKOVIĆ,"," BIJENIČKA CESTA 54,"," 10000 ZAGREB,"," OIB: 69715301002")</f>
        <v xml:space="preserve"> INSTITUT RUĐER BOŠKOVIĆ, BIJENIČKA CESTA 54, 10000 ZAGREB, OIB: 69715301002</v>
      </c>
      <c r="H3586" s="7"/>
      <c r="I3586" s="8" t="s">
        <v>206</v>
      </c>
      <c r="J3586" s="8" t="s">
        <v>1147</v>
      </c>
      <c r="K3586" s="6" t="str">
        <f>"1.800,00"</f>
        <v>1.800,00</v>
      </c>
      <c r="L3586" s="6" t="str">
        <f>"450,00"</f>
        <v>450,00</v>
      </c>
      <c r="M3586" s="6" t="str">
        <f>"2.250,00"</f>
        <v>2.250,00</v>
      </c>
      <c r="N3586" s="8" t="s">
        <v>124</v>
      </c>
      <c r="O3586" s="7"/>
      <c r="P3586" s="2" t="s">
        <v>5614</v>
      </c>
      <c r="Q3586" s="7"/>
      <c r="R3586" s="1"/>
      <c r="S3586" s="1" t="str">
        <f>"J-UN-2021-1735"</f>
        <v>J-UN-2021-1735</v>
      </c>
      <c r="T3586" s="1" t="s">
        <v>32</v>
      </c>
    </row>
    <row r="3587" spans="1:20" ht="51" x14ac:dyDescent="0.25">
      <c r="A3587" s="6">
        <v>3581</v>
      </c>
      <c r="B3587" s="1" t="str">
        <f>"2021-280"</f>
        <v>2021-280</v>
      </c>
      <c r="C3587" s="1" t="s">
        <v>2616</v>
      </c>
      <c r="D3587" s="1" t="s">
        <v>2617</v>
      </c>
      <c r="E3587" s="1" t="str">
        <f>""</f>
        <v/>
      </c>
      <c r="F3587" s="1" t="s">
        <v>1860</v>
      </c>
      <c r="G3587" s="1" t="str">
        <f>CONCATENATE(" SCHEDA D.O.O.,"," LJUDEVITA POSAVSKOG 29,"," 10360 SESVETE,"," OIB: 76219817247")</f>
        <v xml:space="preserve"> SCHEDA D.O.O., LJUDEVITA POSAVSKOG 29, 10360 SESVETE, OIB: 76219817247</v>
      </c>
      <c r="H3587" s="7"/>
      <c r="I3587" s="8" t="s">
        <v>771</v>
      </c>
      <c r="J3587" s="8" t="s">
        <v>170</v>
      </c>
      <c r="K3587" s="6" t="str">
        <f>"5.274,00"</f>
        <v>5.274,00</v>
      </c>
      <c r="L3587" s="6" t="str">
        <f>"1.318,50"</f>
        <v>1.318,50</v>
      </c>
      <c r="M3587" s="6" t="str">
        <f>"6.592,50"</f>
        <v>6.592,50</v>
      </c>
      <c r="N3587" s="8" t="s">
        <v>912</v>
      </c>
      <c r="O3587" s="7"/>
      <c r="P3587" s="2" t="s">
        <v>7739</v>
      </c>
      <c r="Q3587" s="7"/>
      <c r="R3587" s="1"/>
      <c r="S3587" s="1" t="str">
        <f>"J-UN-2021-1736"</f>
        <v>J-UN-2021-1736</v>
      </c>
      <c r="T3587" s="1" t="s">
        <v>32</v>
      </c>
    </row>
    <row r="3588" spans="1:20" ht="51" x14ac:dyDescent="0.25">
      <c r="A3588" s="6">
        <v>3582</v>
      </c>
      <c r="B3588" s="1" t="str">
        <f>"2021-576"</f>
        <v>2021-576</v>
      </c>
      <c r="C3588" s="1" t="s">
        <v>2561</v>
      </c>
      <c r="D3588" s="1" t="s">
        <v>2156</v>
      </c>
      <c r="E3588" s="1" t="str">
        <f>""</f>
        <v/>
      </c>
      <c r="F3588" s="1" t="s">
        <v>1860</v>
      </c>
      <c r="G3588" s="1" t="str">
        <f>CONCATENATE(" TIP - ZAGREB D.O.O.,"," VINOGRADSKA 34,"," 10431 SVETA NEDELJA,"," OIB: 36198195227")</f>
        <v xml:space="preserve"> TIP - ZAGREB D.O.O., VINOGRADSKA 34, 10431 SVETA NEDELJA, OIB: 36198195227</v>
      </c>
      <c r="H3588" s="7"/>
      <c r="I3588" s="8" t="s">
        <v>99</v>
      </c>
      <c r="J3588" s="8" t="s">
        <v>489</v>
      </c>
      <c r="K3588" s="6" t="str">
        <f>"2.610,00"</f>
        <v>2.610,00</v>
      </c>
      <c r="L3588" s="6" t="str">
        <f>"652,50"</f>
        <v>652,50</v>
      </c>
      <c r="M3588" s="6" t="str">
        <f>"3.262,50"</f>
        <v>3.262,50</v>
      </c>
      <c r="N3588" s="8" t="s">
        <v>137</v>
      </c>
      <c r="O3588" s="7"/>
      <c r="P3588" s="2" t="s">
        <v>7740</v>
      </c>
      <c r="Q3588" s="7"/>
      <c r="R3588" s="1"/>
      <c r="S3588" s="1" t="str">
        <f>"J-UN-2021-1737"</f>
        <v>J-UN-2021-1737</v>
      </c>
      <c r="T3588" s="1" t="s">
        <v>32</v>
      </c>
    </row>
    <row r="3589" spans="1:20" ht="76.5" x14ac:dyDescent="0.25">
      <c r="A3589" s="6">
        <v>3583</v>
      </c>
      <c r="B3589" s="1" t="str">
        <f>"2021-163"</f>
        <v>2021-163</v>
      </c>
      <c r="C3589" s="1" t="s">
        <v>2712</v>
      </c>
      <c r="D3589" s="1" t="s">
        <v>2713</v>
      </c>
      <c r="E3589" s="1" t="str">
        <f>""</f>
        <v/>
      </c>
      <c r="F3589" s="1" t="s">
        <v>1860</v>
      </c>
      <c r="G3589" s="1" t="str">
        <f>CONCATENATE(" SMIT-COMMERCE D.O.O.,"," GORNJOSTUPNIČKA 9B,"," 10255 GORNJI STUPNIK,"," OIB: 9524348214")</f>
        <v xml:space="preserve"> SMIT-COMMERCE D.O.O., GORNJOSTUPNIČKA 9B, 10255 GORNJI STUPNIK, OIB: 9524348214</v>
      </c>
      <c r="H3589" s="7"/>
      <c r="I3589" s="8" t="s">
        <v>213</v>
      </c>
      <c r="J3589" s="8" t="s">
        <v>1151</v>
      </c>
      <c r="K3589" s="6" t="str">
        <f>"135,00"</f>
        <v>135,00</v>
      </c>
      <c r="L3589" s="6" t="str">
        <f>"33,75"</f>
        <v>33,75</v>
      </c>
      <c r="M3589" s="6" t="str">
        <f>"168,75"</f>
        <v>168,75</v>
      </c>
      <c r="N3589" s="8" t="s">
        <v>177</v>
      </c>
      <c r="O3589" s="7"/>
      <c r="P3589" s="2" t="s">
        <v>7741</v>
      </c>
      <c r="Q3589" s="7"/>
      <c r="R3589" s="1"/>
      <c r="S3589" s="1" t="str">
        <f>"J-UN-2021-1739"</f>
        <v>J-UN-2021-1739</v>
      </c>
      <c r="T3589" s="1" t="s">
        <v>32</v>
      </c>
    </row>
    <row r="3590" spans="1:20" ht="63.75" x14ac:dyDescent="0.25">
      <c r="A3590" s="6">
        <v>3584</v>
      </c>
      <c r="B3590" s="1" t="str">
        <f>"2021-491"</f>
        <v>2021-491</v>
      </c>
      <c r="C3590" s="1" t="s">
        <v>2788</v>
      </c>
      <c r="D3590" s="1" t="s">
        <v>2789</v>
      </c>
      <c r="E3590" s="1" t="str">
        <f>""</f>
        <v/>
      </c>
      <c r="F3590" s="1" t="s">
        <v>1860</v>
      </c>
      <c r="G3590" s="1" t="str">
        <f>CONCATENATE(" ELEKTRO-KOMUNIKACIJE D.O.O.,"," 14. PODBREŽJE 4,"," 10000 ZAGREB,"," OIB: 76412373309")</f>
        <v xml:space="preserve"> ELEKTRO-KOMUNIKACIJE D.O.O., 14. PODBREŽJE 4, 10000 ZAGREB, OIB: 76412373309</v>
      </c>
      <c r="H3590" s="7"/>
      <c r="I3590" s="8" t="s">
        <v>99</v>
      </c>
      <c r="J3590" s="8" t="s">
        <v>489</v>
      </c>
      <c r="K3590" s="6" t="str">
        <f>"3.970,00"</f>
        <v>3.970,00</v>
      </c>
      <c r="L3590" s="6" t="str">
        <f>"992,50"</f>
        <v>992,50</v>
      </c>
      <c r="M3590" s="6" t="str">
        <f>"4.962,50"</f>
        <v>4.962,50</v>
      </c>
      <c r="N3590" s="8" t="s">
        <v>604</v>
      </c>
      <c r="O3590" s="7"/>
      <c r="P3590" s="2" t="s">
        <v>7742</v>
      </c>
      <c r="Q3590" s="7"/>
      <c r="R3590" s="1"/>
      <c r="S3590" s="1" t="str">
        <f>"J-UN-2021-1740"</f>
        <v>J-UN-2021-1740</v>
      </c>
      <c r="T3590" s="1" t="s">
        <v>32</v>
      </c>
    </row>
    <row r="3591" spans="1:20" ht="76.5" x14ac:dyDescent="0.25">
      <c r="A3591" s="6">
        <v>3585</v>
      </c>
      <c r="B3591" s="1" t="str">
        <f>"2021-221"</f>
        <v>2021-221</v>
      </c>
      <c r="C3591" s="1" t="s">
        <v>2692</v>
      </c>
      <c r="D3591" s="1" t="s">
        <v>2693</v>
      </c>
      <c r="E3591" s="1" t="str">
        <f>""</f>
        <v/>
      </c>
      <c r="F3591" s="1" t="s">
        <v>1860</v>
      </c>
      <c r="G3591" s="1" t="str">
        <f>CONCATENATE(" SMIT-COMMERCE D.O.O.,"," GORNJOSTUPNIČKA 9B,"," 10255 GORNJI STUPNIK,"," OIB: 9524348214")</f>
        <v xml:space="preserve"> SMIT-COMMERCE D.O.O., GORNJOSTUPNIČKA 9B, 10255 GORNJI STUPNIK, OIB: 9524348214</v>
      </c>
      <c r="H3591" s="7"/>
      <c r="I3591" s="8" t="s">
        <v>168</v>
      </c>
      <c r="J3591" s="8" t="s">
        <v>146</v>
      </c>
      <c r="K3591" s="6" t="str">
        <f>"400,00"</f>
        <v>400,00</v>
      </c>
      <c r="L3591" s="6" t="str">
        <f>"100,00"</f>
        <v>100,00</v>
      </c>
      <c r="M3591" s="6" t="str">
        <f>"500,00"</f>
        <v>500,00</v>
      </c>
      <c r="N3591" s="8" t="s">
        <v>801</v>
      </c>
      <c r="O3591" s="7"/>
      <c r="P3591" s="2" t="s">
        <v>5789</v>
      </c>
      <c r="Q3591" s="7"/>
      <c r="R3591" s="1"/>
      <c r="S3591" s="1" t="str">
        <f>"J-UN-2021-1741"</f>
        <v>J-UN-2021-1741</v>
      </c>
      <c r="T3591" s="1" t="s">
        <v>32</v>
      </c>
    </row>
    <row r="3592" spans="1:20" ht="63.75" x14ac:dyDescent="0.25">
      <c r="A3592" s="6">
        <v>3586</v>
      </c>
      <c r="B3592" s="1" t="str">
        <f>"2021-143"</f>
        <v>2021-143</v>
      </c>
      <c r="C3592" s="1" t="s">
        <v>2621</v>
      </c>
      <c r="D3592" s="1" t="s">
        <v>2622</v>
      </c>
      <c r="E3592" s="1" t="str">
        <f>""</f>
        <v/>
      </c>
      <c r="F3592" s="1" t="s">
        <v>1860</v>
      </c>
      <c r="G3592" s="1" t="str">
        <f>CONCATENATE(" VELEKEM D.D.,"," UL.KNEZA LJUDEVITA POSAVSKOG 13,"," 10360 SESVETE,"," OIB: 62347407589")</f>
        <v xml:space="preserve"> VELEKEM D.D., UL.KNEZA LJUDEVITA POSAVSKOG 13, 10360 SESVETE, OIB: 62347407589</v>
      </c>
      <c r="H3592" s="7"/>
      <c r="I3592" s="8" t="s">
        <v>168</v>
      </c>
      <c r="J3592" s="8" t="s">
        <v>146</v>
      </c>
      <c r="K3592" s="6" t="str">
        <f>"730,80"</f>
        <v>730,80</v>
      </c>
      <c r="L3592" s="6" t="str">
        <f>"182,70"</f>
        <v>182,70</v>
      </c>
      <c r="M3592" s="6" t="str">
        <f>"913,50"</f>
        <v>913,50</v>
      </c>
      <c r="N3592" s="8" t="s">
        <v>416</v>
      </c>
      <c r="O3592" s="7"/>
      <c r="P3592" s="2" t="s">
        <v>7743</v>
      </c>
      <c r="Q3592" s="7"/>
      <c r="R3592" s="1"/>
      <c r="S3592" s="1" t="str">
        <f>"J-UN-2021-1742"</f>
        <v>J-UN-2021-1742</v>
      </c>
      <c r="T3592" s="1" t="s">
        <v>32</v>
      </c>
    </row>
    <row r="3593" spans="1:20" ht="76.5" x14ac:dyDescent="0.25">
      <c r="A3593" s="6">
        <v>3587</v>
      </c>
      <c r="B3593" s="1" t="str">
        <f>"2021-2174"</f>
        <v>2021-2174</v>
      </c>
      <c r="C3593" s="1" t="s">
        <v>2773</v>
      </c>
      <c r="D3593" s="1" t="s">
        <v>2774</v>
      </c>
      <c r="E3593" s="1" t="str">
        <f>""</f>
        <v/>
      </c>
      <c r="F3593" s="1" t="s">
        <v>1860</v>
      </c>
      <c r="G3593" s="1" t="str">
        <f>CONCATENATE(" SMIT-COMMERCE D.O.O.,"," GORNJOSTUPNIČKA 9B,"," 10255 GORNJI STUPNIK,"," OIB: 9524348214")</f>
        <v xml:space="preserve"> SMIT-COMMERCE D.O.O., GORNJOSTUPNIČKA 9B, 10255 GORNJI STUPNIK, OIB: 9524348214</v>
      </c>
      <c r="H3593" s="7"/>
      <c r="I3593" s="8" t="s">
        <v>168</v>
      </c>
      <c r="J3593" s="8" t="s">
        <v>146</v>
      </c>
      <c r="K3593" s="6" t="str">
        <f>"4.930,85"</f>
        <v>4.930,85</v>
      </c>
      <c r="L3593" s="6" t="str">
        <f>"1.232,71"</f>
        <v>1.232,71</v>
      </c>
      <c r="M3593" s="6" t="str">
        <f>"6.163,56"</f>
        <v>6.163,56</v>
      </c>
      <c r="N3593" s="8" t="s">
        <v>177</v>
      </c>
      <c r="O3593" s="7"/>
      <c r="P3593" s="2" t="s">
        <v>7744</v>
      </c>
      <c r="Q3593" s="7"/>
      <c r="R3593" s="1"/>
      <c r="S3593" s="1" t="str">
        <f>"J-UN-2021-1743"</f>
        <v>J-UN-2021-1743</v>
      </c>
      <c r="T3593" s="1" t="s">
        <v>32</v>
      </c>
    </row>
    <row r="3594" spans="1:20" ht="63.75" x14ac:dyDescent="0.25">
      <c r="A3594" s="6">
        <v>3588</v>
      </c>
      <c r="B3594" s="1" t="str">
        <f>"2021-1128"</f>
        <v>2021-1128</v>
      </c>
      <c r="C3594" s="1" t="s">
        <v>2889</v>
      </c>
      <c r="D3594" s="1" t="s">
        <v>1007</v>
      </c>
      <c r="E3594" s="1" t="str">
        <f>""</f>
        <v/>
      </c>
      <c r="F3594" s="1" t="s">
        <v>1860</v>
      </c>
      <c r="G3594" s="1" t="str">
        <f>CONCATENATE(" MERKANTILE D.D.,"," VRTNI PUT 8,"," 10000 ZAGREB,"," OIB: 44448417567")</f>
        <v xml:space="preserve"> MERKANTILE D.D., VRTNI PUT 8, 10000 ZAGREB, OIB: 44448417567</v>
      </c>
      <c r="H3594" s="7"/>
      <c r="I3594" s="8" t="s">
        <v>1530</v>
      </c>
      <c r="J3594" s="8" t="s">
        <v>553</v>
      </c>
      <c r="K3594" s="6" t="str">
        <f>"16.554,20"</f>
        <v>16.554,20</v>
      </c>
      <c r="L3594" s="6" t="str">
        <f>"4.138,55"</f>
        <v>4.138,55</v>
      </c>
      <c r="M3594" s="6" t="str">
        <f>"20.692,75"</f>
        <v>20.692,75</v>
      </c>
      <c r="N3594" s="8" t="s">
        <v>126</v>
      </c>
      <c r="O3594" s="7"/>
      <c r="P3594" s="2" t="s">
        <v>7745</v>
      </c>
      <c r="Q3594" s="7"/>
      <c r="R3594" s="1"/>
      <c r="S3594" s="1" t="str">
        <f>"J-UN-2021-1745"</f>
        <v>J-UN-2021-1745</v>
      </c>
      <c r="T3594" s="1" t="s">
        <v>32</v>
      </c>
    </row>
    <row r="3595" spans="1:20" ht="51" x14ac:dyDescent="0.25">
      <c r="A3595" s="6">
        <v>3589</v>
      </c>
      <c r="B3595" s="1" t="str">
        <f>"2021-232"</f>
        <v>2021-232</v>
      </c>
      <c r="C3595" s="1" t="s">
        <v>2745</v>
      </c>
      <c r="D3595" s="1" t="s">
        <v>700</v>
      </c>
      <c r="E3595" s="1" t="str">
        <f>""</f>
        <v/>
      </c>
      <c r="F3595" s="1" t="s">
        <v>1860</v>
      </c>
      <c r="G3595" s="1" t="str">
        <f>CONCATENATE(" SCHEDA D.O.O.,"," LJUDEVITA POSAVSKOG 29,"," 10360 SESVETE,"," OIB: 76219817247")</f>
        <v xml:space="preserve"> SCHEDA D.O.O., LJUDEVITA POSAVSKOG 29, 10360 SESVETE, OIB: 76219817247</v>
      </c>
      <c r="H3595" s="7"/>
      <c r="I3595" s="8" t="s">
        <v>168</v>
      </c>
      <c r="J3595" s="8" t="s">
        <v>146</v>
      </c>
      <c r="K3595" s="6" t="str">
        <f>"5.380,00"</f>
        <v>5.380,00</v>
      </c>
      <c r="L3595" s="6" t="str">
        <f>"1.345,00"</f>
        <v>1.345,00</v>
      </c>
      <c r="M3595" s="6" t="str">
        <f>"6.725,00"</f>
        <v>6.725,00</v>
      </c>
      <c r="N3595" s="8" t="s">
        <v>242</v>
      </c>
      <c r="O3595" s="7"/>
      <c r="P3595" s="2" t="s">
        <v>7746</v>
      </c>
      <c r="Q3595" s="7"/>
      <c r="R3595" s="1"/>
      <c r="S3595" s="1" t="str">
        <f>"J-UN-2021-1747"</f>
        <v>J-UN-2021-1747</v>
      </c>
      <c r="T3595" s="1" t="s">
        <v>32</v>
      </c>
    </row>
    <row r="3596" spans="1:20" ht="51" x14ac:dyDescent="0.25">
      <c r="A3596" s="6">
        <v>3590</v>
      </c>
      <c r="B3596" s="1" t="str">
        <f>"2021-998"</f>
        <v>2021-998</v>
      </c>
      <c r="C3596" s="1" t="s">
        <v>2844</v>
      </c>
      <c r="D3596" s="1" t="s">
        <v>2716</v>
      </c>
      <c r="E3596" s="1" t="str">
        <f>""</f>
        <v/>
      </c>
      <c r="F3596" s="1" t="s">
        <v>1860</v>
      </c>
      <c r="G3596" s="1" t="str">
        <f>CONCATENATE(" LAGER BAŠIĆ D.O.O.,"," TRGOVAČKA 3,"," 10255 DONJI STUPNIK,"," OIB: 49617677906")</f>
        <v xml:space="preserve"> LAGER BAŠIĆ D.O.O., TRGOVAČKA 3, 10255 DONJI STUPNIK, OIB: 49617677906</v>
      </c>
      <c r="H3596" s="7"/>
      <c r="I3596" s="8" t="s">
        <v>206</v>
      </c>
      <c r="J3596" s="8" t="s">
        <v>1147</v>
      </c>
      <c r="K3596" s="6" t="str">
        <f>"12.149,00"</f>
        <v>12.149,00</v>
      </c>
      <c r="L3596" s="6" t="str">
        <f>"3.037,25"</f>
        <v>3.037,25</v>
      </c>
      <c r="M3596" s="6" t="str">
        <f>"15.186,25"</f>
        <v>15.186,25</v>
      </c>
      <c r="N3596" s="8" t="s">
        <v>126</v>
      </c>
      <c r="O3596" s="7"/>
      <c r="P3596" s="2" t="s">
        <v>7747</v>
      </c>
      <c r="Q3596" s="7"/>
      <c r="R3596" s="1"/>
      <c r="S3596" s="1" t="str">
        <f>"J-UN-2021-1748"</f>
        <v>J-UN-2021-1748</v>
      </c>
      <c r="T3596" s="1" t="s">
        <v>32</v>
      </c>
    </row>
    <row r="3597" spans="1:20" ht="63.75" x14ac:dyDescent="0.25">
      <c r="A3597" s="6">
        <v>3591</v>
      </c>
      <c r="B3597" s="1" t="str">
        <f>"2021-482"</f>
        <v>2021-482</v>
      </c>
      <c r="C3597" s="1" t="s">
        <v>2289</v>
      </c>
      <c r="D3597" s="1" t="s">
        <v>2290</v>
      </c>
      <c r="E3597" s="1" t="str">
        <f>""</f>
        <v/>
      </c>
      <c r="F3597" s="1" t="s">
        <v>1860</v>
      </c>
      <c r="G3597" s="1" t="str">
        <f>CONCATENATE(" SISTEMI ZA PRANJE SZABO D.O.O.,"," KARLOVAČKA CESTA 4/H,"," 10000 ZAGREB,"," OIB: 18907358249")</f>
        <v xml:space="preserve"> SISTEMI ZA PRANJE SZABO D.O.O., KARLOVAČKA CESTA 4/H, 10000 ZAGREB, OIB: 18907358249</v>
      </c>
      <c r="H3597" s="7"/>
      <c r="I3597" s="8" t="s">
        <v>1530</v>
      </c>
      <c r="J3597" s="8" t="s">
        <v>553</v>
      </c>
      <c r="K3597" s="6" t="str">
        <f>"18.574,89"</f>
        <v>18.574,89</v>
      </c>
      <c r="L3597" s="6" t="str">
        <f>"4.643,72"</f>
        <v>4.643,72</v>
      </c>
      <c r="M3597" s="6" t="str">
        <f>"23.218,61"</f>
        <v>23.218,61</v>
      </c>
      <c r="N3597" s="8" t="s">
        <v>800</v>
      </c>
      <c r="O3597" s="7"/>
      <c r="P3597" s="2" t="s">
        <v>7748</v>
      </c>
      <c r="Q3597" s="7"/>
      <c r="R3597" s="1"/>
      <c r="S3597" s="1" t="str">
        <f>"J-UN-2021-1749"</f>
        <v>J-UN-2021-1749</v>
      </c>
      <c r="T3597" s="1" t="s">
        <v>32</v>
      </c>
    </row>
    <row r="3598" spans="1:20" ht="51" x14ac:dyDescent="0.25">
      <c r="A3598" s="6">
        <v>3592</v>
      </c>
      <c r="B3598" s="1" t="str">
        <f>"2021-239"</f>
        <v>2021-239</v>
      </c>
      <c r="C3598" s="1" t="s">
        <v>2687</v>
      </c>
      <c r="D3598" s="1" t="s">
        <v>2688</v>
      </c>
      <c r="E3598" s="1" t="str">
        <f>""</f>
        <v/>
      </c>
      <c r="F3598" s="1" t="s">
        <v>1860</v>
      </c>
      <c r="G3598" s="1" t="str">
        <f>CONCATENATE(" STROJOPROMET D.O.O.,"," ZAGREBAČKA 6,"," 10292 ŠENKOVEC,"," OIB: 97994010225")</f>
        <v xml:space="preserve"> STROJOPROMET D.O.O., ZAGREBAČKA 6, 10292 ŠENKOVEC, OIB: 97994010225</v>
      </c>
      <c r="H3598" s="7"/>
      <c r="I3598" s="8" t="s">
        <v>213</v>
      </c>
      <c r="J3598" s="8" t="s">
        <v>1151</v>
      </c>
      <c r="K3598" s="6" t="str">
        <f>"9.823,90"</f>
        <v>9.823,90</v>
      </c>
      <c r="L3598" s="6" t="str">
        <f>"2.455,98"</f>
        <v>2.455,98</v>
      </c>
      <c r="M3598" s="6" t="str">
        <f>"12.279,88"</f>
        <v>12.279,88</v>
      </c>
      <c r="N3598" s="8" t="s">
        <v>496</v>
      </c>
      <c r="O3598" s="7"/>
      <c r="P3598" s="2" t="s">
        <v>7749</v>
      </c>
      <c r="Q3598" s="7"/>
      <c r="R3598" s="1"/>
      <c r="S3598" s="1" t="str">
        <f>"J-UN-2021-1750"</f>
        <v>J-UN-2021-1750</v>
      </c>
      <c r="T3598" s="1" t="s">
        <v>32</v>
      </c>
    </row>
    <row r="3599" spans="1:20" ht="51" x14ac:dyDescent="0.25">
      <c r="A3599" s="6">
        <v>3593</v>
      </c>
      <c r="B3599" s="1" t="str">
        <f>"2021-173"</f>
        <v>2021-173</v>
      </c>
      <c r="C3599" s="1" t="s">
        <v>2513</v>
      </c>
      <c r="D3599" s="1" t="s">
        <v>665</v>
      </c>
      <c r="E3599" s="1" t="str">
        <f>""</f>
        <v/>
      </c>
      <c r="F3599" s="1" t="s">
        <v>1860</v>
      </c>
      <c r="G3599" s="1" t="str">
        <f>CONCATENATE(" OLEUM FLEX D.O.O.,"," PUŠKARIĆEVA ULICA 11F,"," 10250 LUČKO,"," OIB: 53785632625")</f>
        <v xml:space="preserve"> OLEUM FLEX D.O.O., PUŠKARIĆEVA ULICA 11F, 10250 LUČKO, OIB: 53785632625</v>
      </c>
      <c r="H3599" s="7"/>
      <c r="I3599" s="8" t="s">
        <v>99</v>
      </c>
      <c r="J3599" s="8" t="s">
        <v>489</v>
      </c>
      <c r="K3599" s="6" t="str">
        <f>"9.057,10"</f>
        <v>9.057,10</v>
      </c>
      <c r="L3599" s="6" t="str">
        <f>"2.264,28"</f>
        <v>2.264,28</v>
      </c>
      <c r="M3599" s="6" t="str">
        <f>"11.321,38"</f>
        <v>11.321,38</v>
      </c>
      <c r="N3599" s="8" t="s">
        <v>640</v>
      </c>
      <c r="O3599" s="7"/>
      <c r="P3599" s="2" t="s">
        <v>7750</v>
      </c>
      <c r="Q3599" s="7"/>
      <c r="R3599" s="1"/>
      <c r="S3599" s="1" t="str">
        <f>"J-UN-2021-1752"</f>
        <v>J-UN-2021-1752</v>
      </c>
      <c r="T3599" s="1" t="s">
        <v>32</v>
      </c>
    </row>
    <row r="3600" spans="1:20" ht="51" x14ac:dyDescent="0.25">
      <c r="A3600" s="6">
        <v>3594</v>
      </c>
      <c r="B3600" s="1" t="str">
        <f>"2021-305"</f>
        <v>2021-305</v>
      </c>
      <c r="C3600" s="1" t="s">
        <v>2831</v>
      </c>
      <c r="D3600" s="1" t="s">
        <v>2832</v>
      </c>
      <c r="E3600" s="1" t="str">
        <f>""</f>
        <v/>
      </c>
      <c r="F3600" s="1" t="s">
        <v>1860</v>
      </c>
      <c r="G3600" s="1" t="str">
        <f>CONCATENATE(" INTERVEKTOR D.O.O.,"," OBREŠKA CESTA 51,"," 10000 ZAGREB,"," OIB: 91653777677")</f>
        <v xml:space="preserve"> INTERVEKTOR D.O.O., OBREŠKA CESTA 51, 10000 ZAGREB, OIB: 91653777677</v>
      </c>
      <c r="H3600" s="7"/>
      <c r="I3600" s="8" t="s">
        <v>99</v>
      </c>
      <c r="J3600" s="8" t="s">
        <v>489</v>
      </c>
      <c r="K3600" s="6" t="str">
        <f>"8.850,00"</f>
        <v>8.850,00</v>
      </c>
      <c r="L3600" s="6" t="str">
        <f>"2.212,50"</f>
        <v>2.212,50</v>
      </c>
      <c r="M3600" s="6" t="str">
        <f>"11.062,50"</f>
        <v>11.062,50</v>
      </c>
      <c r="N3600" s="8" t="s">
        <v>663</v>
      </c>
      <c r="O3600" s="7"/>
      <c r="P3600" s="2" t="s">
        <v>6908</v>
      </c>
      <c r="Q3600" s="7"/>
      <c r="R3600" s="1"/>
      <c r="S3600" s="1" t="str">
        <f>"J-UN-2021-1753"</f>
        <v>J-UN-2021-1753</v>
      </c>
      <c r="T3600" s="1" t="s">
        <v>32</v>
      </c>
    </row>
    <row r="3601" spans="1:20" ht="63.75" x14ac:dyDescent="0.25">
      <c r="A3601" s="6">
        <v>3595</v>
      </c>
      <c r="B3601" s="1" t="str">
        <f>"2021-1786"</f>
        <v>2021-1786</v>
      </c>
      <c r="C3601" s="1" t="s">
        <v>2984</v>
      </c>
      <c r="D3601" s="1" t="s">
        <v>2985</v>
      </c>
      <c r="E3601" s="1" t="str">
        <f>""</f>
        <v/>
      </c>
      <c r="F3601" s="1" t="s">
        <v>1860</v>
      </c>
      <c r="G3601" s="1" t="str">
        <f t="shared" ref="G3601:G3631" si="219">CONCATENATE(" LANIŠTE D.O.O.,"," ALEXANDERA VON HUMBOLDTA 4B,"," 10000 ZAGREB,"," OIB: 3755384865")</f>
        <v xml:space="preserve"> LANIŠTE D.O.O., ALEXANDERA VON HUMBOLDTA 4B, 10000 ZAGREB, OIB: 3755384865</v>
      </c>
      <c r="H3601" s="7"/>
      <c r="I3601" s="8" t="s">
        <v>1530</v>
      </c>
      <c r="J3601" s="8" t="s">
        <v>553</v>
      </c>
      <c r="K3601" s="6" t="str">
        <f>"2.032,00"</f>
        <v>2.032,00</v>
      </c>
      <c r="L3601" s="6" t="str">
        <f>"508,00"</f>
        <v>508,00</v>
      </c>
      <c r="M3601" s="6" t="str">
        <f>"2.540,00"</f>
        <v>2.540,00</v>
      </c>
      <c r="N3601" s="8" t="s">
        <v>124</v>
      </c>
      <c r="O3601" s="7"/>
      <c r="P3601" s="2" t="s">
        <v>5614</v>
      </c>
      <c r="Q3601" s="7"/>
      <c r="R3601" s="1"/>
      <c r="S3601" s="1" t="str">
        <f>"J-UN-2021-1754"</f>
        <v>J-UN-2021-1754</v>
      </c>
      <c r="T3601" s="1" t="s">
        <v>32</v>
      </c>
    </row>
    <row r="3602" spans="1:20" ht="63.75" x14ac:dyDescent="0.25">
      <c r="A3602" s="6">
        <v>3596</v>
      </c>
      <c r="B3602" s="1" t="str">
        <f>"2021-1787"</f>
        <v>2021-1787</v>
      </c>
      <c r="C3602" s="1" t="s">
        <v>2986</v>
      </c>
      <c r="D3602" s="1" t="s">
        <v>2985</v>
      </c>
      <c r="E3602" s="1" t="str">
        <f>""</f>
        <v/>
      </c>
      <c r="F3602" s="1" t="s">
        <v>1860</v>
      </c>
      <c r="G3602" s="1" t="str">
        <f t="shared" si="219"/>
        <v xml:space="preserve"> LANIŠTE D.O.O., ALEXANDERA VON HUMBOLDTA 4B, 10000 ZAGREB, OIB: 3755384865</v>
      </c>
      <c r="H3602" s="7"/>
      <c r="I3602" s="8" t="s">
        <v>1530</v>
      </c>
      <c r="J3602" s="8" t="s">
        <v>553</v>
      </c>
      <c r="K3602" s="6" t="str">
        <f>"2.032,00"</f>
        <v>2.032,00</v>
      </c>
      <c r="L3602" s="6" t="str">
        <f>"508,00"</f>
        <v>508,00</v>
      </c>
      <c r="M3602" s="6" t="str">
        <f>"2.540,00"</f>
        <v>2.540,00</v>
      </c>
      <c r="N3602" s="8" t="s">
        <v>124</v>
      </c>
      <c r="O3602" s="7"/>
      <c r="P3602" s="2" t="s">
        <v>5614</v>
      </c>
      <c r="Q3602" s="7"/>
      <c r="R3602" s="1"/>
      <c r="S3602" s="1" t="str">
        <f>"J-UN-2021-1755"</f>
        <v>J-UN-2021-1755</v>
      </c>
      <c r="T3602" s="1" t="s">
        <v>32</v>
      </c>
    </row>
    <row r="3603" spans="1:20" ht="63.75" x14ac:dyDescent="0.25">
      <c r="A3603" s="6">
        <v>3597</v>
      </c>
      <c r="B3603" s="1" t="str">
        <f>"2021-1658"</f>
        <v>2021-1658</v>
      </c>
      <c r="C3603" s="1" t="s">
        <v>2987</v>
      </c>
      <c r="D3603" s="1" t="s">
        <v>2988</v>
      </c>
      <c r="E3603" s="1" t="str">
        <f>""</f>
        <v/>
      </c>
      <c r="F3603" s="1" t="s">
        <v>1860</v>
      </c>
      <c r="G3603" s="1" t="str">
        <f t="shared" si="219"/>
        <v xml:space="preserve"> LANIŠTE D.O.O., ALEXANDERA VON HUMBOLDTA 4B, 10000 ZAGREB, OIB: 3755384865</v>
      </c>
      <c r="H3603" s="7"/>
      <c r="I3603" s="8" t="s">
        <v>1530</v>
      </c>
      <c r="J3603" s="8" t="s">
        <v>553</v>
      </c>
      <c r="K3603" s="6" t="str">
        <f>"2.032,00"</f>
        <v>2.032,00</v>
      </c>
      <c r="L3603" s="6" t="str">
        <f>"508,00"</f>
        <v>508,00</v>
      </c>
      <c r="M3603" s="6" t="str">
        <f>"2.540,00"</f>
        <v>2.540,00</v>
      </c>
      <c r="N3603" s="8" t="s">
        <v>124</v>
      </c>
      <c r="O3603" s="7"/>
      <c r="P3603" s="2" t="s">
        <v>5614</v>
      </c>
      <c r="Q3603" s="7"/>
      <c r="R3603" s="1"/>
      <c r="S3603" s="1" t="str">
        <f>"J-UN-2021-1756"</f>
        <v>J-UN-2021-1756</v>
      </c>
      <c r="T3603" s="1" t="s">
        <v>32</v>
      </c>
    </row>
    <row r="3604" spans="1:20" ht="63.75" x14ac:dyDescent="0.25">
      <c r="A3604" s="6">
        <v>3598</v>
      </c>
      <c r="B3604" s="1" t="str">
        <f>"2021-1624"</f>
        <v>2021-1624</v>
      </c>
      <c r="C3604" s="1" t="s">
        <v>2989</v>
      </c>
      <c r="D3604" s="1" t="s">
        <v>2990</v>
      </c>
      <c r="E3604" s="1" t="str">
        <f>""</f>
        <v/>
      </c>
      <c r="F3604" s="1" t="s">
        <v>1860</v>
      </c>
      <c r="G3604" s="1" t="str">
        <f t="shared" si="219"/>
        <v xml:space="preserve"> LANIŠTE D.O.O., ALEXANDERA VON HUMBOLDTA 4B, 10000 ZAGREB, OIB: 3755384865</v>
      </c>
      <c r="H3604" s="7"/>
      <c r="I3604" s="8" t="s">
        <v>1530</v>
      </c>
      <c r="J3604" s="8" t="s">
        <v>553</v>
      </c>
      <c r="K3604" s="6" t="str">
        <f>"2.636,00"</f>
        <v>2.636,00</v>
      </c>
      <c r="L3604" s="6" t="str">
        <f>"659,00"</f>
        <v>659,00</v>
      </c>
      <c r="M3604" s="6" t="str">
        <f>"3.295,00"</f>
        <v>3.295,00</v>
      </c>
      <c r="N3604" s="8" t="s">
        <v>124</v>
      </c>
      <c r="O3604" s="7"/>
      <c r="P3604" s="2" t="s">
        <v>5614</v>
      </c>
      <c r="Q3604" s="7"/>
      <c r="R3604" s="1"/>
      <c r="S3604" s="1" t="str">
        <f>"J-UN-2021-1757"</f>
        <v>J-UN-2021-1757</v>
      </c>
      <c r="T3604" s="1" t="s">
        <v>32</v>
      </c>
    </row>
    <row r="3605" spans="1:20" ht="63.75" x14ac:dyDescent="0.25">
      <c r="A3605" s="6">
        <v>3599</v>
      </c>
      <c r="B3605" s="1" t="str">
        <f>"2021-1772"</f>
        <v>2021-1772</v>
      </c>
      <c r="C3605" s="1" t="s">
        <v>2991</v>
      </c>
      <c r="D3605" s="1" t="s">
        <v>2992</v>
      </c>
      <c r="E3605" s="1" t="str">
        <f>""</f>
        <v/>
      </c>
      <c r="F3605" s="1" t="s">
        <v>1860</v>
      </c>
      <c r="G3605" s="1" t="str">
        <f t="shared" si="219"/>
        <v xml:space="preserve"> LANIŠTE D.O.O., ALEXANDERA VON HUMBOLDTA 4B, 10000 ZAGREB, OIB: 3755384865</v>
      </c>
      <c r="H3605" s="7"/>
      <c r="I3605" s="8" t="s">
        <v>1530</v>
      </c>
      <c r="J3605" s="8" t="s">
        <v>553</v>
      </c>
      <c r="K3605" s="6" t="str">
        <f>"3.636,00"</f>
        <v>3.636,00</v>
      </c>
      <c r="L3605" s="6" t="str">
        <f>"909,00"</f>
        <v>909,00</v>
      </c>
      <c r="M3605" s="6" t="str">
        <f>"4.545,00"</f>
        <v>4.545,00</v>
      </c>
      <c r="N3605" s="8" t="s">
        <v>124</v>
      </c>
      <c r="O3605" s="7"/>
      <c r="P3605" s="2" t="s">
        <v>5614</v>
      </c>
      <c r="Q3605" s="7"/>
      <c r="R3605" s="1"/>
      <c r="S3605" s="1" t="str">
        <f>"J-UN-2021-1758"</f>
        <v>J-UN-2021-1758</v>
      </c>
      <c r="T3605" s="1" t="s">
        <v>32</v>
      </c>
    </row>
    <row r="3606" spans="1:20" ht="63.75" x14ac:dyDescent="0.25">
      <c r="A3606" s="6">
        <v>3600</v>
      </c>
      <c r="B3606" s="1" t="str">
        <f>"2021-1786"</f>
        <v>2021-1786</v>
      </c>
      <c r="C3606" s="1" t="s">
        <v>2984</v>
      </c>
      <c r="D3606" s="1" t="s">
        <v>2985</v>
      </c>
      <c r="E3606" s="1" t="str">
        <f>""</f>
        <v/>
      </c>
      <c r="F3606" s="1" t="s">
        <v>1860</v>
      </c>
      <c r="G3606" s="1" t="str">
        <f t="shared" si="219"/>
        <v xml:space="preserve"> LANIŠTE D.O.O., ALEXANDERA VON HUMBOLDTA 4B, 10000 ZAGREB, OIB: 3755384865</v>
      </c>
      <c r="H3606" s="7"/>
      <c r="I3606" s="8" t="s">
        <v>1530</v>
      </c>
      <c r="J3606" s="8" t="s">
        <v>553</v>
      </c>
      <c r="K3606" s="6" t="str">
        <f>"4.032,00"</f>
        <v>4.032,00</v>
      </c>
      <c r="L3606" s="6" t="str">
        <f>"1.008,00"</f>
        <v>1.008,00</v>
      </c>
      <c r="M3606" s="6" t="str">
        <f>"5.040,00"</f>
        <v>5.040,00</v>
      </c>
      <c r="N3606" s="8" t="s">
        <v>124</v>
      </c>
      <c r="O3606" s="7"/>
      <c r="P3606" s="2" t="s">
        <v>5614</v>
      </c>
      <c r="Q3606" s="7"/>
      <c r="R3606" s="1"/>
      <c r="S3606" s="1" t="str">
        <f>"J-UN-2021-1759"</f>
        <v>J-UN-2021-1759</v>
      </c>
      <c r="T3606" s="1" t="s">
        <v>32</v>
      </c>
    </row>
    <row r="3607" spans="1:20" ht="63.75" x14ac:dyDescent="0.25">
      <c r="A3607" s="6">
        <v>3601</v>
      </c>
      <c r="B3607" s="1" t="str">
        <f>"2021-1787"</f>
        <v>2021-1787</v>
      </c>
      <c r="C3607" s="1" t="s">
        <v>2986</v>
      </c>
      <c r="D3607" s="1" t="s">
        <v>2985</v>
      </c>
      <c r="E3607" s="1" t="str">
        <f>""</f>
        <v/>
      </c>
      <c r="F3607" s="1" t="s">
        <v>1860</v>
      </c>
      <c r="G3607" s="1" t="str">
        <f t="shared" si="219"/>
        <v xml:space="preserve"> LANIŠTE D.O.O., ALEXANDERA VON HUMBOLDTA 4B, 10000 ZAGREB, OIB: 3755384865</v>
      </c>
      <c r="H3607" s="7"/>
      <c r="I3607" s="8" t="s">
        <v>1530</v>
      </c>
      <c r="J3607" s="8" t="s">
        <v>553</v>
      </c>
      <c r="K3607" s="6" t="str">
        <f>"4.032,00"</f>
        <v>4.032,00</v>
      </c>
      <c r="L3607" s="6" t="str">
        <f>"1.008,00"</f>
        <v>1.008,00</v>
      </c>
      <c r="M3607" s="6" t="str">
        <f>"5.040,00"</f>
        <v>5.040,00</v>
      </c>
      <c r="N3607" s="8" t="s">
        <v>124</v>
      </c>
      <c r="O3607" s="7"/>
      <c r="P3607" s="2" t="s">
        <v>5614</v>
      </c>
      <c r="Q3607" s="7"/>
      <c r="R3607" s="1"/>
      <c r="S3607" s="1" t="str">
        <f>"J-UN-2021-1760"</f>
        <v>J-UN-2021-1760</v>
      </c>
      <c r="T3607" s="1" t="s">
        <v>32</v>
      </c>
    </row>
    <row r="3608" spans="1:20" ht="63.75" x14ac:dyDescent="0.25">
      <c r="A3608" s="6">
        <v>3602</v>
      </c>
      <c r="B3608" s="1" t="str">
        <f>"2021-1658"</f>
        <v>2021-1658</v>
      </c>
      <c r="C3608" s="1" t="s">
        <v>2987</v>
      </c>
      <c r="D3608" s="1" t="s">
        <v>2988</v>
      </c>
      <c r="E3608" s="1" t="str">
        <f>""</f>
        <v/>
      </c>
      <c r="F3608" s="1" t="s">
        <v>1860</v>
      </c>
      <c r="G3608" s="1" t="str">
        <f t="shared" si="219"/>
        <v xml:space="preserve"> LANIŠTE D.O.O., ALEXANDERA VON HUMBOLDTA 4B, 10000 ZAGREB, OIB: 3755384865</v>
      </c>
      <c r="H3608" s="7"/>
      <c r="I3608" s="8" t="s">
        <v>225</v>
      </c>
      <c r="J3608" s="8" t="s">
        <v>1200</v>
      </c>
      <c r="K3608" s="6" t="str">
        <f>"4.032,00"</f>
        <v>4.032,00</v>
      </c>
      <c r="L3608" s="6" t="str">
        <f>"1.008,00"</f>
        <v>1.008,00</v>
      </c>
      <c r="M3608" s="6" t="str">
        <f>"5.040,00"</f>
        <v>5.040,00</v>
      </c>
      <c r="N3608" s="8" t="s">
        <v>124</v>
      </c>
      <c r="O3608" s="7"/>
      <c r="P3608" s="2" t="s">
        <v>5614</v>
      </c>
      <c r="Q3608" s="7"/>
      <c r="R3608" s="1"/>
      <c r="S3608" s="1" t="str">
        <f>"J-UN-2021-1761"</f>
        <v>J-UN-2021-1761</v>
      </c>
      <c r="T3608" s="1" t="s">
        <v>32</v>
      </c>
    </row>
    <row r="3609" spans="1:20" ht="63.75" x14ac:dyDescent="0.25">
      <c r="A3609" s="6">
        <v>3603</v>
      </c>
      <c r="B3609" s="1" t="str">
        <f>"2021-1624"</f>
        <v>2021-1624</v>
      </c>
      <c r="C3609" s="1" t="s">
        <v>2989</v>
      </c>
      <c r="D3609" s="1" t="s">
        <v>2990</v>
      </c>
      <c r="E3609" s="1" t="str">
        <f>""</f>
        <v/>
      </c>
      <c r="F3609" s="1" t="s">
        <v>1860</v>
      </c>
      <c r="G3609" s="1" t="str">
        <f t="shared" si="219"/>
        <v xml:space="preserve"> LANIŠTE D.O.O., ALEXANDERA VON HUMBOLDTA 4B, 10000 ZAGREB, OIB: 3755384865</v>
      </c>
      <c r="H3609" s="7"/>
      <c r="I3609" s="8" t="s">
        <v>225</v>
      </c>
      <c r="J3609" s="8" t="s">
        <v>1200</v>
      </c>
      <c r="K3609" s="6" t="str">
        <f>"3.636,00"</f>
        <v>3.636,00</v>
      </c>
      <c r="L3609" s="6" t="str">
        <f>"909,00"</f>
        <v>909,00</v>
      </c>
      <c r="M3609" s="6" t="str">
        <f>"4.545,00"</f>
        <v>4.545,00</v>
      </c>
      <c r="N3609" s="8" t="s">
        <v>124</v>
      </c>
      <c r="O3609" s="7"/>
      <c r="P3609" s="2" t="s">
        <v>5614</v>
      </c>
      <c r="Q3609" s="7"/>
      <c r="R3609" s="1"/>
      <c r="S3609" s="1" t="str">
        <f>"J-UN-2021-1762"</f>
        <v>J-UN-2021-1762</v>
      </c>
      <c r="T3609" s="1" t="s">
        <v>32</v>
      </c>
    </row>
    <row r="3610" spans="1:20" ht="63.75" x14ac:dyDescent="0.25">
      <c r="A3610" s="6">
        <v>3604</v>
      </c>
      <c r="B3610" s="1" t="str">
        <f>"2021-1772"</f>
        <v>2021-1772</v>
      </c>
      <c r="C3610" s="1" t="s">
        <v>2991</v>
      </c>
      <c r="D3610" s="1" t="s">
        <v>2992</v>
      </c>
      <c r="E3610" s="1" t="str">
        <f>""</f>
        <v/>
      </c>
      <c r="F3610" s="1" t="s">
        <v>1860</v>
      </c>
      <c r="G3610" s="1" t="str">
        <f t="shared" si="219"/>
        <v xml:space="preserve"> LANIŠTE D.O.O., ALEXANDERA VON HUMBOLDTA 4B, 10000 ZAGREB, OIB: 3755384865</v>
      </c>
      <c r="H3610" s="7"/>
      <c r="I3610" s="8" t="s">
        <v>225</v>
      </c>
      <c r="J3610" s="8" t="s">
        <v>1200</v>
      </c>
      <c r="K3610" s="6" t="str">
        <f>"3.636,00"</f>
        <v>3.636,00</v>
      </c>
      <c r="L3610" s="6" t="str">
        <f>"909,00"</f>
        <v>909,00</v>
      </c>
      <c r="M3610" s="6" t="str">
        <f>"4.545,00"</f>
        <v>4.545,00</v>
      </c>
      <c r="N3610" s="8" t="s">
        <v>124</v>
      </c>
      <c r="O3610" s="7"/>
      <c r="P3610" s="2" t="s">
        <v>5614</v>
      </c>
      <c r="Q3610" s="7"/>
      <c r="R3610" s="1"/>
      <c r="S3610" s="1" t="str">
        <f>"J-UN-2021-1763"</f>
        <v>J-UN-2021-1763</v>
      </c>
      <c r="T3610" s="1" t="s">
        <v>32</v>
      </c>
    </row>
    <row r="3611" spans="1:20" ht="63.75" x14ac:dyDescent="0.25">
      <c r="A3611" s="6">
        <v>3605</v>
      </c>
      <c r="B3611" s="1" t="str">
        <f>"2021-1786"</f>
        <v>2021-1786</v>
      </c>
      <c r="C3611" s="1" t="s">
        <v>2984</v>
      </c>
      <c r="D3611" s="1" t="s">
        <v>2985</v>
      </c>
      <c r="E3611" s="1" t="str">
        <f>""</f>
        <v/>
      </c>
      <c r="F3611" s="1" t="s">
        <v>1860</v>
      </c>
      <c r="G3611" s="1" t="str">
        <f t="shared" si="219"/>
        <v xml:space="preserve"> LANIŠTE D.O.O., ALEXANDERA VON HUMBOLDTA 4B, 10000 ZAGREB, OIB: 3755384865</v>
      </c>
      <c r="H3611" s="7"/>
      <c r="I3611" s="8" t="s">
        <v>1530</v>
      </c>
      <c r="J3611" s="8" t="s">
        <v>553</v>
      </c>
      <c r="K3611" s="6" t="str">
        <f>"4.032,00"</f>
        <v>4.032,00</v>
      </c>
      <c r="L3611" s="6" t="str">
        <f>"1.008,00"</f>
        <v>1.008,00</v>
      </c>
      <c r="M3611" s="6" t="str">
        <f>"5.040,00"</f>
        <v>5.040,00</v>
      </c>
      <c r="N3611" s="8" t="s">
        <v>124</v>
      </c>
      <c r="O3611" s="7"/>
      <c r="P3611" s="2" t="s">
        <v>5614</v>
      </c>
      <c r="Q3611" s="7"/>
      <c r="R3611" s="1"/>
      <c r="S3611" s="1" t="str">
        <f>"J-UN-2021-1764"</f>
        <v>J-UN-2021-1764</v>
      </c>
      <c r="T3611" s="1" t="s">
        <v>32</v>
      </c>
    </row>
    <row r="3612" spans="1:20" ht="63.75" x14ac:dyDescent="0.25">
      <c r="A3612" s="6">
        <v>3606</v>
      </c>
      <c r="B3612" s="1" t="str">
        <f>"2021-1787"</f>
        <v>2021-1787</v>
      </c>
      <c r="C3612" s="1" t="s">
        <v>2986</v>
      </c>
      <c r="D3612" s="1" t="s">
        <v>2985</v>
      </c>
      <c r="E3612" s="1" t="str">
        <f>""</f>
        <v/>
      </c>
      <c r="F3612" s="1" t="s">
        <v>1860</v>
      </c>
      <c r="G3612" s="1" t="str">
        <f t="shared" si="219"/>
        <v xml:space="preserve"> LANIŠTE D.O.O., ALEXANDERA VON HUMBOLDTA 4B, 10000 ZAGREB, OIB: 3755384865</v>
      </c>
      <c r="H3612" s="7"/>
      <c r="I3612" s="8" t="s">
        <v>1530</v>
      </c>
      <c r="J3612" s="8" t="s">
        <v>553</v>
      </c>
      <c r="K3612" s="6" t="str">
        <f>"4.032,00"</f>
        <v>4.032,00</v>
      </c>
      <c r="L3612" s="6" t="str">
        <f>"1.008,00"</f>
        <v>1.008,00</v>
      </c>
      <c r="M3612" s="6" t="str">
        <f>"5.040,00"</f>
        <v>5.040,00</v>
      </c>
      <c r="N3612" s="8" t="s">
        <v>124</v>
      </c>
      <c r="O3612" s="7"/>
      <c r="P3612" s="2" t="s">
        <v>5614</v>
      </c>
      <c r="Q3612" s="7"/>
      <c r="R3612" s="1"/>
      <c r="S3612" s="1" t="str">
        <f>"J-UN-2021-1765"</f>
        <v>J-UN-2021-1765</v>
      </c>
      <c r="T3612" s="1" t="s">
        <v>32</v>
      </c>
    </row>
    <row r="3613" spans="1:20" ht="63.75" x14ac:dyDescent="0.25">
      <c r="A3613" s="6">
        <v>3607</v>
      </c>
      <c r="B3613" s="1" t="str">
        <f>"2021-1658"</f>
        <v>2021-1658</v>
      </c>
      <c r="C3613" s="1" t="s">
        <v>2987</v>
      </c>
      <c r="D3613" s="1" t="s">
        <v>2988</v>
      </c>
      <c r="E3613" s="1" t="str">
        <f>""</f>
        <v/>
      </c>
      <c r="F3613" s="1" t="s">
        <v>1860</v>
      </c>
      <c r="G3613" s="1" t="str">
        <f t="shared" si="219"/>
        <v xml:space="preserve"> LANIŠTE D.O.O., ALEXANDERA VON HUMBOLDTA 4B, 10000 ZAGREB, OIB: 3755384865</v>
      </c>
      <c r="H3613" s="7"/>
      <c r="I3613" s="8" t="s">
        <v>1530</v>
      </c>
      <c r="J3613" s="8" t="s">
        <v>553</v>
      </c>
      <c r="K3613" s="6" t="str">
        <f>"4.032,00"</f>
        <v>4.032,00</v>
      </c>
      <c r="L3613" s="6" t="str">
        <f>"1.008,00"</f>
        <v>1.008,00</v>
      </c>
      <c r="M3613" s="6" t="str">
        <f>"5.040,00"</f>
        <v>5.040,00</v>
      </c>
      <c r="N3613" s="8" t="s">
        <v>124</v>
      </c>
      <c r="O3613" s="7"/>
      <c r="P3613" s="2" t="s">
        <v>5614</v>
      </c>
      <c r="Q3613" s="7"/>
      <c r="R3613" s="1"/>
      <c r="S3613" s="1" t="str">
        <f>"J-UN-2021-1766"</f>
        <v>J-UN-2021-1766</v>
      </c>
      <c r="T3613" s="1" t="s">
        <v>32</v>
      </c>
    </row>
    <row r="3614" spans="1:20" ht="63.75" x14ac:dyDescent="0.25">
      <c r="A3614" s="6">
        <v>3608</v>
      </c>
      <c r="B3614" s="1" t="str">
        <f>"2021-1624"</f>
        <v>2021-1624</v>
      </c>
      <c r="C3614" s="1" t="s">
        <v>2989</v>
      </c>
      <c r="D3614" s="1" t="s">
        <v>2990</v>
      </c>
      <c r="E3614" s="1" t="str">
        <f>""</f>
        <v/>
      </c>
      <c r="F3614" s="1" t="s">
        <v>1860</v>
      </c>
      <c r="G3614" s="1" t="str">
        <f t="shared" si="219"/>
        <v xml:space="preserve"> LANIŠTE D.O.O., ALEXANDERA VON HUMBOLDTA 4B, 10000 ZAGREB, OIB: 3755384865</v>
      </c>
      <c r="H3614" s="7"/>
      <c r="I3614" s="8" t="s">
        <v>1530</v>
      </c>
      <c r="J3614" s="8" t="s">
        <v>553</v>
      </c>
      <c r="K3614" s="6" t="str">
        <f>"3.636,00"</f>
        <v>3.636,00</v>
      </c>
      <c r="L3614" s="6" t="str">
        <f>"909,00"</f>
        <v>909,00</v>
      </c>
      <c r="M3614" s="6" t="str">
        <f>"4.545,00"</f>
        <v>4.545,00</v>
      </c>
      <c r="N3614" s="8" t="s">
        <v>124</v>
      </c>
      <c r="O3614" s="7"/>
      <c r="P3614" s="2" t="s">
        <v>5614</v>
      </c>
      <c r="Q3614" s="7"/>
      <c r="R3614" s="1"/>
      <c r="S3614" s="1" t="str">
        <f>"J-UN-2021-1767"</f>
        <v>J-UN-2021-1767</v>
      </c>
      <c r="T3614" s="1" t="s">
        <v>32</v>
      </c>
    </row>
    <row r="3615" spans="1:20" ht="63.75" x14ac:dyDescent="0.25">
      <c r="A3615" s="6">
        <v>3609</v>
      </c>
      <c r="B3615" s="1" t="str">
        <f>"2021-1772"</f>
        <v>2021-1772</v>
      </c>
      <c r="C3615" s="1" t="s">
        <v>2991</v>
      </c>
      <c r="D3615" s="1" t="s">
        <v>2992</v>
      </c>
      <c r="E3615" s="1" t="str">
        <f>""</f>
        <v/>
      </c>
      <c r="F3615" s="1" t="s">
        <v>1860</v>
      </c>
      <c r="G3615" s="1" t="str">
        <f t="shared" si="219"/>
        <v xml:space="preserve"> LANIŠTE D.O.O., ALEXANDERA VON HUMBOLDTA 4B, 10000 ZAGREB, OIB: 3755384865</v>
      </c>
      <c r="H3615" s="7"/>
      <c r="I3615" s="8" t="s">
        <v>225</v>
      </c>
      <c r="J3615" s="8" t="s">
        <v>1200</v>
      </c>
      <c r="K3615" s="6" t="str">
        <f>"3.636,00"</f>
        <v>3.636,00</v>
      </c>
      <c r="L3615" s="6" t="str">
        <f>"909,00"</f>
        <v>909,00</v>
      </c>
      <c r="M3615" s="6" t="str">
        <f>"4.545,00"</f>
        <v>4.545,00</v>
      </c>
      <c r="N3615" s="8" t="s">
        <v>124</v>
      </c>
      <c r="O3615" s="7"/>
      <c r="P3615" s="2" t="s">
        <v>5614</v>
      </c>
      <c r="Q3615" s="7"/>
      <c r="R3615" s="1"/>
      <c r="S3615" s="1" t="str">
        <f>"J-UN-2021-1768"</f>
        <v>J-UN-2021-1768</v>
      </c>
      <c r="T3615" s="1" t="s">
        <v>32</v>
      </c>
    </row>
    <row r="3616" spans="1:20" ht="63.75" x14ac:dyDescent="0.25">
      <c r="A3616" s="6">
        <v>3610</v>
      </c>
      <c r="B3616" s="1" t="str">
        <f>"2021-1786"</f>
        <v>2021-1786</v>
      </c>
      <c r="C3616" s="1" t="s">
        <v>2984</v>
      </c>
      <c r="D3616" s="1" t="s">
        <v>2985</v>
      </c>
      <c r="E3616" s="1" t="str">
        <f>""</f>
        <v/>
      </c>
      <c r="F3616" s="1" t="s">
        <v>1860</v>
      </c>
      <c r="G3616" s="1" t="str">
        <f t="shared" si="219"/>
        <v xml:space="preserve"> LANIŠTE D.O.O., ALEXANDERA VON HUMBOLDTA 4B, 10000 ZAGREB, OIB: 3755384865</v>
      </c>
      <c r="H3616" s="7"/>
      <c r="I3616" s="8" t="s">
        <v>225</v>
      </c>
      <c r="J3616" s="8" t="s">
        <v>1200</v>
      </c>
      <c r="K3616" s="6" t="str">
        <f>"4.032,00"</f>
        <v>4.032,00</v>
      </c>
      <c r="L3616" s="6" t="str">
        <f>"1.008,00"</f>
        <v>1.008,00</v>
      </c>
      <c r="M3616" s="6" t="str">
        <f>"5.040,00"</f>
        <v>5.040,00</v>
      </c>
      <c r="N3616" s="8" t="s">
        <v>124</v>
      </c>
      <c r="O3616" s="7"/>
      <c r="P3616" s="2" t="s">
        <v>5614</v>
      </c>
      <c r="Q3616" s="7"/>
      <c r="R3616" s="1"/>
      <c r="S3616" s="1" t="str">
        <f>"J-UN-2021-1769"</f>
        <v>J-UN-2021-1769</v>
      </c>
      <c r="T3616" s="1" t="s">
        <v>32</v>
      </c>
    </row>
    <row r="3617" spans="1:20" ht="63.75" x14ac:dyDescent="0.25">
      <c r="A3617" s="6">
        <v>3611</v>
      </c>
      <c r="B3617" s="1" t="str">
        <f>"2021-1787"</f>
        <v>2021-1787</v>
      </c>
      <c r="C3617" s="1" t="s">
        <v>2986</v>
      </c>
      <c r="D3617" s="1" t="s">
        <v>2985</v>
      </c>
      <c r="E3617" s="1" t="str">
        <f>""</f>
        <v/>
      </c>
      <c r="F3617" s="1" t="s">
        <v>1860</v>
      </c>
      <c r="G3617" s="1" t="str">
        <f t="shared" si="219"/>
        <v xml:space="preserve"> LANIŠTE D.O.O., ALEXANDERA VON HUMBOLDTA 4B, 10000 ZAGREB, OIB: 3755384865</v>
      </c>
      <c r="H3617" s="7"/>
      <c r="I3617" s="8" t="s">
        <v>225</v>
      </c>
      <c r="J3617" s="8" t="s">
        <v>1200</v>
      </c>
      <c r="K3617" s="6" t="str">
        <f>"4.032,00"</f>
        <v>4.032,00</v>
      </c>
      <c r="L3617" s="6" t="str">
        <f>"1.008,00"</f>
        <v>1.008,00</v>
      </c>
      <c r="M3617" s="6" t="str">
        <f>"5.040,00"</f>
        <v>5.040,00</v>
      </c>
      <c r="N3617" s="8" t="s">
        <v>124</v>
      </c>
      <c r="O3617" s="7"/>
      <c r="P3617" s="2" t="s">
        <v>5614</v>
      </c>
      <c r="Q3617" s="7"/>
      <c r="R3617" s="1"/>
      <c r="S3617" s="1" t="str">
        <f>"J-UN-2021-1770"</f>
        <v>J-UN-2021-1770</v>
      </c>
      <c r="T3617" s="1" t="s">
        <v>32</v>
      </c>
    </row>
    <row r="3618" spans="1:20" ht="63.75" x14ac:dyDescent="0.25">
      <c r="A3618" s="6">
        <v>3612</v>
      </c>
      <c r="B3618" s="1" t="str">
        <f>"2021-1658"</f>
        <v>2021-1658</v>
      </c>
      <c r="C3618" s="1" t="s">
        <v>2987</v>
      </c>
      <c r="D3618" s="1" t="s">
        <v>2988</v>
      </c>
      <c r="E3618" s="1" t="str">
        <f>""</f>
        <v/>
      </c>
      <c r="F3618" s="1" t="s">
        <v>1860</v>
      </c>
      <c r="G3618" s="1" t="str">
        <f t="shared" si="219"/>
        <v xml:space="preserve"> LANIŠTE D.O.O., ALEXANDERA VON HUMBOLDTA 4B, 10000 ZAGREB, OIB: 3755384865</v>
      </c>
      <c r="H3618" s="7"/>
      <c r="I3618" s="8" t="s">
        <v>225</v>
      </c>
      <c r="J3618" s="8" t="s">
        <v>1200</v>
      </c>
      <c r="K3618" s="6" t="str">
        <f>"4.032,00"</f>
        <v>4.032,00</v>
      </c>
      <c r="L3618" s="6" t="str">
        <f>"1.008,00"</f>
        <v>1.008,00</v>
      </c>
      <c r="M3618" s="6" t="str">
        <f>"5.040,00"</f>
        <v>5.040,00</v>
      </c>
      <c r="N3618" s="8" t="s">
        <v>124</v>
      </c>
      <c r="O3618" s="7"/>
      <c r="P3618" s="2" t="s">
        <v>5614</v>
      </c>
      <c r="Q3618" s="7"/>
      <c r="R3618" s="1"/>
      <c r="S3618" s="1" t="str">
        <f>"J-UN-2021-1771"</f>
        <v>J-UN-2021-1771</v>
      </c>
      <c r="T3618" s="1" t="s">
        <v>32</v>
      </c>
    </row>
    <row r="3619" spans="1:20" ht="63.75" x14ac:dyDescent="0.25">
      <c r="A3619" s="6">
        <v>3613</v>
      </c>
      <c r="B3619" s="1" t="str">
        <f>"2021-1624"</f>
        <v>2021-1624</v>
      </c>
      <c r="C3619" s="1" t="s">
        <v>2989</v>
      </c>
      <c r="D3619" s="1" t="s">
        <v>2990</v>
      </c>
      <c r="E3619" s="1" t="str">
        <f>""</f>
        <v/>
      </c>
      <c r="F3619" s="1" t="s">
        <v>1860</v>
      </c>
      <c r="G3619" s="1" t="str">
        <f t="shared" si="219"/>
        <v xml:space="preserve"> LANIŠTE D.O.O., ALEXANDERA VON HUMBOLDTA 4B, 10000 ZAGREB, OIB: 3755384865</v>
      </c>
      <c r="H3619" s="7"/>
      <c r="I3619" s="8" t="s">
        <v>225</v>
      </c>
      <c r="J3619" s="8" t="s">
        <v>1200</v>
      </c>
      <c r="K3619" s="6" t="str">
        <f>"3.636,00"</f>
        <v>3.636,00</v>
      </c>
      <c r="L3619" s="6" t="str">
        <f>"909,00"</f>
        <v>909,00</v>
      </c>
      <c r="M3619" s="6" t="str">
        <f>"4.545,00"</f>
        <v>4.545,00</v>
      </c>
      <c r="N3619" s="8" t="s">
        <v>124</v>
      </c>
      <c r="O3619" s="7"/>
      <c r="P3619" s="2" t="s">
        <v>5614</v>
      </c>
      <c r="Q3619" s="7"/>
      <c r="R3619" s="1"/>
      <c r="S3619" s="1" t="str">
        <f>"J-UN-2021-1772"</f>
        <v>J-UN-2021-1772</v>
      </c>
      <c r="T3619" s="1" t="s">
        <v>32</v>
      </c>
    </row>
    <row r="3620" spans="1:20" ht="63.75" x14ac:dyDescent="0.25">
      <c r="A3620" s="6">
        <v>3614</v>
      </c>
      <c r="B3620" s="1" t="str">
        <f>"2021-1772"</f>
        <v>2021-1772</v>
      </c>
      <c r="C3620" s="1" t="s">
        <v>2991</v>
      </c>
      <c r="D3620" s="1" t="s">
        <v>2992</v>
      </c>
      <c r="E3620" s="1" t="str">
        <f>""</f>
        <v/>
      </c>
      <c r="F3620" s="1" t="s">
        <v>1860</v>
      </c>
      <c r="G3620" s="1" t="str">
        <f t="shared" si="219"/>
        <v xml:space="preserve"> LANIŠTE D.O.O., ALEXANDERA VON HUMBOLDTA 4B, 10000 ZAGREB, OIB: 3755384865</v>
      </c>
      <c r="H3620" s="7"/>
      <c r="I3620" s="8" t="s">
        <v>225</v>
      </c>
      <c r="J3620" s="8" t="s">
        <v>1200</v>
      </c>
      <c r="K3620" s="6" t="str">
        <f>"3.636,00"</f>
        <v>3.636,00</v>
      </c>
      <c r="L3620" s="6" t="str">
        <f>"909,00"</f>
        <v>909,00</v>
      </c>
      <c r="M3620" s="6" t="str">
        <f>"4.545,00"</f>
        <v>4.545,00</v>
      </c>
      <c r="N3620" s="8" t="s">
        <v>124</v>
      </c>
      <c r="O3620" s="7"/>
      <c r="P3620" s="2" t="s">
        <v>5614</v>
      </c>
      <c r="Q3620" s="7"/>
      <c r="R3620" s="1"/>
      <c r="S3620" s="1" t="str">
        <f>"J-UN-2021-1773"</f>
        <v>J-UN-2021-1773</v>
      </c>
      <c r="T3620" s="1" t="s">
        <v>32</v>
      </c>
    </row>
    <row r="3621" spans="1:20" ht="63.75" x14ac:dyDescent="0.25">
      <c r="A3621" s="6">
        <v>3615</v>
      </c>
      <c r="B3621" s="1" t="str">
        <f>"2021-1786"</f>
        <v>2021-1786</v>
      </c>
      <c r="C3621" s="1" t="s">
        <v>2984</v>
      </c>
      <c r="D3621" s="1" t="s">
        <v>2985</v>
      </c>
      <c r="E3621" s="1" t="str">
        <f>""</f>
        <v/>
      </c>
      <c r="F3621" s="1" t="s">
        <v>1860</v>
      </c>
      <c r="G3621" s="1" t="str">
        <f t="shared" si="219"/>
        <v xml:space="preserve"> LANIŠTE D.O.O., ALEXANDERA VON HUMBOLDTA 4B, 10000 ZAGREB, OIB: 3755384865</v>
      </c>
      <c r="H3621" s="7"/>
      <c r="I3621" s="8" t="s">
        <v>1530</v>
      </c>
      <c r="J3621" s="8" t="s">
        <v>553</v>
      </c>
      <c r="K3621" s="6" t="str">
        <f>"4.032,00"</f>
        <v>4.032,00</v>
      </c>
      <c r="L3621" s="6" t="str">
        <f>"1.008,00"</f>
        <v>1.008,00</v>
      </c>
      <c r="M3621" s="6" t="str">
        <f>"5.040,00"</f>
        <v>5.040,00</v>
      </c>
      <c r="N3621" s="8" t="s">
        <v>124</v>
      </c>
      <c r="O3621" s="7"/>
      <c r="P3621" s="2" t="s">
        <v>5614</v>
      </c>
      <c r="Q3621" s="7"/>
      <c r="R3621" s="1"/>
      <c r="S3621" s="1" t="str">
        <f>"J-UN-2021-1774"</f>
        <v>J-UN-2021-1774</v>
      </c>
      <c r="T3621" s="1" t="s">
        <v>32</v>
      </c>
    </row>
    <row r="3622" spans="1:20" ht="63.75" x14ac:dyDescent="0.25">
      <c r="A3622" s="6">
        <v>3616</v>
      </c>
      <c r="B3622" s="1" t="str">
        <f>"2021-1787"</f>
        <v>2021-1787</v>
      </c>
      <c r="C3622" s="1" t="s">
        <v>2986</v>
      </c>
      <c r="D3622" s="1" t="s">
        <v>2985</v>
      </c>
      <c r="E3622" s="1" t="str">
        <f>""</f>
        <v/>
      </c>
      <c r="F3622" s="1" t="s">
        <v>1860</v>
      </c>
      <c r="G3622" s="1" t="str">
        <f t="shared" si="219"/>
        <v xml:space="preserve"> LANIŠTE D.O.O., ALEXANDERA VON HUMBOLDTA 4B, 10000 ZAGREB, OIB: 3755384865</v>
      </c>
      <c r="H3622" s="7"/>
      <c r="I3622" s="8" t="s">
        <v>1530</v>
      </c>
      <c r="J3622" s="8" t="s">
        <v>553</v>
      </c>
      <c r="K3622" s="6" t="str">
        <f>"4.032,00"</f>
        <v>4.032,00</v>
      </c>
      <c r="L3622" s="6" t="str">
        <f>"1.008,00"</f>
        <v>1.008,00</v>
      </c>
      <c r="M3622" s="6" t="str">
        <f>"5.040,00"</f>
        <v>5.040,00</v>
      </c>
      <c r="N3622" s="8" t="s">
        <v>124</v>
      </c>
      <c r="O3622" s="7"/>
      <c r="P3622" s="2" t="s">
        <v>5614</v>
      </c>
      <c r="Q3622" s="7"/>
      <c r="R3622" s="1"/>
      <c r="S3622" s="1" t="str">
        <f>"J-UN-2021-1775"</f>
        <v>J-UN-2021-1775</v>
      </c>
      <c r="T3622" s="1" t="s">
        <v>32</v>
      </c>
    </row>
    <row r="3623" spans="1:20" ht="63.75" x14ac:dyDescent="0.25">
      <c r="A3623" s="6">
        <v>3617</v>
      </c>
      <c r="B3623" s="1" t="str">
        <f>"2021-1658"</f>
        <v>2021-1658</v>
      </c>
      <c r="C3623" s="1" t="s">
        <v>2987</v>
      </c>
      <c r="D3623" s="1" t="s">
        <v>2988</v>
      </c>
      <c r="E3623" s="1" t="str">
        <f>""</f>
        <v/>
      </c>
      <c r="F3623" s="1" t="s">
        <v>1860</v>
      </c>
      <c r="G3623" s="1" t="str">
        <f t="shared" si="219"/>
        <v xml:space="preserve"> LANIŠTE D.O.O., ALEXANDERA VON HUMBOLDTA 4B, 10000 ZAGREB, OIB: 3755384865</v>
      </c>
      <c r="H3623" s="7"/>
      <c r="I3623" s="8" t="s">
        <v>1530</v>
      </c>
      <c r="J3623" s="8" t="s">
        <v>553</v>
      </c>
      <c r="K3623" s="6" t="str">
        <f>"4.032,00"</f>
        <v>4.032,00</v>
      </c>
      <c r="L3623" s="6" t="str">
        <f>"1.008,00"</f>
        <v>1.008,00</v>
      </c>
      <c r="M3623" s="6" t="str">
        <f>"5.040,00"</f>
        <v>5.040,00</v>
      </c>
      <c r="N3623" s="8" t="s">
        <v>124</v>
      </c>
      <c r="O3623" s="7"/>
      <c r="P3623" s="2" t="s">
        <v>5614</v>
      </c>
      <c r="Q3623" s="7"/>
      <c r="R3623" s="1"/>
      <c r="S3623" s="1" t="str">
        <f>"J-UN-2021-1776"</f>
        <v>J-UN-2021-1776</v>
      </c>
      <c r="T3623" s="1" t="s">
        <v>32</v>
      </c>
    </row>
    <row r="3624" spans="1:20" ht="63.75" x14ac:dyDescent="0.25">
      <c r="A3624" s="6">
        <v>3618</v>
      </c>
      <c r="B3624" s="1" t="str">
        <f>"2021-1622"</f>
        <v>2021-1622</v>
      </c>
      <c r="C3624" s="1" t="s">
        <v>2993</v>
      </c>
      <c r="D3624" s="1" t="s">
        <v>2994</v>
      </c>
      <c r="E3624" s="1" t="str">
        <f>""</f>
        <v/>
      </c>
      <c r="F3624" s="1" t="s">
        <v>1860</v>
      </c>
      <c r="G3624" s="1" t="str">
        <f t="shared" si="219"/>
        <v xml:space="preserve"> LANIŠTE D.O.O., ALEXANDERA VON HUMBOLDTA 4B, 10000 ZAGREB, OIB: 3755384865</v>
      </c>
      <c r="H3624" s="7"/>
      <c r="I3624" s="8" t="s">
        <v>1530</v>
      </c>
      <c r="J3624" s="8" t="s">
        <v>553</v>
      </c>
      <c r="K3624" s="6" t="str">
        <f>"3.632,00"</f>
        <v>3.632,00</v>
      </c>
      <c r="L3624" s="6" t="str">
        <f>"908,00"</f>
        <v>908,00</v>
      </c>
      <c r="M3624" s="6" t="str">
        <f>"4.540,00"</f>
        <v>4.540,00</v>
      </c>
      <c r="N3624" s="8" t="s">
        <v>124</v>
      </c>
      <c r="O3624" s="7"/>
      <c r="P3624" s="2" t="s">
        <v>5614</v>
      </c>
      <c r="Q3624" s="7"/>
      <c r="R3624" s="1"/>
      <c r="S3624" s="1" t="str">
        <f>"J-UN-2021-1777"</f>
        <v>J-UN-2021-1777</v>
      </c>
      <c r="T3624" s="1" t="s">
        <v>32</v>
      </c>
    </row>
    <row r="3625" spans="1:20" ht="63.75" x14ac:dyDescent="0.25">
      <c r="A3625" s="6">
        <v>3619</v>
      </c>
      <c r="B3625" s="1" t="str">
        <f>"2021-1772"</f>
        <v>2021-1772</v>
      </c>
      <c r="C3625" s="1" t="s">
        <v>2991</v>
      </c>
      <c r="D3625" s="1" t="s">
        <v>2992</v>
      </c>
      <c r="E3625" s="1" t="str">
        <f>""</f>
        <v/>
      </c>
      <c r="F3625" s="1" t="s">
        <v>1860</v>
      </c>
      <c r="G3625" s="1" t="str">
        <f t="shared" si="219"/>
        <v xml:space="preserve"> LANIŠTE D.O.O., ALEXANDERA VON HUMBOLDTA 4B, 10000 ZAGREB, OIB: 3755384865</v>
      </c>
      <c r="H3625" s="7"/>
      <c r="I3625" s="8" t="s">
        <v>1530</v>
      </c>
      <c r="J3625" s="8" t="s">
        <v>553</v>
      </c>
      <c r="K3625" s="6" t="str">
        <f>"2.636,00"</f>
        <v>2.636,00</v>
      </c>
      <c r="L3625" s="6" t="str">
        <f>"659,00"</f>
        <v>659,00</v>
      </c>
      <c r="M3625" s="6" t="str">
        <f>"3.295,00"</f>
        <v>3.295,00</v>
      </c>
      <c r="N3625" s="8" t="s">
        <v>124</v>
      </c>
      <c r="O3625" s="7"/>
      <c r="P3625" s="2" t="s">
        <v>5614</v>
      </c>
      <c r="Q3625" s="7"/>
      <c r="R3625" s="1"/>
      <c r="S3625" s="1" t="str">
        <f>"J-UN-2021-1778"</f>
        <v>J-UN-2021-1778</v>
      </c>
      <c r="T3625" s="1" t="s">
        <v>32</v>
      </c>
    </row>
    <row r="3626" spans="1:20" ht="63.75" x14ac:dyDescent="0.25">
      <c r="A3626" s="6">
        <v>3620</v>
      </c>
      <c r="B3626" s="1" t="str">
        <f>"2021-1624"</f>
        <v>2021-1624</v>
      </c>
      <c r="C3626" s="1" t="s">
        <v>2989</v>
      </c>
      <c r="D3626" s="1" t="s">
        <v>2990</v>
      </c>
      <c r="E3626" s="1" t="str">
        <f>""</f>
        <v/>
      </c>
      <c r="F3626" s="1" t="s">
        <v>1860</v>
      </c>
      <c r="G3626" s="1" t="str">
        <f t="shared" si="219"/>
        <v xml:space="preserve"> LANIŠTE D.O.O., ALEXANDERA VON HUMBOLDTA 4B, 10000 ZAGREB, OIB: 3755384865</v>
      </c>
      <c r="H3626" s="7"/>
      <c r="I3626" s="8" t="s">
        <v>1530</v>
      </c>
      <c r="J3626" s="8" t="s">
        <v>553</v>
      </c>
      <c r="K3626" s="6" t="str">
        <f>"3.636,00"</f>
        <v>3.636,00</v>
      </c>
      <c r="L3626" s="6" t="str">
        <f>"909,00"</f>
        <v>909,00</v>
      </c>
      <c r="M3626" s="6" t="str">
        <f>"4.545,00"</f>
        <v>4.545,00</v>
      </c>
      <c r="N3626" s="8" t="s">
        <v>124</v>
      </c>
      <c r="O3626" s="7"/>
      <c r="P3626" s="2" t="s">
        <v>5614</v>
      </c>
      <c r="Q3626" s="7"/>
      <c r="R3626" s="1"/>
      <c r="S3626" s="1" t="str">
        <f>"J-UN-2021-1779"</f>
        <v>J-UN-2021-1779</v>
      </c>
      <c r="T3626" s="1" t="s">
        <v>32</v>
      </c>
    </row>
    <row r="3627" spans="1:20" ht="63.75" x14ac:dyDescent="0.25">
      <c r="A3627" s="6">
        <v>3621</v>
      </c>
      <c r="B3627" s="1" t="str">
        <f>"2021-1772"</f>
        <v>2021-1772</v>
      </c>
      <c r="C3627" s="1" t="s">
        <v>2991</v>
      </c>
      <c r="D3627" s="1" t="s">
        <v>2992</v>
      </c>
      <c r="E3627" s="1" t="str">
        <f>""</f>
        <v/>
      </c>
      <c r="F3627" s="1" t="s">
        <v>1860</v>
      </c>
      <c r="G3627" s="1" t="str">
        <f t="shared" si="219"/>
        <v xml:space="preserve"> LANIŠTE D.O.O., ALEXANDERA VON HUMBOLDTA 4B, 10000 ZAGREB, OIB: 3755384865</v>
      </c>
      <c r="H3627" s="7"/>
      <c r="I3627" s="8" t="s">
        <v>1530</v>
      </c>
      <c r="J3627" s="8" t="s">
        <v>553</v>
      </c>
      <c r="K3627" s="6" t="str">
        <f>"3.636,00"</f>
        <v>3.636,00</v>
      </c>
      <c r="L3627" s="6" t="str">
        <f>"909,00"</f>
        <v>909,00</v>
      </c>
      <c r="M3627" s="6" t="str">
        <f>"4.545,00"</f>
        <v>4.545,00</v>
      </c>
      <c r="N3627" s="8" t="s">
        <v>124</v>
      </c>
      <c r="O3627" s="7"/>
      <c r="P3627" s="2" t="s">
        <v>5614</v>
      </c>
      <c r="Q3627" s="7"/>
      <c r="R3627" s="1"/>
      <c r="S3627" s="1" t="str">
        <f>"J-UN-2021-1780"</f>
        <v>J-UN-2021-1780</v>
      </c>
      <c r="T3627" s="1" t="s">
        <v>32</v>
      </c>
    </row>
    <row r="3628" spans="1:20" ht="63.75" x14ac:dyDescent="0.25">
      <c r="A3628" s="6">
        <v>3622</v>
      </c>
      <c r="B3628" s="1" t="str">
        <f>"2021-1787"</f>
        <v>2021-1787</v>
      </c>
      <c r="C3628" s="1" t="s">
        <v>2986</v>
      </c>
      <c r="D3628" s="1" t="s">
        <v>2985</v>
      </c>
      <c r="E3628" s="1" t="str">
        <f>""</f>
        <v/>
      </c>
      <c r="F3628" s="1" t="s">
        <v>1860</v>
      </c>
      <c r="G3628" s="1" t="str">
        <f t="shared" si="219"/>
        <v xml:space="preserve"> LANIŠTE D.O.O., ALEXANDERA VON HUMBOLDTA 4B, 10000 ZAGREB, OIB: 3755384865</v>
      </c>
      <c r="H3628" s="7"/>
      <c r="I3628" s="8" t="s">
        <v>1530</v>
      </c>
      <c r="J3628" s="8" t="s">
        <v>553</v>
      </c>
      <c r="K3628" s="6" t="str">
        <f>"4.032,00"</f>
        <v>4.032,00</v>
      </c>
      <c r="L3628" s="6" t="str">
        <f>"1.008,00"</f>
        <v>1.008,00</v>
      </c>
      <c r="M3628" s="6" t="str">
        <f>"5.040,00"</f>
        <v>5.040,00</v>
      </c>
      <c r="N3628" s="8" t="s">
        <v>124</v>
      </c>
      <c r="O3628" s="7"/>
      <c r="P3628" s="2" t="s">
        <v>5614</v>
      </c>
      <c r="Q3628" s="7"/>
      <c r="R3628" s="1"/>
      <c r="S3628" s="1" t="str">
        <f>"J-UN-2021-1781"</f>
        <v>J-UN-2021-1781</v>
      </c>
      <c r="T3628" s="1" t="s">
        <v>32</v>
      </c>
    </row>
    <row r="3629" spans="1:20" ht="63.75" x14ac:dyDescent="0.25">
      <c r="A3629" s="6">
        <v>3623</v>
      </c>
      <c r="B3629" s="1" t="str">
        <f>"2021-1658"</f>
        <v>2021-1658</v>
      </c>
      <c r="C3629" s="1" t="s">
        <v>2987</v>
      </c>
      <c r="D3629" s="1" t="s">
        <v>2988</v>
      </c>
      <c r="E3629" s="1" t="str">
        <f>""</f>
        <v/>
      </c>
      <c r="F3629" s="1" t="s">
        <v>1860</v>
      </c>
      <c r="G3629" s="1" t="str">
        <f t="shared" si="219"/>
        <v xml:space="preserve"> LANIŠTE D.O.O., ALEXANDERA VON HUMBOLDTA 4B, 10000 ZAGREB, OIB: 3755384865</v>
      </c>
      <c r="H3629" s="7"/>
      <c r="I3629" s="8" t="s">
        <v>1530</v>
      </c>
      <c r="J3629" s="8" t="s">
        <v>553</v>
      </c>
      <c r="K3629" s="6" t="str">
        <f>"4.032,00"</f>
        <v>4.032,00</v>
      </c>
      <c r="L3629" s="6" t="str">
        <f>"1.008,00"</f>
        <v>1.008,00</v>
      </c>
      <c r="M3629" s="6" t="str">
        <f>"5.040,00"</f>
        <v>5.040,00</v>
      </c>
      <c r="N3629" s="8" t="s">
        <v>124</v>
      </c>
      <c r="O3629" s="7"/>
      <c r="P3629" s="2" t="s">
        <v>5614</v>
      </c>
      <c r="Q3629" s="7"/>
      <c r="R3629" s="1"/>
      <c r="S3629" s="1" t="str">
        <f>"J-UN-2021-1782"</f>
        <v>J-UN-2021-1782</v>
      </c>
      <c r="T3629" s="1" t="s">
        <v>32</v>
      </c>
    </row>
    <row r="3630" spans="1:20" ht="63.75" x14ac:dyDescent="0.25">
      <c r="A3630" s="6">
        <v>3624</v>
      </c>
      <c r="B3630" s="1" t="str">
        <f>"2021-1622"</f>
        <v>2021-1622</v>
      </c>
      <c r="C3630" s="1" t="s">
        <v>2993</v>
      </c>
      <c r="D3630" s="1" t="s">
        <v>2994</v>
      </c>
      <c r="E3630" s="1" t="str">
        <f>""</f>
        <v/>
      </c>
      <c r="F3630" s="1" t="s">
        <v>1860</v>
      </c>
      <c r="G3630" s="1" t="str">
        <f t="shared" si="219"/>
        <v xml:space="preserve"> LANIŠTE D.O.O., ALEXANDERA VON HUMBOLDTA 4B, 10000 ZAGREB, OIB: 3755384865</v>
      </c>
      <c r="H3630" s="7"/>
      <c r="I3630" s="8" t="s">
        <v>1530</v>
      </c>
      <c r="J3630" s="8" t="s">
        <v>553</v>
      </c>
      <c r="K3630" s="6" t="str">
        <f>"3.632,00"</f>
        <v>3.632,00</v>
      </c>
      <c r="L3630" s="6" t="str">
        <f>"908,00"</f>
        <v>908,00</v>
      </c>
      <c r="M3630" s="6" t="str">
        <f>"4.540,00"</f>
        <v>4.540,00</v>
      </c>
      <c r="N3630" s="8" t="s">
        <v>124</v>
      </c>
      <c r="O3630" s="7"/>
      <c r="P3630" s="2" t="s">
        <v>5614</v>
      </c>
      <c r="Q3630" s="7"/>
      <c r="R3630" s="1"/>
      <c r="S3630" s="1" t="str">
        <f>"J-UN-2021-1783"</f>
        <v>J-UN-2021-1783</v>
      </c>
      <c r="T3630" s="1" t="s">
        <v>32</v>
      </c>
    </row>
    <row r="3631" spans="1:20" ht="63.75" x14ac:dyDescent="0.25">
      <c r="A3631" s="6">
        <v>3625</v>
      </c>
      <c r="B3631" s="1" t="str">
        <f>"2021-1624"</f>
        <v>2021-1624</v>
      </c>
      <c r="C3631" s="1" t="s">
        <v>2989</v>
      </c>
      <c r="D3631" s="1" t="s">
        <v>2990</v>
      </c>
      <c r="E3631" s="1" t="str">
        <f>""</f>
        <v/>
      </c>
      <c r="F3631" s="1" t="s">
        <v>1860</v>
      </c>
      <c r="G3631" s="1" t="str">
        <f t="shared" si="219"/>
        <v xml:space="preserve"> LANIŠTE D.O.O., ALEXANDERA VON HUMBOLDTA 4B, 10000 ZAGREB, OIB: 3755384865</v>
      </c>
      <c r="H3631" s="7"/>
      <c r="I3631" s="8" t="s">
        <v>1530</v>
      </c>
      <c r="J3631" s="8" t="s">
        <v>553</v>
      </c>
      <c r="K3631" s="6" t="str">
        <f>"3.636,00"</f>
        <v>3.636,00</v>
      </c>
      <c r="L3631" s="6" t="str">
        <f>"909,00"</f>
        <v>909,00</v>
      </c>
      <c r="M3631" s="6" t="str">
        <f>"4.545,00"</f>
        <v>4.545,00</v>
      </c>
      <c r="N3631" s="8" t="s">
        <v>124</v>
      </c>
      <c r="O3631" s="7"/>
      <c r="P3631" s="2" t="s">
        <v>5614</v>
      </c>
      <c r="Q3631" s="7"/>
      <c r="R3631" s="1"/>
      <c r="S3631" s="1" t="str">
        <f>"J-UN-2021-1784"</f>
        <v>J-UN-2021-1784</v>
      </c>
      <c r="T3631" s="1" t="s">
        <v>32</v>
      </c>
    </row>
    <row r="3632" spans="1:20" ht="51" x14ac:dyDescent="0.25">
      <c r="A3632" s="6">
        <v>3626</v>
      </c>
      <c r="B3632" s="1" t="str">
        <f>"2021-1668"</f>
        <v>2021-1668</v>
      </c>
      <c r="C3632" s="1" t="s">
        <v>2721</v>
      </c>
      <c r="D3632" s="1" t="s">
        <v>1438</v>
      </c>
      <c r="E3632" s="1" t="str">
        <f>""</f>
        <v/>
      </c>
      <c r="F3632" s="1" t="s">
        <v>1860</v>
      </c>
      <c r="G3632" s="1" t="str">
        <f>CONCATENATE(" HORTINA D.O.O.,"," KUZMINEČKA 55,"," 10000 ZAGREB,"," OIB: 28113075187")</f>
        <v xml:space="preserve"> HORTINA D.O.O., KUZMINEČKA 55, 10000 ZAGREB, OIB: 28113075187</v>
      </c>
      <c r="H3632" s="7"/>
      <c r="I3632" s="8" t="s">
        <v>213</v>
      </c>
      <c r="J3632" s="8" t="s">
        <v>1151</v>
      </c>
      <c r="K3632" s="6" t="str">
        <f>"93.700,00"</f>
        <v>93.700,00</v>
      </c>
      <c r="L3632" s="6" t="str">
        <f>"23.425,00"</f>
        <v>23.425,00</v>
      </c>
      <c r="M3632" s="6" t="str">
        <f>"117.125,00"</f>
        <v>117.125,00</v>
      </c>
      <c r="N3632" s="8" t="s">
        <v>598</v>
      </c>
      <c r="O3632" s="7"/>
      <c r="P3632" s="2" t="s">
        <v>7751</v>
      </c>
      <c r="Q3632" s="7"/>
      <c r="R3632" s="1"/>
      <c r="S3632" s="1" t="str">
        <f>"J-UN-2021-1812"</f>
        <v>J-UN-2021-1812</v>
      </c>
      <c r="T3632" s="1" t="s">
        <v>32</v>
      </c>
    </row>
    <row r="3633" spans="1:20" ht="63.75" x14ac:dyDescent="0.25">
      <c r="A3633" s="6">
        <v>3627</v>
      </c>
      <c r="B3633" s="1" t="str">
        <f>"2021-707"</f>
        <v>2021-707</v>
      </c>
      <c r="C3633" s="1" t="s">
        <v>2642</v>
      </c>
      <c r="D3633" s="1" t="s">
        <v>1236</v>
      </c>
      <c r="E3633" s="1" t="str">
        <f>""</f>
        <v/>
      </c>
      <c r="F3633" s="1" t="s">
        <v>1860</v>
      </c>
      <c r="G3633" s="1" t="str">
        <f>CONCATENATE(" SECURITAS HRVATSKA D.O.O.,"," ZAGREBAČKA CESTA 145A,"," 10000 ZAGREB,"," OIB: 33679708526")</f>
        <v xml:space="preserve"> SECURITAS HRVATSKA D.O.O., ZAGREBAČKA CESTA 145A, 10000 ZAGREB, OIB: 33679708526</v>
      </c>
      <c r="H3633" s="7"/>
      <c r="I3633" s="8" t="s">
        <v>225</v>
      </c>
      <c r="J3633" s="8" t="s">
        <v>1200</v>
      </c>
      <c r="K3633" s="6" t="str">
        <f>"1.101,00"</f>
        <v>1.101,00</v>
      </c>
      <c r="L3633" s="6" t="str">
        <f>"275,25"</f>
        <v>275,25</v>
      </c>
      <c r="M3633" s="6" t="str">
        <f>"1.376,25"</f>
        <v>1.376,25</v>
      </c>
      <c r="N3633" s="8" t="s">
        <v>137</v>
      </c>
      <c r="O3633" s="7"/>
      <c r="P3633" s="2" t="s">
        <v>6771</v>
      </c>
      <c r="Q3633" s="7"/>
      <c r="R3633" s="1"/>
      <c r="S3633" s="1" t="str">
        <f>"J-UN-2021-1813"</f>
        <v>J-UN-2021-1813</v>
      </c>
      <c r="T3633" s="1" t="s">
        <v>32</v>
      </c>
    </row>
    <row r="3634" spans="1:20" ht="51" x14ac:dyDescent="0.25">
      <c r="A3634" s="6">
        <v>3628</v>
      </c>
      <c r="B3634" s="1" t="str">
        <f>"2021-2319"</f>
        <v>2021-2319</v>
      </c>
      <c r="C3634" s="1" t="s">
        <v>2995</v>
      </c>
      <c r="D3634" s="1" t="s">
        <v>794</v>
      </c>
      <c r="E3634" s="1" t="str">
        <f>""</f>
        <v/>
      </c>
      <c r="F3634" s="1" t="s">
        <v>1860</v>
      </c>
      <c r="G3634" s="1" t="str">
        <f>CONCATENATE(" GEOSOFT D.O.O.,"," NAD LIPOM 4,"," 10000 ZAGREB,"," OIB: 65512015046")</f>
        <v xml:space="preserve"> GEOSOFT D.O.O., NAD LIPOM 4, 10000 ZAGREB, OIB: 65512015046</v>
      </c>
      <c r="H3634" s="7"/>
      <c r="I3634" s="8" t="s">
        <v>616</v>
      </c>
      <c r="J3634" s="8" t="s">
        <v>121</v>
      </c>
      <c r="K3634" s="6" t="str">
        <f>"25.326,00"</f>
        <v>25.326,00</v>
      </c>
      <c r="L3634" s="6" t="str">
        <f>"6.331,50"</f>
        <v>6.331,50</v>
      </c>
      <c r="M3634" s="6" t="str">
        <f>"31.657,50"</f>
        <v>31.657,50</v>
      </c>
      <c r="N3634" s="8" t="s">
        <v>124</v>
      </c>
      <c r="O3634" s="7"/>
      <c r="P3634" s="2" t="s">
        <v>5614</v>
      </c>
      <c r="Q3634" s="7"/>
      <c r="R3634" s="1"/>
      <c r="S3634" s="1" t="str">
        <f>"J-UN-2021-1819"</f>
        <v>J-UN-2021-1819</v>
      </c>
      <c r="T3634" s="1" t="s">
        <v>32</v>
      </c>
    </row>
    <row r="3635" spans="1:20" ht="76.5" x14ac:dyDescent="0.25">
      <c r="A3635" s="6">
        <v>3629</v>
      </c>
      <c r="B3635" s="1" t="str">
        <f>"2021-983"</f>
        <v>2021-983</v>
      </c>
      <c r="C3635" s="1" t="s">
        <v>2690</v>
      </c>
      <c r="D3635" s="1" t="s">
        <v>2691</v>
      </c>
      <c r="E3635" s="1" t="str">
        <f>""</f>
        <v/>
      </c>
      <c r="F3635" s="1" t="s">
        <v>1860</v>
      </c>
      <c r="G3635" s="1" t="str">
        <f>CONCATENATE(" SMIT-COMMERCE D.O.O.,"," GORNJOSTUPNIČKA 9B,"," 10255 GORNJI STUPNIK,"," OIB: 9524348214")</f>
        <v xml:space="preserve"> SMIT-COMMERCE D.O.O., GORNJOSTUPNIČKA 9B, 10255 GORNJI STUPNIK, OIB: 9524348214</v>
      </c>
      <c r="H3635" s="7"/>
      <c r="I3635" s="8" t="s">
        <v>616</v>
      </c>
      <c r="J3635" s="8" t="s">
        <v>121</v>
      </c>
      <c r="K3635" s="6" t="str">
        <f>"4.793,54"</f>
        <v>4.793,54</v>
      </c>
      <c r="L3635" s="6" t="str">
        <f>"1.198,39"</f>
        <v>1.198,39</v>
      </c>
      <c r="M3635" s="6" t="str">
        <f>"5.991,93"</f>
        <v>5.991,93</v>
      </c>
      <c r="N3635" s="8" t="s">
        <v>663</v>
      </c>
      <c r="O3635" s="7"/>
      <c r="P3635" s="2" t="s">
        <v>7752</v>
      </c>
      <c r="Q3635" s="7"/>
      <c r="R3635" s="1"/>
      <c r="S3635" s="1" t="str">
        <f>"J-UN-2021-1821"</f>
        <v>J-UN-2021-1821</v>
      </c>
      <c r="T3635" s="1" t="s">
        <v>32</v>
      </c>
    </row>
    <row r="3636" spans="1:20" ht="51" x14ac:dyDescent="0.25">
      <c r="A3636" s="6">
        <v>3630</v>
      </c>
      <c r="B3636" s="1" t="str">
        <f>"2021-357"</f>
        <v>2021-357</v>
      </c>
      <c r="C3636" s="1" t="s">
        <v>2864</v>
      </c>
      <c r="D3636" s="1" t="s">
        <v>2659</v>
      </c>
      <c r="E3636" s="1" t="str">
        <f>""</f>
        <v/>
      </c>
      <c r="F3636" s="1" t="s">
        <v>1860</v>
      </c>
      <c r="G3636" s="1" t="str">
        <f>CONCATENATE(" SCHEDA D.O.O.,"," LJUDEVITA POSAVSKOG 29,"," 10360 SESVETE,"," OIB: 76219817247")</f>
        <v xml:space="preserve"> SCHEDA D.O.O., LJUDEVITA POSAVSKOG 29, 10360 SESVETE, OIB: 76219817247</v>
      </c>
      <c r="H3636" s="7"/>
      <c r="I3636" s="8" t="s">
        <v>616</v>
      </c>
      <c r="J3636" s="8" t="s">
        <v>121</v>
      </c>
      <c r="K3636" s="6" t="str">
        <f>"52.360,00"</f>
        <v>52.360,00</v>
      </c>
      <c r="L3636" s="6" t="str">
        <f>"13.090,00"</f>
        <v>13.090,00</v>
      </c>
      <c r="M3636" s="6" t="str">
        <f>"65.450,00"</f>
        <v>65.450,00</v>
      </c>
      <c r="N3636" s="8" t="s">
        <v>89</v>
      </c>
      <c r="O3636" s="7"/>
      <c r="P3636" s="2" t="s">
        <v>7379</v>
      </c>
      <c r="Q3636" s="7"/>
      <c r="R3636" s="1"/>
      <c r="S3636" s="1" t="str">
        <f>"J-UN-2021-1822"</f>
        <v>J-UN-2021-1822</v>
      </c>
      <c r="T3636" s="1" t="s">
        <v>32</v>
      </c>
    </row>
    <row r="3637" spans="1:20" ht="51" x14ac:dyDescent="0.25">
      <c r="A3637" s="6">
        <v>3631</v>
      </c>
      <c r="B3637" s="1" t="str">
        <f>"2021-1792"</f>
        <v>2021-1792</v>
      </c>
      <c r="C3637" s="1" t="s">
        <v>2756</v>
      </c>
      <c r="D3637" s="1" t="s">
        <v>860</v>
      </c>
      <c r="E3637" s="1" t="str">
        <f>""</f>
        <v/>
      </c>
      <c r="F3637" s="1" t="s">
        <v>1860</v>
      </c>
      <c r="G3637" s="1" t="str">
        <f>CONCATENATE(" METAL-REZ D.O.O.,"," BASAROVIĆEVA 20,"," 10408 VELIKA MLAKA,"," OIB: 69123890176")</f>
        <v xml:space="preserve"> METAL-REZ D.O.O., BASAROVIĆEVA 20, 10408 VELIKA MLAKA, OIB: 69123890176</v>
      </c>
      <c r="H3637" s="7"/>
      <c r="I3637" s="8" t="s">
        <v>98</v>
      </c>
      <c r="J3637" s="8" t="s">
        <v>384</v>
      </c>
      <c r="K3637" s="6" t="str">
        <f>"3.600,00"</f>
        <v>3.600,00</v>
      </c>
      <c r="L3637" s="6" t="str">
        <f>"900,00"</f>
        <v>900,00</v>
      </c>
      <c r="M3637" s="6" t="str">
        <f>"4.500,00"</f>
        <v>4.500,00</v>
      </c>
      <c r="N3637" s="8" t="s">
        <v>159</v>
      </c>
      <c r="O3637" s="7"/>
      <c r="P3637" s="2" t="s">
        <v>5730</v>
      </c>
      <c r="Q3637" s="7"/>
      <c r="R3637" s="1"/>
      <c r="S3637" s="1" t="str">
        <f>"J-UN-2021-1823"</f>
        <v>J-UN-2021-1823</v>
      </c>
      <c r="T3637" s="1" t="s">
        <v>32</v>
      </c>
    </row>
    <row r="3638" spans="1:20" ht="51" x14ac:dyDescent="0.25">
      <c r="A3638" s="6">
        <v>3632</v>
      </c>
      <c r="B3638" s="1" t="str">
        <f>"2021-905"</f>
        <v>2021-905</v>
      </c>
      <c r="C3638" s="1" t="s">
        <v>2798</v>
      </c>
      <c r="D3638" s="1" t="s">
        <v>914</v>
      </c>
      <c r="E3638" s="1" t="str">
        <f>""</f>
        <v/>
      </c>
      <c r="F3638" s="1" t="s">
        <v>1860</v>
      </c>
      <c r="G3638" s="1" t="str">
        <f>CONCATENATE(" D.R. AUTO D.O.O.,"," SELSKA CESTA 34,"," 10000 ZAGREB,"," OIB: 07523847158")</f>
        <v xml:space="preserve"> D.R. AUTO D.O.O., SELSKA CESTA 34, 10000 ZAGREB, OIB: 07523847158</v>
      </c>
      <c r="H3638" s="7"/>
      <c r="I3638" s="8" t="s">
        <v>98</v>
      </c>
      <c r="J3638" s="8" t="s">
        <v>384</v>
      </c>
      <c r="K3638" s="6" t="str">
        <f>"2.778,40"</f>
        <v>2.778,40</v>
      </c>
      <c r="L3638" s="6" t="str">
        <f>"694,60"</f>
        <v>694,60</v>
      </c>
      <c r="M3638" s="6" t="str">
        <f>"3.473,00"</f>
        <v>3.473,00</v>
      </c>
      <c r="N3638" s="8" t="s">
        <v>99</v>
      </c>
      <c r="O3638" s="7"/>
      <c r="P3638" s="2" t="s">
        <v>7753</v>
      </c>
      <c r="Q3638" s="7"/>
      <c r="R3638" s="1"/>
      <c r="S3638" s="1" t="str">
        <f>"J-UN-2021-1824"</f>
        <v>J-UN-2021-1824</v>
      </c>
      <c r="T3638" s="1" t="s">
        <v>32</v>
      </c>
    </row>
    <row r="3639" spans="1:20" ht="51" x14ac:dyDescent="0.25">
      <c r="A3639" s="6">
        <v>3633</v>
      </c>
      <c r="B3639" s="1" t="str">
        <f>"2021-498"</f>
        <v>2021-498</v>
      </c>
      <c r="C3639" s="1" t="s">
        <v>2699</v>
      </c>
      <c r="D3639" s="1" t="s">
        <v>1888</v>
      </c>
      <c r="E3639" s="1" t="str">
        <f>""</f>
        <v/>
      </c>
      <c r="F3639" s="1" t="s">
        <v>1860</v>
      </c>
      <c r="G3639" s="1" t="str">
        <f>CONCATENATE(" CIAK TOOLS D.O.O.,"," KOVINSKA 4,"," 10090 ZAGREB-SUSEDGRAD,"," OIB: 26004523816")</f>
        <v xml:space="preserve"> CIAK TOOLS D.O.O., KOVINSKA 4, 10090 ZAGREB-SUSEDGRAD, OIB: 26004523816</v>
      </c>
      <c r="H3639" s="7"/>
      <c r="I3639" s="8" t="s">
        <v>616</v>
      </c>
      <c r="J3639" s="8" t="s">
        <v>121</v>
      </c>
      <c r="K3639" s="6" t="str">
        <f>"3.445,00"</f>
        <v>3.445,00</v>
      </c>
      <c r="L3639" s="6" t="str">
        <f>"861,25"</f>
        <v>861,25</v>
      </c>
      <c r="M3639" s="6" t="str">
        <f>"4.306,25"</f>
        <v>4.306,25</v>
      </c>
      <c r="N3639" s="8" t="s">
        <v>496</v>
      </c>
      <c r="O3639" s="7"/>
      <c r="P3639" s="2" t="s">
        <v>7754</v>
      </c>
      <c r="Q3639" s="7"/>
      <c r="R3639" s="1"/>
      <c r="S3639" s="1" t="str">
        <f>"J-UN-2021-1825"</f>
        <v>J-UN-2021-1825</v>
      </c>
      <c r="T3639" s="1" t="s">
        <v>32</v>
      </c>
    </row>
    <row r="3640" spans="1:20" ht="76.5" x14ac:dyDescent="0.25">
      <c r="A3640" s="6">
        <v>3634</v>
      </c>
      <c r="B3640" s="1" t="str">
        <f>"2021-1696"</f>
        <v>2021-1696</v>
      </c>
      <c r="C3640" s="1" t="s">
        <v>2811</v>
      </c>
      <c r="D3640" s="1" t="s">
        <v>1859</v>
      </c>
      <c r="E3640" s="1" t="str">
        <f>""</f>
        <v/>
      </c>
      <c r="F3640" s="1" t="s">
        <v>1860</v>
      </c>
      <c r="G3640" s="1" t="str">
        <f>CONCATENATE(" USTANOVA ZA OBRAZOVANJE ODRASLIH VIMAL,"," KRIŽNA CESTA 18,"," 10000 ZAGREB,"," OIB: 842447647")</f>
        <v xml:space="preserve"> USTANOVA ZA OBRAZOVANJE ODRASLIH VIMAL, KRIŽNA CESTA 18, 10000 ZAGREB, OIB: 842447647</v>
      </c>
      <c r="H3640" s="7"/>
      <c r="I3640" s="8" t="s">
        <v>616</v>
      </c>
      <c r="J3640" s="8" t="s">
        <v>121</v>
      </c>
      <c r="K3640" s="6" t="str">
        <f>"3.500,00"</f>
        <v>3.500,00</v>
      </c>
      <c r="L3640" s="6" t="str">
        <f>"875,00"</f>
        <v>875,00</v>
      </c>
      <c r="M3640" s="6" t="str">
        <f>"4.375,00"</f>
        <v>4.375,00</v>
      </c>
      <c r="N3640" s="8" t="s">
        <v>126</v>
      </c>
      <c r="O3640" s="7"/>
      <c r="P3640" s="2" t="s">
        <v>7755</v>
      </c>
      <c r="Q3640" s="7"/>
      <c r="R3640" s="1"/>
      <c r="S3640" s="1" t="str">
        <f>"J-UN-2021-1826"</f>
        <v>J-UN-2021-1826</v>
      </c>
      <c r="T3640" s="1" t="s">
        <v>32</v>
      </c>
    </row>
    <row r="3641" spans="1:20" ht="51" x14ac:dyDescent="0.25">
      <c r="A3641" s="6">
        <v>3635</v>
      </c>
      <c r="B3641" s="1" t="str">
        <f>"2021-431"</f>
        <v>2021-431</v>
      </c>
      <c r="C3641" s="1" t="s">
        <v>2597</v>
      </c>
      <c r="D3641" s="1" t="s">
        <v>2598</v>
      </c>
      <c r="E3641" s="1" t="str">
        <f>""</f>
        <v/>
      </c>
      <c r="F3641" s="1" t="s">
        <v>1860</v>
      </c>
      <c r="G3641" s="1" t="str">
        <f>CONCATENATE(" SCHEDA D.O.O.,"," LJUDEVITA POSAVSKOG 29,"," 10360 SESVETE,"," OIB: 76219817247")</f>
        <v xml:space="preserve"> SCHEDA D.O.O., LJUDEVITA POSAVSKOG 29, 10360 SESVETE, OIB: 76219817247</v>
      </c>
      <c r="H3641" s="7"/>
      <c r="I3641" s="8" t="s">
        <v>640</v>
      </c>
      <c r="J3641" s="8" t="s">
        <v>1107</v>
      </c>
      <c r="K3641" s="6" t="str">
        <f>"1.919,00"</f>
        <v>1.919,00</v>
      </c>
      <c r="L3641" s="6" t="str">
        <f>"479,75"</f>
        <v>479,75</v>
      </c>
      <c r="M3641" s="6" t="str">
        <f>"2.398,75"</f>
        <v>2.398,75</v>
      </c>
      <c r="N3641" s="8" t="s">
        <v>416</v>
      </c>
      <c r="O3641" s="7"/>
      <c r="P3641" s="2" t="s">
        <v>7756</v>
      </c>
      <c r="Q3641" s="7"/>
      <c r="R3641" s="1"/>
      <c r="S3641" s="1" t="str">
        <f>"J-UN-2021-1827"</f>
        <v>J-UN-2021-1827</v>
      </c>
      <c r="T3641" s="1" t="s">
        <v>32</v>
      </c>
    </row>
    <row r="3642" spans="1:20" ht="80.25" customHeight="1" x14ac:dyDescent="0.25">
      <c r="A3642" s="6">
        <v>3636</v>
      </c>
      <c r="B3642" s="1" t="str">
        <f>"2021-1375"</f>
        <v>2021-1375</v>
      </c>
      <c r="C3642" s="1" t="s">
        <v>2996</v>
      </c>
      <c r="D3642" s="1" t="s">
        <v>74</v>
      </c>
      <c r="E3642" s="1" t="str">
        <f>""</f>
        <v/>
      </c>
      <c r="F3642" s="1" t="s">
        <v>1860</v>
      </c>
      <c r="G3642" s="1" t="str">
        <f>CONCATENATE(" PAKOM D. O. O.,"," WOLFFOVA ULICA 6,"," 52100 PULA,"," OIB: 67442775703")</f>
        <v xml:space="preserve"> PAKOM D. O. O., WOLFFOVA ULICA 6, 52100 PULA, OIB: 67442775703</v>
      </c>
      <c r="H3642" s="7"/>
      <c r="I3642" s="8" t="s">
        <v>98</v>
      </c>
      <c r="J3642" s="8" t="s">
        <v>384</v>
      </c>
      <c r="K3642" s="6" t="str">
        <f>"10.000,00"</f>
        <v>10.000,00</v>
      </c>
      <c r="L3642" s="6" t="str">
        <f>"2.500,00"</f>
        <v>2.500,00</v>
      </c>
      <c r="M3642" s="6" t="str">
        <f>"12.500,00"</f>
        <v>12.500,00</v>
      </c>
      <c r="N3642" s="8" t="s">
        <v>468</v>
      </c>
      <c r="O3642" s="7"/>
      <c r="P3642" s="2" t="s">
        <v>5741</v>
      </c>
      <c r="Q3642" s="1" t="s">
        <v>5603</v>
      </c>
      <c r="R3642" s="1"/>
      <c r="S3642" s="1" t="str">
        <f>"J-UN-2021-1828"</f>
        <v>J-UN-2021-1828</v>
      </c>
      <c r="T3642" s="1" t="s">
        <v>32</v>
      </c>
    </row>
    <row r="3643" spans="1:20" ht="63.75" x14ac:dyDescent="0.25">
      <c r="A3643" s="6">
        <v>3637</v>
      </c>
      <c r="B3643" s="1" t="str">
        <f>"2021-576"</f>
        <v>2021-576</v>
      </c>
      <c r="C3643" s="1" t="s">
        <v>2561</v>
      </c>
      <c r="D3643" s="1" t="s">
        <v>2156</v>
      </c>
      <c r="E3643" s="1" t="str">
        <f>""</f>
        <v/>
      </c>
      <c r="F3643" s="1" t="s">
        <v>1860</v>
      </c>
      <c r="G3643" s="1" t="str">
        <f>CONCATENATE(" NARODNE NOVINE D.D.,"," SAVSKI GAJ XIII. PUT br. 6,"," 10000 ZAGREB,"," OIB: 64546066176")</f>
        <v xml:space="preserve"> NARODNE NOVINE D.D., SAVSKI GAJ XIII. PUT br. 6, 10000 ZAGREB, OIB: 64546066176</v>
      </c>
      <c r="H3643" s="7"/>
      <c r="I3643" s="8" t="s">
        <v>616</v>
      </c>
      <c r="J3643" s="8" t="s">
        <v>121</v>
      </c>
      <c r="K3643" s="6" t="str">
        <f>"660,00"</f>
        <v>660,00</v>
      </c>
      <c r="L3643" s="6" t="str">
        <f>"165,00"</f>
        <v>165,00</v>
      </c>
      <c r="M3643" s="6" t="str">
        <f>"825,00"</f>
        <v>825,00</v>
      </c>
      <c r="N3643" s="8" t="s">
        <v>708</v>
      </c>
      <c r="O3643" s="7"/>
      <c r="P3643" s="2" t="s">
        <v>7757</v>
      </c>
      <c r="Q3643" s="7"/>
      <c r="R3643" s="1"/>
      <c r="S3643" s="1" t="str">
        <f>"J-UN-2021-1829"</f>
        <v>J-UN-2021-1829</v>
      </c>
      <c r="T3643" s="1" t="s">
        <v>32</v>
      </c>
    </row>
    <row r="3644" spans="1:20" ht="51" x14ac:dyDescent="0.25">
      <c r="A3644" s="6">
        <v>3638</v>
      </c>
      <c r="B3644" s="1" t="str">
        <f>"2021-437"</f>
        <v>2021-437</v>
      </c>
      <c r="C3644" s="1" t="s">
        <v>2795</v>
      </c>
      <c r="D3644" s="1" t="s">
        <v>1619</v>
      </c>
      <c r="E3644" s="1" t="str">
        <f>""</f>
        <v/>
      </c>
      <c r="F3644" s="1" t="s">
        <v>1860</v>
      </c>
      <c r="G3644" s="1" t="str">
        <f>CONCATENATE(" DREZGA D.O.O.,"," OBRTNIČKA 2,"," 10437 BESTOVJE,"," OIB: 46535283602")</f>
        <v xml:space="preserve"> DREZGA D.O.O., OBRTNIČKA 2, 10437 BESTOVJE, OIB: 46535283602</v>
      </c>
      <c r="H3644" s="7"/>
      <c r="I3644" s="8" t="s">
        <v>98</v>
      </c>
      <c r="J3644" s="8" t="s">
        <v>384</v>
      </c>
      <c r="K3644" s="6" t="str">
        <f>"8.978,00"</f>
        <v>8.978,00</v>
      </c>
      <c r="L3644" s="6" t="str">
        <f>"2.244,50"</f>
        <v>2.244,50</v>
      </c>
      <c r="M3644" s="6" t="str">
        <f>"11.222,50"</f>
        <v>11.222,50</v>
      </c>
      <c r="N3644" s="8" t="s">
        <v>99</v>
      </c>
      <c r="O3644" s="7"/>
      <c r="P3644" s="2" t="s">
        <v>7758</v>
      </c>
      <c r="Q3644" s="7"/>
      <c r="R3644" s="1"/>
      <c r="S3644" s="1" t="str">
        <f>"J-UN-2021-1830"</f>
        <v>J-UN-2021-1830</v>
      </c>
      <c r="T3644" s="1" t="s">
        <v>32</v>
      </c>
    </row>
    <row r="3645" spans="1:20" ht="63.75" x14ac:dyDescent="0.25">
      <c r="A3645" s="6">
        <v>3639</v>
      </c>
      <c r="B3645" s="1" t="str">
        <f>"2021-143"</f>
        <v>2021-143</v>
      </c>
      <c r="C3645" s="1" t="s">
        <v>2621</v>
      </c>
      <c r="D3645" s="1" t="s">
        <v>2622</v>
      </c>
      <c r="E3645" s="1" t="str">
        <f>""</f>
        <v/>
      </c>
      <c r="F3645" s="1" t="s">
        <v>1860</v>
      </c>
      <c r="G3645" s="1" t="str">
        <f>CONCATENATE(" VELEKEM D.D.,"," UL.KNEZA LJUDEVITA POSAVSKOG 13,"," 10360 SESVETE,"," OIB: 62347407589")</f>
        <v xml:space="preserve"> VELEKEM D.D., UL.KNEZA LJUDEVITA POSAVSKOG 13, 10360 SESVETE, OIB: 62347407589</v>
      </c>
      <c r="H3645" s="7"/>
      <c r="I3645" s="8" t="s">
        <v>640</v>
      </c>
      <c r="J3645" s="8" t="s">
        <v>1107</v>
      </c>
      <c r="K3645" s="6" t="str">
        <f>"2.876,50"</f>
        <v>2.876,50</v>
      </c>
      <c r="L3645" s="6" t="str">
        <f>"719,13"</f>
        <v>719,13</v>
      </c>
      <c r="M3645" s="6" t="str">
        <f>"3.595,63"</f>
        <v>3.595,63</v>
      </c>
      <c r="N3645" s="8" t="s">
        <v>912</v>
      </c>
      <c r="O3645" s="7"/>
      <c r="P3645" s="2" t="s">
        <v>7759</v>
      </c>
      <c r="Q3645" s="1" t="s">
        <v>2997</v>
      </c>
      <c r="R3645" s="1"/>
      <c r="S3645" s="1" t="str">
        <f>"J-UN-2021-1831"</f>
        <v>J-UN-2021-1831</v>
      </c>
      <c r="T3645" s="1" t="s">
        <v>32</v>
      </c>
    </row>
    <row r="3646" spans="1:20" ht="63.75" x14ac:dyDescent="0.25">
      <c r="A3646" s="6">
        <v>3640</v>
      </c>
      <c r="B3646" s="1" t="str">
        <f>"2021-491"</f>
        <v>2021-491</v>
      </c>
      <c r="C3646" s="1" t="s">
        <v>2788</v>
      </c>
      <c r="D3646" s="1" t="s">
        <v>2789</v>
      </c>
      <c r="E3646" s="1" t="str">
        <f>""</f>
        <v/>
      </c>
      <c r="F3646" s="1" t="s">
        <v>1860</v>
      </c>
      <c r="G3646" s="1" t="str">
        <f>CONCATENATE(" ELEKTRO-KOMUNIKACIJE D.O.O.,"," 14. PODBREŽJE 4,"," 10000 ZAGREB,"," OIB: 76412373309")</f>
        <v xml:space="preserve"> ELEKTRO-KOMUNIKACIJE D.O.O., 14. PODBREŽJE 4, 10000 ZAGREB, OIB: 76412373309</v>
      </c>
      <c r="H3646" s="7"/>
      <c r="I3646" s="8" t="s">
        <v>640</v>
      </c>
      <c r="J3646" s="8" t="s">
        <v>1107</v>
      </c>
      <c r="K3646" s="6" t="str">
        <f>"654,00"</f>
        <v>654,00</v>
      </c>
      <c r="L3646" s="6" t="str">
        <f>"163,50"</f>
        <v>163,50</v>
      </c>
      <c r="M3646" s="6" t="str">
        <f>"817,50"</f>
        <v>817,50</v>
      </c>
      <c r="N3646" s="8" t="s">
        <v>930</v>
      </c>
      <c r="O3646" s="7"/>
      <c r="P3646" s="2" t="s">
        <v>7760</v>
      </c>
      <c r="Q3646" s="7"/>
      <c r="R3646" s="1"/>
      <c r="S3646" s="1" t="str">
        <f>"J-UN-2021-1832"</f>
        <v>J-UN-2021-1832</v>
      </c>
      <c r="T3646" s="1" t="s">
        <v>32</v>
      </c>
    </row>
    <row r="3647" spans="1:20" ht="63.75" x14ac:dyDescent="0.25">
      <c r="A3647" s="6">
        <v>3641</v>
      </c>
      <c r="B3647" s="1" t="str">
        <f>"2021-190"</f>
        <v>2021-190</v>
      </c>
      <c r="C3647" s="1" t="s">
        <v>2874</v>
      </c>
      <c r="D3647" s="1" t="s">
        <v>1428</v>
      </c>
      <c r="E3647" s="1" t="str">
        <f>""</f>
        <v/>
      </c>
      <c r="F3647" s="1" t="s">
        <v>1860</v>
      </c>
      <c r="G3647" s="1" t="str">
        <f>CONCATENATE(" FINA GOTOVINSKI SERVISI D.O.O.,"," RADNIČKA CESTA 182,"," 10000 ZAGREB,"," OIB: 27215039")</f>
        <v xml:space="preserve"> FINA GOTOVINSKI SERVISI D.O.O., RADNIČKA CESTA 182, 10000 ZAGREB, OIB: 27215039</v>
      </c>
      <c r="H3647" s="7"/>
      <c r="I3647" s="8" t="s">
        <v>616</v>
      </c>
      <c r="J3647" s="8" t="s">
        <v>121</v>
      </c>
      <c r="K3647" s="6" t="str">
        <f>"3.300,00"</f>
        <v>3.300,00</v>
      </c>
      <c r="L3647" s="6" t="str">
        <f>"825,00"</f>
        <v>825,00</v>
      </c>
      <c r="M3647" s="6" t="str">
        <f>"4.125,00"</f>
        <v>4.125,00</v>
      </c>
      <c r="N3647" s="8" t="s">
        <v>1240</v>
      </c>
      <c r="O3647" s="7"/>
      <c r="P3647" s="2" t="s">
        <v>7761</v>
      </c>
      <c r="Q3647" s="7"/>
      <c r="R3647" s="1"/>
      <c r="S3647" s="1" t="str">
        <f>"J-UN-2021-1833"</f>
        <v>J-UN-2021-1833</v>
      </c>
      <c r="T3647" s="1" t="s">
        <v>32</v>
      </c>
    </row>
    <row r="3648" spans="1:20" ht="51" x14ac:dyDescent="0.25">
      <c r="A3648" s="6">
        <v>3642</v>
      </c>
      <c r="B3648" s="1" t="str">
        <f>"2021-117"</f>
        <v>2021-117</v>
      </c>
      <c r="C3648" s="1" t="s">
        <v>2841</v>
      </c>
      <c r="D3648" s="1" t="s">
        <v>2842</v>
      </c>
      <c r="E3648" s="1" t="str">
        <f>""</f>
        <v/>
      </c>
      <c r="F3648" s="1" t="s">
        <v>1860</v>
      </c>
      <c r="G3648" s="1" t="str">
        <f>CONCATENATE(" DIGITALNI TAHOGRAF D.O.O.,"," VENTILATORSKA 8A,"," 10250 LUČKO,"," OIB: 56290033854")</f>
        <v xml:space="preserve"> DIGITALNI TAHOGRAF D.O.O., VENTILATORSKA 8A, 10250 LUČKO, OIB: 56290033854</v>
      </c>
      <c r="H3648" s="7"/>
      <c r="I3648" s="8" t="s">
        <v>640</v>
      </c>
      <c r="J3648" s="8" t="s">
        <v>1107</v>
      </c>
      <c r="K3648" s="6" t="str">
        <f>"1.150,00"</f>
        <v>1.150,00</v>
      </c>
      <c r="L3648" s="6" t="str">
        <f>"287,50"</f>
        <v>287,50</v>
      </c>
      <c r="M3648" s="6" t="str">
        <f>"1.437,50"</f>
        <v>1.437,50</v>
      </c>
      <c r="N3648" s="8" t="s">
        <v>124</v>
      </c>
      <c r="O3648" s="7"/>
      <c r="P3648" s="2" t="s">
        <v>5614</v>
      </c>
      <c r="Q3648" s="7"/>
      <c r="R3648" s="1"/>
      <c r="S3648" s="1" t="str">
        <f>"J-UN-2021-1834"</f>
        <v>J-UN-2021-1834</v>
      </c>
      <c r="T3648" s="1" t="s">
        <v>32</v>
      </c>
    </row>
    <row r="3649" spans="1:20" ht="51" x14ac:dyDescent="0.25">
      <c r="A3649" s="6">
        <v>3643</v>
      </c>
      <c r="B3649" s="1" t="str">
        <f>"2021-1803"</f>
        <v>2021-1803</v>
      </c>
      <c r="C3649" s="1" t="s">
        <v>2998</v>
      </c>
      <c r="D3649" s="1" t="s">
        <v>860</v>
      </c>
      <c r="E3649" s="1" t="str">
        <f>""</f>
        <v/>
      </c>
      <c r="F3649" s="1" t="s">
        <v>1860</v>
      </c>
      <c r="G3649" s="1" t="str">
        <f>CONCATENATE(" BELSAN D.O.O.,"," BEDEKOVA 73,"," 10251 HRVATSKI LESKOVAC,"," OIB: 67797514346")</f>
        <v xml:space="preserve"> BELSAN D.O.O., BEDEKOVA 73, 10251 HRVATSKI LESKOVAC, OIB: 67797514346</v>
      </c>
      <c r="H3649" s="7"/>
      <c r="I3649" s="8" t="s">
        <v>640</v>
      </c>
      <c r="J3649" s="8" t="s">
        <v>1107</v>
      </c>
      <c r="K3649" s="6" t="str">
        <f>"44.780,00"</f>
        <v>44.780,00</v>
      </c>
      <c r="L3649" s="6" t="str">
        <f>"11.195,00"</f>
        <v>11.195,00</v>
      </c>
      <c r="M3649" s="6" t="str">
        <f>"55.975,00"</f>
        <v>55.975,00</v>
      </c>
      <c r="N3649" s="8" t="s">
        <v>129</v>
      </c>
      <c r="O3649" s="7"/>
      <c r="P3649" s="2" t="s">
        <v>7762</v>
      </c>
      <c r="Q3649" s="7"/>
      <c r="R3649" s="1"/>
      <c r="S3649" s="1" t="str">
        <f>"J-UN-2021-1836"</f>
        <v>J-UN-2021-1836</v>
      </c>
      <c r="T3649" s="1" t="s">
        <v>32</v>
      </c>
    </row>
    <row r="3650" spans="1:20" ht="63.75" x14ac:dyDescent="0.25">
      <c r="A3650" s="6">
        <v>3644</v>
      </c>
      <c r="B3650" s="1" t="str">
        <f>"2021-478"</f>
        <v>2021-478</v>
      </c>
      <c r="C3650" s="1" t="s">
        <v>2714</v>
      </c>
      <c r="D3650" s="1" t="s">
        <v>619</v>
      </c>
      <c r="E3650" s="1" t="str">
        <f>""</f>
        <v/>
      </c>
      <c r="F3650" s="1" t="s">
        <v>1860</v>
      </c>
      <c r="G3650" s="1" t="str">
        <f>CONCATENATE(" POLJOOPSKRBA-TEHNO D.D.,"," SAMOBORSKA 96,"," 10000 ZAGREB,"," OIB: 5372167324")</f>
        <v xml:space="preserve"> POLJOOPSKRBA-TEHNO D.D., SAMOBORSKA 96, 10000 ZAGREB, OIB: 5372167324</v>
      </c>
      <c r="H3650" s="7"/>
      <c r="I3650" s="8" t="s">
        <v>640</v>
      </c>
      <c r="J3650" s="8" t="s">
        <v>1107</v>
      </c>
      <c r="K3650" s="6" t="str">
        <f>"8.543,00"</f>
        <v>8.543,00</v>
      </c>
      <c r="L3650" s="6" t="str">
        <f>"2.135,75"</f>
        <v>2.135,75</v>
      </c>
      <c r="M3650" s="6" t="str">
        <f>"10.678,75"</f>
        <v>10.678,75</v>
      </c>
      <c r="N3650" s="8" t="s">
        <v>397</v>
      </c>
      <c r="O3650" s="7"/>
      <c r="P3650" s="2" t="s">
        <v>7763</v>
      </c>
      <c r="Q3650" s="7"/>
      <c r="R3650" s="1"/>
      <c r="S3650" s="1" t="str">
        <f>"J-UN-2021-1839"</f>
        <v>J-UN-2021-1839</v>
      </c>
      <c r="T3650" s="1" t="s">
        <v>32</v>
      </c>
    </row>
    <row r="3651" spans="1:20" ht="76.5" x14ac:dyDescent="0.25">
      <c r="A3651" s="6">
        <v>3645</v>
      </c>
      <c r="B3651" s="1" t="str">
        <f>"2021-315"</f>
        <v>2021-315</v>
      </c>
      <c r="C3651" s="1" t="s">
        <v>2706</v>
      </c>
      <c r="D3651" s="1" t="s">
        <v>1334</v>
      </c>
      <c r="E3651" s="1" t="str">
        <f>""</f>
        <v/>
      </c>
      <c r="F3651" s="1" t="s">
        <v>1860</v>
      </c>
      <c r="G3651" s="1" t="str">
        <f>CONCATENATE(" SMIT-COMMERCE D.O.O.,"," GORNJOSTUPNIČKA 9B,"," 10255 GORNJI STUPNIK,"," OIB: 9524348214")</f>
        <v xml:space="preserve"> SMIT-COMMERCE D.O.O., GORNJOSTUPNIČKA 9B, 10255 GORNJI STUPNIK, OIB: 9524348214</v>
      </c>
      <c r="H3651" s="7"/>
      <c r="I3651" s="8" t="s">
        <v>640</v>
      </c>
      <c r="J3651" s="8" t="s">
        <v>1107</v>
      </c>
      <c r="K3651" s="6" t="str">
        <f>"696,00"</f>
        <v>696,00</v>
      </c>
      <c r="L3651" s="6" t="str">
        <f>"174,00"</f>
        <v>174,00</v>
      </c>
      <c r="M3651" s="6" t="str">
        <f>"870,00"</f>
        <v>870,00</v>
      </c>
      <c r="N3651" s="8" t="s">
        <v>1118</v>
      </c>
      <c r="O3651" s="7"/>
      <c r="P3651" s="2" t="s">
        <v>7764</v>
      </c>
      <c r="Q3651" s="7"/>
      <c r="R3651" s="1"/>
      <c r="S3651" s="1" t="str">
        <f>"J-UN-2021-1840"</f>
        <v>J-UN-2021-1840</v>
      </c>
      <c r="T3651" s="1" t="s">
        <v>32</v>
      </c>
    </row>
    <row r="3652" spans="1:20" ht="76.5" x14ac:dyDescent="0.25">
      <c r="A3652" s="6">
        <v>3646</v>
      </c>
      <c r="B3652" s="1" t="str">
        <f>"2021-183"</f>
        <v>2021-183</v>
      </c>
      <c r="C3652" s="1" t="s">
        <v>2726</v>
      </c>
      <c r="D3652" s="1" t="s">
        <v>689</v>
      </c>
      <c r="E3652" s="1" t="str">
        <f>""</f>
        <v/>
      </c>
      <c r="F3652" s="1" t="s">
        <v>1860</v>
      </c>
      <c r="G3652" s="1" t="str">
        <f>CONCATENATE(" SMIT-COMMERCE D.O.O.,"," GORNJOSTUPNIČKA 9B,"," 10255 GORNJI STUPNIK,"," OIB: 9524348214")</f>
        <v xml:space="preserve"> SMIT-COMMERCE D.O.O., GORNJOSTUPNIČKA 9B, 10255 GORNJI STUPNIK, OIB: 9524348214</v>
      </c>
      <c r="H3652" s="7"/>
      <c r="I3652" s="8" t="s">
        <v>640</v>
      </c>
      <c r="J3652" s="8" t="s">
        <v>1107</v>
      </c>
      <c r="K3652" s="6" t="str">
        <f>"3.982,00"</f>
        <v>3.982,00</v>
      </c>
      <c r="L3652" s="6" t="str">
        <f>"995,50"</f>
        <v>995,50</v>
      </c>
      <c r="M3652" s="6" t="str">
        <f>"4.977,50"</f>
        <v>4.977,50</v>
      </c>
      <c r="N3652" s="8" t="s">
        <v>1118</v>
      </c>
      <c r="O3652" s="7"/>
      <c r="P3652" s="2" t="s">
        <v>7765</v>
      </c>
      <c r="Q3652" s="7"/>
      <c r="R3652" s="1"/>
      <c r="S3652" s="1" t="str">
        <f>"J-UN-2021-1841"</f>
        <v>J-UN-2021-1841</v>
      </c>
      <c r="T3652" s="1" t="s">
        <v>32</v>
      </c>
    </row>
    <row r="3653" spans="1:20" ht="51" x14ac:dyDescent="0.25">
      <c r="A3653" s="6">
        <v>3647</v>
      </c>
      <c r="B3653" s="1" t="str">
        <f>"2021-317"</f>
        <v>2021-317</v>
      </c>
      <c r="C3653" s="1" t="s">
        <v>2730</v>
      </c>
      <c r="D3653" s="1" t="s">
        <v>1203</v>
      </c>
      <c r="E3653" s="1" t="str">
        <f>""</f>
        <v/>
      </c>
      <c r="F3653" s="1" t="s">
        <v>1860</v>
      </c>
      <c r="G3653" s="1" t="str">
        <f>CONCATENATE(" PRO-TEHNA D.O.O.,"," MAKSIMIRSKA 64,"," 10000 ZAGREB,"," OIB: 88951687357")</f>
        <v xml:space="preserve"> PRO-TEHNA D.O.O., MAKSIMIRSKA 64, 10000 ZAGREB, OIB: 88951687357</v>
      </c>
      <c r="H3653" s="7"/>
      <c r="I3653" s="8" t="s">
        <v>640</v>
      </c>
      <c r="J3653" s="8" t="s">
        <v>1107</v>
      </c>
      <c r="K3653" s="6" t="str">
        <f>"2.900,00"</f>
        <v>2.900,00</v>
      </c>
      <c r="L3653" s="6" t="str">
        <f>"725,00"</f>
        <v>725,00</v>
      </c>
      <c r="M3653" s="6" t="str">
        <f>"3.625,00"</f>
        <v>3.625,00</v>
      </c>
      <c r="N3653" s="8" t="s">
        <v>801</v>
      </c>
      <c r="O3653" s="7"/>
      <c r="P3653" s="2" t="s">
        <v>7203</v>
      </c>
      <c r="Q3653" s="7"/>
      <c r="R3653" s="1"/>
      <c r="S3653" s="1" t="str">
        <f>"J-UN-2021-1842"</f>
        <v>J-UN-2021-1842</v>
      </c>
      <c r="T3653" s="1" t="s">
        <v>32</v>
      </c>
    </row>
    <row r="3654" spans="1:20" ht="38.25" x14ac:dyDescent="0.25">
      <c r="A3654" s="6">
        <v>3648</v>
      </c>
      <c r="B3654" s="1" t="str">
        <f>"2021-424"</f>
        <v>2021-424</v>
      </c>
      <c r="C3654" s="1" t="s">
        <v>2881</v>
      </c>
      <c r="D3654" s="1" t="s">
        <v>2882</v>
      </c>
      <c r="E3654" s="1" t="str">
        <f>""</f>
        <v/>
      </c>
      <c r="F3654" s="1" t="s">
        <v>1860</v>
      </c>
      <c r="G3654" s="1" t="str">
        <f>CONCATENATE(" O-K-TEH d.o.o.,"," VUČAK 16A,"," 10000 ZAGREB,"," OIB: 37322381288")</f>
        <v xml:space="preserve"> O-K-TEH d.o.o., VUČAK 16A, 10000 ZAGREB, OIB: 37322381288</v>
      </c>
      <c r="H3654" s="7"/>
      <c r="I3654" s="8" t="s">
        <v>99</v>
      </c>
      <c r="J3654" s="8" t="s">
        <v>489</v>
      </c>
      <c r="K3654" s="6" t="str">
        <f>"4.285,00"</f>
        <v>4.285,00</v>
      </c>
      <c r="L3654" s="6" t="str">
        <f>"1.071,25"</f>
        <v>1.071,25</v>
      </c>
      <c r="M3654" s="6" t="str">
        <f>"5.356,25"</f>
        <v>5.356,25</v>
      </c>
      <c r="N3654" s="8" t="s">
        <v>89</v>
      </c>
      <c r="O3654" s="7"/>
      <c r="P3654" s="2" t="s">
        <v>7766</v>
      </c>
      <c r="Q3654" s="7"/>
      <c r="R3654" s="1"/>
      <c r="S3654" s="1" t="str">
        <f>"J-UN-2021-1843"</f>
        <v>J-UN-2021-1843</v>
      </c>
      <c r="T3654" s="1" t="s">
        <v>32</v>
      </c>
    </row>
    <row r="3655" spans="1:20" ht="51" x14ac:dyDescent="0.25">
      <c r="A3655" s="6">
        <v>3649</v>
      </c>
      <c r="B3655" s="1" t="str">
        <f>"2021-79"</f>
        <v>2021-79</v>
      </c>
      <c r="C3655" s="1" t="s">
        <v>2790</v>
      </c>
      <c r="D3655" s="1" t="s">
        <v>2791</v>
      </c>
      <c r="E3655" s="1" t="str">
        <f>""</f>
        <v/>
      </c>
      <c r="F3655" s="1" t="s">
        <v>1860</v>
      </c>
      <c r="G3655" s="1" t="str">
        <f>CONCATENATE(" SCHEDA D.O.O.,"," LJUDEVITA POSAVSKOG 29,"," 10360 SESVETE,"," OIB: 76219817247")</f>
        <v xml:space="preserve"> SCHEDA D.O.O., LJUDEVITA POSAVSKOG 29, 10360 SESVETE, OIB: 76219817247</v>
      </c>
      <c r="H3655" s="7"/>
      <c r="I3655" s="8" t="s">
        <v>640</v>
      </c>
      <c r="J3655" s="8" t="s">
        <v>1107</v>
      </c>
      <c r="K3655" s="6" t="str">
        <f>"13.901,00"</f>
        <v>13.901,00</v>
      </c>
      <c r="L3655" s="6" t="str">
        <f>"3.475,25"</f>
        <v>3.475,25</v>
      </c>
      <c r="M3655" s="6" t="str">
        <f>"17.376,25"</f>
        <v>17.376,25</v>
      </c>
      <c r="N3655" s="8" t="s">
        <v>242</v>
      </c>
      <c r="O3655" s="7"/>
      <c r="P3655" s="2" t="s">
        <v>7767</v>
      </c>
      <c r="Q3655" s="7"/>
      <c r="R3655" s="1"/>
      <c r="S3655" s="1" t="str">
        <f>"J-UN-2021-1844"</f>
        <v>J-UN-2021-1844</v>
      </c>
      <c r="T3655" s="1" t="s">
        <v>32</v>
      </c>
    </row>
    <row r="3656" spans="1:20" ht="51" x14ac:dyDescent="0.25">
      <c r="A3656" s="6">
        <v>3650</v>
      </c>
      <c r="B3656" s="1" t="str">
        <f>"2021-180"</f>
        <v>2021-180</v>
      </c>
      <c r="C3656" s="1" t="s">
        <v>2737</v>
      </c>
      <c r="D3656" s="1" t="s">
        <v>689</v>
      </c>
      <c r="E3656" s="1" t="str">
        <f>""</f>
        <v/>
      </c>
      <c r="F3656" s="1" t="s">
        <v>1860</v>
      </c>
      <c r="G3656" s="1" t="str">
        <f>CONCATENATE(" VODOSKOK D.D.,"," ČULINEČKA CESTA 221/C,"," 10040 ZAGREB,"," OIB: 34134218058")</f>
        <v xml:space="preserve"> VODOSKOK D.D., ČULINEČKA CESTA 221/C, 10040 ZAGREB, OIB: 34134218058</v>
      </c>
      <c r="H3656" s="7"/>
      <c r="I3656" s="8" t="s">
        <v>640</v>
      </c>
      <c r="J3656" s="8" t="s">
        <v>1107</v>
      </c>
      <c r="K3656" s="6" t="str">
        <f>"19.500,00"</f>
        <v>19.500,00</v>
      </c>
      <c r="L3656" s="6" t="str">
        <f>"4.875,00"</f>
        <v>4.875,00</v>
      </c>
      <c r="M3656" s="6" t="str">
        <f>"24.375,00"</f>
        <v>24.375,00</v>
      </c>
      <c r="N3656" s="8" t="s">
        <v>89</v>
      </c>
      <c r="O3656" s="7"/>
      <c r="P3656" s="2" t="s">
        <v>7145</v>
      </c>
      <c r="Q3656" s="7"/>
      <c r="R3656" s="1"/>
      <c r="S3656" s="1" t="str">
        <f>"J-UN-2021-1846"</f>
        <v>J-UN-2021-1846</v>
      </c>
      <c r="T3656" s="1" t="s">
        <v>32</v>
      </c>
    </row>
    <row r="3657" spans="1:20" ht="76.5" x14ac:dyDescent="0.25">
      <c r="A3657" s="6">
        <v>3651</v>
      </c>
      <c r="B3657" s="1" t="str">
        <f>"2021-695"</f>
        <v>2021-695</v>
      </c>
      <c r="C3657" s="1" t="s">
        <v>2683</v>
      </c>
      <c r="D3657" s="1" t="s">
        <v>2684</v>
      </c>
      <c r="E3657" s="1" t="str">
        <f>""</f>
        <v/>
      </c>
      <c r="F3657" s="1" t="s">
        <v>1860</v>
      </c>
      <c r="G3657" s="1" t="str">
        <f>CONCATENATE(" SMIT-COMMERCE D.O.O.,"," GORNJOSTUPNIČKA 9B,"," 10255 GORNJI STUPNIK,"," OIB: 9524348214")</f>
        <v xml:space="preserve"> SMIT-COMMERCE D.O.O., GORNJOSTUPNIČKA 9B, 10255 GORNJI STUPNIK, OIB: 9524348214</v>
      </c>
      <c r="H3657" s="7"/>
      <c r="I3657" s="8" t="s">
        <v>640</v>
      </c>
      <c r="J3657" s="8" t="s">
        <v>1107</v>
      </c>
      <c r="K3657" s="6" t="str">
        <f>"2.098,50"</f>
        <v>2.098,50</v>
      </c>
      <c r="L3657" s="6" t="str">
        <f>"524,63"</f>
        <v>524,63</v>
      </c>
      <c r="M3657" s="6" t="str">
        <f>"2.623,13"</f>
        <v>2.623,13</v>
      </c>
      <c r="N3657" s="8" t="s">
        <v>706</v>
      </c>
      <c r="O3657" s="7"/>
      <c r="P3657" s="2" t="s">
        <v>7768</v>
      </c>
      <c r="Q3657" s="7"/>
      <c r="R3657" s="1"/>
      <c r="S3657" s="1" t="str">
        <f>"J-UN-2021-1847"</f>
        <v>J-UN-2021-1847</v>
      </c>
      <c r="T3657" s="1" t="s">
        <v>32</v>
      </c>
    </row>
    <row r="3658" spans="1:20" ht="76.5" x14ac:dyDescent="0.25">
      <c r="A3658" s="6">
        <v>3652</v>
      </c>
      <c r="B3658" s="1" t="str">
        <f>"2021-317"</f>
        <v>2021-317</v>
      </c>
      <c r="C3658" s="1" t="s">
        <v>2730</v>
      </c>
      <c r="D3658" s="1" t="s">
        <v>1203</v>
      </c>
      <c r="E3658" s="1" t="str">
        <f>""</f>
        <v/>
      </c>
      <c r="F3658" s="1" t="s">
        <v>1860</v>
      </c>
      <c r="G3658" s="1" t="str">
        <f>CONCATENATE(" SMIT-COMMERCE D.O.O.,"," GORNJOSTUPNIČKA 9B,"," 10255 GORNJI STUPNIK,"," OIB: 9524348214")</f>
        <v xml:space="preserve"> SMIT-COMMERCE D.O.O., GORNJOSTUPNIČKA 9B, 10255 GORNJI STUPNIK, OIB: 9524348214</v>
      </c>
      <c r="H3658" s="7"/>
      <c r="I3658" s="8" t="s">
        <v>640</v>
      </c>
      <c r="J3658" s="8" t="s">
        <v>1107</v>
      </c>
      <c r="K3658" s="6" t="str">
        <f>"4.875,00"</f>
        <v>4.875,00</v>
      </c>
      <c r="L3658" s="6" t="str">
        <f>"1.218,75"</f>
        <v>1.218,75</v>
      </c>
      <c r="M3658" s="6" t="str">
        <f>"6.093,75"</f>
        <v>6.093,75</v>
      </c>
      <c r="N3658" s="8" t="s">
        <v>2310</v>
      </c>
      <c r="O3658" s="7"/>
      <c r="P3658" s="2" t="s">
        <v>7769</v>
      </c>
      <c r="Q3658" s="7"/>
      <c r="R3658" s="1"/>
      <c r="S3658" s="1" t="str">
        <f>"J-UN-2021-1848"</f>
        <v>J-UN-2021-1848</v>
      </c>
      <c r="T3658" s="1" t="s">
        <v>32</v>
      </c>
    </row>
    <row r="3659" spans="1:20" ht="63.75" x14ac:dyDescent="0.25">
      <c r="A3659" s="6">
        <v>3653</v>
      </c>
      <c r="B3659" s="1" t="str">
        <f>"2021-376"</f>
        <v>2021-376</v>
      </c>
      <c r="C3659" s="1" t="s">
        <v>2904</v>
      </c>
      <c r="D3659" s="1" t="s">
        <v>2577</v>
      </c>
      <c r="E3659" s="1" t="str">
        <f>""</f>
        <v/>
      </c>
      <c r="F3659" s="1" t="s">
        <v>1860</v>
      </c>
      <c r="G3659" s="1" t="str">
        <f>CONCATENATE(" HIDROMEHANIKA D.O.O.,"," SLAVONSKA AVENIJA 26/10,"," 10000 ZAGREB,"," OIB: 9178029895")</f>
        <v xml:space="preserve"> HIDROMEHANIKA D.O.O., SLAVONSKA AVENIJA 26/10, 10000 ZAGREB, OIB: 9178029895</v>
      </c>
      <c r="H3659" s="7"/>
      <c r="I3659" s="8" t="s">
        <v>99</v>
      </c>
      <c r="J3659" s="8" t="s">
        <v>489</v>
      </c>
      <c r="K3659" s="6" t="str">
        <f>"8.256,41"</f>
        <v>8.256,41</v>
      </c>
      <c r="L3659" s="6" t="str">
        <f>"2.064,10"</f>
        <v>2.064,10</v>
      </c>
      <c r="M3659" s="6" t="str">
        <f>"10.320,51"</f>
        <v>10.320,51</v>
      </c>
      <c r="N3659" s="8" t="s">
        <v>748</v>
      </c>
      <c r="O3659" s="7"/>
      <c r="P3659" s="2" t="s">
        <v>7770</v>
      </c>
      <c r="Q3659" s="7"/>
      <c r="R3659" s="1"/>
      <c r="S3659" s="1" t="str">
        <f>"J-UN-2021-1849"</f>
        <v>J-UN-2021-1849</v>
      </c>
      <c r="T3659" s="1" t="s">
        <v>32</v>
      </c>
    </row>
    <row r="3660" spans="1:20" ht="76.5" x14ac:dyDescent="0.25">
      <c r="A3660" s="6">
        <v>3654</v>
      </c>
      <c r="B3660" s="1" t="str">
        <f>"2021-1733"</f>
        <v>2021-1733</v>
      </c>
      <c r="C3660" s="1" t="s">
        <v>2405</v>
      </c>
      <c r="D3660" s="1" t="s">
        <v>880</v>
      </c>
      <c r="E3660" s="1" t="str">
        <f>""</f>
        <v/>
      </c>
      <c r="F3660" s="1" t="s">
        <v>1860</v>
      </c>
      <c r="G3660" s="1" t="str">
        <f>CONCATENATE(" NASTAVNI ZAVOD ZA JAVNO ZDRAVSTVO DR. ANDRIJA ŠTAMPAR,"," MIROGOJSKA CESTA 16,"," 10000 ZAGREB,"," OIB: 3339200596")</f>
        <v xml:space="preserve"> NASTAVNI ZAVOD ZA JAVNO ZDRAVSTVO DR. ANDRIJA ŠTAMPAR, MIROGOJSKA CESTA 16, 10000 ZAGREB, OIB: 3339200596</v>
      </c>
      <c r="H3660" s="7"/>
      <c r="I3660" s="8" t="s">
        <v>616</v>
      </c>
      <c r="J3660" s="8" t="s">
        <v>121</v>
      </c>
      <c r="K3660" s="6" t="str">
        <f>"9.390,00"</f>
        <v>9.390,00</v>
      </c>
      <c r="L3660" s="6" t="str">
        <f>"2.347,50"</f>
        <v>2.347,50</v>
      </c>
      <c r="M3660" s="6" t="str">
        <f>"11.737,50"</f>
        <v>11.737,50</v>
      </c>
      <c r="N3660" s="8" t="s">
        <v>255</v>
      </c>
      <c r="O3660" s="7"/>
      <c r="P3660" s="2" t="s">
        <v>7771</v>
      </c>
      <c r="Q3660" s="7"/>
      <c r="R3660" s="1"/>
      <c r="S3660" s="1" t="str">
        <f>"J-UN-2021-1850"</f>
        <v>J-UN-2021-1850</v>
      </c>
      <c r="T3660" s="1" t="s">
        <v>32</v>
      </c>
    </row>
    <row r="3661" spans="1:20" ht="76.5" x14ac:dyDescent="0.25">
      <c r="A3661" s="6">
        <v>3655</v>
      </c>
      <c r="B3661" s="1" t="str">
        <f>"2021-1791"</f>
        <v>2021-1791</v>
      </c>
      <c r="C3661" s="1" t="s">
        <v>2558</v>
      </c>
      <c r="D3661" s="1" t="s">
        <v>860</v>
      </c>
      <c r="E3661" s="1" t="str">
        <f>""</f>
        <v/>
      </c>
      <c r="F3661" s="1" t="s">
        <v>1860</v>
      </c>
      <c r="G3661" s="1" t="str">
        <f>CONCATENATE(" SPECIJALNA ZAVARIVANJA ČUKMAN D.O.O.,"," JEŽDOVEČKA ULICA 1C,"," 10250 LUČKO,"," OIB: 14195538193")</f>
        <v xml:space="preserve"> SPECIJALNA ZAVARIVANJA ČUKMAN D.O.O., JEŽDOVEČKA ULICA 1C, 10250 LUČKO, OIB: 14195538193</v>
      </c>
      <c r="H3661" s="7"/>
      <c r="I3661" s="8" t="s">
        <v>99</v>
      </c>
      <c r="J3661" s="8" t="s">
        <v>489</v>
      </c>
      <c r="K3661" s="6" t="str">
        <f>"3.150,30"</f>
        <v>3.150,30</v>
      </c>
      <c r="L3661" s="6" t="str">
        <f>"787,58"</f>
        <v>787,58</v>
      </c>
      <c r="M3661" s="6" t="str">
        <f>"3.937,88"</f>
        <v>3.937,88</v>
      </c>
      <c r="N3661" s="8" t="s">
        <v>124</v>
      </c>
      <c r="O3661" s="7"/>
      <c r="P3661" s="2" t="s">
        <v>5614</v>
      </c>
      <c r="Q3661" s="7"/>
      <c r="R3661" s="1"/>
      <c r="S3661" s="1" t="str">
        <f>"J-UN-2021-1851"</f>
        <v>J-UN-2021-1851</v>
      </c>
      <c r="T3661" s="1" t="s">
        <v>32</v>
      </c>
    </row>
    <row r="3662" spans="1:20" ht="51" x14ac:dyDescent="0.25">
      <c r="A3662" s="6">
        <v>3656</v>
      </c>
      <c r="B3662" s="1" t="str">
        <f>"2021-576"</f>
        <v>2021-576</v>
      </c>
      <c r="C3662" s="1" t="s">
        <v>2561</v>
      </c>
      <c r="D3662" s="1" t="s">
        <v>2156</v>
      </c>
      <c r="E3662" s="1" t="str">
        <f>""</f>
        <v/>
      </c>
      <c r="F3662" s="1" t="s">
        <v>1860</v>
      </c>
      <c r="G3662" s="1" t="str">
        <f>CONCATENATE(" TIP - ZAGREB D.O.O.,"," VINOGRADSKA 34,"," 10431 SVETA NEDELJA,"," OIB: 36198195227")</f>
        <v xml:space="preserve"> TIP - ZAGREB D.O.O., VINOGRADSKA 34, 10431 SVETA NEDELJA, OIB: 36198195227</v>
      </c>
      <c r="H3662" s="7"/>
      <c r="I3662" s="8" t="s">
        <v>616</v>
      </c>
      <c r="J3662" s="8" t="s">
        <v>121</v>
      </c>
      <c r="K3662" s="6" t="str">
        <f>"29.541,00"</f>
        <v>29.541,00</v>
      </c>
      <c r="L3662" s="6" t="str">
        <f>"7.385,25"</f>
        <v>7.385,25</v>
      </c>
      <c r="M3662" s="6" t="str">
        <f>"36.926,25"</f>
        <v>36.926,25</v>
      </c>
      <c r="N3662" s="8" t="s">
        <v>176</v>
      </c>
      <c r="O3662" s="7"/>
      <c r="P3662" s="2" t="s">
        <v>7772</v>
      </c>
      <c r="Q3662" s="7"/>
      <c r="R3662" s="1"/>
      <c r="S3662" s="1" t="str">
        <f>"J-UN-2021-1852"</f>
        <v>J-UN-2021-1852</v>
      </c>
      <c r="T3662" s="1" t="s">
        <v>32</v>
      </c>
    </row>
    <row r="3663" spans="1:20" ht="51" x14ac:dyDescent="0.25">
      <c r="A3663" s="6">
        <v>3657</v>
      </c>
      <c r="B3663" s="1" t="str">
        <f>"2021-203"</f>
        <v>2021-203</v>
      </c>
      <c r="C3663" s="1" t="s">
        <v>2302</v>
      </c>
      <c r="D3663" s="1" t="s">
        <v>689</v>
      </c>
      <c r="E3663" s="1" t="str">
        <f>""</f>
        <v/>
      </c>
      <c r="F3663" s="1" t="s">
        <v>1860</v>
      </c>
      <c r="G3663" s="1" t="str">
        <f>CONCATENATE(" ALFA PRINT D.O.O.,"," ANTE MIKE TRIPALA 9,"," 10000 ZAGREB,"," OIB: 197473974")</f>
        <v xml:space="preserve"> ALFA PRINT D.O.O., ANTE MIKE TRIPALA 9, 10000 ZAGREB, OIB: 197473974</v>
      </c>
      <c r="H3663" s="7"/>
      <c r="I3663" s="8" t="s">
        <v>99</v>
      </c>
      <c r="J3663" s="8" t="s">
        <v>489</v>
      </c>
      <c r="K3663" s="6" t="str">
        <f>"19.610,00"</f>
        <v>19.610,00</v>
      </c>
      <c r="L3663" s="6" t="str">
        <f>"4.902,50"</f>
        <v>4.902,50</v>
      </c>
      <c r="M3663" s="6" t="str">
        <f>"24.512,50"</f>
        <v>24.512,50</v>
      </c>
      <c r="N3663" s="8" t="s">
        <v>183</v>
      </c>
      <c r="O3663" s="7"/>
      <c r="P3663" s="2" t="s">
        <v>7773</v>
      </c>
      <c r="Q3663" s="7"/>
      <c r="R3663" s="1"/>
      <c r="S3663" s="1" t="str">
        <f>"J-UN-2021-1853"</f>
        <v>J-UN-2021-1853</v>
      </c>
      <c r="T3663" s="1" t="s">
        <v>32</v>
      </c>
    </row>
    <row r="3664" spans="1:20" ht="51" x14ac:dyDescent="0.25">
      <c r="A3664" s="6">
        <v>3658</v>
      </c>
      <c r="B3664" s="1" t="str">
        <f>"2021-338"</f>
        <v>2021-338</v>
      </c>
      <c r="C3664" s="1" t="s">
        <v>2516</v>
      </c>
      <c r="D3664" s="1" t="s">
        <v>537</v>
      </c>
      <c r="E3664" s="1" t="str">
        <f>""</f>
        <v/>
      </c>
      <c r="F3664" s="1" t="s">
        <v>1860</v>
      </c>
      <c r="G3664" s="1" t="str">
        <f>CONCATENATE(" BETON-LUČKO RBG D.O.O.,"," PUŠKARIĆEVA 1B,"," 10250 LUČKO,"," OIB: 3801245143")</f>
        <v xml:space="preserve"> BETON-LUČKO RBG D.O.O., PUŠKARIĆEVA 1B, 10250 LUČKO, OIB: 3801245143</v>
      </c>
      <c r="H3664" s="7"/>
      <c r="I3664" s="8" t="s">
        <v>616</v>
      </c>
      <c r="J3664" s="8" t="s">
        <v>121</v>
      </c>
      <c r="K3664" s="6" t="str">
        <f>"78.960,00"</f>
        <v>78.960,00</v>
      </c>
      <c r="L3664" s="6" t="str">
        <f>"19.740,00"</f>
        <v>19.740,00</v>
      </c>
      <c r="M3664" s="6" t="str">
        <f>"98.700,00"</f>
        <v>98.700,00</v>
      </c>
      <c r="N3664" s="8" t="s">
        <v>534</v>
      </c>
      <c r="O3664" s="7"/>
      <c r="P3664" s="2" t="s">
        <v>7774</v>
      </c>
      <c r="Q3664" s="7"/>
      <c r="R3664" s="1"/>
      <c r="S3664" s="1" t="str">
        <f>"J-UN-2021-1854"</f>
        <v>J-UN-2021-1854</v>
      </c>
      <c r="T3664" s="1" t="s">
        <v>32</v>
      </c>
    </row>
    <row r="3665" spans="1:20" ht="51" x14ac:dyDescent="0.25">
      <c r="A3665" s="6">
        <v>3659</v>
      </c>
      <c r="B3665" s="1" t="str">
        <f>"2021-915"</f>
        <v>2021-915</v>
      </c>
      <c r="C3665" s="1" t="s">
        <v>2563</v>
      </c>
      <c r="D3665" s="1" t="s">
        <v>914</v>
      </c>
      <c r="E3665" s="1" t="str">
        <f>""</f>
        <v/>
      </c>
      <c r="F3665" s="1" t="s">
        <v>1860</v>
      </c>
      <c r="G3665" s="1" t="str">
        <f>CONCATENATE(" D.R. AUTO D.O.O.,"," SELSKA CESTA 34,"," 10000 ZAGREB,"," OIB: 07523847158")</f>
        <v xml:space="preserve"> D.R. AUTO D.O.O., SELSKA CESTA 34, 10000 ZAGREB, OIB: 07523847158</v>
      </c>
      <c r="H3665" s="7"/>
      <c r="I3665" s="8" t="s">
        <v>99</v>
      </c>
      <c r="J3665" s="8" t="s">
        <v>489</v>
      </c>
      <c r="K3665" s="6" t="str">
        <f>"1.007,20"</f>
        <v>1.007,20</v>
      </c>
      <c r="L3665" s="6" t="str">
        <f>"251,80"</f>
        <v>251,80</v>
      </c>
      <c r="M3665" s="6" t="str">
        <f>"1.259,00"</f>
        <v>1.259,00</v>
      </c>
      <c r="N3665" s="8" t="s">
        <v>99</v>
      </c>
      <c r="O3665" s="7"/>
      <c r="P3665" s="2" t="s">
        <v>7775</v>
      </c>
      <c r="Q3665" s="7"/>
      <c r="R3665" s="1"/>
      <c r="S3665" s="1" t="str">
        <f>"J-UN-2021-1856"</f>
        <v>J-UN-2021-1856</v>
      </c>
      <c r="T3665" s="1" t="s">
        <v>32</v>
      </c>
    </row>
    <row r="3666" spans="1:20" ht="51" x14ac:dyDescent="0.25">
      <c r="A3666" s="6">
        <v>3660</v>
      </c>
      <c r="B3666" s="1" t="str">
        <f>"2021-280"</f>
        <v>2021-280</v>
      </c>
      <c r="C3666" s="1" t="s">
        <v>2616</v>
      </c>
      <c r="D3666" s="1" t="s">
        <v>2617</v>
      </c>
      <c r="E3666" s="1" t="str">
        <f>""</f>
        <v/>
      </c>
      <c r="F3666" s="1" t="s">
        <v>1860</v>
      </c>
      <c r="G3666" s="1" t="str">
        <f>CONCATENATE(" SCHEDA D.O.O.,"," LJUDEVITA POSAVSKOG 29,"," 10360 SESVETE,"," OIB: 76219817247")</f>
        <v xml:space="preserve"> SCHEDA D.O.O., LJUDEVITA POSAVSKOG 29, 10360 SESVETE, OIB: 76219817247</v>
      </c>
      <c r="H3666" s="7"/>
      <c r="I3666" s="8" t="s">
        <v>640</v>
      </c>
      <c r="J3666" s="8" t="s">
        <v>1107</v>
      </c>
      <c r="K3666" s="6" t="str">
        <f>"1.317,99"</f>
        <v>1.317,99</v>
      </c>
      <c r="L3666" s="6" t="str">
        <f>"329,50"</f>
        <v>329,50</v>
      </c>
      <c r="M3666" s="6" t="str">
        <f>"1.647,49"</f>
        <v>1.647,49</v>
      </c>
      <c r="N3666" s="8" t="s">
        <v>801</v>
      </c>
      <c r="O3666" s="7"/>
      <c r="P3666" s="2" t="s">
        <v>7776</v>
      </c>
      <c r="Q3666" s="1" t="s">
        <v>582</v>
      </c>
      <c r="R3666" s="1"/>
      <c r="S3666" s="1" t="str">
        <f>"J-UN-2021-1857"</f>
        <v>J-UN-2021-1857</v>
      </c>
      <c r="T3666" s="1" t="s">
        <v>32</v>
      </c>
    </row>
    <row r="3667" spans="1:20" ht="63.75" x14ac:dyDescent="0.25">
      <c r="A3667" s="6">
        <v>3661</v>
      </c>
      <c r="B3667" s="1" t="str">
        <f>"2021-1519"</f>
        <v>2021-1519</v>
      </c>
      <c r="C3667" s="1" t="s">
        <v>2632</v>
      </c>
      <c r="D3667" s="1" t="s">
        <v>2633</v>
      </c>
      <c r="E3667" s="1" t="str">
        <f>""</f>
        <v/>
      </c>
      <c r="F3667" s="1" t="s">
        <v>1860</v>
      </c>
      <c r="G3667" s="1" t="str">
        <f>CONCATENATE(" VIBROTEH D.O.O.,"," ULICA DON FRANE BULIĆA 31,"," 10410 VELIKA GORICA,"," OIB: 6099326029")</f>
        <v xml:space="preserve"> VIBROTEH D.O.O., ULICA DON FRANE BULIĆA 31, 10410 VELIKA GORICA, OIB: 6099326029</v>
      </c>
      <c r="H3667" s="7"/>
      <c r="I3667" s="8" t="s">
        <v>99</v>
      </c>
      <c r="J3667" s="8" t="s">
        <v>489</v>
      </c>
      <c r="K3667" s="6" t="str">
        <f>"19.500,00"</f>
        <v>19.500,00</v>
      </c>
      <c r="L3667" s="6" t="str">
        <f>"4.875,00"</f>
        <v>4.875,00</v>
      </c>
      <c r="M3667" s="6" t="str">
        <f>"24.375,00"</f>
        <v>24.375,00</v>
      </c>
      <c r="N3667" s="8" t="s">
        <v>124</v>
      </c>
      <c r="O3667" s="7"/>
      <c r="P3667" s="2" t="s">
        <v>5614</v>
      </c>
      <c r="Q3667" s="7"/>
      <c r="R3667" s="1"/>
      <c r="S3667" s="1" t="str">
        <f>"J-UN-2021-1858"</f>
        <v>J-UN-2021-1858</v>
      </c>
      <c r="T3667" s="1" t="s">
        <v>32</v>
      </c>
    </row>
    <row r="3668" spans="1:20" ht="51" x14ac:dyDescent="0.25">
      <c r="A3668" s="6">
        <v>3662</v>
      </c>
      <c r="B3668" s="1" t="str">
        <f>"2021-42"</f>
        <v>2021-42</v>
      </c>
      <c r="C3668" s="1" t="s">
        <v>2999</v>
      </c>
      <c r="D3668" s="1" t="s">
        <v>3000</v>
      </c>
      <c r="E3668" s="1" t="str">
        <f>""</f>
        <v/>
      </c>
      <c r="F3668" s="1" t="s">
        <v>1860</v>
      </c>
      <c r="G3668" s="1" t="str">
        <f>CONCATENATE(" ARBORI CULTURA D.O.O.,"," POKUPSKO 86,"," 10414 POKUPSKO,"," OIB: 16690651659")</f>
        <v xml:space="preserve"> ARBORI CULTURA D.O.O., POKUPSKO 86, 10414 POKUPSKO, OIB: 16690651659</v>
      </c>
      <c r="H3668" s="7"/>
      <c r="I3668" s="8" t="s">
        <v>640</v>
      </c>
      <c r="J3668" s="8" t="s">
        <v>1107</v>
      </c>
      <c r="K3668" s="6" t="str">
        <f>"14.310,00"</f>
        <v>14.310,00</v>
      </c>
      <c r="L3668" s="6" t="str">
        <f>"3.577,50"</f>
        <v>3.577,50</v>
      </c>
      <c r="M3668" s="6" t="str">
        <f>"17.887,50"</f>
        <v>17.887,50</v>
      </c>
      <c r="N3668" s="8" t="s">
        <v>202</v>
      </c>
      <c r="O3668" s="7"/>
      <c r="P3668" s="2" t="s">
        <v>7777</v>
      </c>
      <c r="Q3668" s="7"/>
      <c r="R3668" s="1"/>
      <c r="S3668" s="1" t="str">
        <f>"J-UN-2021-1859"</f>
        <v>J-UN-2021-1859</v>
      </c>
      <c r="T3668" s="1" t="s">
        <v>32</v>
      </c>
    </row>
    <row r="3669" spans="1:20" ht="76.5" x14ac:dyDescent="0.25">
      <c r="A3669" s="6">
        <v>3663</v>
      </c>
      <c r="B3669" s="1" t="str">
        <f>"2021-2321"</f>
        <v>2021-2321</v>
      </c>
      <c r="C3669" s="1" t="s">
        <v>3001</v>
      </c>
      <c r="D3669" s="1" t="s">
        <v>1322</v>
      </c>
      <c r="E3669" s="1" t="str">
        <f>""</f>
        <v/>
      </c>
      <c r="F3669" s="1" t="s">
        <v>1860</v>
      </c>
      <c r="G3669" s="1" t="str">
        <f>CONCATENATE(" SMIT-COMMERCE D.O.O.,"," GORNJOSTUPNIČKA 9B,"," 10255 GORNJI STUPNIK,"," OIB: 9524348214")</f>
        <v xml:space="preserve"> SMIT-COMMERCE D.O.O., GORNJOSTUPNIČKA 9B, 10255 GORNJI STUPNIK, OIB: 9524348214</v>
      </c>
      <c r="H3669" s="7"/>
      <c r="I3669" s="8" t="s">
        <v>616</v>
      </c>
      <c r="J3669" s="8" t="s">
        <v>121</v>
      </c>
      <c r="K3669" s="6" t="str">
        <f>"39.147,00"</f>
        <v>39.147,00</v>
      </c>
      <c r="L3669" s="6" t="str">
        <f>"9.786,75"</f>
        <v>9.786,75</v>
      </c>
      <c r="M3669" s="6" t="str">
        <f>"48.933,75"</f>
        <v>48.933,75</v>
      </c>
      <c r="N3669" s="8" t="s">
        <v>912</v>
      </c>
      <c r="O3669" s="7"/>
      <c r="P3669" s="2" t="s">
        <v>7778</v>
      </c>
      <c r="Q3669" s="7"/>
      <c r="R3669" s="1"/>
      <c r="S3669" s="1" t="str">
        <f>"J-UN-2021-1861"</f>
        <v>J-UN-2021-1861</v>
      </c>
      <c r="T3669" s="1" t="s">
        <v>32</v>
      </c>
    </row>
    <row r="3670" spans="1:20" ht="51" x14ac:dyDescent="0.25">
      <c r="A3670" s="6">
        <v>3664</v>
      </c>
      <c r="B3670" s="1" t="str">
        <f>"2021-1095"</f>
        <v>2021-1095</v>
      </c>
      <c r="C3670" s="1" t="s">
        <v>2863</v>
      </c>
      <c r="D3670" s="1" t="s">
        <v>1209</v>
      </c>
      <c r="E3670" s="1" t="str">
        <f>""</f>
        <v/>
      </c>
      <c r="F3670" s="1" t="s">
        <v>1860</v>
      </c>
      <c r="G3670" s="1" t="str">
        <f>CONCATENATE(" MI-STAR D.O.O.,"," NOVSKA 24,"," 10000 ZAGREB,"," OIB: 44816778493")</f>
        <v xml:space="preserve"> MI-STAR D.O.O., NOVSKA 24, 10000 ZAGREB, OIB: 44816778493</v>
      </c>
      <c r="H3670" s="7"/>
      <c r="I3670" s="8" t="s">
        <v>616</v>
      </c>
      <c r="J3670" s="8" t="s">
        <v>121</v>
      </c>
      <c r="K3670" s="6" t="str">
        <f>"640,00"</f>
        <v>640,00</v>
      </c>
      <c r="L3670" s="6" t="str">
        <f>"160,00"</f>
        <v>160,00</v>
      </c>
      <c r="M3670" s="6" t="str">
        <f>"800,00"</f>
        <v>800,00</v>
      </c>
      <c r="N3670" s="8" t="s">
        <v>930</v>
      </c>
      <c r="O3670" s="7"/>
      <c r="P3670" s="2" t="s">
        <v>7525</v>
      </c>
      <c r="Q3670" s="7"/>
      <c r="R3670" s="1"/>
      <c r="S3670" s="1" t="str">
        <f>"J-UN-2021-1862"</f>
        <v>J-UN-2021-1862</v>
      </c>
      <c r="T3670" s="1" t="s">
        <v>32</v>
      </c>
    </row>
    <row r="3671" spans="1:20" ht="63.75" x14ac:dyDescent="0.25">
      <c r="A3671" s="6">
        <v>3665</v>
      </c>
      <c r="B3671" s="1" t="str">
        <f>"2021-1003"</f>
        <v>2021-1003</v>
      </c>
      <c r="C3671" s="1" t="s">
        <v>2839</v>
      </c>
      <c r="D3671" s="1" t="s">
        <v>2716</v>
      </c>
      <c r="E3671" s="1" t="str">
        <f>""</f>
        <v/>
      </c>
      <c r="F3671" s="1" t="s">
        <v>1860</v>
      </c>
      <c r="G3671" s="1" t="str">
        <f>CONCATENATE(" GRA-PO D.O.O.,"," GOSPODARSKA 5B,"," 10255 ZAGREB - STUPNIK,"," OIB: 05364995085")</f>
        <v xml:space="preserve"> GRA-PO D.O.O., GOSPODARSKA 5B, 10255 ZAGREB - STUPNIK, OIB: 05364995085</v>
      </c>
      <c r="H3671" s="7"/>
      <c r="I3671" s="8" t="s">
        <v>99</v>
      </c>
      <c r="J3671" s="8" t="s">
        <v>489</v>
      </c>
      <c r="K3671" s="6" t="str">
        <f>"22.609,00"</f>
        <v>22.609,00</v>
      </c>
      <c r="L3671" s="6" t="str">
        <f>"5.652,25"</f>
        <v>5.652,25</v>
      </c>
      <c r="M3671" s="6" t="str">
        <f>"28.261,25"</f>
        <v>28.261,25</v>
      </c>
      <c r="N3671" s="8" t="s">
        <v>168</v>
      </c>
      <c r="O3671" s="7"/>
      <c r="P3671" s="2" t="s">
        <v>7779</v>
      </c>
      <c r="Q3671" s="7"/>
      <c r="R3671" s="1"/>
      <c r="S3671" s="1" t="str">
        <f>"J-UN-2021-1863"</f>
        <v>J-UN-2021-1863</v>
      </c>
      <c r="T3671" s="1" t="s">
        <v>32</v>
      </c>
    </row>
    <row r="3672" spans="1:20" ht="51" x14ac:dyDescent="0.25">
      <c r="A3672" s="6">
        <v>3666</v>
      </c>
      <c r="B3672" s="1" t="str">
        <f>"2021-1049"</f>
        <v>2021-1049</v>
      </c>
      <c r="C3672" s="1" t="s">
        <v>2469</v>
      </c>
      <c r="D3672" s="1" t="s">
        <v>2287</v>
      </c>
      <c r="E3672" s="1" t="str">
        <f>""</f>
        <v/>
      </c>
      <c r="F3672" s="1" t="s">
        <v>1860</v>
      </c>
      <c r="G3672" s="1" t="str">
        <f>CONCATENATE(" KING ICT D.O.O.,"," BUZINSKI PRILAZ 10,"," 10010 ZAGREB,"," OIB: 67001695549")</f>
        <v xml:space="preserve"> KING ICT D.O.O., BUZINSKI PRILAZ 10, 10010 ZAGREB, OIB: 67001695549</v>
      </c>
      <c r="H3672" s="7"/>
      <c r="I3672" s="8" t="s">
        <v>99</v>
      </c>
      <c r="J3672" s="8" t="s">
        <v>489</v>
      </c>
      <c r="K3672" s="6" t="str">
        <f>"390,00"</f>
        <v>390,00</v>
      </c>
      <c r="L3672" s="6" t="str">
        <f>"97,50"</f>
        <v>97,50</v>
      </c>
      <c r="M3672" s="6" t="str">
        <f>"487,50"</f>
        <v>487,50</v>
      </c>
      <c r="N3672" s="8" t="s">
        <v>561</v>
      </c>
      <c r="O3672" s="7"/>
      <c r="P3672" s="2" t="s">
        <v>7780</v>
      </c>
      <c r="Q3672" s="7"/>
      <c r="R3672" s="1"/>
      <c r="S3672" s="1" t="str">
        <f>"J-UN-2021-1864"</f>
        <v>J-UN-2021-1864</v>
      </c>
      <c r="T3672" s="1" t="s">
        <v>32</v>
      </c>
    </row>
    <row r="3673" spans="1:20" ht="38.25" x14ac:dyDescent="0.25">
      <c r="A3673" s="6">
        <v>3667</v>
      </c>
      <c r="B3673" s="1" t="str">
        <f>"2021-1733"</f>
        <v>2021-1733</v>
      </c>
      <c r="C3673" s="1" t="s">
        <v>2405</v>
      </c>
      <c r="D3673" s="1" t="s">
        <v>880</v>
      </c>
      <c r="E3673" s="1" t="str">
        <f>""</f>
        <v/>
      </c>
      <c r="F3673" s="1" t="s">
        <v>1860</v>
      </c>
      <c r="G3673" s="1" t="str">
        <f>CONCATENATE(" CROATIA OSIGURANJE D.D.,"," ,"," OIB: 26187994862")</f>
        <v xml:space="preserve"> CROATIA OSIGURANJE D.D., , OIB: 26187994862</v>
      </c>
      <c r="H3673" s="7"/>
      <c r="I3673" s="8" t="s">
        <v>99</v>
      </c>
      <c r="J3673" s="8" t="s">
        <v>489</v>
      </c>
      <c r="K3673" s="6" t="str">
        <f>"14.064,00"</f>
        <v>14.064,00</v>
      </c>
      <c r="L3673" s="6" t="str">
        <f>"3.516,00"</f>
        <v>3.516,00</v>
      </c>
      <c r="M3673" s="6" t="str">
        <f>"17.580,00"</f>
        <v>17.580,00</v>
      </c>
      <c r="N3673" s="8" t="s">
        <v>168</v>
      </c>
      <c r="O3673" s="7"/>
      <c r="P3673" s="2" t="s">
        <v>7781</v>
      </c>
      <c r="Q3673" s="7"/>
      <c r="R3673" s="1"/>
      <c r="S3673" s="1" t="str">
        <f>"J-UN-2021-1865"</f>
        <v>J-UN-2021-1865</v>
      </c>
      <c r="T3673" s="1" t="s">
        <v>32</v>
      </c>
    </row>
    <row r="3674" spans="1:20" ht="51" x14ac:dyDescent="0.25">
      <c r="A3674" s="6">
        <v>3668</v>
      </c>
      <c r="B3674" s="1" t="str">
        <f>"2021-1465"</f>
        <v>2021-1465</v>
      </c>
      <c r="C3674" s="1" t="s">
        <v>2292</v>
      </c>
      <c r="D3674" s="1" t="s">
        <v>2260</v>
      </c>
      <c r="E3674" s="1" t="str">
        <f>""</f>
        <v/>
      </c>
      <c r="F3674" s="1" t="s">
        <v>1860</v>
      </c>
      <c r="G3674" s="1" t="str">
        <f>CONCATENATE(" NIS D.O.O.,"," RUĐERA BOŠKOVIĆA 9,"," 21000 SPLIT,"," OIB: 89279236945")</f>
        <v xml:space="preserve"> NIS D.O.O., RUĐERA BOŠKOVIĆA 9, 21000 SPLIT, OIB: 89279236945</v>
      </c>
      <c r="H3674" s="7"/>
      <c r="I3674" s="8" t="s">
        <v>616</v>
      </c>
      <c r="J3674" s="8" t="s">
        <v>121</v>
      </c>
      <c r="K3674" s="6" t="str">
        <f>"6.400,00"</f>
        <v>6.400,00</v>
      </c>
      <c r="L3674" s="6" t="str">
        <f>"1.600,00"</f>
        <v>1.600,00</v>
      </c>
      <c r="M3674" s="6" t="str">
        <f>"8.000,00"</f>
        <v>8.000,00</v>
      </c>
      <c r="N3674" s="8" t="s">
        <v>416</v>
      </c>
      <c r="O3674" s="7"/>
      <c r="P3674" s="2" t="s">
        <v>7782</v>
      </c>
      <c r="Q3674" s="7"/>
      <c r="R3674" s="1"/>
      <c r="S3674" s="1" t="str">
        <f>"J-UN-2021-1874"</f>
        <v>J-UN-2021-1874</v>
      </c>
      <c r="T3674" s="1" t="s">
        <v>32</v>
      </c>
    </row>
    <row r="3675" spans="1:20" ht="51" x14ac:dyDescent="0.25">
      <c r="A3675" s="6">
        <v>3669</v>
      </c>
      <c r="B3675" s="1" t="str">
        <f>"2021-2253"</f>
        <v>2021-2253</v>
      </c>
      <c r="C3675" s="1" t="s">
        <v>3002</v>
      </c>
      <c r="D3675" s="1" t="s">
        <v>2168</v>
      </c>
      <c r="E3675" s="1" t="str">
        <f>""</f>
        <v/>
      </c>
      <c r="F3675" s="1" t="s">
        <v>1860</v>
      </c>
      <c r="G3675" s="1" t="str">
        <f>CONCATENATE(" CORBEL D.O.O.,"," SVETI DUH 178,"," 10000 ZAGREB,"," OIB: 48926686359")</f>
        <v xml:space="preserve"> CORBEL D.O.O., SVETI DUH 178, 10000 ZAGREB, OIB: 48926686359</v>
      </c>
      <c r="H3675" s="7"/>
      <c r="I3675" s="8" t="s">
        <v>176</v>
      </c>
      <c r="J3675" s="8" t="s">
        <v>3003</v>
      </c>
      <c r="K3675" s="6" t="str">
        <f>"465.490,00"</f>
        <v>465.490,00</v>
      </c>
      <c r="L3675" s="6" t="str">
        <f>"116.372,50"</f>
        <v>116.372,50</v>
      </c>
      <c r="M3675" s="6" t="str">
        <f>"581.862,50"</f>
        <v>581.862,50</v>
      </c>
      <c r="N3675" s="8" t="s">
        <v>124</v>
      </c>
      <c r="O3675" s="7"/>
      <c r="P3675" s="2" t="s">
        <v>7783</v>
      </c>
      <c r="Q3675" s="7"/>
      <c r="R3675" s="1"/>
      <c r="S3675" s="1" t="str">
        <f>"J-UN-2021-1876"</f>
        <v>J-UN-2021-1876</v>
      </c>
      <c r="T3675" s="1" t="s">
        <v>32</v>
      </c>
    </row>
    <row r="3676" spans="1:20" ht="63.75" x14ac:dyDescent="0.25">
      <c r="A3676" s="6">
        <v>3670</v>
      </c>
      <c r="B3676" s="1" t="str">
        <f>"2021-1735"</f>
        <v>2021-1735</v>
      </c>
      <c r="C3676" s="1" t="s">
        <v>3004</v>
      </c>
      <c r="D3676" s="1" t="s">
        <v>3005</v>
      </c>
      <c r="E3676" s="1" t="str">
        <f>""</f>
        <v/>
      </c>
      <c r="F3676" s="1" t="s">
        <v>1860</v>
      </c>
      <c r="G3676" s="1" t="str">
        <f>CONCATENATE(" VETERINARSKA STANICA SESVETE D.O.O.,"," JELKOVEČKA 2,"," 10360 SESVETE,"," OIB: 85969503819")</f>
        <v xml:space="preserve"> VETERINARSKA STANICA SESVETE D.O.O., JELKOVEČKA 2, 10360 SESVETE, OIB: 85969503819</v>
      </c>
      <c r="H3676" s="7"/>
      <c r="I3676" s="8" t="s">
        <v>534</v>
      </c>
      <c r="J3676" s="8" t="s">
        <v>112</v>
      </c>
      <c r="K3676" s="6" t="str">
        <f>"135.995,00"</f>
        <v>135.995,00</v>
      </c>
      <c r="L3676" s="6" t="str">
        <f>"33.998,75"</f>
        <v>33.998,75</v>
      </c>
      <c r="M3676" s="6" t="str">
        <f>"169.993,75"</f>
        <v>169.993,75</v>
      </c>
      <c r="N3676" s="8" t="s">
        <v>207</v>
      </c>
      <c r="O3676" s="7"/>
      <c r="P3676" s="2" t="s">
        <v>7784</v>
      </c>
      <c r="Q3676" s="7"/>
      <c r="R3676" s="1"/>
      <c r="S3676" s="1" t="str">
        <f>"J-UN-2021-1883"</f>
        <v>J-UN-2021-1883</v>
      </c>
      <c r="T3676" s="1" t="s">
        <v>32</v>
      </c>
    </row>
    <row r="3677" spans="1:20" ht="51" x14ac:dyDescent="0.25">
      <c r="A3677" s="6">
        <v>3671</v>
      </c>
      <c r="B3677" s="1" t="str">
        <f>"2021-983"</f>
        <v>2021-983</v>
      </c>
      <c r="C3677" s="1" t="s">
        <v>2690</v>
      </c>
      <c r="D3677" s="1" t="s">
        <v>2691</v>
      </c>
      <c r="E3677" s="1" t="str">
        <f>""</f>
        <v/>
      </c>
      <c r="F3677" s="1" t="s">
        <v>1860</v>
      </c>
      <c r="G3677" s="1" t="str">
        <f>CONCATENATE(" VODOSKOK D.D.,"," ČULINEČKA CESTA 221/C,"," 10040 ZAGREB,"," OIB: 34134218058")</f>
        <v xml:space="preserve"> VODOSKOK D.D., ČULINEČKA CESTA 221/C, 10040 ZAGREB, OIB: 34134218058</v>
      </c>
      <c r="H3677" s="7"/>
      <c r="I3677" s="8" t="s">
        <v>183</v>
      </c>
      <c r="J3677" s="8" t="s">
        <v>2494</v>
      </c>
      <c r="K3677" s="6" t="str">
        <f>"18.289,00"</f>
        <v>18.289,00</v>
      </c>
      <c r="L3677" s="6" t="str">
        <f>"4.572,25"</f>
        <v>4.572,25</v>
      </c>
      <c r="M3677" s="6" t="str">
        <f>"22.861,25"</f>
        <v>22.861,25</v>
      </c>
      <c r="N3677" s="8" t="s">
        <v>2310</v>
      </c>
      <c r="O3677" s="7"/>
      <c r="P3677" s="2" t="s">
        <v>7785</v>
      </c>
      <c r="Q3677" s="7"/>
      <c r="R3677" s="1"/>
      <c r="S3677" s="1" t="str">
        <f>"J-UN-2021-1884"</f>
        <v>J-UN-2021-1884</v>
      </c>
      <c r="T3677" s="1" t="s">
        <v>32</v>
      </c>
    </row>
    <row r="3678" spans="1:20" ht="63.75" x14ac:dyDescent="0.25">
      <c r="A3678" s="6">
        <v>3672</v>
      </c>
      <c r="B3678" s="1" t="str">
        <f>"2021-2372"</f>
        <v>2021-2372</v>
      </c>
      <c r="C3678" s="1" t="s">
        <v>3006</v>
      </c>
      <c r="D3678" s="1" t="s">
        <v>471</v>
      </c>
      <c r="E3678" s="1" t="str">
        <f>""</f>
        <v/>
      </c>
      <c r="F3678" s="1" t="s">
        <v>1860</v>
      </c>
      <c r="G3678" s="1" t="str">
        <f>CONCATENATE(" COMBIS D.O.O.,"," RADNIČKA CESTA 21,"," 10000 ZAGREB,"," OIB: 91678676896")</f>
        <v xml:space="preserve"> COMBIS D.O.O., RADNIČKA CESTA 21, 10000 ZAGREB, OIB: 91678676896</v>
      </c>
      <c r="H3678" s="7"/>
      <c r="I3678" s="8" t="s">
        <v>120</v>
      </c>
      <c r="J3678" s="8" t="s">
        <v>1400</v>
      </c>
      <c r="K3678" s="6" t="str">
        <f>"98.975,00"</f>
        <v>98.975,00</v>
      </c>
      <c r="L3678" s="6" t="str">
        <f>"24.743,75"</f>
        <v>24.743,75</v>
      </c>
      <c r="M3678" s="6" t="str">
        <f>"123.718,75"</f>
        <v>123.718,75</v>
      </c>
      <c r="N3678" s="8" t="s">
        <v>124</v>
      </c>
      <c r="O3678" s="7"/>
      <c r="P3678" s="2" t="s">
        <v>7786</v>
      </c>
      <c r="Q3678" s="7"/>
      <c r="R3678" s="1"/>
      <c r="S3678" s="1" t="str">
        <f>"J-UN-2021-1889"</f>
        <v>J-UN-2021-1889</v>
      </c>
      <c r="T3678" s="1" t="s">
        <v>32</v>
      </c>
    </row>
    <row r="3679" spans="1:20" ht="51" x14ac:dyDescent="0.25">
      <c r="A3679" s="6">
        <v>3673</v>
      </c>
      <c r="B3679" s="1" t="str">
        <f>"2021-2371"</f>
        <v>2021-2371</v>
      </c>
      <c r="C3679" s="1" t="s">
        <v>3007</v>
      </c>
      <c r="D3679" s="1" t="s">
        <v>3008</v>
      </c>
      <c r="E3679" s="1" t="str">
        <f>""</f>
        <v/>
      </c>
      <c r="F3679" s="1" t="s">
        <v>1860</v>
      </c>
      <c r="G3679" s="1" t="str">
        <f>CONCATENATE(" KING ICT D.O.O.,"," BUZINSKI PRILAZ 10,"," 10010 ZAGREB,"," OIB: 67001695549")</f>
        <v xml:space="preserve"> KING ICT D.O.O., BUZINSKI PRILAZ 10, 10010 ZAGREB, OIB: 67001695549</v>
      </c>
      <c r="H3679" s="7"/>
      <c r="I3679" s="8" t="s">
        <v>120</v>
      </c>
      <c r="J3679" s="8" t="s">
        <v>1400</v>
      </c>
      <c r="K3679" s="6" t="str">
        <f>"136.759,65"</f>
        <v>136.759,65</v>
      </c>
      <c r="L3679" s="6" t="str">
        <f>"34.189,91"</f>
        <v>34.189,91</v>
      </c>
      <c r="M3679" s="6" t="str">
        <f>"170.949,56"</f>
        <v>170.949,56</v>
      </c>
      <c r="N3679" s="8" t="s">
        <v>93</v>
      </c>
      <c r="O3679" s="7"/>
      <c r="P3679" s="2" t="s">
        <v>7787</v>
      </c>
      <c r="Q3679" s="1" t="s">
        <v>5601</v>
      </c>
      <c r="R3679" s="1"/>
      <c r="S3679" s="1" t="str">
        <f>"J-UN-2021-1890"</f>
        <v>J-UN-2021-1890</v>
      </c>
      <c r="T3679" s="1" t="s">
        <v>32</v>
      </c>
    </row>
    <row r="3680" spans="1:20" ht="76.5" x14ac:dyDescent="0.25">
      <c r="A3680" s="6">
        <v>3674</v>
      </c>
      <c r="B3680" s="1" t="str">
        <f>"2021-2364"</f>
        <v>2021-2364</v>
      </c>
      <c r="C3680" s="1" t="s">
        <v>3009</v>
      </c>
      <c r="D3680" s="1" t="s">
        <v>2107</v>
      </c>
      <c r="E3680" s="1" t="str">
        <f>""</f>
        <v/>
      </c>
      <c r="F3680" s="1" t="s">
        <v>1860</v>
      </c>
      <c r="G3680" s="1" t="str">
        <f>CONCATENATE(" UPM D.O.O.,"," MARTINA PUŠTEKA 2,"," 10000 ZAGREB,"," OIB: 94170910538")</f>
        <v xml:space="preserve"> UPM D.O.O., MARTINA PUŠTEKA 2, 10000 ZAGREB, OIB: 94170910538</v>
      </c>
      <c r="H3680" s="7"/>
      <c r="I3680" s="8" t="s">
        <v>120</v>
      </c>
      <c r="J3680" s="8" t="s">
        <v>1400</v>
      </c>
      <c r="K3680" s="6" t="str">
        <f>"74.700,00"</f>
        <v>74.700,00</v>
      </c>
      <c r="L3680" s="6" t="str">
        <f>"18.675,00"</f>
        <v>18.675,00</v>
      </c>
      <c r="M3680" s="6" t="str">
        <f>"93.375,00"</f>
        <v>93.375,00</v>
      </c>
      <c r="N3680" s="8" t="s">
        <v>403</v>
      </c>
      <c r="O3680" s="7"/>
      <c r="P3680" s="2" t="s">
        <v>7788</v>
      </c>
      <c r="Q3680" s="7"/>
      <c r="R3680" s="1"/>
      <c r="S3680" s="1" t="str">
        <f>"J-UN-2021-1891"</f>
        <v>J-UN-2021-1891</v>
      </c>
      <c r="T3680" s="1" t="s">
        <v>32</v>
      </c>
    </row>
    <row r="3681" spans="1:20" ht="63.75" x14ac:dyDescent="0.25">
      <c r="A3681" s="6">
        <v>3675</v>
      </c>
      <c r="B3681" s="1" t="str">
        <f>"2021-1353"</f>
        <v>2021-1353</v>
      </c>
      <c r="C3681" s="1" t="s">
        <v>3010</v>
      </c>
      <c r="D3681" s="1" t="s">
        <v>74</v>
      </c>
      <c r="E3681" s="1" t="str">
        <f>""</f>
        <v/>
      </c>
      <c r="F3681" s="1" t="s">
        <v>1860</v>
      </c>
      <c r="G3681" s="1" t="str">
        <f>CONCATENATE(" CONSCIUS D.O.O.,"," KUTNJAČKI PUT 9,"," 10000 ZAGREB,"," OIB: 33925981016")</f>
        <v xml:space="preserve"> CONSCIUS D.O.O., KUTNJAČKI PUT 9, 10000 ZAGREB, OIB: 33925981016</v>
      </c>
      <c r="H3681" s="7"/>
      <c r="I3681" s="8" t="s">
        <v>120</v>
      </c>
      <c r="J3681" s="8" t="s">
        <v>1400</v>
      </c>
      <c r="K3681" s="6" t="str">
        <f>"195.000,00"</f>
        <v>195.000,00</v>
      </c>
      <c r="L3681" s="6" t="str">
        <f>"48.750,00"</f>
        <v>48.750,00</v>
      </c>
      <c r="M3681" s="6" t="str">
        <f>"243.750,00"</f>
        <v>243.750,00</v>
      </c>
      <c r="N3681" s="8" t="s">
        <v>124</v>
      </c>
      <c r="O3681" s="7"/>
      <c r="P3681" s="2" t="s">
        <v>5614</v>
      </c>
      <c r="Q3681" s="7"/>
      <c r="R3681" s="1"/>
      <c r="S3681" s="1" t="str">
        <f>"J-UN-2021-1892"</f>
        <v>J-UN-2021-1892</v>
      </c>
      <c r="T3681" s="1" t="s">
        <v>32</v>
      </c>
    </row>
    <row r="3682" spans="1:20" ht="51" x14ac:dyDescent="0.25">
      <c r="A3682" s="6">
        <v>3676</v>
      </c>
      <c r="B3682" s="1" t="str">
        <f>"2021-1213"</f>
        <v>2021-1213</v>
      </c>
      <c r="C3682" s="1" t="s">
        <v>2850</v>
      </c>
      <c r="D3682" s="1" t="s">
        <v>229</v>
      </c>
      <c r="E3682" s="1" t="str">
        <f>""</f>
        <v/>
      </c>
      <c r="F3682" s="1" t="s">
        <v>1860</v>
      </c>
      <c r="G3682" s="1" t="str">
        <f>CONCATENATE(" PAMAJO D.O.O.,"," VRANIČKA 7/A,"," 10000 ZAGREB,"," OIB: 46401136513")</f>
        <v xml:space="preserve"> PAMAJO D.O.O., VRANIČKA 7/A, 10000 ZAGREB, OIB: 46401136513</v>
      </c>
      <c r="H3682" s="7"/>
      <c r="I3682" s="8" t="s">
        <v>799</v>
      </c>
      <c r="J3682" s="8" t="s">
        <v>2307</v>
      </c>
      <c r="K3682" s="6" t="str">
        <f>"32.520,00"</f>
        <v>32.520,00</v>
      </c>
      <c r="L3682" s="6" t="str">
        <f>"8.130,00"</f>
        <v>8.130,00</v>
      </c>
      <c r="M3682" s="6" t="str">
        <f>"40.650,00"</f>
        <v>40.650,00</v>
      </c>
      <c r="N3682" s="8" t="s">
        <v>920</v>
      </c>
      <c r="O3682" s="7"/>
      <c r="P3682" s="2" t="s">
        <v>7789</v>
      </c>
      <c r="Q3682" s="7"/>
      <c r="R3682" s="1"/>
      <c r="S3682" s="1" t="str">
        <f>"J-UN-2021-1893"</f>
        <v>J-UN-2021-1893</v>
      </c>
      <c r="T3682" s="1" t="s">
        <v>32</v>
      </c>
    </row>
    <row r="3683" spans="1:20" ht="51" x14ac:dyDescent="0.25">
      <c r="A3683" s="6">
        <v>3677</v>
      </c>
      <c r="B3683" s="1" t="str">
        <f>"2021-2368"</f>
        <v>2021-2368</v>
      </c>
      <c r="C3683" s="1" t="s">
        <v>3011</v>
      </c>
      <c r="D3683" s="1" t="s">
        <v>2168</v>
      </c>
      <c r="E3683" s="1" t="str">
        <f>""</f>
        <v/>
      </c>
      <c r="F3683" s="1" t="s">
        <v>1860</v>
      </c>
      <c r="G3683" s="1" t="str">
        <f>CONCATENATE(" NAUTIC LINE D.O.O.,"," OBRTNIČKA 1,"," 10000 ZAGREB,"," OIB: 84192454945")</f>
        <v xml:space="preserve"> NAUTIC LINE D.O.O., OBRTNIČKA 1, 10000 ZAGREB, OIB: 84192454945</v>
      </c>
      <c r="H3683" s="7"/>
      <c r="I3683" s="8" t="s">
        <v>120</v>
      </c>
      <c r="J3683" s="8" t="s">
        <v>1400</v>
      </c>
      <c r="K3683" s="6" t="str">
        <f>"365.450,00"</f>
        <v>365.450,00</v>
      </c>
      <c r="L3683" s="6" t="str">
        <f>"91.362,50"</f>
        <v>91.362,50</v>
      </c>
      <c r="M3683" s="6" t="str">
        <f>"456.812,50"</f>
        <v>456.812,50</v>
      </c>
      <c r="N3683" s="8" t="s">
        <v>696</v>
      </c>
      <c r="O3683" s="7"/>
      <c r="P3683" s="2" t="s">
        <v>7790</v>
      </c>
      <c r="Q3683" s="7"/>
      <c r="R3683" s="1"/>
      <c r="S3683" s="1" t="str">
        <f>"J-UN-2021-1894"</f>
        <v>J-UN-2021-1894</v>
      </c>
      <c r="T3683" s="1" t="s">
        <v>32</v>
      </c>
    </row>
    <row r="3684" spans="1:20" ht="51" x14ac:dyDescent="0.25">
      <c r="A3684" s="6">
        <v>3678</v>
      </c>
      <c r="B3684" s="1" t="str">
        <f>"2021-169"</f>
        <v>2021-169</v>
      </c>
      <c r="C3684" s="1" t="s">
        <v>2620</v>
      </c>
      <c r="D3684" s="1" t="s">
        <v>665</v>
      </c>
      <c r="E3684" s="1" t="str">
        <f>""</f>
        <v/>
      </c>
      <c r="F3684" s="1" t="s">
        <v>1860</v>
      </c>
      <c r="G3684" s="1" t="str">
        <f>CONCATENATE(" ZORAN INSTALACIJE J.D.O.O.,"," POSEDARSKA 77,"," 10000 ZAGREB,"," OIB: 81822078815")</f>
        <v xml:space="preserve"> ZORAN INSTALACIJE J.D.O.O., POSEDARSKA 77, 10000 ZAGREB, OIB: 81822078815</v>
      </c>
      <c r="H3684" s="7"/>
      <c r="I3684" s="8" t="s">
        <v>120</v>
      </c>
      <c r="J3684" s="8" t="s">
        <v>1400</v>
      </c>
      <c r="K3684" s="6" t="str">
        <f>"81.590,00"</f>
        <v>81.590,00</v>
      </c>
      <c r="L3684" s="6" t="str">
        <f>"20.397,50"</f>
        <v>20.397,50</v>
      </c>
      <c r="M3684" s="6" t="str">
        <f>"101.987,50"</f>
        <v>101.987,50</v>
      </c>
      <c r="N3684" s="8" t="s">
        <v>1320</v>
      </c>
      <c r="O3684" s="7"/>
      <c r="P3684" s="2" t="s">
        <v>7791</v>
      </c>
      <c r="Q3684" s="7"/>
      <c r="R3684" s="1"/>
      <c r="S3684" s="1" t="str">
        <f>"J-UN-2021-1895"</f>
        <v>J-UN-2021-1895</v>
      </c>
      <c r="T3684" s="1" t="s">
        <v>32</v>
      </c>
    </row>
    <row r="3685" spans="1:20" ht="51" x14ac:dyDescent="0.25">
      <c r="A3685" s="6">
        <v>3679</v>
      </c>
      <c r="B3685" s="1" t="str">
        <f>"2021-105"</f>
        <v>2021-105</v>
      </c>
      <c r="C3685" s="1" t="s">
        <v>3012</v>
      </c>
      <c r="D3685" s="1" t="s">
        <v>2673</v>
      </c>
      <c r="E3685" s="1" t="str">
        <f>""</f>
        <v/>
      </c>
      <c r="F3685" s="1" t="s">
        <v>1860</v>
      </c>
      <c r="G3685" s="1" t="str">
        <f>CONCATENATE(" VERGL D.O.O.,"," TRPIMIROVA 7,"," 10000 ZAGREB,"," OIB: 33486399992")</f>
        <v xml:space="preserve"> VERGL D.O.O., TRPIMIROVA 7, 10000 ZAGREB, OIB: 33486399992</v>
      </c>
      <c r="H3685" s="7"/>
      <c r="I3685" s="8" t="s">
        <v>176</v>
      </c>
      <c r="J3685" s="8" t="s">
        <v>123</v>
      </c>
      <c r="K3685" s="6" t="str">
        <f>"17.790,86"</f>
        <v>17.790,86</v>
      </c>
      <c r="L3685" s="6" t="str">
        <f>"4.447,72"</f>
        <v>4.447,72</v>
      </c>
      <c r="M3685" s="6" t="str">
        <f>"22.238,58"</f>
        <v>22.238,58</v>
      </c>
      <c r="N3685" s="8" t="s">
        <v>124</v>
      </c>
      <c r="O3685" s="7"/>
      <c r="P3685" s="2" t="s">
        <v>7792</v>
      </c>
      <c r="Q3685" s="7"/>
      <c r="R3685" s="1"/>
      <c r="S3685" s="1" t="str">
        <f>"J-UN-2021-1905"</f>
        <v>J-UN-2021-1905</v>
      </c>
      <c r="T3685" s="1" t="s">
        <v>32</v>
      </c>
    </row>
    <row r="3686" spans="1:20" ht="63.75" x14ac:dyDescent="0.25">
      <c r="A3686" s="6">
        <v>3680</v>
      </c>
      <c r="B3686" s="1" t="str">
        <f>"2021-2341"</f>
        <v>2021-2341</v>
      </c>
      <c r="C3686" s="1" t="s">
        <v>3013</v>
      </c>
      <c r="D3686" s="1" t="s">
        <v>1641</v>
      </c>
      <c r="E3686" s="1" t="str">
        <f>""</f>
        <v/>
      </c>
      <c r="F3686" s="1" t="s">
        <v>1860</v>
      </c>
      <c r="G3686" s="1" t="str">
        <f>CONCATENATE(" MM NOVA DESIGN D.O.O.,"," RAPSKA ULICA 69,"," 10000 ZAGREB,"," OIB: 95481917083")</f>
        <v xml:space="preserve"> MM NOVA DESIGN D.O.O., RAPSKA ULICA 69, 10000 ZAGREB, OIB: 95481917083</v>
      </c>
      <c r="H3686" s="7"/>
      <c r="I3686" s="8" t="s">
        <v>80</v>
      </c>
      <c r="J3686" s="8" t="s">
        <v>123</v>
      </c>
      <c r="K3686" s="6" t="str">
        <f>"28.500,00"</f>
        <v>28.500,00</v>
      </c>
      <c r="L3686" s="6" t="str">
        <f>"7.125,00"</f>
        <v>7.125,00</v>
      </c>
      <c r="M3686" s="6" t="str">
        <f>"35.625,00"</f>
        <v>35.625,00</v>
      </c>
      <c r="N3686" s="8" t="s">
        <v>124</v>
      </c>
      <c r="O3686" s="7"/>
      <c r="P3686" s="2" t="s">
        <v>6470</v>
      </c>
      <c r="Q3686" s="7"/>
      <c r="R3686" s="1"/>
      <c r="S3686" s="1" t="str">
        <f>"J-UN-2021-1906"</f>
        <v>J-UN-2021-1906</v>
      </c>
      <c r="T3686" s="1" t="s">
        <v>32</v>
      </c>
    </row>
    <row r="3687" spans="1:20" ht="63.75" x14ac:dyDescent="0.25">
      <c r="A3687" s="6">
        <v>3681</v>
      </c>
      <c r="B3687" s="1" t="str">
        <f>"2021-2341"</f>
        <v>2021-2341</v>
      </c>
      <c r="C3687" s="1" t="s">
        <v>3013</v>
      </c>
      <c r="D3687" s="1" t="s">
        <v>1641</v>
      </c>
      <c r="E3687" s="1" t="str">
        <f>""</f>
        <v/>
      </c>
      <c r="F3687" s="1" t="s">
        <v>1860</v>
      </c>
      <c r="G3687" s="1" t="str">
        <f>CONCATENATE(" MM NOVA DESIGN D.O.O.,"," RAPSKA ULICA 69,"," 10000 ZAGREB,"," OIB: 95481917083")</f>
        <v xml:space="preserve"> MM NOVA DESIGN D.O.O., RAPSKA ULICA 69, 10000 ZAGREB, OIB: 95481917083</v>
      </c>
      <c r="H3687" s="7"/>
      <c r="I3687" s="8" t="s">
        <v>923</v>
      </c>
      <c r="J3687" s="8" t="s">
        <v>123</v>
      </c>
      <c r="K3687" s="6" t="str">
        <f>"28.500,00"</f>
        <v>28.500,00</v>
      </c>
      <c r="L3687" s="6" t="str">
        <f>"7.125,00"</f>
        <v>7.125,00</v>
      </c>
      <c r="M3687" s="6" t="str">
        <f>"35.625,00"</f>
        <v>35.625,00</v>
      </c>
      <c r="N3687" s="8" t="s">
        <v>124</v>
      </c>
      <c r="O3687" s="7"/>
      <c r="P3687" s="2" t="s">
        <v>5614</v>
      </c>
      <c r="Q3687" s="7"/>
      <c r="R3687" s="1"/>
      <c r="S3687" s="1" t="str">
        <f>"J-UN-2021-1906-1"</f>
        <v>J-UN-2021-1906-1</v>
      </c>
      <c r="T3687" s="1" t="s">
        <v>32</v>
      </c>
    </row>
    <row r="3688" spans="1:20" ht="51" x14ac:dyDescent="0.25">
      <c r="A3688" s="6">
        <v>3682</v>
      </c>
      <c r="B3688" s="1" t="str">
        <f>"2021-40"</f>
        <v>2021-40</v>
      </c>
      <c r="C3688" s="1" t="s">
        <v>3014</v>
      </c>
      <c r="D3688" s="1" t="s">
        <v>3015</v>
      </c>
      <c r="E3688" s="1" t="str">
        <f>""</f>
        <v/>
      </c>
      <c r="F3688" s="1" t="s">
        <v>1860</v>
      </c>
      <c r="G3688" s="1" t="str">
        <f>CONCATENATE(" DOBRO RJEŠENJE D.O.O.,"," ZAVRTNICA 3,"," 10000 ZAGREB,"," OIB: 33104804103")</f>
        <v xml:space="preserve"> DOBRO RJEŠENJE D.O.O., ZAVRTNICA 3, 10000 ZAGREB, OIB: 33104804103</v>
      </c>
      <c r="H3688" s="7"/>
      <c r="I3688" s="8" t="s">
        <v>137</v>
      </c>
      <c r="J3688" s="8" t="s">
        <v>1193</v>
      </c>
      <c r="K3688" s="6" t="str">
        <f>"119.430,00"</f>
        <v>119.430,00</v>
      </c>
      <c r="L3688" s="6" t="str">
        <f>"29.857,50"</f>
        <v>29.857,50</v>
      </c>
      <c r="M3688" s="6" t="str">
        <f>"149.287,50"</f>
        <v>149.287,50</v>
      </c>
      <c r="N3688" s="8" t="s">
        <v>124</v>
      </c>
      <c r="O3688" s="7"/>
      <c r="P3688" s="2" t="s">
        <v>7793</v>
      </c>
      <c r="Q3688" s="7"/>
      <c r="R3688" s="1"/>
      <c r="S3688" s="1" t="str">
        <f>"J-UN-2021-1911"</f>
        <v>J-UN-2021-1911</v>
      </c>
      <c r="T3688" s="1" t="s">
        <v>32</v>
      </c>
    </row>
    <row r="3689" spans="1:20" ht="51" x14ac:dyDescent="0.25">
      <c r="A3689" s="6">
        <v>3683</v>
      </c>
      <c r="B3689" s="1" t="str">
        <f>"2021-2366"</f>
        <v>2021-2366</v>
      </c>
      <c r="C3689" s="1" t="s">
        <v>3016</v>
      </c>
      <c r="D3689" s="1" t="s">
        <v>2107</v>
      </c>
      <c r="E3689" s="1" t="str">
        <f>""</f>
        <v/>
      </c>
      <c r="F3689" s="1" t="s">
        <v>1860</v>
      </c>
      <c r="G3689" s="1" t="str">
        <f>CONCATENATE(" ESP D.O.O.,"," KREŠIMIROVA 50,"," 10000 ZAGREB,"," OIB: 99891593")</f>
        <v xml:space="preserve"> ESP D.O.O., KREŠIMIROVA 50, 10000 ZAGREB, OIB: 99891593</v>
      </c>
      <c r="H3689" s="7"/>
      <c r="I3689" s="8" t="s">
        <v>117</v>
      </c>
      <c r="J3689" s="8" t="s">
        <v>3017</v>
      </c>
      <c r="K3689" s="6" t="str">
        <f>"59.800,00"</f>
        <v>59.800,00</v>
      </c>
      <c r="L3689" s="6" t="str">
        <f>"14.950,00"</f>
        <v>14.950,00</v>
      </c>
      <c r="M3689" s="6" t="str">
        <f>"74.750,00"</f>
        <v>74.750,00</v>
      </c>
      <c r="N3689" s="8" t="s">
        <v>262</v>
      </c>
      <c r="O3689" s="7"/>
      <c r="P3689" s="2" t="s">
        <v>7794</v>
      </c>
      <c r="Q3689" s="7"/>
      <c r="R3689" s="1"/>
      <c r="S3689" s="1" t="str">
        <f>"J-UN-2021-1912"</f>
        <v>J-UN-2021-1912</v>
      </c>
      <c r="T3689" s="1" t="s">
        <v>32</v>
      </c>
    </row>
    <row r="3690" spans="1:20" ht="63.75" x14ac:dyDescent="0.25">
      <c r="A3690" s="6">
        <v>3684</v>
      </c>
      <c r="B3690" s="1" t="str">
        <f>"2021-1313"</f>
        <v>2021-1313</v>
      </c>
      <c r="C3690" s="1" t="s">
        <v>3018</v>
      </c>
      <c r="D3690" s="1" t="s">
        <v>2729</v>
      </c>
      <c r="E3690" s="1" t="str">
        <f>""</f>
        <v/>
      </c>
      <c r="F3690" s="1" t="s">
        <v>1860</v>
      </c>
      <c r="G3690" s="1" t="str">
        <f>CONCATENATE(" DEKRA CROATIA D.O.O.,"," BETINSKA 1,"," 100010 ZAGREB,"," OIB: 7714160214")</f>
        <v xml:space="preserve"> DEKRA CROATIA D.O.O., BETINSKA 1, 100010 ZAGREB, OIB: 7714160214</v>
      </c>
      <c r="H3690" s="7"/>
      <c r="I3690" s="8" t="s">
        <v>176</v>
      </c>
      <c r="J3690" s="8" t="s">
        <v>3003</v>
      </c>
      <c r="K3690" s="6" t="str">
        <f>"19.000,00"</f>
        <v>19.000,00</v>
      </c>
      <c r="L3690" s="6" t="str">
        <f>"4.750,00"</f>
        <v>4.750,00</v>
      </c>
      <c r="M3690" s="6" t="str">
        <f>"23.750,00"</f>
        <v>23.750,00</v>
      </c>
      <c r="N3690" s="8" t="s">
        <v>177</v>
      </c>
      <c r="O3690" s="7"/>
      <c r="P3690" s="2" t="s">
        <v>7795</v>
      </c>
      <c r="Q3690" s="7"/>
      <c r="R3690" s="1"/>
      <c r="S3690" s="1" t="str">
        <f>"J-UN-2021-1913"</f>
        <v>J-UN-2021-1913</v>
      </c>
      <c r="T3690" s="1" t="s">
        <v>32</v>
      </c>
    </row>
    <row r="3691" spans="1:20" ht="51" x14ac:dyDescent="0.25">
      <c r="A3691" s="6">
        <v>3685</v>
      </c>
      <c r="B3691" s="1" t="str">
        <f>"2021-1164"</f>
        <v>2021-1164</v>
      </c>
      <c r="C3691" s="1" t="s">
        <v>2403</v>
      </c>
      <c r="D3691" s="1" t="s">
        <v>2404</v>
      </c>
      <c r="E3691" s="1" t="str">
        <f>""</f>
        <v/>
      </c>
      <c r="F3691" s="1" t="s">
        <v>1860</v>
      </c>
      <c r="G3691" s="1" t="str">
        <f>CONCATENATE(" DOMIN-PLIN D.O.O.,"," G. PODOTOČJE 57,"," 10410 VELIKA GORICA,"," OIB: 90332893585")</f>
        <v xml:space="preserve"> DOMIN-PLIN D.O.O., G. PODOTOČJE 57, 10410 VELIKA GORICA, OIB: 90332893585</v>
      </c>
      <c r="H3691" s="7"/>
      <c r="I3691" s="8" t="s">
        <v>120</v>
      </c>
      <c r="J3691" s="8" t="s">
        <v>1400</v>
      </c>
      <c r="K3691" s="6" t="str">
        <f>"59.894,00"</f>
        <v>59.894,00</v>
      </c>
      <c r="L3691" s="6" t="str">
        <f>"14.973,50"</f>
        <v>14.973,50</v>
      </c>
      <c r="M3691" s="6" t="str">
        <f>"74.867,50"</f>
        <v>74.867,50</v>
      </c>
      <c r="N3691" s="8" t="s">
        <v>124</v>
      </c>
      <c r="O3691" s="7"/>
      <c r="P3691" s="2" t="s">
        <v>7796</v>
      </c>
      <c r="Q3691" s="7"/>
      <c r="R3691" s="1"/>
      <c r="S3691" s="1" t="str">
        <f>"J-UN-2021-1914"</f>
        <v>J-UN-2021-1914</v>
      </c>
      <c r="T3691" s="1" t="s">
        <v>32</v>
      </c>
    </row>
    <row r="3692" spans="1:20" ht="63.75" x14ac:dyDescent="0.25">
      <c r="A3692" s="6">
        <v>3686</v>
      </c>
      <c r="B3692" s="1" t="str">
        <f>"2021-2367"</f>
        <v>2021-2367</v>
      </c>
      <c r="C3692" s="1" t="s">
        <v>3019</v>
      </c>
      <c r="D3692" s="1" t="s">
        <v>845</v>
      </c>
      <c r="E3692" s="1" t="str">
        <f>""</f>
        <v/>
      </c>
      <c r="F3692" s="1" t="s">
        <v>1860</v>
      </c>
      <c r="G3692" s="1" t="str">
        <f>CONCATENATE(" APG-INŽENJERING D.O.O.,"," JOSIPA ZORIĆA 62,"," 10370 DUGO SELO,"," OIB: 94661365298")</f>
        <v xml:space="preserve"> APG-INŽENJERING D.O.O., JOSIPA ZORIĆA 62, 10370 DUGO SELO, OIB: 94661365298</v>
      </c>
      <c r="H3692" s="7"/>
      <c r="I3692" s="8" t="s">
        <v>176</v>
      </c>
      <c r="J3692" s="8" t="s">
        <v>3003</v>
      </c>
      <c r="K3692" s="6" t="str">
        <f>"68.500,00"</f>
        <v>68.500,00</v>
      </c>
      <c r="L3692" s="6" t="str">
        <f>"17.125,00"</f>
        <v>17.125,00</v>
      </c>
      <c r="M3692" s="6" t="str">
        <f>"85.625,00"</f>
        <v>85.625,00</v>
      </c>
      <c r="N3692" s="8" t="s">
        <v>735</v>
      </c>
      <c r="O3692" s="7"/>
      <c r="P3692" s="2" t="s">
        <v>7797</v>
      </c>
      <c r="Q3692" s="7"/>
      <c r="R3692" s="1"/>
      <c r="S3692" s="1" t="str">
        <f>"J-UN-2021-1915"</f>
        <v>J-UN-2021-1915</v>
      </c>
      <c r="T3692" s="1" t="s">
        <v>32</v>
      </c>
    </row>
    <row r="3693" spans="1:20" ht="63.75" x14ac:dyDescent="0.25">
      <c r="A3693" s="6">
        <v>3687</v>
      </c>
      <c r="B3693" s="1" t="str">
        <f>"2021-110"</f>
        <v>2021-110</v>
      </c>
      <c r="C3693" s="1" t="s">
        <v>2595</v>
      </c>
      <c r="D3693" s="1" t="s">
        <v>2596</v>
      </c>
      <c r="E3693" s="1" t="str">
        <f>""</f>
        <v/>
      </c>
      <c r="F3693" s="1" t="s">
        <v>1860</v>
      </c>
      <c r="G3693" s="1" t="str">
        <f>CONCATENATE(" PRINT GRUPA D.D.,"," BREZJE,"," BREZJANSKI PUT 33,"," 10431 SVETA NEDJELJA,"," OIB: 07275785182")</f>
        <v xml:space="preserve"> PRINT GRUPA D.D., BREZJE, BREZJANSKI PUT 33, 10431 SVETA NEDJELJA, OIB: 07275785182</v>
      </c>
      <c r="H3693" s="7"/>
      <c r="I3693" s="8" t="s">
        <v>80</v>
      </c>
      <c r="J3693" s="8" t="s">
        <v>1186</v>
      </c>
      <c r="K3693" s="6" t="str">
        <f>"4.000,00"</f>
        <v>4.000,00</v>
      </c>
      <c r="L3693" s="6" t="str">
        <f>"1.000,00"</f>
        <v>1.000,00</v>
      </c>
      <c r="M3693" s="6" t="str">
        <f>"5.000,00"</f>
        <v>5.000,00</v>
      </c>
      <c r="N3693" s="8" t="s">
        <v>124</v>
      </c>
      <c r="O3693" s="7"/>
      <c r="P3693" s="2" t="s">
        <v>5614</v>
      </c>
      <c r="Q3693" s="7"/>
      <c r="R3693" s="1"/>
      <c r="S3693" s="1" t="str">
        <f>"J-UN-2021-1917"</f>
        <v>J-UN-2021-1917</v>
      </c>
      <c r="T3693" s="1" t="s">
        <v>32</v>
      </c>
    </row>
    <row r="3694" spans="1:20" ht="63.75" x14ac:dyDescent="0.25">
      <c r="A3694" s="6">
        <v>3688</v>
      </c>
      <c r="B3694" s="1" t="str">
        <f>"2021-626"</f>
        <v>2021-626</v>
      </c>
      <c r="C3694" s="1" t="s">
        <v>2799</v>
      </c>
      <c r="D3694" s="1" t="s">
        <v>794</v>
      </c>
      <c r="E3694" s="1" t="str">
        <f>""</f>
        <v/>
      </c>
      <c r="F3694" s="1" t="s">
        <v>1860</v>
      </c>
      <c r="G3694" s="1" t="str">
        <f>CONCATENATE(" KONTROLING KOGNOSKO D.O.O.,"," JARUŠČICA 1E,"," 10000 ZAGREB,"," OIB: 21353746909")</f>
        <v xml:space="preserve"> KONTROLING KOGNOSKO D.O.O., JARUŠČICA 1E, 10000 ZAGREB, OIB: 21353746909</v>
      </c>
      <c r="H3694" s="7"/>
      <c r="I3694" s="8" t="s">
        <v>177</v>
      </c>
      <c r="J3694" s="8" t="s">
        <v>193</v>
      </c>
      <c r="K3694" s="6" t="str">
        <f>"5.451,87"</f>
        <v>5.451,87</v>
      </c>
      <c r="L3694" s="6" t="str">
        <f>"1.362,97"</f>
        <v>1.362,97</v>
      </c>
      <c r="M3694" s="6" t="str">
        <f>"6.814,84"</f>
        <v>6.814,84</v>
      </c>
      <c r="N3694" s="8" t="s">
        <v>124</v>
      </c>
      <c r="O3694" s="7"/>
      <c r="P3694" s="2" t="s">
        <v>5614</v>
      </c>
      <c r="Q3694" s="7"/>
      <c r="R3694" s="1"/>
      <c r="S3694" s="1" t="str">
        <f>"J-UN-2021-1918"</f>
        <v>J-UN-2021-1918</v>
      </c>
      <c r="T3694" s="1" t="s">
        <v>32</v>
      </c>
    </row>
    <row r="3695" spans="1:20" ht="51" x14ac:dyDescent="0.25">
      <c r="A3695" s="6">
        <v>3689</v>
      </c>
      <c r="B3695" s="1" t="str">
        <f>"2021-1119"</f>
        <v>2021-1119</v>
      </c>
      <c r="C3695" s="1" t="s">
        <v>2851</v>
      </c>
      <c r="D3695" s="1" t="s">
        <v>1007</v>
      </c>
      <c r="E3695" s="1" t="str">
        <f>""</f>
        <v/>
      </c>
      <c r="F3695" s="1" t="s">
        <v>1860</v>
      </c>
      <c r="G3695" s="1" t="str">
        <f>CONCATENATE(" ECCOS-INŽENJERING D.O.O.,"," BANI 110,"," 10000 ZAGREB,"," OIB: 71629027685")</f>
        <v xml:space="preserve"> ECCOS-INŽENJERING D.O.O., BANI 110, 10000 ZAGREB, OIB: 71629027685</v>
      </c>
      <c r="H3695" s="7"/>
      <c r="I3695" s="8" t="s">
        <v>80</v>
      </c>
      <c r="J3695" s="8" t="s">
        <v>1186</v>
      </c>
      <c r="K3695" s="6" t="str">
        <f>"52.615,00"</f>
        <v>52.615,00</v>
      </c>
      <c r="L3695" s="6" t="str">
        <f>"13.153,75"</f>
        <v>13.153,75</v>
      </c>
      <c r="M3695" s="6" t="str">
        <f>"65.768,75"</f>
        <v>65.768,75</v>
      </c>
      <c r="N3695" s="8" t="s">
        <v>192</v>
      </c>
      <c r="O3695" s="7"/>
      <c r="P3695" s="2" t="s">
        <v>7798</v>
      </c>
      <c r="Q3695" s="7"/>
      <c r="R3695" s="1"/>
      <c r="S3695" s="1" t="str">
        <f>"J-UN-2021-1919"</f>
        <v>J-UN-2021-1919</v>
      </c>
      <c r="T3695" s="1" t="s">
        <v>32</v>
      </c>
    </row>
    <row r="3696" spans="1:20" ht="63.75" x14ac:dyDescent="0.25">
      <c r="A3696" s="6">
        <v>3690</v>
      </c>
      <c r="B3696" s="1" t="str">
        <f>"2021-2370"</f>
        <v>2021-2370</v>
      </c>
      <c r="C3696" s="1" t="s">
        <v>3020</v>
      </c>
      <c r="D3696" s="1" t="s">
        <v>1261</v>
      </c>
      <c r="E3696" s="1" t="str">
        <f>""</f>
        <v/>
      </c>
      <c r="F3696" s="1" t="s">
        <v>1860</v>
      </c>
      <c r="G3696" s="1" t="str">
        <f>CONCATENATE(" GABRIJELA D.O.O.,"," PETRA PRERADOVIĆA 57,"," 48363 PODRAVSKE SESVETE,"," OIB: 00497899419")</f>
        <v xml:space="preserve"> GABRIJELA D.O.O., PETRA PRERADOVIĆA 57, 48363 PODRAVSKE SESVETE, OIB: 00497899419</v>
      </c>
      <c r="H3696" s="7"/>
      <c r="I3696" s="8" t="s">
        <v>137</v>
      </c>
      <c r="J3696" s="8" t="s">
        <v>1193</v>
      </c>
      <c r="K3696" s="6" t="str">
        <f>"192.370,20"</f>
        <v>192.370,20</v>
      </c>
      <c r="L3696" s="6" t="str">
        <f>"48.092,55"</f>
        <v>48.092,55</v>
      </c>
      <c r="M3696" s="6" t="str">
        <f>"240.462,75"</f>
        <v>240.462,75</v>
      </c>
      <c r="N3696" s="8" t="s">
        <v>124</v>
      </c>
      <c r="O3696" s="7"/>
      <c r="P3696" s="2" t="s">
        <v>7799</v>
      </c>
      <c r="Q3696" s="1"/>
      <c r="R3696" s="1"/>
      <c r="S3696" s="1" t="str">
        <f>"J-UN-2021-1920"</f>
        <v>J-UN-2021-1920</v>
      </c>
      <c r="T3696" s="1" t="s">
        <v>32</v>
      </c>
    </row>
    <row r="3697" spans="1:20" ht="51" x14ac:dyDescent="0.25">
      <c r="A3697" s="6">
        <v>3691</v>
      </c>
      <c r="B3697" s="1" t="str">
        <f>"2021-1011"</f>
        <v>2021-1011</v>
      </c>
      <c r="C3697" s="1" t="s">
        <v>2675</v>
      </c>
      <c r="D3697" s="1" t="s">
        <v>2676</v>
      </c>
      <c r="E3697" s="1" t="str">
        <f>""</f>
        <v/>
      </c>
      <c r="F3697" s="1" t="s">
        <v>1860</v>
      </c>
      <c r="G3697" s="1" t="str">
        <f>CONCATENATE(" AUTOBUS D.O.O.,"," I. RESNIK 178,"," 10040 ZAGREB,"," OIB: 77383886713")</f>
        <v xml:space="preserve"> AUTOBUS D.O.O., I. RESNIK 178, 10040 ZAGREB, OIB: 77383886713</v>
      </c>
      <c r="H3697" s="7"/>
      <c r="I3697" s="8" t="s">
        <v>183</v>
      </c>
      <c r="J3697" s="8" t="s">
        <v>2494</v>
      </c>
      <c r="K3697" s="6" t="str">
        <f>"5.389,84"</f>
        <v>5.389,84</v>
      </c>
      <c r="L3697" s="6" t="str">
        <f>"1.347,46"</f>
        <v>1.347,46</v>
      </c>
      <c r="M3697" s="6" t="str">
        <f>"6.737,30"</f>
        <v>6.737,30</v>
      </c>
      <c r="N3697" s="8" t="s">
        <v>450</v>
      </c>
      <c r="O3697" s="7"/>
      <c r="P3697" s="2" t="s">
        <v>7800</v>
      </c>
      <c r="Q3697" s="7"/>
      <c r="R3697" s="1"/>
      <c r="S3697" s="1" t="str">
        <f>"J-UN-2021-1923"</f>
        <v>J-UN-2021-1923</v>
      </c>
      <c r="T3697" s="1" t="s">
        <v>32</v>
      </c>
    </row>
    <row r="3698" spans="1:20" ht="63.75" x14ac:dyDescent="0.25">
      <c r="A3698" s="6">
        <v>3692</v>
      </c>
      <c r="B3698" s="1" t="str">
        <f>"2021-72"</f>
        <v>2021-72</v>
      </c>
      <c r="C3698" s="1" t="s">
        <v>2534</v>
      </c>
      <c r="D3698" s="1" t="s">
        <v>2535</v>
      </c>
      <c r="E3698" s="1" t="str">
        <f>""</f>
        <v/>
      </c>
      <c r="F3698" s="1" t="s">
        <v>1860</v>
      </c>
      <c r="G3698" s="1" t="str">
        <f>CONCATENATE(" JULIUS MEINL BONFANTI D.O.O.,"," LJUBLJANSKA ULICA 4,"," 10431 SVETA NEDELJA,"," OIB: 39546130894")</f>
        <v xml:space="preserve"> JULIUS MEINL BONFANTI D.O.O., LJUBLJANSKA ULICA 4, 10431 SVETA NEDELJA, OIB: 39546130894</v>
      </c>
      <c r="H3698" s="7"/>
      <c r="I3698" s="8" t="s">
        <v>183</v>
      </c>
      <c r="J3698" s="8" t="s">
        <v>2494</v>
      </c>
      <c r="K3698" s="6" t="str">
        <f>"6.118,00"</f>
        <v>6.118,00</v>
      </c>
      <c r="L3698" s="6" t="str">
        <f>"1.529,50"</f>
        <v>1.529,50</v>
      </c>
      <c r="M3698" s="6" t="str">
        <f>"7.647,50"</f>
        <v>7.647,50</v>
      </c>
      <c r="N3698" s="8" t="s">
        <v>124</v>
      </c>
      <c r="O3698" s="7"/>
      <c r="P3698" s="2" t="s">
        <v>7801</v>
      </c>
      <c r="Q3698" s="7"/>
      <c r="R3698" s="1"/>
      <c r="S3698" s="1" t="str">
        <f>"J-UN-2021-1924"</f>
        <v>J-UN-2021-1924</v>
      </c>
      <c r="T3698" s="1" t="s">
        <v>32</v>
      </c>
    </row>
    <row r="3699" spans="1:20" ht="51" x14ac:dyDescent="0.25">
      <c r="A3699" s="6">
        <v>3693</v>
      </c>
      <c r="B3699" s="1" t="str">
        <f>"2021-695"</f>
        <v>2021-695</v>
      </c>
      <c r="C3699" s="1" t="s">
        <v>2683</v>
      </c>
      <c r="D3699" s="1" t="s">
        <v>2684</v>
      </c>
      <c r="E3699" s="1" t="str">
        <f>""</f>
        <v/>
      </c>
      <c r="F3699" s="1" t="s">
        <v>1860</v>
      </c>
      <c r="G3699" s="1" t="str">
        <f>CONCATENATE(" INDUSTROOPREMA D.O.O.,"," RIMSKI PUT 11K,"," 10360 SESVETE,"," OIB: 01291306683")</f>
        <v xml:space="preserve"> INDUSTROOPREMA D.O.O., RIMSKI PUT 11K, 10360 SESVETE, OIB: 01291306683</v>
      </c>
      <c r="H3699" s="7"/>
      <c r="I3699" s="8" t="s">
        <v>80</v>
      </c>
      <c r="J3699" s="8" t="s">
        <v>1186</v>
      </c>
      <c r="K3699" s="6" t="str">
        <f>"17.582,00"</f>
        <v>17.582,00</v>
      </c>
      <c r="L3699" s="6" t="str">
        <f>"4.395,50"</f>
        <v>4.395,50</v>
      </c>
      <c r="M3699" s="6" t="str">
        <f>"21.977,50"</f>
        <v>21.977,50</v>
      </c>
      <c r="N3699" s="8" t="s">
        <v>667</v>
      </c>
      <c r="O3699" s="7"/>
      <c r="P3699" s="2" t="s">
        <v>7802</v>
      </c>
      <c r="Q3699" s="7"/>
      <c r="R3699" s="1"/>
      <c r="S3699" s="1" t="str">
        <f>"J-UN-2021-1926"</f>
        <v>J-UN-2021-1926</v>
      </c>
      <c r="T3699" s="1" t="s">
        <v>32</v>
      </c>
    </row>
    <row r="3700" spans="1:20" ht="51" x14ac:dyDescent="0.25">
      <c r="A3700" s="6">
        <v>3694</v>
      </c>
      <c r="B3700" s="1" t="str">
        <f>"2021-913"</f>
        <v>2021-913</v>
      </c>
      <c r="C3700" s="1" t="s">
        <v>2710</v>
      </c>
      <c r="D3700" s="1" t="s">
        <v>815</v>
      </c>
      <c r="E3700" s="1" t="str">
        <f>""</f>
        <v/>
      </c>
      <c r="F3700" s="1" t="s">
        <v>1860</v>
      </c>
      <c r="G3700" s="1" t="str">
        <f>CONCATENATE(" EUROPART D.O.O.,"," LUKŠIĆ 10A,"," 10000 ZAGREB,"," OIB: 17260643187")</f>
        <v xml:space="preserve"> EUROPART D.O.O., LUKŠIĆ 10A, 10000 ZAGREB, OIB: 17260643187</v>
      </c>
      <c r="H3700" s="7"/>
      <c r="I3700" s="8" t="s">
        <v>80</v>
      </c>
      <c r="J3700" s="8" t="s">
        <v>1186</v>
      </c>
      <c r="K3700" s="6" t="str">
        <f>"6.800,00"</f>
        <v>6.800,00</v>
      </c>
      <c r="L3700" s="6" t="str">
        <f>"1.700,00"</f>
        <v>1.700,00</v>
      </c>
      <c r="M3700" s="6" t="str">
        <f>"8.500,00"</f>
        <v>8.500,00</v>
      </c>
      <c r="N3700" s="8" t="s">
        <v>397</v>
      </c>
      <c r="O3700" s="7"/>
      <c r="P3700" s="2" t="s">
        <v>7647</v>
      </c>
      <c r="Q3700" s="7"/>
      <c r="R3700" s="1"/>
      <c r="S3700" s="1" t="str">
        <f>"J-UN-2021-1928"</f>
        <v>J-UN-2021-1928</v>
      </c>
      <c r="T3700" s="1" t="s">
        <v>32</v>
      </c>
    </row>
    <row r="3701" spans="1:20" ht="38.25" x14ac:dyDescent="0.25">
      <c r="A3701" s="6">
        <v>3695</v>
      </c>
      <c r="B3701" s="1" t="str">
        <f>"2021-1015"</f>
        <v>2021-1015</v>
      </c>
      <c r="C3701" s="1" t="s">
        <v>2492</v>
      </c>
      <c r="D3701" s="1" t="s">
        <v>2493</v>
      </c>
      <c r="E3701" s="1" t="str">
        <f>""</f>
        <v/>
      </c>
      <c r="F3701" s="1" t="s">
        <v>1860</v>
      </c>
      <c r="G3701" s="1" t="str">
        <f>CONCATENATE(" O-K-TEH d.o.o.,"," VUČAK 16A,"," 10000 ZAGREB,"," OIB: 37322381288")</f>
        <v xml:space="preserve"> O-K-TEH d.o.o., VUČAK 16A, 10000 ZAGREB, OIB: 37322381288</v>
      </c>
      <c r="H3701" s="7"/>
      <c r="I3701" s="8" t="s">
        <v>392</v>
      </c>
      <c r="J3701" s="8" t="s">
        <v>3021</v>
      </c>
      <c r="K3701" s="6" t="str">
        <f>"3.220,21"</f>
        <v>3.220,21</v>
      </c>
      <c r="L3701" s="6" t="str">
        <f>"805,05"</f>
        <v>805,05</v>
      </c>
      <c r="M3701" s="6" t="str">
        <f>"4.025,26"</f>
        <v>4.025,26</v>
      </c>
      <c r="N3701" s="8" t="s">
        <v>757</v>
      </c>
      <c r="O3701" s="7"/>
      <c r="P3701" s="2" t="s">
        <v>7803</v>
      </c>
      <c r="Q3701" s="7"/>
      <c r="R3701" s="1"/>
      <c r="S3701" s="1" t="str">
        <f>"J-UN-2021-1929"</f>
        <v>J-UN-2021-1929</v>
      </c>
      <c r="T3701" s="1" t="s">
        <v>32</v>
      </c>
    </row>
    <row r="3702" spans="1:20" ht="51" x14ac:dyDescent="0.25">
      <c r="A3702" s="6">
        <v>3696</v>
      </c>
      <c r="B3702" s="1" t="str">
        <f>"2021-1172"</f>
        <v>2021-1172</v>
      </c>
      <c r="C3702" s="1" t="s">
        <v>2922</v>
      </c>
      <c r="D3702" s="1" t="s">
        <v>1373</v>
      </c>
      <c r="E3702" s="1" t="str">
        <f>""</f>
        <v/>
      </c>
      <c r="F3702" s="1" t="s">
        <v>1860</v>
      </c>
      <c r="G3702" s="1" t="str">
        <f>CONCATENATE(" MEGA MONT D.O.O.,"," POPOVIĆEV PUT 2/D,"," 51211 MATULJI,"," OIB: 64536314217")</f>
        <v xml:space="preserve"> MEGA MONT D.O.O., POPOVIĆEV PUT 2/D, 51211 MATULJI, OIB: 64536314217</v>
      </c>
      <c r="H3702" s="7"/>
      <c r="I3702" s="8" t="s">
        <v>183</v>
      </c>
      <c r="J3702" s="8" t="s">
        <v>2494</v>
      </c>
      <c r="K3702" s="6" t="str">
        <f>"8.190,00"</f>
        <v>8.190,00</v>
      </c>
      <c r="L3702" s="6" t="str">
        <f>"2.047,50"</f>
        <v>2.047,50</v>
      </c>
      <c r="M3702" s="6" t="str">
        <f>"10.237,50"</f>
        <v>10.237,50</v>
      </c>
      <c r="N3702" s="8" t="s">
        <v>663</v>
      </c>
      <c r="O3702" s="7"/>
      <c r="P3702" s="2" t="s">
        <v>7804</v>
      </c>
      <c r="Q3702" s="7"/>
      <c r="R3702" s="1"/>
      <c r="S3702" s="1" t="str">
        <f>"J-UN-2021-1930"</f>
        <v>J-UN-2021-1930</v>
      </c>
      <c r="T3702" s="1" t="s">
        <v>32</v>
      </c>
    </row>
    <row r="3703" spans="1:20" ht="76.5" x14ac:dyDescent="0.25">
      <c r="A3703" s="6">
        <v>3697</v>
      </c>
      <c r="B3703" s="1" t="str">
        <f>"2021-1203"</f>
        <v>2021-1203</v>
      </c>
      <c r="C3703" s="1" t="s">
        <v>2750</v>
      </c>
      <c r="D3703" s="1" t="s">
        <v>1627</v>
      </c>
      <c r="E3703" s="1" t="str">
        <f>""</f>
        <v/>
      </c>
      <c r="F3703" s="1" t="s">
        <v>1860</v>
      </c>
      <c r="G3703" s="1" t="str">
        <f>CONCATENATE(" ELICOM D.O.O.,"," ŠTEFANOVEC 138,"," 10000 ZAGREB,"," OIB: 76370234816")</f>
        <v xml:space="preserve"> ELICOM D.O.O., ŠTEFANOVEC 138, 10000 ZAGREB, OIB: 76370234816</v>
      </c>
      <c r="H3703" s="7"/>
      <c r="I3703" s="8" t="s">
        <v>80</v>
      </c>
      <c r="J3703" s="8" t="s">
        <v>3022</v>
      </c>
      <c r="K3703" s="6" t="str">
        <f>"1.860,72"</f>
        <v>1.860,72</v>
      </c>
      <c r="L3703" s="6" t="str">
        <f>"465,18"</f>
        <v>465,18</v>
      </c>
      <c r="M3703" s="6" t="str">
        <f>"2.325,90"</f>
        <v>2.325,90</v>
      </c>
      <c r="N3703" s="8" t="s">
        <v>1549</v>
      </c>
      <c r="O3703" s="7"/>
      <c r="P3703" s="2" t="s">
        <v>7805</v>
      </c>
      <c r="Q3703" s="7"/>
      <c r="R3703" s="1"/>
      <c r="S3703" s="1" t="str">
        <f>"J-UN-2021-1932"</f>
        <v>J-UN-2021-1932</v>
      </c>
      <c r="T3703" s="1" t="s">
        <v>32</v>
      </c>
    </row>
    <row r="3704" spans="1:20" ht="51" x14ac:dyDescent="0.25">
      <c r="A3704" s="6">
        <v>3698</v>
      </c>
      <c r="B3704" s="1" t="str">
        <f>"2021-1384"</f>
        <v>2021-1384</v>
      </c>
      <c r="C3704" s="1" t="s">
        <v>3023</v>
      </c>
      <c r="D3704" s="1" t="s">
        <v>74</v>
      </c>
      <c r="E3704" s="1" t="str">
        <f>""</f>
        <v/>
      </c>
      <c r="F3704" s="1" t="s">
        <v>1860</v>
      </c>
      <c r="G3704" s="1" t="str">
        <f>CONCATENATE(" FORTIUS INFO D.O.O.,"," BAŠTIJANOVA 52A/3,"," 10000 ZAGREB,"," OIB: 15956530643")</f>
        <v xml:space="preserve"> FORTIUS INFO D.O.O., BAŠTIJANOVA 52A/3, 10000 ZAGREB, OIB: 15956530643</v>
      </c>
      <c r="H3704" s="7"/>
      <c r="I3704" s="8" t="s">
        <v>183</v>
      </c>
      <c r="J3704" s="8" t="s">
        <v>2494</v>
      </c>
      <c r="K3704" s="6" t="str">
        <f>"90.000,00"</f>
        <v>90.000,00</v>
      </c>
      <c r="L3704" s="6" t="str">
        <f>"22.500,00"</f>
        <v>22.500,00</v>
      </c>
      <c r="M3704" s="6" t="str">
        <f>"112.500,00"</f>
        <v>112.500,00</v>
      </c>
      <c r="N3704" s="8" t="s">
        <v>124</v>
      </c>
      <c r="O3704" s="7"/>
      <c r="P3704" s="2" t="s">
        <v>6834</v>
      </c>
      <c r="Q3704" s="7"/>
      <c r="R3704" s="1"/>
      <c r="S3704" s="1" t="str">
        <f>"J-UN-2021-1933"</f>
        <v>J-UN-2021-1933</v>
      </c>
      <c r="T3704" s="1" t="s">
        <v>32</v>
      </c>
    </row>
    <row r="3705" spans="1:20" ht="51" x14ac:dyDescent="0.25">
      <c r="A3705" s="6">
        <v>3699</v>
      </c>
      <c r="B3705" s="1" t="str">
        <f>"2021-1019"</f>
        <v>2021-1019</v>
      </c>
      <c r="C3705" s="1" t="s">
        <v>2720</v>
      </c>
      <c r="D3705" s="1" t="s">
        <v>21</v>
      </c>
      <c r="E3705" s="1" t="str">
        <f>""</f>
        <v/>
      </c>
      <c r="F3705" s="1" t="s">
        <v>1860</v>
      </c>
      <c r="G3705" s="1" t="str">
        <f>CONCATENATE(" STAR IMPORT D.O.O.,"," KOVINSKA 5,"," 10090 ZAGREB-SUSEDGRAD,"," OIB: 783122799")</f>
        <v xml:space="preserve"> STAR IMPORT D.O.O., KOVINSKA 5, 10090 ZAGREB-SUSEDGRAD, OIB: 783122799</v>
      </c>
      <c r="H3705" s="7"/>
      <c r="I3705" s="8" t="s">
        <v>183</v>
      </c>
      <c r="J3705" s="8" t="s">
        <v>2494</v>
      </c>
      <c r="K3705" s="6" t="str">
        <f>"27.707,98"</f>
        <v>27.707,98</v>
      </c>
      <c r="L3705" s="6" t="str">
        <f>"6.927,00"</f>
        <v>6.927,00</v>
      </c>
      <c r="M3705" s="6" t="str">
        <f>"34.634,98"</f>
        <v>34.634,98</v>
      </c>
      <c r="N3705" s="8" t="s">
        <v>124</v>
      </c>
      <c r="O3705" s="7"/>
      <c r="P3705" s="2" t="s">
        <v>7806</v>
      </c>
      <c r="Q3705" s="7"/>
      <c r="R3705" s="1"/>
      <c r="S3705" s="1" t="str">
        <f>"J-UN-2021-1934"</f>
        <v>J-UN-2021-1934</v>
      </c>
      <c r="T3705" s="1" t="s">
        <v>32</v>
      </c>
    </row>
    <row r="3706" spans="1:20" ht="51" x14ac:dyDescent="0.25">
      <c r="A3706" s="6">
        <v>3700</v>
      </c>
      <c r="B3706" s="1" t="str">
        <f>"2021-910"</f>
        <v>2021-910</v>
      </c>
      <c r="C3706" s="1" t="s">
        <v>2828</v>
      </c>
      <c r="D3706" s="1" t="s">
        <v>914</v>
      </c>
      <c r="E3706" s="1" t="str">
        <f>""</f>
        <v/>
      </c>
      <c r="F3706" s="1" t="s">
        <v>1860</v>
      </c>
      <c r="G3706" s="1" t="str">
        <f>CONCATENATE(" AUTOKUĆA-ŠTARKELJ D.O.O.,"," UKRAJINSKA 17,"," 10000 ZAGREB,"," OIB: 87340407905")</f>
        <v xml:space="preserve"> AUTOKUĆA-ŠTARKELJ D.O.O., UKRAJINSKA 17, 10000 ZAGREB, OIB: 87340407905</v>
      </c>
      <c r="H3706" s="7"/>
      <c r="I3706" s="8" t="s">
        <v>183</v>
      </c>
      <c r="J3706" s="8" t="s">
        <v>2494</v>
      </c>
      <c r="K3706" s="6" t="str">
        <f>"1.969,16"</f>
        <v>1.969,16</v>
      </c>
      <c r="L3706" s="6" t="str">
        <f>"492,29"</f>
        <v>492,29</v>
      </c>
      <c r="M3706" s="6" t="str">
        <f>"2.461,45"</f>
        <v>2.461,45</v>
      </c>
      <c r="N3706" s="8" t="s">
        <v>671</v>
      </c>
      <c r="O3706" s="7"/>
      <c r="P3706" s="2" t="s">
        <v>7807</v>
      </c>
      <c r="Q3706" s="1" t="s">
        <v>5601</v>
      </c>
      <c r="R3706" s="1"/>
      <c r="S3706" s="1" t="str">
        <f>"J-UN-2021-1935"</f>
        <v>J-UN-2021-1935</v>
      </c>
      <c r="T3706" s="1" t="s">
        <v>32</v>
      </c>
    </row>
    <row r="3707" spans="1:20" ht="51" x14ac:dyDescent="0.25">
      <c r="A3707" s="6">
        <v>3701</v>
      </c>
      <c r="B3707" s="1" t="str">
        <f>"2021-521"</f>
        <v>2021-521</v>
      </c>
      <c r="C3707" s="1" t="s">
        <v>2572</v>
      </c>
      <c r="D3707" s="1" t="s">
        <v>2573</v>
      </c>
      <c r="E3707" s="1" t="str">
        <f>""</f>
        <v/>
      </c>
      <c r="F3707" s="1" t="s">
        <v>1860</v>
      </c>
      <c r="G3707" s="1" t="str">
        <f>CONCATENATE(" KING ICT D.O.O.,"," BUZINSKI PRILAZ 10,"," 10010 ZAGREB,"," OIB: 67001695549")</f>
        <v xml:space="preserve"> KING ICT D.O.O., BUZINSKI PRILAZ 10, 10010 ZAGREB, OIB: 67001695549</v>
      </c>
      <c r="H3707" s="7"/>
      <c r="I3707" s="8" t="s">
        <v>177</v>
      </c>
      <c r="J3707" s="8" t="s">
        <v>193</v>
      </c>
      <c r="K3707" s="6" t="str">
        <f>"362,50"</f>
        <v>362,50</v>
      </c>
      <c r="L3707" s="6" t="str">
        <f>"90,63"</f>
        <v>90,63</v>
      </c>
      <c r="M3707" s="6" t="str">
        <f>"453,13"</f>
        <v>453,13</v>
      </c>
      <c r="N3707" s="8" t="s">
        <v>80</v>
      </c>
      <c r="O3707" s="7"/>
      <c r="P3707" s="2" t="s">
        <v>7808</v>
      </c>
      <c r="Q3707" s="7"/>
      <c r="R3707" s="1"/>
      <c r="S3707" s="1" t="str">
        <f>"J-UN-2021-1936"</f>
        <v>J-UN-2021-1936</v>
      </c>
      <c r="T3707" s="1" t="s">
        <v>32</v>
      </c>
    </row>
    <row r="3708" spans="1:20" ht="51" x14ac:dyDescent="0.25">
      <c r="A3708" s="6">
        <v>3702</v>
      </c>
      <c r="B3708" s="1" t="str">
        <f>"2021-521"</f>
        <v>2021-521</v>
      </c>
      <c r="C3708" s="1" t="s">
        <v>2572</v>
      </c>
      <c r="D3708" s="1" t="s">
        <v>2573</v>
      </c>
      <c r="E3708" s="1" t="str">
        <f>""</f>
        <v/>
      </c>
      <c r="F3708" s="1" t="s">
        <v>1860</v>
      </c>
      <c r="G3708" s="1" t="str">
        <f>CONCATENATE(" ECCOS-INŽENJERING D.O.O.,"," BANI 110,"," 10000 ZAGREB,"," OIB: 71629027685")</f>
        <v xml:space="preserve"> ECCOS-INŽENJERING D.O.O., BANI 110, 10000 ZAGREB, OIB: 71629027685</v>
      </c>
      <c r="H3708" s="7"/>
      <c r="I3708" s="8" t="s">
        <v>177</v>
      </c>
      <c r="J3708" s="8" t="s">
        <v>193</v>
      </c>
      <c r="K3708" s="6" t="str">
        <f>"39.400,00"</f>
        <v>39.400,00</v>
      </c>
      <c r="L3708" s="6" t="str">
        <f>"9.850,00"</f>
        <v>9.850,00</v>
      </c>
      <c r="M3708" s="6" t="str">
        <f>"49.250,00"</f>
        <v>49.250,00</v>
      </c>
      <c r="N3708" s="8" t="s">
        <v>124</v>
      </c>
      <c r="O3708" s="7"/>
      <c r="P3708" s="2" t="s">
        <v>5614</v>
      </c>
      <c r="Q3708" s="7"/>
      <c r="R3708" s="1"/>
      <c r="S3708" s="1" t="str">
        <f>"J-UN-2021-1937"</f>
        <v>J-UN-2021-1937</v>
      </c>
      <c r="T3708" s="1" t="s">
        <v>32</v>
      </c>
    </row>
    <row r="3709" spans="1:20" ht="63.75" x14ac:dyDescent="0.25">
      <c r="A3709" s="6">
        <v>3703</v>
      </c>
      <c r="B3709" s="1" t="str">
        <f>"2021-913"</f>
        <v>2021-913</v>
      </c>
      <c r="C3709" s="1" t="s">
        <v>2710</v>
      </c>
      <c r="D3709" s="1" t="s">
        <v>815</v>
      </c>
      <c r="E3709" s="1" t="str">
        <f>""</f>
        <v/>
      </c>
      <c r="F3709" s="1" t="s">
        <v>1860</v>
      </c>
      <c r="G3709" s="1" t="str">
        <f>CONCATENATE(" TOKIĆ D.O.O.,"," ULICA 144. BRIGADE HRVATSKE VOJSKE 1A,"," 10360 SESVETE,"," OIB: 7486748762")</f>
        <v xml:space="preserve"> TOKIĆ D.O.O., ULICA 144. BRIGADE HRVATSKE VOJSKE 1A, 10360 SESVETE, OIB: 7486748762</v>
      </c>
      <c r="H3709" s="7"/>
      <c r="I3709" s="8" t="s">
        <v>80</v>
      </c>
      <c r="J3709" s="8" t="s">
        <v>1186</v>
      </c>
      <c r="K3709" s="6" t="str">
        <f>"1.245,00"</f>
        <v>1.245,00</v>
      </c>
      <c r="L3709" s="6" t="str">
        <f>"311,25"</f>
        <v>311,25</v>
      </c>
      <c r="M3709" s="6" t="str">
        <f>"1.556,25"</f>
        <v>1.556,25</v>
      </c>
      <c r="N3709" s="8" t="s">
        <v>1140</v>
      </c>
      <c r="O3709" s="7"/>
      <c r="P3709" s="2" t="s">
        <v>7809</v>
      </c>
      <c r="Q3709" s="7"/>
      <c r="R3709" s="1"/>
      <c r="S3709" s="1" t="str">
        <f>"J-UN-2021-1938"</f>
        <v>J-UN-2021-1938</v>
      </c>
      <c r="T3709" s="1" t="s">
        <v>32</v>
      </c>
    </row>
    <row r="3710" spans="1:20" ht="51" x14ac:dyDescent="0.25">
      <c r="A3710" s="6">
        <v>3704</v>
      </c>
      <c r="B3710" s="1" t="str">
        <f>"2021-1180"</f>
        <v>2021-1180</v>
      </c>
      <c r="C3710" s="1" t="s">
        <v>2857</v>
      </c>
      <c r="D3710" s="1" t="s">
        <v>1373</v>
      </c>
      <c r="E3710" s="1" t="str">
        <f>""</f>
        <v/>
      </c>
      <c r="F3710" s="1" t="s">
        <v>1860</v>
      </c>
      <c r="G3710" s="1" t="str">
        <f>CONCATENATE(" BLUEMONT D.O.O.,"," VINCEKOV BREG 20,"," 10000 ZAGREB,"," OIB: 54895392358")</f>
        <v xml:space="preserve"> BLUEMONT D.O.O., VINCEKOV BREG 20, 10000 ZAGREB, OIB: 54895392358</v>
      </c>
      <c r="H3710" s="7"/>
      <c r="I3710" s="8" t="s">
        <v>177</v>
      </c>
      <c r="J3710" s="8" t="s">
        <v>193</v>
      </c>
      <c r="K3710" s="6" t="str">
        <f>"4.910,00"</f>
        <v>4.910,00</v>
      </c>
      <c r="L3710" s="6" t="str">
        <f>"1.227,50"</f>
        <v>1.227,50</v>
      </c>
      <c r="M3710" s="6" t="str">
        <f>"6.137,50"</f>
        <v>6.137,50</v>
      </c>
      <c r="N3710" s="8" t="s">
        <v>1320</v>
      </c>
      <c r="O3710" s="7"/>
      <c r="P3710" s="2" t="s">
        <v>7810</v>
      </c>
      <c r="Q3710" s="7"/>
      <c r="R3710" s="1"/>
      <c r="S3710" s="1" t="str">
        <f>"J-UN-2021-1939"</f>
        <v>J-UN-2021-1939</v>
      </c>
      <c r="T3710" s="1" t="s">
        <v>32</v>
      </c>
    </row>
    <row r="3711" spans="1:20" ht="51" x14ac:dyDescent="0.25">
      <c r="A3711" s="6">
        <v>3705</v>
      </c>
      <c r="B3711" s="1" t="str">
        <f>"2021-1180"</f>
        <v>2021-1180</v>
      </c>
      <c r="C3711" s="1" t="s">
        <v>2857</v>
      </c>
      <c r="D3711" s="1" t="s">
        <v>1373</v>
      </c>
      <c r="E3711" s="1" t="str">
        <f>""</f>
        <v/>
      </c>
      <c r="F3711" s="1" t="s">
        <v>1860</v>
      </c>
      <c r="G3711" s="1" t="str">
        <f>CONCATENATE(" BLUEMONT D.O.O.,"," VINCEKOV BREG 20,"," 10000 ZAGREB,"," OIB: 54895392358")</f>
        <v xml:space="preserve"> BLUEMONT D.O.O., VINCEKOV BREG 20, 10000 ZAGREB, OIB: 54895392358</v>
      </c>
      <c r="H3711" s="7"/>
      <c r="I3711" s="8" t="s">
        <v>177</v>
      </c>
      <c r="J3711" s="8" t="s">
        <v>193</v>
      </c>
      <c r="K3711" s="6" t="str">
        <f>"7.398,30"</f>
        <v>7.398,30</v>
      </c>
      <c r="L3711" s="6" t="str">
        <f>"1.849,58"</f>
        <v>1.849,58</v>
      </c>
      <c r="M3711" s="6" t="str">
        <f>"9.247,88"</f>
        <v>9.247,88</v>
      </c>
      <c r="N3711" s="8" t="s">
        <v>166</v>
      </c>
      <c r="O3711" s="7"/>
      <c r="P3711" s="2" t="s">
        <v>7811</v>
      </c>
      <c r="Q3711" s="7"/>
      <c r="R3711" s="1"/>
      <c r="S3711" s="1" t="str">
        <f>"J-UN-2021-1940"</f>
        <v>J-UN-2021-1940</v>
      </c>
      <c r="T3711" s="1" t="s">
        <v>32</v>
      </c>
    </row>
    <row r="3712" spans="1:20" ht="51" x14ac:dyDescent="0.25">
      <c r="A3712" s="6">
        <v>3706</v>
      </c>
      <c r="B3712" s="1" t="str">
        <f>"2021-1117"</f>
        <v>2021-1117</v>
      </c>
      <c r="C3712" s="1" t="s">
        <v>3024</v>
      </c>
      <c r="D3712" s="1" t="s">
        <v>1007</v>
      </c>
      <c r="E3712" s="1" t="str">
        <f>""</f>
        <v/>
      </c>
      <c r="F3712" s="1" t="s">
        <v>1860</v>
      </c>
      <c r="G3712" s="1" t="str">
        <f>CONCATENATE(" AUREL D.O.O.,"," BORONGAJSKA CESTA bb,"," 10000 ZAGREB,"," OIB: 62871653225")</f>
        <v xml:space="preserve"> AUREL D.O.O., BORONGAJSKA CESTA bb, 10000 ZAGREB, OIB: 62871653225</v>
      </c>
      <c r="H3712" s="7"/>
      <c r="I3712" s="8" t="s">
        <v>177</v>
      </c>
      <c r="J3712" s="8" t="s">
        <v>193</v>
      </c>
      <c r="K3712" s="6" t="str">
        <f>"1.200,00"</f>
        <v>1.200,00</v>
      </c>
      <c r="L3712" s="6" t="str">
        <f>"300,00"</f>
        <v>300,00</v>
      </c>
      <c r="M3712" s="6" t="str">
        <f>"1.500,00"</f>
        <v>1.500,00</v>
      </c>
      <c r="N3712" s="8" t="s">
        <v>124</v>
      </c>
      <c r="O3712" s="7"/>
      <c r="P3712" s="2" t="s">
        <v>5614</v>
      </c>
      <c r="Q3712" s="7"/>
      <c r="R3712" s="1"/>
      <c r="S3712" s="1" t="str">
        <f>"J-UN-2021-1941"</f>
        <v>J-UN-2021-1941</v>
      </c>
      <c r="T3712" s="1" t="s">
        <v>32</v>
      </c>
    </row>
    <row r="3713" spans="1:20" ht="51" x14ac:dyDescent="0.25">
      <c r="A3713" s="6">
        <v>3707</v>
      </c>
      <c r="B3713" s="1" t="str">
        <f>"2021-1079"</f>
        <v>2021-1079</v>
      </c>
      <c r="C3713" s="1" t="s">
        <v>3025</v>
      </c>
      <c r="D3713" s="1" t="s">
        <v>3026</v>
      </c>
      <c r="E3713" s="1" t="str">
        <f>""</f>
        <v/>
      </c>
      <c r="F3713" s="1" t="s">
        <v>1860</v>
      </c>
      <c r="G3713" s="1" t="str">
        <f>CONCATENATE(" ISKRATRADE D.O.O.,"," ŠETALIŠTE XIII. DIVIZIJE 26,"," 51000 RIJEKA,"," OIB: 75836772939")</f>
        <v xml:space="preserve"> ISKRATRADE D.O.O., ŠETALIŠTE XIII. DIVIZIJE 26, 51000 RIJEKA, OIB: 75836772939</v>
      </c>
      <c r="H3713" s="7"/>
      <c r="I3713" s="8" t="s">
        <v>177</v>
      </c>
      <c r="J3713" s="8" t="s">
        <v>193</v>
      </c>
      <c r="K3713" s="6" t="str">
        <f>"14.700,00"</f>
        <v>14.700,00</v>
      </c>
      <c r="L3713" s="6" t="str">
        <f>"3.675,00"</f>
        <v>3.675,00</v>
      </c>
      <c r="M3713" s="6" t="str">
        <f>"18.375,00"</f>
        <v>18.375,00</v>
      </c>
      <c r="N3713" s="8" t="s">
        <v>183</v>
      </c>
      <c r="O3713" s="7"/>
      <c r="P3713" s="2" t="s">
        <v>7330</v>
      </c>
      <c r="Q3713" s="7"/>
      <c r="R3713" s="1"/>
      <c r="S3713" s="1" t="str">
        <f>"J-UN-2021-1943"</f>
        <v>J-UN-2021-1943</v>
      </c>
      <c r="T3713" s="1" t="s">
        <v>32</v>
      </c>
    </row>
    <row r="3714" spans="1:20" ht="51" x14ac:dyDescent="0.25">
      <c r="A3714" s="6">
        <v>3708</v>
      </c>
      <c r="B3714" s="1" t="str">
        <f>"2021-1004"</f>
        <v>2021-1004</v>
      </c>
      <c r="C3714" s="1" t="s">
        <v>2715</v>
      </c>
      <c r="D3714" s="1" t="s">
        <v>2716</v>
      </c>
      <c r="E3714" s="1" t="str">
        <f>""</f>
        <v/>
      </c>
      <c r="F3714" s="1" t="s">
        <v>1860</v>
      </c>
      <c r="G3714" s="1" t="str">
        <f>CONCATENATE(" LAGER BAŠIĆ D.O.O.,"," TRGOVAČKA 3,"," 10255 DONJI STUPNIK,"," OIB: 49617677906")</f>
        <v xml:space="preserve"> LAGER BAŠIĆ D.O.O., TRGOVAČKA 3, 10255 DONJI STUPNIK, OIB: 49617677906</v>
      </c>
      <c r="H3714" s="7"/>
      <c r="I3714" s="8" t="s">
        <v>177</v>
      </c>
      <c r="J3714" s="8" t="s">
        <v>193</v>
      </c>
      <c r="K3714" s="6" t="str">
        <f>"4.410,00"</f>
        <v>4.410,00</v>
      </c>
      <c r="L3714" s="6" t="str">
        <f>"1.102,50"</f>
        <v>1.102,50</v>
      </c>
      <c r="M3714" s="6" t="str">
        <f>"5.512,50"</f>
        <v>5.512,50</v>
      </c>
      <c r="N3714" s="8" t="s">
        <v>80</v>
      </c>
      <c r="O3714" s="7"/>
      <c r="P3714" s="2" t="s">
        <v>7812</v>
      </c>
      <c r="Q3714" s="7"/>
      <c r="R3714" s="1"/>
      <c r="S3714" s="1" t="str">
        <f>"J-UN-2021-1944"</f>
        <v>J-UN-2021-1944</v>
      </c>
      <c r="T3714" s="1" t="s">
        <v>32</v>
      </c>
    </row>
    <row r="3715" spans="1:20" ht="51" x14ac:dyDescent="0.25">
      <c r="A3715" s="6">
        <v>3709</v>
      </c>
      <c r="B3715" s="1" t="str">
        <f>"2021-1791"</f>
        <v>2021-1791</v>
      </c>
      <c r="C3715" s="1" t="s">
        <v>2558</v>
      </c>
      <c r="D3715" s="1" t="s">
        <v>860</v>
      </c>
      <c r="E3715" s="1" t="str">
        <f>""</f>
        <v/>
      </c>
      <c r="F3715" s="1" t="s">
        <v>1860</v>
      </c>
      <c r="G3715" s="1" t="str">
        <f>CONCATENATE(" PLEMAG D.O.O.,"," ALEJA LIPA 1/B,"," 10000 ZAGREB,"," OIB: 15144440967")</f>
        <v xml:space="preserve"> PLEMAG D.O.O., ALEJA LIPA 1/B, 10000 ZAGREB, OIB: 15144440967</v>
      </c>
      <c r="H3715" s="7"/>
      <c r="I3715" s="8" t="s">
        <v>177</v>
      </c>
      <c r="J3715" s="8" t="s">
        <v>193</v>
      </c>
      <c r="K3715" s="6" t="str">
        <f>"19.700,00"</f>
        <v>19.700,00</v>
      </c>
      <c r="L3715" s="6" t="str">
        <f>"4.925,00"</f>
        <v>4.925,00</v>
      </c>
      <c r="M3715" s="6" t="str">
        <f>"24.625,00"</f>
        <v>24.625,00</v>
      </c>
      <c r="N3715" s="8" t="s">
        <v>166</v>
      </c>
      <c r="O3715" s="7"/>
      <c r="P3715" s="2" t="s">
        <v>7813</v>
      </c>
      <c r="Q3715" s="7"/>
      <c r="R3715" s="1"/>
      <c r="S3715" s="1" t="str">
        <f>"J-UN-2021-1946"</f>
        <v>J-UN-2021-1946</v>
      </c>
      <c r="T3715" s="1" t="s">
        <v>32</v>
      </c>
    </row>
    <row r="3716" spans="1:20" ht="63.75" x14ac:dyDescent="0.25">
      <c r="A3716" s="6">
        <v>3710</v>
      </c>
      <c r="B3716" s="1" t="str">
        <f>"2021-2176"</f>
        <v>2021-2176</v>
      </c>
      <c r="C3716" s="1" t="s">
        <v>2958</v>
      </c>
      <c r="D3716" s="1" t="s">
        <v>1581</v>
      </c>
      <c r="E3716" s="1" t="str">
        <f>""</f>
        <v/>
      </c>
      <c r="F3716" s="1" t="s">
        <v>1860</v>
      </c>
      <c r="G3716" s="1" t="str">
        <f>CONCATENATE(" GRADITELJSTVO I TRGOVINA PERIĆ D.O.O.,"," NAD LIPOM 12,"," 10000 ZAGREB,"," OIB: 43566372258")</f>
        <v xml:space="preserve"> GRADITELJSTVO I TRGOVINA PERIĆ D.O.O., NAD LIPOM 12, 10000 ZAGREB, OIB: 43566372258</v>
      </c>
      <c r="H3716" s="7"/>
      <c r="I3716" s="8" t="s">
        <v>177</v>
      </c>
      <c r="J3716" s="8" t="s">
        <v>193</v>
      </c>
      <c r="K3716" s="6" t="str">
        <f>"38.645,40"</f>
        <v>38.645,40</v>
      </c>
      <c r="L3716" s="6" t="str">
        <f>"9.661,35"</f>
        <v>9.661,35</v>
      </c>
      <c r="M3716" s="6" t="str">
        <f>"48.306,75"</f>
        <v>48.306,75</v>
      </c>
      <c r="N3716" s="8" t="s">
        <v>93</v>
      </c>
      <c r="O3716" s="7"/>
      <c r="P3716" s="2" t="s">
        <v>7814</v>
      </c>
      <c r="Q3716" s="7"/>
      <c r="R3716" s="1"/>
      <c r="S3716" s="1" t="str">
        <f>"J-UN-2021-1947"</f>
        <v>J-UN-2021-1947</v>
      </c>
      <c r="T3716" s="1" t="s">
        <v>32</v>
      </c>
    </row>
    <row r="3717" spans="1:20" ht="63.75" x14ac:dyDescent="0.25">
      <c r="A3717" s="6">
        <v>3711</v>
      </c>
      <c r="B3717" s="1" t="str">
        <f>"2021-180"</f>
        <v>2021-180</v>
      </c>
      <c r="C3717" s="1" t="s">
        <v>2737</v>
      </c>
      <c r="D3717" s="1" t="s">
        <v>689</v>
      </c>
      <c r="E3717" s="1" t="str">
        <f>""</f>
        <v/>
      </c>
      <c r="F3717" s="1" t="s">
        <v>1860</v>
      </c>
      <c r="G3717" s="1" t="str">
        <f>CONCATENATE(" ELEKTRO-KOMUNIKACIJE D.O.O.,"," 14. PODBREŽJE 4,"," 10000 ZAGREB,"," OIB: 76412373309")</f>
        <v xml:space="preserve"> ELEKTRO-KOMUNIKACIJE D.O.O., 14. PODBREŽJE 4, 10000 ZAGREB, OIB: 76412373309</v>
      </c>
      <c r="H3717" s="7"/>
      <c r="I3717" s="8" t="s">
        <v>137</v>
      </c>
      <c r="J3717" s="8" t="s">
        <v>1193</v>
      </c>
      <c r="K3717" s="6" t="str">
        <f>"1.470,00"</f>
        <v>1.470,00</v>
      </c>
      <c r="L3717" s="6" t="str">
        <f>"367,50"</f>
        <v>367,50</v>
      </c>
      <c r="M3717" s="6" t="str">
        <f>"1.837,50"</f>
        <v>1.837,50</v>
      </c>
      <c r="N3717" s="8" t="s">
        <v>253</v>
      </c>
      <c r="O3717" s="7"/>
      <c r="P3717" s="2" t="s">
        <v>7815</v>
      </c>
      <c r="Q3717" s="7"/>
      <c r="R3717" s="1"/>
      <c r="S3717" s="1" t="str">
        <f>"J-UN-2021-1949"</f>
        <v>J-UN-2021-1949</v>
      </c>
      <c r="T3717" s="1" t="s">
        <v>32</v>
      </c>
    </row>
    <row r="3718" spans="1:20" ht="38.25" x14ac:dyDescent="0.25">
      <c r="A3718" s="6">
        <v>3712</v>
      </c>
      <c r="B3718" s="1" t="str">
        <f>"2021-980"</f>
        <v>2021-980</v>
      </c>
      <c r="C3718" s="1" t="s">
        <v>2606</v>
      </c>
      <c r="D3718" s="1" t="s">
        <v>2607</v>
      </c>
      <c r="E3718" s="1" t="str">
        <f>""</f>
        <v/>
      </c>
      <c r="F3718" s="1" t="s">
        <v>1860</v>
      </c>
      <c r="G3718" s="1" t="str">
        <f>CONCATENATE(" PREMIUM D.O.O.,"," ,"," OIB: 9905063644")</f>
        <v xml:space="preserve"> PREMIUM D.O.O., , OIB: 9905063644</v>
      </c>
      <c r="H3718" s="7"/>
      <c r="I3718" s="8" t="s">
        <v>177</v>
      </c>
      <c r="J3718" s="8" t="s">
        <v>193</v>
      </c>
      <c r="K3718" s="6" t="str">
        <f>"5.148,00"</f>
        <v>5.148,00</v>
      </c>
      <c r="L3718" s="6" t="str">
        <f>"1.287,00"</f>
        <v>1.287,00</v>
      </c>
      <c r="M3718" s="6" t="str">
        <f>"6.435,00"</f>
        <v>6.435,00</v>
      </c>
      <c r="N3718" s="8" t="s">
        <v>1549</v>
      </c>
      <c r="O3718" s="7"/>
      <c r="P3718" s="2" t="s">
        <v>7816</v>
      </c>
      <c r="Q3718" s="7"/>
      <c r="R3718" s="1"/>
      <c r="S3718" s="1" t="str">
        <f>"J-UN-2021-1951"</f>
        <v>J-UN-2021-1951</v>
      </c>
      <c r="T3718" s="1" t="s">
        <v>32</v>
      </c>
    </row>
    <row r="3719" spans="1:20" ht="51" x14ac:dyDescent="0.25">
      <c r="A3719" s="6">
        <v>3713</v>
      </c>
      <c r="B3719" s="1" t="str">
        <f>"2021-481"</f>
        <v>2021-481</v>
      </c>
      <c r="C3719" s="1" t="s">
        <v>2626</v>
      </c>
      <c r="D3719" s="1" t="s">
        <v>2627</v>
      </c>
      <c r="E3719" s="1" t="str">
        <f>""</f>
        <v/>
      </c>
      <c r="F3719" s="1" t="s">
        <v>1860</v>
      </c>
      <c r="G3719" s="1" t="str">
        <f>CONCATENATE(" E-ELMES D.O.O.,"," MATIJE MESIĆA 29A,"," 10370 DUGO SELO,"," OIB: 89958947498")</f>
        <v xml:space="preserve"> E-ELMES D.O.O., MATIJE MESIĆA 29A, 10370 DUGO SELO, OIB: 89958947498</v>
      </c>
      <c r="H3719" s="7"/>
      <c r="I3719" s="8" t="s">
        <v>177</v>
      </c>
      <c r="J3719" s="8" t="s">
        <v>193</v>
      </c>
      <c r="K3719" s="6" t="str">
        <f>"2.945,00"</f>
        <v>2.945,00</v>
      </c>
      <c r="L3719" s="6" t="str">
        <f>"736,25"</f>
        <v>736,25</v>
      </c>
      <c r="M3719" s="6" t="str">
        <f>"3.681,25"</f>
        <v>3.681,25</v>
      </c>
      <c r="N3719" s="8" t="s">
        <v>89</v>
      </c>
      <c r="O3719" s="7"/>
      <c r="P3719" s="2" t="s">
        <v>7817</v>
      </c>
      <c r="Q3719" s="7"/>
      <c r="R3719" s="1"/>
      <c r="S3719" s="1" t="str">
        <f>"J-UN-2021-1952"</f>
        <v>J-UN-2021-1952</v>
      </c>
      <c r="T3719" s="1" t="s">
        <v>32</v>
      </c>
    </row>
    <row r="3720" spans="1:20" ht="51" x14ac:dyDescent="0.25">
      <c r="A3720" s="6">
        <v>3714</v>
      </c>
      <c r="B3720" s="1" t="str">
        <f>"2021-1791"</f>
        <v>2021-1791</v>
      </c>
      <c r="C3720" s="1" t="s">
        <v>2558</v>
      </c>
      <c r="D3720" s="1" t="s">
        <v>860</v>
      </c>
      <c r="E3720" s="1" t="str">
        <f>""</f>
        <v/>
      </c>
      <c r="F3720" s="1" t="s">
        <v>1860</v>
      </c>
      <c r="G3720" s="1" t="str">
        <f>CONCATENATE(" PLEMAG D.O.O.,"," ALEJA LIPA 1/B,"," 10000 ZAGREB,"," OIB: 15144440967")</f>
        <v xml:space="preserve"> PLEMAG D.O.O., ALEJA LIPA 1/B, 10000 ZAGREB, OIB: 15144440967</v>
      </c>
      <c r="H3720" s="7"/>
      <c r="I3720" s="8" t="s">
        <v>183</v>
      </c>
      <c r="J3720" s="8" t="s">
        <v>2494</v>
      </c>
      <c r="K3720" s="6" t="str">
        <f>"39.870,00"</f>
        <v>39.870,00</v>
      </c>
      <c r="L3720" s="6" t="str">
        <f>"9.967,50"</f>
        <v>9.967,50</v>
      </c>
      <c r="M3720" s="6" t="str">
        <f>"49.837,50"</f>
        <v>49.837,50</v>
      </c>
      <c r="N3720" s="8" t="s">
        <v>166</v>
      </c>
      <c r="O3720" s="7"/>
      <c r="P3720" s="2" t="s">
        <v>7818</v>
      </c>
      <c r="Q3720" s="7"/>
      <c r="R3720" s="1"/>
      <c r="S3720" s="1" t="str">
        <f>"J-UN-2021-1953"</f>
        <v>J-UN-2021-1953</v>
      </c>
      <c r="T3720" s="1" t="s">
        <v>32</v>
      </c>
    </row>
    <row r="3721" spans="1:20" ht="51" x14ac:dyDescent="0.25">
      <c r="A3721" s="6">
        <v>3715</v>
      </c>
      <c r="B3721" s="1" t="str">
        <f>"2021-1498"</f>
        <v>2021-1498</v>
      </c>
      <c r="C3721" s="1" t="s">
        <v>2641</v>
      </c>
      <c r="D3721" s="1" t="s">
        <v>515</v>
      </c>
      <c r="E3721" s="1" t="str">
        <f>""</f>
        <v/>
      </c>
      <c r="F3721" s="1" t="s">
        <v>1860</v>
      </c>
      <c r="G3721" s="1" t="str">
        <f>CONCATENATE(" INSTITUT IGH D.D.,"," JANKA RAKUŠE 1,"," 10000 ZAGREB,"," OIB: 79766124714")</f>
        <v xml:space="preserve"> INSTITUT IGH D.D., JANKA RAKUŠE 1, 10000 ZAGREB, OIB: 79766124714</v>
      </c>
      <c r="H3721" s="7"/>
      <c r="I3721" s="8" t="s">
        <v>183</v>
      </c>
      <c r="J3721" s="8" t="s">
        <v>2494</v>
      </c>
      <c r="K3721" s="6" t="str">
        <f>"21.075,00"</f>
        <v>21.075,00</v>
      </c>
      <c r="L3721" s="6" t="str">
        <f>"5.268,75"</f>
        <v>5.268,75</v>
      </c>
      <c r="M3721" s="6" t="str">
        <f>"26.343,75"</f>
        <v>26.343,75</v>
      </c>
      <c r="N3721" s="8" t="s">
        <v>124</v>
      </c>
      <c r="O3721" s="7"/>
      <c r="P3721" s="2" t="s">
        <v>7819</v>
      </c>
      <c r="Q3721" s="7"/>
      <c r="R3721" s="1"/>
      <c r="S3721" s="1" t="str">
        <f>"J-UN-2021-1954"</f>
        <v>J-UN-2021-1954</v>
      </c>
      <c r="T3721" s="1" t="s">
        <v>32</v>
      </c>
    </row>
    <row r="3722" spans="1:20" ht="51" x14ac:dyDescent="0.25">
      <c r="A3722" s="6">
        <v>3716</v>
      </c>
      <c r="B3722" s="1" t="str">
        <f>"2021-1154"</f>
        <v>2021-1154</v>
      </c>
      <c r="C3722" s="1" t="s">
        <v>2854</v>
      </c>
      <c r="D3722" s="1" t="s">
        <v>2855</v>
      </c>
      <c r="E3722" s="1" t="str">
        <f>""</f>
        <v/>
      </c>
      <c r="F3722" s="1" t="s">
        <v>1860</v>
      </c>
      <c r="G3722" s="1" t="str">
        <f>CONCATENATE(" TEHNO-HIDRAULIK D.O.O.,"," SAVIŠĆE 2,"," 10000 ZAGREB,"," OIB: 09925328419")</f>
        <v xml:space="preserve"> TEHNO-HIDRAULIK D.O.O., SAVIŠĆE 2, 10000 ZAGREB, OIB: 09925328419</v>
      </c>
      <c r="H3722" s="7"/>
      <c r="I3722" s="8" t="s">
        <v>126</v>
      </c>
      <c r="J3722" s="8" t="s">
        <v>123</v>
      </c>
      <c r="K3722" s="6" t="str">
        <f>"49.999,99"</f>
        <v>49.999,99</v>
      </c>
      <c r="L3722" s="6" t="str">
        <f>"12.500,00"</f>
        <v>12.500,00</v>
      </c>
      <c r="M3722" s="6" t="str">
        <f>"62.499,99"</f>
        <v>62.499,99</v>
      </c>
      <c r="N3722" s="8" t="s">
        <v>124</v>
      </c>
      <c r="O3722" s="7"/>
      <c r="P3722" s="2" t="s">
        <v>7820</v>
      </c>
      <c r="Q3722" s="7"/>
      <c r="R3722" s="1"/>
      <c r="S3722" s="1" t="str">
        <f>"J-UN-2021-1955"</f>
        <v>J-UN-2021-1955</v>
      </c>
      <c r="T3722" s="1" t="s">
        <v>32</v>
      </c>
    </row>
    <row r="3723" spans="1:20" ht="63.75" x14ac:dyDescent="0.25">
      <c r="A3723" s="6">
        <v>3717</v>
      </c>
      <c r="B3723" s="1" t="str">
        <f>"2021-325"</f>
        <v>2021-325</v>
      </c>
      <c r="C3723" s="1" t="s">
        <v>2700</v>
      </c>
      <c r="D3723" s="1" t="s">
        <v>2701</v>
      </c>
      <c r="E3723" s="1" t="str">
        <f>""</f>
        <v/>
      </c>
      <c r="F3723" s="1" t="s">
        <v>1860</v>
      </c>
      <c r="G3723" s="1" t="str">
        <f>CONCATENATE(" TOKIĆ D.O.O.,"," ULICA 144. BRIGADE HRVATSKE VOJSKE 1A,"," 10360 SESVETE,"," OIB: 7486748762")</f>
        <v xml:space="preserve"> TOKIĆ D.O.O., ULICA 144. BRIGADE HRVATSKE VOJSKE 1A, 10360 SESVETE, OIB: 7486748762</v>
      </c>
      <c r="H3723" s="7"/>
      <c r="I3723" s="8" t="s">
        <v>80</v>
      </c>
      <c r="J3723" s="8" t="s">
        <v>1186</v>
      </c>
      <c r="K3723" s="6" t="str">
        <f>"650,00"</f>
        <v>650,00</v>
      </c>
      <c r="L3723" s="6" t="str">
        <f>"162,50"</f>
        <v>162,50</v>
      </c>
      <c r="M3723" s="6" t="str">
        <f>"812,50"</f>
        <v>812,50</v>
      </c>
      <c r="N3723" s="8" t="s">
        <v>663</v>
      </c>
      <c r="O3723" s="7"/>
      <c r="P3723" s="2" t="s">
        <v>6692</v>
      </c>
      <c r="Q3723" s="7"/>
      <c r="R3723" s="1"/>
      <c r="S3723" s="1" t="str">
        <f>"J-UN-2021-1956"</f>
        <v>J-UN-2021-1956</v>
      </c>
      <c r="T3723" s="1" t="s">
        <v>32</v>
      </c>
    </row>
    <row r="3724" spans="1:20" ht="51" x14ac:dyDescent="0.25">
      <c r="A3724" s="6">
        <v>3718</v>
      </c>
      <c r="B3724" s="1" t="str">
        <f>"2021-1116"</f>
        <v>2021-1116</v>
      </c>
      <c r="C3724" s="1" t="s">
        <v>2847</v>
      </c>
      <c r="D3724" s="1" t="s">
        <v>1007</v>
      </c>
      <c r="E3724" s="1" t="str">
        <f>""</f>
        <v/>
      </c>
      <c r="F3724" s="1" t="s">
        <v>1860</v>
      </c>
      <c r="G3724" s="1" t="str">
        <f>CONCATENATE(" ADC-ALARMNI CENTAR D.O.O.,"," LETOVANIČKA 22,"," 10000 ZAGREB,"," OIB: 9554213412")</f>
        <v xml:space="preserve"> ADC-ALARMNI CENTAR D.O.O., LETOVANIČKA 22, 10000 ZAGREB, OIB: 9554213412</v>
      </c>
      <c r="H3724" s="7"/>
      <c r="I3724" s="8" t="s">
        <v>183</v>
      </c>
      <c r="J3724" s="8" t="s">
        <v>2494</v>
      </c>
      <c r="K3724" s="6" t="str">
        <f>"900,00"</f>
        <v>900,00</v>
      </c>
      <c r="L3724" s="6" t="str">
        <f>"225,00"</f>
        <v>225,00</v>
      </c>
      <c r="M3724" s="6" t="str">
        <f>"1.125,00"</f>
        <v>1.125,00</v>
      </c>
      <c r="N3724" s="8" t="s">
        <v>137</v>
      </c>
      <c r="O3724" s="7"/>
      <c r="P3724" s="2" t="s">
        <v>6769</v>
      </c>
      <c r="Q3724" s="7"/>
      <c r="R3724" s="1"/>
      <c r="S3724" s="1" t="str">
        <f>"J-UN-2021-1958"</f>
        <v>J-UN-2021-1958</v>
      </c>
      <c r="T3724" s="1" t="s">
        <v>32</v>
      </c>
    </row>
    <row r="3725" spans="1:20" ht="51" x14ac:dyDescent="0.25">
      <c r="A3725" s="6">
        <v>3719</v>
      </c>
      <c r="B3725" s="1" t="str">
        <f>"2021-1413"</f>
        <v>2021-1413</v>
      </c>
      <c r="C3725" s="1" t="s">
        <v>2483</v>
      </c>
      <c r="D3725" s="1" t="s">
        <v>2484</v>
      </c>
      <c r="E3725" s="1" t="str">
        <f>""</f>
        <v/>
      </c>
      <c r="F3725" s="1" t="s">
        <v>1860</v>
      </c>
      <c r="G3725" s="1" t="str">
        <f>CONCATENATE(" PRESSCUT D.O.O.,"," DOMAGOJEVA 2,"," 10000 ZAGREB,"," OIB: 34672089688")</f>
        <v xml:space="preserve"> PRESSCUT D.O.O., DOMAGOJEVA 2, 10000 ZAGREB, OIB: 34672089688</v>
      </c>
      <c r="H3725" s="7"/>
      <c r="I3725" s="8" t="s">
        <v>183</v>
      </c>
      <c r="J3725" s="8" t="s">
        <v>2494</v>
      </c>
      <c r="K3725" s="6" t="str">
        <f>"5.237,64"</f>
        <v>5.237,64</v>
      </c>
      <c r="L3725" s="6" t="str">
        <f>"1.309,41"</f>
        <v>1.309,41</v>
      </c>
      <c r="M3725" s="6" t="str">
        <f>"6.547,05"</f>
        <v>6.547,05</v>
      </c>
      <c r="N3725" s="8" t="s">
        <v>207</v>
      </c>
      <c r="O3725" s="7"/>
      <c r="P3725" s="2" t="s">
        <v>7821</v>
      </c>
      <c r="Q3725" s="7"/>
      <c r="R3725" s="1"/>
      <c r="S3725" s="1" t="str">
        <f>"J-UN-2021-1959"</f>
        <v>J-UN-2021-1959</v>
      </c>
      <c r="T3725" s="1" t="s">
        <v>32</v>
      </c>
    </row>
    <row r="3726" spans="1:20" ht="51" x14ac:dyDescent="0.25">
      <c r="A3726" s="6">
        <v>3720</v>
      </c>
      <c r="B3726" s="1" t="str">
        <f>"2021-1048"</f>
        <v>2021-1048</v>
      </c>
      <c r="C3726" s="1" t="s">
        <v>3027</v>
      </c>
      <c r="D3726" s="1" t="s">
        <v>3028</v>
      </c>
      <c r="E3726" s="1" t="str">
        <f>""</f>
        <v/>
      </c>
      <c r="F3726" s="1" t="s">
        <v>1860</v>
      </c>
      <c r="G3726" s="1" t="str">
        <f>CONCATENATE(" SELEKTA PRIMA D.O.O.,"," I. TRNAVA 49,"," 10000 ZAGREB,"," OIB: 68651120977")</f>
        <v xml:space="preserve"> SELEKTA PRIMA D.O.O., I. TRNAVA 49, 10000 ZAGREB, OIB: 68651120977</v>
      </c>
      <c r="H3726" s="7"/>
      <c r="I3726" s="8" t="s">
        <v>183</v>
      </c>
      <c r="J3726" s="8" t="s">
        <v>2494</v>
      </c>
      <c r="K3726" s="6" t="str">
        <f>"19.970,00"</f>
        <v>19.970,00</v>
      </c>
      <c r="L3726" s="6" t="str">
        <f>"4.992,50"</f>
        <v>4.992,50</v>
      </c>
      <c r="M3726" s="6" t="str">
        <f>"24.962,50"</f>
        <v>24.962,50</v>
      </c>
      <c r="N3726" s="8" t="s">
        <v>1118</v>
      </c>
      <c r="O3726" s="7"/>
      <c r="P3726" s="2" t="s">
        <v>7822</v>
      </c>
      <c r="Q3726" s="7"/>
      <c r="R3726" s="1"/>
      <c r="S3726" s="1" t="str">
        <f>"J-UN-2021-1960"</f>
        <v>J-UN-2021-1960</v>
      </c>
      <c r="T3726" s="1" t="s">
        <v>32</v>
      </c>
    </row>
    <row r="3727" spans="1:20" ht="63.75" x14ac:dyDescent="0.25">
      <c r="A3727" s="6">
        <v>3721</v>
      </c>
      <c r="B3727" s="1" t="str">
        <f>"2021-1111"</f>
        <v>2021-1111</v>
      </c>
      <c r="C3727" s="1" t="s">
        <v>2718</v>
      </c>
      <c r="D3727" s="1" t="s">
        <v>1102</v>
      </c>
      <c r="E3727" s="1" t="str">
        <f>""</f>
        <v/>
      </c>
      <c r="F3727" s="1" t="s">
        <v>1860</v>
      </c>
      <c r="G3727" s="1" t="str">
        <f>CONCATENATE(" ADEO d.o.o. Osijek,"," ULICA KRALJA TOMISLAVA 81,"," 31327 BILJE,"," OIB: 6242811405")</f>
        <v xml:space="preserve"> ADEO d.o.o. Osijek, ULICA KRALJA TOMISLAVA 81, 31327 BILJE, OIB: 6242811405</v>
      </c>
      <c r="H3727" s="7"/>
      <c r="I3727" s="8" t="s">
        <v>80</v>
      </c>
      <c r="J3727" s="8" t="s">
        <v>1186</v>
      </c>
      <c r="K3727" s="6" t="str">
        <f>"2.380,00"</f>
        <v>2.380,00</v>
      </c>
      <c r="L3727" s="6" t="str">
        <f>"595,00"</f>
        <v>595,00</v>
      </c>
      <c r="M3727" s="6" t="str">
        <f>"2.975,00"</f>
        <v>2.975,00</v>
      </c>
      <c r="N3727" s="8" t="s">
        <v>1139</v>
      </c>
      <c r="O3727" s="7"/>
      <c r="P3727" s="2" t="s">
        <v>7483</v>
      </c>
      <c r="Q3727" s="7"/>
      <c r="R3727" s="1"/>
      <c r="S3727" s="1" t="str">
        <f>"J-UN-2021-1961"</f>
        <v>J-UN-2021-1961</v>
      </c>
      <c r="T3727" s="1" t="s">
        <v>32</v>
      </c>
    </row>
    <row r="3728" spans="1:20" ht="51" x14ac:dyDescent="0.25">
      <c r="A3728" s="6">
        <v>3722</v>
      </c>
      <c r="B3728" s="1" t="str">
        <f>"2021-1003"</f>
        <v>2021-1003</v>
      </c>
      <c r="C3728" s="1" t="s">
        <v>2839</v>
      </c>
      <c r="D3728" s="1" t="s">
        <v>2716</v>
      </c>
      <c r="E3728" s="1" t="str">
        <f>""</f>
        <v/>
      </c>
      <c r="F3728" s="1" t="s">
        <v>1860</v>
      </c>
      <c r="G3728" s="1" t="str">
        <f>CONCATENATE(" TORBARINA D.O.O.,"," NOVA CESTA 3,"," 10412 DONJA LOMNICA,"," OIB: 02603292627")</f>
        <v xml:space="preserve"> TORBARINA D.O.O., NOVA CESTA 3, 10412 DONJA LOMNICA, OIB: 02603292627</v>
      </c>
      <c r="H3728" s="7"/>
      <c r="I3728" s="8" t="s">
        <v>177</v>
      </c>
      <c r="J3728" s="8" t="s">
        <v>193</v>
      </c>
      <c r="K3728" s="6" t="str">
        <f>"5.804,00"</f>
        <v>5.804,00</v>
      </c>
      <c r="L3728" s="6" t="str">
        <f>"1.451,00"</f>
        <v>1.451,00</v>
      </c>
      <c r="M3728" s="6" t="str">
        <f>"7.255,00"</f>
        <v>7.255,00</v>
      </c>
      <c r="N3728" s="8" t="s">
        <v>561</v>
      </c>
      <c r="O3728" s="7"/>
      <c r="P3728" s="2" t="s">
        <v>7823</v>
      </c>
      <c r="Q3728" s="7"/>
      <c r="R3728" s="1"/>
      <c r="S3728" s="1" t="str">
        <f>"J-UN-2021-1962"</f>
        <v>J-UN-2021-1962</v>
      </c>
      <c r="T3728" s="1" t="s">
        <v>32</v>
      </c>
    </row>
    <row r="3729" spans="1:20" ht="63.75" x14ac:dyDescent="0.25">
      <c r="A3729" s="6">
        <v>3723</v>
      </c>
      <c r="B3729" s="1" t="str">
        <f>"2021-190"</f>
        <v>2021-190</v>
      </c>
      <c r="C3729" s="1" t="s">
        <v>2874</v>
      </c>
      <c r="D3729" s="1" t="s">
        <v>1428</v>
      </c>
      <c r="E3729" s="1" t="str">
        <f>""</f>
        <v/>
      </c>
      <c r="F3729" s="1" t="s">
        <v>1860</v>
      </c>
      <c r="G3729" s="1" t="str">
        <f>CONCATENATE(" KEMOBOJA-DUBRAVA D.O.O.,"," AVENIJA DUBRAVA 37,"," 10000 ZAGREB,"," OIB: 6402157427")</f>
        <v xml:space="preserve"> KEMOBOJA-DUBRAVA D.O.O., AVENIJA DUBRAVA 37, 10000 ZAGREB, OIB: 6402157427</v>
      </c>
      <c r="H3729" s="7"/>
      <c r="I3729" s="8" t="s">
        <v>137</v>
      </c>
      <c r="J3729" s="8" t="s">
        <v>1193</v>
      </c>
      <c r="K3729" s="6" t="str">
        <f>"11.700,00"</f>
        <v>11.700,00</v>
      </c>
      <c r="L3729" s="6" t="str">
        <f>"2.925,00"</f>
        <v>2.925,00</v>
      </c>
      <c r="M3729" s="6" t="str">
        <f>"14.625,00"</f>
        <v>14.625,00</v>
      </c>
      <c r="N3729" s="8" t="s">
        <v>1549</v>
      </c>
      <c r="O3729" s="7"/>
      <c r="P3729" s="2" t="s">
        <v>7824</v>
      </c>
      <c r="Q3729" s="7"/>
      <c r="R3729" s="1"/>
      <c r="S3729" s="1" t="str">
        <f>"J-UN-2021-1963"</f>
        <v>J-UN-2021-1963</v>
      </c>
      <c r="T3729" s="1" t="s">
        <v>32</v>
      </c>
    </row>
    <row r="3730" spans="1:20" ht="51" x14ac:dyDescent="0.25">
      <c r="A3730" s="6">
        <v>3724</v>
      </c>
      <c r="B3730" s="1" t="str">
        <f>"2021-310"</f>
        <v>2021-310</v>
      </c>
      <c r="C3730" s="1" t="s">
        <v>2624</v>
      </c>
      <c r="D3730" s="1" t="s">
        <v>1334</v>
      </c>
      <c r="E3730" s="1" t="str">
        <f>""</f>
        <v/>
      </c>
      <c r="F3730" s="1" t="s">
        <v>1860</v>
      </c>
      <c r="G3730" s="1" t="str">
        <f>CONCATENATE(" PRO-TEHNA D.O.O.,"," MAKSIMIRSKA 64,"," 10000 ZAGREB,"," OIB: 88951687357")</f>
        <v xml:space="preserve"> PRO-TEHNA D.O.O., MAKSIMIRSKA 64, 10000 ZAGREB, OIB: 88951687357</v>
      </c>
      <c r="H3730" s="7"/>
      <c r="I3730" s="8" t="s">
        <v>137</v>
      </c>
      <c r="J3730" s="8" t="s">
        <v>1193</v>
      </c>
      <c r="K3730" s="6" t="str">
        <f>"7.650,00"</f>
        <v>7.650,00</v>
      </c>
      <c r="L3730" s="6" t="str">
        <f>"1.912,50"</f>
        <v>1.912,50</v>
      </c>
      <c r="M3730" s="6" t="str">
        <f>"9.562,50"</f>
        <v>9.562,50</v>
      </c>
      <c r="N3730" s="8" t="s">
        <v>801</v>
      </c>
      <c r="O3730" s="7"/>
      <c r="P3730" s="2" t="s">
        <v>7825</v>
      </c>
      <c r="Q3730" s="7"/>
      <c r="R3730" s="1"/>
      <c r="S3730" s="1" t="str">
        <f>"J-UN-2021-1964"</f>
        <v>J-UN-2021-1964</v>
      </c>
      <c r="T3730" s="1" t="s">
        <v>32</v>
      </c>
    </row>
    <row r="3731" spans="1:20" ht="51" x14ac:dyDescent="0.25">
      <c r="A3731" s="6">
        <v>3725</v>
      </c>
      <c r="B3731" s="1" t="str">
        <f>"2021-1176"</f>
        <v>2021-1176</v>
      </c>
      <c r="C3731" s="1" t="s">
        <v>2815</v>
      </c>
      <c r="D3731" s="1" t="s">
        <v>1373</v>
      </c>
      <c r="E3731" s="1" t="str">
        <f>""</f>
        <v/>
      </c>
      <c r="F3731" s="1" t="s">
        <v>1860</v>
      </c>
      <c r="G3731" s="1" t="str">
        <f>CONCATENATE(" E. K. ENERGIJA D.O.O.,"," KUKULJANOVO 385,"," 51227 KUKULJANOVO,"," OIB: 63606595933")</f>
        <v xml:space="preserve"> E. K. ENERGIJA D.O.O., KUKULJANOVO 385, 51227 KUKULJANOVO, OIB: 63606595933</v>
      </c>
      <c r="H3731" s="7"/>
      <c r="I3731" s="8" t="s">
        <v>137</v>
      </c>
      <c r="J3731" s="8" t="s">
        <v>1193</v>
      </c>
      <c r="K3731" s="6" t="str">
        <f>"5.985,00"</f>
        <v>5.985,00</v>
      </c>
      <c r="L3731" s="6" t="str">
        <f>"1.496,25"</f>
        <v>1.496,25</v>
      </c>
      <c r="M3731" s="6" t="str">
        <f>"7.481,25"</f>
        <v>7.481,25</v>
      </c>
      <c r="N3731" s="8" t="s">
        <v>2310</v>
      </c>
      <c r="O3731" s="7"/>
      <c r="P3731" s="2" t="s">
        <v>7826</v>
      </c>
      <c r="Q3731" s="7"/>
      <c r="R3731" s="1"/>
      <c r="S3731" s="1" t="str">
        <f>"J-UN-2021-1965"</f>
        <v>J-UN-2021-1965</v>
      </c>
      <c r="T3731" s="1" t="s">
        <v>32</v>
      </c>
    </row>
    <row r="3732" spans="1:20" ht="51" x14ac:dyDescent="0.25">
      <c r="A3732" s="6">
        <v>3726</v>
      </c>
      <c r="B3732" s="1" t="str">
        <f>"2021-576"</f>
        <v>2021-576</v>
      </c>
      <c r="C3732" s="1" t="s">
        <v>2561</v>
      </c>
      <c r="D3732" s="1" t="s">
        <v>2156</v>
      </c>
      <c r="E3732" s="1" t="str">
        <f>""</f>
        <v/>
      </c>
      <c r="F3732" s="1" t="s">
        <v>1860</v>
      </c>
      <c r="G3732" s="1" t="str">
        <f>CONCATENATE(" KING ICT D.O.O.,"," BUZINSKI PRILAZ 10,"," 10010 ZAGREB,"," OIB: 67001695549")</f>
        <v xml:space="preserve"> KING ICT D.O.O., BUZINSKI PRILAZ 10, 10010 ZAGREB, OIB: 67001695549</v>
      </c>
      <c r="H3732" s="7"/>
      <c r="I3732" s="8" t="s">
        <v>177</v>
      </c>
      <c r="J3732" s="8" t="s">
        <v>193</v>
      </c>
      <c r="K3732" s="6" t="str">
        <f>"1.247,00"</f>
        <v>1.247,00</v>
      </c>
      <c r="L3732" s="6" t="str">
        <f>"311,75"</f>
        <v>311,75</v>
      </c>
      <c r="M3732" s="6" t="str">
        <f>"1.558,75"</f>
        <v>1.558,75</v>
      </c>
      <c r="N3732" s="8" t="s">
        <v>663</v>
      </c>
      <c r="O3732" s="7"/>
      <c r="P3732" s="2" t="s">
        <v>7827</v>
      </c>
      <c r="Q3732" s="7"/>
      <c r="R3732" s="1"/>
      <c r="S3732" s="1" t="str">
        <f>"J-UN-2021-1966"</f>
        <v>J-UN-2021-1966</v>
      </c>
      <c r="T3732" s="1" t="s">
        <v>32</v>
      </c>
    </row>
    <row r="3733" spans="1:20" ht="51" x14ac:dyDescent="0.25">
      <c r="A3733" s="6">
        <v>3727</v>
      </c>
      <c r="B3733" s="1" t="str">
        <f>"2021-424"</f>
        <v>2021-424</v>
      </c>
      <c r="C3733" s="1" t="s">
        <v>2881</v>
      </c>
      <c r="D3733" s="1" t="s">
        <v>2882</v>
      </c>
      <c r="E3733" s="1" t="str">
        <f>""</f>
        <v/>
      </c>
      <c r="F3733" s="1" t="s">
        <v>1860</v>
      </c>
      <c r="G3733" s="1" t="str">
        <f>CONCATENATE(" DEBENC PLUS D. O. O.,"," OSJEČKA 39,"," 51000 RIJEKA,"," OIB: 82510351433")</f>
        <v xml:space="preserve"> DEBENC PLUS D. O. O., OSJEČKA 39, 51000 RIJEKA, OIB: 82510351433</v>
      </c>
      <c r="H3733" s="7"/>
      <c r="I3733" s="8" t="s">
        <v>177</v>
      </c>
      <c r="J3733" s="8" t="s">
        <v>193</v>
      </c>
      <c r="K3733" s="6" t="str">
        <f>"8.965,00"</f>
        <v>8.965,00</v>
      </c>
      <c r="L3733" s="6" t="str">
        <f>"2.241,25"</f>
        <v>2.241,25</v>
      </c>
      <c r="M3733" s="6" t="str">
        <f>"11.206,25"</f>
        <v>11.206,25</v>
      </c>
      <c r="N3733" s="8" t="s">
        <v>61</v>
      </c>
      <c r="O3733" s="7"/>
      <c r="P3733" s="2" t="s">
        <v>7828</v>
      </c>
      <c r="Q3733" s="7"/>
      <c r="R3733" s="1"/>
      <c r="S3733" s="1" t="str">
        <f>"J-UN-2021-1967"</f>
        <v>J-UN-2021-1967</v>
      </c>
      <c r="T3733" s="1" t="s">
        <v>32</v>
      </c>
    </row>
    <row r="3734" spans="1:20" ht="102" x14ac:dyDescent="0.25">
      <c r="A3734" s="6">
        <v>3728</v>
      </c>
      <c r="B3734" s="1" t="str">
        <f>"2021-1791"</f>
        <v>2021-1791</v>
      </c>
      <c r="C3734" s="1" t="s">
        <v>2558</v>
      </c>
      <c r="D3734" s="1" t="s">
        <v>860</v>
      </c>
      <c r="E3734" s="1" t="str">
        <f>""</f>
        <v/>
      </c>
      <c r="F3734" s="1" t="s">
        <v>1860</v>
      </c>
      <c r="G3734" s="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3734" s="7"/>
      <c r="I3734" s="8" t="s">
        <v>177</v>
      </c>
      <c r="J3734" s="8" t="s">
        <v>193</v>
      </c>
      <c r="K3734" s="6" t="str">
        <f>"480,00"</f>
        <v>480,00</v>
      </c>
      <c r="L3734" s="6" t="str">
        <f>"120,00"</f>
        <v>120,00</v>
      </c>
      <c r="M3734" s="6" t="str">
        <f>"600,00"</f>
        <v>600,00</v>
      </c>
      <c r="N3734" s="8" t="s">
        <v>1320</v>
      </c>
      <c r="O3734" s="7"/>
      <c r="P3734" s="2" t="s">
        <v>7829</v>
      </c>
      <c r="Q3734" s="7"/>
      <c r="R3734" s="1"/>
      <c r="S3734" s="1" t="str">
        <f>"J-UN-2021-1968"</f>
        <v>J-UN-2021-1968</v>
      </c>
      <c r="T3734" s="1" t="s">
        <v>32</v>
      </c>
    </row>
    <row r="3735" spans="1:20" ht="51" x14ac:dyDescent="0.25">
      <c r="A3735" s="6">
        <v>3729</v>
      </c>
      <c r="B3735" s="1" t="str">
        <f>"2021-438"</f>
        <v>2021-438</v>
      </c>
      <c r="C3735" s="1" t="s">
        <v>2793</v>
      </c>
      <c r="D3735" s="1" t="s">
        <v>1619</v>
      </c>
      <c r="E3735" s="1" t="str">
        <f>""</f>
        <v/>
      </c>
      <c r="F3735" s="1" t="s">
        <v>1860</v>
      </c>
      <c r="G3735" s="1" t="str">
        <f>CONCATENATE(" TPZ D.O.O.,"," NOVOSELSKA 25,"," 10000 ZAGREB,"," OIB: 68119083236")</f>
        <v xml:space="preserve"> TPZ D.O.O., NOVOSELSKA 25, 10000 ZAGREB, OIB: 68119083236</v>
      </c>
      <c r="H3735" s="7"/>
      <c r="I3735" s="8" t="s">
        <v>177</v>
      </c>
      <c r="J3735" s="8" t="s">
        <v>193</v>
      </c>
      <c r="K3735" s="6" t="str">
        <f>"42.920,04"</f>
        <v>42.920,04</v>
      </c>
      <c r="L3735" s="6" t="str">
        <f>"10.730,01"</f>
        <v>10.730,01</v>
      </c>
      <c r="M3735" s="6" t="str">
        <f>"53.650,05"</f>
        <v>53.650,05</v>
      </c>
      <c r="N3735" s="8" t="s">
        <v>1530</v>
      </c>
      <c r="O3735" s="7"/>
      <c r="P3735" s="2" t="s">
        <v>7830</v>
      </c>
      <c r="Q3735" s="7"/>
      <c r="R3735" s="1"/>
      <c r="S3735" s="1" t="str">
        <f>"J-UN-2021-1969"</f>
        <v>J-UN-2021-1969</v>
      </c>
      <c r="T3735" s="1" t="s">
        <v>32</v>
      </c>
    </row>
    <row r="3736" spans="1:20" ht="51" x14ac:dyDescent="0.25">
      <c r="A3736" s="6">
        <v>3730</v>
      </c>
      <c r="B3736" s="1" t="str">
        <f>"2021-1115"</f>
        <v>2021-1115</v>
      </c>
      <c r="C3736" s="1" t="s">
        <v>2879</v>
      </c>
      <c r="D3736" s="1" t="s">
        <v>1007</v>
      </c>
      <c r="E3736" s="1" t="str">
        <f>""</f>
        <v/>
      </c>
      <c r="F3736" s="1" t="s">
        <v>1860</v>
      </c>
      <c r="G3736" s="1" t="str">
        <f>CONCATENATE(" EUROPLAMEN D.O.O.,"," RUDOLFOV BREG 6,"," 10430 SAMOBOR,"," OIB: 69942917335")</f>
        <v xml:space="preserve"> EUROPLAMEN D.O.O., RUDOLFOV BREG 6, 10430 SAMOBOR, OIB: 69942917335</v>
      </c>
      <c r="H3736" s="7"/>
      <c r="I3736" s="8" t="s">
        <v>177</v>
      </c>
      <c r="J3736" s="8" t="s">
        <v>193</v>
      </c>
      <c r="K3736" s="6" t="str">
        <f>"20.080,00"</f>
        <v>20.080,00</v>
      </c>
      <c r="L3736" s="6" t="str">
        <f>"5.020,00"</f>
        <v>5.020,00</v>
      </c>
      <c r="M3736" s="6" t="str">
        <f>"25.100,00"</f>
        <v>25.100,00</v>
      </c>
      <c r="N3736" s="8" t="s">
        <v>675</v>
      </c>
      <c r="O3736" s="7"/>
      <c r="P3736" s="2" t="s">
        <v>7831</v>
      </c>
      <c r="Q3736" s="7"/>
      <c r="R3736" s="1"/>
      <c r="S3736" s="1" t="str">
        <f>"J-UN-2021-1970"</f>
        <v>J-UN-2021-1970</v>
      </c>
      <c r="T3736" s="1" t="s">
        <v>32</v>
      </c>
    </row>
    <row r="3737" spans="1:20" ht="51" x14ac:dyDescent="0.25">
      <c r="A3737" s="6">
        <v>3731</v>
      </c>
      <c r="B3737" s="1" t="str">
        <f>"2021-491"</f>
        <v>2021-491</v>
      </c>
      <c r="C3737" s="1" t="s">
        <v>2788</v>
      </c>
      <c r="D3737" s="1" t="s">
        <v>2789</v>
      </c>
      <c r="E3737" s="1" t="str">
        <f>""</f>
        <v/>
      </c>
      <c r="F3737" s="1" t="s">
        <v>1860</v>
      </c>
      <c r="G3737" s="1" t="str">
        <f>CONCATENATE(" SCHEDA D.O.O.,"," LJUDEVITA POSAVSKOG 29,"," 10360 SESVETE,"," OIB: 76219817247")</f>
        <v xml:space="preserve"> SCHEDA D.O.O., LJUDEVITA POSAVSKOG 29, 10360 SESVETE, OIB: 76219817247</v>
      </c>
      <c r="H3737" s="7"/>
      <c r="I3737" s="8" t="s">
        <v>80</v>
      </c>
      <c r="J3737" s="8" t="s">
        <v>1186</v>
      </c>
      <c r="K3737" s="6" t="str">
        <f>"4.599,30"</f>
        <v>4.599,30</v>
      </c>
      <c r="L3737" s="6" t="str">
        <f>"1.149,83"</f>
        <v>1.149,83</v>
      </c>
      <c r="M3737" s="6" t="str">
        <f>"5.749,13"</f>
        <v>5.749,13</v>
      </c>
      <c r="N3737" s="8" t="s">
        <v>561</v>
      </c>
      <c r="O3737" s="7"/>
      <c r="P3737" s="2" t="s">
        <v>7832</v>
      </c>
      <c r="Q3737" s="7"/>
      <c r="R3737" s="1"/>
      <c r="S3737" s="1" t="str">
        <f>"J-UN-2021-1971"</f>
        <v>J-UN-2021-1971</v>
      </c>
      <c r="T3737" s="1" t="s">
        <v>32</v>
      </c>
    </row>
    <row r="3738" spans="1:20" ht="51" x14ac:dyDescent="0.25">
      <c r="A3738" s="6">
        <v>3732</v>
      </c>
      <c r="B3738" s="1" t="str">
        <f>"2021-876"</f>
        <v>2021-876</v>
      </c>
      <c r="C3738" s="1" t="s">
        <v>2872</v>
      </c>
      <c r="D3738" s="1" t="s">
        <v>1833</v>
      </c>
      <c r="E3738" s="1" t="str">
        <f>""</f>
        <v/>
      </c>
      <c r="F3738" s="1" t="s">
        <v>1860</v>
      </c>
      <c r="G3738" s="1" t="str">
        <f>CONCATENATE(" AUTO ZOVAK D.O.O.,"," NIKOLE KRAMARIĆA 20,"," 10408 VELIKA MLAKA,"," OIB: 54549529724")</f>
        <v xml:space="preserve"> AUTO ZOVAK D.O.O., NIKOLE KRAMARIĆA 20, 10408 VELIKA MLAKA, OIB: 54549529724</v>
      </c>
      <c r="H3738" s="7"/>
      <c r="I3738" s="8" t="s">
        <v>177</v>
      </c>
      <c r="J3738" s="8" t="s">
        <v>193</v>
      </c>
      <c r="K3738" s="6" t="str">
        <f>"10.241,27"</f>
        <v>10.241,27</v>
      </c>
      <c r="L3738" s="6" t="str">
        <f>"2.560,32"</f>
        <v>2.560,32</v>
      </c>
      <c r="M3738" s="6" t="str">
        <f>"12.801,59"</f>
        <v>12.801,59</v>
      </c>
      <c r="N3738" s="8" t="s">
        <v>912</v>
      </c>
      <c r="O3738" s="7"/>
      <c r="P3738" s="2" t="s">
        <v>7833</v>
      </c>
      <c r="Q3738" s="7"/>
      <c r="R3738" s="1"/>
      <c r="S3738" s="1" t="str">
        <f>"J-UN-2021-1972"</f>
        <v>J-UN-2021-1972</v>
      </c>
      <c r="T3738" s="1" t="s">
        <v>32</v>
      </c>
    </row>
    <row r="3739" spans="1:20" ht="63.75" x14ac:dyDescent="0.25">
      <c r="A3739" s="6">
        <v>3733</v>
      </c>
      <c r="B3739" s="1" t="str">
        <f>"2021-378"</f>
        <v>2021-378</v>
      </c>
      <c r="C3739" s="1" t="s">
        <v>2689</v>
      </c>
      <c r="D3739" s="1" t="s">
        <v>2577</v>
      </c>
      <c r="E3739" s="1" t="str">
        <f>""</f>
        <v/>
      </c>
      <c r="F3739" s="1" t="s">
        <v>1860</v>
      </c>
      <c r="G3739" s="1" t="str">
        <f>CONCATENATE(" GRA-PO D.O.O.,"," GOSPODARSKA 5B,"," 10255 ZAGREB - STUPNIK,"," OIB: 05364995085")</f>
        <v xml:space="preserve"> GRA-PO D.O.O., GOSPODARSKA 5B, 10255 ZAGREB - STUPNIK, OIB: 05364995085</v>
      </c>
      <c r="H3739" s="7"/>
      <c r="I3739" s="8" t="s">
        <v>126</v>
      </c>
      <c r="J3739" s="8" t="s">
        <v>123</v>
      </c>
      <c r="K3739" s="6" t="str">
        <f>"13.535,00"</f>
        <v>13.535,00</v>
      </c>
      <c r="L3739" s="6" t="str">
        <f>"3.383,75"</f>
        <v>3.383,75</v>
      </c>
      <c r="M3739" s="6" t="str">
        <f>"16.918,75"</f>
        <v>16.918,75</v>
      </c>
      <c r="N3739" s="8" t="s">
        <v>124</v>
      </c>
      <c r="O3739" s="7"/>
      <c r="P3739" s="2" t="s">
        <v>7834</v>
      </c>
      <c r="Q3739" s="7"/>
      <c r="R3739" s="1"/>
      <c r="S3739" s="1" t="str">
        <f>"J-UN-2021-1973"</f>
        <v>J-UN-2021-1973</v>
      </c>
      <c r="T3739" s="1" t="s">
        <v>32</v>
      </c>
    </row>
    <row r="3740" spans="1:20" ht="51" x14ac:dyDescent="0.25">
      <c r="A3740" s="6">
        <v>3734</v>
      </c>
      <c r="B3740" s="1" t="str">
        <f>"2021-1154"</f>
        <v>2021-1154</v>
      </c>
      <c r="C3740" s="1" t="s">
        <v>2854</v>
      </c>
      <c r="D3740" s="1" t="s">
        <v>2855</v>
      </c>
      <c r="E3740" s="1" t="str">
        <f>""</f>
        <v/>
      </c>
      <c r="F3740" s="1" t="s">
        <v>1860</v>
      </c>
      <c r="G3740" s="1" t="str">
        <f>CONCATENATE(" TEHNO-HIDRAULIK D.O.O.,"," SAVIŠĆE 2,"," 10000 ZAGREB,"," OIB: 09925328419")</f>
        <v xml:space="preserve"> TEHNO-HIDRAULIK D.O.O., SAVIŠĆE 2, 10000 ZAGREB, OIB: 09925328419</v>
      </c>
      <c r="H3740" s="7"/>
      <c r="I3740" s="8" t="s">
        <v>126</v>
      </c>
      <c r="J3740" s="8" t="s">
        <v>123</v>
      </c>
      <c r="K3740" s="6" t="str">
        <f>"5.855,80"</f>
        <v>5.855,80</v>
      </c>
      <c r="L3740" s="6" t="str">
        <f>"1.463,95"</f>
        <v>1.463,95</v>
      </c>
      <c r="M3740" s="6" t="str">
        <f>"7.319,75"</f>
        <v>7.319,75</v>
      </c>
      <c r="N3740" s="8" t="s">
        <v>708</v>
      </c>
      <c r="O3740" s="7"/>
      <c r="P3740" s="2" t="s">
        <v>7835</v>
      </c>
      <c r="Q3740" s="7"/>
      <c r="R3740" s="1"/>
      <c r="S3740" s="1" t="str">
        <f>"J-UN-2021-1974"</f>
        <v>J-UN-2021-1974</v>
      </c>
      <c r="T3740" s="1" t="s">
        <v>32</v>
      </c>
    </row>
    <row r="3741" spans="1:20" ht="63.75" x14ac:dyDescent="0.25">
      <c r="A3741" s="6">
        <v>3735</v>
      </c>
      <c r="B3741" s="1" t="str">
        <f>"2021-478"</f>
        <v>2021-478</v>
      </c>
      <c r="C3741" s="1" t="s">
        <v>2714</v>
      </c>
      <c r="D3741" s="1" t="s">
        <v>619</v>
      </c>
      <c r="E3741" s="1" t="str">
        <f>""</f>
        <v/>
      </c>
      <c r="F3741" s="1" t="s">
        <v>1860</v>
      </c>
      <c r="G3741" s="1" t="str">
        <f>CONCATENATE(" GRA-PO D.O.O.,"," GOSPODARSKA 5B,"," 10255 ZAGREB - STUPNIK,"," OIB: 05364995085")</f>
        <v xml:space="preserve"> GRA-PO D.O.O., GOSPODARSKA 5B, 10255 ZAGREB - STUPNIK, OIB: 05364995085</v>
      </c>
      <c r="H3741" s="7"/>
      <c r="I3741" s="8" t="s">
        <v>126</v>
      </c>
      <c r="J3741" s="8" t="s">
        <v>123</v>
      </c>
      <c r="K3741" s="6" t="str">
        <f>"7.333,00"</f>
        <v>7.333,00</v>
      </c>
      <c r="L3741" s="6" t="str">
        <f>"1.833,25"</f>
        <v>1.833,25</v>
      </c>
      <c r="M3741" s="6" t="str">
        <f>"9.166,25"</f>
        <v>9.166,25</v>
      </c>
      <c r="N3741" s="8" t="s">
        <v>126</v>
      </c>
      <c r="O3741" s="7"/>
      <c r="P3741" s="2" t="s">
        <v>7836</v>
      </c>
      <c r="Q3741" s="7"/>
      <c r="R3741" s="1"/>
      <c r="S3741" s="1" t="str">
        <f>"J-UN-2021-1975"</f>
        <v>J-UN-2021-1975</v>
      </c>
      <c r="T3741" s="1" t="s">
        <v>32</v>
      </c>
    </row>
    <row r="3742" spans="1:20" ht="51" x14ac:dyDescent="0.25">
      <c r="A3742" s="6">
        <v>3736</v>
      </c>
      <c r="B3742" s="1" t="str">
        <f>"2021-704"</f>
        <v>2021-704</v>
      </c>
      <c r="C3742" s="1" t="s">
        <v>2817</v>
      </c>
      <c r="D3742" s="1" t="s">
        <v>2818</v>
      </c>
      <c r="E3742" s="1" t="str">
        <f>""</f>
        <v/>
      </c>
      <c r="F3742" s="1" t="s">
        <v>1860</v>
      </c>
      <c r="G3742" s="1" t="str">
        <f>CONCATENATE(" CIAK TOOLS D.O.O.,"," KOVINSKA 4,"," 10090 ZAGREB-SUSEDGRAD,"," OIB: 26004523816")</f>
        <v xml:space="preserve"> CIAK TOOLS D.O.O., KOVINSKA 4, 10090 ZAGREB-SUSEDGRAD, OIB: 26004523816</v>
      </c>
      <c r="H3742" s="7"/>
      <c r="I3742" s="8" t="s">
        <v>137</v>
      </c>
      <c r="J3742" s="8" t="s">
        <v>1193</v>
      </c>
      <c r="K3742" s="6" t="str">
        <f>"1.351,00"</f>
        <v>1.351,00</v>
      </c>
      <c r="L3742" s="6" t="str">
        <f>"337,75"</f>
        <v>337,75</v>
      </c>
      <c r="M3742" s="6" t="str">
        <f>"1.688,75"</f>
        <v>1.688,75</v>
      </c>
      <c r="N3742" s="8" t="s">
        <v>912</v>
      </c>
      <c r="O3742" s="7"/>
      <c r="P3742" s="2" t="s">
        <v>7837</v>
      </c>
      <c r="Q3742" s="7"/>
      <c r="R3742" s="1"/>
      <c r="S3742" s="1" t="str">
        <f>"J-UN-2021-1976"</f>
        <v>J-UN-2021-1976</v>
      </c>
      <c r="T3742" s="1" t="s">
        <v>32</v>
      </c>
    </row>
    <row r="3743" spans="1:20" ht="63.75" x14ac:dyDescent="0.25">
      <c r="A3743" s="6">
        <v>3737</v>
      </c>
      <c r="B3743" s="1" t="str">
        <f>"2021-190"</f>
        <v>2021-190</v>
      </c>
      <c r="C3743" s="1" t="s">
        <v>2874</v>
      </c>
      <c r="D3743" s="1" t="s">
        <v>1428</v>
      </c>
      <c r="E3743" s="1" t="str">
        <f>""</f>
        <v/>
      </c>
      <c r="F3743" s="1" t="s">
        <v>1860</v>
      </c>
      <c r="G3743" s="1" t="str">
        <f>CONCATENATE(" KEMOBOJA-DUBRAVA D.O.O.,"," AVENIJA DUBRAVA 37,"," 10000 ZAGREB,"," OIB: 6402157427")</f>
        <v xml:space="preserve"> KEMOBOJA-DUBRAVA D.O.O., AVENIJA DUBRAVA 37, 10000 ZAGREB, OIB: 6402157427</v>
      </c>
      <c r="H3743" s="7"/>
      <c r="I3743" s="8" t="s">
        <v>137</v>
      </c>
      <c r="J3743" s="8" t="s">
        <v>1193</v>
      </c>
      <c r="K3743" s="6" t="str">
        <f>"1.210,00"</f>
        <v>1.210,00</v>
      </c>
      <c r="L3743" s="6" t="str">
        <f>"302,50"</f>
        <v>302,50</v>
      </c>
      <c r="M3743" s="6" t="str">
        <f>"1.512,50"</f>
        <v>1.512,50</v>
      </c>
      <c r="N3743" s="8" t="s">
        <v>801</v>
      </c>
      <c r="O3743" s="7"/>
      <c r="P3743" s="2" t="s">
        <v>7838</v>
      </c>
      <c r="Q3743" s="7"/>
      <c r="R3743" s="1"/>
      <c r="S3743" s="1" t="str">
        <f>"J-UN-2021-1977"</f>
        <v>J-UN-2021-1977</v>
      </c>
      <c r="T3743" s="1" t="s">
        <v>32</v>
      </c>
    </row>
    <row r="3744" spans="1:20" ht="51" x14ac:dyDescent="0.25">
      <c r="A3744" s="6">
        <v>3738</v>
      </c>
      <c r="B3744" s="1" t="str">
        <f>"2021-491"</f>
        <v>2021-491</v>
      </c>
      <c r="C3744" s="1" t="s">
        <v>2788</v>
      </c>
      <c r="D3744" s="1" t="s">
        <v>2789</v>
      </c>
      <c r="E3744" s="1" t="str">
        <f>""</f>
        <v/>
      </c>
      <c r="F3744" s="1" t="s">
        <v>1860</v>
      </c>
      <c r="G3744" s="1" t="str">
        <f>CONCATENATE(" SCHEDA D.O.O.,"," LJUDEVITA POSAVSKOG 29,"," 10360 SESVETE,"," OIB: 76219817247")</f>
        <v xml:space="preserve"> SCHEDA D.O.O., LJUDEVITA POSAVSKOG 29, 10360 SESVETE, OIB: 76219817247</v>
      </c>
      <c r="H3744" s="7"/>
      <c r="I3744" s="8" t="s">
        <v>137</v>
      </c>
      <c r="J3744" s="8" t="s">
        <v>1193</v>
      </c>
      <c r="K3744" s="6" t="str">
        <f>"1.752,74"</f>
        <v>1.752,74</v>
      </c>
      <c r="L3744" s="6" t="str">
        <f>"438,19"</f>
        <v>438,19</v>
      </c>
      <c r="M3744" s="6" t="str">
        <f>"2.190,93"</f>
        <v>2.190,93</v>
      </c>
      <c r="N3744" s="8" t="s">
        <v>561</v>
      </c>
      <c r="O3744" s="7"/>
      <c r="P3744" s="2" t="s">
        <v>7839</v>
      </c>
      <c r="Q3744" s="7"/>
      <c r="R3744" s="1"/>
      <c r="S3744" s="1" t="str">
        <f>"J-UN-2021-1978"</f>
        <v>J-UN-2021-1978</v>
      </c>
      <c r="T3744" s="1" t="s">
        <v>32</v>
      </c>
    </row>
    <row r="3745" spans="1:20" ht="76.5" x14ac:dyDescent="0.25">
      <c r="A3745" s="6">
        <v>3739</v>
      </c>
      <c r="B3745" s="1" t="str">
        <f>"2021-325"</f>
        <v>2021-325</v>
      </c>
      <c r="C3745" s="1" t="s">
        <v>2700</v>
      </c>
      <c r="D3745" s="1" t="s">
        <v>2701</v>
      </c>
      <c r="E3745" s="1" t="str">
        <f>""</f>
        <v/>
      </c>
      <c r="F3745" s="1" t="s">
        <v>1860</v>
      </c>
      <c r="G3745" s="1" t="str">
        <f>CONCATENATE(" SMIT-COMMERCE D.O.O.,"," GORNJOSTUPNIČKA 9B,"," 10255 GORNJI STUPNIK,"," OIB: 9524348214")</f>
        <v xml:space="preserve"> SMIT-COMMERCE D.O.O., GORNJOSTUPNIČKA 9B, 10255 GORNJI STUPNIK, OIB: 9524348214</v>
      </c>
      <c r="H3745" s="7"/>
      <c r="I3745" s="8" t="s">
        <v>392</v>
      </c>
      <c r="J3745" s="8" t="s">
        <v>3021</v>
      </c>
      <c r="K3745" s="6" t="str">
        <f>"3.732,60"</f>
        <v>3.732,60</v>
      </c>
      <c r="L3745" s="6" t="str">
        <f>"933,15"</f>
        <v>933,15</v>
      </c>
      <c r="M3745" s="6" t="str">
        <f>"4.665,75"</f>
        <v>4.665,75</v>
      </c>
      <c r="N3745" s="8" t="s">
        <v>663</v>
      </c>
      <c r="O3745" s="7"/>
      <c r="P3745" s="2" t="s">
        <v>7840</v>
      </c>
      <c r="Q3745" s="7"/>
      <c r="R3745" s="1"/>
      <c r="S3745" s="1" t="str">
        <f>"J-UN-2021-1980"</f>
        <v>J-UN-2021-1980</v>
      </c>
      <c r="T3745" s="1" t="s">
        <v>32</v>
      </c>
    </row>
    <row r="3746" spans="1:20" ht="51" x14ac:dyDescent="0.25">
      <c r="A3746" s="6">
        <v>3740</v>
      </c>
      <c r="B3746" s="1" t="str">
        <f>"2021-194"</f>
        <v>2021-194</v>
      </c>
      <c r="C3746" s="1" t="s">
        <v>2862</v>
      </c>
      <c r="D3746" s="1" t="s">
        <v>689</v>
      </c>
      <c r="E3746" s="1" t="str">
        <f>""</f>
        <v/>
      </c>
      <c r="F3746" s="1" t="s">
        <v>1860</v>
      </c>
      <c r="G3746" s="1" t="str">
        <f>CONCATENATE(" SCHEDA D.O.O.,"," LJUDEVITA POSAVSKOG 29,"," 10360 SESVETE,"," OIB: 76219817247")</f>
        <v xml:space="preserve"> SCHEDA D.O.O., LJUDEVITA POSAVSKOG 29, 10360 SESVETE, OIB: 76219817247</v>
      </c>
      <c r="H3746" s="7"/>
      <c r="I3746" s="8" t="s">
        <v>392</v>
      </c>
      <c r="J3746" s="8" t="s">
        <v>3021</v>
      </c>
      <c r="K3746" s="6" t="str">
        <f>"992,00"</f>
        <v>992,00</v>
      </c>
      <c r="L3746" s="6" t="str">
        <f>"248,00"</f>
        <v>248,00</v>
      </c>
      <c r="M3746" s="6" t="str">
        <f>"1.240,00"</f>
        <v>1.240,00</v>
      </c>
      <c r="N3746" s="8" t="s">
        <v>675</v>
      </c>
      <c r="O3746" s="7"/>
      <c r="P3746" s="2" t="s">
        <v>7841</v>
      </c>
      <c r="Q3746" s="7"/>
      <c r="R3746" s="1"/>
      <c r="S3746" s="1" t="str">
        <f>"J-UN-2021-1981"</f>
        <v>J-UN-2021-1981</v>
      </c>
      <c r="T3746" s="1" t="s">
        <v>32</v>
      </c>
    </row>
    <row r="3747" spans="1:20" ht="63.75" x14ac:dyDescent="0.25">
      <c r="A3747" s="6">
        <v>3741</v>
      </c>
      <c r="B3747" s="1" t="str">
        <f>"2021-425"</f>
        <v>2021-425</v>
      </c>
      <c r="C3747" s="1" t="s">
        <v>2829</v>
      </c>
      <c r="D3747" s="1" t="s">
        <v>2830</v>
      </c>
      <c r="E3747" s="1" t="str">
        <f>""</f>
        <v/>
      </c>
      <c r="F3747" s="1" t="s">
        <v>1860</v>
      </c>
      <c r="G3747" s="1" t="str">
        <f>CONCATENATE(" GUMIIMPEX - GRP D.O.O.,"," PAVLEKA MIŠKINE 64C,"," 42000 VARAŽDIN,"," OIB: 8229856262")</f>
        <v xml:space="preserve"> GUMIIMPEX - GRP D.O.O., PAVLEKA MIŠKINE 64C, 42000 VARAŽDIN, OIB: 8229856262</v>
      </c>
      <c r="H3747" s="7"/>
      <c r="I3747" s="8" t="s">
        <v>126</v>
      </c>
      <c r="J3747" s="8" t="s">
        <v>123</v>
      </c>
      <c r="K3747" s="6" t="str">
        <f>"7.754,60"</f>
        <v>7.754,60</v>
      </c>
      <c r="L3747" s="6" t="str">
        <f>"1.938,65"</f>
        <v>1.938,65</v>
      </c>
      <c r="M3747" s="6" t="str">
        <f>"9.693,25"</f>
        <v>9.693,25</v>
      </c>
      <c r="N3747" s="8" t="s">
        <v>98</v>
      </c>
      <c r="O3747" s="7"/>
      <c r="P3747" s="2" t="s">
        <v>7842</v>
      </c>
      <c r="Q3747" s="7"/>
      <c r="R3747" s="1"/>
      <c r="S3747" s="1" t="str">
        <f>"J-UN-2021-1982"</f>
        <v>J-UN-2021-1982</v>
      </c>
      <c r="T3747" s="1" t="s">
        <v>32</v>
      </c>
    </row>
    <row r="3748" spans="1:20" ht="63.75" x14ac:dyDescent="0.25">
      <c r="A3748" s="6">
        <v>3742</v>
      </c>
      <c r="B3748" s="1" t="str">
        <f>"2021-206"</f>
        <v>2021-206</v>
      </c>
      <c r="C3748" s="1" t="s">
        <v>2822</v>
      </c>
      <c r="D3748" s="1" t="s">
        <v>2823</v>
      </c>
      <c r="E3748" s="1" t="str">
        <f>""</f>
        <v/>
      </c>
      <c r="F3748" s="1" t="s">
        <v>1860</v>
      </c>
      <c r="G3748" s="1" t="str">
        <f>CONCATENATE(" KEMOBOJA-DUBRAVA D.O.O.,"," AVENIJA DUBRAVA 37,"," 10000 ZAGREB,"," OIB: 6402157427")</f>
        <v xml:space="preserve"> KEMOBOJA-DUBRAVA D.O.O., AVENIJA DUBRAVA 37, 10000 ZAGREB, OIB: 6402157427</v>
      </c>
      <c r="H3748" s="7"/>
      <c r="I3748" s="8" t="s">
        <v>392</v>
      </c>
      <c r="J3748" s="8" t="s">
        <v>3021</v>
      </c>
      <c r="K3748" s="6" t="str">
        <f>"1.316,50"</f>
        <v>1.316,50</v>
      </c>
      <c r="L3748" s="6" t="str">
        <f>"329,13"</f>
        <v>329,13</v>
      </c>
      <c r="M3748" s="6" t="str">
        <f>"1.645,63"</f>
        <v>1.645,63</v>
      </c>
      <c r="N3748" s="8" t="s">
        <v>1135</v>
      </c>
      <c r="O3748" s="7"/>
      <c r="P3748" s="2" t="s">
        <v>7843</v>
      </c>
      <c r="Q3748" s="7"/>
      <c r="R3748" s="1"/>
      <c r="S3748" s="1" t="str">
        <f>"J-UN-2021-1983"</f>
        <v>J-UN-2021-1983</v>
      </c>
      <c r="T3748" s="1" t="s">
        <v>32</v>
      </c>
    </row>
    <row r="3749" spans="1:20" ht="51" x14ac:dyDescent="0.25">
      <c r="A3749" s="6">
        <v>3743</v>
      </c>
      <c r="B3749" s="1" t="str">
        <f>"2021-1049"</f>
        <v>2021-1049</v>
      </c>
      <c r="C3749" s="1" t="s">
        <v>2469</v>
      </c>
      <c r="D3749" s="1" t="s">
        <v>2287</v>
      </c>
      <c r="E3749" s="1" t="str">
        <f>""</f>
        <v/>
      </c>
      <c r="F3749" s="1" t="s">
        <v>1860</v>
      </c>
      <c r="G3749" s="1" t="str">
        <f>CONCATENATE(" TEHNIČAR-COPYSERVIS D.O.O.,"," KRANJČEVIĆEVA 25,"," 10000 ZAGREB,"," OIB: 5139094509")</f>
        <v xml:space="preserve"> TEHNIČAR-COPYSERVIS D.O.O., KRANJČEVIĆEVA 25, 10000 ZAGREB, OIB: 5139094509</v>
      </c>
      <c r="H3749" s="7"/>
      <c r="I3749" s="8" t="s">
        <v>120</v>
      </c>
      <c r="J3749" s="8" t="s">
        <v>1400</v>
      </c>
      <c r="K3749" s="6" t="str">
        <f>"4.300,00"</f>
        <v>4.300,00</v>
      </c>
      <c r="L3749" s="6" t="str">
        <f>"1.075,00"</f>
        <v>1.075,00</v>
      </c>
      <c r="M3749" s="6" t="str">
        <f>"5.375,00"</f>
        <v>5.375,00</v>
      </c>
      <c r="N3749" s="8" t="s">
        <v>912</v>
      </c>
      <c r="O3749" s="7"/>
      <c r="P3749" s="2" t="s">
        <v>7844</v>
      </c>
      <c r="Q3749" s="7"/>
      <c r="R3749" s="1"/>
      <c r="S3749" s="1" t="str">
        <f>"J-UN-2021-2017"</f>
        <v>J-UN-2021-2017</v>
      </c>
      <c r="T3749" s="1" t="s">
        <v>32</v>
      </c>
    </row>
    <row r="3750" spans="1:20" ht="63.75" x14ac:dyDescent="0.25">
      <c r="A3750" s="6">
        <v>3744</v>
      </c>
      <c r="B3750" s="1" t="str">
        <f>"2021-251"</f>
        <v>2021-251</v>
      </c>
      <c r="C3750" s="1" t="s">
        <v>3029</v>
      </c>
      <c r="D3750" s="1" t="s">
        <v>3030</v>
      </c>
      <c r="E3750" s="1" t="str">
        <f>""</f>
        <v/>
      </c>
      <c r="F3750" s="1" t="s">
        <v>1860</v>
      </c>
      <c r="G3750" s="1" t="str">
        <f>CONCATENATE(" MEDVED METALI D.O.O.,"," SLAVKA KOLARA 57,"," 10410 VELIKA GORICA,"," OIB: 47243684113")</f>
        <v xml:space="preserve"> MEDVED METALI D.O.O., SLAVKA KOLARA 57, 10410 VELIKA GORICA, OIB: 47243684113</v>
      </c>
      <c r="H3750" s="7"/>
      <c r="I3750" s="8" t="s">
        <v>392</v>
      </c>
      <c r="J3750" s="8" t="s">
        <v>3021</v>
      </c>
      <c r="K3750" s="6" t="str">
        <f>"78.500,00"</f>
        <v>78.500,00</v>
      </c>
      <c r="L3750" s="6" t="str">
        <f>"19.625,00"</f>
        <v>19.625,00</v>
      </c>
      <c r="M3750" s="6" t="str">
        <f>"98.125,00"</f>
        <v>98.125,00</v>
      </c>
      <c r="N3750" s="8" t="s">
        <v>219</v>
      </c>
      <c r="O3750" s="7"/>
      <c r="P3750" s="2" t="s">
        <v>7845</v>
      </c>
      <c r="Q3750" s="7"/>
      <c r="R3750" s="1"/>
      <c r="S3750" s="1" t="str">
        <f>"J-UN-2021-2018"</f>
        <v>J-UN-2021-2018</v>
      </c>
      <c r="T3750" s="1" t="s">
        <v>32</v>
      </c>
    </row>
    <row r="3751" spans="1:20" ht="63.75" x14ac:dyDescent="0.25">
      <c r="A3751" s="6">
        <v>3745</v>
      </c>
      <c r="B3751" s="1" t="str">
        <f>"2021-1786"</f>
        <v>2021-1786</v>
      </c>
      <c r="C3751" s="1" t="s">
        <v>2984</v>
      </c>
      <c r="D3751" s="1" t="s">
        <v>2985</v>
      </c>
      <c r="E3751" s="1" t="str">
        <f>""</f>
        <v/>
      </c>
      <c r="F3751" s="1" t="s">
        <v>1860</v>
      </c>
      <c r="G3751" s="1" t="str">
        <f>CONCATENATE(" LANIŠTE D.O.O.,"," ALEXANDERA VON HUMBOLDTA 4B,"," 10000 ZAGREB,"," OIB: 3755384865")</f>
        <v xml:space="preserve"> LANIŠTE D.O.O., ALEXANDERA VON HUMBOLDTA 4B, 10000 ZAGREB, OIB: 3755384865</v>
      </c>
      <c r="H3751" s="7"/>
      <c r="I3751" s="8" t="s">
        <v>120</v>
      </c>
      <c r="J3751" s="8" t="s">
        <v>1400</v>
      </c>
      <c r="K3751" s="6" t="str">
        <f>"4.032,00"</f>
        <v>4.032,00</v>
      </c>
      <c r="L3751" s="6" t="str">
        <f>"1.008,00"</f>
        <v>1.008,00</v>
      </c>
      <c r="M3751" s="6" t="str">
        <f>"5.040,00"</f>
        <v>5.040,00</v>
      </c>
      <c r="N3751" s="8" t="s">
        <v>124</v>
      </c>
      <c r="O3751" s="7"/>
      <c r="P3751" s="2" t="s">
        <v>5614</v>
      </c>
      <c r="Q3751" s="7"/>
      <c r="R3751" s="1"/>
      <c r="S3751" s="1" t="str">
        <f>"J-UN-2021-2021"</f>
        <v>J-UN-2021-2021</v>
      </c>
      <c r="T3751" s="1" t="s">
        <v>32</v>
      </c>
    </row>
    <row r="3752" spans="1:20" ht="63.75" x14ac:dyDescent="0.25">
      <c r="A3752" s="6">
        <v>3746</v>
      </c>
      <c r="B3752" s="1" t="str">
        <f>"2021-1354"</f>
        <v>2021-1354</v>
      </c>
      <c r="C3752" s="1" t="s">
        <v>3031</v>
      </c>
      <c r="D3752" s="1" t="s">
        <v>74</v>
      </c>
      <c r="E3752" s="1" t="str">
        <f>""</f>
        <v/>
      </c>
      <c r="F3752" s="1" t="s">
        <v>1860</v>
      </c>
      <c r="G3752" s="1" t="str">
        <f>CONCATENATE(" KONTO D. O. O. POŽEGA,"," S.S.KRANJČEVIĆA 7,"," 42000 VARAŽDIN,"," OIB: 5914317028")</f>
        <v xml:space="preserve"> KONTO D. O. O. POŽEGA, S.S.KRANJČEVIĆA 7, 42000 VARAŽDIN, OIB: 5914317028</v>
      </c>
      <c r="H3752" s="7"/>
      <c r="I3752" s="8" t="s">
        <v>120</v>
      </c>
      <c r="J3752" s="8" t="s">
        <v>1400</v>
      </c>
      <c r="K3752" s="6" t="str">
        <f>"57.600,00"</f>
        <v>57.600,00</v>
      </c>
      <c r="L3752" s="6" t="str">
        <f>"14.400,00"</f>
        <v>14.400,00</v>
      </c>
      <c r="M3752" s="6" t="str">
        <f>"72.000,00"</f>
        <v>72.000,00</v>
      </c>
      <c r="N3752" s="8" t="s">
        <v>207</v>
      </c>
      <c r="O3752" s="7"/>
      <c r="P3752" s="2" t="s">
        <v>7846</v>
      </c>
      <c r="Q3752" s="1"/>
      <c r="R3752" s="1"/>
      <c r="S3752" s="1" t="str">
        <f>"J-UN-2021-2023"</f>
        <v>J-UN-2021-2023</v>
      </c>
      <c r="T3752" s="1" t="s">
        <v>32</v>
      </c>
    </row>
    <row r="3753" spans="1:20" ht="63.75" x14ac:dyDescent="0.25">
      <c r="A3753" s="6">
        <v>3747</v>
      </c>
      <c r="B3753" s="1" t="str">
        <f>"2021-1622"</f>
        <v>2021-1622</v>
      </c>
      <c r="C3753" s="1" t="s">
        <v>2993</v>
      </c>
      <c r="D3753" s="1" t="s">
        <v>2994</v>
      </c>
      <c r="E3753" s="1" t="str">
        <f>""</f>
        <v/>
      </c>
      <c r="F3753" s="1" t="s">
        <v>1860</v>
      </c>
      <c r="G3753" s="1" t="str">
        <f t="shared" ref="G3753:G3762" si="220">CONCATENATE(" LANIŠTE D.O.O.,"," ALEXANDERA VON HUMBOLDTA 4B,"," 10000 ZAGREB,"," OIB: 3755384865")</f>
        <v xml:space="preserve"> LANIŠTE D.O.O., ALEXANDERA VON HUMBOLDTA 4B, 10000 ZAGREB, OIB: 3755384865</v>
      </c>
      <c r="H3753" s="7"/>
      <c r="I3753" s="8" t="s">
        <v>126</v>
      </c>
      <c r="J3753" s="8" t="s">
        <v>123</v>
      </c>
      <c r="K3753" s="6" t="str">
        <f>"3.632,00"</f>
        <v>3.632,00</v>
      </c>
      <c r="L3753" s="6" t="str">
        <f>"908,00"</f>
        <v>908,00</v>
      </c>
      <c r="M3753" s="6" t="str">
        <f>"4.540,00"</f>
        <v>4.540,00</v>
      </c>
      <c r="N3753" s="8" t="s">
        <v>124</v>
      </c>
      <c r="O3753" s="7"/>
      <c r="P3753" s="2" t="s">
        <v>5614</v>
      </c>
      <c r="Q3753" s="7"/>
      <c r="R3753" s="1"/>
      <c r="S3753" s="1" t="str">
        <f>"J-UN-2021-2024"</f>
        <v>J-UN-2021-2024</v>
      </c>
      <c r="T3753" s="1" t="s">
        <v>32</v>
      </c>
    </row>
    <row r="3754" spans="1:20" ht="63.75" x14ac:dyDescent="0.25">
      <c r="A3754" s="6">
        <v>3748</v>
      </c>
      <c r="B3754" s="1" t="str">
        <f>"2021-1622"</f>
        <v>2021-1622</v>
      </c>
      <c r="C3754" s="1" t="s">
        <v>2993</v>
      </c>
      <c r="D3754" s="1" t="s">
        <v>2994</v>
      </c>
      <c r="E3754" s="1" t="str">
        <f>""</f>
        <v/>
      </c>
      <c r="F3754" s="1" t="s">
        <v>1860</v>
      </c>
      <c r="G3754" s="1" t="str">
        <f t="shared" si="220"/>
        <v xml:space="preserve"> LANIŠTE D.O.O., ALEXANDERA VON HUMBOLDTA 4B, 10000 ZAGREB, OIB: 3755384865</v>
      </c>
      <c r="H3754" s="7"/>
      <c r="I3754" s="8" t="s">
        <v>126</v>
      </c>
      <c r="J3754" s="8" t="s">
        <v>123</v>
      </c>
      <c r="K3754" s="6" t="str">
        <f>"3.632,00"</f>
        <v>3.632,00</v>
      </c>
      <c r="L3754" s="6" t="str">
        <f>"908,00"</f>
        <v>908,00</v>
      </c>
      <c r="M3754" s="6" t="str">
        <f>"4.540,00"</f>
        <v>4.540,00</v>
      </c>
      <c r="N3754" s="8" t="s">
        <v>124</v>
      </c>
      <c r="O3754" s="7"/>
      <c r="P3754" s="2" t="s">
        <v>5614</v>
      </c>
      <c r="Q3754" s="7"/>
      <c r="R3754" s="1"/>
      <c r="S3754" s="1" t="str">
        <f>"J-UN-2021-2025"</f>
        <v>J-UN-2021-2025</v>
      </c>
      <c r="T3754" s="1" t="s">
        <v>32</v>
      </c>
    </row>
    <row r="3755" spans="1:20" ht="63.75" x14ac:dyDescent="0.25">
      <c r="A3755" s="6">
        <v>3749</v>
      </c>
      <c r="B3755" s="1" t="str">
        <f>"2021-1622"</f>
        <v>2021-1622</v>
      </c>
      <c r="C3755" s="1" t="s">
        <v>2993</v>
      </c>
      <c r="D3755" s="1" t="s">
        <v>2994</v>
      </c>
      <c r="E3755" s="1" t="str">
        <f>""</f>
        <v/>
      </c>
      <c r="F3755" s="1" t="s">
        <v>1860</v>
      </c>
      <c r="G3755" s="1" t="str">
        <f t="shared" si="220"/>
        <v xml:space="preserve"> LANIŠTE D.O.O., ALEXANDERA VON HUMBOLDTA 4B, 10000 ZAGREB, OIB: 3755384865</v>
      </c>
      <c r="H3755" s="7"/>
      <c r="I3755" s="8" t="s">
        <v>120</v>
      </c>
      <c r="J3755" s="8" t="s">
        <v>1400</v>
      </c>
      <c r="K3755" s="6" t="str">
        <f>"3.632,00"</f>
        <v>3.632,00</v>
      </c>
      <c r="L3755" s="6" t="str">
        <f>"908,00"</f>
        <v>908,00</v>
      </c>
      <c r="M3755" s="6" t="str">
        <f>"4.540,00"</f>
        <v>4.540,00</v>
      </c>
      <c r="N3755" s="8" t="s">
        <v>124</v>
      </c>
      <c r="O3755" s="7"/>
      <c r="P3755" s="2" t="s">
        <v>5614</v>
      </c>
      <c r="Q3755" s="7"/>
      <c r="R3755" s="1"/>
      <c r="S3755" s="1" t="str">
        <f>"J-UN-2021-2026"</f>
        <v>J-UN-2021-2026</v>
      </c>
      <c r="T3755" s="1" t="s">
        <v>32</v>
      </c>
    </row>
    <row r="3756" spans="1:20" ht="63.75" x14ac:dyDescent="0.25">
      <c r="A3756" s="6">
        <v>3750</v>
      </c>
      <c r="B3756" s="1" t="str">
        <f>"2021-1624"</f>
        <v>2021-1624</v>
      </c>
      <c r="C3756" s="1" t="s">
        <v>2989</v>
      </c>
      <c r="D3756" s="1" t="s">
        <v>2990</v>
      </c>
      <c r="E3756" s="1" t="str">
        <f>""</f>
        <v/>
      </c>
      <c r="F3756" s="1" t="s">
        <v>1860</v>
      </c>
      <c r="G3756" s="1" t="str">
        <f t="shared" si="220"/>
        <v xml:space="preserve"> LANIŠTE D.O.O., ALEXANDERA VON HUMBOLDTA 4B, 10000 ZAGREB, OIB: 3755384865</v>
      </c>
      <c r="H3756" s="7"/>
      <c r="I3756" s="8" t="s">
        <v>120</v>
      </c>
      <c r="J3756" s="8" t="s">
        <v>1400</v>
      </c>
      <c r="K3756" s="6" t="str">
        <f>"3.636,00"</f>
        <v>3.636,00</v>
      </c>
      <c r="L3756" s="6" t="str">
        <f>"909,00"</f>
        <v>909,00</v>
      </c>
      <c r="M3756" s="6" t="str">
        <f>"4.545,00"</f>
        <v>4.545,00</v>
      </c>
      <c r="N3756" s="8" t="s">
        <v>124</v>
      </c>
      <c r="O3756" s="7"/>
      <c r="P3756" s="2" t="s">
        <v>5614</v>
      </c>
      <c r="Q3756" s="7"/>
      <c r="R3756" s="1"/>
      <c r="S3756" s="1" t="str">
        <f>"J-UN-2021-2027"</f>
        <v>J-UN-2021-2027</v>
      </c>
      <c r="T3756" s="1" t="s">
        <v>32</v>
      </c>
    </row>
    <row r="3757" spans="1:20" ht="63.75" x14ac:dyDescent="0.25">
      <c r="A3757" s="6">
        <v>3751</v>
      </c>
      <c r="B3757" s="1" t="str">
        <f>"2021-1622"</f>
        <v>2021-1622</v>
      </c>
      <c r="C3757" s="1" t="s">
        <v>2993</v>
      </c>
      <c r="D3757" s="1" t="s">
        <v>2994</v>
      </c>
      <c r="E3757" s="1" t="str">
        <f>""</f>
        <v/>
      </c>
      <c r="F3757" s="1" t="s">
        <v>1860</v>
      </c>
      <c r="G3757" s="1" t="str">
        <f t="shared" si="220"/>
        <v xml:space="preserve"> LANIŠTE D.O.O., ALEXANDERA VON HUMBOLDTA 4B, 10000 ZAGREB, OIB: 3755384865</v>
      </c>
      <c r="H3757" s="7"/>
      <c r="I3757" s="8" t="s">
        <v>120</v>
      </c>
      <c r="J3757" s="8" t="s">
        <v>1400</v>
      </c>
      <c r="K3757" s="6" t="str">
        <f>"3.632,00"</f>
        <v>3.632,00</v>
      </c>
      <c r="L3757" s="6" t="str">
        <f>"908,00"</f>
        <v>908,00</v>
      </c>
      <c r="M3757" s="6" t="str">
        <f>"4.540,00"</f>
        <v>4.540,00</v>
      </c>
      <c r="N3757" s="8" t="s">
        <v>124</v>
      </c>
      <c r="O3757" s="7"/>
      <c r="P3757" s="2" t="s">
        <v>5614</v>
      </c>
      <c r="Q3757" s="7"/>
      <c r="R3757" s="1"/>
      <c r="S3757" s="1" t="str">
        <f>"J-UN-2021-2028"</f>
        <v>J-UN-2021-2028</v>
      </c>
      <c r="T3757" s="1" t="s">
        <v>32</v>
      </c>
    </row>
    <row r="3758" spans="1:20" ht="63.75" x14ac:dyDescent="0.25">
      <c r="A3758" s="6">
        <v>3752</v>
      </c>
      <c r="B3758" s="1" t="str">
        <f>"2021-1658"</f>
        <v>2021-1658</v>
      </c>
      <c r="C3758" s="1" t="s">
        <v>2987</v>
      </c>
      <c r="D3758" s="1" t="s">
        <v>2988</v>
      </c>
      <c r="E3758" s="1" t="str">
        <f>""</f>
        <v/>
      </c>
      <c r="F3758" s="1" t="s">
        <v>1860</v>
      </c>
      <c r="G3758" s="1" t="str">
        <f t="shared" si="220"/>
        <v xml:space="preserve"> LANIŠTE D.O.O., ALEXANDERA VON HUMBOLDTA 4B, 10000 ZAGREB, OIB: 3755384865</v>
      </c>
      <c r="H3758" s="7"/>
      <c r="I3758" s="8" t="s">
        <v>120</v>
      </c>
      <c r="J3758" s="8" t="s">
        <v>1400</v>
      </c>
      <c r="K3758" s="6" t="str">
        <f>"4.032,00"</f>
        <v>4.032,00</v>
      </c>
      <c r="L3758" s="6" t="str">
        <f>"1.008,00"</f>
        <v>1.008,00</v>
      </c>
      <c r="M3758" s="6" t="str">
        <f>"5.040,00"</f>
        <v>5.040,00</v>
      </c>
      <c r="N3758" s="8" t="s">
        <v>124</v>
      </c>
      <c r="O3758" s="7"/>
      <c r="P3758" s="2" t="s">
        <v>5614</v>
      </c>
      <c r="Q3758" s="7"/>
      <c r="R3758" s="1"/>
      <c r="S3758" s="1" t="str">
        <f>"J-UN-2021-2029"</f>
        <v>J-UN-2021-2029</v>
      </c>
      <c r="T3758" s="1" t="s">
        <v>32</v>
      </c>
    </row>
    <row r="3759" spans="1:20" ht="63.75" x14ac:dyDescent="0.25">
      <c r="A3759" s="6">
        <v>3753</v>
      </c>
      <c r="B3759" s="1" t="str">
        <f>"2021-1787"</f>
        <v>2021-1787</v>
      </c>
      <c r="C3759" s="1" t="s">
        <v>2986</v>
      </c>
      <c r="D3759" s="1" t="s">
        <v>2985</v>
      </c>
      <c r="E3759" s="1" t="str">
        <f>""</f>
        <v/>
      </c>
      <c r="F3759" s="1" t="s">
        <v>1860</v>
      </c>
      <c r="G3759" s="1" t="str">
        <f t="shared" si="220"/>
        <v xml:space="preserve"> LANIŠTE D.O.O., ALEXANDERA VON HUMBOLDTA 4B, 10000 ZAGREB, OIB: 3755384865</v>
      </c>
      <c r="H3759" s="7"/>
      <c r="I3759" s="8" t="s">
        <v>120</v>
      </c>
      <c r="J3759" s="8" t="s">
        <v>1400</v>
      </c>
      <c r="K3759" s="6" t="str">
        <f>"4.032,00"</f>
        <v>4.032,00</v>
      </c>
      <c r="L3759" s="6" t="str">
        <f>"1.008,00"</f>
        <v>1.008,00</v>
      </c>
      <c r="M3759" s="6" t="str">
        <f>"5.040,00"</f>
        <v>5.040,00</v>
      </c>
      <c r="N3759" s="8" t="s">
        <v>124</v>
      </c>
      <c r="O3759" s="7"/>
      <c r="P3759" s="2" t="s">
        <v>5614</v>
      </c>
      <c r="Q3759" s="7"/>
      <c r="R3759" s="1"/>
      <c r="S3759" s="1" t="str">
        <f>"J-UN-2021-2030"</f>
        <v>J-UN-2021-2030</v>
      </c>
      <c r="T3759" s="1" t="s">
        <v>32</v>
      </c>
    </row>
    <row r="3760" spans="1:20" ht="63.75" x14ac:dyDescent="0.25">
      <c r="A3760" s="6">
        <v>3754</v>
      </c>
      <c r="B3760" s="1" t="str">
        <f>"2021-1786"</f>
        <v>2021-1786</v>
      </c>
      <c r="C3760" s="1" t="s">
        <v>2984</v>
      </c>
      <c r="D3760" s="1" t="s">
        <v>2985</v>
      </c>
      <c r="E3760" s="1" t="str">
        <f>""</f>
        <v/>
      </c>
      <c r="F3760" s="1" t="s">
        <v>1860</v>
      </c>
      <c r="G3760" s="1" t="str">
        <f t="shared" si="220"/>
        <v xml:space="preserve"> LANIŠTE D.O.O., ALEXANDERA VON HUMBOLDTA 4B, 10000 ZAGREB, OIB: 3755384865</v>
      </c>
      <c r="H3760" s="7"/>
      <c r="I3760" s="8" t="s">
        <v>120</v>
      </c>
      <c r="J3760" s="8" t="s">
        <v>1400</v>
      </c>
      <c r="K3760" s="6" t="str">
        <f>"4.032,00"</f>
        <v>4.032,00</v>
      </c>
      <c r="L3760" s="6" t="str">
        <f>"1.008,00"</f>
        <v>1.008,00</v>
      </c>
      <c r="M3760" s="6" t="str">
        <f>"5.040,00"</f>
        <v>5.040,00</v>
      </c>
      <c r="N3760" s="8" t="s">
        <v>124</v>
      </c>
      <c r="O3760" s="7"/>
      <c r="P3760" s="2" t="s">
        <v>5614</v>
      </c>
      <c r="Q3760" s="7"/>
      <c r="R3760" s="1"/>
      <c r="S3760" s="1" t="str">
        <f>"J-UN-2021-2031"</f>
        <v>J-UN-2021-2031</v>
      </c>
      <c r="T3760" s="1" t="s">
        <v>32</v>
      </c>
    </row>
    <row r="3761" spans="1:20" ht="63.75" x14ac:dyDescent="0.25">
      <c r="A3761" s="6">
        <v>3755</v>
      </c>
      <c r="B3761" s="1" t="str">
        <f>"2021-1772"</f>
        <v>2021-1772</v>
      </c>
      <c r="C3761" s="1" t="s">
        <v>2991</v>
      </c>
      <c r="D3761" s="1" t="s">
        <v>2992</v>
      </c>
      <c r="E3761" s="1" t="str">
        <f>""</f>
        <v/>
      </c>
      <c r="F3761" s="1" t="s">
        <v>1860</v>
      </c>
      <c r="G3761" s="1" t="str">
        <f t="shared" si="220"/>
        <v xml:space="preserve"> LANIŠTE D.O.O., ALEXANDERA VON HUMBOLDTA 4B, 10000 ZAGREB, OIB: 3755384865</v>
      </c>
      <c r="H3761" s="7"/>
      <c r="I3761" s="8" t="s">
        <v>126</v>
      </c>
      <c r="J3761" s="8" t="s">
        <v>123</v>
      </c>
      <c r="K3761" s="6" t="str">
        <f>"3.636,00"</f>
        <v>3.636,00</v>
      </c>
      <c r="L3761" s="6" t="str">
        <f>"909,00"</f>
        <v>909,00</v>
      </c>
      <c r="M3761" s="6" t="str">
        <f>"4.545,00"</f>
        <v>4.545,00</v>
      </c>
      <c r="N3761" s="8" t="s">
        <v>124</v>
      </c>
      <c r="O3761" s="7"/>
      <c r="P3761" s="2" t="s">
        <v>5614</v>
      </c>
      <c r="Q3761" s="7"/>
      <c r="R3761" s="1"/>
      <c r="S3761" s="1" t="str">
        <f>"J-UN-2021-2032"</f>
        <v>J-UN-2021-2032</v>
      </c>
      <c r="T3761" s="1" t="s">
        <v>32</v>
      </c>
    </row>
    <row r="3762" spans="1:20" ht="63.75" x14ac:dyDescent="0.25">
      <c r="A3762" s="6">
        <v>3756</v>
      </c>
      <c r="B3762" s="1" t="str">
        <f>"2021-1622"</f>
        <v>2021-1622</v>
      </c>
      <c r="C3762" s="1" t="s">
        <v>2993</v>
      </c>
      <c r="D3762" s="1" t="s">
        <v>2994</v>
      </c>
      <c r="E3762" s="1" t="str">
        <f>""</f>
        <v/>
      </c>
      <c r="F3762" s="1" t="s">
        <v>1860</v>
      </c>
      <c r="G3762" s="1" t="str">
        <f t="shared" si="220"/>
        <v xml:space="preserve"> LANIŠTE D.O.O., ALEXANDERA VON HUMBOLDTA 4B, 10000 ZAGREB, OIB: 3755384865</v>
      </c>
      <c r="H3762" s="7"/>
      <c r="I3762" s="8" t="s">
        <v>126</v>
      </c>
      <c r="J3762" s="8" t="s">
        <v>123</v>
      </c>
      <c r="K3762" s="6" t="str">
        <f>"1.632,00"</f>
        <v>1.632,00</v>
      </c>
      <c r="L3762" s="6" t="str">
        <f>"408,00"</f>
        <v>408,00</v>
      </c>
      <c r="M3762" s="6" t="str">
        <f>"2.040,00"</f>
        <v>2.040,00</v>
      </c>
      <c r="N3762" s="8" t="s">
        <v>124</v>
      </c>
      <c r="O3762" s="7"/>
      <c r="P3762" s="2" t="s">
        <v>5614</v>
      </c>
      <c r="Q3762" s="7"/>
      <c r="R3762" s="1"/>
      <c r="S3762" s="1" t="str">
        <f>"J-UN-2021-2033"</f>
        <v>J-UN-2021-2033</v>
      </c>
      <c r="T3762" s="1" t="s">
        <v>32</v>
      </c>
    </row>
    <row r="3763" spans="1:20" ht="63.75" x14ac:dyDescent="0.25">
      <c r="A3763" s="6">
        <v>3757</v>
      </c>
      <c r="B3763" s="1" t="str">
        <f>"2021-13"</f>
        <v>2021-13</v>
      </c>
      <c r="C3763" s="1" t="s">
        <v>3032</v>
      </c>
      <c r="D3763" s="1" t="s">
        <v>244</v>
      </c>
      <c r="E3763" s="1" t="str">
        <f>""</f>
        <v/>
      </c>
      <c r="F3763" s="1" t="s">
        <v>1860</v>
      </c>
      <c r="G3763" s="1" t="str">
        <f>CONCATENATE(" FOREMAN GROUP D.O.O.,"," ULICA GRADA VUKOVARA 20,"," 10000 ZAGREB,"," OIB: 04807307105")</f>
        <v xml:space="preserve"> FOREMAN GROUP D.O.O., ULICA GRADA VUKOVARA 20, 10000 ZAGREB, OIB: 04807307105</v>
      </c>
      <c r="H3763" s="7"/>
      <c r="I3763" s="8" t="s">
        <v>117</v>
      </c>
      <c r="J3763" s="8" t="s">
        <v>57</v>
      </c>
      <c r="K3763" s="6" t="str">
        <f>"66.185,61"</f>
        <v>66.185,61</v>
      </c>
      <c r="L3763" s="6" t="str">
        <f>"16.546,40"</f>
        <v>16.546,40</v>
      </c>
      <c r="M3763" s="6" t="str">
        <f>"82.732,01"</f>
        <v>82.732,01</v>
      </c>
      <c r="N3763" s="8" t="s">
        <v>57</v>
      </c>
      <c r="O3763" s="7"/>
      <c r="P3763" s="2" t="s">
        <v>7847</v>
      </c>
      <c r="Q3763" s="7"/>
      <c r="R3763" s="1"/>
      <c r="S3763" s="1" t="str">
        <f>"J-UN-2022-2"</f>
        <v>J-UN-2022-2</v>
      </c>
      <c r="T3763" s="1" t="s">
        <v>43</v>
      </c>
    </row>
    <row r="3764" spans="1:20" ht="76.5" x14ac:dyDescent="0.25">
      <c r="A3764" s="6">
        <v>3758</v>
      </c>
      <c r="B3764" s="1" t="str">
        <f>"2021-887"</f>
        <v>2021-887</v>
      </c>
      <c r="C3764" s="1" t="s">
        <v>2778</v>
      </c>
      <c r="D3764" s="1" t="s">
        <v>1833</v>
      </c>
      <c r="E3764" s="1" t="str">
        <f>""</f>
        <v/>
      </c>
      <c r="F3764" s="1" t="s">
        <v>1860</v>
      </c>
      <c r="G3764" s="1" t="str">
        <f>CONCATENATE(" WAWA D.O.O.,"," ODVOJAK INDUSTRIJSKE ULICE,"," NOVAKI 3,"," 10431 SVETA NEDJELJA,"," OIB: 59785180614")</f>
        <v xml:space="preserve"> WAWA D.O.O., ODVOJAK INDUSTRIJSKE ULICE, NOVAKI 3, 10431 SVETA NEDJELJA, OIB: 59785180614</v>
      </c>
      <c r="H3764" s="7"/>
      <c r="I3764" s="8" t="s">
        <v>496</v>
      </c>
      <c r="J3764" s="8" t="s">
        <v>1205</v>
      </c>
      <c r="K3764" s="6" t="str">
        <f>"10.000,30"</f>
        <v>10.000,30</v>
      </c>
      <c r="L3764" s="6" t="str">
        <f>"2.500,08"</f>
        <v>2.500,08</v>
      </c>
      <c r="M3764" s="6" t="str">
        <f>"12.500,38"</f>
        <v>12.500,38</v>
      </c>
      <c r="N3764" s="8" t="s">
        <v>2310</v>
      </c>
      <c r="O3764" s="7"/>
      <c r="P3764" s="2" t="s">
        <v>7848</v>
      </c>
      <c r="Q3764" s="1"/>
      <c r="R3764" s="1"/>
      <c r="S3764" s="1" t="str">
        <f>"J-UN-2022-12"</f>
        <v>J-UN-2022-12</v>
      </c>
      <c r="T3764" s="1" t="s">
        <v>32</v>
      </c>
    </row>
    <row r="3765" spans="1:20" ht="76.5" x14ac:dyDescent="0.25">
      <c r="A3765" s="6">
        <v>3759</v>
      </c>
      <c r="B3765" s="1" t="str">
        <f>"2021-887"</f>
        <v>2021-887</v>
      </c>
      <c r="C3765" s="1" t="s">
        <v>2778</v>
      </c>
      <c r="D3765" s="1" t="s">
        <v>1833</v>
      </c>
      <c r="E3765" s="1" t="str">
        <f>""</f>
        <v/>
      </c>
      <c r="F3765" s="1" t="s">
        <v>1860</v>
      </c>
      <c r="G3765" s="1" t="str">
        <f>CONCATENATE(" WAWA D.O.O.,"," ODVOJAK INDUSTRIJSKE ULICE,"," NOVAKI 3,"," 10431 SVETA NEDJELJA,"," OIB: 59785180614")</f>
        <v xml:space="preserve"> WAWA D.O.O., ODVOJAK INDUSTRIJSKE ULICE, NOVAKI 3, 10431 SVETA NEDJELJA, OIB: 59785180614</v>
      </c>
      <c r="H3765" s="7"/>
      <c r="I3765" s="8" t="s">
        <v>496</v>
      </c>
      <c r="J3765" s="8" t="s">
        <v>1205</v>
      </c>
      <c r="K3765" s="6" t="str">
        <f>"6.103,09"</f>
        <v>6.103,09</v>
      </c>
      <c r="L3765" s="6" t="str">
        <f>"1.525,77"</f>
        <v>1.525,77</v>
      </c>
      <c r="M3765" s="6" t="str">
        <f>"7.628,86"</f>
        <v>7.628,86</v>
      </c>
      <c r="N3765" s="8" t="s">
        <v>534</v>
      </c>
      <c r="O3765" s="7"/>
      <c r="P3765" s="2" t="s">
        <v>7849</v>
      </c>
      <c r="Q3765" s="7"/>
      <c r="R3765" s="1"/>
      <c r="S3765" s="1" t="str">
        <f>"J-UN-2022-13"</f>
        <v>J-UN-2022-13</v>
      </c>
      <c r="T3765" s="1" t="s">
        <v>32</v>
      </c>
    </row>
    <row r="3766" spans="1:20" ht="51" x14ac:dyDescent="0.25">
      <c r="A3766" s="6">
        <v>3760</v>
      </c>
      <c r="B3766" s="1" t="str">
        <f>"2021-707"</f>
        <v>2021-707</v>
      </c>
      <c r="C3766" s="1" t="s">
        <v>2642</v>
      </c>
      <c r="D3766" s="1" t="s">
        <v>1236</v>
      </c>
      <c r="E3766" s="1" t="str">
        <f>""</f>
        <v/>
      </c>
      <c r="F3766" s="1" t="s">
        <v>1860</v>
      </c>
      <c r="G3766" s="1" t="str">
        <f>CONCATENATE(" MEGA MONT D.O.O.,"," POPOVIĆEV PUT 2/D,"," 51211 MATULJI,"," OIB: 64536314217")</f>
        <v xml:space="preserve"> MEGA MONT D.O.O., POPOVIĆEV PUT 2/D, 51211 MATULJI, OIB: 64536314217</v>
      </c>
      <c r="H3766" s="7"/>
      <c r="I3766" s="8" t="s">
        <v>496</v>
      </c>
      <c r="J3766" s="8" t="s">
        <v>1205</v>
      </c>
      <c r="K3766" s="6" t="str">
        <f>"2.703,00"</f>
        <v>2.703,00</v>
      </c>
      <c r="L3766" s="6" t="str">
        <f>"675,75"</f>
        <v>675,75</v>
      </c>
      <c r="M3766" s="6" t="str">
        <f>"3.378,75"</f>
        <v>3.378,75</v>
      </c>
      <c r="N3766" s="8" t="s">
        <v>708</v>
      </c>
      <c r="O3766" s="7"/>
      <c r="P3766" s="2" t="s">
        <v>7850</v>
      </c>
      <c r="Q3766" s="7"/>
      <c r="R3766" s="1"/>
      <c r="S3766" s="1" t="str">
        <f>"J-UN-2022-14"</f>
        <v>J-UN-2022-14</v>
      </c>
      <c r="T3766" s="1" t="s">
        <v>32</v>
      </c>
    </row>
    <row r="3767" spans="1:20" ht="76.5" x14ac:dyDescent="0.25">
      <c r="A3767" s="6">
        <v>3761</v>
      </c>
      <c r="B3767" s="1" t="str">
        <f>"2021-491"</f>
        <v>2021-491</v>
      </c>
      <c r="C3767" s="1" t="s">
        <v>2788</v>
      </c>
      <c r="D3767" s="1" t="s">
        <v>2789</v>
      </c>
      <c r="E3767" s="1" t="str">
        <f>""</f>
        <v/>
      </c>
      <c r="F3767" s="1" t="s">
        <v>1860</v>
      </c>
      <c r="G3767" s="1" t="str">
        <f>CONCATENATE(" SMIT-COMMERCE D.O.O.,"," GORNJOSTUPNIČKA 9B,"," 10255 GORNJI STUPNIK,"," OIB: 9524348214")</f>
        <v xml:space="preserve"> SMIT-COMMERCE D.O.O., GORNJOSTUPNIČKA 9B, 10255 GORNJI STUPNIK, OIB: 9524348214</v>
      </c>
      <c r="H3767" s="7"/>
      <c r="I3767" s="8" t="s">
        <v>708</v>
      </c>
      <c r="J3767" s="8" t="s">
        <v>3033</v>
      </c>
      <c r="K3767" s="6" t="str">
        <f>"444,28"</f>
        <v>444,28</v>
      </c>
      <c r="L3767" s="6" t="str">
        <f>"111,07"</f>
        <v>111,07</v>
      </c>
      <c r="M3767" s="6" t="str">
        <f>"555,35"</f>
        <v>555,35</v>
      </c>
      <c r="N3767" s="8" t="s">
        <v>1240</v>
      </c>
      <c r="O3767" s="7"/>
      <c r="P3767" s="2" t="s">
        <v>7851</v>
      </c>
      <c r="Q3767" s="7"/>
      <c r="R3767" s="1"/>
      <c r="S3767" s="1" t="str">
        <f>"J-UN-2022-16"</f>
        <v>J-UN-2022-16</v>
      </c>
      <c r="T3767" s="1" t="s">
        <v>32</v>
      </c>
    </row>
    <row r="3768" spans="1:20" ht="63.75" x14ac:dyDescent="0.25">
      <c r="A3768" s="6">
        <v>3762</v>
      </c>
      <c r="B3768" s="1" t="str">
        <f>"2021-576"</f>
        <v>2021-576</v>
      </c>
      <c r="C3768" s="1" t="s">
        <v>2561</v>
      </c>
      <c r="D3768" s="1" t="s">
        <v>2156</v>
      </c>
      <c r="E3768" s="1" t="str">
        <f>""</f>
        <v/>
      </c>
      <c r="F3768" s="1" t="s">
        <v>1860</v>
      </c>
      <c r="G3768" s="1" t="str">
        <f>CONCATENATE(" ELEKTRO-KOMUNIKACIJE D.O.O.,"," 14. PODBREŽJE 4,"," 10000 ZAGREB,"," OIB: 76412373309")</f>
        <v xml:space="preserve"> ELEKTRO-KOMUNIKACIJE D.O.O., 14. PODBREŽJE 4, 10000 ZAGREB, OIB: 76412373309</v>
      </c>
      <c r="H3768" s="7"/>
      <c r="I3768" s="8" t="s">
        <v>416</v>
      </c>
      <c r="J3768" s="8" t="s">
        <v>2496</v>
      </c>
      <c r="K3768" s="6" t="str">
        <f>"13.835,00"</f>
        <v>13.835,00</v>
      </c>
      <c r="L3768" s="6" t="str">
        <f>"3.458,75"</f>
        <v>3.458,75</v>
      </c>
      <c r="M3768" s="6" t="str">
        <f>"17.293,75"</f>
        <v>17.293,75</v>
      </c>
      <c r="N3768" s="8" t="s">
        <v>202</v>
      </c>
      <c r="O3768" s="7"/>
      <c r="P3768" s="2" t="s">
        <v>5680</v>
      </c>
      <c r="Q3768" s="7"/>
      <c r="R3768" s="1"/>
      <c r="S3768" s="1" t="str">
        <f>"J-UN-2022-17"</f>
        <v>J-UN-2022-17</v>
      </c>
      <c r="T3768" s="1" t="s">
        <v>32</v>
      </c>
    </row>
    <row r="3769" spans="1:20" ht="51" x14ac:dyDescent="0.25">
      <c r="A3769" s="6">
        <v>3763</v>
      </c>
      <c r="B3769" s="1" t="str">
        <f>"2021-1366"</f>
        <v>2021-1366</v>
      </c>
      <c r="C3769" s="1" t="s">
        <v>3034</v>
      </c>
      <c r="D3769" s="1" t="s">
        <v>74</v>
      </c>
      <c r="E3769" s="1" t="str">
        <f>""</f>
        <v/>
      </c>
      <c r="F3769" s="1" t="s">
        <v>1860</v>
      </c>
      <c r="G3769" s="1" t="str">
        <f>CONCATENATE(" INFOBIT D.O.O.,"," MEDVEŠČAK 47,"," 10000 ZAGREB,"," OIB: 859794267")</f>
        <v xml:space="preserve"> INFOBIT D.O.O., MEDVEŠČAK 47, 10000 ZAGREB, OIB: 859794267</v>
      </c>
      <c r="H3769" s="7"/>
      <c r="I3769" s="8" t="s">
        <v>496</v>
      </c>
      <c r="J3769" s="8" t="s">
        <v>1205</v>
      </c>
      <c r="K3769" s="6" t="str">
        <f>"19.800,00"</f>
        <v>19.800,00</v>
      </c>
      <c r="L3769" s="6" t="str">
        <f>"4.950,00"</f>
        <v>4.950,00</v>
      </c>
      <c r="M3769" s="6" t="str">
        <f>"24.750,00"</f>
        <v>24.750,00</v>
      </c>
      <c r="N3769" s="8" t="s">
        <v>1118</v>
      </c>
      <c r="O3769" s="7"/>
      <c r="P3769" s="2" t="s">
        <v>7643</v>
      </c>
      <c r="Q3769" s="7"/>
      <c r="R3769" s="1"/>
      <c r="S3769" s="1" t="str">
        <f>"J-UN-2022-18"</f>
        <v>J-UN-2022-18</v>
      </c>
      <c r="T3769" s="1" t="s">
        <v>32</v>
      </c>
    </row>
    <row r="3770" spans="1:20" ht="51" x14ac:dyDescent="0.25">
      <c r="A3770" s="6">
        <v>3764</v>
      </c>
      <c r="B3770" s="1" t="str">
        <f>"2021-905"</f>
        <v>2021-905</v>
      </c>
      <c r="C3770" s="1" t="s">
        <v>2798</v>
      </c>
      <c r="D3770" s="1" t="s">
        <v>914</v>
      </c>
      <c r="E3770" s="1" t="str">
        <f>""</f>
        <v/>
      </c>
      <c r="F3770" s="1" t="s">
        <v>1860</v>
      </c>
      <c r="G3770" s="1" t="str">
        <f>CONCATENATE(" DROBILEC D.O.O.,"," MATUNOVA 14,"," 10000 ZAGREB,"," OIB: 87772955929")</f>
        <v xml:space="preserve"> DROBILEC D.O.O., MATUNOVA 14, 10000 ZAGREB, OIB: 87772955929</v>
      </c>
      <c r="H3770" s="7"/>
      <c r="I3770" s="8" t="s">
        <v>496</v>
      </c>
      <c r="J3770" s="8" t="s">
        <v>1205</v>
      </c>
      <c r="K3770" s="6" t="str">
        <f>"3.441,00"</f>
        <v>3.441,00</v>
      </c>
      <c r="L3770" s="6" t="str">
        <f>"860,25"</f>
        <v>860,25</v>
      </c>
      <c r="M3770" s="6" t="str">
        <f>"4.301,25"</f>
        <v>4.301,25</v>
      </c>
      <c r="N3770" s="8" t="s">
        <v>1320</v>
      </c>
      <c r="O3770" s="7"/>
      <c r="P3770" s="2" t="s">
        <v>7852</v>
      </c>
      <c r="Q3770" s="7"/>
      <c r="R3770" s="1"/>
      <c r="S3770" s="1" t="str">
        <f>"J-UN-2022-19"</f>
        <v>J-UN-2022-19</v>
      </c>
      <c r="T3770" s="1" t="s">
        <v>32</v>
      </c>
    </row>
    <row r="3771" spans="1:20" ht="76.5" x14ac:dyDescent="0.25">
      <c r="A3771" s="6">
        <v>3765</v>
      </c>
      <c r="B3771" s="1" t="str">
        <f>"2021-1205"</f>
        <v>2021-1205</v>
      </c>
      <c r="C3771" s="1" t="s">
        <v>2892</v>
      </c>
      <c r="D3771" s="1" t="s">
        <v>1627</v>
      </c>
      <c r="E3771" s="1" t="str">
        <f>""</f>
        <v/>
      </c>
      <c r="F3771" s="1" t="s">
        <v>1860</v>
      </c>
      <c r="G3771" s="1" t="str">
        <f>CONCATENATE(" ELICOM D.O.O.,"," ŠTEFANOVEC 138,"," 10000 ZAGREB,"," OIB: 76370234816")</f>
        <v xml:space="preserve"> ELICOM D.O.O., ŠTEFANOVEC 138, 10000 ZAGREB, OIB: 76370234816</v>
      </c>
      <c r="H3771" s="7"/>
      <c r="I3771" s="8" t="s">
        <v>496</v>
      </c>
      <c r="J3771" s="8" t="s">
        <v>1205</v>
      </c>
      <c r="K3771" s="6" t="str">
        <f>"2.395,80"</f>
        <v>2.395,80</v>
      </c>
      <c r="L3771" s="6" t="str">
        <f>"598,95"</f>
        <v>598,95</v>
      </c>
      <c r="M3771" s="6" t="str">
        <f>"2.994,75"</f>
        <v>2.994,75</v>
      </c>
      <c r="N3771" s="8" t="s">
        <v>671</v>
      </c>
      <c r="O3771" s="7"/>
      <c r="P3771" s="2" t="s">
        <v>7853</v>
      </c>
      <c r="Q3771" s="7"/>
      <c r="R3771" s="1"/>
      <c r="S3771" s="1" t="str">
        <f>"J-UN-2022-20"</f>
        <v>J-UN-2022-20</v>
      </c>
      <c r="T3771" s="1" t="s">
        <v>32</v>
      </c>
    </row>
    <row r="3772" spans="1:20" ht="76.5" x14ac:dyDescent="0.25">
      <c r="A3772" s="6">
        <v>3766</v>
      </c>
      <c r="B3772" s="1" t="str">
        <f>"2021-983"</f>
        <v>2021-983</v>
      </c>
      <c r="C3772" s="1" t="s">
        <v>2690</v>
      </c>
      <c r="D3772" s="1" t="s">
        <v>2691</v>
      </c>
      <c r="E3772" s="1" t="str">
        <f>""</f>
        <v/>
      </c>
      <c r="F3772" s="1" t="s">
        <v>1860</v>
      </c>
      <c r="G3772" s="1" t="str">
        <f>CONCATENATE(" SMIT-COMMERCE D.O.O.,"," GORNJOSTUPNIČKA 9B,"," 10255 GORNJI STUPNIK,"," OIB: 9524348214")</f>
        <v xml:space="preserve"> SMIT-COMMERCE D.O.O., GORNJOSTUPNIČKA 9B, 10255 GORNJI STUPNIK, OIB: 9524348214</v>
      </c>
      <c r="H3772" s="7"/>
      <c r="I3772" s="8" t="s">
        <v>416</v>
      </c>
      <c r="J3772" s="8" t="s">
        <v>2496</v>
      </c>
      <c r="K3772" s="6" t="str">
        <f>"168,04"</f>
        <v>168,04</v>
      </c>
      <c r="L3772" s="6" t="str">
        <f>"42,01"</f>
        <v>42,01</v>
      </c>
      <c r="M3772" s="6" t="str">
        <f>"210,05"</f>
        <v>210,05</v>
      </c>
      <c r="N3772" s="8" t="s">
        <v>706</v>
      </c>
      <c r="O3772" s="7"/>
      <c r="P3772" s="2" t="s">
        <v>7854</v>
      </c>
      <c r="Q3772" s="7"/>
      <c r="R3772" s="1"/>
      <c r="S3772" s="1" t="str">
        <f>"J-UN-2022-21"</f>
        <v>J-UN-2022-21</v>
      </c>
      <c r="T3772" s="1" t="s">
        <v>32</v>
      </c>
    </row>
    <row r="3773" spans="1:20" ht="51" x14ac:dyDescent="0.25">
      <c r="A3773" s="6">
        <v>3767</v>
      </c>
      <c r="B3773" s="1" t="str">
        <f>"2021-1708"</f>
        <v>2021-1708</v>
      </c>
      <c r="C3773" s="1" t="s">
        <v>2643</v>
      </c>
      <c r="D3773" s="1" t="s">
        <v>1859</v>
      </c>
      <c r="E3773" s="1" t="str">
        <f>""</f>
        <v/>
      </c>
      <c r="F3773" s="1" t="s">
        <v>1860</v>
      </c>
      <c r="G3773" s="1" t="str">
        <f>CONCATENATE(" ZIRS UČILIŠTE,"," ULICA GRADA VUKOVARA 68,"," 10000 ZAGREB,"," OIB: 22228764473")</f>
        <v xml:space="preserve"> ZIRS UČILIŠTE, ULICA GRADA VUKOVARA 68, 10000 ZAGREB, OIB: 22228764473</v>
      </c>
      <c r="H3773" s="7"/>
      <c r="I3773" s="8" t="s">
        <v>416</v>
      </c>
      <c r="J3773" s="8" t="s">
        <v>2496</v>
      </c>
      <c r="K3773" s="6" t="str">
        <f>"950,00"</f>
        <v>950,00</v>
      </c>
      <c r="L3773" s="6" t="str">
        <f>"237,50"</f>
        <v>237,50</v>
      </c>
      <c r="M3773" s="6" t="str">
        <f>"1.187,50"</f>
        <v>1.187,50</v>
      </c>
      <c r="N3773" s="8" t="s">
        <v>499</v>
      </c>
      <c r="O3773" s="7"/>
      <c r="P3773" s="2" t="s">
        <v>7364</v>
      </c>
      <c r="Q3773" s="7"/>
      <c r="R3773" s="1"/>
      <c r="S3773" s="1" t="str">
        <f>"J-UN-2022-22"</f>
        <v>J-UN-2022-22</v>
      </c>
      <c r="T3773" s="1" t="s">
        <v>32</v>
      </c>
    </row>
    <row r="3774" spans="1:20" ht="63.75" x14ac:dyDescent="0.25">
      <c r="A3774" s="6">
        <v>3768</v>
      </c>
      <c r="B3774" s="1" t="str">
        <f>"2021-1114"</f>
        <v>2021-1114</v>
      </c>
      <c r="C3774" s="1" t="s">
        <v>2485</v>
      </c>
      <c r="D3774" s="1" t="s">
        <v>1007</v>
      </c>
      <c r="E3774" s="1" t="str">
        <f>""</f>
        <v/>
      </c>
      <c r="F3774" s="1" t="s">
        <v>1860</v>
      </c>
      <c r="G3774" s="1" t="str">
        <f>CONCATENATE(" DRÄGER SAFETY D.O.O.,"," AVENIJA VEĆESLAVA HOLJEVCA 40,"," 10010 ZAGREB,"," OIB: 32874587842")</f>
        <v xml:space="preserve"> DRÄGER SAFETY D.O.O., AVENIJA VEĆESLAVA HOLJEVCA 40, 10010 ZAGREB, OIB: 32874587842</v>
      </c>
      <c r="H3774" s="7"/>
      <c r="I3774" s="8" t="s">
        <v>496</v>
      </c>
      <c r="J3774" s="8" t="s">
        <v>1205</v>
      </c>
      <c r="K3774" s="6" t="str">
        <f>"10.527,30"</f>
        <v>10.527,30</v>
      </c>
      <c r="L3774" s="6" t="str">
        <f>"2.631,83"</f>
        <v>2.631,83</v>
      </c>
      <c r="M3774" s="6" t="str">
        <f>"13.159,13"</f>
        <v>13.159,13</v>
      </c>
      <c r="N3774" s="8" t="s">
        <v>1140</v>
      </c>
      <c r="O3774" s="7"/>
      <c r="P3774" s="2" t="s">
        <v>7855</v>
      </c>
      <c r="Q3774" s="7"/>
      <c r="R3774" s="1"/>
      <c r="S3774" s="1" t="str">
        <f>"J-UN-2022-23"</f>
        <v>J-UN-2022-23</v>
      </c>
      <c r="T3774" s="1" t="s">
        <v>32</v>
      </c>
    </row>
    <row r="3775" spans="1:20" ht="76.5" x14ac:dyDescent="0.25">
      <c r="A3775" s="6">
        <v>3769</v>
      </c>
      <c r="B3775" s="1" t="str">
        <f>"2021-946"</f>
        <v>2021-946</v>
      </c>
      <c r="C3775" s="1" t="s">
        <v>2711</v>
      </c>
      <c r="D3775" s="1" t="s">
        <v>1914</v>
      </c>
      <c r="E3775" s="1" t="str">
        <f>""</f>
        <v/>
      </c>
      <c r="F3775" s="1" t="s">
        <v>1860</v>
      </c>
      <c r="G3775" s="1" t="str">
        <f>CONCATENATE(" TRGOVINA ELDOM,","CRIKVENICA,","ŠKOLSKA 1,"," ŠKOLSKA ULICA 1,"," 51260 CRIKVENICA,"," OIB: 80109663436")</f>
        <v xml:space="preserve"> TRGOVINA ELDOM,CRIKVENICA,ŠKOLSKA 1, ŠKOLSKA ULICA 1, 51260 CRIKVENICA, OIB: 80109663436</v>
      </c>
      <c r="H3775" s="7"/>
      <c r="I3775" s="8" t="s">
        <v>708</v>
      </c>
      <c r="J3775" s="8" t="s">
        <v>3033</v>
      </c>
      <c r="K3775" s="6" t="str">
        <f>"3.722,40"</f>
        <v>3.722,40</v>
      </c>
      <c r="L3775" s="6" t="str">
        <f>"930,60"</f>
        <v>930,60</v>
      </c>
      <c r="M3775" s="6" t="str">
        <f>"4.653,00"</f>
        <v>4.653,00</v>
      </c>
      <c r="N3775" s="8" t="s">
        <v>604</v>
      </c>
      <c r="O3775" s="7"/>
      <c r="P3775" s="2" t="s">
        <v>7856</v>
      </c>
      <c r="Q3775" s="7"/>
      <c r="R3775" s="1"/>
      <c r="S3775" s="1" t="str">
        <f>"J-UN-2022-24"</f>
        <v>J-UN-2022-24</v>
      </c>
      <c r="T3775" s="1" t="s">
        <v>32</v>
      </c>
    </row>
    <row r="3776" spans="1:20" ht="51" x14ac:dyDescent="0.25">
      <c r="A3776" s="6">
        <v>3770</v>
      </c>
      <c r="B3776" s="1" t="str">
        <f>"2021-997"</f>
        <v>2021-997</v>
      </c>
      <c r="C3776" s="1" t="s">
        <v>2761</v>
      </c>
      <c r="D3776" s="1" t="s">
        <v>2762</v>
      </c>
      <c r="E3776" s="1" t="str">
        <f>""</f>
        <v/>
      </c>
      <c r="F3776" s="1" t="s">
        <v>1860</v>
      </c>
      <c r="G3776" s="1" t="str">
        <f>CONCATENATE(" OBRT GES,"," KOMUNELA 25,"," 52470 UMAG (UMAGO),"," OIB: 35270236306")</f>
        <v xml:space="preserve"> OBRT GES, KOMUNELA 25, 52470 UMAG (UMAGO), OIB: 35270236306</v>
      </c>
      <c r="H3776" s="7"/>
      <c r="I3776" s="8" t="s">
        <v>708</v>
      </c>
      <c r="J3776" s="8" t="s">
        <v>3033</v>
      </c>
      <c r="K3776" s="6" t="str">
        <f>"3.000,00"</f>
        <v>3.000,00</v>
      </c>
      <c r="L3776" s="6" t="str">
        <f>"750,00"</f>
        <v>750,00</v>
      </c>
      <c r="M3776" s="6" t="str">
        <f>"3.750,00"</f>
        <v>3.750,00</v>
      </c>
      <c r="N3776" s="8" t="s">
        <v>663</v>
      </c>
      <c r="O3776" s="7"/>
      <c r="P3776" s="2" t="s">
        <v>5781</v>
      </c>
      <c r="Q3776" s="7"/>
      <c r="R3776" s="1"/>
      <c r="S3776" s="1" t="str">
        <f>"J-UN-2022-25"</f>
        <v>J-UN-2022-25</v>
      </c>
      <c r="T3776" s="1" t="s">
        <v>32</v>
      </c>
    </row>
    <row r="3777" spans="1:20" ht="51" x14ac:dyDescent="0.25">
      <c r="A3777" s="6">
        <v>3771</v>
      </c>
      <c r="B3777" s="1" t="str">
        <f>"2021-438"</f>
        <v>2021-438</v>
      </c>
      <c r="C3777" s="1" t="s">
        <v>2793</v>
      </c>
      <c r="D3777" s="1" t="s">
        <v>1619</v>
      </c>
      <c r="E3777" s="1" t="str">
        <f>""</f>
        <v/>
      </c>
      <c r="F3777" s="1" t="s">
        <v>1860</v>
      </c>
      <c r="G3777" s="1" t="str">
        <f>CONCATENATE(" LAGER BAŠIĆ D.O.O.,"," TRGOVAČKA 3,"," 10255 DONJI STUPNIK,"," OIB: 49617677906")</f>
        <v xml:space="preserve"> LAGER BAŠIĆ D.O.O., TRGOVAČKA 3, 10255 DONJI STUPNIK, OIB: 49617677906</v>
      </c>
      <c r="H3777" s="7"/>
      <c r="I3777" s="8" t="s">
        <v>416</v>
      </c>
      <c r="J3777" s="8" t="s">
        <v>2496</v>
      </c>
      <c r="K3777" s="6" t="str">
        <f>"18.842,00"</f>
        <v>18.842,00</v>
      </c>
      <c r="L3777" s="6" t="str">
        <f>"4.710,50"</f>
        <v>4.710,50</v>
      </c>
      <c r="M3777" s="6" t="str">
        <f>"23.552,50"</f>
        <v>23.552,50</v>
      </c>
      <c r="N3777" s="8" t="s">
        <v>1135</v>
      </c>
      <c r="O3777" s="7"/>
      <c r="P3777" s="2" t="s">
        <v>7857</v>
      </c>
      <c r="Q3777" s="7"/>
      <c r="R3777" s="1"/>
      <c r="S3777" s="1" t="str">
        <f>"J-UN-2022-26"</f>
        <v>J-UN-2022-26</v>
      </c>
      <c r="T3777" s="1" t="s">
        <v>32</v>
      </c>
    </row>
    <row r="3778" spans="1:20" ht="51" x14ac:dyDescent="0.25">
      <c r="A3778" s="6">
        <v>3772</v>
      </c>
      <c r="B3778" s="1" t="str">
        <f>"2021-1213"</f>
        <v>2021-1213</v>
      </c>
      <c r="C3778" s="1" t="s">
        <v>2850</v>
      </c>
      <c r="D3778" s="1" t="s">
        <v>229</v>
      </c>
      <c r="E3778" s="1" t="str">
        <f>""</f>
        <v/>
      </c>
      <c r="F3778" s="1" t="s">
        <v>1860</v>
      </c>
      <c r="G3778" s="1" t="str">
        <f>CONCATENATE(" PAMAJO D.O.O.,"," VRANIČKA 7/A,"," 10000 ZAGREB,"," OIB: 46401136513")</f>
        <v xml:space="preserve"> PAMAJO D.O.O., VRANIČKA 7/A, 10000 ZAGREB, OIB: 46401136513</v>
      </c>
      <c r="H3778" s="7"/>
      <c r="I3778" s="8" t="s">
        <v>708</v>
      </c>
      <c r="J3778" s="8" t="s">
        <v>3033</v>
      </c>
      <c r="K3778" s="6" t="str">
        <f>"8.370,00"</f>
        <v>8.370,00</v>
      </c>
      <c r="L3778" s="6" t="str">
        <f>"2.092,50"</f>
        <v>2.092,50</v>
      </c>
      <c r="M3778" s="6" t="str">
        <f>"10.462,50"</f>
        <v>10.462,50</v>
      </c>
      <c r="N3778" s="8" t="s">
        <v>257</v>
      </c>
      <c r="O3778" s="7"/>
      <c r="P3778" s="2" t="s">
        <v>7858</v>
      </c>
      <c r="Q3778" s="7"/>
      <c r="R3778" s="1"/>
      <c r="S3778" s="1" t="str">
        <f>"J-UN-2022-27"</f>
        <v>J-UN-2022-27</v>
      </c>
      <c r="T3778" s="1" t="s">
        <v>32</v>
      </c>
    </row>
    <row r="3779" spans="1:20" ht="63.75" x14ac:dyDescent="0.25">
      <c r="A3779" s="6">
        <v>3773</v>
      </c>
      <c r="B3779" s="1" t="str">
        <f>"2021-1791"</f>
        <v>2021-1791</v>
      </c>
      <c r="C3779" s="1" t="s">
        <v>2558</v>
      </c>
      <c r="D3779" s="1" t="s">
        <v>860</v>
      </c>
      <c r="E3779" s="1" t="str">
        <f>""</f>
        <v/>
      </c>
      <c r="F3779" s="1" t="s">
        <v>1860</v>
      </c>
      <c r="G3779" s="1" t="str">
        <f>CONCATENATE(" STROJOGRADNJA,"," VL. DORA PERŠI,"," RAKITJE,"," RADNIČKA 9,"," 10431 SVETA NEDJELJA,"," OIB: 72791562742")</f>
        <v xml:space="preserve"> STROJOGRADNJA, VL. DORA PERŠI, RAKITJE, RADNIČKA 9, 10431 SVETA NEDJELJA, OIB: 72791562742</v>
      </c>
      <c r="H3779" s="7"/>
      <c r="I3779" s="8" t="s">
        <v>416</v>
      </c>
      <c r="J3779" s="8" t="s">
        <v>2496</v>
      </c>
      <c r="K3779" s="6" t="str">
        <f>"3.070,00"</f>
        <v>3.070,00</v>
      </c>
      <c r="L3779" s="6" t="str">
        <f>"767,50"</f>
        <v>767,50</v>
      </c>
      <c r="M3779" s="6" t="str">
        <f>"3.837,50"</f>
        <v>3.837,50</v>
      </c>
      <c r="N3779" s="8" t="s">
        <v>2934</v>
      </c>
      <c r="O3779" s="7"/>
      <c r="P3779" s="2" t="s">
        <v>6466</v>
      </c>
      <c r="Q3779" s="7"/>
      <c r="R3779" s="1"/>
      <c r="S3779" s="1" t="str">
        <f>"J-UN-2022-29"</f>
        <v>J-UN-2022-29</v>
      </c>
      <c r="T3779" s="1" t="s">
        <v>32</v>
      </c>
    </row>
    <row r="3780" spans="1:20" ht="76.5" x14ac:dyDescent="0.25">
      <c r="A3780" s="6">
        <v>3774</v>
      </c>
      <c r="B3780" s="1" t="str">
        <f>"2021-315"</f>
        <v>2021-315</v>
      </c>
      <c r="C3780" s="1" t="s">
        <v>2706</v>
      </c>
      <c r="D3780" s="1" t="s">
        <v>1334</v>
      </c>
      <c r="E3780" s="1" t="str">
        <f>""</f>
        <v/>
      </c>
      <c r="F3780" s="1" t="s">
        <v>1860</v>
      </c>
      <c r="G3780" s="1" t="str">
        <f>CONCATENATE(" SMIT-COMMERCE D.O.O.,"," GORNJOSTUPNIČKA 9B,"," 10255 GORNJI STUPNIK,"," OIB: 9524348214")</f>
        <v xml:space="preserve"> SMIT-COMMERCE D.O.O., GORNJOSTUPNIČKA 9B, 10255 GORNJI STUPNIK, OIB: 9524348214</v>
      </c>
      <c r="H3780" s="7"/>
      <c r="I3780" s="8" t="s">
        <v>930</v>
      </c>
      <c r="J3780" s="8" t="s">
        <v>3035</v>
      </c>
      <c r="K3780" s="6" t="str">
        <f>"1.139,72"</f>
        <v>1.139,72</v>
      </c>
      <c r="L3780" s="6" t="str">
        <f>"284,93"</f>
        <v>284,93</v>
      </c>
      <c r="M3780" s="6" t="str">
        <f>"1.424,65"</f>
        <v>1.424,65</v>
      </c>
      <c r="N3780" s="8" t="s">
        <v>757</v>
      </c>
      <c r="O3780" s="7"/>
      <c r="P3780" s="2" t="s">
        <v>7859</v>
      </c>
      <c r="Q3780" s="7"/>
      <c r="R3780" s="1"/>
      <c r="S3780" s="1" t="str">
        <f>"J-UN-2022-30"</f>
        <v>J-UN-2022-30</v>
      </c>
      <c r="T3780" s="1" t="s">
        <v>32</v>
      </c>
    </row>
    <row r="3781" spans="1:20" ht="38.25" x14ac:dyDescent="0.25">
      <c r="A3781" s="6">
        <v>3775</v>
      </c>
      <c r="B3781" s="1" t="str">
        <f>"2021-882"</f>
        <v>2021-882</v>
      </c>
      <c r="C3781" s="1" t="s">
        <v>2565</v>
      </c>
      <c r="D3781" s="1" t="s">
        <v>1833</v>
      </c>
      <c r="E3781" s="1" t="str">
        <f>""</f>
        <v/>
      </c>
      <c r="F3781" s="1" t="s">
        <v>1860</v>
      </c>
      <c r="G3781" s="1" t="str">
        <f>CONCATENATE(" R-PIM D.O.O.,"," ,"," OIB: 38514700472")</f>
        <v xml:space="preserve"> R-PIM D.O.O., , OIB: 38514700472</v>
      </c>
      <c r="H3781" s="7"/>
      <c r="I3781" s="8" t="s">
        <v>80</v>
      </c>
      <c r="J3781" s="8" t="s">
        <v>1186</v>
      </c>
      <c r="K3781" s="6" t="str">
        <f>"5.286,00"</f>
        <v>5.286,00</v>
      </c>
      <c r="L3781" s="6" t="str">
        <f>"1.321,50"</f>
        <v>1.321,50</v>
      </c>
      <c r="M3781" s="6" t="str">
        <f>"6.607,50"</f>
        <v>6.607,50</v>
      </c>
      <c r="N3781" s="8" t="s">
        <v>930</v>
      </c>
      <c r="O3781" s="7"/>
      <c r="P3781" s="2" t="s">
        <v>7860</v>
      </c>
      <c r="Q3781" s="7"/>
      <c r="R3781" s="1"/>
      <c r="S3781" s="1" t="str">
        <f>"J-UN-2022-33"</f>
        <v>J-UN-2022-33</v>
      </c>
      <c r="T3781" s="1" t="s">
        <v>32</v>
      </c>
    </row>
    <row r="3782" spans="1:20" ht="51" x14ac:dyDescent="0.25">
      <c r="A3782" s="6">
        <v>3776</v>
      </c>
      <c r="B3782" s="1" t="str">
        <f>"2021-1019"</f>
        <v>2021-1019</v>
      </c>
      <c r="C3782" s="1" t="s">
        <v>2720</v>
      </c>
      <c r="D3782" s="1" t="s">
        <v>21</v>
      </c>
      <c r="E3782" s="1" t="str">
        <f>""</f>
        <v/>
      </c>
      <c r="F3782" s="1" t="s">
        <v>1860</v>
      </c>
      <c r="G3782" s="1" t="str">
        <f>CONCATENATE(" STAR IMPORT D.O.O.,"," KOVINSKA 5,"," 10090 ZAGREB-SUSEDGRAD,"," OIB: 783122799")</f>
        <v xml:space="preserve"> STAR IMPORT D.O.O., KOVINSKA 5, 10090 ZAGREB-SUSEDGRAD, OIB: 783122799</v>
      </c>
      <c r="H3782" s="7"/>
      <c r="I3782" s="8" t="s">
        <v>392</v>
      </c>
      <c r="J3782" s="8" t="s">
        <v>3021</v>
      </c>
      <c r="K3782" s="6" t="str">
        <f>"7.245,45"</f>
        <v>7.245,45</v>
      </c>
      <c r="L3782" s="6" t="str">
        <f>"1.811,36"</f>
        <v>1.811,36</v>
      </c>
      <c r="M3782" s="6" t="str">
        <f>"9.056,81"</f>
        <v>9.056,81</v>
      </c>
      <c r="N3782" s="8" t="s">
        <v>604</v>
      </c>
      <c r="O3782" s="7"/>
      <c r="P3782" s="2" t="s">
        <v>7861</v>
      </c>
      <c r="Q3782" s="7"/>
      <c r="R3782" s="1"/>
      <c r="S3782" s="1" t="str">
        <f>"J-UN-2022-34"</f>
        <v>J-UN-2022-34</v>
      </c>
      <c r="T3782" s="1" t="s">
        <v>32</v>
      </c>
    </row>
    <row r="3783" spans="1:20" ht="63.75" x14ac:dyDescent="0.25">
      <c r="A3783" s="6">
        <v>3777</v>
      </c>
      <c r="B3783" s="1" t="str">
        <f>"2021-169"</f>
        <v>2021-169</v>
      </c>
      <c r="C3783" s="1" t="s">
        <v>2620</v>
      </c>
      <c r="D3783" s="1" t="s">
        <v>665</v>
      </c>
      <c r="E3783" s="1" t="str">
        <f>""</f>
        <v/>
      </c>
      <c r="F3783" s="1" t="s">
        <v>1860</v>
      </c>
      <c r="G3783" s="1" t="str">
        <f>CONCATENATE(" ELEKTRO-KOMUNIKACIJE D.O.O.,"," 14. PODBREŽJE 4,"," 10000 ZAGREB,"," OIB: 76412373309")</f>
        <v xml:space="preserve"> ELEKTRO-KOMUNIKACIJE D.O.O., 14. PODBREŽJE 4, 10000 ZAGREB, OIB: 76412373309</v>
      </c>
      <c r="H3783" s="7"/>
      <c r="I3783" s="8" t="s">
        <v>708</v>
      </c>
      <c r="J3783" s="8" t="s">
        <v>3033</v>
      </c>
      <c r="K3783" s="6" t="str">
        <f>"2.532,00"</f>
        <v>2.532,00</v>
      </c>
      <c r="L3783" s="6" t="str">
        <f>"633,00"</f>
        <v>633,00</v>
      </c>
      <c r="M3783" s="6" t="str">
        <f>"3.165,00"</f>
        <v>3.165,00</v>
      </c>
      <c r="N3783" s="8" t="s">
        <v>202</v>
      </c>
      <c r="O3783" s="7"/>
      <c r="P3783" s="2" t="s">
        <v>7862</v>
      </c>
      <c r="Q3783" s="7"/>
      <c r="R3783" s="1"/>
      <c r="S3783" s="1" t="str">
        <f>"J-UN-2022-35"</f>
        <v>J-UN-2022-35</v>
      </c>
      <c r="T3783" s="1" t="s">
        <v>32</v>
      </c>
    </row>
    <row r="3784" spans="1:20" ht="63.75" x14ac:dyDescent="0.25">
      <c r="A3784" s="6">
        <v>3778</v>
      </c>
      <c r="B3784" s="1" t="str">
        <f>"2021-143"</f>
        <v>2021-143</v>
      </c>
      <c r="C3784" s="1" t="s">
        <v>2621</v>
      </c>
      <c r="D3784" s="1" t="s">
        <v>2622</v>
      </c>
      <c r="E3784" s="1" t="str">
        <f>""</f>
        <v/>
      </c>
      <c r="F3784" s="1" t="s">
        <v>1860</v>
      </c>
      <c r="G3784" s="1" t="str">
        <f>CONCATENATE(" KEMOBOJA-DUBRAVA D.O.O.,"," AVENIJA DUBRAVA 37,"," 10000 ZAGREB,"," OIB: 6402157427")</f>
        <v xml:space="preserve"> KEMOBOJA-DUBRAVA D.O.O., AVENIJA DUBRAVA 37, 10000 ZAGREB, OIB: 6402157427</v>
      </c>
      <c r="H3784" s="7"/>
      <c r="I3784" s="8" t="s">
        <v>416</v>
      </c>
      <c r="J3784" s="8" t="s">
        <v>2496</v>
      </c>
      <c r="K3784" s="6" t="str">
        <f>"1.382,04"</f>
        <v>1.382,04</v>
      </c>
      <c r="L3784" s="6" t="str">
        <f>"345,51"</f>
        <v>345,51</v>
      </c>
      <c r="M3784" s="6" t="str">
        <f>"1.727,55"</f>
        <v>1.727,55</v>
      </c>
      <c r="N3784" s="8" t="s">
        <v>1139</v>
      </c>
      <c r="O3784" s="7"/>
      <c r="P3784" s="2" t="s">
        <v>7863</v>
      </c>
      <c r="Q3784" s="7"/>
      <c r="R3784" s="1"/>
      <c r="S3784" s="1" t="str">
        <f>"J-UN-2022-37"</f>
        <v>J-UN-2022-37</v>
      </c>
      <c r="T3784" s="1" t="s">
        <v>32</v>
      </c>
    </row>
    <row r="3785" spans="1:20" ht="51" x14ac:dyDescent="0.25">
      <c r="A3785" s="6">
        <v>3779</v>
      </c>
      <c r="B3785" s="1" t="str">
        <f>"2021-1498"</f>
        <v>2021-1498</v>
      </c>
      <c r="C3785" s="1" t="s">
        <v>2641</v>
      </c>
      <c r="D3785" s="1" t="s">
        <v>515</v>
      </c>
      <c r="E3785" s="1" t="str">
        <f>""</f>
        <v/>
      </c>
      <c r="F3785" s="1" t="s">
        <v>1860</v>
      </c>
      <c r="G3785" s="1" t="str">
        <f>CONCATENATE(" INSTITUT IGH D.D.,"," JANKA RAKUŠE 1,"," 10000 ZAGREB,"," OIB: 79766124714")</f>
        <v xml:space="preserve"> INSTITUT IGH D.D., JANKA RAKUŠE 1, 10000 ZAGREB, OIB: 79766124714</v>
      </c>
      <c r="H3785" s="7"/>
      <c r="I3785" s="8" t="s">
        <v>416</v>
      </c>
      <c r="J3785" s="8" t="s">
        <v>2496</v>
      </c>
      <c r="K3785" s="6" t="str">
        <f>"55.000,00"</f>
        <v>55.000,00</v>
      </c>
      <c r="L3785" s="6" t="str">
        <f>"13.750,00"</f>
        <v>13.750,00</v>
      </c>
      <c r="M3785" s="6" t="str">
        <f>"68.750,00"</f>
        <v>68.750,00</v>
      </c>
      <c r="N3785" s="8" t="s">
        <v>93</v>
      </c>
      <c r="O3785" s="7"/>
      <c r="P3785" s="2" t="s">
        <v>7864</v>
      </c>
      <c r="Q3785" s="7"/>
      <c r="R3785" s="1"/>
      <c r="S3785" s="1" t="str">
        <f>"J-UN-2022-38"</f>
        <v>J-UN-2022-38</v>
      </c>
      <c r="T3785" s="1" t="s">
        <v>32</v>
      </c>
    </row>
    <row r="3786" spans="1:20" ht="63.75" x14ac:dyDescent="0.25">
      <c r="A3786" s="6">
        <v>3780</v>
      </c>
      <c r="B3786" s="1" t="str">
        <f>"2021-1168"</f>
        <v>2021-1168</v>
      </c>
      <c r="C3786" s="1" t="s">
        <v>2784</v>
      </c>
      <c r="D3786" s="1" t="s">
        <v>2785</v>
      </c>
      <c r="E3786" s="1" t="str">
        <f>""</f>
        <v/>
      </c>
      <c r="F3786" s="1" t="s">
        <v>1860</v>
      </c>
      <c r="G3786" s="1" t="str">
        <f>CONCATENATE(" KUM TRADE ENGINEERING D.O.O.,"," SAVSKI GAJ XIII PUT 2,"," 10000 ZAGREB,"," OIB: 15856331916")</f>
        <v xml:space="preserve"> KUM TRADE ENGINEERING D.O.O., SAVSKI GAJ XIII PUT 2, 10000 ZAGREB, OIB: 15856331916</v>
      </c>
      <c r="H3786" s="7"/>
      <c r="I3786" s="8" t="s">
        <v>416</v>
      </c>
      <c r="J3786" s="8" t="s">
        <v>2496</v>
      </c>
      <c r="K3786" s="6" t="str">
        <f>"59.452,00"</f>
        <v>59.452,00</v>
      </c>
      <c r="L3786" s="6" t="str">
        <f>"14.863,00"</f>
        <v>14.863,00</v>
      </c>
      <c r="M3786" s="6" t="str">
        <f>"74.315,00"</f>
        <v>74.315,00</v>
      </c>
      <c r="N3786" s="8" t="s">
        <v>450</v>
      </c>
      <c r="O3786" s="7"/>
      <c r="P3786" s="2" t="s">
        <v>7865</v>
      </c>
      <c r="Q3786" s="7"/>
      <c r="R3786" s="1"/>
      <c r="S3786" s="1" t="str">
        <f>"J-UN-2022-39"</f>
        <v>J-UN-2022-39</v>
      </c>
      <c r="T3786" s="1" t="s">
        <v>32</v>
      </c>
    </row>
    <row r="3787" spans="1:20" ht="51" x14ac:dyDescent="0.25">
      <c r="A3787" s="6">
        <v>3781</v>
      </c>
      <c r="B3787" s="1" t="str">
        <f>"2021-463"</f>
        <v>2021-463</v>
      </c>
      <c r="C3787" s="1" t="s">
        <v>2600</v>
      </c>
      <c r="D3787" s="1" t="s">
        <v>2601</v>
      </c>
      <c r="E3787" s="1" t="str">
        <f>""</f>
        <v/>
      </c>
      <c r="F3787" s="1" t="s">
        <v>1860</v>
      </c>
      <c r="G3787" s="1" t="str">
        <f>CONCATENATE(" PRO-TEHNA D.O.O.,"," MAKSIMIRSKA 64,"," 10000 ZAGREB,"," OIB: 88951687357")</f>
        <v xml:space="preserve"> PRO-TEHNA D.O.O., MAKSIMIRSKA 64, 10000 ZAGREB, OIB: 88951687357</v>
      </c>
      <c r="H3787" s="7"/>
      <c r="I3787" s="8" t="s">
        <v>1549</v>
      </c>
      <c r="J3787" s="8" t="s">
        <v>2304</v>
      </c>
      <c r="K3787" s="6" t="str">
        <f>"8.312,00"</f>
        <v>8.312,00</v>
      </c>
      <c r="L3787" s="6" t="str">
        <f>"2.078,00"</f>
        <v>2.078,00</v>
      </c>
      <c r="M3787" s="6" t="str">
        <f>"10.390,00"</f>
        <v>10.390,00</v>
      </c>
      <c r="N3787" s="8" t="s">
        <v>671</v>
      </c>
      <c r="O3787" s="7"/>
      <c r="P3787" s="2" t="s">
        <v>7866</v>
      </c>
      <c r="Q3787" s="7"/>
      <c r="R3787" s="1"/>
      <c r="S3787" s="1" t="str">
        <f>"J-UN-2022-40"</f>
        <v>J-UN-2022-40</v>
      </c>
      <c r="T3787" s="1" t="s">
        <v>32</v>
      </c>
    </row>
    <row r="3788" spans="1:20" ht="51" x14ac:dyDescent="0.25">
      <c r="A3788" s="6">
        <v>3782</v>
      </c>
      <c r="B3788" s="1" t="str">
        <f>"2021-478"</f>
        <v>2021-478</v>
      </c>
      <c r="C3788" s="1" t="s">
        <v>2714</v>
      </c>
      <c r="D3788" s="1" t="s">
        <v>619</v>
      </c>
      <c r="E3788" s="1" t="str">
        <f>""</f>
        <v/>
      </c>
      <c r="F3788" s="1" t="s">
        <v>1860</v>
      </c>
      <c r="G3788" s="1" t="str">
        <f>CONCATENATE(" NIACO D.O.O.,"," IVANA KAMENARIĆA 9,"," 10380 SVETI IVAN ZELINA,"," OIB: 61876916009")</f>
        <v xml:space="preserve"> NIACO D.O.O., IVANA KAMENARIĆA 9, 10380 SVETI IVAN ZELINA, OIB: 61876916009</v>
      </c>
      <c r="H3788" s="7"/>
      <c r="I3788" s="8" t="s">
        <v>561</v>
      </c>
      <c r="J3788" s="8" t="s">
        <v>1238</v>
      </c>
      <c r="K3788" s="6" t="str">
        <f>"6.420,00"</f>
        <v>6.420,00</v>
      </c>
      <c r="L3788" s="6" t="str">
        <f>"1.605,00"</f>
        <v>1.605,00</v>
      </c>
      <c r="M3788" s="6" t="str">
        <f>"8.025,00"</f>
        <v>8.025,00</v>
      </c>
      <c r="N3788" s="8" t="s">
        <v>698</v>
      </c>
      <c r="O3788" s="7"/>
      <c r="P3788" s="2" t="s">
        <v>7867</v>
      </c>
      <c r="Q3788" s="7"/>
      <c r="R3788" s="1"/>
      <c r="S3788" s="1" t="str">
        <f>"J-UN-2022-42"</f>
        <v>J-UN-2022-42</v>
      </c>
      <c r="T3788" s="1" t="s">
        <v>32</v>
      </c>
    </row>
    <row r="3789" spans="1:20" ht="51" x14ac:dyDescent="0.25">
      <c r="A3789" s="6">
        <v>3783</v>
      </c>
      <c r="B3789" s="1" t="str">
        <f>"2021-626"</f>
        <v>2021-626</v>
      </c>
      <c r="C3789" s="1" t="s">
        <v>2799</v>
      </c>
      <c r="D3789" s="1" t="s">
        <v>794</v>
      </c>
      <c r="E3789" s="1" t="str">
        <f>""</f>
        <v/>
      </c>
      <c r="F3789" s="1" t="s">
        <v>1860</v>
      </c>
      <c r="G3789" s="1" t="str">
        <f>CONCATENATE(" INFOART D.O.O.,"," LASTOVSKA 23,"," 10000 ZAGREB,"," OIB: 88255578438")</f>
        <v xml:space="preserve"> INFOART D.O.O., LASTOVSKA 23, 10000 ZAGREB, OIB: 88255578438</v>
      </c>
      <c r="H3789" s="7"/>
      <c r="I3789" s="8" t="s">
        <v>416</v>
      </c>
      <c r="J3789" s="8" t="s">
        <v>2496</v>
      </c>
      <c r="K3789" s="6" t="str">
        <f>"42.000,00"</f>
        <v>42.000,00</v>
      </c>
      <c r="L3789" s="6" t="str">
        <f>"10.500,00"</f>
        <v>10.500,00</v>
      </c>
      <c r="M3789" s="6" t="str">
        <f>"52.500,00"</f>
        <v>52.500,00</v>
      </c>
      <c r="N3789" s="8" t="s">
        <v>124</v>
      </c>
      <c r="O3789" s="7"/>
      <c r="P3789" s="2" t="s">
        <v>6834</v>
      </c>
      <c r="Q3789" s="7"/>
      <c r="R3789" s="1"/>
      <c r="S3789" s="1" t="str">
        <f>"J-UN-2022-43"</f>
        <v>J-UN-2022-43</v>
      </c>
      <c r="T3789" s="1" t="s">
        <v>32</v>
      </c>
    </row>
    <row r="3790" spans="1:20" ht="63.75" x14ac:dyDescent="0.25">
      <c r="A3790" s="6">
        <v>3784</v>
      </c>
      <c r="B3790" s="1" t="str">
        <f>"2021-1053"</f>
        <v>2021-1053</v>
      </c>
      <c r="C3790" s="1" t="s">
        <v>2783</v>
      </c>
      <c r="D3790" s="1" t="s">
        <v>471</v>
      </c>
      <c r="E3790" s="1" t="str">
        <f>""</f>
        <v/>
      </c>
      <c r="F3790" s="1" t="s">
        <v>1860</v>
      </c>
      <c r="G3790" s="1" t="str">
        <f>CONCATENATE(" INFO-KOD d.o.o.,"," DINARSKI PUT 1B,"," 10090 ZAGREB-SUSEDGRAD,"," OIB: 87565323632")</f>
        <v xml:space="preserve"> INFO-KOD d.o.o., DINARSKI PUT 1B, 10090 ZAGREB-SUSEDGRAD, OIB: 87565323632</v>
      </c>
      <c r="H3790" s="7"/>
      <c r="I3790" s="8" t="s">
        <v>416</v>
      </c>
      <c r="J3790" s="8" t="s">
        <v>2496</v>
      </c>
      <c r="K3790" s="6" t="str">
        <f>"3.170,00"</f>
        <v>3.170,00</v>
      </c>
      <c r="L3790" s="6" t="str">
        <f>"792,50"</f>
        <v>792,50</v>
      </c>
      <c r="M3790" s="6" t="str">
        <f>"3.962,50"</f>
        <v>3.962,50</v>
      </c>
      <c r="N3790" s="8" t="s">
        <v>667</v>
      </c>
      <c r="O3790" s="7"/>
      <c r="P3790" s="2" t="s">
        <v>7868</v>
      </c>
      <c r="Q3790" s="7"/>
      <c r="R3790" s="1"/>
      <c r="S3790" s="1" t="str">
        <f>"J-UN-2022-44"</f>
        <v>J-UN-2022-44</v>
      </c>
      <c r="T3790" s="1" t="s">
        <v>32</v>
      </c>
    </row>
    <row r="3791" spans="1:20" ht="51" x14ac:dyDescent="0.25">
      <c r="A3791" s="6">
        <v>3785</v>
      </c>
      <c r="B3791" s="1" t="str">
        <f>"2021-438"</f>
        <v>2021-438</v>
      </c>
      <c r="C3791" s="1" t="s">
        <v>2793</v>
      </c>
      <c r="D3791" s="1" t="s">
        <v>1619</v>
      </c>
      <c r="E3791" s="1" t="str">
        <f>""</f>
        <v/>
      </c>
      <c r="F3791" s="1" t="s">
        <v>1860</v>
      </c>
      <c r="G3791" s="1" t="str">
        <f>CONCATENATE(" TRIDION D.O.O.,"," ZAPADNA LOZICA 10,"," 10000 ZAGREB,"," OIB: 79247590666")</f>
        <v xml:space="preserve"> TRIDION D.O.O., ZAPADNA LOZICA 10, 10000 ZAGREB, OIB: 79247590666</v>
      </c>
      <c r="H3791" s="7"/>
      <c r="I3791" s="8" t="s">
        <v>496</v>
      </c>
      <c r="J3791" s="8" t="s">
        <v>1205</v>
      </c>
      <c r="K3791" s="6" t="str">
        <f>"18.323,51"</f>
        <v>18.323,51</v>
      </c>
      <c r="L3791" s="6" t="str">
        <f>"4.580,88"</f>
        <v>4.580,88</v>
      </c>
      <c r="M3791" s="6" t="str">
        <f>"22.904,39"</f>
        <v>22.904,39</v>
      </c>
      <c r="N3791" s="8" t="s">
        <v>496</v>
      </c>
      <c r="O3791" s="7"/>
      <c r="P3791" s="2" t="s">
        <v>7869</v>
      </c>
      <c r="Q3791" s="7"/>
      <c r="R3791" s="1"/>
      <c r="S3791" s="1" t="str">
        <f>"J-UN-2022-45"</f>
        <v>J-UN-2022-45</v>
      </c>
      <c r="T3791" s="1" t="s">
        <v>32</v>
      </c>
    </row>
    <row r="3792" spans="1:20" ht="51" x14ac:dyDescent="0.25">
      <c r="A3792" s="6">
        <v>3786</v>
      </c>
      <c r="B3792" s="1" t="str">
        <f>"2021-479"</f>
        <v>2021-479</v>
      </c>
      <c r="C3792" s="1" t="s">
        <v>2679</v>
      </c>
      <c r="D3792" s="1" t="s">
        <v>619</v>
      </c>
      <c r="E3792" s="1" t="str">
        <f>""</f>
        <v/>
      </c>
      <c r="F3792" s="1" t="s">
        <v>1860</v>
      </c>
      <c r="G3792" s="1" t="str">
        <f>CONCATENATE(" TRIDION D.O.O.,"," ZAPADNA LOZICA 10,"," 10000 ZAGREB,"," OIB: 79247590666")</f>
        <v xml:space="preserve"> TRIDION D.O.O., ZAPADNA LOZICA 10, 10000 ZAGREB, OIB: 79247590666</v>
      </c>
      <c r="H3792" s="7"/>
      <c r="I3792" s="8" t="s">
        <v>392</v>
      </c>
      <c r="J3792" s="8" t="s">
        <v>3021</v>
      </c>
      <c r="K3792" s="6" t="str">
        <f>"29.897,89"</f>
        <v>29.897,89</v>
      </c>
      <c r="L3792" s="6" t="str">
        <f>"7.474,47"</f>
        <v>7.474,47</v>
      </c>
      <c r="M3792" s="6" t="str">
        <f>"37.372,36"</f>
        <v>37.372,36</v>
      </c>
      <c r="N3792" s="8" t="s">
        <v>496</v>
      </c>
      <c r="O3792" s="7"/>
      <c r="P3792" s="2" t="s">
        <v>7870</v>
      </c>
      <c r="Q3792" s="1" t="s">
        <v>5601</v>
      </c>
      <c r="R3792" s="1"/>
      <c r="S3792" s="1" t="str">
        <f>"J-UN-2022-46"</f>
        <v>J-UN-2022-46</v>
      </c>
      <c r="T3792" s="1" t="s">
        <v>32</v>
      </c>
    </row>
    <row r="3793" spans="1:20" ht="63.75" x14ac:dyDescent="0.25">
      <c r="A3793" s="6">
        <v>3787</v>
      </c>
      <c r="B3793" s="1" t="str">
        <f>"2021-1791"</f>
        <v>2021-1791</v>
      </c>
      <c r="C3793" s="1" t="s">
        <v>2558</v>
      </c>
      <c r="D3793" s="1" t="s">
        <v>860</v>
      </c>
      <c r="E3793" s="1" t="str">
        <f>""</f>
        <v/>
      </c>
      <c r="F3793" s="1" t="s">
        <v>1860</v>
      </c>
      <c r="G3793" s="1" t="str">
        <f>CONCATENATE(" METAL KRMPOTIĆ D.O.O.,"," SAMOBORSKA 230,"," 10090 ZAGREB-SUSEDGRAD,"," OIB: 09304335375")</f>
        <v xml:space="preserve"> METAL KRMPOTIĆ D.O.O., SAMOBORSKA 230, 10090 ZAGREB-SUSEDGRAD, OIB: 09304335375</v>
      </c>
      <c r="H3793" s="7"/>
      <c r="I3793" s="8" t="s">
        <v>392</v>
      </c>
      <c r="J3793" s="8" t="s">
        <v>3021</v>
      </c>
      <c r="K3793" s="6" t="str">
        <f>"1.200,00"</f>
        <v>1.200,00</v>
      </c>
      <c r="L3793" s="6" t="str">
        <f>"300,00"</f>
        <v>300,00</v>
      </c>
      <c r="M3793" s="6" t="str">
        <f>"1.500,00"</f>
        <v>1.500,00</v>
      </c>
      <c r="N3793" s="8" t="s">
        <v>801</v>
      </c>
      <c r="O3793" s="7"/>
      <c r="P3793" s="2" t="s">
        <v>6384</v>
      </c>
      <c r="Q3793" s="7"/>
      <c r="R3793" s="1"/>
      <c r="S3793" s="1" t="str">
        <f>"J-UN-2022-48"</f>
        <v>J-UN-2022-48</v>
      </c>
      <c r="T3793" s="1" t="s">
        <v>32</v>
      </c>
    </row>
    <row r="3794" spans="1:20" ht="51" x14ac:dyDescent="0.25">
      <c r="A3794" s="6">
        <v>3788</v>
      </c>
      <c r="B3794" s="1" t="str">
        <f>"2021-2327"</f>
        <v>2021-2327</v>
      </c>
      <c r="C3794" s="1" t="s">
        <v>2966</v>
      </c>
      <c r="D3794" s="1" t="s">
        <v>1726</v>
      </c>
      <c r="E3794" s="1" t="str">
        <f>""</f>
        <v/>
      </c>
      <c r="F3794" s="1" t="s">
        <v>1860</v>
      </c>
      <c r="G3794" s="1" t="str">
        <f>CONCATENATE(" DOBRO RJEŠENJE D.O.O.,"," ZAVRTNICA 3,"," 10000 ZAGREB,"," OIB: 33104804103")</f>
        <v xml:space="preserve"> DOBRO RJEŠENJE D.O.O., ZAVRTNICA 3, 10000 ZAGREB, OIB: 33104804103</v>
      </c>
      <c r="H3794" s="7"/>
      <c r="I3794" s="8" t="s">
        <v>392</v>
      </c>
      <c r="J3794" s="8" t="s">
        <v>3021</v>
      </c>
      <c r="K3794" s="6" t="str">
        <f>"30.990,00"</f>
        <v>30.990,00</v>
      </c>
      <c r="L3794" s="6" t="str">
        <f>"7.747,50"</f>
        <v>7.747,50</v>
      </c>
      <c r="M3794" s="6" t="str">
        <f>"38.737,50"</f>
        <v>38.737,50</v>
      </c>
      <c r="N3794" s="8" t="s">
        <v>2310</v>
      </c>
      <c r="O3794" s="7"/>
      <c r="P3794" s="2" t="s">
        <v>7871</v>
      </c>
      <c r="Q3794" s="7"/>
      <c r="R3794" s="1"/>
      <c r="S3794" s="1" t="str">
        <f>"J-UN-2022-49"</f>
        <v>J-UN-2022-49</v>
      </c>
      <c r="T3794" s="1" t="s">
        <v>32</v>
      </c>
    </row>
    <row r="3795" spans="1:20" ht="63.75" x14ac:dyDescent="0.25">
      <c r="A3795" s="6">
        <v>3789</v>
      </c>
      <c r="B3795" s="1" t="str">
        <f>"2021-2280"</f>
        <v>2021-2280</v>
      </c>
      <c r="C3795" s="1" t="s">
        <v>2897</v>
      </c>
      <c r="D3795" s="1" t="s">
        <v>1619</v>
      </c>
      <c r="E3795" s="1" t="str">
        <f>""</f>
        <v/>
      </c>
      <c r="F3795" s="1" t="s">
        <v>1860</v>
      </c>
      <c r="G3795" s="1" t="str">
        <f>CONCATENATE(" DDSERVIS D.O.O.,"," SISAČKA CESTA III ODVOJAK 7,"," 10020 ZAGREB,"," OIB: 95325472047")</f>
        <v xml:space="preserve"> DDSERVIS D.O.O., SISAČKA CESTA III ODVOJAK 7, 10020 ZAGREB, OIB: 95325472047</v>
      </c>
      <c r="H3795" s="7"/>
      <c r="I3795" s="8" t="s">
        <v>392</v>
      </c>
      <c r="J3795" s="8" t="s">
        <v>3021</v>
      </c>
      <c r="K3795" s="6" t="str">
        <f>"4.933,73"</f>
        <v>4.933,73</v>
      </c>
      <c r="L3795" s="6" t="str">
        <f>"1.233,43"</f>
        <v>1.233,43</v>
      </c>
      <c r="M3795" s="6" t="str">
        <f>"6.167,16"</f>
        <v>6.167,16</v>
      </c>
      <c r="N3795" s="8" t="s">
        <v>2310</v>
      </c>
      <c r="O3795" s="7"/>
      <c r="P3795" s="2" t="s">
        <v>7872</v>
      </c>
      <c r="Q3795" s="7"/>
      <c r="R3795" s="1"/>
      <c r="S3795" s="1" t="str">
        <f>"J-UN-2022-50"</f>
        <v>J-UN-2022-50</v>
      </c>
      <c r="T3795" s="1" t="s">
        <v>32</v>
      </c>
    </row>
    <row r="3796" spans="1:20" ht="76.5" x14ac:dyDescent="0.25">
      <c r="A3796" s="6">
        <v>3790</v>
      </c>
      <c r="B3796" s="1" t="str">
        <f>"2021-1015"</f>
        <v>2021-1015</v>
      </c>
      <c r="C3796" s="1" t="s">
        <v>2492</v>
      </c>
      <c r="D3796" s="1" t="s">
        <v>2493</v>
      </c>
      <c r="E3796" s="1" t="str">
        <f>""</f>
        <v/>
      </c>
      <c r="F3796" s="1" t="s">
        <v>1860</v>
      </c>
      <c r="G3796" s="1" t="str">
        <f>CONCATENATE(" AUTOELEKTRO - OBRT,"," VL. BORIS KAJFEŠ,"," SAMOBORSKA CESTA 308,"," 10090 ZAGREB-SUSEDGRAD,"," OIB: 14433749943")</f>
        <v xml:space="preserve"> AUTOELEKTRO - OBRT, VL. BORIS KAJFEŠ, SAMOBORSKA CESTA 308, 10090 ZAGREB-SUSEDGRAD, OIB: 14433749943</v>
      </c>
      <c r="H3796" s="7"/>
      <c r="I3796" s="8" t="s">
        <v>392</v>
      </c>
      <c r="J3796" s="8" t="s">
        <v>3021</v>
      </c>
      <c r="K3796" s="6" t="str">
        <f>"906,06"</f>
        <v>906,06</v>
      </c>
      <c r="L3796" s="6" t="str">
        <f>"226,52"</f>
        <v>226,52</v>
      </c>
      <c r="M3796" s="6" t="str">
        <f>"1.132,58"</f>
        <v>1.132,58</v>
      </c>
      <c r="N3796" s="8" t="s">
        <v>2310</v>
      </c>
      <c r="O3796" s="7"/>
      <c r="P3796" s="2" t="s">
        <v>7873</v>
      </c>
      <c r="Q3796" s="7"/>
      <c r="R3796" s="1"/>
      <c r="S3796" s="1" t="str">
        <f>"J-UN-2022-51"</f>
        <v>J-UN-2022-51</v>
      </c>
      <c r="T3796" s="1" t="s">
        <v>32</v>
      </c>
    </row>
    <row r="3797" spans="1:20" ht="63.75" x14ac:dyDescent="0.25">
      <c r="A3797" s="6">
        <v>3791</v>
      </c>
      <c r="B3797" s="1" t="str">
        <f>"2021-378"</f>
        <v>2021-378</v>
      </c>
      <c r="C3797" s="1" t="s">
        <v>2689</v>
      </c>
      <c r="D3797" s="1" t="s">
        <v>2577</v>
      </c>
      <c r="E3797" s="1" t="str">
        <f>""</f>
        <v/>
      </c>
      <c r="F3797" s="1" t="s">
        <v>1860</v>
      </c>
      <c r="G3797" s="1" t="str">
        <f>CONCATENATE(" GRA-PO D.O.O.,"," GOSPODARSKA 5B,"," 10255 ZAGREB - STUPNIK,"," OIB: 05364995085")</f>
        <v xml:space="preserve"> GRA-PO D.O.O., GOSPODARSKA 5B, 10255 ZAGREB - STUPNIK, OIB: 05364995085</v>
      </c>
      <c r="H3797" s="7"/>
      <c r="I3797" s="8" t="s">
        <v>392</v>
      </c>
      <c r="J3797" s="8" t="s">
        <v>3021</v>
      </c>
      <c r="K3797" s="6" t="str">
        <f>"4.924,00"</f>
        <v>4.924,00</v>
      </c>
      <c r="L3797" s="6" t="str">
        <f>"1.231,00"</f>
        <v>1.231,00</v>
      </c>
      <c r="M3797" s="6" t="str">
        <f>"6.155,00"</f>
        <v>6.155,00</v>
      </c>
      <c r="N3797" s="8" t="s">
        <v>124</v>
      </c>
      <c r="O3797" s="7"/>
      <c r="P3797" s="2" t="s">
        <v>7874</v>
      </c>
      <c r="Q3797" s="7"/>
      <c r="R3797" s="1"/>
      <c r="S3797" s="1" t="str">
        <f>"J-UN-2022-52"</f>
        <v>J-UN-2022-52</v>
      </c>
      <c r="T3797" s="1" t="s">
        <v>32</v>
      </c>
    </row>
    <row r="3798" spans="1:20" ht="51" x14ac:dyDescent="0.25">
      <c r="A3798" s="6">
        <v>3792</v>
      </c>
      <c r="B3798" s="1" t="str">
        <f>"2021-915"</f>
        <v>2021-915</v>
      </c>
      <c r="C3798" s="1" t="s">
        <v>2563</v>
      </c>
      <c r="D3798" s="1" t="s">
        <v>914</v>
      </c>
      <c r="E3798" s="1" t="str">
        <f>""</f>
        <v/>
      </c>
      <c r="F3798" s="1" t="s">
        <v>1860</v>
      </c>
      <c r="G3798" s="1" t="str">
        <f>CONCATENATE(" D.R. AUTO D.O.O.,"," SELSKA CESTA 34,"," 10000 ZAGREB,"," OIB: 07523847158")</f>
        <v xml:space="preserve"> D.R. AUTO D.O.O., SELSKA CESTA 34, 10000 ZAGREB, OIB: 07523847158</v>
      </c>
      <c r="H3798" s="7"/>
      <c r="I3798" s="8" t="s">
        <v>392</v>
      </c>
      <c r="J3798" s="8" t="s">
        <v>3021</v>
      </c>
      <c r="K3798" s="6" t="str">
        <f>"2.499,00"</f>
        <v>2.499,00</v>
      </c>
      <c r="L3798" s="6" t="str">
        <f>"624,75"</f>
        <v>624,75</v>
      </c>
      <c r="M3798" s="6" t="str">
        <f>"3.123,75"</f>
        <v>3.123,75</v>
      </c>
      <c r="N3798" s="8" t="s">
        <v>1549</v>
      </c>
      <c r="O3798" s="7"/>
      <c r="P3798" s="2" t="s">
        <v>7875</v>
      </c>
      <c r="Q3798" s="7"/>
      <c r="R3798" s="1"/>
      <c r="S3798" s="1" t="str">
        <f>"J-UN-2022-53"</f>
        <v>J-UN-2022-53</v>
      </c>
      <c r="T3798" s="1" t="s">
        <v>32</v>
      </c>
    </row>
    <row r="3799" spans="1:20" ht="51" x14ac:dyDescent="0.25">
      <c r="A3799" s="6">
        <v>3793</v>
      </c>
      <c r="B3799" s="1" t="str">
        <f>"2021-378"</f>
        <v>2021-378</v>
      </c>
      <c r="C3799" s="1" t="s">
        <v>2689</v>
      </c>
      <c r="D3799" s="1" t="s">
        <v>2577</v>
      </c>
      <c r="E3799" s="1" t="str">
        <f>""</f>
        <v/>
      </c>
      <c r="F3799" s="1" t="s">
        <v>1860</v>
      </c>
      <c r="G3799" s="1" t="str">
        <f>CONCATENATE(" VISINA DIR D.O.O.,"," SAVSKA CESTA 1A,"," 10437 BRESTOVJE,"," OIB: 69154724516")</f>
        <v xml:space="preserve"> VISINA DIR D.O.O., SAVSKA CESTA 1A, 10437 BRESTOVJE, OIB: 69154724516</v>
      </c>
      <c r="H3799" s="7"/>
      <c r="I3799" s="8" t="s">
        <v>392</v>
      </c>
      <c r="J3799" s="8" t="s">
        <v>3021</v>
      </c>
      <c r="K3799" s="6" t="str">
        <f>"843,06"</f>
        <v>843,06</v>
      </c>
      <c r="L3799" s="6" t="str">
        <f>"210,77"</f>
        <v>210,77</v>
      </c>
      <c r="M3799" s="6" t="str">
        <f>"1.053,83"</f>
        <v>1.053,83</v>
      </c>
      <c r="N3799" s="8" t="s">
        <v>124</v>
      </c>
      <c r="O3799" s="7"/>
      <c r="P3799" s="2" t="s">
        <v>5614</v>
      </c>
      <c r="Q3799" s="7"/>
      <c r="R3799" s="1"/>
      <c r="S3799" s="1" t="str">
        <f>"J-UN-2022-54"</f>
        <v>J-UN-2022-54</v>
      </c>
      <c r="T3799" s="1" t="s">
        <v>32</v>
      </c>
    </row>
    <row r="3800" spans="1:20" ht="51" x14ac:dyDescent="0.25">
      <c r="A3800" s="6">
        <v>3794</v>
      </c>
      <c r="B3800" s="1" t="str">
        <f>"2021-906"</f>
        <v>2021-906</v>
      </c>
      <c r="C3800" s="1" t="s">
        <v>2782</v>
      </c>
      <c r="D3800" s="1" t="s">
        <v>815</v>
      </c>
      <c r="E3800" s="1" t="str">
        <f>""</f>
        <v/>
      </c>
      <c r="F3800" s="1" t="s">
        <v>1860</v>
      </c>
      <c r="G3800" s="1" t="str">
        <f>CONCATENATE(" HONGOLDONIA D.O.O.,"," RUJANSKA 4,"," 10000 ZAGREB,"," OIB: 7925585026")</f>
        <v xml:space="preserve"> HONGOLDONIA D.O.O., RUJANSKA 4, 10000 ZAGREB, OIB: 7925585026</v>
      </c>
      <c r="H3800" s="7"/>
      <c r="I3800" s="8" t="s">
        <v>392</v>
      </c>
      <c r="J3800" s="8" t="s">
        <v>3021</v>
      </c>
      <c r="K3800" s="6" t="str">
        <f>"1.535,00"</f>
        <v>1.535,00</v>
      </c>
      <c r="L3800" s="6" t="str">
        <f>"383,75"</f>
        <v>383,75</v>
      </c>
      <c r="M3800" s="6" t="str">
        <f>"1.918,75"</f>
        <v>1.918,75</v>
      </c>
      <c r="N3800" s="8" t="s">
        <v>912</v>
      </c>
      <c r="O3800" s="7"/>
      <c r="P3800" s="2" t="s">
        <v>7876</v>
      </c>
      <c r="Q3800" s="7"/>
      <c r="R3800" s="1"/>
      <c r="S3800" s="1" t="str">
        <f>"J-UN-2022-55"</f>
        <v>J-UN-2022-55</v>
      </c>
      <c r="T3800" s="1" t="s">
        <v>32</v>
      </c>
    </row>
    <row r="3801" spans="1:20" ht="89.25" x14ac:dyDescent="0.25">
      <c r="A3801" s="6">
        <v>3795</v>
      </c>
      <c r="B3801" s="1" t="str">
        <f>"2021-1764"</f>
        <v>2021-1764</v>
      </c>
      <c r="C3801" s="1" t="s">
        <v>2757</v>
      </c>
      <c r="D3801" s="1" t="s">
        <v>2724</v>
      </c>
      <c r="E3801" s="1" t="str">
        <f>""</f>
        <v/>
      </c>
      <c r="F3801" s="1" t="s">
        <v>1860</v>
      </c>
      <c r="G3801" s="1" t="str">
        <f>CONCATENATE(" ZAVOD ZA ISTRAŽIVANJE I RAZVOJ SIGURNOSTI D.O.O.,"," ULICA GRADA VUKOVARA 68,"," 10000 ZAGREB,"," OIB: 05494093403")</f>
        <v xml:space="preserve"> ZAVOD ZA ISTRAŽIVANJE I RAZVOJ SIGURNOSTI D.O.O., ULICA GRADA VUKOVARA 68, 10000 ZAGREB, OIB: 05494093403</v>
      </c>
      <c r="H3801" s="7"/>
      <c r="I3801" s="8" t="s">
        <v>708</v>
      </c>
      <c r="J3801" s="8" t="s">
        <v>3033</v>
      </c>
      <c r="K3801" s="6" t="str">
        <f>"2.900,00"</f>
        <v>2.900,00</v>
      </c>
      <c r="L3801" s="6" t="str">
        <f>"725,00"</f>
        <v>725,00</v>
      </c>
      <c r="M3801" s="6" t="str">
        <f>"3.625,00"</f>
        <v>3.625,00</v>
      </c>
      <c r="N3801" s="8" t="s">
        <v>257</v>
      </c>
      <c r="O3801" s="7"/>
      <c r="P3801" s="2" t="s">
        <v>7203</v>
      </c>
      <c r="Q3801" s="7"/>
      <c r="R3801" s="1"/>
      <c r="S3801" s="1" t="str">
        <f>"J-UN-2022-56"</f>
        <v>J-UN-2022-56</v>
      </c>
      <c r="T3801" s="1" t="s">
        <v>32</v>
      </c>
    </row>
    <row r="3802" spans="1:20" ht="51" x14ac:dyDescent="0.25">
      <c r="A3802" s="6">
        <v>3796</v>
      </c>
      <c r="B3802" s="1" t="str">
        <f>"2021-305"</f>
        <v>2021-305</v>
      </c>
      <c r="C3802" s="1" t="s">
        <v>2831</v>
      </c>
      <c r="D3802" s="1" t="s">
        <v>2832</v>
      </c>
      <c r="E3802" s="1" t="str">
        <f>""</f>
        <v/>
      </c>
      <c r="F3802" s="1" t="s">
        <v>1860</v>
      </c>
      <c r="G3802" s="1" t="str">
        <f>CONCATENATE(" PASTOR - TVA - D.D.,"," RAKITJE,"," NOVAČKA 2,"," 10437 BESTOVJE,"," OIB: 17140959007")</f>
        <v xml:space="preserve"> PASTOR - TVA - D.D., RAKITJE, NOVAČKA 2, 10437 BESTOVJE, OIB: 17140959007</v>
      </c>
      <c r="H3802" s="7"/>
      <c r="I3802" s="8" t="s">
        <v>708</v>
      </c>
      <c r="J3802" s="8" t="s">
        <v>3033</v>
      </c>
      <c r="K3802" s="6" t="str">
        <f>"4.965,00"</f>
        <v>4.965,00</v>
      </c>
      <c r="L3802" s="6" t="str">
        <f>"1.241,25"</f>
        <v>1.241,25</v>
      </c>
      <c r="M3802" s="6" t="str">
        <f>"6.206,25"</f>
        <v>6.206,25</v>
      </c>
      <c r="N3802" s="8" t="s">
        <v>561</v>
      </c>
      <c r="O3802" s="7"/>
      <c r="P3802" s="2" t="s">
        <v>7877</v>
      </c>
      <c r="Q3802" s="7"/>
      <c r="R3802" s="1"/>
      <c r="S3802" s="1" t="str">
        <f>"J-UN-2022-57"</f>
        <v>J-UN-2022-57</v>
      </c>
      <c r="T3802" s="1" t="s">
        <v>32</v>
      </c>
    </row>
    <row r="3803" spans="1:20" ht="51" x14ac:dyDescent="0.25">
      <c r="A3803" s="6">
        <v>3797</v>
      </c>
      <c r="B3803" s="1" t="str">
        <f>"2021-79"</f>
        <v>2021-79</v>
      </c>
      <c r="C3803" s="1" t="s">
        <v>2790</v>
      </c>
      <c r="D3803" s="1" t="s">
        <v>2791</v>
      </c>
      <c r="E3803" s="1" t="str">
        <f>""</f>
        <v/>
      </c>
      <c r="F3803" s="1" t="s">
        <v>1860</v>
      </c>
      <c r="G3803" s="1" t="str">
        <f>CONCATENATE(" PRO-TEHNA D.O.O.,"," MAKSIMIRSKA 64,"," 10000 ZAGREB,"," OIB: 88951687357")</f>
        <v xml:space="preserve"> PRO-TEHNA D.O.O., MAKSIMIRSKA 64, 10000 ZAGREB, OIB: 88951687357</v>
      </c>
      <c r="H3803" s="7"/>
      <c r="I3803" s="8" t="s">
        <v>912</v>
      </c>
      <c r="J3803" s="8" t="s">
        <v>3036</v>
      </c>
      <c r="K3803" s="6" t="str">
        <f>"400,00"</f>
        <v>400,00</v>
      </c>
      <c r="L3803" s="6" t="str">
        <f>"100,00"</f>
        <v>100,00</v>
      </c>
      <c r="M3803" s="6" t="str">
        <f>"500,00"</f>
        <v>500,00</v>
      </c>
      <c r="N3803" s="8" t="s">
        <v>1320</v>
      </c>
      <c r="O3803" s="7"/>
      <c r="P3803" s="2" t="s">
        <v>5789</v>
      </c>
      <c r="Q3803" s="7"/>
      <c r="R3803" s="1"/>
      <c r="S3803" s="1" t="str">
        <f>"J-UN-2022-60"</f>
        <v>J-UN-2022-60</v>
      </c>
      <c r="T3803" s="1" t="s">
        <v>32</v>
      </c>
    </row>
    <row r="3804" spans="1:20" ht="63.75" x14ac:dyDescent="0.25">
      <c r="A3804" s="6">
        <v>3798</v>
      </c>
      <c r="B3804" s="1" t="str">
        <f>"2021-425"</f>
        <v>2021-425</v>
      </c>
      <c r="C3804" s="1" t="s">
        <v>2829</v>
      </c>
      <c r="D3804" s="1" t="s">
        <v>2830</v>
      </c>
      <c r="E3804" s="1" t="str">
        <f>""</f>
        <v/>
      </c>
      <c r="F3804" s="1" t="s">
        <v>1860</v>
      </c>
      <c r="G3804" s="1" t="str">
        <f>CONCATENATE(" GUMIIMPEX - GRP D.O.O.,"," PAVLEKA MIŠKINE 64C,"," 42000 VARAŽDIN,"," OIB: 8229856262")</f>
        <v xml:space="preserve"> GUMIIMPEX - GRP D.O.O., PAVLEKA MIŠKINE 64C, 42000 VARAŽDIN, OIB: 8229856262</v>
      </c>
      <c r="H3804" s="7"/>
      <c r="I3804" s="8" t="s">
        <v>392</v>
      </c>
      <c r="J3804" s="8" t="s">
        <v>3021</v>
      </c>
      <c r="K3804" s="6" t="str">
        <f>"7.754,60"</f>
        <v>7.754,60</v>
      </c>
      <c r="L3804" s="6" t="str">
        <f>"1.938,65"</f>
        <v>1.938,65</v>
      </c>
      <c r="M3804" s="6" t="str">
        <f>"9.693,25"</f>
        <v>9.693,25</v>
      </c>
      <c r="N3804" s="8" t="s">
        <v>89</v>
      </c>
      <c r="O3804" s="7"/>
      <c r="P3804" s="2" t="s">
        <v>7842</v>
      </c>
      <c r="Q3804" s="1"/>
      <c r="R3804" s="1"/>
      <c r="S3804" s="1" t="str">
        <f>"J-UN-2022-61"</f>
        <v>J-UN-2022-61</v>
      </c>
      <c r="T3804" s="1" t="s">
        <v>32</v>
      </c>
    </row>
    <row r="3805" spans="1:20" ht="51" x14ac:dyDescent="0.25">
      <c r="A3805" s="6">
        <v>3799</v>
      </c>
      <c r="B3805" s="1" t="str">
        <f>"2021-937"</f>
        <v>2021-937</v>
      </c>
      <c r="C3805" s="1" t="s">
        <v>2751</v>
      </c>
      <c r="D3805" s="1" t="s">
        <v>2752</v>
      </c>
      <c r="E3805" s="1" t="str">
        <f>""</f>
        <v/>
      </c>
      <c r="F3805" s="1" t="s">
        <v>1860</v>
      </c>
      <c r="G3805" s="1" t="str">
        <f>CONCATENATE(" TPZ D.O.O.,"," NOVOSELSKA 25,"," 10000 ZAGREB,"," OIB: 68119083236")</f>
        <v xml:space="preserve"> TPZ D.O.O., NOVOSELSKA 25, 10000 ZAGREB, OIB: 68119083236</v>
      </c>
      <c r="H3805" s="7"/>
      <c r="I3805" s="8" t="s">
        <v>392</v>
      </c>
      <c r="J3805" s="8" t="s">
        <v>3021</v>
      </c>
      <c r="K3805" s="6" t="str">
        <f>"3.939,23"</f>
        <v>3.939,23</v>
      </c>
      <c r="L3805" s="6" t="str">
        <f>"984,81"</f>
        <v>984,81</v>
      </c>
      <c r="M3805" s="6" t="str">
        <f>"4.924,04"</f>
        <v>4.924,04</v>
      </c>
      <c r="N3805" s="8" t="s">
        <v>98</v>
      </c>
      <c r="O3805" s="7"/>
      <c r="P3805" s="2" t="s">
        <v>7878</v>
      </c>
      <c r="Q3805" s="7"/>
      <c r="R3805" s="1"/>
      <c r="S3805" s="1" t="str">
        <f>"J-UN-2022-62"</f>
        <v>J-UN-2022-62</v>
      </c>
      <c r="T3805" s="1" t="s">
        <v>32</v>
      </c>
    </row>
    <row r="3806" spans="1:20" ht="76.5" x14ac:dyDescent="0.25">
      <c r="A3806" s="6">
        <v>3800</v>
      </c>
      <c r="B3806" s="1" t="str">
        <f>"2021-1003"</f>
        <v>2021-1003</v>
      </c>
      <c r="C3806" s="1" t="s">
        <v>2839</v>
      </c>
      <c r="D3806" s="1" t="s">
        <v>2716</v>
      </c>
      <c r="E3806" s="1" t="str">
        <f>""</f>
        <v/>
      </c>
      <c r="F3806" s="1" t="s">
        <v>1860</v>
      </c>
      <c r="G3806" s="1" t="str">
        <f>CONCATENATE(" TRANSPORT,"," PRIKOLICE I OPREMA D.O.O.,"," CIGLARSKA 9,"," 10251 HRVATSKI LESKOVAC,"," OIB: 82442144852")</f>
        <v xml:space="preserve"> TRANSPORT, PRIKOLICE I OPREMA D.O.O., CIGLARSKA 9, 10251 HRVATSKI LESKOVAC, OIB: 82442144852</v>
      </c>
      <c r="H3806" s="7"/>
      <c r="I3806" s="8" t="s">
        <v>392</v>
      </c>
      <c r="J3806" s="8" t="s">
        <v>3021</v>
      </c>
      <c r="K3806" s="6" t="str">
        <f>"5.345,53"</f>
        <v>5.345,53</v>
      </c>
      <c r="L3806" s="6" t="str">
        <f>"1.336,38"</f>
        <v>1.336,38</v>
      </c>
      <c r="M3806" s="6" t="str">
        <f>"6.681,91"</f>
        <v>6.681,91</v>
      </c>
      <c r="N3806" s="8" t="s">
        <v>124</v>
      </c>
      <c r="O3806" s="7"/>
      <c r="P3806" s="2" t="s">
        <v>5614</v>
      </c>
      <c r="Q3806" s="7"/>
      <c r="R3806" s="1"/>
      <c r="S3806" s="1" t="str">
        <f>"J-UN-2022-63"</f>
        <v>J-UN-2022-63</v>
      </c>
      <c r="T3806" s="1" t="s">
        <v>32</v>
      </c>
    </row>
    <row r="3807" spans="1:20" ht="51" x14ac:dyDescent="0.25">
      <c r="A3807" s="6">
        <v>3801</v>
      </c>
      <c r="B3807" s="1" t="str">
        <f>"2021-42"</f>
        <v>2021-42</v>
      </c>
      <c r="C3807" s="1" t="s">
        <v>2999</v>
      </c>
      <c r="D3807" s="1" t="s">
        <v>3000</v>
      </c>
      <c r="E3807" s="1" t="str">
        <f>""</f>
        <v/>
      </c>
      <c r="F3807" s="1" t="s">
        <v>1860</v>
      </c>
      <c r="G3807" s="1" t="str">
        <f>CONCATENATE(" ARBORI CULTURA D.O.O.,"," POKUPSKO 86,"," 10414 POKUPSKO,"," OIB: 16690651659")</f>
        <v xml:space="preserve"> ARBORI CULTURA D.O.O., POKUPSKO 86, 10414 POKUPSKO, OIB: 16690651659</v>
      </c>
      <c r="H3807" s="7"/>
      <c r="I3807" s="8" t="s">
        <v>912</v>
      </c>
      <c r="J3807" s="8" t="s">
        <v>3036</v>
      </c>
      <c r="K3807" s="6" t="str">
        <f>"3.225,00"</f>
        <v>3.225,00</v>
      </c>
      <c r="L3807" s="6" t="str">
        <f>"806,25"</f>
        <v>806,25</v>
      </c>
      <c r="M3807" s="6" t="str">
        <f>"4.031,25"</f>
        <v>4.031,25</v>
      </c>
      <c r="N3807" s="8" t="s">
        <v>612</v>
      </c>
      <c r="O3807" s="7"/>
      <c r="P3807" s="2" t="s">
        <v>7879</v>
      </c>
      <c r="Q3807" s="7"/>
      <c r="R3807" s="1"/>
      <c r="S3807" s="1" t="str">
        <f>"J-UN-2022-64"</f>
        <v>J-UN-2022-64</v>
      </c>
      <c r="T3807" s="1" t="s">
        <v>32</v>
      </c>
    </row>
    <row r="3808" spans="1:20" ht="76.5" x14ac:dyDescent="0.25">
      <c r="A3808" s="6">
        <v>3802</v>
      </c>
      <c r="B3808" s="1" t="str">
        <f>"2021-1733"</f>
        <v>2021-1733</v>
      </c>
      <c r="C3808" s="1" t="s">
        <v>2405</v>
      </c>
      <c r="D3808" s="1" t="s">
        <v>880</v>
      </c>
      <c r="E3808" s="1" t="str">
        <f>""</f>
        <v/>
      </c>
      <c r="F3808" s="1" t="s">
        <v>1860</v>
      </c>
      <c r="G3808" s="1" t="str">
        <f>CONCATENATE(" NASTAVNI ZAVOD ZA JAVNO ZDRAVSTVO DR. ANDRIJA ŠTAMPAR,"," MIROGOJSKA CESTA 16,"," 10000 ZAGREB,"," OIB: 3339200596")</f>
        <v xml:space="preserve"> NASTAVNI ZAVOD ZA JAVNO ZDRAVSTVO DR. ANDRIJA ŠTAMPAR, MIROGOJSKA CESTA 16, 10000 ZAGREB, OIB: 3339200596</v>
      </c>
      <c r="H3808" s="7"/>
      <c r="I3808" s="8" t="s">
        <v>912</v>
      </c>
      <c r="J3808" s="8" t="s">
        <v>3036</v>
      </c>
      <c r="K3808" s="6" t="str">
        <f>"660,00"</f>
        <v>660,00</v>
      </c>
      <c r="L3808" s="6" t="str">
        <f>"165,00"</f>
        <v>165,00</v>
      </c>
      <c r="M3808" s="6" t="str">
        <f>"825,00"</f>
        <v>825,00</v>
      </c>
      <c r="N3808" s="8" t="s">
        <v>124</v>
      </c>
      <c r="O3808" s="7"/>
      <c r="P3808" s="2" t="s">
        <v>7880</v>
      </c>
      <c r="Q3808" s="7"/>
      <c r="R3808" s="1"/>
      <c r="S3808" s="1" t="str">
        <f>"J-UN-2022-65"</f>
        <v>J-UN-2022-65</v>
      </c>
      <c r="T3808" s="1" t="s">
        <v>32</v>
      </c>
    </row>
    <row r="3809" spans="1:20" ht="76.5" x14ac:dyDescent="0.25">
      <c r="A3809" s="6">
        <v>3803</v>
      </c>
      <c r="B3809" s="1" t="str">
        <f>"2021-937"</f>
        <v>2021-937</v>
      </c>
      <c r="C3809" s="1" t="s">
        <v>2751</v>
      </c>
      <c r="D3809" s="1" t="s">
        <v>2752</v>
      </c>
      <c r="E3809" s="1" t="str">
        <f>""</f>
        <v/>
      </c>
      <c r="F3809" s="1" t="s">
        <v>1860</v>
      </c>
      <c r="G3809" s="1" t="str">
        <f>CONCATENATE(" WAWA D.O.O.,"," ODVOJAK INDUSTRIJSKE ULICE,"," NOVAKI 3,"," 10431 SVETA NEDJELJA,"," OIB: 59785180614")</f>
        <v xml:space="preserve"> WAWA D.O.O., ODVOJAK INDUSTRIJSKE ULICE, NOVAKI 3, 10431 SVETA NEDJELJA, OIB: 59785180614</v>
      </c>
      <c r="H3809" s="7"/>
      <c r="I3809" s="8" t="s">
        <v>496</v>
      </c>
      <c r="J3809" s="8" t="s">
        <v>1205</v>
      </c>
      <c r="K3809" s="6" t="str">
        <f>"4.886,23"</f>
        <v>4.886,23</v>
      </c>
      <c r="L3809" s="6" t="str">
        <f>"1.221,56"</f>
        <v>1.221,56</v>
      </c>
      <c r="M3809" s="6" t="str">
        <f>"6.107,79"</f>
        <v>6.107,79</v>
      </c>
      <c r="N3809" s="8" t="s">
        <v>89</v>
      </c>
      <c r="O3809" s="7"/>
      <c r="P3809" s="2" t="s">
        <v>7881</v>
      </c>
      <c r="Q3809" s="7"/>
      <c r="R3809" s="1"/>
      <c r="S3809" s="1" t="str">
        <f>"J-UN-2022-66"</f>
        <v>J-UN-2022-66</v>
      </c>
      <c r="T3809" s="1" t="s">
        <v>32</v>
      </c>
    </row>
    <row r="3810" spans="1:20" ht="51" x14ac:dyDescent="0.25">
      <c r="A3810" s="6">
        <v>3804</v>
      </c>
      <c r="B3810" s="1" t="str">
        <f>"2021-1696"</f>
        <v>2021-1696</v>
      </c>
      <c r="C3810" s="1" t="s">
        <v>2811</v>
      </c>
      <c r="D3810" s="1" t="s">
        <v>1859</v>
      </c>
      <c r="E3810" s="1" t="str">
        <f>""</f>
        <v/>
      </c>
      <c r="F3810" s="1" t="s">
        <v>1860</v>
      </c>
      <c r="G3810" s="1" t="str">
        <f>CONCATENATE(" ZIRS UČILIŠTE,"," ULICA GRADA VUKOVARA 68,"," 10000 ZAGREB,"," OIB: 22228764473")</f>
        <v xml:space="preserve"> ZIRS UČILIŠTE, ULICA GRADA VUKOVARA 68, 10000 ZAGREB, OIB: 22228764473</v>
      </c>
      <c r="H3810" s="7"/>
      <c r="I3810" s="8" t="s">
        <v>912</v>
      </c>
      <c r="J3810" s="8" t="s">
        <v>3036</v>
      </c>
      <c r="K3810" s="6" t="str">
        <f>"25.016,00"</f>
        <v>25.016,00</v>
      </c>
      <c r="L3810" s="6" t="str">
        <f>"6.254,00"</f>
        <v>6.254,00</v>
      </c>
      <c r="M3810" s="6" t="str">
        <f>"31.270,00"</f>
        <v>31.270,00</v>
      </c>
      <c r="N3810" s="8" t="s">
        <v>124</v>
      </c>
      <c r="O3810" s="7"/>
      <c r="P3810" s="2" t="s">
        <v>5614</v>
      </c>
      <c r="Q3810" s="7"/>
      <c r="R3810" s="1"/>
      <c r="S3810" s="1" t="str">
        <f>"J-UN-2022-67"</f>
        <v>J-UN-2022-67</v>
      </c>
      <c r="T3810" s="1" t="s">
        <v>32</v>
      </c>
    </row>
    <row r="3811" spans="1:20" ht="51" x14ac:dyDescent="0.25">
      <c r="A3811" s="6">
        <v>3805</v>
      </c>
      <c r="B3811" s="1" t="str">
        <f>"2021-1003"</f>
        <v>2021-1003</v>
      </c>
      <c r="C3811" s="1" t="s">
        <v>2839</v>
      </c>
      <c r="D3811" s="1" t="s">
        <v>2716</v>
      </c>
      <c r="E3811" s="1" t="str">
        <f>""</f>
        <v/>
      </c>
      <c r="F3811" s="1" t="s">
        <v>1860</v>
      </c>
      <c r="G3811" s="1" t="str">
        <f>CONCATENATE(" VITIS D.O.O.,"," KUSTOŠIJSKI VENEC 48,"," 10090 ZAGREB,"," OIB: 96887244333")</f>
        <v xml:space="preserve"> VITIS D.O.O., KUSTOŠIJSKI VENEC 48, 10090 ZAGREB, OIB: 96887244333</v>
      </c>
      <c r="H3811" s="7"/>
      <c r="I3811" s="8" t="s">
        <v>708</v>
      </c>
      <c r="J3811" s="8" t="s">
        <v>3033</v>
      </c>
      <c r="K3811" s="6" t="str">
        <f>"62.640,45"</f>
        <v>62.640,45</v>
      </c>
      <c r="L3811" s="6" t="str">
        <f>"15.660,11"</f>
        <v>15.660,11</v>
      </c>
      <c r="M3811" s="6" t="str">
        <f>"78.300,56"</f>
        <v>78.300,56</v>
      </c>
      <c r="N3811" s="8" t="s">
        <v>124</v>
      </c>
      <c r="O3811" s="7"/>
      <c r="P3811" s="2" t="s">
        <v>5614</v>
      </c>
      <c r="Q3811" s="7"/>
      <c r="R3811" s="1"/>
      <c r="S3811" s="1" t="str">
        <f>"J-UN-2022-68"</f>
        <v>J-UN-2022-68</v>
      </c>
      <c r="T3811" s="1" t="s">
        <v>32</v>
      </c>
    </row>
    <row r="3812" spans="1:20" ht="63.75" x14ac:dyDescent="0.25">
      <c r="A3812" s="6">
        <v>3806</v>
      </c>
      <c r="B3812" s="1" t="str">
        <f>"2021-437"</f>
        <v>2021-437</v>
      </c>
      <c r="C3812" s="1" t="s">
        <v>2795</v>
      </c>
      <c r="D3812" s="1" t="s">
        <v>1619</v>
      </c>
      <c r="E3812" s="1" t="str">
        <f>""</f>
        <v/>
      </c>
      <c r="F3812" s="1" t="s">
        <v>1860</v>
      </c>
      <c r="G3812" s="1" t="str">
        <f>CONCATENATE(" HIDROMEHANIKA D.O.O.,"," SLAVONSKA AVENIJA 26/10,"," 10000 ZAGREB,"," OIB: 9178029895")</f>
        <v xml:space="preserve"> HIDROMEHANIKA D.O.O., SLAVONSKA AVENIJA 26/10, 10000 ZAGREB, OIB: 9178029895</v>
      </c>
      <c r="H3812" s="7"/>
      <c r="I3812" s="8" t="s">
        <v>496</v>
      </c>
      <c r="J3812" s="8" t="s">
        <v>1205</v>
      </c>
      <c r="K3812" s="6" t="str">
        <f>"3.123,50"</f>
        <v>3.123,50</v>
      </c>
      <c r="L3812" s="6" t="str">
        <f>"780,88"</f>
        <v>780,88</v>
      </c>
      <c r="M3812" s="6" t="str">
        <f>"3.904,38"</f>
        <v>3.904,38</v>
      </c>
      <c r="N3812" s="8" t="s">
        <v>124</v>
      </c>
      <c r="O3812" s="7"/>
      <c r="P3812" s="2" t="s">
        <v>5614</v>
      </c>
      <c r="Q3812" s="7"/>
      <c r="R3812" s="1"/>
      <c r="S3812" s="1" t="str">
        <f>"J-UN-2022-69"</f>
        <v>J-UN-2022-69</v>
      </c>
      <c r="T3812" s="1" t="s">
        <v>32</v>
      </c>
    </row>
    <row r="3813" spans="1:20" ht="76.5" x14ac:dyDescent="0.25">
      <c r="A3813" s="6">
        <v>3807</v>
      </c>
      <c r="B3813" s="1" t="str">
        <f>"2021-1015"</f>
        <v>2021-1015</v>
      </c>
      <c r="C3813" s="1" t="s">
        <v>2492</v>
      </c>
      <c r="D3813" s="1" t="s">
        <v>2493</v>
      </c>
      <c r="E3813" s="1" t="str">
        <f>""</f>
        <v/>
      </c>
      <c r="F3813" s="1" t="s">
        <v>1860</v>
      </c>
      <c r="G3813" s="1" t="str">
        <f>CONCATENATE(" AUTOELEKTRO - OBRT,"," VL. BORIS KAJFEŠ,"," SAMOBORSKA CESTA 308,"," 10090 ZAGREB-SUSEDGRAD,"," OIB: 14433749943")</f>
        <v xml:space="preserve"> AUTOELEKTRO - OBRT, VL. BORIS KAJFEŠ, SAMOBORSKA CESTA 308, 10090 ZAGREB-SUSEDGRAD, OIB: 14433749943</v>
      </c>
      <c r="H3813" s="7"/>
      <c r="I3813" s="8" t="s">
        <v>496</v>
      </c>
      <c r="J3813" s="8" t="s">
        <v>1205</v>
      </c>
      <c r="K3813" s="6" t="str">
        <f>"1.560,40"</f>
        <v>1.560,40</v>
      </c>
      <c r="L3813" s="6" t="str">
        <f>"390,10"</f>
        <v>390,10</v>
      </c>
      <c r="M3813" s="6" t="str">
        <f>"1.950,50"</f>
        <v>1.950,50</v>
      </c>
      <c r="N3813" s="8" t="s">
        <v>2310</v>
      </c>
      <c r="O3813" s="7"/>
      <c r="P3813" s="2" t="s">
        <v>7882</v>
      </c>
      <c r="Q3813" s="7"/>
      <c r="R3813" s="1"/>
      <c r="S3813" s="1" t="str">
        <f>"J-UN-2022-70"</f>
        <v>J-UN-2022-70</v>
      </c>
      <c r="T3813" s="1" t="s">
        <v>32</v>
      </c>
    </row>
    <row r="3814" spans="1:20" ht="51" x14ac:dyDescent="0.25">
      <c r="A3814" s="6">
        <v>3808</v>
      </c>
      <c r="B3814" s="1" t="str">
        <f>"2021-438"</f>
        <v>2021-438</v>
      </c>
      <c r="C3814" s="1" t="s">
        <v>2793</v>
      </c>
      <c r="D3814" s="1" t="s">
        <v>1619</v>
      </c>
      <c r="E3814" s="1" t="str">
        <f>""</f>
        <v/>
      </c>
      <c r="F3814" s="1" t="s">
        <v>1860</v>
      </c>
      <c r="G3814" s="1" t="str">
        <f>CONCATENATE(" HONGOLDONIA D.O.O.,"," RUJANSKA 4,"," 10000 ZAGREB,"," OIB: 7925585026")</f>
        <v xml:space="preserve"> HONGOLDONIA D.O.O., RUJANSKA 4, 10000 ZAGREB, OIB: 7925585026</v>
      </c>
      <c r="H3814" s="7"/>
      <c r="I3814" s="8" t="s">
        <v>496</v>
      </c>
      <c r="J3814" s="8" t="s">
        <v>1205</v>
      </c>
      <c r="K3814" s="6" t="str">
        <f>"43.426,00"</f>
        <v>43.426,00</v>
      </c>
      <c r="L3814" s="6" t="str">
        <f>"10.856,50"</f>
        <v>10.856,50</v>
      </c>
      <c r="M3814" s="6" t="str">
        <f>"54.282,50"</f>
        <v>54.282,50</v>
      </c>
      <c r="N3814" s="8" t="s">
        <v>124</v>
      </c>
      <c r="O3814" s="7"/>
      <c r="P3814" s="2" t="s">
        <v>7883</v>
      </c>
      <c r="Q3814" s="7"/>
      <c r="R3814" s="1"/>
      <c r="S3814" s="1" t="str">
        <f>"J-UN-2022-71"</f>
        <v>J-UN-2022-71</v>
      </c>
      <c r="T3814" s="1" t="s">
        <v>32</v>
      </c>
    </row>
    <row r="3815" spans="1:20" ht="51" x14ac:dyDescent="0.25">
      <c r="A3815" s="6">
        <v>3809</v>
      </c>
      <c r="B3815" s="1" t="str">
        <f>"2021-438"</f>
        <v>2021-438</v>
      </c>
      <c r="C3815" s="1" t="s">
        <v>2793</v>
      </c>
      <c r="D3815" s="1" t="s">
        <v>1619</v>
      </c>
      <c r="E3815" s="1" t="str">
        <f>""</f>
        <v/>
      </c>
      <c r="F3815" s="1" t="s">
        <v>1860</v>
      </c>
      <c r="G3815" s="1" t="str">
        <f>CONCATENATE(" SAFIR D.O.O.,"," HORVAĆANSKA 17,"," 10000 ZAGREB,"," OIB: 33548604975")</f>
        <v xml:space="preserve"> SAFIR D.O.O., HORVAĆANSKA 17, 10000 ZAGREB, OIB: 33548604975</v>
      </c>
      <c r="H3815" s="7"/>
      <c r="I3815" s="8" t="s">
        <v>416</v>
      </c>
      <c r="J3815" s="8" t="s">
        <v>2496</v>
      </c>
      <c r="K3815" s="6" t="str">
        <f>"24.334,70"</f>
        <v>24.334,70</v>
      </c>
      <c r="L3815" s="6" t="str">
        <f>"6.083,68"</f>
        <v>6.083,68</v>
      </c>
      <c r="M3815" s="6" t="str">
        <f>"30.418,38"</f>
        <v>30.418,38</v>
      </c>
      <c r="N3815" s="8" t="s">
        <v>801</v>
      </c>
      <c r="O3815" s="7"/>
      <c r="P3815" s="2" t="s">
        <v>7884</v>
      </c>
      <c r="Q3815" s="7"/>
      <c r="R3815" s="1"/>
      <c r="S3815" s="1" t="str">
        <f>"J-UN-2022-72"</f>
        <v>J-UN-2022-72</v>
      </c>
      <c r="T3815" s="1" t="s">
        <v>32</v>
      </c>
    </row>
    <row r="3816" spans="1:20" ht="51" x14ac:dyDescent="0.25">
      <c r="A3816" s="6">
        <v>3810</v>
      </c>
      <c r="B3816" s="1" t="str">
        <f>"2021-438"</f>
        <v>2021-438</v>
      </c>
      <c r="C3816" s="1" t="s">
        <v>2793</v>
      </c>
      <c r="D3816" s="1" t="s">
        <v>1619</v>
      </c>
      <c r="E3816" s="1" t="str">
        <f>""</f>
        <v/>
      </c>
      <c r="F3816" s="1" t="s">
        <v>1860</v>
      </c>
      <c r="G3816" s="1" t="str">
        <f>CONCATENATE(" GRAPAK D.O.O.,"," M. SCHLENGERA 5,"," 42204 TURČIN,"," OIB: 8387333034")</f>
        <v xml:space="preserve"> GRAPAK D.O.O., M. SCHLENGERA 5, 42204 TURČIN, OIB: 8387333034</v>
      </c>
      <c r="H3816" s="7"/>
      <c r="I3816" s="8" t="s">
        <v>496</v>
      </c>
      <c r="J3816" s="8" t="s">
        <v>1205</v>
      </c>
      <c r="K3816" s="6" t="str">
        <f>"29.727,46"</f>
        <v>29.727,46</v>
      </c>
      <c r="L3816" s="6" t="str">
        <f>"7.431,87"</f>
        <v>7.431,87</v>
      </c>
      <c r="M3816" s="6" t="str">
        <f>"37.159,33"</f>
        <v>37.159,33</v>
      </c>
      <c r="N3816" s="8" t="s">
        <v>561</v>
      </c>
      <c r="O3816" s="7"/>
      <c r="P3816" s="2" t="s">
        <v>7885</v>
      </c>
      <c r="Q3816" s="7"/>
      <c r="R3816" s="1"/>
      <c r="S3816" s="1" t="str">
        <f>"J-UN-2022-73"</f>
        <v>J-UN-2022-73</v>
      </c>
      <c r="T3816" s="1" t="s">
        <v>32</v>
      </c>
    </row>
    <row r="3817" spans="1:20" ht="51" x14ac:dyDescent="0.25">
      <c r="A3817" s="6">
        <v>3811</v>
      </c>
      <c r="B3817" s="1" t="str">
        <f>"2021-2278"</f>
        <v>2021-2278</v>
      </c>
      <c r="C3817" s="1" t="s">
        <v>2887</v>
      </c>
      <c r="D3817" s="1" t="s">
        <v>1322</v>
      </c>
      <c r="E3817" s="1" t="str">
        <f>""</f>
        <v/>
      </c>
      <c r="F3817" s="1" t="s">
        <v>1860</v>
      </c>
      <c r="G3817" s="1" t="str">
        <f>CONCATENATE(" BILAĆ COLOR D.O.O.,"," VODIĆKA 24,"," 10000 ZAGREB,"," OIB: 54294753")</f>
        <v xml:space="preserve"> BILAĆ COLOR D.O.O., VODIĆKA 24, 10000 ZAGREB, OIB: 54294753</v>
      </c>
      <c r="H3817" s="7"/>
      <c r="I3817" s="8" t="s">
        <v>202</v>
      </c>
      <c r="J3817" s="8" t="s">
        <v>3036</v>
      </c>
      <c r="K3817" s="6" t="str">
        <f>"8.450,00"</f>
        <v>8.450,00</v>
      </c>
      <c r="L3817" s="6" t="str">
        <f>"2.112,50"</f>
        <v>2.112,50</v>
      </c>
      <c r="M3817" s="6" t="str">
        <f>"10.562,50"</f>
        <v>10.562,50</v>
      </c>
      <c r="N3817" s="8" t="s">
        <v>496</v>
      </c>
      <c r="O3817" s="7"/>
      <c r="P3817" s="2" t="s">
        <v>7886</v>
      </c>
      <c r="Q3817" s="7"/>
      <c r="R3817" s="1"/>
      <c r="S3817" s="1" t="str">
        <f>"J-UN-2022-75"</f>
        <v>J-UN-2022-75</v>
      </c>
      <c r="T3817" s="1" t="s">
        <v>32</v>
      </c>
    </row>
    <row r="3818" spans="1:20" ht="51" x14ac:dyDescent="0.25">
      <c r="A3818" s="6">
        <v>3812</v>
      </c>
      <c r="B3818" s="1" t="str">
        <f>"2021-378"</f>
        <v>2021-378</v>
      </c>
      <c r="C3818" s="1" t="s">
        <v>2689</v>
      </c>
      <c r="D3818" s="1" t="s">
        <v>2577</v>
      </c>
      <c r="E3818" s="1" t="str">
        <f>""</f>
        <v/>
      </c>
      <c r="F3818" s="1" t="s">
        <v>1860</v>
      </c>
      <c r="G3818" s="1" t="str">
        <f>CONCATENATE(" KUHN-HRVATSKA D.O.O.,"," RAKITNICA 4,"," 10000 ZAGREB,"," OIB: 04057188037")</f>
        <v xml:space="preserve"> KUHN-HRVATSKA D.O.O., RAKITNICA 4, 10000 ZAGREB, OIB: 04057188037</v>
      </c>
      <c r="H3818" s="7"/>
      <c r="I3818" s="8" t="s">
        <v>496</v>
      </c>
      <c r="J3818" s="8" t="s">
        <v>1205</v>
      </c>
      <c r="K3818" s="6" t="str">
        <f>"8.282,08"</f>
        <v>8.282,08</v>
      </c>
      <c r="L3818" s="6" t="str">
        <f>"2.070,52"</f>
        <v>2.070,52</v>
      </c>
      <c r="M3818" s="6" t="str">
        <f>"10.352,60"</f>
        <v>10.352,60</v>
      </c>
      <c r="N3818" s="8" t="s">
        <v>2310</v>
      </c>
      <c r="O3818" s="7"/>
      <c r="P3818" s="2" t="s">
        <v>7887</v>
      </c>
      <c r="Q3818" s="7"/>
      <c r="R3818" s="1"/>
      <c r="S3818" s="1" t="str">
        <f>"J-UN-2022-76"</f>
        <v>J-UN-2022-76</v>
      </c>
      <c r="T3818" s="1" t="s">
        <v>32</v>
      </c>
    </row>
    <row r="3819" spans="1:20" ht="76.5" x14ac:dyDescent="0.25">
      <c r="A3819" s="6">
        <v>3813</v>
      </c>
      <c r="B3819" s="1" t="str">
        <f>"2021-1206"</f>
        <v>2021-1206</v>
      </c>
      <c r="C3819" s="1" t="s">
        <v>2821</v>
      </c>
      <c r="D3819" s="1" t="s">
        <v>1627</v>
      </c>
      <c r="E3819" s="1" t="str">
        <f>""</f>
        <v/>
      </c>
      <c r="F3819" s="1" t="s">
        <v>1860</v>
      </c>
      <c r="G3819" s="1" t="str">
        <f>CONCATENATE(" ELICOM D.O.O.,"," ŠTEFANOVEC 138,"," 10000 ZAGREB,"," OIB: 76370234816")</f>
        <v xml:space="preserve"> ELICOM D.O.O., ŠTEFANOVEC 138, 10000 ZAGREB, OIB: 76370234816</v>
      </c>
      <c r="H3819" s="7"/>
      <c r="I3819" s="8" t="s">
        <v>496</v>
      </c>
      <c r="J3819" s="8" t="s">
        <v>1205</v>
      </c>
      <c r="K3819" s="6" t="str">
        <f>"1.717,32"</f>
        <v>1.717,32</v>
      </c>
      <c r="L3819" s="6" t="str">
        <f>"429,33"</f>
        <v>429,33</v>
      </c>
      <c r="M3819" s="6" t="str">
        <f>"2.146,65"</f>
        <v>2.146,65</v>
      </c>
      <c r="N3819" s="8" t="s">
        <v>561</v>
      </c>
      <c r="O3819" s="7"/>
      <c r="P3819" s="2" t="s">
        <v>7888</v>
      </c>
      <c r="Q3819" s="7"/>
      <c r="R3819" s="1"/>
      <c r="S3819" s="1" t="str">
        <f>"J-UN-2022-77"</f>
        <v>J-UN-2022-77</v>
      </c>
      <c r="T3819" s="1" t="s">
        <v>32</v>
      </c>
    </row>
    <row r="3820" spans="1:20" ht="51" x14ac:dyDescent="0.25">
      <c r="A3820" s="6">
        <v>3814</v>
      </c>
      <c r="B3820" s="1" t="str">
        <f>"2021-1186"</f>
        <v>2021-1186</v>
      </c>
      <c r="C3820" s="1" t="s">
        <v>2936</v>
      </c>
      <c r="D3820" s="1" t="s">
        <v>1373</v>
      </c>
      <c r="E3820" s="1" t="str">
        <f>""</f>
        <v/>
      </c>
      <c r="F3820" s="1" t="s">
        <v>1860</v>
      </c>
      <c r="G3820" s="1" t="str">
        <f>CONCATENATE(" DREZGA D.O.O.,"," OBRTNIČKA 2,"," 10437 BESTOVJE,"," OIB: 46535283602")</f>
        <v xml:space="preserve"> DREZGA D.O.O., OBRTNIČKA 2, 10437 BESTOVJE, OIB: 46535283602</v>
      </c>
      <c r="H3820" s="7"/>
      <c r="I3820" s="8" t="s">
        <v>496</v>
      </c>
      <c r="J3820" s="8" t="s">
        <v>1205</v>
      </c>
      <c r="K3820" s="6" t="str">
        <f>"9.355,20"</f>
        <v>9.355,20</v>
      </c>
      <c r="L3820" s="6" t="str">
        <f>"2.338,80"</f>
        <v>2.338,80</v>
      </c>
      <c r="M3820" s="6" t="str">
        <f>"11.694,00"</f>
        <v>11.694,00</v>
      </c>
      <c r="N3820" s="8" t="s">
        <v>1240</v>
      </c>
      <c r="O3820" s="7"/>
      <c r="P3820" s="2" t="s">
        <v>7889</v>
      </c>
      <c r="Q3820" s="7"/>
      <c r="R3820" s="1"/>
      <c r="S3820" s="1" t="str">
        <f>"J-UN-2022-78"</f>
        <v>J-UN-2022-78</v>
      </c>
      <c r="T3820" s="1" t="s">
        <v>32</v>
      </c>
    </row>
    <row r="3821" spans="1:20" ht="51" x14ac:dyDescent="0.25">
      <c r="A3821" s="6">
        <v>3815</v>
      </c>
      <c r="B3821" s="1" t="str">
        <f>"2021-425"</f>
        <v>2021-425</v>
      </c>
      <c r="C3821" s="1" t="s">
        <v>2829</v>
      </c>
      <c r="D3821" s="1" t="s">
        <v>2830</v>
      </c>
      <c r="E3821" s="1" t="str">
        <f>""</f>
        <v/>
      </c>
      <c r="F3821" s="1" t="s">
        <v>1860</v>
      </c>
      <c r="G3821" s="1" t="str">
        <f>CONCATENATE(" TRIDION D.O.O.,"," ZAPADNA LOZICA 10,"," 10000 ZAGREB,"," OIB: 79247590666")</f>
        <v xml:space="preserve"> TRIDION D.O.O., ZAPADNA LOZICA 10, 10000 ZAGREB, OIB: 79247590666</v>
      </c>
      <c r="H3821" s="7"/>
      <c r="I3821" s="8" t="s">
        <v>496</v>
      </c>
      <c r="J3821" s="8" t="s">
        <v>1205</v>
      </c>
      <c r="K3821" s="6" t="str">
        <f>"37.936,28"</f>
        <v>37.936,28</v>
      </c>
      <c r="L3821" s="6" t="str">
        <f>"9.484,07"</f>
        <v>9.484,07</v>
      </c>
      <c r="M3821" s="6" t="str">
        <f>"47.420,35"</f>
        <v>47.420,35</v>
      </c>
      <c r="N3821" s="8" t="s">
        <v>561</v>
      </c>
      <c r="O3821" s="7"/>
      <c r="P3821" s="2" t="s">
        <v>7890</v>
      </c>
      <c r="Q3821" s="7"/>
      <c r="R3821" s="1"/>
      <c r="S3821" s="1" t="str">
        <f>"J-UN-2022-79"</f>
        <v>J-UN-2022-79</v>
      </c>
      <c r="T3821" s="1" t="s">
        <v>32</v>
      </c>
    </row>
    <row r="3822" spans="1:20" ht="51" x14ac:dyDescent="0.25">
      <c r="A3822" s="6">
        <v>3816</v>
      </c>
      <c r="B3822" s="1" t="str">
        <f>"2021-626"</f>
        <v>2021-626</v>
      </c>
      <c r="C3822" s="1" t="s">
        <v>2799</v>
      </c>
      <c r="D3822" s="1" t="s">
        <v>794</v>
      </c>
      <c r="E3822" s="1" t="str">
        <f>""</f>
        <v/>
      </c>
      <c r="F3822" s="1" t="s">
        <v>1860</v>
      </c>
      <c r="G3822" s="1" t="str">
        <f>CONCATENATE(" GEOSOFT D.O.O.,"," NAD LIPOM 4,"," 10000 ZAGREB,"," OIB: 65512015046")</f>
        <v xml:space="preserve"> GEOSOFT D.O.O., NAD LIPOM 4, 10000 ZAGREB, OIB: 65512015046</v>
      </c>
      <c r="H3822" s="7"/>
      <c r="I3822" s="8" t="s">
        <v>496</v>
      </c>
      <c r="J3822" s="8" t="s">
        <v>1205</v>
      </c>
      <c r="K3822" s="6" t="str">
        <f>"9.660,00"</f>
        <v>9.660,00</v>
      </c>
      <c r="L3822" s="6" t="str">
        <f>"2.415,00"</f>
        <v>2.415,00</v>
      </c>
      <c r="M3822" s="6" t="str">
        <f>"12.075,00"</f>
        <v>12.075,00</v>
      </c>
      <c r="N3822" s="8" t="s">
        <v>126</v>
      </c>
      <c r="O3822" s="7"/>
      <c r="P3822" s="2" t="s">
        <v>7210</v>
      </c>
      <c r="Q3822" s="7"/>
      <c r="R3822" s="1"/>
      <c r="S3822" s="1" t="str">
        <f>"J-UN-2022-81"</f>
        <v>J-UN-2022-81</v>
      </c>
      <c r="T3822" s="1" t="s">
        <v>32</v>
      </c>
    </row>
    <row r="3823" spans="1:20" ht="51" x14ac:dyDescent="0.25">
      <c r="A3823" s="6">
        <v>3817</v>
      </c>
      <c r="B3823" s="1" t="str">
        <f>"2021-81"</f>
        <v>2021-81</v>
      </c>
      <c r="C3823" s="1" t="s">
        <v>3037</v>
      </c>
      <c r="D3823" s="1" t="s">
        <v>3038</v>
      </c>
      <c r="E3823" s="1" t="str">
        <f>""</f>
        <v/>
      </c>
      <c r="F3823" s="1" t="s">
        <v>1860</v>
      </c>
      <c r="G3823" s="1" t="str">
        <f>CONCATENATE(" SCHEDA D.O.O.,"," LJUDEVITA POSAVSKOG 29,"," 10360 SESVETE,"," OIB: 76219817247")</f>
        <v xml:space="preserve"> SCHEDA D.O.O., LJUDEVITA POSAVSKOG 29, 10360 SESVETE, OIB: 76219817247</v>
      </c>
      <c r="H3823" s="7"/>
      <c r="I3823" s="8" t="s">
        <v>912</v>
      </c>
      <c r="J3823" s="8" t="s">
        <v>3036</v>
      </c>
      <c r="K3823" s="6" t="str">
        <f>"39.880,00"</f>
        <v>39.880,00</v>
      </c>
      <c r="L3823" s="6" t="str">
        <f>"9.970,00"</f>
        <v>9.970,00</v>
      </c>
      <c r="M3823" s="6" t="str">
        <f>"49.850,00"</f>
        <v>49.850,00</v>
      </c>
      <c r="N3823" s="8" t="s">
        <v>124</v>
      </c>
      <c r="O3823" s="7"/>
      <c r="P3823" s="2" t="s">
        <v>5614</v>
      </c>
      <c r="Q3823" s="7"/>
      <c r="R3823" s="1"/>
      <c r="S3823" s="1" t="str">
        <f>"J-UN-2022-82"</f>
        <v>J-UN-2022-82</v>
      </c>
      <c r="T3823" s="1" t="s">
        <v>32</v>
      </c>
    </row>
    <row r="3824" spans="1:20" ht="51" x14ac:dyDescent="0.25">
      <c r="A3824" s="6">
        <v>3818</v>
      </c>
      <c r="B3824" s="1" t="str">
        <f>"2021-437"</f>
        <v>2021-437</v>
      </c>
      <c r="C3824" s="1" t="s">
        <v>2795</v>
      </c>
      <c r="D3824" s="1" t="s">
        <v>1619</v>
      </c>
      <c r="E3824" s="1" t="str">
        <f>""</f>
        <v/>
      </c>
      <c r="F3824" s="1" t="s">
        <v>1860</v>
      </c>
      <c r="G3824" s="1" t="str">
        <f>CONCATENATE(" LAGER BAŠIĆ D.O.O.,"," TRGOVAČKA 3,"," 10255 DONJI STUPNIK,"," OIB: 49617677906")</f>
        <v xml:space="preserve"> LAGER BAŠIĆ D.O.O., TRGOVAČKA 3, 10255 DONJI STUPNIK, OIB: 49617677906</v>
      </c>
      <c r="H3824" s="7"/>
      <c r="I3824" s="8" t="s">
        <v>496</v>
      </c>
      <c r="J3824" s="8" t="s">
        <v>1205</v>
      </c>
      <c r="K3824" s="6" t="str">
        <f>"9.071,00"</f>
        <v>9.071,00</v>
      </c>
      <c r="L3824" s="6" t="str">
        <f>"2.267,75"</f>
        <v>2.267,75</v>
      </c>
      <c r="M3824" s="6" t="str">
        <f>"11.338,75"</f>
        <v>11.338,75</v>
      </c>
      <c r="N3824" s="8" t="s">
        <v>124</v>
      </c>
      <c r="O3824" s="7"/>
      <c r="P3824" s="2" t="s">
        <v>7891</v>
      </c>
      <c r="Q3824" s="7"/>
      <c r="R3824" s="1"/>
      <c r="S3824" s="1" t="str">
        <f>"J-UN-2022-83"</f>
        <v>J-UN-2022-83</v>
      </c>
      <c r="T3824" s="1" t="s">
        <v>32</v>
      </c>
    </row>
    <row r="3825" spans="1:20" ht="51" x14ac:dyDescent="0.25">
      <c r="A3825" s="6">
        <v>3819</v>
      </c>
      <c r="B3825" s="1" t="str">
        <f>"2021-1051"</f>
        <v>2021-1051</v>
      </c>
      <c r="C3825" s="1" t="s">
        <v>2786</v>
      </c>
      <c r="D3825" s="1" t="s">
        <v>476</v>
      </c>
      <c r="E3825" s="1" t="str">
        <f>""</f>
        <v/>
      </c>
      <c r="F3825" s="1" t="s">
        <v>1860</v>
      </c>
      <c r="G3825" s="1" t="str">
        <f>CONCATENATE(" KING ICT D.O.O.,"," BUZINSKI PRILAZ 10,"," 10010 ZAGREB,"," OIB: 67001695549")</f>
        <v xml:space="preserve"> KING ICT D.O.O., BUZINSKI PRILAZ 10, 10010 ZAGREB, OIB: 67001695549</v>
      </c>
      <c r="H3825" s="7"/>
      <c r="I3825" s="8" t="s">
        <v>80</v>
      </c>
      <c r="J3825" s="8" t="s">
        <v>1186</v>
      </c>
      <c r="K3825" s="6" t="str">
        <f>"4.792,00"</f>
        <v>4.792,00</v>
      </c>
      <c r="L3825" s="6" t="str">
        <f>"1.198,00"</f>
        <v>1.198,00</v>
      </c>
      <c r="M3825" s="6" t="str">
        <f>"5.990,00"</f>
        <v>5.990,00</v>
      </c>
      <c r="N3825" s="8" t="s">
        <v>696</v>
      </c>
      <c r="O3825" s="7"/>
      <c r="P3825" s="2" t="s">
        <v>7892</v>
      </c>
      <c r="Q3825" s="7"/>
      <c r="R3825" s="1"/>
      <c r="S3825" s="1" t="str">
        <f>"J-UN-2022-85"</f>
        <v>J-UN-2022-85</v>
      </c>
      <c r="T3825" s="1" t="s">
        <v>32</v>
      </c>
    </row>
    <row r="3826" spans="1:20" ht="51" x14ac:dyDescent="0.25">
      <c r="A3826" s="6">
        <v>3820</v>
      </c>
      <c r="B3826" s="1" t="str">
        <f>"2021-1705"</f>
        <v>2021-1705</v>
      </c>
      <c r="C3826" s="1" t="s">
        <v>3039</v>
      </c>
      <c r="D3826" s="1" t="s">
        <v>1859</v>
      </c>
      <c r="E3826" s="1" t="str">
        <f>""</f>
        <v/>
      </c>
      <c r="F3826" s="1" t="s">
        <v>1860</v>
      </c>
      <c r="G3826" s="1" t="str">
        <f>CONCATENATE(" PRESIDO D.O.O.,"," REPUBLIKE AUSTRIJE 23,"," 10000 ZAGREB,"," OIB: 41687433318")</f>
        <v xml:space="preserve"> PRESIDO D.O.O., REPUBLIKE AUSTRIJE 23, 10000 ZAGREB, OIB: 41687433318</v>
      </c>
      <c r="H3826" s="7"/>
      <c r="I3826" s="8" t="s">
        <v>604</v>
      </c>
      <c r="J3826" s="8" t="s">
        <v>1259</v>
      </c>
      <c r="K3826" s="6" t="str">
        <f>"19.860,00"</f>
        <v>19.860,00</v>
      </c>
      <c r="L3826" s="6" t="str">
        <f>"4.965,00"</f>
        <v>4.965,00</v>
      </c>
      <c r="M3826" s="6" t="str">
        <f>"24.825,00"</f>
        <v>24.825,00</v>
      </c>
      <c r="N3826" s="8" t="s">
        <v>124</v>
      </c>
      <c r="O3826" s="7"/>
      <c r="P3826" s="2" t="s">
        <v>5614</v>
      </c>
      <c r="Q3826" s="7"/>
      <c r="R3826" s="1"/>
      <c r="S3826" s="1" t="str">
        <f>"J-UN-2022-129"</f>
        <v>J-UN-2022-129</v>
      </c>
      <c r="T3826" s="1" t="s">
        <v>32</v>
      </c>
    </row>
    <row r="3827" spans="1:20" ht="63.75" x14ac:dyDescent="0.25">
      <c r="A3827" s="6">
        <v>3821</v>
      </c>
      <c r="B3827" s="1" t="str">
        <f>"2021-72"</f>
        <v>2021-72</v>
      </c>
      <c r="C3827" s="1" t="s">
        <v>2534</v>
      </c>
      <c r="D3827" s="1" t="s">
        <v>2535</v>
      </c>
      <c r="E3827" s="1" t="str">
        <f>""</f>
        <v/>
      </c>
      <c r="F3827" s="1" t="s">
        <v>1860</v>
      </c>
      <c r="G3827" s="1" t="str">
        <f>CONCATENATE(" JULIUS MEINL BONFANTI D.O.O.,"," LJUBLJANSKA ULICA 4,"," 10431 SVETA NEDELJA,"," OIB: 39546130894")</f>
        <v xml:space="preserve"> JULIUS MEINL BONFANTI D.O.O., LJUBLJANSKA ULICA 4, 10431 SVETA NEDELJA, OIB: 39546130894</v>
      </c>
      <c r="H3827" s="7"/>
      <c r="I3827" s="8" t="s">
        <v>1549</v>
      </c>
      <c r="J3827" s="8" t="s">
        <v>2304</v>
      </c>
      <c r="K3827" s="6" t="str">
        <f>"12.330,00"</f>
        <v>12.330,00</v>
      </c>
      <c r="L3827" s="6" t="str">
        <f>"3.082,50"</f>
        <v>3.082,50</v>
      </c>
      <c r="M3827" s="6" t="str">
        <f>"15.412,50"</f>
        <v>15.412,50</v>
      </c>
      <c r="N3827" s="8" t="s">
        <v>663</v>
      </c>
      <c r="O3827" s="7"/>
      <c r="P3827" s="2" t="s">
        <v>7893</v>
      </c>
      <c r="Q3827" s="7"/>
      <c r="R3827" s="1"/>
      <c r="S3827" s="1" t="str">
        <f>"J-UN-2022-130"</f>
        <v>J-UN-2022-130</v>
      </c>
      <c r="T3827" s="1" t="s">
        <v>32</v>
      </c>
    </row>
    <row r="3828" spans="1:20" ht="51" x14ac:dyDescent="0.25">
      <c r="A3828" s="6">
        <v>3822</v>
      </c>
      <c r="B3828" s="1" t="str">
        <f>"2022-34"</f>
        <v>2022-34</v>
      </c>
      <c r="C3828" s="1" t="s">
        <v>3040</v>
      </c>
      <c r="D3828" s="1" t="s">
        <v>1865</v>
      </c>
      <c r="E3828" s="1" t="str">
        <f>""</f>
        <v/>
      </c>
      <c r="F3828" s="1" t="s">
        <v>1860</v>
      </c>
      <c r="G3828" s="1" t="str">
        <f>CONCATENATE(" I.T.-GRAF D.O.O.,"," KOVINSKA 11/A,"," 10090 ZAGREB-SUSEDGRAD,"," OIB: 663786429")</f>
        <v xml:space="preserve"> I.T.-GRAF D.O.O., KOVINSKA 11/A, 10090 ZAGREB-SUSEDGRAD, OIB: 663786429</v>
      </c>
      <c r="H3828" s="7"/>
      <c r="I3828" s="8" t="s">
        <v>671</v>
      </c>
      <c r="J3828" s="8" t="s">
        <v>3041</v>
      </c>
      <c r="K3828" s="6" t="str">
        <f>"13.590,40"</f>
        <v>13.590,40</v>
      </c>
      <c r="L3828" s="6" t="str">
        <f>"3.397,60"</f>
        <v>3.397,60</v>
      </c>
      <c r="M3828" s="6" t="str">
        <f>"16.988,00"</f>
        <v>16.988,00</v>
      </c>
      <c r="N3828" s="8" t="s">
        <v>124</v>
      </c>
      <c r="O3828" s="7"/>
      <c r="P3828" s="2" t="s">
        <v>5614</v>
      </c>
      <c r="Q3828" s="7"/>
      <c r="R3828" s="1"/>
      <c r="S3828" s="1" t="str">
        <f>"J-UN-2022-152"</f>
        <v>J-UN-2022-152</v>
      </c>
      <c r="T3828" s="1" t="s">
        <v>32</v>
      </c>
    </row>
    <row r="3829" spans="1:20" ht="63.75" x14ac:dyDescent="0.25">
      <c r="A3829" s="6">
        <v>3823</v>
      </c>
      <c r="B3829" s="1" t="str">
        <f>"2022-60"</f>
        <v>2022-60</v>
      </c>
      <c r="C3829" s="1" t="s">
        <v>3042</v>
      </c>
      <c r="D3829" s="1" t="s">
        <v>1370</v>
      </c>
      <c r="E3829" s="1" t="str">
        <f>""</f>
        <v/>
      </c>
      <c r="F3829" s="1" t="s">
        <v>1860</v>
      </c>
      <c r="G3829" s="1" t="str">
        <f>CONCATENATE(" NARODNE NOVINE D.D.,"," SAVSKI GAJ XIII. PUT br. 6,"," 10000 ZAGREB,"," OIB: 64546066176")</f>
        <v xml:space="preserve"> NARODNE NOVINE D.D., SAVSKI GAJ XIII. PUT br. 6, 10000 ZAGREB, OIB: 64546066176</v>
      </c>
      <c r="H3829" s="7"/>
      <c r="I3829" s="8" t="s">
        <v>757</v>
      </c>
      <c r="J3829" s="8" t="s">
        <v>1879</v>
      </c>
      <c r="K3829" s="6" t="str">
        <f>"5.268,00"</f>
        <v>5.268,00</v>
      </c>
      <c r="L3829" s="6" t="str">
        <f>"1.317,00"</f>
        <v>1.317,00</v>
      </c>
      <c r="M3829" s="6" t="str">
        <f>"6.585,00"</f>
        <v>6.585,00</v>
      </c>
      <c r="N3829" s="8" t="s">
        <v>89</v>
      </c>
      <c r="O3829" s="7"/>
      <c r="P3829" s="2" t="s">
        <v>7894</v>
      </c>
      <c r="Q3829" s="7"/>
      <c r="R3829" s="1"/>
      <c r="S3829" s="1" t="str">
        <f>"J-UN-2022-164"</f>
        <v>J-UN-2022-164</v>
      </c>
      <c r="T3829" s="1" t="s">
        <v>43</v>
      </c>
    </row>
    <row r="3830" spans="1:20" ht="63.75" x14ac:dyDescent="0.25">
      <c r="A3830" s="6">
        <v>3824</v>
      </c>
      <c r="B3830" s="1" t="str">
        <f>"2022-76"</f>
        <v>2022-76</v>
      </c>
      <c r="C3830" s="1" t="s">
        <v>3043</v>
      </c>
      <c r="D3830" s="1" t="s">
        <v>3044</v>
      </c>
      <c r="E3830" s="1" t="str">
        <f>""</f>
        <v/>
      </c>
      <c r="F3830" s="1" t="s">
        <v>1860</v>
      </c>
      <c r="G3830" s="1" t="str">
        <f>CONCATENATE(" CS COMPUTER SYSTEMS D.O.O.,"," PREČKO 1/A,"," 10110 ZAGREB,"," OIB: 07989965722")</f>
        <v xml:space="preserve"> CS COMPUTER SYSTEMS D.O.O., PREČKO 1/A, 10110 ZAGREB, OIB: 07989965722</v>
      </c>
      <c r="H3830" s="7"/>
      <c r="I3830" s="8" t="s">
        <v>667</v>
      </c>
      <c r="J3830" s="8" t="s">
        <v>1283</v>
      </c>
      <c r="K3830" s="6" t="str">
        <f>"1.468,00"</f>
        <v>1.468,00</v>
      </c>
      <c r="L3830" s="6" t="str">
        <f>"367,00"</f>
        <v>367,00</v>
      </c>
      <c r="M3830" s="6" t="str">
        <f>"1.835,00"</f>
        <v>1.835,00</v>
      </c>
      <c r="N3830" s="8" t="s">
        <v>93</v>
      </c>
      <c r="O3830" s="7"/>
      <c r="P3830" s="2" t="s">
        <v>7895</v>
      </c>
      <c r="Q3830" s="7"/>
      <c r="R3830" s="1"/>
      <c r="S3830" s="1" t="str">
        <f>"J-UN-2022-167"</f>
        <v>J-UN-2022-167</v>
      </c>
      <c r="T3830" s="1" t="s">
        <v>43</v>
      </c>
    </row>
    <row r="3831" spans="1:20" ht="51" x14ac:dyDescent="0.25">
      <c r="A3831" s="6">
        <v>3825</v>
      </c>
      <c r="B3831" s="1" t="str">
        <f>"2022-98"</f>
        <v>2022-98</v>
      </c>
      <c r="C3831" s="1" t="s">
        <v>2967</v>
      </c>
      <c r="D3831" s="1" t="s">
        <v>1352</v>
      </c>
      <c r="E3831" s="1" t="str">
        <f>""</f>
        <v/>
      </c>
      <c r="F3831" s="1" t="s">
        <v>1860</v>
      </c>
      <c r="G3831" s="1" t="str">
        <f>CONCATENATE(" AUTO BENUSSI D.O.O.,"," INDUSTRIJSKA 2D,"," 52100 PULA,"," OIB: 96262119913")</f>
        <v xml:space="preserve"> AUTO BENUSSI D.O.O., INDUSTRIJSKA 2D, 52100 PULA, OIB: 96262119913</v>
      </c>
      <c r="H3831" s="7"/>
      <c r="I3831" s="8" t="s">
        <v>1140</v>
      </c>
      <c r="J3831" s="8" t="s">
        <v>3045</v>
      </c>
      <c r="K3831" s="6" t="str">
        <f>"174.540,00"</f>
        <v>174.540,00</v>
      </c>
      <c r="L3831" s="6" t="str">
        <f>"43.635,00"</f>
        <v>43.635,00</v>
      </c>
      <c r="M3831" s="6" t="str">
        <f>"218.175,00"</f>
        <v>218.175,00</v>
      </c>
      <c r="N3831" s="8" t="s">
        <v>898</v>
      </c>
      <c r="O3831" s="7"/>
      <c r="P3831" s="2" t="s">
        <v>7896</v>
      </c>
      <c r="Q3831" s="1" t="s">
        <v>1017</v>
      </c>
      <c r="R3831" s="1"/>
      <c r="S3831" s="1" t="str">
        <f>"J-UN-2022-169"</f>
        <v>J-UN-2022-169</v>
      </c>
      <c r="T3831" s="1" t="s">
        <v>32</v>
      </c>
    </row>
    <row r="3832" spans="1:20" ht="51" x14ac:dyDescent="0.25">
      <c r="A3832" s="6">
        <v>3826</v>
      </c>
      <c r="B3832" s="1" t="str">
        <f>"2022-1452"</f>
        <v>2022-1452</v>
      </c>
      <c r="C3832" s="1" t="s">
        <v>3046</v>
      </c>
      <c r="D3832" s="1" t="s">
        <v>2241</v>
      </c>
      <c r="E3832" s="1" t="str">
        <f>""</f>
        <v/>
      </c>
      <c r="F3832" s="1" t="s">
        <v>1860</v>
      </c>
      <c r="G3832" s="1" t="str">
        <f>CONCATENATE(" VIATOR D.O.O.,"," KRALJA DRŽISLAVA 6,"," 21000 SPLIT,"," OIB: 6473171712")</f>
        <v xml:space="preserve"> VIATOR D.O.O., KRALJA DRŽISLAVA 6, 21000 SPLIT, OIB: 6473171712</v>
      </c>
      <c r="H3832" s="7"/>
      <c r="I3832" s="8" t="s">
        <v>698</v>
      </c>
      <c r="J3832" s="8" t="s">
        <v>1269</v>
      </c>
      <c r="K3832" s="6" t="str">
        <f>"188.100,00"</f>
        <v>188.100,00</v>
      </c>
      <c r="L3832" s="6" t="str">
        <f>"47.025,00"</f>
        <v>47.025,00</v>
      </c>
      <c r="M3832" s="6" t="str">
        <f>"235.125,00"</f>
        <v>235.125,00</v>
      </c>
      <c r="N3832" s="8" t="s">
        <v>30</v>
      </c>
      <c r="O3832" s="7"/>
      <c r="P3832" s="2" t="s">
        <v>7897</v>
      </c>
      <c r="Q3832" s="1" t="s">
        <v>488</v>
      </c>
      <c r="R3832" s="1"/>
      <c r="S3832" s="1" t="str">
        <f>"J-UN-2022-170"</f>
        <v>J-UN-2022-170</v>
      </c>
      <c r="T3832" s="1" t="s">
        <v>32</v>
      </c>
    </row>
    <row r="3833" spans="1:20" ht="51" x14ac:dyDescent="0.25">
      <c r="A3833" s="6">
        <v>3827</v>
      </c>
      <c r="B3833" s="1" t="str">
        <f>"2022-1446"</f>
        <v>2022-1446</v>
      </c>
      <c r="C3833" s="1" t="s">
        <v>3047</v>
      </c>
      <c r="D3833" s="1" t="s">
        <v>2241</v>
      </c>
      <c r="E3833" s="1" t="str">
        <f>""</f>
        <v/>
      </c>
      <c r="F3833" s="1" t="s">
        <v>1860</v>
      </c>
      <c r="G3833" s="1" t="str">
        <f>CONCATENATE(" VIATOR D.O.O.,"," KRALJA DRŽISLAVA 6,"," 21000 SPLIT,"," OIB: 6473171712")</f>
        <v xml:space="preserve"> VIATOR D.O.O., KRALJA DRŽISLAVA 6, 21000 SPLIT, OIB: 6473171712</v>
      </c>
      <c r="H3833" s="7"/>
      <c r="I3833" s="8" t="s">
        <v>698</v>
      </c>
      <c r="J3833" s="8" t="s">
        <v>1269</v>
      </c>
      <c r="K3833" s="6" t="str">
        <f>"90.000,00"</f>
        <v>90.000,00</v>
      </c>
      <c r="L3833" s="6" t="str">
        <f>"22.500,00"</f>
        <v>22.500,00</v>
      </c>
      <c r="M3833" s="6" t="str">
        <f>"112.500,00"</f>
        <v>112.500,00</v>
      </c>
      <c r="N3833" s="8" t="s">
        <v>124</v>
      </c>
      <c r="O3833" s="7"/>
      <c r="P3833" s="2" t="s">
        <v>6635</v>
      </c>
      <c r="Q3833" s="7"/>
      <c r="R3833" s="1"/>
      <c r="S3833" s="1" t="str">
        <f>"J-UN-2022-171"</f>
        <v>J-UN-2022-171</v>
      </c>
      <c r="T3833" s="1" t="s">
        <v>32</v>
      </c>
    </row>
    <row r="3834" spans="1:20" ht="51" x14ac:dyDescent="0.25">
      <c r="A3834" s="6">
        <v>3828</v>
      </c>
      <c r="B3834" s="1" t="str">
        <f>"2022-1451"</f>
        <v>2022-1451</v>
      </c>
      <c r="C3834" s="1" t="s">
        <v>3048</v>
      </c>
      <c r="D3834" s="1" t="s">
        <v>2241</v>
      </c>
      <c r="E3834" s="1" t="str">
        <f>""</f>
        <v/>
      </c>
      <c r="F3834" s="1" t="s">
        <v>1860</v>
      </c>
      <c r="G3834" s="1" t="str">
        <f>CONCATENATE(" VIATOR D.O.O.,"," KRALJA DRŽISLAVA 6,"," 21000 SPLIT,"," OIB: 6473171712")</f>
        <v xml:space="preserve"> VIATOR D.O.O., KRALJA DRŽISLAVA 6, 21000 SPLIT, OIB: 6473171712</v>
      </c>
      <c r="H3834" s="7"/>
      <c r="I3834" s="8" t="s">
        <v>698</v>
      </c>
      <c r="J3834" s="8" t="s">
        <v>1269</v>
      </c>
      <c r="K3834" s="6" t="str">
        <f>"54.000,00"</f>
        <v>54.000,00</v>
      </c>
      <c r="L3834" s="6" t="str">
        <f>"13.500,00"</f>
        <v>13.500,00</v>
      </c>
      <c r="M3834" s="6" t="str">
        <f>"67.500,00"</f>
        <v>67.500,00</v>
      </c>
      <c r="N3834" s="8" t="s">
        <v>442</v>
      </c>
      <c r="O3834" s="7"/>
      <c r="P3834" s="2" t="s">
        <v>7898</v>
      </c>
      <c r="Q3834" s="1" t="s">
        <v>488</v>
      </c>
      <c r="R3834" s="1"/>
      <c r="S3834" s="1" t="str">
        <f>"J-UN-2022-172"</f>
        <v>J-UN-2022-172</v>
      </c>
      <c r="T3834" s="1" t="s">
        <v>32</v>
      </c>
    </row>
    <row r="3835" spans="1:20" ht="51" x14ac:dyDescent="0.25">
      <c r="A3835" s="6">
        <v>3829</v>
      </c>
      <c r="B3835" s="1" t="str">
        <f>"2022-1448"</f>
        <v>2022-1448</v>
      </c>
      <c r="C3835" s="1" t="s">
        <v>3049</v>
      </c>
      <c r="D3835" s="1" t="s">
        <v>2241</v>
      </c>
      <c r="E3835" s="1" t="str">
        <f>""</f>
        <v/>
      </c>
      <c r="F3835" s="1" t="s">
        <v>1860</v>
      </c>
      <c r="G3835" s="1" t="str">
        <f>CONCATENATE(" VIATOR D.O.O.,"," KRALJA DRŽISLAVA 6,"," 21000 SPLIT,"," OIB: 6473171712")</f>
        <v xml:space="preserve"> VIATOR D.O.O., KRALJA DRŽISLAVA 6, 21000 SPLIT, OIB: 6473171712</v>
      </c>
      <c r="H3835" s="7"/>
      <c r="I3835" s="8" t="s">
        <v>698</v>
      </c>
      <c r="J3835" s="8" t="s">
        <v>1269</v>
      </c>
      <c r="K3835" s="6" t="str">
        <f>"102.600,00"</f>
        <v>102.600,00</v>
      </c>
      <c r="L3835" s="6" t="str">
        <f>"25.650,00"</f>
        <v>25.650,00</v>
      </c>
      <c r="M3835" s="6" t="str">
        <f>"128.250,00"</f>
        <v>128.250,00</v>
      </c>
      <c r="N3835" s="8" t="s">
        <v>124</v>
      </c>
      <c r="O3835" s="7"/>
      <c r="P3835" s="2" t="s">
        <v>7899</v>
      </c>
      <c r="Q3835" s="1"/>
      <c r="R3835" s="1"/>
      <c r="S3835" s="1" t="str">
        <f>"J-UN-2022-173"</f>
        <v>J-UN-2022-173</v>
      </c>
      <c r="T3835" s="1" t="s">
        <v>32</v>
      </c>
    </row>
    <row r="3836" spans="1:20" ht="51" x14ac:dyDescent="0.25">
      <c r="A3836" s="6">
        <v>3830</v>
      </c>
      <c r="B3836" s="1" t="str">
        <f>"2022-1446"</f>
        <v>2022-1446</v>
      </c>
      <c r="C3836" s="1" t="s">
        <v>3047</v>
      </c>
      <c r="D3836" s="1" t="s">
        <v>2241</v>
      </c>
      <c r="E3836" s="1" t="str">
        <f>""</f>
        <v/>
      </c>
      <c r="F3836" s="1" t="s">
        <v>1860</v>
      </c>
      <c r="G3836" s="1" t="str">
        <f>CONCATENATE(" AUTO BENUSSI D.O.O.,"," INDUSTRIJSKA 2D,"," 52100 PULA,"," OIB: 96262119913")</f>
        <v xml:space="preserve"> AUTO BENUSSI D.O.O., INDUSTRIJSKA 2D, 52100 PULA, OIB: 96262119913</v>
      </c>
      <c r="H3836" s="7"/>
      <c r="I3836" s="8" t="s">
        <v>598</v>
      </c>
      <c r="J3836" s="8" t="s">
        <v>2120</v>
      </c>
      <c r="K3836" s="6" t="str">
        <f>"8.248,95"</f>
        <v>8.248,95</v>
      </c>
      <c r="L3836" s="6" t="str">
        <f>"2.062,24"</f>
        <v>2.062,24</v>
      </c>
      <c r="M3836" s="6" t="str">
        <f>"10.311,19"</f>
        <v>10.311,19</v>
      </c>
      <c r="N3836" s="8" t="s">
        <v>124</v>
      </c>
      <c r="O3836" s="7"/>
      <c r="P3836" s="2" t="s">
        <v>7900</v>
      </c>
      <c r="Q3836" s="7"/>
      <c r="R3836" s="1"/>
      <c r="S3836" s="1" t="str">
        <f>"J-UN-2022-174"</f>
        <v>J-UN-2022-174</v>
      </c>
      <c r="T3836" s="1" t="s">
        <v>32</v>
      </c>
    </row>
    <row r="3837" spans="1:20" ht="51" x14ac:dyDescent="0.25">
      <c r="A3837" s="6">
        <v>3831</v>
      </c>
      <c r="B3837" s="1" t="str">
        <f>"2022-1451"</f>
        <v>2022-1451</v>
      </c>
      <c r="C3837" s="1" t="s">
        <v>3048</v>
      </c>
      <c r="D3837" s="1" t="s">
        <v>2241</v>
      </c>
      <c r="E3837" s="1" t="str">
        <f>""</f>
        <v/>
      </c>
      <c r="F3837" s="1" t="s">
        <v>1860</v>
      </c>
      <c r="G3837" s="1" t="str">
        <f t="shared" ref="G3837:G3851" si="221">CONCATENATE(" VIATOR D.O.O.,"," KRALJA DRŽISLAVA 6,"," 21000 SPLIT,"," OIB: 6473171712")</f>
        <v xml:space="preserve"> VIATOR D.O.O., KRALJA DRŽISLAVA 6, 21000 SPLIT, OIB: 6473171712</v>
      </c>
      <c r="H3837" s="7"/>
      <c r="I3837" s="8" t="s">
        <v>698</v>
      </c>
      <c r="J3837" s="8" t="s">
        <v>1269</v>
      </c>
      <c r="K3837" s="6" t="str">
        <f>"14.400,00"</f>
        <v>14.400,00</v>
      </c>
      <c r="L3837" s="6" t="str">
        <f>"3.600,00"</f>
        <v>3.600,00</v>
      </c>
      <c r="M3837" s="6" t="str">
        <f>"18.000,00"</f>
        <v>18.000,00</v>
      </c>
      <c r="N3837" s="8" t="s">
        <v>30</v>
      </c>
      <c r="O3837" s="7"/>
      <c r="P3837" s="2" t="s">
        <v>7901</v>
      </c>
      <c r="Q3837" s="1" t="s">
        <v>488</v>
      </c>
      <c r="R3837" s="1"/>
      <c r="S3837" s="1" t="str">
        <f>"J-UN-2022-175"</f>
        <v>J-UN-2022-175</v>
      </c>
      <c r="T3837" s="1" t="s">
        <v>32</v>
      </c>
    </row>
    <row r="3838" spans="1:20" ht="51" x14ac:dyDescent="0.25">
      <c r="A3838" s="6">
        <v>3832</v>
      </c>
      <c r="B3838" s="1" t="str">
        <f>"2022-1447"</f>
        <v>2022-1447</v>
      </c>
      <c r="C3838" s="1" t="s">
        <v>3050</v>
      </c>
      <c r="D3838" s="1" t="s">
        <v>2241</v>
      </c>
      <c r="E3838" s="1" t="str">
        <f>""</f>
        <v/>
      </c>
      <c r="F3838" s="1" t="s">
        <v>1860</v>
      </c>
      <c r="G3838" s="1" t="str">
        <f t="shared" si="221"/>
        <v xml:space="preserve"> VIATOR D.O.O., KRALJA DRŽISLAVA 6, 21000 SPLIT, OIB: 6473171712</v>
      </c>
      <c r="H3838" s="7"/>
      <c r="I3838" s="8" t="s">
        <v>698</v>
      </c>
      <c r="J3838" s="8" t="s">
        <v>1269</v>
      </c>
      <c r="K3838" s="6" t="str">
        <f>"52.200,00"</f>
        <v>52.200,00</v>
      </c>
      <c r="L3838" s="6" t="str">
        <f>"13.050,00"</f>
        <v>13.050,00</v>
      </c>
      <c r="M3838" s="6" t="str">
        <f>"65.250,00"</f>
        <v>65.250,00</v>
      </c>
      <c r="N3838" s="8" t="s">
        <v>124</v>
      </c>
      <c r="O3838" s="7"/>
      <c r="P3838" s="2" t="s">
        <v>7902</v>
      </c>
      <c r="Q3838" s="7"/>
      <c r="R3838" s="1"/>
      <c r="S3838" s="1" t="str">
        <f>"J-UN-2022-176"</f>
        <v>J-UN-2022-176</v>
      </c>
      <c r="T3838" s="1" t="s">
        <v>32</v>
      </c>
    </row>
    <row r="3839" spans="1:20" ht="51" x14ac:dyDescent="0.25">
      <c r="A3839" s="6">
        <v>3833</v>
      </c>
      <c r="B3839" s="1" t="str">
        <f>"2022-1450"</f>
        <v>2022-1450</v>
      </c>
      <c r="C3839" s="1" t="s">
        <v>3051</v>
      </c>
      <c r="D3839" s="1" t="s">
        <v>2241</v>
      </c>
      <c r="E3839" s="1" t="str">
        <f>""</f>
        <v/>
      </c>
      <c r="F3839" s="1" t="s">
        <v>1860</v>
      </c>
      <c r="G3839" s="1" t="str">
        <f t="shared" si="221"/>
        <v xml:space="preserve"> VIATOR D.O.O., KRALJA DRŽISLAVA 6, 21000 SPLIT, OIB: 6473171712</v>
      </c>
      <c r="H3839" s="7"/>
      <c r="I3839" s="8" t="s">
        <v>698</v>
      </c>
      <c r="J3839" s="8" t="s">
        <v>1269</v>
      </c>
      <c r="K3839" s="6" t="str">
        <f>"95.850,00"</f>
        <v>95.850,00</v>
      </c>
      <c r="L3839" s="6" t="str">
        <f>"23.962,50"</f>
        <v>23.962,50</v>
      </c>
      <c r="M3839" s="6" t="str">
        <f>"119.812,50"</f>
        <v>119.812,50</v>
      </c>
      <c r="N3839" s="8" t="s">
        <v>124</v>
      </c>
      <c r="O3839" s="7"/>
      <c r="P3839" s="2" t="s">
        <v>7903</v>
      </c>
      <c r="Q3839" s="7"/>
      <c r="R3839" s="1"/>
      <c r="S3839" s="1" t="str">
        <f>"J-UN-2022-177"</f>
        <v>J-UN-2022-177</v>
      </c>
      <c r="T3839" s="1" t="s">
        <v>32</v>
      </c>
    </row>
    <row r="3840" spans="1:20" ht="51" x14ac:dyDescent="0.25">
      <c r="A3840" s="6">
        <v>3834</v>
      </c>
      <c r="B3840" s="1" t="str">
        <f>"2022-1449"</f>
        <v>2022-1449</v>
      </c>
      <c r="C3840" s="1" t="s">
        <v>3052</v>
      </c>
      <c r="D3840" s="1" t="s">
        <v>2241</v>
      </c>
      <c r="E3840" s="1" t="str">
        <f>""</f>
        <v/>
      </c>
      <c r="F3840" s="1" t="s">
        <v>1860</v>
      </c>
      <c r="G3840" s="1" t="str">
        <f t="shared" si="221"/>
        <v xml:space="preserve"> VIATOR D.O.O., KRALJA DRŽISLAVA 6, 21000 SPLIT, OIB: 6473171712</v>
      </c>
      <c r="H3840" s="7"/>
      <c r="I3840" s="8" t="s">
        <v>698</v>
      </c>
      <c r="J3840" s="8" t="s">
        <v>1269</v>
      </c>
      <c r="K3840" s="6" t="str">
        <f>"70.200,00"</f>
        <v>70.200,00</v>
      </c>
      <c r="L3840" s="6" t="str">
        <f>"17.550,00"</f>
        <v>17.550,00</v>
      </c>
      <c r="M3840" s="6" t="str">
        <f>"87.750,00"</f>
        <v>87.750,00</v>
      </c>
      <c r="N3840" s="8" t="s">
        <v>898</v>
      </c>
      <c r="O3840" s="7"/>
      <c r="P3840" s="2" t="s">
        <v>7904</v>
      </c>
      <c r="Q3840" s="1" t="s">
        <v>1017</v>
      </c>
      <c r="R3840" s="1"/>
      <c r="S3840" s="1" t="str">
        <f>"J-UN-2022-178"</f>
        <v>J-UN-2022-178</v>
      </c>
      <c r="T3840" s="1" t="s">
        <v>32</v>
      </c>
    </row>
    <row r="3841" spans="1:20" ht="51" x14ac:dyDescent="0.25">
      <c r="A3841" s="6">
        <v>3835</v>
      </c>
      <c r="B3841" s="1" t="str">
        <f>"2022-1454"</f>
        <v>2022-1454</v>
      </c>
      <c r="C3841" s="1" t="s">
        <v>3053</v>
      </c>
      <c r="D3841" s="1" t="s">
        <v>2241</v>
      </c>
      <c r="E3841" s="1" t="str">
        <f>""</f>
        <v/>
      </c>
      <c r="F3841" s="1" t="s">
        <v>1860</v>
      </c>
      <c r="G3841" s="1" t="str">
        <f t="shared" si="221"/>
        <v xml:space="preserve"> VIATOR D.O.O., KRALJA DRŽISLAVA 6, 21000 SPLIT, OIB: 6473171712</v>
      </c>
      <c r="H3841" s="7"/>
      <c r="I3841" s="8" t="s">
        <v>698</v>
      </c>
      <c r="J3841" s="8" t="s">
        <v>1269</v>
      </c>
      <c r="K3841" s="6" t="str">
        <f>"178.200,00"</f>
        <v>178.200,00</v>
      </c>
      <c r="L3841" s="6" t="str">
        <f>"44.550,00"</f>
        <v>44.550,00</v>
      </c>
      <c r="M3841" s="6" t="str">
        <f>"222.750,00"</f>
        <v>222.750,00</v>
      </c>
      <c r="N3841" s="8" t="s">
        <v>124</v>
      </c>
      <c r="O3841" s="7"/>
      <c r="P3841" s="2" t="s">
        <v>7905</v>
      </c>
      <c r="Q3841" s="7"/>
      <c r="R3841" s="1"/>
      <c r="S3841" s="1" t="str">
        <f>"J-UN-2022-179"</f>
        <v>J-UN-2022-179</v>
      </c>
      <c r="T3841" s="1" t="s">
        <v>32</v>
      </c>
    </row>
    <row r="3842" spans="1:20" ht="51" x14ac:dyDescent="0.25">
      <c r="A3842" s="6">
        <v>3836</v>
      </c>
      <c r="B3842" s="1" t="str">
        <f>"2022-1448"</f>
        <v>2022-1448</v>
      </c>
      <c r="C3842" s="1" t="s">
        <v>3049</v>
      </c>
      <c r="D3842" s="1" t="s">
        <v>2241</v>
      </c>
      <c r="E3842" s="1" t="str">
        <f>""</f>
        <v/>
      </c>
      <c r="F3842" s="1" t="s">
        <v>1860</v>
      </c>
      <c r="G3842" s="1" t="str">
        <f t="shared" si="221"/>
        <v xml:space="preserve"> VIATOR D.O.O., KRALJA DRŽISLAVA 6, 21000 SPLIT, OIB: 6473171712</v>
      </c>
      <c r="H3842" s="7"/>
      <c r="I3842" s="8" t="s">
        <v>698</v>
      </c>
      <c r="J3842" s="8" t="s">
        <v>1269</v>
      </c>
      <c r="K3842" s="6" t="str">
        <f>"52.200,00"</f>
        <v>52.200,00</v>
      </c>
      <c r="L3842" s="6" t="str">
        <f>"13.050,00"</f>
        <v>13.050,00</v>
      </c>
      <c r="M3842" s="6" t="str">
        <f>"65.250,00"</f>
        <v>65.250,00</v>
      </c>
      <c r="N3842" s="8" t="s">
        <v>124</v>
      </c>
      <c r="O3842" s="7"/>
      <c r="P3842" s="2" t="s">
        <v>7906</v>
      </c>
      <c r="Q3842" s="7"/>
      <c r="R3842" s="1"/>
      <c r="S3842" s="1" t="str">
        <f>"J-UN-2022-180"</f>
        <v>J-UN-2022-180</v>
      </c>
      <c r="T3842" s="1" t="s">
        <v>32</v>
      </c>
    </row>
    <row r="3843" spans="1:20" ht="51" x14ac:dyDescent="0.25">
      <c r="A3843" s="6">
        <v>3837</v>
      </c>
      <c r="B3843" s="1" t="str">
        <f>"2022-1447"</f>
        <v>2022-1447</v>
      </c>
      <c r="C3843" s="1" t="s">
        <v>3050</v>
      </c>
      <c r="D3843" s="1" t="s">
        <v>2241</v>
      </c>
      <c r="E3843" s="1" t="str">
        <f>""</f>
        <v/>
      </c>
      <c r="F3843" s="1" t="s">
        <v>1860</v>
      </c>
      <c r="G3843" s="1" t="str">
        <f t="shared" si="221"/>
        <v xml:space="preserve"> VIATOR D.O.O., KRALJA DRŽISLAVA 6, 21000 SPLIT, OIB: 6473171712</v>
      </c>
      <c r="H3843" s="7"/>
      <c r="I3843" s="8" t="s">
        <v>698</v>
      </c>
      <c r="J3843" s="8" t="s">
        <v>1269</v>
      </c>
      <c r="K3843" s="6" t="str">
        <f>"108.000,00"</f>
        <v>108.000,00</v>
      </c>
      <c r="L3843" s="6" t="str">
        <f>"27.000,00"</f>
        <v>27.000,00</v>
      </c>
      <c r="M3843" s="6" t="str">
        <f>"135.000,00"</f>
        <v>135.000,00</v>
      </c>
      <c r="N3843" s="8" t="s">
        <v>124</v>
      </c>
      <c r="O3843" s="7"/>
      <c r="P3843" s="2" t="s">
        <v>7907</v>
      </c>
      <c r="Q3843" s="7"/>
      <c r="R3843" s="1"/>
      <c r="S3843" s="1" t="str">
        <f>"J-UN-2022-182"</f>
        <v>J-UN-2022-182</v>
      </c>
      <c r="T3843" s="1" t="s">
        <v>32</v>
      </c>
    </row>
    <row r="3844" spans="1:20" ht="51" x14ac:dyDescent="0.25">
      <c r="A3844" s="6">
        <v>3838</v>
      </c>
      <c r="B3844" s="1" t="str">
        <f>"2022-1449"</f>
        <v>2022-1449</v>
      </c>
      <c r="C3844" s="1" t="s">
        <v>3052</v>
      </c>
      <c r="D3844" s="1" t="s">
        <v>2241</v>
      </c>
      <c r="E3844" s="1" t="str">
        <f>""</f>
        <v/>
      </c>
      <c r="F3844" s="1" t="s">
        <v>1860</v>
      </c>
      <c r="G3844" s="1" t="str">
        <f t="shared" si="221"/>
        <v xml:space="preserve"> VIATOR D.O.O., KRALJA DRŽISLAVA 6, 21000 SPLIT, OIB: 6473171712</v>
      </c>
      <c r="H3844" s="7"/>
      <c r="I3844" s="8" t="s">
        <v>698</v>
      </c>
      <c r="J3844" s="8" t="s">
        <v>1269</v>
      </c>
      <c r="K3844" s="6" t="str">
        <f>"27.900,00"</f>
        <v>27.900,00</v>
      </c>
      <c r="L3844" s="6" t="str">
        <f>"6.975,00"</f>
        <v>6.975,00</v>
      </c>
      <c r="M3844" s="6" t="str">
        <f>"34.875,00"</f>
        <v>34.875,00</v>
      </c>
      <c r="N3844" s="8" t="s">
        <v>898</v>
      </c>
      <c r="O3844" s="7"/>
      <c r="P3844" s="2" t="s">
        <v>7908</v>
      </c>
      <c r="Q3844" s="1" t="s">
        <v>488</v>
      </c>
      <c r="R3844" s="1"/>
      <c r="S3844" s="1" t="str">
        <f>"J-UN-2022-183"</f>
        <v>J-UN-2022-183</v>
      </c>
      <c r="T3844" s="1" t="s">
        <v>32</v>
      </c>
    </row>
    <row r="3845" spans="1:20" ht="51" x14ac:dyDescent="0.25">
      <c r="A3845" s="6">
        <v>3839</v>
      </c>
      <c r="B3845" s="1" t="str">
        <f>"2022-1449"</f>
        <v>2022-1449</v>
      </c>
      <c r="C3845" s="1" t="s">
        <v>3052</v>
      </c>
      <c r="D3845" s="1" t="s">
        <v>2241</v>
      </c>
      <c r="E3845" s="1" t="str">
        <f>""</f>
        <v/>
      </c>
      <c r="F3845" s="1" t="s">
        <v>1860</v>
      </c>
      <c r="G3845" s="1" t="str">
        <f t="shared" si="221"/>
        <v xml:space="preserve"> VIATOR D.O.O., KRALJA DRŽISLAVA 6, 21000 SPLIT, OIB: 6473171712</v>
      </c>
      <c r="H3845" s="7"/>
      <c r="I3845" s="8" t="s">
        <v>698</v>
      </c>
      <c r="J3845" s="8" t="s">
        <v>1269</v>
      </c>
      <c r="K3845" s="6" t="str">
        <f>"22.050,00"</f>
        <v>22.050,00</v>
      </c>
      <c r="L3845" s="6" t="str">
        <f>"5.512,50"</f>
        <v>5.512,50</v>
      </c>
      <c r="M3845" s="6" t="str">
        <f>"27.562,50"</f>
        <v>27.562,50</v>
      </c>
      <c r="N3845" s="8" t="s">
        <v>124</v>
      </c>
      <c r="O3845" s="7"/>
      <c r="P3845" s="2" t="s">
        <v>7909</v>
      </c>
      <c r="Q3845" s="7"/>
      <c r="R3845" s="1"/>
      <c r="S3845" s="1" t="str">
        <f>"J-UN-2022-184"</f>
        <v>J-UN-2022-184</v>
      </c>
      <c r="T3845" s="1" t="s">
        <v>32</v>
      </c>
    </row>
    <row r="3846" spans="1:20" ht="51" x14ac:dyDescent="0.25">
      <c r="A3846" s="6">
        <v>3840</v>
      </c>
      <c r="B3846" s="1" t="str">
        <f>"2022-1446"</f>
        <v>2022-1446</v>
      </c>
      <c r="C3846" s="1" t="s">
        <v>3047</v>
      </c>
      <c r="D3846" s="1" t="s">
        <v>2241</v>
      </c>
      <c r="E3846" s="1" t="str">
        <f>""</f>
        <v/>
      </c>
      <c r="F3846" s="1" t="s">
        <v>1860</v>
      </c>
      <c r="G3846" s="1" t="str">
        <f t="shared" si="221"/>
        <v xml:space="preserve"> VIATOR D.O.O., KRALJA DRŽISLAVA 6, 21000 SPLIT, OIB: 6473171712</v>
      </c>
      <c r="H3846" s="7"/>
      <c r="I3846" s="8" t="s">
        <v>698</v>
      </c>
      <c r="J3846" s="8" t="s">
        <v>1269</v>
      </c>
      <c r="K3846" s="6" t="str">
        <f>"73.800,00"</f>
        <v>73.800,00</v>
      </c>
      <c r="L3846" s="6" t="str">
        <f>"18.450,00"</f>
        <v>18.450,00</v>
      </c>
      <c r="M3846" s="6" t="str">
        <f>"92.250,00"</f>
        <v>92.250,00</v>
      </c>
      <c r="N3846" s="8" t="s">
        <v>124</v>
      </c>
      <c r="O3846" s="7"/>
      <c r="P3846" s="2" t="s">
        <v>7910</v>
      </c>
      <c r="Q3846" s="7"/>
      <c r="R3846" s="1"/>
      <c r="S3846" s="1" t="str">
        <f>"J-UN-2022-185"</f>
        <v>J-UN-2022-185</v>
      </c>
      <c r="T3846" s="1" t="s">
        <v>32</v>
      </c>
    </row>
    <row r="3847" spans="1:20" ht="51" x14ac:dyDescent="0.25">
      <c r="A3847" s="6">
        <v>3841</v>
      </c>
      <c r="B3847" s="1" t="str">
        <f>"2022-1453"</f>
        <v>2022-1453</v>
      </c>
      <c r="C3847" s="1" t="s">
        <v>3054</v>
      </c>
      <c r="D3847" s="1" t="s">
        <v>2241</v>
      </c>
      <c r="E3847" s="1" t="str">
        <f>""</f>
        <v/>
      </c>
      <c r="F3847" s="1" t="s">
        <v>1860</v>
      </c>
      <c r="G3847" s="1" t="str">
        <f t="shared" si="221"/>
        <v xml:space="preserve"> VIATOR D.O.O., KRALJA DRŽISLAVA 6, 21000 SPLIT, OIB: 6473171712</v>
      </c>
      <c r="H3847" s="7"/>
      <c r="I3847" s="8" t="s">
        <v>698</v>
      </c>
      <c r="J3847" s="8" t="s">
        <v>1269</v>
      </c>
      <c r="K3847" s="6" t="str">
        <f>"198.900,00"</f>
        <v>198.900,00</v>
      </c>
      <c r="L3847" s="6" t="str">
        <f>"49.725,00"</f>
        <v>49.725,00</v>
      </c>
      <c r="M3847" s="6" t="str">
        <f>"248.625,00"</f>
        <v>248.625,00</v>
      </c>
      <c r="N3847" s="8" t="s">
        <v>124</v>
      </c>
      <c r="O3847" s="7"/>
      <c r="P3847" s="2" t="s">
        <v>7911</v>
      </c>
      <c r="Q3847" s="7"/>
      <c r="R3847" s="1"/>
      <c r="S3847" s="1" t="str">
        <f>"J-UN-2022-186"</f>
        <v>J-UN-2022-186</v>
      </c>
      <c r="T3847" s="1" t="s">
        <v>32</v>
      </c>
    </row>
    <row r="3848" spans="1:20" ht="51" x14ac:dyDescent="0.25">
      <c r="A3848" s="6">
        <v>3842</v>
      </c>
      <c r="B3848" s="1" t="str">
        <f>"2022-1449"</f>
        <v>2022-1449</v>
      </c>
      <c r="C3848" s="1" t="s">
        <v>3052</v>
      </c>
      <c r="D3848" s="1" t="s">
        <v>2241</v>
      </c>
      <c r="E3848" s="1" t="str">
        <f>""</f>
        <v/>
      </c>
      <c r="F3848" s="1" t="s">
        <v>1860</v>
      </c>
      <c r="G3848" s="1" t="str">
        <f t="shared" si="221"/>
        <v xml:space="preserve"> VIATOR D.O.O., KRALJA DRŽISLAVA 6, 21000 SPLIT, OIB: 6473171712</v>
      </c>
      <c r="H3848" s="7"/>
      <c r="I3848" s="8" t="s">
        <v>698</v>
      </c>
      <c r="J3848" s="8" t="s">
        <v>1269</v>
      </c>
      <c r="K3848" s="6" t="str">
        <f>"30.600,00"</f>
        <v>30.600,00</v>
      </c>
      <c r="L3848" s="6" t="str">
        <f>"7.650,00"</f>
        <v>7.650,00</v>
      </c>
      <c r="M3848" s="6" t="str">
        <f>"38.250,00"</f>
        <v>38.250,00</v>
      </c>
      <c r="N3848" s="8" t="s">
        <v>898</v>
      </c>
      <c r="O3848" s="7"/>
      <c r="P3848" s="2">
        <v>44193.75</v>
      </c>
      <c r="Q3848" s="1" t="s">
        <v>488</v>
      </c>
      <c r="R3848" s="1"/>
      <c r="S3848" s="1" t="str">
        <f>"J-UN-2022-187"</f>
        <v>J-UN-2022-187</v>
      </c>
      <c r="T3848" s="1" t="s">
        <v>32</v>
      </c>
    </row>
    <row r="3849" spans="1:20" ht="51" x14ac:dyDescent="0.25">
      <c r="A3849" s="6">
        <v>3843</v>
      </c>
      <c r="B3849" s="1" t="str">
        <f>"2022-1451"</f>
        <v>2022-1451</v>
      </c>
      <c r="C3849" s="1" t="s">
        <v>3048</v>
      </c>
      <c r="D3849" s="1" t="s">
        <v>2241</v>
      </c>
      <c r="E3849" s="1" t="str">
        <f>""</f>
        <v/>
      </c>
      <c r="F3849" s="1" t="s">
        <v>1860</v>
      </c>
      <c r="G3849" s="1" t="str">
        <f t="shared" si="221"/>
        <v xml:space="preserve"> VIATOR D.O.O., KRALJA DRŽISLAVA 6, 21000 SPLIT, OIB: 6473171712</v>
      </c>
      <c r="H3849" s="7"/>
      <c r="I3849" s="8" t="s">
        <v>698</v>
      </c>
      <c r="J3849" s="8" t="s">
        <v>1269</v>
      </c>
      <c r="K3849" s="6" t="str">
        <f>"13.500,00"</f>
        <v>13.500,00</v>
      </c>
      <c r="L3849" s="6" t="str">
        <f>"3.375,00"</f>
        <v>3.375,00</v>
      </c>
      <c r="M3849" s="6" t="str">
        <f>"16.875,00"</f>
        <v>16.875,00</v>
      </c>
      <c r="N3849" s="8" t="s">
        <v>30</v>
      </c>
      <c r="O3849" s="7"/>
      <c r="P3849" s="2" t="s">
        <v>7912</v>
      </c>
      <c r="Q3849" s="1" t="s">
        <v>488</v>
      </c>
      <c r="R3849" s="1"/>
      <c r="S3849" s="1" t="str">
        <f>"J-UN-2022-188"</f>
        <v>J-UN-2022-188</v>
      </c>
      <c r="T3849" s="1" t="s">
        <v>32</v>
      </c>
    </row>
    <row r="3850" spans="1:20" ht="51" x14ac:dyDescent="0.25">
      <c r="A3850" s="6">
        <v>3844</v>
      </c>
      <c r="B3850" s="1" t="str">
        <f>"2022-1450"</f>
        <v>2022-1450</v>
      </c>
      <c r="C3850" s="1" t="s">
        <v>3051</v>
      </c>
      <c r="D3850" s="1" t="s">
        <v>2241</v>
      </c>
      <c r="E3850" s="1" t="str">
        <f>""</f>
        <v/>
      </c>
      <c r="F3850" s="1" t="s">
        <v>1860</v>
      </c>
      <c r="G3850" s="1" t="str">
        <f t="shared" si="221"/>
        <v xml:space="preserve"> VIATOR D.O.O., KRALJA DRŽISLAVA 6, 21000 SPLIT, OIB: 6473171712</v>
      </c>
      <c r="H3850" s="7"/>
      <c r="I3850" s="8" t="s">
        <v>698</v>
      </c>
      <c r="J3850" s="8" t="s">
        <v>1269</v>
      </c>
      <c r="K3850" s="6" t="str">
        <f>"91.800,00"</f>
        <v>91.800,00</v>
      </c>
      <c r="L3850" s="6" t="str">
        <f>"22.950,00"</f>
        <v>22.950,00</v>
      </c>
      <c r="M3850" s="6" t="str">
        <f>"114.750,00"</f>
        <v>114.750,00</v>
      </c>
      <c r="N3850" s="8" t="s">
        <v>124</v>
      </c>
      <c r="O3850" s="7"/>
      <c r="P3850" s="2" t="s">
        <v>7913</v>
      </c>
      <c r="Q3850" s="7"/>
      <c r="R3850" s="1"/>
      <c r="S3850" s="1" t="str">
        <f>"J-UN-2022-189"</f>
        <v>J-UN-2022-189</v>
      </c>
      <c r="T3850" s="1" t="s">
        <v>32</v>
      </c>
    </row>
    <row r="3851" spans="1:20" ht="51" x14ac:dyDescent="0.25">
      <c r="A3851" s="6">
        <v>3845</v>
      </c>
      <c r="B3851" s="1" t="str">
        <f>"2022-1449"</f>
        <v>2022-1449</v>
      </c>
      <c r="C3851" s="1" t="s">
        <v>3052</v>
      </c>
      <c r="D3851" s="1" t="s">
        <v>2241</v>
      </c>
      <c r="E3851" s="1" t="str">
        <f>""</f>
        <v/>
      </c>
      <c r="F3851" s="1" t="s">
        <v>1860</v>
      </c>
      <c r="G3851" s="1" t="str">
        <f t="shared" si="221"/>
        <v xml:space="preserve"> VIATOR D.O.O., KRALJA DRŽISLAVA 6, 21000 SPLIT, OIB: 6473171712</v>
      </c>
      <c r="H3851" s="7"/>
      <c r="I3851" s="8" t="s">
        <v>698</v>
      </c>
      <c r="J3851" s="8" t="s">
        <v>1269</v>
      </c>
      <c r="K3851" s="6" t="str">
        <f>"30.600,00"</f>
        <v>30.600,00</v>
      </c>
      <c r="L3851" s="6" t="str">
        <f>"7.650,00"</f>
        <v>7.650,00</v>
      </c>
      <c r="M3851" s="6" t="str">
        <f>"38.250,00"</f>
        <v>38.250,00</v>
      </c>
      <c r="N3851" s="8" t="s">
        <v>124</v>
      </c>
      <c r="O3851" s="7"/>
      <c r="P3851" s="2" t="s">
        <v>5614</v>
      </c>
      <c r="Q3851" s="7"/>
      <c r="R3851" s="1"/>
      <c r="S3851" s="1" t="str">
        <f>"J-UN-2022-190"</f>
        <v>J-UN-2022-190</v>
      </c>
      <c r="T3851" s="1" t="s">
        <v>32</v>
      </c>
    </row>
    <row r="3852" spans="1:20" ht="63.75" x14ac:dyDescent="0.25">
      <c r="A3852" s="6">
        <v>3846</v>
      </c>
      <c r="B3852" s="1" t="str">
        <f>"2022-41"</f>
        <v>2022-41</v>
      </c>
      <c r="C3852" s="1" t="s">
        <v>2323</v>
      </c>
      <c r="D3852" s="1" t="s">
        <v>2324</v>
      </c>
      <c r="E3852" s="1" t="str">
        <f>""</f>
        <v/>
      </c>
      <c r="F3852" s="1" t="s">
        <v>1860</v>
      </c>
      <c r="G3852" s="1" t="str">
        <f>CONCATENATE(" PREHRAMBENA INDUSTRIJA VINDIJA D.D.,"," MEĐIMURSKA 6,"," 42000 VARAŽDIN,"," OIB: 44138062462")</f>
        <v xml:space="preserve"> PREHRAMBENA INDUSTRIJA VINDIJA D.D., MEĐIMURSKA 6, 42000 VARAŽDIN, OIB: 44138062462</v>
      </c>
      <c r="H3852" s="7"/>
      <c r="I3852" s="8" t="s">
        <v>746</v>
      </c>
      <c r="J3852" s="8" t="s">
        <v>3055</v>
      </c>
      <c r="K3852" s="6" t="str">
        <f>"1.128,00"</f>
        <v>1.128,00</v>
      </c>
      <c r="L3852" s="6" t="str">
        <f>"282,00"</f>
        <v>282,00</v>
      </c>
      <c r="M3852" s="6" t="str">
        <f>"1.410,00"</f>
        <v>1.410,00</v>
      </c>
      <c r="N3852" s="8" t="s">
        <v>232</v>
      </c>
      <c r="O3852" s="7"/>
      <c r="P3852" s="2" t="s">
        <v>7914</v>
      </c>
      <c r="Q3852" s="7"/>
      <c r="R3852" s="1"/>
      <c r="S3852" s="1" t="str">
        <f>"J-UN-2022-191"</f>
        <v>J-UN-2022-191</v>
      </c>
      <c r="T3852" s="1" t="s">
        <v>32</v>
      </c>
    </row>
    <row r="3853" spans="1:20" ht="63.75" x14ac:dyDescent="0.25">
      <c r="A3853" s="6">
        <v>3847</v>
      </c>
      <c r="B3853" s="1" t="str">
        <f>"2022-40"</f>
        <v>2022-40</v>
      </c>
      <c r="C3853" s="1" t="s">
        <v>2317</v>
      </c>
      <c r="D3853" s="1" t="s">
        <v>837</v>
      </c>
      <c r="E3853" s="1" t="str">
        <f>""</f>
        <v/>
      </c>
      <c r="F3853" s="1" t="s">
        <v>1860</v>
      </c>
      <c r="G3853" s="1" t="str">
        <f>CONCATENATE(" JULIUS MEINL BONFANTI D.O.O.,"," LJUBLJANSKA ULICA 4,"," 10431 SVETA NEDELJA,"," OIB: 39546130894")</f>
        <v xml:space="preserve"> JULIUS MEINL BONFANTI D.O.O., LJUBLJANSKA ULICA 4, 10431 SVETA NEDELJA, OIB: 39546130894</v>
      </c>
      <c r="H3853" s="7"/>
      <c r="I3853" s="8" t="s">
        <v>696</v>
      </c>
      <c r="J3853" s="8" t="s">
        <v>2339</v>
      </c>
      <c r="K3853" s="6" t="str">
        <f>"717,60"</f>
        <v>717,60</v>
      </c>
      <c r="L3853" s="6" t="str">
        <f>"179,40"</f>
        <v>179,40</v>
      </c>
      <c r="M3853" s="6" t="str">
        <f>"897,00"</f>
        <v>897,00</v>
      </c>
      <c r="N3853" s="8" t="s">
        <v>124</v>
      </c>
      <c r="O3853" s="7"/>
      <c r="P3853" s="2" t="s">
        <v>5614</v>
      </c>
      <c r="Q3853" s="7"/>
      <c r="R3853" s="1"/>
      <c r="S3853" s="1" t="str">
        <f>"J-UN-2022-200"</f>
        <v>J-UN-2022-200</v>
      </c>
      <c r="T3853" s="1" t="s">
        <v>32</v>
      </c>
    </row>
    <row r="3854" spans="1:20" ht="51" x14ac:dyDescent="0.25">
      <c r="A3854" s="6">
        <v>3848</v>
      </c>
      <c r="B3854" s="1" t="str">
        <f>"2022-1446"</f>
        <v>2022-1446</v>
      </c>
      <c r="C3854" s="1" t="s">
        <v>3047</v>
      </c>
      <c r="D3854" s="1" t="s">
        <v>2241</v>
      </c>
      <c r="E3854" s="1" t="str">
        <f>""</f>
        <v/>
      </c>
      <c r="F3854" s="1" t="s">
        <v>1860</v>
      </c>
      <c r="G3854" s="1" t="str">
        <f>CONCATENATE(" AUTO BENUSSI D.O.O.,"," INDUSTRIJSKA 2D,"," 52100 PULA,"," OIB: 96262119913")</f>
        <v xml:space="preserve"> AUTO BENUSSI D.O.O., INDUSTRIJSKA 2D, 52100 PULA, OIB: 96262119913</v>
      </c>
      <c r="H3854" s="7"/>
      <c r="I3854" s="8" t="s">
        <v>613</v>
      </c>
      <c r="J3854" s="8" t="s">
        <v>3056</v>
      </c>
      <c r="K3854" s="6" t="str">
        <f>"17.640,00"</f>
        <v>17.640,00</v>
      </c>
      <c r="L3854" s="6" t="str">
        <f>"4.410,00"</f>
        <v>4.410,00</v>
      </c>
      <c r="M3854" s="6" t="str">
        <f>"22.050,00"</f>
        <v>22.050,00</v>
      </c>
      <c r="N3854" s="8" t="s">
        <v>124</v>
      </c>
      <c r="O3854" s="7"/>
      <c r="P3854" s="2" t="s">
        <v>7915</v>
      </c>
      <c r="Q3854" s="7"/>
      <c r="R3854" s="1"/>
      <c r="S3854" s="1" t="str">
        <f>"J-UN-2022-201"</f>
        <v>J-UN-2022-201</v>
      </c>
      <c r="T3854" s="1" t="s">
        <v>32</v>
      </c>
    </row>
    <row r="3855" spans="1:20" ht="63.75" x14ac:dyDescent="0.25">
      <c r="A3855" s="6">
        <v>3849</v>
      </c>
      <c r="B3855" s="1" t="str">
        <f>"2022-63"</f>
        <v>2022-63</v>
      </c>
      <c r="C3855" s="1" t="s">
        <v>2316</v>
      </c>
      <c r="D3855" s="1" t="s">
        <v>2211</v>
      </c>
      <c r="E3855" s="1" t="str">
        <f>""</f>
        <v/>
      </c>
      <c r="F3855" s="1" t="s">
        <v>1860</v>
      </c>
      <c r="G3855" s="1" t="str">
        <f>CONCATENATE(" HRVOJE MARKOVINOVIĆ,"," VLADIMIRA NAZORA 38,"," 10000 ZAGREB,"," OIB: 01084748634")</f>
        <v xml:space="preserve"> HRVOJE MARKOVINOVIĆ, VLADIMIRA NAZORA 38, 10000 ZAGREB, OIB: 01084748634</v>
      </c>
      <c r="H3855" s="7"/>
      <c r="I3855" s="8" t="s">
        <v>613</v>
      </c>
      <c r="J3855" s="8" t="s">
        <v>3056</v>
      </c>
      <c r="K3855" s="6" t="str">
        <f>"19.900,00"</f>
        <v>19.900,00</v>
      </c>
      <c r="L3855" s="6" t="str">
        <f>"4.975,00"</f>
        <v>4.975,00</v>
      </c>
      <c r="M3855" s="6" t="str">
        <f>"24.875,00"</f>
        <v>24.875,00</v>
      </c>
      <c r="N3855" s="8" t="s">
        <v>226</v>
      </c>
      <c r="O3855" s="7"/>
      <c r="P3855" s="2" t="s">
        <v>7916</v>
      </c>
      <c r="Q3855" s="7"/>
      <c r="R3855" s="1"/>
      <c r="S3855" s="1" t="str">
        <f>"J-UN-2022-203"</f>
        <v>J-UN-2022-203</v>
      </c>
      <c r="T3855" s="1" t="s">
        <v>32</v>
      </c>
    </row>
    <row r="3856" spans="1:20" ht="63.75" x14ac:dyDescent="0.25">
      <c r="A3856" s="6">
        <v>3850</v>
      </c>
      <c r="B3856" s="1" t="str">
        <f>"2022-1291"</f>
        <v>2022-1291</v>
      </c>
      <c r="C3856" s="1" t="s">
        <v>2989</v>
      </c>
      <c r="D3856" s="1" t="s">
        <v>2990</v>
      </c>
      <c r="E3856" s="1" t="str">
        <f>""</f>
        <v/>
      </c>
      <c r="F3856" s="1" t="s">
        <v>1860</v>
      </c>
      <c r="G3856" s="1" t="str">
        <f>CONCATENATE(" LANIŠTE D.O.O.,"," ALEXANDERA VON HUMBOLDTA 4B,"," 10000 ZAGREB,"," OIB: 3755384865")</f>
        <v xml:space="preserve"> LANIŠTE D.O.O., ALEXANDERA VON HUMBOLDTA 4B, 10000 ZAGREB, OIB: 3755384865</v>
      </c>
      <c r="H3856" s="7"/>
      <c r="I3856" s="8" t="s">
        <v>613</v>
      </c>
      <c r="J3856" s="8" t="s">
        <v>3056</v>
      </c>
      <c r="K3856" s="6" t="str">
        <f>"3.636,00"</f>
        <v>3.636,00</v>
      </c>
      <c r="L3856" s="6" t="str">
        <f>"909,00"</f>
        <v>909,00</v>
      </c>
      <c r="M3856" s="6" t="str">
        <f>"4.545,00"</f>
        <v>4.545,00</v>
      </c>
      <c r="N3856" s="8" t="s">
        <v>220</v>
      </c>
      <c r="O3856" s="7"/>
      <c r="P3856" s="2" t="s">
        <v>7917</v>
      </c>
      <c r="Q3856" s="7"/>
      <c r="R3856" s="1"/>
      <c r="S3856" s="1" t="str">
        <f>"J-UN-2022-204"</f>
        <v>J-UN-2022-204</v>
      </c>
      <c r="T3856" s="1" t="s">
        <v>32</v>
      </c>
    </row>
    <row r="3857" spans="1:20" ht="63.75" x14ac:dyDescent="0.25">
      <c r="A3857" s="6">
        <v>3851</v>
      </c>
      <c r="B3857" s="1" t="str">
        <f>"2022-1289"</f>
        <v>2022-1289</v>
      </c>
      <c r="C3857" s="1" t="s">
        <v>2993</v>
      </c>
      <c r="D3857" s="1" t="s">
        <v>2994</v>
      </c>
      <c r="E3857" s="1" t="str">
        <f>""</f>
        <v/>
      </c>
      <c r="F3857" s="1" t="s">
        <v>1860</v>
      </c>
      <c r="G3857" s="1" t="str">
        <f>CONCATENATE(" LANIŠTE D.O.O.,"," ALEXANDERA VON HUMBOLDTA 4B,"," 10000 ZAGREB,"," OIB: 3755384865")</f>
        <v xml:space="preserve"> LANIŠTE D.O.O., ALEXANDERA VON HUMBOLDTA 4B, 10000 ZAGREB, OIB: 3755384865</v>
      </c>
      <c r="H3857" s="7"/>
      <c r="I3857" s="8" t="s">
        <v>613</v>
      </c>
      <c r="J3857" s="8" t="s">
        <v>3056</v>
      </c>
      <c r="K3857" s="6" t="str">
        <f>"3.632,00"</f>
        <v>3.632,00</v>
      </c>
      <c r="L3857" s="6" t="str">
        <f>"908,00"</f>
        <v>908,00</v>
      </c>
      <c r="M3857" s="6" t="str">
        <f>"4.540,00"</f>
        <v>4.540,00</v>
      </c>
      <c r="N3857" s="8" t="s">
        <v>220</v>
      </c>
      <c r="O3857" s="7"/>
      <c r="P3857" s="2" t="s">
        <v>7918</v>
      </c>
      <c r="Q3857" s="7"/>
      <c r="R3857" s="1"/>
      <c r="S3857" s="1" t="str">
        <f>"J-UN-2022-205"</f>
        <v>J-UN-2022-205</v>
      </c>
      <c r="T3857" s="1" t="s">
        <v>32</v>
      </c>
    </row>
    <row r="3858" spans="1:20" ht="63.75" x14ac:dyDescent="0.25">
      <c r="A3858" s="6">
        <v>3852</v>
      </c>
      <c r="B3858" s="1" t="str">
        <f>"2022-1430"</f>
        <v>2022-1430</v>
      </c>
      <c r="C3858" s="1" t="s">
        <v>2986</v>
      </c>
      <c r="D3858" s="1" t="s">
        <v>2985</v>
      </c>
      <c r="E3858" s="1" t="str">
        <f>""</f>
        <v/>
      </c>
      <c r="F3858" s="1" t="s">
        <v>1860</v>
      </c>
      <c r="G3858" s="1" t="str">
        <f>CONCATENATE(" LANIŠTE D.O.O.,"," ALEXANDERA VON HUMBOLDTA 4B,"," 10000 ZAGREB,"," OIB: 3755384865")</f>
        <v xml:space="preserve"> LANIŠTE D.O.O., ALEXANDERA VON HUMBOLDTA 4B, 10000 ZAGREB, OIB: 3755384865</v>
      </c>
      <c r="H3858" s="7"/>
      <c r="I3858" s="8" t="s">
        <v>613</v>
      </c>
      <c r="J3858" s="8" t="s">
        <v>3056</v>
      </c>
      <c r="K3858" s="6" t="str">
        <f>"4.032,00"</f>
        <v>4.032,00</v>
      </c>
      <c r="L3858" s="6" t="str">
        <f>"1.008,00"</f>
        <v>1.008,00</v>
      </c>
      <c r="M3858" s="6" t="str">
        <f>"5.040,00"</f>
        <v>5.040,00</v>
      </c>
      <c r="N3858" s="8" t="s">
        <v>220</v>
      </c>
      <c r="O3858" s="7"/>
      <c r="P3858" s="2" t="s">
        <v>7919</v>
      </c>
      <c r="Q3858" s="7"/>
      <c r="R3858" s="1"/>
      <c r="S3858" s="1" t="str">
        <f>"J-UN-2022-206"</f>
        <v>J-UN-2022-206</v>
      </c>
      <c r="T3858" s="1" t="s">
        <v>32</v>
      </c>
    </row>
    <row r="3859" spans="1:20" ht="63.75" x14ac:dyDescent="0.25">
      <c r="A3859" s="6">
        <v>3853</v>
      </c>
      <c r="B3859" s="1" t="str">
        <f>"2022-1429"</f>
        <v>2022-1429</v>
      </c>
      <c r="C3859" s="1" t="s">
        <v>2984</v>
      </c>
      <c r="D3859" s="1" t="s">
        <v>2985</v>
      </c>
      <c r="E3859" s="1" t="str">
        <f>""</f>
        <v/>
      </c>
      <c r="F3859" s="1" t="s">
        <v>1860</v>
      </c>
      <c r="G3859" s="1" t="str">
        <f>CONCATENATE(" LANIŠTE D.O.O.,"," ALEXANDERA VON HUMBOLDTA 4B,"," 10000 ZAGREB,"," OIB: 3755384865")</f>
        <v xml:space="preserve"> LANIŠTE D.O.O., ALEXANDERA VON HUMBOLDTA 4B, 10000 ZAGREB, OIB: 3755384865</v>
      </c>
      <c r="H3859" s="7"/>
      <c r="I3859" s="8" t="s">
        <v>613</v>
      </c>
      <c r="J3859" s="8" t="s">
        <v>3056</v>
      </c>
      <c r="K3859" s="6" t="str">
        <f>"4.032,00"</f>
        <v>4.032,00</v>
      </c>
      <c r="L3859" s="6" t="str">
        <f>"1.008,00"</f>
        <v>1.008,00</v>
      </c>
      <c r="M3859" s="6" t="str">
        <f>"5.040,00"</f>
        <v>5.040,00</v>
      </c>
      <c r="N3859" s="8" t="s">
        <v>220</v>
      </c>
      <c r="O3859" s="7"/>
      <c r="P3859" s="2" t="s">
        <v>7919</v>
      </c>
      <c r="Q3859" s="7"/>
      <c r="R3859" s="1"/>
      <c r="S3859" s="1" t="str">
        <f>"J-UN-2022-207"</f>
        <v>J-UN-2022-207</v>
      </c>
      <c r="T3859" s="1" t="s">
        <v>32</v>
      </c>
    </row>
    <row r="3860" spans="1:20" ht="63.75" x14ac:dyDescent="0.25">
      <c r="A3860" s="6">
        <v>3854</v>
      </c>
      <c r="B3860" s="1" t="str">
        <f>"2022-1416"</f>
        <v>2022-1416</v>
      </c>
      <c r="C3860" s="1" t="s">
        <v>2991</v>
      </c>
      <c r="D3860" s="1" t="s">
        <v>2992</v>
      </c>
      <c r="E3860" s="1" t="str">
        <f>""</f>
        <v/>
      </c>
      <c r="F3860" s="1" t="s">
        <v>1860</v>
      </c>
      <c r="G3860" s="1" t="str">
        <f>CONCATENATE(" LANIŠTE D.O.O.,"," ALEXANDERA VON HUMBOLDTA 4B,"," 10000 ZAGREB,"," OIB: 3755384865")</f>
        <v xml:space="preserve"> LANIŠTE D.O.O., ALEXANDERA VON HUMBOLDTA 4B, 10000 ZAGREB, OIB: 3755384865</v>
      </c>
      <c r="H3860" s="7"/>
      <c r="I3860" s="8" t="s">
        <v>613</v>
      </c>
      <c r="J3860" s="8" t="s">
        <v>3056</v>
      </c>
      <c r="K3860" s="6" t="str">
        <f>"3.636,00"</f>
        <v>3.636,00</v>
      </c>
      <c r="L3860" s="6" t="str">
        <f>"909,00"</f>
        <v>909,00</v>
      </c>
      <c r="M3860" s="6" t="str">
        <f>"4.545,00"</f>
        <v>4.545,00</v>
      </c>
      <c r="N3860" s="8" t="s">
        <v>220</v>
      </c>
      <c r="O3860" s="7"/>
      <c r="P3860" s="2" t="s">
        <v>7917</v>
      </c>
      <c r="Q3860" s="7"/>
      <c r="R3860" s="1"/>
      <c r="S3860" s="1" t="str">
        <f>"J-UN-2022-208"</f>
        <v>J-UN-2022-208</v>
      </c>
      <c r="T3860" s="1" t="s">
        <v>32</v>
      </c>
    </row>
    <row r="3861" spans="1:20" ht="51" x14ac:dyDescent="0.25">
      <c r="A3861" s="6">
        <v>3855</v>
      </c>
      <c r="B3861" s="1" t="str">
        <f>"2022-767"</f>
        <v>2022-767</v>
      </c>
      <c r="C3861" s="1" t="s">
        <v>3057</v>
      </c>
      <c r="D3861" s="1" t="s">
        <v>486</v>
      </c>
      <c r="E3861" s="1" t="str">
        <f>""</f>
        <v/>
      </c>
      <c r="F3861" s="1" t="s">
        <v>1860</v>
      </c>
      <c r="G3861" s="1" t="str">
        <f>CONCATENATE(" HT D.D.,"," RADNIČKA CESTA 21,"," 10000 ZAGREB,"," OIB: 8179314656")</f>
        <v xml:space="preserve"> HT D.D., RADNIČKA CESTA 21, 10000 ZAGREB, OIB: 8179314656</v>
      </c>
      <c r="H3861" s="7"/>
      <c r="I3861" s="8" t="s">
        <v>232</v>
      </c>
      <c r="J3861" s="8" t="s">
        <v>3058</v>
      </c>
      <c r="K3861" s="6" t="str">
        <f>"35.349,70"</f>
        <v>35.349,70</v>
      </c>
      <c r="L3861" s="6" t="str">
        <f>"8.837,43"</f>
        <v>8.837,43</v>
      </c>
      <c r="M3861" s="6" t="str">
        <f>"44.187,13"</f>
        <v>44.187,13</v>
      </c>
      <c r="N3861" s="8" t="s">
        <v>124</v>
      </c>
      <c r="O3861" s="7"/>
      <c r="P3861" s="2" t="s">
        <v>5614</v>
      </c>
      <c r="Q3861" s="7"/>
      <c r="R3861" s="1"/>
      <c r="S3861" s="1" t="str">
        <f>"J-UN-2022-213"</f>
        <v>J-UN-2022-213</v>
      </c>
      <c r="T3861" s="1" t="s">
        <v>32</v>
      </c>
    </row>
    <row r="3862" spans="1:20" ht="89.25" x14ac:dyDescent="0.25">
      <c r="A3862" s="6">
        <v>3856</v>
      </c>
      <c r="B3862" s="1" t="str">
        <f>"2022-234"</f>
        <v>2022-234</v>
      </c>
      <c r="C3862" s="1" t="s">
        <v>3059</v>
      </c>
      <c r="D3862" s="1" t="s">
        <v>3060</v>
      </c>
      <c r="E3862" s="1" t="str">
        <f>""</f>
        <v/>
      </c>
      <c r="F3862" s="1" t="s">
        <v>1860</v>
      </c>
      <c r="G3862" s="1" t="str">
        <f>CONCATENATE(" EFEKTIVNI MIKROORGANIZMI ORIGINALNA TEHNOLOGIJA RIJEKA D.O.O.,"," F. ČANDEKA 33,"," 51000 RIJEKA,"," OIB: 5176600402")</f>
        <v xml:space="preserve"> EFEKTIVNI MIKROORGANIZMI ORIGINALNA TEHNOLOGIJA RIJEKA D.O.O., F. ČANDEKA 33, 51000 RIJEKA, OIB: 5176600402</v>
      </c>
      <c r="H3862" s="7"/>
      <c r="I3862" s="8" t="s">
        <v>503</v>
      </c>
      <c r="J3862" s="8" t="s">
        <v>3061</v>
      </c>
      <c r="K3862" s="6" t="str">
        <f>"39.000,00"</f>
        <v>39.000,00</v>
      </c>
      <c r="L3862" s="6" t="str">
        <f>"9.750,00"</f>
        <v>9.750,00</v>
      </c>
      <c r="M3862" s="6" t="str">
        <f>"48.750,00"</f>
        <v>48.750,00</v>
      </c>
      <c r="N3862" s="8" t="s">
        <v>72</v>
      </c>
      <c r="O3862" s="7"/>
      <c r="P3862" s="2" t="s">
        <v>7920</v>
      </c>
      <c r="Q3862" s="7"/>
      <c r="R3862" s="1"/>
      <c r="S3862" s="1" t="str">
        <f>"J-UN-2022-214"</f>
        <v>J-UN-2022-214</v>
      </c>
      <c r="T3862" s="1" t="s">
        <v>32</v>
      </c>
    </row>
    <row r="3863" spans="1:20" ht="63.75" x14ac:dyDescent="0.25">
      <c r="A3863" s="6">
        <v>3857</v>
      </c>
      <c r="B3863" s="1" t="str">
        <f>"2022-283"</f>
        <v>2022-283</v>
      </c>
      <c r="C3863" s="1" t="s">
        <v>2722</v>
      </c>
      <c r="D3863" s="1" t="s">
        <v>689</v>
      </c>
      <c r="E3863" s="1" t="str">
        <f>""</f>
        <v/>
      </c>
      <c r="F3863" s="1" t="s">
        <v>1860</v>
      </c>
      <c r="G3863" s="1" t="str">
        <f>CONCATENATE(" NARODNE NOVINE D.D.,"," SAVSKI GAJ XIII. PUT br. 6,"," 10000 ZAGREB,"," OIB: 64546066176")</f>
        <v xml:space="preserve"> NARODNE NOVINE D.D., SAVSKI GAJ XIII. PUT br. 6, 10000 ZAGREB, OIB: 64546066176</v>
      </c>
      <c r="H3863" s="7"/>
      <c r="I3863" s="8" t="s">
        <v>768</v>
      </c>
      <c r="J3863" s="8" t="s">
        <v>3045</v>
      </c>
      <c r="K3863" s="6" t="str">
        <f>"9.600,00"</f>
        <v>9.600,00</v>
      </c>
      <c r="L3863" s="6" t="str">
        <f>"2.400,00"</f>
        <v>2.400,00</v>
      </c>
      <c r="M3863" s="6" t="str">
        <f>"12.000,00"</f>
        <v>12.000,00</v>
      </c>
      <c r="N3863" s="8" t="s">
        <v>398</v>
      </c>
      <c r="O3863" s="7"/>
      <c r="P3863" s="2" t="s">
        <v>7921</v>
      </c>
      <c r="Q3863" s="7"/>
      <c r="R3863" s="1"/>
      <c r="S3863" s="1" t="str">
        <f>"J-UN-2022-217"</f>
        <v>J-UN-2022-217</v>
      </c>
      <c r="T3863" s="1" t="s">
        <v>32</v>
      </c>
    </row>
    <row r="3864" spans="1:20" ht="51" x14ac:dyDescent="0.25">
      <c r="A3864" s="6">
        <v>3858</v>
      </c>
      <c r="B3864" s="1" t="str">
        <f>"2022-499"</f>
        <v>2022-499</v>
      </c>
      <c r="C3864" s="1" t="s">
        <v>2788</v>
      </c>
      <c r="D3864" s="1" t="s">
        <v>2789</v>
      </c>
      <c r="E3864" s="1" t="str">
        <f>""</f>
        <v/>
      </c>
      <c r="F3864" s="1" t="s">
        <v>1860</v>
      </c>
      <c r="G3864" s="1" t="str">
        <f>CONCATENATE(" SCHEDA D.O.O.,"," LJUDEVITA POSAVSKOG 29,"," 10360 SESVETE,"," OIB: 76219817247")</f>
        <v xml:space="preserve"> SCHEDA D.O.O., LJUDEVITA POSAVSKOG 29, 10360 SESVETE, OIB: 76219817247</v>
      </c>
      <c r="H3864" s="7"/>
      <c r="I3864" s="8" t="s">
        <v>768</v>
      </c>
      <c r="J3864" s="8" t="s">
        <v>2135</v>
      </c>
      <c r="K3864" s="6" t="str">
        <f>"480,00"</f>
        <v>480,00</v>
      </c>
      <c r="L3864" s="6" t="str">
        <f>"120,00"</f>
        <v>120,00</v>
      </c>
      <c r="M3864" s="6" t="str">
        <f>"600,00"</f>
        <v>600,00</v>
      </c>
      <c r="N3864" s="8" t="s">
        <v>242</v>
      </c>
      <c r="O3864" s="7"/>
      <c r="P3864" s="2" t="s">
        <v>7829</v>
      </c>
      <c r="Q3864" s="7"/>
      <c r="R3864" s="1"/>
      <c r="S3864" s="1" t="str">
        <f>"J-UN-2022-218"</f>
        <v>J-UN-2022-218</v>
      </c>
      <c r="T3864" s="1" t="s">
        <v>32</v>
      </c>
    </row>
    <row r="3865" spans="1:20" ht="63.75" x14ac:dyDescent="0.25">
      <c r="A3865" s="6">
        <v>3859</v>
      </c>
      <c r="B3865" s="1" t="str">
        <f>"2022-101"</f>
        <v>2022-101</v>
      </c>
      <c r="C3865" s="1" t="s">
        <v>2914</v>
      </c>
      <c r="D3865" s="1" t="s">
        <v>2915</v>
      </c>
      <c r="E3865" s="1" t="str">
        <f>""</f>
        <v/>
      </c>
      <c r="F3865" s="1" t="s">
        <v>1860</v>
      </c>
      <c r="G3865" s="1" t="str">
        <f>CONCATENATE(" RETEX D.O.O.,"," ADAMOVEC,","D.DOMJANIĆA 101,"," 10363 BELOVAR,"," OIB: 13491775537")</f>
        <v xml:space="preserve"> RETEX D.O.O., ADAMOVEC,D.DOMJANIĆA 101, 10363 BELOVAR, OIB: 13491775537</v>
      </c>
      <c r="H3865" s="7"/>
      <c r="I3865" s="8" t="s">
        <v>768</v>
      </c>
      <c r="J3865" s="8" t="s">
        <v>2135</v>
      </c>
      <c r="K3865" s="6" t="str">
        <f>"5.500,00"</f>
        <v>5.500,00</v>
      </c>
      <c r="L3865" s="6" t="str">
        <f>"1.375,00"</f>
        <v>1.375,00</v>
      </c>
      <c r="M3865" s="6" t="str">
        <f>"6.875,00"</f>
        <v>6.875,00</v>
      </c>
      <c r="N3865" s="8" t="s">
        <v>90</v>
      </c>
      <c r="O3865" s="7"/>
      <c r="P3865" s="2" t="s">
        <v>7058</v>
      </c>
      <c r="Q3865" s="7"/>
      <c r="R3865" s="1"/>
      <c r="S3865" s="1" t="str">
        <f>"J-UN-2022-219"</f>
        <v>J-UN-2022-219</v>
      </c>
      <c r="T3865" s="1" t="s">
        <v>32</v>
      </c>
    </row>
    <row r="3866" spans="1:20" ht="63.75" x14ac:dyDescent="0.25">
      <c r="A3866" s="6">
        <v>3860</v>
      </c>
      <c r="B3866" s="1" t="str">
        <f>"2022-192"</f>
        <v>2022-192</v>
      </c>
      <c r="C3866" s="1" t="s">
        <v>2790</v>
      </c>
      <c r="D3866" s="1" t="s">
        <v>2791</v>
      </c>
      <c r="E3866" s="1" t="str">
        <f>""</f>
        <v/>
      </c>
      <c r="F3866" s="1" t="s">
        <v>1860</v>
      </c>
      <c r="G3866" s="1" t="str">
        <f>CONCATENATE(" POLJOOPSKRBA-TEHNO D.D.,"," SAMOBORSKA 96,"," 10000 ZAGREB,"," OIB: 5372167324")</f>
        <v xml:space="preserve"> POLJOOPSKRBA-TEHNO D.D., SAMOBORSKA 96, 10000 ZAGREB, OIB: 5372167324</v>
      </c>
      <c r="H3866" s="7"/>
      <c r="I3866" s="8" t="s">
        <v>768</v>
      </c>
      <c r="J3866" s="8" t="s">
        <v>2135</v>
      </c>
      <c r="K3866" s="6" t="str">
        <f>"6.225,00"</f>
        <v>6.225,00</v>
      </c>
      <c r="L3866" s="6" t="str">
        <f>"1.556,25"</f>
        <v>1.556,25</v>
      </c>
      <c r="M3866" s="6" t="str">
        <f>"7.781,25"</f>
        <v>7.781,25</v>
      </c>
      <c r="N3866" s="8" t="s">
        <v>90</v>
      </c>
      <c r="O3866" s="7"/>
      <c r="P3866" s="2" t="s">
        <v>7922</v>
      </c>
      <c r="Q3866" s="7"/>
      <c r="R3866" s="1"/>
      <c r="S3866" s="1" t="str">
        <f>"J-UN-2022-220"</f>
        <v>J-UN-2022-220</v>
      </c>
      <c r="T3866" s="1" t="s">
        <v>32</v>
      </c>
    </row>
    <row r="3867" spans="1:20" ht="76.5" x14ac:dyDescent="0.25">
      <c r="A3867" s="6">
        <v>3861</v>
      </c>
      <c r="B3867" s="1" t="str">
        <f>"2022-1397"</f>
        <v>2022-1397</v>
      </c>
      <c r="C3867" s="1" t="s">
        <v>2472</v>
      </c>
      <c r="D3867" s="1" t="s">
        <v>2473</v>
      </c>
      <c r="E3867" s="1" t="str">
        <f>""</f>
        <v/>
      </c>
      <c r="F3867" s="1" t="s">
        <v>1860</v>
      </c>
      <c r="G3867" s="1" t="str">
        <f>CONCATENATE(" ZAGREBAČKI HOLDING D.O.O.,"," PODRUŽNICA ČISTOĆA,"," RADNIČKA CESTA 82,"," 10000 ZAGREB,"," OIB: 85584865987")</f>
        <v xml:space="preserve"> ZAGREBAČKI HOLDING D.O.O., PODRUŽNICA ČISTOĆA, RADNIČKA CESTA 82, 10000 ZAGREB, OIB: 85584865987</v>
      </c>
      <c r="H3867" s="7"/>
      <c r="I3867" s="8" t="s">
        <v>220</v>
      </c>
      <c r="J3867" s="8" t="s">
        <v>1345</v>
      </c>
      <c r="K3867" s="6" t="str">
        <f>"20.367,90"</f>
        <v>20.367,90</v>
      </c>
      <c r="L3867" s="6" t="str">
        <f>"5.091,98"</f>
        <v>5.091,98</v>
      </c>
      <c r="M3867" s="6" t="str">
        <f>"25.459,88"</f>
        <v>25.459,88</v>
      </c>
      <c r="N3867" s="8" t="s">
        <v>124</v>
      </c>
      <c r="O3867" s="7"/>
      <c r="P3867" s="2" t="s">
        <v>7923</v>
      </c>
      <c r="Q3867" s="7"/>
      <c r="R3867" s="1"/>
      <c r="S3867" s="1" t="str">
        <f>"J-UN-2022-221"</f>
        <v>J-UN-2022-221</v>
      </c>
      <c r="T3867" s="1" t="s">
        <v>43</v>
      </c>
    </row>
    <row r="3868" spans="1:20" ht="76.5" x14ac:dyDescent="0.25">
      <c r="A3868" s="6">
        <v>3862</v>
      </c>
      <c r="B3868" s="1" t="str">
        <f>"2022-384"</f>
        <v>2022-384</v>
      </c>
      <c r="C3868" s="1" t="s">
        <v>3062</v>
      </c>
      <c r="D3868" s="1" t="s">
        <v>3063</v>
      </c>
      <c r="E3868" s="1" t="str">
        <f>""</f>
        <v/>
      </c>
      <c r="F3868" s="1" t="s">
        <v>1860</v>
      </c>
      <c r="G3868" s="1" t="str">
        <f>CONCATENATE(" SMIT-COMMERCE D.O.O.,"," GORNJOSTUPNIČKA 9B,"," 10255 GORNJI STUPNIK,"," OIB: 9524348214")</f>
        <v xml:space="preserve"> SMIT-COMMERCE D.O.O., GORNJOSTUPNIČKA 9B, 10255 GORNJI STUPNIK, OIB: 9524348214</v>
      </c>
      <c r="H3868" s="7"/>
      <c r="I3868" s="8" t="s">
        <v>768</v>
      </c>
      <c r="J3868" s="8" t="s">
        <v>2135</v>
      </c>
      <c r="K3868" s="6" t="str">
        <f>"1.491,55"</f>
        <v>1.491,55</v>
      </c>
      <c r="L3868" s="6" t="str">
        <f>"372,89"</f>
        <v>372,89</v>
      </c>
      <c r="M3868" s="6" t="str">
        <f>"1.864,44"</f>
        <v>1.864,44</v>
      </c>
      <c r="N3868" s="8" t="s">
        <v>296</v>
      </c>
      <c r="O3868" s="7"/>
      <c r="P3868" s="2" t="s">
        <v>7924</v>
      </c>
      <c r="Q3868" s="7"/>
      <c r="R3868" s="1"/>
      <c r="S3868" s="1" t="str">
        <f>"J-UN-2022-223"</f>
        <v>J-UN-2022-223</v>
      </c>
      <c r="T3868" s="1" t="s">
        <v>32</v>
      </c>
    </row>
    <row r="3869" spans="1:20" ht="51" x14ac:dyDescent="0.25">
      <c r="A3869" s="6">
        <v>3863</v>
      </c>
      <c r="B3869" s="1" t="str">
        <f>"2022-817"</f>
        <v>2022-817</v>
      </c>
      <c r="C3869" s="1" t="s">
        <v>2839</v>
      </c>
      <c r="D3869" s="1" t="s">
        <v>2716</v>
      </c>
      <c r="E3869" s="1" t="str">
        <f>""</f>
        <v/>
      </c>
      <c r="F3869" s="1" t="s">
        <v>1860</v>
      </c>
      <c r="G3869" s="1" t="str">
        <f>CONCATENATE(" TORBARINA D.O.O.,"," NOVA CESTA 3,"," 10412 DONJA LOMNICA,"," OIB: 02603292627")</f>
        <v xml:space="preserve"> TORBARINA D.O.O., NOVA CESTA 3, 10412 DONJA LOMNICA, OIB: 02603292627</v>
      </c>
      <c r="H3869" s="7"/>
      <c r="I3869" s="8" t="s">
        <v>220</v>
      </c>
      <c r="J3869" s="8" t="s">
        <v>1345</v>
      </c>
      <c r="K3869" s="6" t="str">
        <f>"275,90"</f>
        <v>275,90</v>
      </c>
      <c r="L3869" s="6" t="str">
        <f>"68,98"</f>
        <v>68,98</v>
      </c>
      <c r="M3869" s="6" t="str">
        <f>"344,88"</f>
        <v>344,88</v>
      </c>
      <c r="N3869" s="8" t="s">
        <v>62</v>
      </c>
      <c r="O3869" s="7"/>
      <c r="P3869" s="2" t="s">
        <v>7925</v>
      </c>
      <c r="Q3869" s="7"/>
      <c r="R3869" s="1"/>
      <c r="S3869" s="1" t="str">
        <f>"J-UN-2022-225"</f>
        <v>J-UN-2022-225</v>
      </c>
      <c r="T3869" s="1" t="s">
        <v>32</v>
      </c>
    </row>
    <row r="3870" spans="1:20" ht="76.5" x14ac:dyDescent="0.25">
      <c r="A3870" s="6">
        <v>3864</v>
      </c>
      <c r="B3870" s="1" t="str">
        <f>"2022-319"</f>
        <v>2022-319</v>
      </c>
      <c r="C3870" s="1" t="s">
        <v>2745</v>
      </c>
      <c r="D3870" s="1" t="s">
        <v>700</v>
      </c>
      <c r="E3870" s="1" t="str">
        <f>""</f>
        <v/>
      </c>
      <c r="F3870" s="1" t="s">
        <v>1860</v>
      </c>
      <c r="G3870" s="1" t="str">
        <f>CONCATENATE(" SMIT-COMMERCE D.O.O.,"," GORNJOSTUPNIČKA 9B,"," 10255 GORNJI STUPNIK,"," OIB: 9524348214")</f>
        <v xml:space="preserve"> SMIT-COMMERCE D.O.O., GORNJOSTUPNIČKA 9B, 10255 GORNJI STUPNIK, OIB: 9524348214</v>
      </c>
      <c r="H3870" s="7"/>
      <c r="I3870" s="8" t="s">
        <v>768</v>
      </c>
      <c r="J3870" s="8" t="s">
        <v>2135</v>
      </c>
      <c r="K3870" s="6" t="str">
        <f>"170,00"</f>
        <v>170,00</v>
      </c>
      <c r="L3870" s="6" t="str">
        <f>"42,50"</f>
        <v>42,50</v>
      </c>
      <c r="M3870" s="6" t="str">
        <f>"212,50"</f>
        <v>212,50</v>
      </c>
      <c r="N3870" s="8" t="s">
        <v>918</v>
      </c>
      <c r="O3870" s="7"/>
      <c r="P3870" s="2" t="s">
        <v>7926</v>
      </c>
      <c r="Q3870" s="7"/>
      <c r="R3870" s="1"/>
      <c r="S3870" s="1" t="str">
        <f>"J-UN-2022-226"</f>
        <v>J-UN-2022-226</v>
      </c>
      <c r="T3870" s="1" t="s">
        <v>32</v>
      </c>
    </row>
    <row r="3871" spans="1:20" ht="63.75" x14ac:dyDescent="0.25">
      <c r="A3871" s="6">
        <v>3865</v>
      </c>
      <c r="B3871" s="1" t="str">
        <f>"2022-1434"</f>
        <v>2022-1434</v>
      </c>
      <c r="C3871" s="1" t="s">
        <v>2558</v>
      </c>
      <c r="D3871" s="1" t="s">
        <v>860</v>
      </c>
      <c r="E3871" s="1" t="str">
        <f>""</f>
        <v/>
      </c>
      <c r="F3871" s="1" t="s">
        <v>1860</v>
      </c>
      <c r="G3871" s="1" t="str">
        <f>CONCATENATE(" METAL KRMPOTIĆ D.O.O.,"," SAMOBORSKA 230,"," 10090 ZAGREB-SUSEDGRAD,"," OIB: 09304335375")</f>
        <v xml:space="preserve"> METAL KRMPOTIĆ D.O.O., SAMOBORSKA 230, 10090 ZAGREB-SUSEDGRAD, OIB: 09304335375</v>
      </c>
      <c r="H3871" s="7"/>
      <c r="I3871" s="8" t="s">
        <v>220</v>
      </c>
      <c r="J3871" s="8" t="s">
        <v>1345</v>
      </c>
      <c r="K3871" s="6" t="str">
        <f>"6.445,00"</f>
        <v>6.445,00</v>
      </c>
      <c r="L3871" s="6" t="str">
        <f>"1.611,25"</f>
        <v>1.611,25</v>
      </c>
      <c r="M3871" s="6" t="str">
        <f>"8.056,25"</f>
        <v>8.056,25</v>
      </c>
      <c r="N3871" s="8" t="s">
        <v>262</v>
      </c>
      <c r="O3871" s="7"/>
      <c r="P3871" s="2" t="s">
        <v>7927</v>
      </c>
      <c r="Q3871" s="7"/>
      <c r="R3871" s="1"/>
      <c r="S3871" s="1" t="str">
        <f>"J-UN-2022-227"</f>
        <v>J-UN-2022-227</v>
      </c>
      <c r="T3871" s="1" t="s">
        <v>32</v>
      </c>
    </row>
    <row r="3872" spans="1:20" ht="76.5" x14ac:dyDescent="0.25">
      <c r="A3872" s="6">
        <v>3866</v>
      </c>
      <c r="B3872" s="1" t="str">
        <f>"2022-348"</f>
        <v>2022-348</v>
      </c>
      <c r="C3872" s="1" t="s">
        <v>2616</v>
      </c>
      <c r="D3872" s="1" t="s">
        <v>2617</v>
      </c>
      <c r="E3872" s="1" t="str">
        <f>""</f>
        <v/>
      </c>
      <c r="F3872" s="1" t="s">
        <v>1860</v>
      </c>
      <c r="G3872" s="1" t="str">
        <f>CONCATENATE(" SMIT-COMMERCE D.O.O.,"," GORNJOSTUPNIČKA 9B,"," 10255 GORNJI STUPNIK,"," OIB: 9524348214")</f>
        <v xml:space="preserve"> SMIT-COMMERCE D.O.O., GORNJOSTUPNIČKA 9B, 10255 GORNJI STUPNIK, OIB: 9524348214</v>
      </c>
      <c r="H3872" s="7"/>
      <c r="I3872" s="8" t="s">
        <v>397</v>
      </c>
      <c r="J3872" s="8" t="s">
        <v>2505</v>
      </c>
      <c r="K3872" s="6" t="str">
        <f>"26.336,82"</f>
        <v>26.336,82</v>
      </c>
      <c r="L3872" s="6" t="str">
        <f>"6.584,21"</f>
        <v>6.584,21</v>
      </c>
      <c r="M3872" s="6" t="str">
        <f>"32.921,03"</f>
        <v>32.921,03</v>
      </c>
      <c r="N3872" s="8" t="s">
        <v>296</v>
      </c>
      <c r="O3872" s="7"/>
      <c r="P3872" s="2" t="s">
        <v>7928</v>
      </c>
      <c r="Q3872" s="7"/>
      <c r="R3872" s="1"/>
      <c r="S3872" s="1" t="str">
        <f>"J-UN-2022-228-1"</f>
        <v>J-UN-2022-228-1</v>
      </c>
      <c r="T3872" s="1" t="s">
        <v>32</v>
      </c>
    </row>
    <row r="3873" spans="1:20" ht="63.75" x14ac:dyDescent="0.25">
      <c r="A3873" s="6">
        <v>3867</v>
      </c>
      <c r="B3873" s="1" t="str">
        <f>"2022-459"</f>
        <v>2022-459</v>
      </c>
      <c r="C3873" s="1" t="s">
        <v>2795</v>
      </c>
      <c r="D3873" s="1" t="s">
        <v>1619</v>
      </c>
      <c r="E3873" s="1" t="str">
        <f>""</f>
        <v/>
      </c>
      <c r="F3873" s="1" t="s">
        <v>1860</v>
      </c>
      <c r="G3873" s="1" t="str">
        <f>CONCATENATE(" AUTO-MAG D.O.O.,"," GORNJOSTUPNIČKA 1/d,"," 10255 GORNJI STUPNIK,"," OIB: 99940897955")</f>
        <v xml:space="preserve"> AUTO-MAG D.O.O., GORNJOSTUPNIČKA 1/d, 10255 GORNJI STUPNIK, OIB: 99940897955</v>
      </c>
      <c r="H3873" s="7"/>
      <c r="I3873" s="8" t="s">
        <v>768</v>
      </c>
      <c r="J3873" s="8" t="s">
        <v>2135</v>
      </c>
      <c r="K3873" s="6" t="str">
        <f>"400,00"</f>
        <v>400,00</v>
      </c>
      <c r="L3873" s="6" t="str">
        <f>"100,00"</f>
        <v>100,00</v>
      </c>
      <c r="M3873" s="6" t="str">
        <f>"500,00"</f>
        <v>500,00</v>
      </c>
      <c r="N3873" s="8" t="s">
        <v>124</v>
      </c>
      <c r="O3873" s="7"/>
      <c r="P3873" s="2" t="s">
        <v>5614</v>
      </c>
      <c r="Q3873" s="7"/>
      <c r="R3873" s="1"/>
      <c r="S3873" s="1" t="str">
        <f>"J-UN-2022-229"</f>
        <v>J-UN-2022-229</v>
      </c>
      <c r="T3873" s="1" t="s">
        <v>32</v>
      </c>
    </row>
    <row r="3874" spans="1:20" ht="51" x14ac:dyDescent="0.25">
      <c r="A3874" s="6">
        <v>3868</v>
      </c>
      <c r="B3874" s="1" t="str">
        <f>"2022-602"</f>
        <v>2022-602</v>
      </c>
      <c r="C3874" s="1" t="s">
        <v>2642</v>
      </c>
      <c r="D3874" s="1" t="s">
        <v>1236</v>
      </c>
      <c r="E3874" s="1" t="str">
        <f>""</f>
        <v/>
      </c>
      <c r="F3874" s="1" t="s">
        <v>1860</v>
      </c>
      <c r="G3874" s="1" t="str">
        <f>CONCATENATE(" EUROMONT INTRO D.O.O.,"," KANALSKI PUT 20,"," 10000 ZAGREB,"," OIB: 46289034988")</f>
        <v xml:space="preserve"> EUROMONT INTRO D.O.O., KANALSKI PUT 20, 10000 ZAGREB, OIB: 46289034988</v>
      </c>
      <c r="H3874" s="7"/>
      <c r="I3874" s="8" t="s">
        <v>220</v>
      </c>
      <c r="J3874" s="8" t="s">
        <v>1345</v>
      </c>
      <c r="K3874" s="6" t="str">
        <f>"7.162,00"</f>
        <v>7.162,00</v>
      </c>
      <c r="L3874" s="6" t="str">
        <f>"1.790,50"</f>
        <v>1.790,50</v>
      </c>
      <c r="M3874" s="6" t="str">
        <f>"8.952,50"</f>
        <v>8.952,50</v>
      </c>
      <c r="N3874" s="8" t="s">
        <v>397</v>
      </c>
      <c r="O3874" s="7"/>
      <c r="P3874" s="2" t="s">
        <v>7929</v>
      </c>
      <c r="Q3874" s="7"/>
      <c r="R3874" s="1"/>
      <c r="S3874" s="1" t="str">
        <f>"J-UN-2022-230"</f>
        <v>J-UN-2022-230</v>
      </c>
      <c r="T3874" s="1" t="s">
        <v>32</v>
      </c>
    </row>
    <row r="3875" spans="1:20" ht="51" x14ac:dyDescent="0.25">
      <c r="A3875" s="6">
        <v>3869</v>
      </c>
      <c r="B3875" s="1" t="str">
        <f>"2022-697"</f>
        <v>2022-697</v>
      </c>
      <c r="C3875" s="1" t="s">
        <v>2872</v>
      </c>
      <c r="D3875" s="1" t="s">
        <v>1833</v>
      </c>
      <c r="E3875" s="1" t="str">
        <f>""</f>
        <v/>
      </c>
      <c r="F3875" s="1" t="s">
        <v>1860</v>
      </c>
      <c r="G3875" s="1" t="str">
        <f>CONCATENATE(" AUTO ZOVAK D.O.O.,"," NIKOLE KRAMARIĆA 20,"," 10408 VELIKA MLAKA,"," OIB: 54549529724")</f>
        <v xml:space="preserve"> AUTO ZOVAK D.O.O., NIKOLE KRAMARIĆA 20, 10408 VELIKA MLAKA, OIB: 54549529724</v>
      </c>
      <c r="H3875" s="7"/>
      <c r="I3875" s="8" t="s">
        <v>220</v>
      </c>
      <c r="J3875" s="8" t="s">
        <v>1345</v>
      </c>
      <c r="K3875" s="6" t="str">
        <f>"14.083,72"</f>
        <v>14.083,72</v>
      </c>
      <c r="L3875" s="6" t="str">
        <f>"3.520,93"</f>
        <v>3.520,93</v>
      </c>
      <c r="M3875" s="6" t="str">
        <f>"17.604,65"</f>
        <v>17.604,65</v>
      </c>
      <c r="N3875" s="8" t="s">
        <v>831</v>
      </c>
      <c r="O3875" s="7"/>
      <c r="P3875" s="2" t="s">
        <v>7930</v>
      </c>
      <c r="Q3875" s="1" t="s">
        <v>5601</v>
      </c>
      <c r="R3875" s="1"/>
      <c r="S3875" s="1" t="str">
        <f>"J-UN-2022-231"</f>
        <v>J-UN-2022-231</v>
      </c>
      <c r="T3875" s="1" t="s">
        <v>32</v>
      </c>
    </row>
    <row r="3876" spans="1:20" ht="63.75" x14ac:dyDescent="0.25">
      <c r="A3876" s="6">
        <v>3870</v>
      </c>
      <c r="B3876" s="1" t="str">
        <f>"2022-459"</f>
        <v>2022-459</v>
      </c>
      <c r="C3876" s="1" t="s">
        <v>2795</v>
      </c>
      <c r="D3876" s="1" t="s">
        <v>1619</v>
      </c>
      <c r="E3876" s="1" t="str">
        <f>""</f>
        <v/>
      </c>
      <c r="F3876" s="1" t="s">
        <v>1860</v>
      </c>
      <c r="G3876" s="1" t="str">
        <f>CONCATENATE(" HIDROMEHANIKA D.O.O.,"," SLAVONSKA AVENIJA 26/10,"," 10000 ZAGREB,"," OIB: 9178029895")</f>
        <v xml:space="preserve"> HIDROMEHANIKA D.O.O., SLAVONSKA AVENIJA 26/10, 10000 ZAGREB, OIB: 9178029895</v>
      </c>
      <c r="H3876" s="7"/>
      <c r="I3876" s="8" t="s">
        <v>220</v>
      </c>
      <c r="J3876" s="8" t="s">
        <v>1345</v>
      </c>
      <c r="K3876" s="6" t="str">
        <f>"28.473,10"</f>
        <v>28.473,10</v>
      </c>
      <c r="L3876" s="6" t="str">
        <f>"7.118,28"</f>
        <v>7.118,28</v>
      </c>
      <c r="M3876" s="6" t="str">
        <f>"35.591,38"</f>
        <v>35.591,38</v>
      </c>
      <c r="N3876" s="8" t="s">
        <v>503</v>
      </c>
      <c r="O3876" s="7"/>
      <c r="P3876" s="2" t="s">
        <v>7931</v>
      </c>
      <c r="Q3876" s="7"/>
      <c r="R3876" s="1"/>
      <c r="S3876" s="1" t="str">
        <f>"J-UN-2022-232"</f>
        <v>J-UN-2022-232</v>
      </c>
      <c r="T3876" s="1" t="s">
        <v>32</v>
      </c>
    </row>
    <row r="3877" spans="1:20" ht="63.75" x14ac:dyDescent="0.25">
      <c r="A3877" s="6">
        <v>3871</v>
      </c>
      <c r="B3877" s="1" t="str">
        <f>"2022-710"</f>
        <v>2022-710</v>
      </c>
      <c r="C3877" s="1" t="s">
        <v>2782</v>
      </c>
      <c r="D3877" s="1" t="s">
        <v>815</v>
      </c>
      <c r="E3877" s="1" t="str">
        <f>""</f>
        <v/>
      </c>
      <c r="F3877" s="1" t="s">
        <v>1860</v>
      </c>
      <c r="G3877" s="1" t="str">
        <f>CONCATENATE(" LAUS INTERNATIONAL D.O.O.,"," DR. FRANJE TUĐMANA 16B,"," 10431 SVETA NEDELJA,"," OIB: 93039509752")</f>
        <v xml:space="preserve"> LAUS INTERNATIONAL D.O.O., DR. FRANJE TUĐMANA 16B, 10431 SVETA NEDELJA, OIB: 93039509752</v>
      </c>
      <c r="H3877" s="7"/>
      <c r="I3877" s="8" t="s">
        <v>220</v>
      </c>
      <c r="J3877" s="8" t="s">
        <v>1345</v>
      </c>
      <c r="K3877" s="6" t="str">
        <f>"486,35"</f>
        <v>486,35</v>
      </c>
      <c r="L3877" s="6" t="str">
        <f>"121,59"</f>
        <v>121,59</v>
      </c>
      <c r="M3877" s="6" t="str">
        <f>"607,94"</f>
        <v>607,94</v>
      </c>
      <c r="N3877" s="8" t="s">
        <v>503</v>
      </c>
      <c r="O3877" s="7"/>
      <c r="P3877" s="2" t="s">
        <v>7932</v>
      </c>
      <c r="Q3877" s="7"/>
      <c r="R3877" s="1"/>
      <c r="S3877" s="1" t="str">
        <f>"J-UN-2022-233"</f>
        <v>J-UN-2022-233</v>
      </c>
      <c r="T3877" s="1" t="s">
        <v>32</v>
      </c>
    </row>
    <row r="3878" spans="1:20" ht="38.25" x14ac:dyDescent="0.25">
      <c r="A3878" s="6">
        <v>3872</v>
      </c>
      <c r="B3878" s="1" t="str">
        <f>"2022-26"</f>
        <v>2022-26</v>
      </c>
      <c r="C3878" s="1" t="s">
        <v>1041</v>
      </c>
      <c r="D3878" s="1" t="s">
        <v>515</v>
      </c>
      <c r="E3878" s="1" t="str">
        <f>""</f>
        <v/>
      </c>
      <c r="F3878" s="1" t="s">
        <v>1860</v>
      </c>
      <c r="G3878" s="1" t="str">
        <f>CONCATENATE(" LABOSAN D.O.O.,"," RIM 42,"," 10000 ZAGREB,"," OIB: 81145490196")</f>
        <v xml:space="preserve"> LABOSAN D.O.O., RIM 42, 10000 ZAGREB, OIB: 81145490196</v>
      </c>
      <c r="H3878" s="7"/>
      <c r="I3878" s="8" t="s">
        <v>768</v>
      </c>
      <c r="J3878" s="8" t="s">
        <v>2135</v>
      </c>
      <c r="K3878" s="6" t="str">
        <f>"1.300,00"</f>
        <v>1.300,00</v>
      </c>
      <c r="L3878" s="6" t="str">
        <f>"325,00"</f>
        <v>325,00</v>
      </c>
      <c r="M3878" s="6" t="str">
        <f>"1.625,00"</f>
        <v>1.625,00</v>
      </c>
      <c r="N3878" s="8" t="s">
        <v>296</v>
      </c>
      <c r="O3878" s="7"/>
      <c r="P3878" s="2" t="s">
        <v>6913</v>
      </c>
      <c r="Q3878" s="7"/>
      <c r="R3878" s="1"/>
      <c r="S3878" s="1" t="str">
        <f>"J-UN-2022-234"</f>
        <v>J-UN-2022-234</v>
      </c>
      <c r="T3878" s="1" t="s">
        <v>32</v>
      </c>
    </row>
    <row r="3879" spans="1:20" ht="51" x14ac:dyDescent="0.25">
      <c r="A3879" s="6">
        <v>3873</v>
      </c>
      <c r="B3879" s="1" t="str">
        <f>"2022-186"</f>
        <v>2022-186</v>
      </c>
      <c r="C3879" s="1" t="s">
        <v>2534</v>
      </c>
      <c r="D3879" s="1" t="s">
        <v>2535</v>
      </c>
      <c r="E3879" s="1" t="str">
        <f>""</f>
        <v/>
      </c>
      <c r="F3879" s="1" t="s">
        <v>1860</v>
      </c>
      <c r="G3879" s="1" t="str">
        <f>CONCATENATE(" PROMAC D.O.O.,"," DRAGUTINA GOLIKA 38,"," 10000 ZAGREB,"," OIB: 00151836278")</f>
        <v xml:space="preserve"> PROMAC D.O.O., DRAGUTINA GOLIKA 38, 10000 ZAGREB, OIB: 00151836278</v>
      </c>
      <c r="H3879" s="7"/>
      <c r="I3879" s="8" t="s">
        <v>768</v>
      </c>
      <c r="J3879" s="8" t="s">
        <v>2135</v>
      </c>
      <c r="K3879" s="6" t="str">
        <f>"2.565,00"</f>
        <v>2.565,00</v>
      </c>
      <c r="L3879" s="6" t="str">
        <f>"641,25"</f>
        <v>641,25</v>
      </c>
      <c r="M3879" s="6" t="str">
        <f>"3.206,25"</f>
        <v>3.206,25</v>
      </c>
      <c r="N3879" s="8" t="s">
        <v>397</v>
      </c>
      <c r="O3879" s="7"/>
      <c r="P3879" s="2" t="s">
        <v>7933</v>
      </c>
      <c r="Q3879" s="7"/>
      <c r="R3879" s="1"/>
      <c r="S3879" s="1" t="str">
        <f>"J-UN-2022-236"</f>
        <v>J-UN-2022-236</v>
      </c>
      <c r="T3879" s="1" t="s">
        <v>32</v>
      </c>
    </row>
    <row r="3880" spans="1:20" ht="51" x14ac:dyDescent="0.25">
      <c r="A3880" s="6">
        <v>3874</v>
      </c>
      <c r="B3880" s="1" t="str">
        <f>"2022-715"</f>
        <v>2022-715</v>
      </c>
      <c r="C3880" s="1" t="s">
        <v>2733</v>
      </c>
      <c r="D3880" s="1" t="s">
        <v>914</v>
      </c>
      <c r="E3880" s="1" t="str">
        <f>""</f>
        <v/>
      </c>
      <c r="F3880" s="1" t="s">
        <v>1860</v>
      </c>
      <c r="G3880" s="1" t="str">
        <f>CONCATENATE(" DROBILEC D.O.O.,"," MATUNOVA 14,"," 10000 ZAGREB,"," OIB: 87772955929")</f>
        <v xml:space="preserve"> DROBILEC D.O.O., MATUNOVA 14, 10000 ZAGREB, OIB: 87772955929</v>
      </c>
      <c r="H3880" s="7"/>
      <c r="I3880" s="8" t="s">
        <v>220</v>
      </c>
      <c r="J3880" s="8" t="s">
        <v>1345</v>
      </c>
      <c r="K3880" s="6" t="str">
        <f>"2.080,00"</f>
        <v>2.080,00</v>
      </c>
      <c r="L3880" s="6" t="str">
        <f>"520,00"</f>
        <v>520,00</v>
      </c>
      <c r="M3880" s="6" t="str">
        <f>"2.600,00"</f>
        <v>2.600,00</v>
      </c>
      <c r="N3880" s="8" t="s">
        <v>831</v>
      </c>
      <c r="O3880" s="7"/>
      <c r="P3880" s="2" t="s">
        <v>7934</v>
      </c>
      <c r="Q3880" s="7"/>
      <c r="R3880" s="1"/>
      <c r="S3880" s="1" t="str">
        <f>"J-UN-2022-239"</f>
        <v>J-UN-2022-239</v>
      </c>
      <c r="T3880" s="1" t="s">
        <v>32</v>
      </c>
    </row>
    <row r="3881" spans="1:20" ht="51" x14ac:dyDescent="0.25">
      <c r="A3881" s="6">
        <v>3875</v>
      </c>
      <c r="B3881" s="1" t="str">
        <f>"2022-38"</f>
        <v>2022-38</v>
      </c>
      <c r="C3881" s="1" t="s">
        <v>3064</v>
      </c>
      <c r="D3881" s="1" t="s">
        <v>3065</v>
      </c>
      <c r="E3881" s="1" t="str">
        <f>""</f>
        <v/>
      </c>
      <c r="F3881" s="1" t="s">
        <v>1860</v>
      </c>
      <c r="G3881" s="1" t="str">
        <f>CONCATENATE(" INSTAR INFORMATIKA D.O.O.,"," ZAPOLJSKA 40,"," 10000 ZAGREB,"," OIB: 64308723629")</f>
        <v xml:space="preserve"> INSTAR INFORMATIKA D.O.O., ZAPOLJSKA 40, 10000 ZAGREB, OIB: 64308723629</v>
      </c>
      <c r="H3881" s="7"/>
      <c r="I3881" s="8" t="s">
        <v>220</v>
      </c>
      <c r="J3881" s="8" t="s">
        <v>1345</v>
      </c>
      <c r="K3881" s="6" t="str">
        <f>"7.320,00"</f>
        <v>7.320,00</v>
      </c>
      <c r="L3881" s="6" t="str">
        <f>"1.830,00"</f>
        <v>1.830,00</v>
      </c>
      <c r="M3881" s="6" t="str">
        <f>"9.150,00"</f>
        <v>9.150,00</v>
      </c>
      <c r="N3881" s="8" t="s">
        <v>124</v>
      </c>
      <c r="O3881" s="7"/>
      <c r="P3881" s="2" t="s">
        <v>5614</v>
      </c>
      <c r="Q3881" s="7"/>
      <c r="R3881" s="1"/>
      <c r="S3881" s="1" t="str">
        <f>"J-UN-2022-240"</f>
        <v>J-UN-2022-240</v>
      </c>
      <c r="T3881" s="1" t="s">
        <v>32</v>
      </c>
    </row>
    <row r="3882" spans="1:20" ht="51" x14ac:dyDescent="0.25">
      <c r="A3882" s="6">
        <v>3876</v>
      </c>
      <c r="B3882" s="1" t="str">
        <f>"2022-1663"</f>
        <v>2022-1663</v>
      </c>
      <c r="C3882" s="1" t="s">
        <v>3066</v>
      </c>
      <c r="D3882" s="1" t="s">
        <v>1261</v>
      </c>
      <c r="E3882" s="1" t="str">
        <f>""</f>
        <v/>
      </c>
      <c r="F3882" s="1" t="s">
        <v>1860</v>
      </c>
      <c r="G3882" s="1" t="str">
        <f>CONCATENATE(" DOBRO RJEŠENJE D.O.O.,"," ZAVRTNICA 3,"," 10000 ZAGREB,"," OIB: 33104804103")</f>
        <v xml:space="preserve"> DOBRO RJEŠENJE D.O.O., ZAVRTNICA 3, 10000 ZAGREB, OIB: 33104804103</v>
      </c>
      <c r="H3882" s="7"/>
      <c r="I3882" s="8" t="s">
        <v>831</v>
      </c>
      <c r="J3882" s="8" t="s">
        <v>2151</v>
      </c>
      <c r="K3882" s="6" t="str">
        <f>"18.440,00"</f>
        <v>18.440,00</v>
      </c>
      <c r="L3882" s="6" t="str">
        <f>"4.610,00"</f>
        <v>4.610,00</v>
      </c>
      <c r="M3882" s="6" t="str">
        <f>"23.050,00"</f>
        <v>23.050,00</v>
      </c>
      <c r="N3882" s="8" t="s">
        <v>124</v>
      </c>
      <c r="O3882" s="7"/>
      <c r="P3882" s="2" t="s">
        <v>7935</v>
      </c>
      <c r="Q3882" s="7"/>
      <c r="R3882" s="1"/>
      <c r="S3882" s="1" t="str">
        <f>"J-UN-2022-242"</f>
        <v>J-UN-2022-242</v>
      </c>
      <c r="T3882" s="1" t="s">
        <v>32</v>
      </c>
    </row>
    <row r="3883" spans="1:20" ht="51" x14ac:dyDescent="0.25">
      <c r="A3883" s="6">
        <v>3877</v>
      </c>
      <c r="B3883" s="1" t="str">
        <f>"2022-1662"</f>
        <v>2022-1662</v>
      </c>
      <c r="C3883" s="1" t="s">
        <v>3067</v>
      </c>
      <c r="D3883" s="1" t="s">
        <v>1261</v>
      </c>
      <c r="E3883" s="1" t="str">
        <f>""</f>
        <v/>
      </c>
      <c r="F3883" s="1" t="s">
        <v>1860</v>
      </c>
      <c r="G3883" s="1" t="str">
        <f>CONCATENATE(" DOBRO RJEŠENJE D.O.O.,"," ZAVRTNICA 3,"," 10000 ZAGREB,"," OIB: 33104804103")</f>
        <v xml:space="preserve"> DOBRO RJEŠENJE D.O.O., ZAVRTNICA 3, 10000 ZAGREB, OIB: 33104804103</v>
      </c>
      <c r="H3883" s="7"/>
      <c r="I3883" s="8" t="s">
        <v>831</v>
      </c>
      <c r="J3883" s="8" t="s">
        <v>2151</v>
      </c>
      <c r="K3883" s="6" t="str">
        <f>"166.984,35"</f>
        <v>166.984,35</v>
      </c>
      <c r="L3883" s="6" t="str">
        <f>"41.746,09"</f>
        <v>41.746,09</v>
      </c>
      <c r="M3883" s="6" t="str">
        <f>"208.730,44"</f>
        <v>208.730,44</v>
      </c>
      <c r="N3883" s="8" t="s">
        <v>124</v>
      </c>
      <c r="O3883" s="7"/>
      <c r="P3883" s="2" t="s">
        <v>7936</v>
      </c>
      <c r="Q3883" s="7"/>
      <c r="R3883" s="1"/>
      <c r="S3883" s="1" t="str">
        <f>"J-UN-2022-245"</f>
        <v>J-UN-2022-245</v>
      </c>
      <c r="T3883" s="1" t="s">
        <v>32</v>
      </c>
    </row>
    <row r="3884" spans="1:20" ht="51" x14ac:dyDescent="0.25">
      <c r="A3884" s="6">
        <v>3878</v>
      </c>
      <c r="B3884" s="1" t="str">
        <f>"2022-40"</f>
        <v>2022-40</v>
      </c>
      <c r="C3884" s="1" t="s">
        <v>2317</v>
      </c>
      <c r="D3884" s="1" t="s">
        <v>837</v>
      </c>
      <c r="E3884" s="1" t="str">
        <f>""</f>
        <v/>
      </c>
      <c r="F3884" s="1" t="s">
        <v>1860</v>
      </c>
      <c r="G3884" s="1" t="str">
        <f>CONCATENATE(" ROTO DINAMIC D.O.O.,"," ULICA GRADA WIRGESA 14,"," 10430 SAMOBOR,"," OIB: 24723122482")</f>
        <v xml:space="preserve"> ROTO DINAMIC D.O.O., ULICA GRADA WIRGESA 14, 10430 SAMOBOR, OIB: 24723122482</v>
      </c>
      <c r="H3884" s="7"/>
      <c r="I3884" s="8" t="s">
        <v>90</v>
      </c>
      <c r="J3884" s="8" t="s">
        <v>1997</v>
      </c>
      <c r="K3884" s="6" t="str">
        <f>"16.838,84"</f>
        <v>16.838,84</v>
      </c>
      <c r="L3884" s="6" t="str">
        <f>"4.209,71"</f>
        <v>4.209,71</v>
      </c>
      <c r="M3884" s="6" t="str">
        <f>"21.048,55"</f>
        <v>21.048,55</v>
      </c>
      <c r="N3884" s="8" t="s">
        <v>124</v>
      </c>
      <c r="O3884" s="7"/>
      <c r="P3884" s="2" t="s">
        <v>7937</v>
      </c>
      <c r="Q3884" s="1"/>
      <c r="R3884" s="1"/>
      <c r="S3884" s="1" t="str">
        <f>"J-UN-2022-246"</f>
        <v>J-UN-2022-246</v>
      </c>
      <c r="T3884" s="1" t="s">
        <v>32</v>
      </c>
    </row>
    <row r="3885" spans="1:20" ht="51" x14ac:dyDescent="0.25">
      <c r="A3885" s="6">
        <v>3879</v>
      </c>
      <c r="B3885" s="1" t="str">
        <f>"2022-213"</f>
        <v>2022-213</v>
      </c>
      <c r="C3885" s="1" t="s">
        <v>2672</v>
      </c>
      <c r="D3885" s="1" t="s">
        <v>2673</v>
      </c>
      <c r="E3885" s="1" t="str">
        <f>""</f>
        <v/>
      </c>
      <c r="F3885" s="1" t="s">
        <v>1860</v>
      </c>
      <c r="G3885" s="1" t="str">
        <f>CONCATENATE(" RRIF PLUS D.O.O.,"," VLAŠKA 68,"," 10000 ZAGREB,"," OIB: 1837680589")</f>
        <v xml:space="preserve"> RRIF PLUS D.O.O., VLAŠKA 68, 10000 ZAGREB, OIB: 1837680589</v>
      </c>
      <c r="H3885" s="7"/>
      <c r="I3885" s="8" t="s">
        <v>754</v>
      </c>
      <c r="J3885" s="8" t="s">
        <v>1365</v>
      </c>
      <c r="K3885" s="6" t="str">
        <f>"1.726,55"</f>
        <v>1.726,55</v>
      </c>
      <c r="L3885" s="6" t="str">
        <f>"431,64"</f>
        <v>431,64</v>
      </c>
      <c r="M3885" s="6" t="str">
        <f>"2.158,19"</f>
        <v>2.158,19</v>
      </c>
      <c r="N3885" s="8" t="s">
        <v>124</v>
      </c>
      <c r="O3885" s="7"/>
      <c r="P3885" s="2" t="s">
        <v>5614</v>
      </c>
      <c r="Q3885" s="7"/>
      <c r="R3885" s="1"/>
      <c r="S3885" s="1" t="str">
        <f>"J-UN-2022-247"</f>
        <v>J-UN-2022-247</v>
      </c>
      <c r="T3885" s="1" t="s">
        <v>32</v>
      </c>
    </row>
    <row r="3886" spans="1:20" ht="63.75" x14ac:dyDescent="0.25">
      <c r="A3886" s="6">
        <v>3880</v>
      </c>
      <c r="B3886" s="1" t="str">
        <f>"2022-1321"</f>
        <v>2022-1321</v>
      </c>
      <c r="C3886" s="1" t="s">
        <v>2987</v>
      </c>
      <c r="D3886" s="1" t="s">
        <v>2988</v>
      </c>
      <c r="E3886" s="1" t="str">
        <f>""</f>
        <v/>
      </c>
      <c r="F3886" s="1" t="s">
        <v>1860</v>
      </c>
      <c r="G3886" s="1" t="str">
        <f>CONCATENATE(" LANIŠTE D.O.O.,"," ALEXANDERA VON HUMBOLDTA 4B,"," 10000 ZAGREB,"," OIB: 3755384865")</f>
        <v xml:space="preserve"> LANIŠTE D.O.O., ALEXANDERA VON HUMBOLDTA 4B, 10000 ZAGREB, OIB: 3755384865</v>
      </c>
      <c r="H3886" s="7"/>
      <c r="I3886" s="8" t="s">
        <v>754</v>
      </c>
      <c r="J3886" s="8" t="s">
        <v>1365</v>
      </c>
      <c r="K3886" s="6" t="str">
        <f>"4.032,00"</f>
        <v>4.032,00</v>
      </c>
      <c r="L3886" s="6" t="str">
        <f>"1.008,00"</f>
        <v>1.008,00</v>
      </c>
      <c r="M3886" s="6" t="str">
        <f>"5.040,00"</f>
        <v>5.040,00</v>
      </c>
      <c r="N3886" s="8" t="s">
        <v>220</v>
      </c>
      <c r="O3886" s="7"/>
      <c r="P3886" s="2" t="s">
        <v>7919</v>
      </c>
      <c r="Q3886" s="7"/>
      <c r="R3886" s="1"/>
      <c r="S3886" s="1" t="str">
        <f>"J-UN-2022-248"</f>
        <v>J-UN-2022-248</v>
      </c>
      <c r="T3886" s="1" t="s">
        <v>32</v>
      </c>
    </row>
    <row r="3887" spans="1:20" ht="51" x14ac:dyDescent="0.25">
      <c r="A3887" s="6">
        <v>3881</v>
      </c>
      <c r="B3887" s="1" t="str">
        <f>"2022-733"</f>
        <v>2022-733</v>
      </c>
      <c r="C3887" s="1" t="s">
        <v>2751</v>
      </c>
      <c r="D3887" s="1" t="s">
        <v>2752</v>
      </c>
      <c r="E3887" s="1" t="str">
        <f>""</f>
        <v/>
      </c>
      <c r="F3887" s="1" t="s">
        <v>1860</v>
      </c>
      <c r="G3887" s="1" t="str">
        <f>CONCATENATE(" TPZ D.O.O.,"," NOVOSELSKA 25,"," 10000 ZAGREB,"," OIB: 68119083236")</f>
        <v xml:space="preserve"> TPZ D.O.O., NOVOSELSKA 25, 10000 ZAGREB, OIB: 68119083236</v>
      </c>
      <c r="H3887" s="7"/>
      <c r="I3887" s="8" t="s">
        <v>754</v>
      </c>
      <c r="J3887" s="8" t="s">
        <v>1365</v>
      </c>
      <c r="K3887" s="6" t="str">
        <f>"6.741,58"</f>
        <v>6.741,58</v>
      </c>
      <c r="L3887" s="6" t="str">
        <f>"1.685,40"</f>
        <v>1.685,40</v>
      </c>
      <c r="M3887" s="6" t="str">
        <f>"8.426,98"</f>
        <v>8.426,98</v>
      </c>
      <c r="N3887" s="8" t="s">
        <v>124</v>
      </c>
      <c r="O3887" s="7"/>
      <c r="P3887" s="2" t="s">
        <v>5614</v>
      </c>
      <c r="Q3887" s="7"/>
      <c r="R3887" s="1"/>
      <c r="S3887" s="1" t="str">
        <f>"J-UN-2022-250"</f>
        <v>J-UN-2022-250</v>
      </c>
      <c r="T3887" s="1" t="s">
        <v>32</v>
      </c>
    </row>
    <row r="3888" spans="1:20" ht="102" x14ac:dyDescent="0.25">
      <c r="A3888" s="6">
        <v>3882</v>
      </c>
      <c r="B3888" s="1" t="str">
        <f>"2022-1434"</f>
        <v>2022-1434</v>
      </c>
      <c r="C3888" s="1" t="s">
        <v>2558</v>
      </c>
      <c r="D3888" s="1" t="s">
        <v>860</v>
      </c>
      <c r="E3888" s="1" t="str">
        <f>""</f>
        <v/>
      </c>
      <c r="F3888" s="1" t="s">
        <v>1860</v>
      </c>
      <c r="G3888" s="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3888" s="7"/>
      <c r="I3888" s="8" t="s">
        <v>754</v>
      </c>
      <c r="J3888" s="8" t="s">
        <v>1365</v>
      </c>
      <c r="K3888" s="6" t="str">
        <f>"1.518,00"</f>
        <v>1.518,00</v>
      </c>
      <c r="L3888" s="6" t="str">
        <f>"379,50"</f>
        <v>379,50</v>
      </c>
      <c r="M3888" s="6" t="str">
        <f>"1.897,50"</f>
        <v>1.897,50</v>
      </c>
      <c r="N3888" s="8" t="s">
        <v>124</v>
      </c>
      <c r="O3888" s="7"/>
      <c r="P3888" s="2" t="s">
        <v>5614</v>
      </c>
      <c r="Q3888" s="7"/>
      <c r="R3888" s="1"/>
      <c r="S3888" s="1" t="str">
        <f>"J-UN-2022-251"</f>
        <v>J-UN-2022-251</v>
      </c>
      <c r="T3888" s="1" t="s">
        <v>32</v>
      </c>
    </row>
    <row r="3889" spans="1:20" ht="63.75" x14ac:dyDescent="0.25">
      <c r="A3889" s="6">
        <v>3883</v>
      </c>
      <c r="B3889" s="1" t="str">
        <f>"2022-426"</f>
        <v>2022-426</v>
      </c>
      <c r="C3889" s="1" t="s">
        <v>2833</v>
      </c>
      <c r="D3889" s="1" t="s">
        <v>1962</v>
      </c>
      <c r="E3889" s="1" t="str">
        <f>""</f>
        <v/>
      </c>
      <c r="F3889" s="1" t="s">
        <v>1860</v>
      </c>
      <c r="G3889" s="1" t="str">
        <f>CONCATENATE(" GRA-PO D.O.O.,"," GOSPODARSKA 5B,"," 10255 ZAGREB - STUPNIK,"," OIB: 05364995085")</f>
        <v xml:space="preserve"> GRA-PO D.O.O., GOSPODARSKA 5B, 10255 ZAGREB - STUPNIK, OIB: 05364995085</v>
      </c>
      <c r="H3889" s="7"/>
      <c r="I3889" s="8" t="s">
        <v>831</v>
      </c>
      <c r="J3889" s="8" t="s">
        <v>2151</v>
      </c>
      <c r="K3889" s="6" t="str">
        <f>"46.658,40"</f>
        <v>46.658,40</v>
      </c>
      <c r="L3889" s="6" t="str">
        <f>"11.664,60"</f>
        <v>11.664,60</v>
      </c>
      <c r="M3889" s="6" t="str">
        <f>"58.323,00"</f>
        <v>58.323,00</v>
      </c>
      <c r="N3889" s="8" t="s">
        <v>124</v>
      </c>
      <c r="O3889" s="7"/>
      <c r="P3889" s="2" t="s">
        <v>7938</v>
      </c>
      <c r="Q3889" s="7"/>
      <c r="R3889" s="1"/>
      <c r="S3889" s="1" t="str">
        <f>"J-UN-2022-252"</f>
        <v>J-UN-2022-252</v>
      </c>
      <c r="T3889" s="1" t="s">
        <v>32</v>
      </c>
    </row>
    <row r="3890" spans="1:20" ht="51" x14ac:dyDescent="0.25">
      <c r="A3890" s="6">
        <v>3884</v>
      </c>
      <c r="B3890" s="1" t="str">
        <f>"2022-950"</f>
        <v>2022-950</v>
      </c>
      <c r="C3890" s="1" t="s">
        <v>2854</v>
      </c>
      <c r="D3890" s="1" t="s">
        <v>2855</v>
      </c>
      <c r="E3890" s="1" t="str">
        <f>""</f>
        <v/>
      </c>
      <c r="F3890" s="1" t="s">
        <v>1860</v>
      </c>
      <c r="G3890" s="1" t="str">
        <f>CONCATENATE(" SAFIR D.O.O.,"," HORVAĆANSKA 17,"," 10000 ZAGREB,"," OIB: 33548604975")</f>
        <v xml:space="preserve"> SAFIR D.O.O., HORVAĆANSKA 17, 10000 ZAGREB, OIB: 33548604975</v>
      </c>
      <c r="H3890" s="7"/>
      <c r="I3890" s="8" t="s">
        <v>754</v>
      </c>
      <c r="J3890" s="8" t="s">
        <v>1365</v>
      </c>
      <c r="K3890" s="6" t="str">
        <f>"26.945,40"</f>
        <v>26.945,40</v>
      </c>
      <c r="L3890" s="6" t="str">
        <f>"6.736,35"</f>
        <v>6.736,35</v>
      </c>
      <c r="M3890" s="6" t="str">
        <f>"33.681,75"</f>
        <v>33.681,75</v>
      </c>
      <c r="N3890" s="8" t="s">
        <v>90</v>
      </c>
      <c r="O3890" s="7"/>
      <c r="P3890" s="2" t="s">
        <v>7939</v>
      </c>
      <c r="Q3890" s="7"/>
      <c r="R3890" s="1"/>
      <c r="S3890" s="1" t="str">
        <f>"J-UN-2022-253"</f>
        <v>J-UN-2022-253</v>
      </c>
      <c r="T3890" s="1" t="s">
        <v>32</v>
      </c>
    </row>
    <row r="3891" spans="1:20" ht="51" x14ac:dyDescent="0.25">
      <c r="A3891" s="6">
        <v>3885</v>
      </c>
      <c r="B3891" s="1" t="str">
        <f>"2022-757"</f>
        <v>2022-757</v>
      </c>
      <c r="C3891" s="1" t="s">
        <v>2690</v>
      </c>
      <c r="D3891" s="1" t="s">
        <v>2691</v>
      </c>
      <c r="E3891" s="1" t="str">
        <f>""</f>
        <v/>
      </c>
      <c r="F3891" s="1" t="s">
        <v>1860</v>
      </c>
      <c r="G3891" s="1" t="str">
        <f>CONCATENATE(" VODOSKOK D.D.,"," ČULINEČKA CESTA 221/C,"," 10040 ZAGREB,"," OIB: 34134218058")</f>
        <v xml:space="preserve"> VODOSKOK D.D., ČULINEČKA CESTA 221/C, 10040 ZAGREB, OIB: 34134218058</v>
      </c>
      <c r="H3891" s="7"/>
      <c r="I3891" s="8" t="s">
        <v>1117</v>
      </c>
      <c r="J3891" s="8" t="s">
        <v>1389</v>
      </c>
      <c r="K3891" s="6" t="str">
        <f>"329,00"</f>
        <v>329,00</v>
      </c>
      <c r="L3891" s="6" t="str">
        <f>"82,25"</f>
        <v>82,25</v>
      </c>
      <c r="M3891" s="6" t="str">
        <f>"411,25"</f>
        <v>411,25</v>
      </c>
      <c r="N3891" s="8" t="s">
        <v>748</v>
      </c>
      <c r="O3891" s="7"/>
      <c r="P3891" s="2" t="s">
        <v>7940</v>
      </c>
      <c r="Q3891" s="7"/>
      <c r="R3891" s="1"/>
      <c r="S3891" s="1" t="str">
        <f>"J-UN-2022-254"</f>
        <v>J-UN-2022-254</v>
      </c>
      <c r="T3891" s="1" t="s">
        <v>32</v>
      </c>
    </row>
    <row r="3892" spans="1:20" ht="63.75" x14ac:dyDescent="0.25">
      <c r="A3892" s="6">
        <v>3886</v>
      </c>
      <c r="B3892" s="1" t="str">
        <f>"2022-1416"</f>
        <v>2022-1416</v>
      </c>
      <c r="C3892" s="1" t="s">
        <v>2991</v>
      </c>
      <c r="D3892" s="1" t="s">
        <v>2992</v>
      </c>
      <c r="E3892" s="1" t="str">
        <f>""</f>
        <v/>
      </c>
      <c r="F3892" s="1" t="s">
        <v>1860</v>
      </c>
      <c r="G3892" s="1" t="str">
        <f t="shared" ref="G3892:G3897" si="222">CONCATENATE(" LANIŠTE D.O.O.,"," ALEXANDERA VON HUMBOLDTA 4B,"," 10000 ZAGREB,"," OIB: 3755384865")</f>
        <v xml:space="preserve"> LANIŠTE D.O.O., ALEXANDERA VON HUMBOLDTA 4B, 10000 ZAGREB, OIB: 3755384865</v>
      </c>
      <c r="H3892" s="7"/>
      <c r="I3892" s="8" t="s">
        <v>754</v>
      </c>
      <c r="J3892" s="8" t="s">
        <v>1365</v>
      </c>
      <c r="K3892" s="6" t="str">
        <f>"3.636,00"</f>
        <v>3.636,00</v>
      </c>
      <c r="L3892" s="6" t="str">
        <f>"909,00"</f>
        <v>909,00</v>
      </c>
      <c r="M3892" s="6" t="str">
        <f>"4.545,00"</f>
        <v>4.545,00</v>
      </c>
      <c r="N3892" s="8" t="s">
        <v>220</v>
      </c>
      <c r="O3892" s="7"/>
      <c r="P3892" s="2" t="s">
        <v>7917</v>
      </c>
      <c r="Q3892" s="7"/>
      <c r="R3892" s="1"/>
      <c r="S3892" s="1" t="str">
        <f>"J-UN-2022-255"</f>
        <v>J-UN-2022-255</v>
      </c>
      <c r="T3892" s="1" t="s">
        <v>32</v>
      </c>
    </row>
    <row r="3893" spans="1:20" ht="63.75" x14ac:dyDescent="0.25">
      <c r="A3893" s="6">
        <v>3887</v>
      </c>
      <c r="B3893" s="1" t="str">
        <f>"2022-1429"</f>
        <v>2022-1429</v>
      </c>
      <c r="C3893" s="1" t="s">
        <v>2984</v>
      </c>
      <c r="D3893" s="1" t="s">
        <v>2985</v>
      </c>
      <c r="E3893" s="1" t="str">
        <f>""</f>
        <v/>
      </c>
      <c r="F3893" s="1" t="s">
        <v>1860</v>
      </c>
      <c r="G3893" s="1" t="str">
        <f t="shared" si="222"/>
        <v xml:space="preserve"> LANIŠTE D.O.O., ALEXANDERA VON HUMBOLDTA 4B, 10000 ZAGREB, OIB: 3755384865</v>
      </c>
      <c r="H3893" s="7"/>
      <c r="I3893" s="8" t="s">
        <v>754</v>
      </c>
      <c r="J3893" s="8" t="s">
        <v>1365</v>
      </c>
      <c r="K3893" s="6" t="str">
        <f>"4.032,00"</f>
        <v>4.032,00</v>
      </c>
      <c r="L3893" s="6" t="str">
        <f>"1.008,00"</f>
        <v>1.008,00</v>
      </c>
      <c r="M3893" s="6" t="str">
        <f>"5.040,00"</f>
        <v>5.040,00</v>
      </c>
      <c r="N3893" s="8" t="s">
        <v>220</v>
      </c>
      <c r="O3893" s="7"/>
      <c r="P3893" s="2" t="s">
        <v>7919</v>
      </c>
      <c r="Q3893" s="7"/>
      <c r="R3893" s="1"/>
      <c r="S3893" s="1" t="str">
        <f>"J-UN-2022-256"</f>
        <v>J-UN-2022-256</v>
      </c>
      <c r="T3893" s="1" t="s">
        <v>32</v>
      </c>
    </row>
    <row r="3894" spans="1:20" ht="63.75" x14ac:dyDescent="0.25">
      <c r="A3894" s="6">
        <v>3888</v>
      </c>
      <c r="B3894" s="1" t="str">
        <f>"2022-1430"</f>
        <v>2022-1430</v>
      </c>
      <c r="C3894" s="1" t="s">
        <v>2986</v>
      </c>
      <c r="D3894" s="1" t="s">
        <v>2985</v>
      </c>
      <c r="E3894" s="1" t="str">
        <f>""</f>
        <v/>
      </c>
      <c r="F3894" s="1" t="s">
        <v>1860</v>
      </c>
      <c r="G3894" s="1" t="str">
        <f t="shared" si="222"/>
        <v xml:space="preserve"> LANIŠTE D.O.O., ALEXANDERA VON HUMBOLDTA 4B, 10000 ZAGREB, OIB: 3755384865</v>
      </c>
      <c r="H3894" s="7"/>
      <c r="I3894" s="8" t="s">
        <v>754</v>
      </c>
      <c r="J3894" s="8" t="s">
        <v>1365</v>
      </c>
      <c r="K3894" s="6" t="str">
        <f>"4.032,00"</f>
        <v>4.032,00</v>
      </c>
      <c r="L3894" s="6" t="str">
        <f>"1.008,00"</f>
        <v>1.008,00</v>
      </c>
      <c r="M3894" s="6" t="str">
        <f>"5.040,00"</f>
        <v>5.040,00</v>
      </c>
      <c r="N3894" s="8" t="s">
        <v>220</v>
      </c>
      <c r="O3894" s="7"/>
      <c r="P3894" s="2" t="s">
        <v>7919</v>
      </c>
      <c r="Q3894" s="7"/>
      <c r="R3894" s="1"/>
      <c r="S3894" s="1" t="str">
        <f>"J-UN-2022-257"</f>
        <v>J-UN-2022-257</v>
      </c>
      <c r="T3894" s="1" t="s">
        <v>32</v>
      </c>
    </row>
    <row r="3895" spans="1:20" ht="63.75" x14ac:dyDescent="0.25">
      <c r="A3895" s="6">
        <v>3889</v>
      </c>
      <c r="B3895" s="1" t="str">
        <f>"2022-1321"</f>
        <v>2022-1321</v>
      </c>
      <c r="C3895" s="1" t="s">
        <v>2987</v>
      </c>
      <c r="D3895" s="1" t="s">
        <v>2988</v>
      </c>
      <c r="E3895" s="1" t="str">
        <f>""</f>
        <v/>
      </c>
      <c r="F3895" s="1" t="s">
        <v>1860</v>
      </c>
      <c r="G3895" s="1" t="str">
        <f t="shared" si="222"/>
        <v xml:space="preserve"> LANIŠTE D.O.O., ALEXANDERA VON HUMBOLDTA 4B, 10000 ZAGREB, OIB: 3755384865</v>
      </c>
      <c r="H3895" s="7"/>
      <c r="I3895" s="8" t="s">
        <v>754</v>
      </c>
      <c r="J3895" s="8" t="s">
        <v>1365</v>
      </c>
      <c r="K3895" s="6" t="str">
        <f>"4.032,00"</f>
        <v>4.032,00</v>
      </c>
      <c r="L3895" s="6" t="str">
        <f>"1.008,00"</f>
        <v>1.008,00</v>
      </c>
      <c r="M3895" s="6" t="str">
        <f>"5.040,00"</f>
        <v>5.040,00</v>
      </c>
      <c r="N3895" s="8" t="s">
        <v>220</v>
      </c>
      <c r="O3895" s="7"/>
      <c r="P3895" s="2" t="s">
        <v>7919</v>
      </c>
      <c r="Q3895" s="7"/>
      <c r="R3895" s="1"/>
      <c r="S3895" s="1" t="str">
        <f>"J-UN-2022-258"</f>
        <v>J-UN-2022-258</v>
      </c>
      <c r="T3895" s="1" t="s">
        <v>32</v>
      </c>
    </row>
    <row r="3896" spans="1:20" ht="63.75" x14ac:dyDescent="0.25">
      <c r="A3896" s="6">
        <v>3890</v>
      </c>
      <c r="B3896" s="1" t="str">
        <f>"2022-1289"</f>
        <v>2022-1289</v>
      </c>
      <c r="C3896" s="1" t="s">
        <v>2993</v>
      </c>
      <c r="D3896" s="1" t="s">
        <v>2994</v>
      </c>
      <c r="E3896" s="1" t="str">
        <f>""</f>
        <v/>
      </c>
      <c r="F3896" s="1" t="s">
        <v>1860</v>
      </c>
      <c r="G3896" s="1" t="str">
        <f t="shared" si="222"/>
        <v xml:space="preserve"> LANIŠTE D.O.O., ALEXANDERA VON HUMBOLDTA 4B, 10000 ZAGREB, OIB: 3755384865</v>
      </c>
      <c r="H3896" s="7"/>
      <c r="I3896" s="8" t="s">
        <v>754</v>
      </c>
      <c r="J3896" s="8" t="s">
        <v>1365</v>
      </c>
      <c r="K3896" s="6" t="str">
        <f>"3.632,00"</f>
        <v>3.632,00</v>
      </c>
      <c r="L3896" s="6" t="str">
        <f>"908,00"</f>
        <v>908,00</v>
      </c>
      <c r="M3896" s="6" t="str">
        <f>"4.540,00"</f>
        <v>4.540,00</v>
      </c>
      <c r="N3896" s="8" t="s">
        <v>220</v>
      </c>
      <c r="O3896" s="7"/>
      <c r="P3896" s="2" t="s">
        <v>7918</v>
      </c>
      <c r="Q3896" s="7"/>
      <c r="R3896" s="1"/>
      <c r="S3896" s="1" t="str">
        <f>"J-UN-2022-259"</f>
        <v>J-UN-2022-259</v>
      </c>
      <c r="T3896" s="1" t="s">
        <v>32</v>
      </c>
    </row>
    <row r="3897" spans="1:20" ht="63.75" x14ac:dyDescent="0.25">
      <c r="A3897" s="6">
        <v>3891</v>
      </c>
      <c r="B3897" s="1" t="str">
        <f>"2022-1291"</f>
        <v>2022-1291</v>
      </c>
      <c r="C3897" s="1" t="s">
        <v>2989</v>
      </c>
      <c r="D3897" s="1" t="s">
        <v>2990</v>
      </c>
      <c r="E3897" s="1" t="str">
        <f>""</f>
        <v/>
      </c>
      <c r="F3897" s="1" t="s">
        <v>1860</v>
      </c>
      <c r="G3897" s="1" t="str">
        <f t="shared" si="222"/>
        <v xml:space="preserve"> LANIŠTE D.O.O., ALEXANDERA VON HUMBOLDTA 4B, 10000 ZAGREB, OIB: 3755384865</v>
      </c>
      <c r="H3897" s="7"/>
      <c r="I3897" s="8" t="s">
        <v>754</v>
      </c>
      <c r="J3897" s="8" t="s">
        <v>1365</v>
      </c>
      <c r="K3897" s="6" t="str">
        <f>"3.636,00"</f>
        <v>3.636,00</v>
      </c>
      <c r="L3897" s="6" t="str">
        <f>"909,00"</f>
        <v>909,00</v>
      </c>
      <c r="M3897" s="6" t="str">
        <f>"4.545,00"</f>
        <v>4.545,00</v>
      </c>
      <c r="N3897" s="8" t="s">
        <v>220</v>
      </c>
      <c r="O3897" s="7"/>
      <c r="P3897" s="2" t="s">
        <v>7917</v>
      </c>
      <c r="Q3897" s="7"/>
      <c r="R3897" s="1"/>
      <c r="S3897" s="1" t="str">
        <f>"J-UN-2022-260"</f>
        <v>J-UN-2022-260</v>
      </c>
      <c r="T3897" s="1" t="s">
        <v>32</v>
      </c>
    </row>
    <row r="3898" spans="1:20" ht="51" x14ac:dyDescent="0.25">
      <c r="A3898" s="6">
        <v>3892</v>
      </c>
      <c r="B3898" s="1" t="str">
        <f>"2022-460"</f>
        <v>2022-460</v>
      </c>
      <c r="C3898" s="1" t="s">
        <v>2793</v>
      </c>
      <c r="D3898" s="1" t="s">
        <v>1619</v>
      </c>
      <c r="E3898" s="1" t="str">
        <f>""</f>
        <v/>
      </c>
      <c r="F3898" s="1" t="s">
        <v>1860</v>
      </c>
      <c r="G3898" s="1" t="str">
        <f>CONCATENATE(" HONGOLDONIA D.O.O.,"," RUJANSKA 4,"," 10000 ZAGREB,"," OIB: 7925585026")</f>
        <v xml:space="preserve"> HONGOLDONIA D.O.O., RUJANSKA 4, 10000 ZAGREB, OIB: 7925585026</v>
      </c>
      <c r="H3898" s="7"/>
      <c r="I3898" s="8" t="s">
        <v>1117</v>
      </c>
      <c r="J3898" s="8" t="s">
        <v>1389</v>
      </c>
      <c r="K3898" s="6" t="str">
        <f>"39.466,00"</f>
        <v>39.466,00</v>
      </c>
      <c r="L3898" s="6" t="str">
        <f>"9.866,50"</f>
        <v>9.866,50</v>
      </c>
      <c r="M3898" s="6" t="str">
        <f>"49.332,50"</f>
        <v>49.332,50</v>
      </c>
      <c r="N3898" s="8" t="s">
        <v>397</v>
      </c>
      <c r="O3898" s="7"/>
      <c r="P3898" s="2" t="s">
        <v>7941</v>
      </c>
      <c r="Q3898" s="7"/>
      <c r="R3898" s="1"/>
      <c r="S3898" s="1" t="str">
        <f>"J-UN-2022-261"</f>
        <v>J-UN-2022-261</v>
      </c>
      <c r="T3898" s="1" t="s">
        <v>32</v>
      </c>
    </row>
    <row r="3899" spans="1:20" ht="51" x14ac:dyDescent="0.25">
      <c r="A3899" s="6">
        <v>3893</v>
      </c>
      <c r="B3899" s="1" t="str">
        <f>"2022-710"</f>
        <v>2022-710</v>
      </c>
      <c r="C3899" s="1" t="s">
        <v>2782</v>
      </c>
      <c r="D3899" s="1" t="s">
        <v>815</v>
      </c>
      <c r="E3899" s="1" t="str">
        <f>""</f>
        <v/>
      </c>
      <c r="F3899" s="1" t="s">
        <v>1860</v>
      </c>
      <c r="G3899" s="1" t="str">
        <f>CONCATENATE(" HONGOLDONIA D.O.O.,"," RUJANSKA 4,"," 10000 ZAGREB,"," OIB: 7925585026")</f>
        <v xml:space="preserve"> HONGOLDONIA D.O.O., RUJANSKA 4, 10000 ZAGREB, OIB: 7925585026</v>
      </c>
      <c r="H3899" s="7"/>
      <c r="I3899" s="8" t="s">
        <v>754</v>
      </c>
      <c r="J3899" s="8" t="s">
        <v>1365</v>
      </c>
      <c r="K3899" s="6" t="str">
        <f>"2.135,00"</f>
        <v>2.135,00</v>
      </c>
      <c r="L3899" s="6" t="str">
        <f>"533,75"</f>
        <v>533,75</v>
      </c>
      <c r="M3899" s="6" t="str">
        <f>"2.668,75"</f>
        <v>2.668,75</v>
      </c>
      <c r="N3899" s="8" t="s">
        <v>90</v>
      </c>
      <c r="O3899" s="7"/>
      <c r="P3899" s="2" t="s">
        <v>7942</v>
      </c>
      <c r="Q3899" s="7"/>
      <c r="R3899" s="1"/>
      <c r="S3899" s="1" t="str">
        <f>"J-UN-2022-262"</f>
        <v>J-UN-2022-262</v>
      </c>
      <c r="T3899" s="1" t="s">
        <v>32</v>
      </c>
    </row>
    <row r="3900" spans="1:20" ht="76.5" x14ac:dyDescent="0.25">
      <c r="A3900" s="6">
        <v>3894</v>
      </c>
      <c r="B3900" s="1" t="str">
        <f>"2022-1141"</f>
        <v>2022-1141</v>
      </c>
      <c r="C3900" s="1" t="s">
        <v>3068</v>
      </c>
      <c r="D3900" s="1" t="s">
        <v>3069</v>
      </c>
      <c r="E3900" s="1" t="str">
        <f>""</f>
        <v/>
      </c>
      <c r="F3900" s="1" t="s">
        <v>1860</v>
      </c>
      <c r="G3900" s="1" t="str">
        <f>CONCATENATE(" LOLLIPOP KOMUNIKACIJE VL. ELIZABETA PENIĆ,"," 3. PODBREŽJE 29,"," 10000 ZAGREB,"," OIB: 53557537136")</f>
        <v xml:space="preserve"> LOLLIPOP KOMUNIKACIJE VL. ELIZABETA PENIĆ, 3. PODBREŽJE 29, 10000 ZAGREB, OIB: 53557537136</v>
      </c>
      <c r="H3900" s="7"/>
      <c r="I3900" s="8" t="s">
        <v>1117</v>
      </c>
      <c r="J3900" s="8" t="s">
        <v>1389</v>
      </c>
      <c r="K3900" s="6" t="str">
        <f>"28.000,00"</f>
        <v>28.000,00</v>
      </c>
      <c r="L3900" s="6" t="str">
        <f>"7.000,00"</f>
        <v>7.000,00</v>
      </c>
      <c r="M3900" s="6" t="str">
        <f>"35.000,00"</f>
        <v>35.000,00</v>
      </c>
      <c r="N3900" s="8" t="s">
        <v>404</v>
      </c>
      <c r="O3900" s="7"/>
      <c r="P3900" s="2" t="s">
        <v>6834</v>
      </c>
      <c r="Q3900" s="7"/>
      <c r="R3900" s="1"/>
      <c r="S3900" s="1" t="str">
        <f>"J-UN-2022-263"</f>
        <v>J-UN-2022-263</v>
      </c>
      <c r="T3900" s="1" t="s">
        <v>32</v>
      </c>
    </row>
    <row r="3901" spans="1:20" ht="51" x14ac:dyDescent="0.25">
      <c r="A3901" s="6">
        <v>3895</v>
      </c>
      <c r="B3901" s="1" t="str">
        <f>"2022-1337"</f>
        <v>2022-1337</v>
      </c>
      <c r="C3901" s="1" t="s">
        <v>2635</v>
      </c>
      <c r="D3901" s="1" t="s">
        <v>2331</v>
      </c>
      <c r="E3901" s="1" t="str">
        <f>""</f>
        <v/>
      </c>
      <c r="F3901" s="1" t="s">
        <v>1860</v>
      </c>
      <c r="G3901" s="1" t="str">
        <f>CONCATENATE(" EFECTUS INFO D.O.O.,"," 3. PODBREŽJE 18,"," 10000 ZAGREB,"," OIB: 8322577665")</f>
        <v xml:space="preserve"> EFECTUS INFO D.O.O., 3. PODBREŽJE 18, 10000 ZAGREB, OIB: 8322577665</v>
      </c>
      <c r="H3901" s="7"/>
      <c r="I3901" s="8" t="s">
        <v>1117</v>
      </c>
      <c r="J3901" s="8" t="s">
        <v>1389</v>
      </c>
      <c r="K3901" s="6" t="str">
        <f>"118.000,00"</f>
        <v>118.000,00</v>
      </c>
      <c r="L3901" s="6" t="str">
        <f>"29.500,00"</f>
        <v>29.500,00</v>
      </c>
      <c r="M3901" s="6" t="str">
        <f>"147.500,00"</f>
        <v>147.500,00</v>
      </c>
      <c r="N3901" s="8" t="s">
        <v>291</v>
      </c>
      <c r="O3901" s="7"/>
      <c r="P3901" s="2" t="s">
        <v>7943</v>
      </c>
      <c r="Q3901" s="7"/>
      <c r="R3901" s="1"/>
      <c r="S3901" s="1" t="str">
        <f>"J-UN-2022-264"</f>
        <v>J-UN-2022-264</v>
      </c>
      <c r="T3901" s="1" t="s">
        <v>32</v>
      </c>
    </row>
    <row r="3902" spans="1:20" ht="63.75" x14ac:dyDescent="0.25">
      <c r="A3902" s="6">
        <v>3896</v>
      </c>
      <c r="B3902" s="1" t="str">
        <f>"2022-460"</f>
        <v>2022-460</v>
      </c>
      <c r="C3902" s="1" t="s">
        <v>2793</v>
      </c>
      <c r="D3902" s="1" t="s">
        <v>1619</v>
      </c>
      <c r="E3902" s="1" t="str">
        <f>""</f>
        <v/>
      </c>
      <c r="F3902" s="1" t="s">
        <v>1860</v>
      </c>
      <c r="G3902" s="1" t="str">
        <f>CONCATENATE(" GRA-PO D.O.O.,"," GOSPODARSKA 5B,"," 10255 ZAGREB - STUPNIK,"," OIB: 05364995085")</f>
        <v xml:space="preserve"> GRA-PO D.O.O., GOSPODARSKA 5B, 10255 ZAGREB - STUPNIK, OIB: 05364995085</v>
      </c>
      <c r="H3902" s="7"/>
      <c r="I3902" s="8" t="s">
        <v>1117</v>
      </c>
      <c r="J3902" s="8" t="s">
        <v>1389</v>
      </c>
      <c r="K3902" s="6" t="str">
        <f>"35.600,00"</f>
        <v>35.600,00</v>
      </c>
      <c r="L3902" s="6" t="str">
        <f>"8.900,00"</f>
        <v>8.900,00</v>
      </c>
      <c r="M3902" s="6" t="str">
        <f>"44.500,00"</f>
        <v>44.500,00</v>
      </c>
      <c r="N3902" s="8" t="s">
        <v>242</v>
      </c>
      <c r="O3902" s="7"/>
      <c r="P3902" s="2" t="s">
        <v>7944</v>
      </c>
      <c r="Q3902" s="7"/>
      <c r="R3902" s="1"/>
      <c r="S3902" s="1" t="str">
        <f>"J-UN-2022-265"</f>
        <v>J-UN-2022-265</v>
      </c>
      <c r="T3902" s="1" t="s">
        <v>32</v>
      </c>
    </row>
    <row r="3903" spans="1:20" ht="51" x14ac:dyDescent="0.25">
      <c r="A3903" s="6">
        <v>3897</v>
      </c>
      <c r="B3903" s="1" t="str">
        <f>"2022-716"</f>
        <v>2022-716</v>
      </c>
      <c r="C3903" s="1" t="s">
        <v>2563</v>
      </c>
      <c r="D3903" s="1" t="s">
        <v>914</v>
      </c>
      <c r="E3903" s="1" t="str">
        <f>""</f>
        <v/>
      </c>
      <c r="F3903" s="1" t="s">
        <v>1860</v>
      </c>
      <c r="G3903" s="1" t="str">
        <f>CONCATENATE(" D.R. AUTO D.O.O.,"," SELSKA CESTA 34,"," 10000 ZAGREB,"," OIB: 07523847158")</f>
        <v xml:space="preserve"> D.R. AUTO D.O.O., SELSKA CESTA 34, 10000 ZAGREB, OIB: 07523847158</v>
      </c>
      <c r="H3903" s="7"/>
      <c r="I3903" s="8" t="s">
        <v>754</v>
      </c>
      <c r="J3903" s="8" t="s">
        <v>1365</v>
      </c>
      <c r="K3903" s="6" t="str">
        <f>"4.098,40"</f>
        <v>4.098,40</v>
      </c>
      <c r="L3903" s="6" t="str">
        <f>"1.024,60"</f>
        <v>1.024,60</v>
      </c>
      <c r="M3903" s="6" t="str">
        <f>"5.123,00"</f>
        <v>5.123,00</v>
      </c>
      <c r="N3903" s="8" t="s">
        <v>768</v>
      </c>
      <c r="O3903" s="7"/>
      <c r="P3903" s="2" t="s">
        <v>7945</v>
      </c>
      <c r="Q3903" s="7"/>
      <c r="R3903" s="1"/>
      <c r="S3903" s="1" t="str">
        <f>"J-UN-2022-266"</f>
        <v>J-UN-2022-266</v>
      </c>
      <c r="T3903" s="1" t="s">
        <v>32</v>
      </c>
    </row>
    <row r="3904" spans="1:20" ht="63.75" x14ac:dyDescent="0.25">
      <c r="A3904" s="6">
        <v>3898</v>
      </c>
      <c r="B3904" s="1" t="str">
        <f>"2022-1465"</f>
        <v>2022-1465</v>
      </c>
      <c r="C3904" s="1" t="s">
        <v>3070</v>
      </c>
      <c r="D3904" s="1" t="s">
        <v>2331</v>
      </c>
      <c r="E3904" s="1" t="str">
        <f>""</f>
        <v/>
      </c>
      <c r="F3904" s="1" t="s">
        <v>1860</v>
      </c>
      <c r="G3904" s="1" t="str">
        <f>CONCATENATE(" BURA,"," PALACINA 1b,"," 52440 POREČ,"," OIB: 78519702626")</f>
        <v xml:space="preserve"> BURA, PALACINA 1b, 52440 POREČ, OIB: 78519702626</v>
      </c>
      <c r="H3904" s="7"/>
      <c r="I3904" s="8" t="s">
        <v>397</v>
      </c>
      <c r="J3904" s="8" t="s">
        <v>2505</v>
      </c>
      <c r="K3904" s="6" t="str">
        <f>"8.850,00"</f>
        <v>8.850,00</v>
      </c>
      <c r="L3904" s="6" t="str">
        <f>"2.212,50"</f>
        <v>2.212,50</v>
      </c>
      <c r="M3904" s="6" t="str">
        <f>"11.062,50"</f>
        <v>11.062,50</v>
      </c>
      <c r="N3904" s="8" t="s">
        <v>124</v>
      </c>
      <c r="O3904" s="7"/>
      <c r="P3904" s="2" t="s">
        <v>5614</v>
      </c>
      <c r="Q3904" s="7"/>
      <c r="R3904" s="1"/>
      <c r="S3904" s="1" t="str">
        <f>"J-UN-2022-267"</f>
        <v>J-UN-2022-267</v>
      </c>
      <c r="T3904" s="1" t="s">
        <v>32</v>
      </c>
    </row>
    <row r="3905" spans="1:20" ht="51" x14ac:dyDescent="0.25">
      <c r="A3905" s="6">
        <v>3899</v>
      </c>
      <c r="B3905" s="1" t="str">
        <f>"2022-384"</f>
        <v>2022-384</v>
      </c>
      <c r="C3905" s="1" t="s">
        <v>3062</v>
      </c>
      <c r="D3905" s="1" t="s">
        <v>3063</v>
      </c>
      <c r="E3905" s="1" t="str">
        <f>""</f>
        <v/>
      </c>
      <c r="F3905" s="1" t="s">
        <v>1860</v>
      </c>
      <c r="G3905" s="1" t="str">
        <f>CONCATENATE(" BMD  STIL D.O.O.,"," BEDENICA 45/A,"," 10381 BEDENICA,"," OIB: 96086822394")</f>
        <v xml:space="preserve"> BMD  STIL D.O.O., BEDENICA 45/A, 10381 BEDENICA, OIB: 96086822394</v>
      </c>
      <c r="H3905" s="7"/>
      <c r="I3905" s="8" t="s">
        <v>1117</v>
      </c>
      <c r="J3905" s="8" t="s">
        <v>1389</v>
      </c>
      <c r="K3905" s="6" t="str">
        <f>"579,00"</f>
        <v>579,00</v>
      </c>
      <c r="L3905" s="6" t="str">
        <f>"144,75"</f>
        <v>144,75</v>
      </c>
      <c r="M3905" s="6" t="str">
        <f>"723,75"</f>
        <v>723,75</v>
      </c>
      <c r="N3905" s="8" t="s">
        <v>500</v>
      </c>
      <c r="O3905" s="7"/>
      <c r="P3905" s="2" t="s">
        <v>6365</v>
      </c>
      <c r="Q3905" s="7"/>
      <c r="R3905" s="1"/>
      <c r="S3905" s="1" t="str">
        <f>"J-UN-2022-268"</f>
        <v>J-UN-2022-268</v>
      </c>
      <c r="T3905" s="1" t="s">
        <v>32</v>
      </c>
    </row>
    <row r="3906" spans="1:20" ht="51" x14ac:dyDescent="0.25">
      <c r="A3906" s="6">
        <v>3900</v>
      </c>
      <c r="B3906" s="1" t="str">
        <f>"2022-459"</f>
        <v>2022-459</v>
      </c>
      <c r="C3906" s="1" t="s">
        <v>2795</v>
      </c>
      <c r="D3906" s="1" t="s">
        <v>1619</v>
      </c>
      <c r="E3906" s="1" t="str">
        <f>""</f>
        <v/>
      </c>
      <c r="F3906" s="1" t="s">
        <v>1860</v>
      </c>
      <c r="G3906" s="1" t="str">
        <f>CONCATENATE(" DREZGA D.O.O.,"," OBRTNIČKA 2,"," 10437 BESTOVJE,"," OIB: 46535283602")</f>
        <v xml:space="preserve"> DREZGA D.O.O., OBRTNIČKA 2, 10437 BESTOVJE, OIB: 46535283602</v>
      </c>
      <c r="H3906" s="7"/>
      <c r="I3906" s="8" t="s">
        <v>754</v>
      </c>
      <c r="J3906" s="8" t="s">
        <v>1365</v>
      </c>
      <c r="K3906" s="6" t="str">
        <f>"5.632,00"</f>
        <v>5.632,00</v>
      </c>
      <c r="L3906" s="6" t="str">
        <f>"1.408,00"</f>
        <v>1.408,00</v>
      </c>
      <c r="M3906" s="6" t="str">
        <f>"7.040,00"</f>
        <v>7.040,00</v>
      </c>
      <c r="N3906" s="8" t="s">
        <v>748</v>
      </c>
      <c r="O3906" s="7"/>
      <c r="P3906" s="2" t="s">
        <v>7946</v>
      </c>
      <c r="Q3906" s="7"/>
      <c r="R3906" s="1"/>
      <c r="S3906" s="1" t="str">
        <f>"J-UN-2022-269"</f>
        <v>J-UN-2022-269</v>
      </c>
      <c r="T3906" s="1" t="s">
        <v>32</v>
      </c>
    </row>
    <row r="3907" spans="1:20" ht="51" x14ac:dyDescent="0.25">
      <c r="A3907" s="6">
        <v>3901</v>
      </c>
      <c r="B3907" s="1" t="str">
        <f>"2022-970"</f>
        <v>2022-970</v>
      </c>
      <c r="C3907" s="1" t="s">
        <v>2857</v>
      </c>
      <c r="D3907" s="1" t="s">
        <v>1373</v>
      </c>
      <c r="E3907" s="1" t="str">
        <f>""</f>
        <v/>
      </c>
      <c r="F3907" s="1" t="s">
        <v>1860</v>
      </c>
      <c r="G3907" s="1" t="str">
        <f>CONCATENATE(" BLUEMONT D.O.O.,"," VINCEKOV BREG 20,"," 10000 ZAGREB,"," OIB: 54895392358")</f>
        <v xml:space="preserve"> BLUEMONT D.O.O., VINCEKOV BREG 20, 10000 ZAGREB, OIB: 54895392358</v>
      </c>
      <c r="H3907" s="7"/>
      <c r="I3907" s="8" t="s">
        <v>90</v>
      </c>
      <c r="J3907" s="8" t="s">
        <v>1997</v>
      </c>
      <c r="K3907" s="6" t="str">
        <f>"4.089,50"</f>
        <v>4.089,50</v>
      </c>
      <c r="L3907" s="6" t="str">
        <f>"1.022,38"</f>
        <v>1.022,38</v>
      </c>
      <c r="M3907" s="6" t="str">
        <f>"5.111,88"</f>
        <v>5.111,88</v>
      </c>
      <c r="N3907" s="8" t="s">
        <v>124</v>
      </c>
      <c r="O3907" s="7"/>
      <c r="P3907" s="2" t="s">
        <v>7947</v>
      </c>
      <c r="Q3907" s="7"/>
      <c r="R3907" s="1"/>
      <c r="S3907" s="1" t="str">
        <f>"J-UN-2022-270"</f>
        <v>J-UN-2022-270</v>
      </c>
      <c r="T3907" s="1" t="s">
        <v>32</v>
      </c>
    </row>
    <row r="3908" spans="1:20" ht="38.25" x14ac:dyDescent="0.25">
      <c r="A3908" s="6">
        <v>3902</v>
      </c>
      <c r="B3908" s="1" t="str">
        <f>"2022-698"</f>
        <v>2022-698</v>
      </c>
      <c r="C3908" s="1" t="s">
        <v>2565</v>
      </c>
      <c r="D3908" s="1" t="s">
        <v>1833</v>
      </c>
      <c r="E3908" s="1" t="str">
        <f>""</f>
        <v/>
      </c>
      <c r="F3908" s="1" t="s">
        <v>1860</v>
      </c>
      <c r="G3908" s="1" t="str">
        <f>CONCATENATE(" R-PIM D.O.O.,"," ,"," OIB: 38514700472")</f>
        <v xml:space="preserve"> R-PIM D.O.O., , OIB: 38514700472</v>
      </c>
      <c r="H3908" s="7"/>
      <c r="I3908" s="8" t="s">
        <v>1117</v>
      </c>
      <c r="J3908" s="8" t="s">
        <v>1389</v>
      </c>
      <c r="K3908" s="6" t="str">
        <f>"18.742,00"</f>
        <v>18.742,00</v>
      </c>
      <c r="L3908" s="6" t="str">
        <f>"4.685,50"</f>
        <v>4.685,50</v>
      </c>
      <c r="M3908" s="6" t="str">
        <f>"23.427,50"</f>
        <v>23.427,50</v>
      </c>
      <c r="N3908" s="8" t="s">
        <v>398</v>
      </c>
      <c r="O3908" s="7"/>
      <c r="P3908" s="2" t="s">
        <v>7948</v>
      </c>
      <c r="Q3908" s="7"/>
      <c r="R3908" s="1"/>
      <c r="S3908" s="1" t="str">
        <f>"J-UN-2022-271"</f>
        <v>J-UN-2022-271</v>
      </c>
      <c r="T3908" s="1" t="s">
        <v>32</v>
      </c>
    </row>
    <row r="3909" spans="1:20" ht="51" x14ac:dyDescent="0.25">
      <c r="A3909" s="6">
        <v>3903</v>
      </c>
      <c r="B3909" s="1" t="str">
        <f>"2022-825"</f>
        <v>2022-825</v>
      </c>
      <c r="C3909" s="1" t="s">
        <v>2492</v>
      </c>
      <c r="D3909" s="1" t="s">
        <v>2493</v>
      </c>
      <c r="E3909" s="1" t="str">
        <f>""</f>
        <v/>
      </c>
      <c r="F3909" s="1" t="s">
        <v>1860</v>
      </c>
      <c r="G3909" s="1" t="str">
        <f>CONCATENATE(" STAR IMPORT D.O.O.,"," KOVINSKA 5,"," 10090 ZAGREB-SUSEDGRAD,"," OIB: 783122799")</f>
        <v xml:space="preserve"> STAR IMPORT D.O.O., KOVINSKA 5, 10090 ZAGREB-SUSEDGRAD, OIB: 783122799</v>
      </c>
      <c r="H3909" s="7"/>
      <c r="I3909" s="8" t="s">
        <v>41</v>
      </c>
      <c r="J3909" s="8" t="s">
        <v>490</v>
      </c>
      <c r="K3909" s="6" t="str">
        <f>"10.312,24"</f>
        <v>10.312,24</v>
      </c>
      <c r="L3909" s="6" t="str">
        <f>"2.578,06"</f>
        <v>2.578,06</v>
      </c>
      <c r="M3909" s="6" t="str">
        <f>"12.890,30"</f>
        <v>12.890,30</v>
      </c>
      <c r="N3909" s="8" t="s">
        <v>804</v>
      </c>
      <c r="O3909" s="7"/>
      <c r="P3909" s="2" t="s">
        <v>7949</v>
      </c>
      <c r="Q3909" s="7"/>
      <c r="R3909" s="1"/>
      <c r="S3909" s="1" t="str">
        <f>"J-UN-2022-273"</f>
        <v>J-UN-2022-273</v>
      </c>
      <c r="T3909" s="1" t="s">
        <v>32</v>
      </c>
    </row>
    <row r="3910" spans="1:20" ht="51" x14ac:dyDescent="0.25">
      <c r="A3910" s="6">
        <v>3904</v>
      </c>
      <c r="B3910" s="1" t="str">
        <f>"2022-1202"</f>
        <v>2022-1202</v>
      </c>
      <c r="C3910" s="1" t="s">
        <v>2715</v>
      </c>
      <c r="D3910" s="1" t="s">
        <v>2716</v>
      </c>
      <c r="E3910" s="1" t="str">
        <f>""</f>
        <v/>
      </c>
      <c r="F3910" s="1" t="s">
        <v>1860</v>
      </c>
      <c r="G3910" s="1" t="str">
        <f>CONCATENATE(" LAGER BAŠIĆ D.O.O.,"," TRGOVAČKA 3,"," 10255 DONJI STUPNIK,"," OIB: 49617677906")</f>
        <v xml:space="preserve"> LAGER BAŠIĆ D.O.O., TRGOVAČKA 3, 10255 DONJI STUPNIK, OIB: 49617677906</v>
      </c>
      <c r="H3910" s="7"/>
      <c r="I3910" s="8" t="s">
        <v>768</v>
      </c>
      <c r="J3910" s="8" t="s">
        <v>2135</v>
      </c>
      <c r="K3910" s="6" t="str">
        <f>"6.682,00"</f>
        <v>6.682,00</v>
      </c>
      <c r="L3910" s="6" t="str">
        <f>"1.670,50"</f>
        <v>1.670,50</v>
      </c>
      <c r="M3910" s="6" t="str">
        <f>"8.352,50"</f>
        <v>8.352,50</v>
      </c>
      <c r="N3910" s="8" t="s">
        <v>124</v>
      </c>
      <c r="O3910" s="7"/>
      <c r="P3910" s="2" t="s">
        <v>7950</v>
      </c>
      <c r="Q3910" s="7"/>
      <c r="R3910" s="1"/>
      <c r="S3910" s="1" t="str">
        <f>"J-UN-2022-274"</f>
        <v>J-UN-2022-274</v>
      </c>
      <c r="T3910" s="1" t="s">
        <v>32</v>
      </c>
    </row>
    <row r="3911" spans="1:20" ht="51" x14ac:dyDescent="0.25">
      <c r="A3911" s="6">
        <v>3905</v>
      </c>
      <c r="B3911" s="1" t="str">
        <f>"2022-734"</f>
        <v>2022-734</v>
      </c>
      <c r="C3911" s="1" t="s">
        <v>2707</v>
      </c>
      <c r="D3911" s="1" t="s">
        <v>2708</v>
      </c>
      <c r="E3911" s="1" t="str">
        <f>""</f>
        <v/>
      </c>
      <c r="F3911" s="1" t="s">
        <v>1860</v>
      </c>
      <c r="G3911" s="1" t="str">
        <f>CONCATENATE(" MAN-EKO D.O.O.,"," BRAĆE CVIJIĆA 17,"," 10000 ZAGREB,"," OIB: 708190967")</f>
        <v xml:space="preserve"> MAN-EKO D.O.O., BRAĆE CVIJIĆA 17, 10000 ZAGREB, OIB: 708190967</v>
      </c>
      <c r="H3911" s="7"/>
      <c r="I3911" s="8" t="s">
        <v>41</v>
      </c>
      <c r="J3911" s="8" t="s">
        <v>490</v>
      </c>
      <c r="K3911" s="6" t="str">
        <f>"136.807,50"</f>
        <v>136.807,50</v>
      </c>
      <c r="L3911" s="6" t="str">
        <f>"34.201,88"</f>
        <v>34.201,88</v>
      </c>
      <c r="M3911" s="6" t="str">
        <f>"171.009,38"</f>
        <v>171.009,38</v>
      </c>
      <c r="N3911" s="8" t="s">
        <v>862</v>
      </c>
      <c r="O3911" s="7"/>
      <c r="P3911" s="2" t="s">
        <v>7951</v>
      </c>
      <c r="Q3911" s="7"/>
      <c r="R3911" s="1"/>
      <c r="S3911" s="1" t="str">
        <f>"J-UN-2022-277"</f>
        <v>J-UN-2022-277</v>
      </c>
      <c r="T3911" s="1" t="s">
        <v>32</v>
      </c>
    </row>
    <row r="3912" spans="1:20" ht="51" x14ac:dyDescent="0.25">
      <c r="A3912" s="6">
        <v>3906</v>
      </c>
      <c r="B3912" s="1" t="str">
        <f>"2022-535"</f>
        <v>2022-535</v>
      </c>
      <c r="C3912" s="1" t="s">
        <v>2561</v>
      </c>
      <c r="D3912" s="1" t="s">
        <v>2156</v>
      </c>
      <c r="E3912" s="1" t="str">
        <f>""</f>
        <v/>
      </c>
      <c r="F3912" s="1" t="s">
        <v>1860</v>
      </c>
      <c r="G3912" s="1" t="str">
        <f>CONCATENATE(" MICROTEAM D.O.O.,"," KURILOVEČKA 1,"," 10410 VELIKA GORICA,"," OIB: 57375677395")</f>
        <v xml:space="preserve"> MICROTEAM D.O.O., KURILOVEČKA 1, 10410 VELIKA GORICA, OIB: 57375677395</v>
      </c>
      <c r="H3912" s="7"/>
      <c r="I3912" s="8" t="s">
        <v>41</v>
      </c>
      <c r="J3912" s="8" t="s">
        <v>490</v>
      </c>
      <c r="K3912" s="6" t="str">
        <f>"7.706,00"</f>
        <v>7.706,00</v>
      </c>
      <c r="L3912" s="6" t="str">
        <f>"1.926,50"</f>
        <v>1.926,50</v>
      </c>
      <c r="M3912" s="6" t="str">
        <f>"9.632,50"</f>
        <v>9.632,50</v>
      </c>
      <c r="N3912" s="8" t="s">
        <v>258</v>
      </c>
      <c r="O3912" s="7"/>
      <c r="P3912" s="2" t="s">
        <v>7952</v>
      </c>
      <c r="Q3912" s="7"/>
      <c r="R3912" s="1"/>
      <c r="S3912" s="1" t="str">
        <f>"J-UN-2022-278"</f>
        <v>J-UN-2022-278</v>
      </c>
      <c r="T3912" s="1" t="s">
        <v>32</v>
      </c>
    </row>
    <row r="3913" spans="1:20" ht="63.75" x14ac:dyDescent="0.25">
      <c r="A3913" s="6">
        <v>3907</v>
      </c>
      <c r="B3913" s="1" t="str">
        <f>"2022-710"</f>
        <v>2022-710</v>
      </c>
      <c r="C3913" s="1" t="s">
        <v>2782</v>
      </c>
      <c r="D3913" s="1" t="s">
        <v>815</v>
      </c>
      <c r="E3913" s="1" t="str">
        <f>""</f>
        <v/>
      </c>
      <c r="F3913" s="1" t="s">
        <v>1860</v>
      </c>
      <c r="G3913" s="1" t="str">
        <f>CONCATENATE(" LAUS INTERNATIONAL D.O.O.,"," DR. FRANJE TUĐMANA 16B,"," 10431 SVETA NEDELJA,"," OIB: 93039509752")</f>
        <v xml:space="preserve"> LAUS INTERNATIONAL D.O.O., DR. FRANJE TUĐMANA 16B, 10431 SVETA NEDELJA, OIB: 93039509752</v>
      </c>
      <c r="H3913" s="7"/>
      <c r="I3913" s="8" t="s">
        <v>90</v>
      </c>
      <c r="J3913" s="8" t="s">
        <v>1997</v>
      </c>
      <c r="K3913" s="6" t="str">
        <f>"1.328,72"</f>
        <v>1.328,72</v>
      </c>
      <c r="L3913" s="6" t="str">
        <f>"332,18"</f>
        <v>332,18</v>
      </c>
      <c r="M3913" s="6" t="str">
        <f>"1.660,90"</f>
        <v>1.660,90</v>
      </c>
      <c r="N3913" s="8" t="s">
        <v>835</v>
      </c>
      <c r="O3913" s="7"/>
      <c r="P3913" s="2" t="s">
        <v>7953</v>
      </c>
      <c r="Q3913" s="7"/>
      <c r="R3913" s="1"/>
      <c r="S3913" s="1" t="str">
        <f>"J-UN-2022-279"</f>
        <v>J-UN-2022-279</v>
      </c>
      <c r="T3913" s="1" t="s">
        <v>32</v>
      </c>
    </row>
    <row r="3914" spans="1:20" ht="51" x14ac:dyDescent="0.25">
      <c r="A3914" s="6">
        <v>3908</v>
      </c>
      <c r="B3914" s="1" t="str">
        <f>"2022-432"</f>
        <v>2022-432</v>
      </c>
      <c r="C3914" s="1" t="s">
        <v>3071</v>
      </c>
      <c r="D3914" s="1" t="s">
        <v>2577</v>
      </c>
      <c r="E3914" s="1" t="str">
        <f>""</f>
        <v/>
      </c>
      <c r="F3914" s="1" t="s">
        <v>1860</v>
      </c>
      <c r="G3914" s="1" t="str">
        <f>CONCATENATE(" TORBARINA D.O.O.,"," NOVA CESTA 3,"," 10412 DONJA LOMNICA,"," OIB: 02603292627")</f>
        <v xml:space="preserve"> TORBARINA D.O.O., NOVA CESTA 3, 10412 DONJA LOMNICA, OIB: 02603292627</v>
      </c>
      <c r="H3914" s="7"/>
      <c r="I3914" s="8" t="s">
        <v>41</v>
      </c>
      <c r="J3914" s="8" t="s">
        <v>490</v>
      </c>
      <c r="K3914" s="6" t="str">
        <f>"5.590,60"</f>
        <v>5.590,60</v>
      </c>
      <c r="L3914" s="6" t="str">
        <f>"1.397,65"</f>
        <v>1.397,65</v>
      </c>
      <c r="M3914" s="6" t="str">
        <f>"6.988,25"</f>
        <v>6.988,25</v>
      </c>
      <c r="N3914" s="8" t="s">
        <v>42</v>
      </c>
      <c r="O3914" s="7"/>
      <c r="P3914" s="2" t="s">
        <v>7954</v>
      </c>
      <c r="Q3914" s="7"/>
      <c r="R3914" s="1"/>
      <c r="S3914" s="1" t="str">
        <f>"J-UN-2022-280"</f>
        <v>J-UN-2022-280</v>
      </c>
      <c r="T3914" s="1" t="s">
        <v>32</v>
      </c>
    </row>
    <row r="3915" spans="1:20" ht="63.75" x14ac:dyDescent="0.25">
      <c r="A3915" s="6">
        <v>3909</v>
      </c>
      <c r="B3915" s="1" t="str">
        <f>"2022-478"</f>
        <v>2022-478</v>
      </c>
      <c r="C3915" s="1" t="s">
        <v>2600</v>
      </c>
      <c r="D3915" s="1" t="s">
        <v>2601</v>
      </c>
      <c r="E3915" s="1" t="str">
        <f>""</f>
        <v/>
      </c>
      <c r="F3915" s="1" t="s">
        <v>1860</v>
      </c>
      <c r="G3915" s="1" t="str">
        <f>CONCATENATE(" POLJOOPSKRBA-TEHNO D.D.,"," SAMOBORSKA 96,"," 10000 ZAGREB,"," OIB: 5372167324")</f>
        <v xml:space="preserve"> POLJOOPSKRBA-TEHNO D.D., SAMOBORSKA 96, 10000 ZAGREB, OIB: 5372167324</v>
      </c>
      <c r="H3915" s="7"/>
      <c r="I3915" s="8" t="s">
        <v>421</v>
      </c>
      <c r="J3915" s="8" t="s">
        <v>1368</v>
      </c>
      <c r="K3915" s="6" t="str">
        <f>"14.029,00"</f>
        <v>14.029,00</v>
      </c>
      <c r="L3915" s="6" t="str">
        <f>"3.507,25"</f>
        <v>3.507,25</v>
      </c>
      <c r="M3915" s="6" t="str">
        <f>"17.536,25"</f>
        <v>17.536,25</v>
      </c>
      <c r="N3915" s="8" t="s">
        <v>921</v>
      </c>
      <c r="O3915" s="7"/>
      <c r="P3915" s="2" t="s">
        <v>7955</v>
      </c>
      <c r="Q3915" s="7"/>
      <c r="R3915" s="1"/>
      <c r="S3915" s="1" t="str">
        <f>"J-UN-2022-281"</f>
        <v>J-UN-2022-281</v>
      </c>
      <c r="T3915" s="1" t="s">
        <v>32</v>
      </c>
    </row>
    <row r="3916" spans="1:20" ht="63.75" x14ac:dyDescent="0.25">
      <c r="A3916" s="6">
        <v>3910</v>
      </c>
      <c r="B3916" s="1" t="str">
        <f>"2022-713"</f>
        <v>2022-713</v>
      </c>
      <c r="C3916" s="1" t="s">
        <v>3072</v>
      </c>
      <c r="D3916" s="1" t="s">
        <v>914</v>
      </c>
      <c r="E3916" s="1" t="str">
        <f>""</f>
        <v/>
      </c>
      <c r="F3916" s="1" t="s">
        <v>1860</v>
      </c>
      <c r="G3916" s="1" t="str">
        <f>CONCATENATE(" AUTO-MAG D.O.O.,"," GORNJOSTUPNIČKA 1/d,"," 10255 GORNJI STUPNIK,"," OIB: 99940897955")</f>
        <v xml:space="preserve"> AUTO-MAG D.O.O., GORNJOSTUPNIČKA 1/d, 10255 GORNJI STUPNIK, OIB: 99940897955</v>
      </c>
      <c r="H3916" s="7"/>
      <c r="I3916" s="8" t="s">
        <v>1117</v>
      </c>
      <c r="J3916" s="8" t="s">
        <v>1389</v>
      </c>
      <c r="K3916" s="6" t="str">
        <f>"4.304,00"</f>
        <v>4.304,00</v>
      </c>
      <c r="L3916" s="6" t="str">
        <f>"1.076,00"</f>
        <v>1.076,00</v>
      </c>
      <c r="M3916" s="6" t="str">
        <f>"5.380,00"</f>
        <v>5.380,00</v>
      </c>
      <c r="N3916" s="8" t="s">
        <v>273</v>
      </c>
      <c r="O3916" s="7"/>
      <c r="P3916" s="2" t="s">
        <v>7956</v>
      </c>
      <c r="Q3916" s="7"/>
      <c r="R3916" s="1"/>
      <c r="S3916" s="1" t="str">
        <f>"J-UN-2022-282"</f>
        <v>J-UN-2022-282</v>
      </c>
      <c r="T3916" s="1" t="s">
        <v>32</v>
      </c>
    </row>
    <row r="3917" spans="1:20" ht="76.5" x14ac:dyDescent="0.25">
      <c r="A3917" s="6">
        <v>3911</v>
      </c>
      <c r="B3917" s="1" t="str">
        <f>"2022-928"</f>
        <v>2022-928</v>
      </c>
      <c r="C3917" s="1" t="s">
        <v>3073</v>
      </c>
      <c r="D3917" s="1" t="s">
        <v>3074</v>
      </c>
      <c r="E3917" s="1" t="str">
        <f>""</f>
        <v/>
      </c>
      <c r="F3917" s="1" t="s">
        <v>1860</v>
      </c>
      <c r="G3917" s="1" t="str">
        <f>CONCATENATE(" URARSKO - TRGOVAČKI OBRT,"," VL. DALIBOR LEBAROVIĆ,"," MAKSIMIRSKA 52A,"," 10000 ZAGREB,"," OIB: 6718351375")</f>
        <v xml:space="preserve"> URARSKO - TRGOVAČKI OBRT, VL. DALIBOR LEBAROVIĆ, MAKSIMIRSKA 52A, 10000 ZAGREB, OIB: 6718351375</v>
      </c>
      <c r="H3917" s="7"/>
      <c r="I3917" s="8" t="s">
        <v>768</v>
      </c>
      <c r="J3917" s="8" t="s">
        <v>2135</v>
      </c>
      <c r="K3917" s="6" t="str">
        <f>"16.700,00"</f>
        <v>16.700,00</v>
      </c>
      <c r="L3917" s="6" t="str">
        <f>"4.175,00"</f>
        <v>4.175,00</v>
      </c>
      <c r="M3917" s="6" t="str">
        <f>"20.875,00"</f>
        <v>20.875,00</v>
      </c>
      <c r="N3917" s="8" t="s">
        <v>42</v>
      </c>
      <c r="O3917" s="7"/>
      <c r="P3917" s="2" t="s">
        <v>7957</v>
      </c>
      <c r="Q3917" s="7"/>
      <c r="R3917" s="1"/>
      <c r="S3917" s="1" t="str">
        <f>"J-UN-2022-284"</f>
        <v>J-UN-2022-284</v>
      </c>
      <c r="T3917" s="1" t="s">
        <v>32</v>
      </c>
    </row>
    <row r="3918" spans="1:20" ht="63.75" x14ac:dyDescent="0.25">
      <c r="A3918" s="6">
        <v>3912</v>
      </c>
      <c r="B3918" s="1" t="str">
        <f>"2022-499"</f>
        <v>2022-499</v>
      </c>
      <c r="C3918" s="1" t="s">
        <v>2788</v>
      </c>
      <c r="D3918" s="1" t="s">
        <v>2789</v>
      </c>
      <c r="E3918" s="1" t="str">
        <f>""</f>
        <v/>
      </c>
      <c r="F3918" s="1" t="s">
        <v>1860</v>
      </c>
      <c r="G3918" s="1" t="str">
        <f>CONCATENATE(" ELEKTRO-KOMUNIKACIJE D.O.O.,"," 14. PODBREŽJE 4,"," 10000 ZAGREB,"," OIB: 76412373309")</f>
        <v xml:space="preserve"> ELEKTRO-KOMUNIKACIJE D.O.O., 14. PODBREŽJE 4, 10000 ZAGREB, OIB: 76412373309</v>
      </c>
      <c r="H3918" s="7"/>
      <c r="I3918" s="8" t="s">
        <v>1117</v>
      </c>
      <c r="J3918" s="8" t="s">
        <v>1389</v>
      </c>
      <c r="K3918" s="6" t="str">
        <f>"1.500,00"</f>
        <v>1.500,00</v>
      </c>
      <c r="L3918" s="6" t="str">
        <f>"375,00"</f>
        <v>375,00</v>
      </c>
      <c r="M3918" s="6" t="str">
        <f>"1.875,00"</f>
        <v>1.875,00</v>
      </c>
      <c r="N3918" s="8" t="s">
        <v>400</v>
      </c>
      <c r="O3918" s="7"/>
      <c r="P3918" s="2" t="s">
        <v>6378</v>
      </c>
      <c r="Q3918" s="7"/>
      <c r="R3918" s="1"/>
      <c r="S3918" s="1" t="str">
        <f>"J-UN-2022-285"</f>
        <v>J-UN-2022-285</v>
      </c>
      <c r="T3918" s="1" t="s">
        <v>32</v>
      </c>
    </row>
    <row r="3919" spans="1:20" ht="51" x14ac:dyDescent="0.25">
      <c r="A3919" s="6">
        <v>3913</v>
      </c>
      <c r="B3919" s="1" t="str">
        <f>"2022-375"</f>
        <v>2022-375</v>
      </c>
      <c r="C3919" s="1" t="s">
        <v>2747</v>
      </c>
      <c r="D3919" s="1" t="s">
        <v>1334</v>
      </c>
      <c r="E3919" s="1" t="str">
        <f>""</f>
        <v/>
      </c>
      <c r="F3919" s="1" t="s">
        <v>1860</v>
      </c>
      <c r="G3919" s="1" t="str">
        <f>CONCATENATE(" VODOSKOK D.D.,"," ČULINEČKA CESTA 221/C,"," 10040 ZAGREB,"," OIB: 34134218058")</f>
        <v xml:space="preserve"> VODOSKOK D.D., ČULINEČKA CESTA 221/C, 10040 ZAGREB, OIB: 34134218058</v>
      </c>
      <c r="H3919" s="7"/>
      <c r="I3919" s="8" t="s">
        <v>1117</v>
      </c>
      <c r="J3919" s="8" t="s">
        <v>1389</v>
      </c>
      <c r="K3919" s="6" t="str">
        <f>"840,00"</f>
        <v>840,00</v>
      </c>
      <c r="L3919" s="6" t="str">
        <f>"210,00"</f>
        <v>210,00</v>
      </c>
      <c r="M3919" s="6" t="str">
        <f>"1.050,00"</f>
        <v>1.050,00</v>
      </c>
      <c r="N3919" s="8" t="s">
        <v>291</v>
      </c>
      <c r="O3919" s="7"/>
      <c r="P3919" s="2" t="s">
        <v>6581</v>
      </c>
      <c r="Q3919" s="7"/>
      <c r="R3919" s="1"/>
      <c r="S3919" s="1" t="str">
        <f>"J-UN-2022-287"</f>
        <v>J-UN-2022-287</v>
      </c>
      <c r="T3919" s="1" t="s">
        <v>32</v>
      </c>
    </row>
    <row r="3920" spans="1:20" ht="51" x14ac:dyDescent="0.25">
      <c r="A3920" s="6">
        <v>3914</v>
      </c>
      <c r="B3920" s="1" t="str">
        <f>"2022-984"</f>
        <v>2022-984</v>
      </c>
      <c r="C3920" s="1" t="s">
        <v>2638</v>
      </c>
      <c r="D3920" s="1" t="s">
        <v>1458</v>
      </c>
      <c r="E3920" s="1" t="str">
        <f>""</f>
        <v/>
      </c>
      <c r="F3920" s="1" t="s">
        <v>1860</v>
      </c>
      <c r="G3920" s="1" t="str">
        <f>CONCATENATE(" TEPESCO D.O.O.,"," JASENA 11A,"," 10040 ZAGREB,"," OIB: 7691411318")</f>
        <v xml:space="preserve"> TEPESCO D.O.O., JASENA 11A, 10040 ZAGREB, OIB: 7691411318</v>
      </c>
      <c r="H3920" s="7"/>
      <c r="I3920" s="8" t="s">
        <v>754</v>
      </c>
      <c r="J3920" s="8" t="s">
        <v>1365</v>
      </c>
      <c r="K3920" s="6" t="str">
        <f>"960,00"</f>
        <v>960,00</v>
      </c>
      <c r="L3920" s="6" t="str">
        <f>"240,00"</f>
        <v>240,00</v>
      </c>
      <c r="M3920" s="6" t="str">
        <f>"1.200,00"</f>
        <v>1.200,00</v>
      </c>
      <c r="N3920" s="8" t="s">
        <v>748</v>
      </c>
      <c r="O3920" s="7"/>
      <c r="P3920" s="2" t="s">
        <v>6633</v>
      </c>
      <c r="Q3920" s="7"/>
      <c r="R3920" s="1"/>
      <c r="S3920" s="1" t="str">
        <f>"J-UN-2022-288"</f>
        <v>J-UN-2022-288</v>
      </c>
      <c r="T3920" s="1" t="s">
        <v>32</v>
      </c>
    </row>
    <row r="3921" spans="1:20" ht="63.75" x14ac:dyDescent="0.25">
      <c r="A3921" s="6">
        <v>3915</v>
      </c>
      <c r="B3921" s="1" t="str">
        <f>"2022-459"</f>
        <v>2022-459</v>
      </c>
      <c r="C3921" s="1" t="s">
        <v>2795</v>
      </c>
      <c r="D3921" s="1" t="s">
        <v>1619</v>
      </c>
      <c r="E3921" s="1" t="str">
        <f>""</f>
        <v/>
      </c>
      <c r="F3921" s="1" t="s">
        <v>1860</v>
      </c>
      <c r="G3921" s="1" t="str">
        <f>CONCATENATE(" HIDROMEHANIKA D.O.O.,"," SLAVONSKA AVENIJA 26/10,"," 10000 ZAGREB,"," OIB: 9178029895")</f>
        <v xml:space="preserve"> HIDROMEHANIKA D.O.O., SLAVONSKA AVENIJA 26/10, 10000 ZAGREB, OIB: 9178029895</v>
      </c>
      <c r="H3921" s="7"/>
      <c r="I3921" s="8" t="s">
        <v>754</v>
      </c>
      <c r="J3921" s="8" t="s">
        <v>1365</v>
      </c>
      <c r="K3921" s="6" t="str">
        <f>"7.500,00"</f>
        <v>7.500,00</v>
      </c>
      <c r="L3921" s="6" t="str">
        <f>"1.875,00"</f>
        <v>1.875,00</v>
      </c>
      <c r="M3921" s="6" t="str">
        <f>"9.375,00"</f>
        <v>9.375,00</v>
      </c>
      <c r="N3921" s="8" t="s">
        <v>41</v>
      </c>
      <c r="O3921" s="7"/>
      <c r="P3921" s="2" t="s">
        <v>7958</v>
      </c>
      <c r="Q3921" s="7"/>
      <c r="R3921" s="1"/>
      <c r="S3921" s="1" t="str">
        <f>"J-UN-2022-289"</f>
        <v>J-UN-2022-289</v>
      </c>
      <c r="T3921" s="1" t="s">
        <v>32</v>
      </c>
    </row>
    <row r="3922" spans="1:20" ht="38.25" x14ac:dyDescent="0.25">
      <c r="A3922" s="6">
        <v>3916</v>
      </c>
      <c r="B3922" s="1" t="str">
        <f>"2022-101"</f>
        <v>2022-101</v>
      </c>
      <c r="C3922" s="1" t="s">
        <v>2914</v>
      </c>
      <c r="D3922" s="1" t="s">
        <v>2915</v>
      </c>
      <c r="E3922" s="1" t="str">
        <f>""</f>
        <v/>
      </c>
      <c r="F3922" s="1" t="s">
        <v>1860</v>
      </c>
      <c r="G3922" s="1" t="str">
        <f>CONCATENATE(" CRESCAT D.O.O.,"," NOVA VES 8,"," 10000 ZAGREB,"," OIB: 316081945")</f>
        <v xml:space="preserve"> CRESCAT D.O.O., NOVA VES 8, 10000 ZAGREB, OIB: 316081945</v>
      </c>
      <c r="H3922" s="7"/>
      <c r="I3922" s="8" t="s">
        <v>1117</v>
      </c>
      <c r="J3922" s="8" t="s">
        <v>1389</v>
      </c>
      <c r="K3922" s="6" t="str">
        <f>"11.996,00"</f>
        <v>11.996,00</v>
      </c>
      <c r="L3922" s="6" t="str">
        <f>"2.999,00"</f>
        <v>2.999,00</v>
      </c>
      <c r="M3922" s="6" t="str">
        <f>"14.995,00"</f>
        <v>14.995,00</v>
      </c>
      <c r="N3922" s="8" t="s">
        <v>41</v>
      </c>
      <c r="O3922" s="7"/>
      <c r="P3922" s="2" t="s">
        <v>7959</v>
      </c>
      <c r="Q3922" s="7"/>
      <c r="R3922" s="1"/>
      <c r="S3922" s="1" t="str">
        <f>"J-UN-2022-290"</f>
        <v>J-UN-2022-290</v>
      </c>
      <c r="T3922" s="1" t="s">
        <v>32</v>
      </c>
    </row>
    <row r="3923" spans="1:20" ht="51" x14ac:dyDescent="0.25">
      <c r="A3923" s="6">
        <v>3917</v>
      </c>
      <c r="B3923" s="1" t="str">
        <f>"2022-95"</f>
        <v>2022-95</v>
      </c>
      <c r="C3923" s="1" t="s">
        <v>2761</v>
      </c>
      <c r="D3923" s="1" t="s">
        <v>2762</v>
      </c>
      <c r="E3923" s="1" t="str">
        <f>""</f>
        <v/>
      </c>
      <c r="F3923" s="1" t="s">
        <v>1860</v>
      </c>
      <c r="G3923" s="1" t="str">
        <f>CONCATENATE(" TOPLANE D.O.O.,"," KOZALA 87,"," 51000 RIJEKA,"," OIB: 82266510597")</f>
        <v xml:space="preserve"> TOPLANE D.O.O., KOZALA 87, 51000 RIJEKA, OIB: 82266510597</v>
      </c>
      <c r="H3923" s="7"/>
      <c r="I3923" s="8" t="s">
        <v>754</v>
      </c>
      <c r="J3923" s="8" t="s">
        <v>1365</v>
      </c>
      <c r="K3923" s="6" t="str">
        <f>"3.680,00"</f>
        <v>3.680,00</v>
      </c>
      <c r="L3923" s="6" t="str">
        <f>"920,00"</f>
        <v>920,00</v>
      </c>
      <c r="M3923" s="6" t="str">
        <f>"4.600,00"</f>
        <v>4.600,00</v>
      </c>
      <c r="N3923" s="8" t="s">
        <v>41</v>
      </c>
      <c r="O3923" s="7"/>
      <c r="P3923" s="2" t="s">
        <v>7960</v>
      </c>
      <c r="Q3923" s="1" t="s">
        <v>488</v>
      </c>
      <c r="R3923" s="1"/>
      <c r="S3923" s="1" t="str">
        <f>"J-UN-2022-292"</f>
        <v>J-UN-2022-292</v>
      </c>
      <c r="T3923" s="1" t="s">
        <v>32</v>
      </c>
    </row>
    <row r="3924" spans="1:20" ht="51" x14ac:dyDescent="0.25">
      <c r="A3924" s="6">
        <v>3918</v>
      </c>
      <c r="B3924" s="1" t="str">
        <f>"2022-491"</f>
        <v>2022-491</v>
      </c>
      <c r="C3924" s="1" t="s">
        <v>2626</v>
      </c>
      <c r="D3924" s="1" t="s">
        <v>2627</v>
      </c>
      <c r="E3924" s="1" t="str">
        <f>""</f>
        <v/>
      </c>
      <c r="F3924" s="1" t="s">
        <v>1860</v>
      </c>
      <c r="G3924" s="1" t="str">
        <f>CONCATENATE(" E-ELMES D.O.O.,"," MATIJE MESIĆA 29A,"," 10370 DUGO SELO,"," OIB: 89958947498")</f>
        <v xml:space="preserve"> E-ELMES D.O.O., MATIJE MESIĆA 29A, 10370 DUGO SELO, OIB: 89958947498</v>
      </c>
      <c r="H3924" s="7"/>
      <c r="I3924" s="8" t="s">
        <v>768</v>
      </c>
      <c r="J3924" s="8" t="s">
        <v>2135</v>
      </c>
      <c r="K3924" s="6" t="str">
        <f>"4.107,25"</f>
        <v>4.107,25</v>
      </c>
      <c r="L3924" s="6" t="str">
        <f>"1.026,81"</f>
        <v>1.026,81</v>
      </c>
      <c r="M3924" s="6" t="str">
        <f>"5.134,06"</f>
        <v>5.134,06</v>
      </c>
      <c r="N3924" s="8" t="s">
        <v>242</v>
      </c>
      <c r="O3924" s="7"/>
      <c r="P3924" s="2" t="s">
        <v>7961</v>
      </c>
      <c r="Q3924" s="7"/>
      <c r="R3924" s="1"/>
      <c r="S3924" s="1" t="str">
        <f>"J-UN-2022-294"</f>
        <v>J-UN-2022-294</v>
      </c>
      <c r="T3924" s="1" t="s">
        <v>32</v>
      </c>
    </row>
    <row r="3925" spans="1:20" ht="51" x14ac:dyDescent="0.25">
      <c r="A3925" s="6">
        <v>3919</v>
      </c>
      <c r="B3925" s="1" t="str">
        <f>"2022-460"</f>
        <v>2022-460</v>
      </c>
      <c r="C3925" s="1" t="s">
        <v>2793</v>
      </c>
      <c r="D3925" s="1" t="s">
        <v>1619</v>
      </c>
      <c r="E3925" s="1" t="str">
        <f>""</f>
        <v/>
      </c>
      <c r="F3925" s="1" t="s">
        <v>1860</v>
      </c>
      <c r="G3925" s="1" t="str">
        <f>CONCATENATE(" MESSIS D.O.O.,"," FROUDEOVA 7,"," 10000 ZAGREB,"," OIB: 32087382809")</f>
        <v xml:space="preserve"> MESSIS D.O.O., FROUDEOVA 7, 10000 ZAGREB, OIB: 32087382809</v>
      </c>
      <c r="H3925" s="7"/>
      <c r="I3925" s="8" t="s">
        <v>1117</v>
      </c>
      <c r="J3925" s="8" t="s">
        <v>1389</v>
      </c>
      <c r="K3925" s="6" t="str">
        <f>"4.266,00"</f>
        <v>4.266,00</v>
      </c>
      <c r="L3925" s="6" t="str">
        <f>"1.066,50"</f>
        <v>1.066,50</v>
      </c>
      <c r="M3925" s="6" t="str">
        <f>"5.332,50"</f>
        <v>5.332,50</v>
      </c>
      <c r="N3925" s="8" t="s">
        <v>127</v>
      </c>
      <c r="O3925" s="7"/>
      <c r="P3925" s="2" t="s">
        <v>7962</v>
      </c>
      <c r="Q3925" s="7"/>
      <c r="R3925" s="1"/>
      <c r="S3925" s="1" t="str">
        <f>"J-UN-2022-295"</f>
        <v>J-UN-2022-295</v>
      </c>
      <c r="T3925" s="1" t="s">
        <v>32</v>
      </c>
    </row>
    <row r="3926" spans="1:20" ht="63.75" x14ac:dyDescent="0.25">
      <c r="A3926" s="6">
        <v>3920</v>
      </c>
      <c r="B3926" s="1" t="str">
        <f>"2022-303"</f>
        <v>2022-303</v>
      </c>
      <c r="C3926" s="1" t="s">
        <v>3075</v>
      </c>
      <c r="D3926" s="1" t="s">
        <v>3076</v>
      </c>
      <c r="E3926" s="1" t="str">
        <f>""</f>
        <v/>
      </c>
      <c r="F3926" s="1" t="s">
        <v>1860</v>
      </c>
      <c r="G3926" s="1" t="str">
        <f>CONCATENATE(" LJEVAONICA UMJETNINA ALU D.O.O.,"," ILICA 85,"," 10000 ZAGREB,"," OIB: 32414769528")</f>
        <v xml:space="preserve"> LJEVAONICA UMJETNINA ALU D.O.O., ILICA 85, 10000 ZAGREB, OIB: 32414769528</v>
      </c>
      <c r="H3926" s="7"/>
      <c r="I3926" s="8" t="s">
        <v>754</v>
      </c>
      <c r="J3926" s="8" t="s">
        <v>1365</v>
      </c>
      <c r="K3926" s="6" t="str">
        <f>"45.000,00"</f>
        <v>45.000,00</v>
      </c>
      <c r="L3926" s="6" t="str">
        <f>"11.250,00"</f>
        <v>11.250,00</v>
      </c>
      <c r="M3926" s="6" t="str">
        <f>"56.250,00"</f>
        <v>56.250,00</v>
      </c>
      <c r="N3926" s="8" t="s">
        <v>260</v>
      </c>
      <c r="O3926" s="7"/>
      <c r="P3926" s="2" t="s">
        <v>5818</v>
      </c>
      <c r="Q3926" s="7"/>
      <c r="R3926" s="1"/>
      <c r="S3926" s="1" t="str">
        <f>"J-UN-2022-296"</f>
        <v>J-UN-2022-296</v>
      </c>
      <c r="T3926" s="1" t="s">
        <v>32</v>
      </c>
    </row>
    <row r="3927" spans="1:20" ht="51" x14ac:dyDescent="0.25">
      <c r="A3927" s="6">
        <v>3921</v>
      </c>
      <c r="B3927" s="1" t="str">
        <f>"2022-516"</f>
        <v>2022-516</v>
      </c>
      <c r="C3927" s="1" t="s">
        <v>3077</v>
      </c>
      <c r="D3927" s="1" t="s">
        <v>2043</v>
      </c>
      <c r="E3927" s="1" t="str">
        <f>""</f>
        <v/>
      </c>
      <c r="F3927" s="1" t="s">
        <v>1860</v>
      </c>
      <c r="G3927" s="1" t="str">
        <f>CONCATENATE(" KING ICT D.O.O.,"," BUZINSKI PRILAZ 10,"," 10010 ZAGREB,"," OIB: 67001695549")</f>
        <v xml:space="preserve"> KING ICT D.O.O., BUZINSKI PRILAZ 10, 10010 ZAGREB, OIB: 67001695549</v>
      </c>
      <c r="H3927" s="7"/>
      <c r="I3927" s="8" t="s">
        <v>752</v>
      </c>
      <c r="J3927" s="8" t="s">
        <v>1287</v>
      </c>
      <c r="K3927" s="6" t="str">
        <f>"1.250,00"</f>
        <v>1.250,00</v>
      </c>
      <c r="L3927" s="6" t="str">
        <f>"312,50"</f>
        <v>312,50</v>
      </c>
      <c r="M3927" s="6" t="str">
        <f>"1.562,50"</f>
        <v>1.562,50</v>
      </c>
      <c r="N3927" s="8" t="s">
        <v>1117</v>
      </c>
      <c r="O3927" s="7"/>
      <c r="P3927" s="2" t="s">
        <v>7236</v>
      </c>
      <c r="Q3927" s="7"/>
      <c r="R3927" s="1"/>
      <c r="S3927" s="1" t="str">
        <f>"J-UN-2022-300"</f>
        <v>J-UN-2022-300</v>
      </c>
      <c r="T3927" s="1" t="s">
        <v>32</v>
      </c>
    </row>
    <row r="3928" spans="1:20" ht="51" x14ac:dyDescent="0.25">
      <c r="A3928" s="6">
        <v>3922</v>
      </c>
      <c r="B3928" s="1" t="str">
        <f>"2022-1446"</f>
        <v>2022-1446</v>
      </c>
      <c r="C3928" s="1" t="s">
        <v>3047</v>
      </c>
      <c r="D3928" s="1" t="s">
        <v>2241</v>
      </c>
      <c r="E3928" s="1" t="str">
        <f>""</f>
        <v/>
      </c>
      <c r="F3928" s="1" t="s">
        <v>1860</v>
      </c>
      <c r="G3928" s="1" t="str">
        <f>CONCATENATE(" VIATOR D.O.O.,"," KRALJA DRŽISLAVA 6,"," 21000 SPLIT,"," OIB: 6473171712")</f>
        <v xml:space="preserve"> VIATOR D.O.O., KRALJA DRŽISLAVA 6, 21000 SPLIT, OIB: 6473171712</v>
      </c>
      <c r="H3928" s="7"/>
      <c r="I3928" s="8" t="s">
        <v>397</v>
      </c>
      <c r="J3928" s="8" t="s">
        <v>2505</v>
      </c>
      <c r="K3928" s="6" t="str">
        <f>"5.040,00"</f>
        <v>5.040,00</v>
      </c>
      <c r="L3928" s="6" t="str">
        <f>"1.260,00"</f>
        <v>1.260,00</v>
      </c>
      <c r="M3928" s="6" t="str">
        <f>"6.300,00"</f>
        <v>6.300,00</v>
      </c>
      <c r="N3928" s="8" t="s">
        <v>30</v>
      </c>
      <c r="O3928" s="7"/>
      <c r="P3928" s="2" t="s">
        <v>7963</v>
      </c>
      <c r="Q3928" s="1" t="s">
        <v>488</v>
      </c>
      <c r="R3928" s="1"/>
      <c r="S3928" s="1" t="str">
        <f>"J-UN-2022-303"</f>
        <v>J-UN-2022-303</v>
      </c>
      <c r="T3928" s="1" t="s">
        <v>32</v>
      </c>
    </row>
    <row r="3929" spans="1:20" ht="89.25" x14ac:dyDescent="0.25">
      <c r="A3929" s="6">
        <v>3923</v>
      </c>
      <c r="B3929" s="1" t="str">
        <f>"2022-916"</f>
        <v>2022-916</v>
      </c>
      <c r="C3929" s="1" t="s">
        <v>3078</v>
      </c>
      <c r="D3929" s="1" t="s">
        <v>1007</v>
      </c>
      <c r="E3929" s="1" t="str">
        <f>""</f>
        <v/>
      </c>
      <c r="F3929" s="1" t="s">
        <v>1860</v>
      </c>
      <c r="G3929" s="1" t="str">
        <f>CONCATENATE(" TEHNOZAVOD-MARUŠIĆ D.O.O.,"," XIII PODBREŽJE 26,"," 10000 ZAGREB,"," OIB: 2192647279")</f>
        <v xml:space="preserve"> TEHNOZAVOD-MARUŠIĆ D.O.O., XIII PODBREŽJE 26, 10000 ZAGREB, OIB: 2192647279</v>
      </c>
      <c r="H3929" s="7"/>
      <c r="I3929" s="8" t="s">
        <v>397</v>
      </c>
      <c r="J3929" s="8" t="s">
        <v>2505</v>
      </c>
      <c r="K3929" s="6" t="str">
        <f>"18.379,00"</f>
        <v>18.379,00</v>
      </c>
      <c r="L3929" s="6" t="str">
        <f>"4.594,75"</f>
        <v>4.594,75</v>
      </c>
      <c r="M3929" s="6" t="str">
        <f>"22.973,75"</f>
        <v>22.973,75</v>
      </c>
      <c r="N3929" s="8" t="s">
        <v>41</v>
      </c>
      <c r="O3929" s="7"/>
      <c r="P3929" s="2" t="s">
        <v>7964</v>
      </c>
      <c r="Q3929" s="7"/>
      <c r="R3929" s="1"/>
      <c r="S3929" s="1" t="str">
        <f>"J-UN-2022-306"</f>
        <v>J-UN-2022-306</v>
      </c>
      <c r="T3929" s="1" t="s">
        <v>32</v>
      </c>
    </row>
    <row r="3930" spans="1:20" ht="63.75" x14ac:dyDescent="0.25">
      <c r="A3930" s="6">
        <v>3924</v>
      </c>
      <c r="B3930" s="1" t="str">
        <f>"2022-103"</f>
        <v>2022-103</v>
      </c>
      <c r="C3930" s="1" t="s">
        <v>3006</v>
      </c>
      <c r="D3930" s="1" t="s">
        <v>471</v>
      </c>
      <c r="E3930" s="1" t="str">
        <f>""</f>
        <v/>
      </c>
      <c r="F3930" s="1" t="s">
        <v>1860</v>
      </c>
      <c r="G3930" s="1" t="str">
        <f>CONCATENATE(" COMBIS D.O.O.,"," RADNIČKA CESTA 21,"," 10000 ZAGREB,"," OIB: 91678676896")</f>
        <v xml:space="preserve"> COMBIS D.O.O., RADNIČKA CESTA 21, 10000 ZAGREB, OIB: 91678676896</v>
      </c>
      <c r="H3930" s="7"/>
      <c r="I3930" s="8" t="s">
        <v>163</v>
      </c>
      <c r="J3930" s="8" t="s">
        <v>2158</v>
      </c>
      <c r="K3930" s="6" t="str">
        <f>"98.975,00"</f>
        <v>98.975,00</v>
      </c>
      <c r="L3930" s="6" t="str">
        <f>"24.743,75"</f>
        <v>24.743,75</v>
      </c>
      <c r="M3930" s="6" t="str">
        <f>"123.718,75"</f>
        <v>123.718,75</v>
      </c>
      <c r="N3930" s="8" t="s">
        <v>994</v>
      </c>
      <c r="O3930" s="7"/>
      <c r="P3930" s="2" t="s">
        <v>7965</v>
      </c>
      <c r="Q3930" s="7"/>
      <c r="R3930" s="1"/>
      <c r="S3930" s="1" t="str">
        <f>"J-UN-2022-307"</f>
        <v>J-UN-2022-307</v>
      </c>
      <c r="T3930" s="1" t="s">
        <v>32</v>
      </c>
    </row>
    <row r="3931" spans="1:20" ht="63.75" x14ac:dyDescent="0.25">
      <c r="A3931" s="6">
        <v>3925</v>
      </c>
      <c r="B3931" s="1" t="str">
        <f>"2022-1738"</f>
        <v>2022-1738</v>
      </c>
      <c r="C3931" s="1" t="s">
        <v>3079</v>
      </c>
      <c r="D3931" s="1" t="s">
        <v>2107</v>
      </c>
      <c r="E3931" s="1" t="str">
        <f>""</f>
        <v/>
      </c>
      <c r="F3931" s="1" t="s">
        <v>1860</v>
      </c>
      <c r="G3931" s="1" t="str">
        <f>CONCATENATE(" TODING D.O.O.,"," ,"," OIB: 69188383192")</f>
        <v xml:space="preserve"> TODING D.O.O., , OIB: 69188383192</v>
      </c>
      <c r="H3931" s="7"/>
      <c r="I3931" s="8" t="s">
        <v>127</v>
      </c>
      <c r="J3931" s="8" t="s">
        <v>1456</v>
      </c>
      <c r="K3931" s="6" t="str">
        <f>"35.000,00"</f>
        <v>35.000,00</v>
      </c>
      <c r="L3931" s="6" t="str">
        <f>"8.750,00"</f>
        <v>8.750,00</v>
      </c>
      <c r="M3931" s="6" t="str">
        <f>"43.750,00"</f>
        <v>43.750,00</v>
      </c>
      <c r="N3931" s="8" t="s">
        <v>877</v>
      </c>
      <c r="O3931" s="7"/>
      <c r="P3931" s="2" t="s">
        <v>6834</v>
      </c>
      <c r="Q3931" s="7"/>
      <c r="R3931" s="1"/>
      <c r="S3931" s="1" t="str">
        <f>"J-UN-2022-308"</f>
        <v>J-UN-2022-308</v>
      </c>
      <c r="T3931" s="1" t="s">
        <v>32</v>
      </c>
    </row>
    <row r="3932" spans="1:20" ht="51" x14ac:dyDescent="0.25">
      <c r="A3932" s="6">
        <v>3926</v>
      </c>
      <c r="B3932" s="1" t="str">
        <f>"2022-1741"</f>
        <v>2022-1741</v>
      </c>
      <c r="C3932" s="1" t="s">
        <v>3080</v>
      </c>
      <c r="D3932" s="1" t="s">
        <v>3081</v>
      </c>
      <c r="E3932" s="1" t="str">
        <f>""</f>
        <v/>
      </c>
      <c r="F3932" s="1" t="s">
        <v>1860</v>
      </c>
      <c r="G3932" s="1" t="str">
        <f>CONCATENATE(" SVIJET MEDIJA D.O.O.,"," TRG DRAGE IBLERA 10,"," 10000 ZAGREB,"," OIB: 08622180689")</f>
        <v xml:space="preserve"> SVIJET MEDIJA D.O.O., TRG DRAGE IBLERA 10, 10000 ZAGREB, OIB: 08622180689</v>
      </c>
      <c r="H3932" s="7"/>
      <c r="I3932" s="8" t="s">
        <v>127</v>
      </c>
      <c r="J3932" s="8" t="s">
        <v>1456</v>
      </c>
      <c r="K3932" s="6" t="str">
        <f>"105.028,00"</f>
        <v>105.028,00</v>
      </c>
      <c r="L3932" s="6" t="str">
        <f>"26.257,00"</f>
        <v>26.257,00</v>
      </c>
      <c r="M3932" s="6" t="str">
        <f>"131.285,00"</f>
        <v>131.285,00</v>
      </c>
      <c r="N3932" s="8" t="s">
        <v>398</v>
      </c>
      <c r="O3932" s="7"/>
      <c r="P3932" s="2" t="s">
        <v>7966</v>
      </c>
      <c r="Q3932" s="7"/>
      <c r="R3932" s="1"/>
      <c r="S3932" s="1" t="str">
        <f>"J-UN-2022-309"</f>
        <v>J-UN-2022-309</v>
      </c>
      <c r="T3932" s="1" t="s">
        <v>32</v>
      </c>
    </row>
    <row r="3933" spans="1:20" ht="51" x14ac:dyDescent="0.25">
      <c r="A3933" s="6">
        <v>3927</v>
      </c>
      <c r="B3933" s="1" t="str">
        <f>"2022-427"</f>
        <v>2022-427</v>
      </c>
      <c r="C3933" s="1" t="s">
        <v>3082</v>
      </c>
      <c r="D3933" s="1" t="s">
        <v>2577</v>
      </c>
      <c r="E3933" s="1" t="str">
        <f>""</f>
        <v/>
      </c>
      <c r="F3933" s="1" t="s">
        <v>1860</v>
      </c>
      <c r="G3933" s="1" t="str">
        <f>CONCATENATE(" VISINA DIR D.O.O.,"," SAVSKA CESTA 1A,"," 10437 BRESTOVJE,"," OIB: 69154724516")</f>
        <v xml:space="preserve"> VISINA DIR D.O.O., SAVSKA CESTA 1A, 10437 BRESTOVJE, OIB: 69154724516</v>
      </c>
      <c r="H3933" s="7"/>
      <c r="I3933" s="8" t="s">
        <v>421</v>
      </c>
      <c r="J3933" s="8" t="s">
        <v>1368</v>
      </c>
      <c r="K3933" s="6" t="str">
        <f>"2.818,90"</f>
        <v>2.818,90</v>
      </c>
      <c r="L3933" s="6" t="str">
        <f>"704,73"</f>
        <v>704,73</v>
      </c>
      <c r="M3933" s="6" t="str">
        <f>"3.523,63"</f>
        <v>3.523,63</v>
      </c>
      <c r="N3933" s="8" t="s">
        <v>124</v>
      </c>
      <c r="O3933" s="7"/>
      <c r="P3933" s="2" t="s">
        <v>5614</v>
      </c>
      <c r="Q3933" s="7"/>
      <c r="R3933" s="1"/>
      <c r="S3933" s="1" t="str">
        <f>"J-UN-2022-310"</f>
        <v>J-UN-2022-310</v>
      </c>
      <c r="T3933" s="1" t="s">
        <v>32</v>
      </c>
    </row>
    <row r="3934" spans="1:20" ht="51" x14ac:dyDescent="0.25">
      <c r="A3934" s="6">
        <v>3928</v>
      </c>
      <c r="B3934" s="1" t="str">
        <f>"2022-384"</f>
        <v>2022-384</v>
      </c>
      <c r="C3934" s="1" t="s">
        <v>3062</v>
      </c>
      <c r="D3934" s="1" t="s">
        <v>3063</v>
      </c>
      <c r="E3934" s="1" t="str">
        <f>""</f>
        <v/>
      </c>
      <c r="F3934" s="1" t="s">
        <v>1860</v>
      </c>
      <c r="G3934" s="1" t="str">
        <f>CONCATENATE(" VODOSKOK D.D.,"," ČULINEČKA CESTA 221/C,"," 10040 ZAGREB,"," OIB: 34134218058")</f>
        <v xml:space="preserve"> VODOSKOK D.D., ČULINEČKA CESTA 221/C, 10040 ZAGREB, OIB: 34134218058</v>
      </c>
      <c r="H3934" s="7"/>
      <c r="I3934" s="8" t="s">
        <v>127</v>
      </c>
      <c r="J3934" s="8" t="s">
        <v>123</v>
      </c>
      <c r="K3934" s="6" t="str">
        <f>"14.065,10"</f>
        <v>14.065,10</v>
      </c>
      <c r="L3934" s="6" t="str">
        <f>"3.516,28"</f>
        <v>3.516,28</v>
      </c>
      <c r="M3934" s="6" t="str">
        <f>"17.581,38"</f>
        <v>17.581,38</v>
      </c>
      <c r="N3934" s="8" t="s">
        <v>124</v>
      </c>
      <c r="O3934" s="7"/>
      <c r="P3934" s="2" t="s">
        <v>7967</v>
      </c>
      <c r="Q3934" s="7"/>
      <c r="R3934" s="1"/>
      <c r="S3934" s="1" t="str">
        <f>"J-UN-2022-311"</f>
        <v>J-UN-2022-311</v>
      </c>
      <c r="T3934" s="1" t="s">
        <v>32</v>
      </c>
    </row>
    <row r="3935" spans="1:20" ht="63.75" x14ac:dyDescent="0.25">
      <c r="A3935" s="6">
        <v>3929</v>
      </c>
      <c r="B3935" s="1" t="str">
        <f>"2022-1434"</f>
        <v>2022-1434</v>
      </c>
      <c r="C3935" s="1" t="s">
        <v>2558</v>
      </c>
      <c r="D3935" s="1" t="s">
        <v>860</v>
      </c>
      <c r="E3935" s="1" t="str">
        <f>""</f>
        <v/>
      </c>
      <c r="F3935" s="1" t="s">
        <v>1860</v>
      </c>
      <c r="G3935" s="1" t="str">
        <f>CONCATENATE(" STROJOGRADNJA,"," VL. DORA PERŠI,"," RAKITJE,"," RADNIČKA 9,"," 10431 SVETA NEDJELJA,"," OIB: 72791562742")</f>
        <v xml:space="preserve"> STROJOGRADNJA, VL. DORA PERŠI, RAKITJE, RADNIČKA 9, 10431 SVETA NEDJELJA, OIB: 72791562742</v>
      </c>
      <c r="H3935" s="7"/>
      <c r="I3935" s="8" t="s">
        <v>421</v>
      </c>
      <c r="J3935" s="8" t="s">
        <v>1368</v>
      </c>
      <c r="K3935" s="6" t="str">
        <f>"1.400,00"</f>
        <v>1.400,00</v>
      </c>
      <c r="L3935" s="6" t="str">
        <f>"350,00"</f>
        <v>350,00</v>
      </c>
      <c r="M3935" s="6" t="str">
        <f>"1.750,00"</f>
        <v>1.750,00</v>
      </c>
      <c r="N3935" s="8" t="s">
        <v>757</v>
      </c>
      <c r="O3935" s="7"/>
      <c r="P3935" s="2" t="s">
        <v>6524</v>
      </c>
      <c r="Q3935" s="7"/>
      <c r="R3935" s="1"/>
      <c r="S3935" s="1" t="str">
        <f>"J-UN-2022-314"</f>
        <v>J-UN-2022-314</v>
      </c>
      <c r="T3935" s="1" t="s">
        <v>32</v>
      </c>
    </row>
    <row r="3936" spans="1:20" ht="76.5" x14ac:dyDescent="0.25">
      <c r="A3936" s="6">
        <v>3930</v>
      </c>
      <c r="B3936" s="1" t="str">
        <f>"2022-757"</f>
        <v>2022-757</v>
      </c>
      <c r="C3936" s="1" t="s">
        <v>2690</v>
      </c>
      <c r="D3936" s="1" t="s">
        <v>2691</v>
      </c>
      <c r="E3936" s="1" t="str">
        <f>""</f>
        <v/>
      </c>
      <c r="F3936" s="1" t="s">
        <v>1860</v>
      </c>
      <c r="G3936" s="1" t="str">
        <f>CONCATENATE(" SMIT-COMMERCE D.O.O.,"," GORNJOSTUPNIČKA 9B,"," 10255 GORNJI STUPNIK,"," OIB: 9524348214")</f>
        <v xml:space="preserve"> SMIT-COMMERCE D.O.O., GORNJOSTUPNIČKA 9B, 10255 GORNJI STUPNIK, OIB: 9524348214</v>
      </c>
      <c r="H3936" s="7"/>
      <c r="I3936" s="8" t="s">
        <v>398</v>
      </c>
      <c r="J3936" s="8" t="s">
        <v>1882</v>
      </c>
      <c r="K3936" s="6" t="str">
        <f>"7.790,78"</f>
        <v>7.790,78</v>
      </c>
      <c r="L3936" s="6" t="str">
        <f>"1.947,70"</f>
        <v>1.947,70</v>
      </c>
      <c r="M3936" s="6" t="str">
        <f>"9.738,48"</f>
        <v>9.738,48</v>
      </c>
      <c r="N3936" s="8" t="s">
        <v>403</v>
      </c>
      <c r="O3936" s="7"/>
      <c r="P3936" s="2" t="s">
        <v>7968</v>
      </c>
      <c r="Q3936" s="7"/>
      <c r="R3936" s="1"/>
      <c r="S3936" s="1" t="str">
        <f>"J-UN-2022-315"</f>
        <v>J-UN-2022-315</v>
      </c>
      <c r="T3936" s="1" t="s">
        <v>32</v>
      </c>
    </row>
    <row r="3937" spans="1:20" ht="76.5" x14ac:dyDescent="0.25">
      <c r="A3937" s="6">
        <v>3931</v>
      </c>
      <c r="B3937" s="1" t="str">
        <f>"2022-757"</f>
        <v>2022-757</v>
      </c>
      <c r="C3937" s="1" t="s">
        <v>2690</v>
      </c>
      <c r="D3937" s="1" t="s">
        <v>2691</v>
      </c>
      <c r="E3937" s="1" t="str">
        <f>""</f>
        <v/>
      </c>
      <c r="F3937" s="1" t="s">
        <v>1860</v>
      </c>
      <c r="G3937" s="1" t="str">
        <f>CONCATENATE(" SMIT-COMMERCE D.O.O.,"," GORNJOSTUPNIČKA 9B,"," 10255 GORNJI STUPNIK,"," OIB: 9524348214")</f>
        <v xml:space="preserve"> SMIT-COMMERCE D.O.O., GORNJOSTUPNIČKA 9B, 10255 GORNJI STUPNIK, OIB: 9524348214</v>
      </c>
      <c r="H3937" s="7"/>
      <c r="I3937" s="8" t="s">
        <v>127</v>
      </c>
      <c r="J3937" s="8" t="s">
        <v>1456</v>
      </c>
      <c r="K3937" s="6" t="str">
        <f>"12.410,55"</f>
        <v>12.410,55</v>
      </c>
      <c r="L3937" s="6" t="str">
        <f>"3.102,64"</f>
        <v>3.102,64</v>
      </c>
      <c r="M3937" s="6" t="str">
        <f>"15.513,19"</f>
        <v>15.513,19</v>
      </c>
      <c r="N3937" s="8" t="s">
        <v>429</v>
      </c>
      <c r="O3937" s="7"/>
      <c r="P3937" s="2" t="s">
        <v>7969</v>
      </c>
      <c r="Q3937" s="7"/>
      <c r="R3937" s="1"/>
      <c r="S3937" s="1" t="str">
        <f>"J-UN-2022-316"</f>
        <v>J-UN-2022-316</v>
      </c>
      <c r="T3937" s="1" t="s">
        <v>32</v>
      </c>
    </row>
    <row r="3938" spans="1:20" ht="51" x14ac:dyDescent="0.25">
      <c r="A3938" s="6">
        <v>3932</v>
      </c>
      <c r="B3938" s="1" t="str">
        <f>"2022-755"</f>
        <v>2022-755</v>
      </c>
      <c r="C3938" s="1" t="s">
        <v>2615</v>
      </c>
      <c r="D3938" s="1" t="s">
        <v>999</v>
      </c>
      <c r="E3938" s="1" t="str">
        <f>""</f>
        <v/>
      </c>
      <c r="F3938" s="1" t="s">
        <v>1860</v>
      </c>
      <c r="G3938" s="1" t="str">
        <f>CONCATENATE(" INSAKO D.O.O.,"," PUŽEVA 11,"," 10000 ZAGREB,"," OIB: 39851720584")</f>
        <v xml:space="preserve"> INSAKO D.O.O., PUŽEVA 11, 10000 ZAGREB, OIB: 39851720584</v>
      </c>
      <c r="H3938" s="7"/>
      <c r="I3938" s="8" t="s">
        <v>398</v>
      </c>
      <c r="J3938" s="8" t="s">
        <v>1882</v>
      </c>
      <c r="K3938" s="6" t="str">
        <f>"4.880,00"</f>
        <v>4.880,00</v>
      </c>
      <c r="L3938" s="6" t="str">
        <f>"1.220,00"</f>
        <v>1.220,00</v>
      </c>
      <c r="M3938" s="6" t="str">
        <f>"6.100,00"</f>
        <v>6.100,00</v>
      </c>
      <c r="N3938" s="8" t="s">
        <v>1119</v>
      </c>
      <c r="O3938" s="7"/>
      <c r="P3938" s="2" t="s">
        <v>7970</v>
      </c>
      <c r="Q3938" s="7"/>
      <c r="R3938" s="1"/>
      <c r="S3938" s="1" t="str">
        <f>"J-UN-2022-317"</f>
        <v>J-UN-2022-317</v>
      </c>
      <c r="T3938" s="1" t="s">
        <v>32</v>
      </c>
    </row>
    <row r="3939" spans="1:20" ht="76.5" x14ac:dyDescent="0.25">
      <c r="A3939" s="6">
        <v>3933</v>
      </c>
      <c r="B3939" s="1" t="str">
        <f>"2022-732"</f>
        <v>2022-732</v>
      </c>
      <c r="C3939" s="1" t="s">
        <v>2806</v>
      </c>
      <c r="D3939" s="1" t="s">
        <v>914</v>
      </c>
      <c r="E3939" s="1" t="str">
        <f>""</f>
        <v/>
      </c>
      <c r="F3939" s="1" t="s">
        <v>1860</v>
      </c>
      <c r="G3939" s="1" t="str">
        <f>CONCATENATE(" METALNO PLASTIČNA GALANTERIJA,"," VL. KREŠIMIR CVETKOVIĆ,"," CVETKOVIĆEV PUT 13,"," 10000 ZAGREB,"," OIB: 47166610982")</f>
        <v xml:space="preserve"> METALNO PLASTIČNA GALANTERIJA, VL. KREŠIMIR CVETKOVIĆ, CVETKOVIĆEV PUT 13, 10000 ZAGREB, OIB: 47166610982</v>
      </c>
      <c r="H3939" s="7"/>
      <c r="I3939" s="8" t="s">
        <v>127</v>
      </c>
      <c r="J3939" s="8" t="s">
        <v>1456</v>
      </c>
      <c r="K3939" s="6" t="str">
        <f>"89.820,00"</f>
        <v>89.820,00</v>
      </c>
      <c r="L3939" s="6" t="str">
        <f>"22.455,00"</f>
        <v>22.455,00</v>
      </c>
      <c r="M3939" s="6" t="str">
        <f>"112.275,00"</f>
        <v>112.275,00</v>
      </c>
      <c r="N3939" s="8" t="s">
        <v>921</v>
      </c>
      <c r="O3939" s="7"/>
      <c r="P3939" s="2" t="s">
        <v>7971</v>
      </c>
      <c r="Q3939" s="7"/>
      <c r="R3939" s="1"/>
      <c r="S3939" s="1" t="str">
        <f>"J-UN-2022-318"</f>
        <v>J-UN-2022-318</v>
      </c>
      <c r="T3939" s="1" t="s">
        <v>32</v>
      </c>
    </row>
    <row r="3940" spans="1:20" ht="76.5" x14ac:dyDescent="0.25">
      <c r="A3940" s="6">
        <v>3934</v>
      </c>
      <c r="B3940" s="1" t="str">
        <f>"2022-193"</f>
        <v>2022-193</v>
      </c>
      <c r="C3940" s="1" t="s">
        <v>2731</v>
      </c>
      <c r="D3940" s="1" t="s">
        <v>2732</v>
      </c>
      <c r="E3940" s="1" t="str">
        <f>""</f>
        <v/>
      </c>
      <c r="F3940" s="1" t="s">
        <v>1860</v>
      </c>
      <c r="G3940" s="1" t="str">
        <f>CONCATENATE(" SMIT-COMMERCE D.O.O.,"," GORNJOSTUPNIČKA 9B,"," 10255 GORNJI STUPNIK,"," OIB: 9524348214")</f>
        <v xml:space="preserve"> SMIT-COMMERCE D.O.O., GORNJOSTUPNIČKA 9B, 10255 GORNJI STUPNIK, OIB: 9524348214</v>
      </c>
      <c r="H3940" s="7"/>
      <c r="I3940" s="8" t="s">
        <v>398</v>
      </c>
      <c r="J3940" s="8" t="s">
        <v>1882</v>
      </c>
      <c r="K3940" s="6" t="str">
        <f>"1.170,00"</f>
        <v>1.170,00</v>
      </c>
      <c r="L3940" s="6" t="str">
        <f>"292,50"</f>
        <v>292,50</v>
      </c>
      <c r="M3940" s="6" t="str">
        <f>"1.462,50"</f>
        <v>1.462,50</v>
      </c>
      <c r="N3940" s="8" t="s">
        <v>273</v>
      </c>
      <c r="O3940" s="7"/>
      <c r="P3940" s="2" t="s">
        <v>7972</v>
      </c>
      <c r="Q3940" s="7"/>
      <c r="R3940" s="1"/>
      <c r="S3940" s="1" t="str">
        <f>"J-UN-2022-319"</f>
        <v>J-UN-2022-319</v>
      </c>
      <c r="T3940" s="1" t="s">
        <v>32</v>
      </c>
    </row>
    <row r="3941" spans="1:20" ht="51" x14ac:dyDescent="0.25">
      <c r="A3941" s="6">
        <v>3935</v>
      </c>
      <c r="B3941" s="1" t="str">
        <f>"2022-1410"</f>
        <v>2022-1410</v>
      </c>
      <c r="C3941" s="1" t="s">
        <v>2757</v>
      </c>
      <c r="D3941" s="1" t="s">
        <v>2724</v>
      </c>
      <c r="E3941" s="1" t="str">
        <f>""</f>
        <v/>
      </c>
      <c r="F3941" s="1" t="s">
        <v>1860</v>
      </c>
      <c r="G3941" s="1" t="str">
        <f>CONCATENATE(" METROALFA D.O.O.,"," KARLOVAČKA CESTA 4L,"," 10000 ZAGREB,"," OIB: 539008974")</f>
        <v xml:space="preserve"> METROALFA D.O.O., KARLOVAČKA CESTA 4L, 10000 ZAGREB, OIB: 539008974</v>
      </c>
      <c r="H3941" s="7"/>
      <c r="I3941" s="8" t="s">
        <v>242</v>
      </c>
      <c r="J3941" s="8" t="s">
        <v>2166</v>
      </c>
      <c r="K3941" s="6" t="str">
        <f>"91.600,00"</f>
        <v>91.600,00</v>
      </c>
      <c r="L3941" s="6" t="str">
        <f>"22.900,00"</f>
        <v>22.900,00</v>
      </c>
      <c r="M3941" s="6" t="str">
        <f>"114.500,00"</f>
        <v>114.500,00</v>
      </c>
      <c r="N3941" s="8" t="s">
        <v>428</v>
      </c>
      <c r="O3941" s="7"/>
      <c r="P3941" s="2" t="s">
        <v>7233</v>
      </c>
      <c r="Q3941" s="7"/>
      <c r="R3941" s="1"/>
      <c r="S3941" s="1" t="str">
        <f>"J-UN-2022-320"</f>
        <v>J-UN-2022-320</v>
      </c>
      <c r="T3941" s="1" t="s">
        <v>32</v>
      </c>
    </row>
    <row r="3942" spans="1:20" ht="63.75" x14ac:dyDescent="0.25">
      <c r="A3942" s="6">
        <v>3936</v>
      </c>
      <c r="B3942" s="1" t="str">
        <f>"2022-190"</f>
        <v>2022-190</v>
      </c>
      <c r="C3942" s="1" t="s">
        <v>2907</v>
      </c>
      <c r="D3942" s="1" t="s">
        <v>143</v>
      </c>
      <c r="E3942" s="1" t="str">
        <f>""</f>
        <v/>
      </c>
      <c r="F3942" s="1" t="s">
        <v>1860</v>
      </c>
      <c r="G3942" s="1" t="str">
        <f>CONCATENATE(" NARODNE NOVINE D.D.,"," SAVSKI GAJ XIII. PUT br. 6,"," 10000 ZAGREB,"," OIB: 64546066176")</f>
        <v xml:space="preserve"> NARODNE NOVINE D.D., SAVSKI GAJ XIII. PUT br. 6, 10000 ZAGREB, OIB: 64546066176</v>
      </c>
      <c r="H3942" s="7"/>
      <c r="I3942" s="8" t="s">
        <v>398</v>
      </c>
      <c r="J3942" s="8" t="s">
        <v>1882</v>
      </c>
      <c r="K3942" s="6" t="str">
        <f>"320,00"</f>
        <v>320,00</v>
      </c>
      <c r="L3942" s="6" t="str">
        <f>"80,00"</f>
        <v>80,00</v>
      </c>
      <c r="M3942" s="6" t="str">
        <f>"400,00"</f>
        <v>400,00</v>
      </c>
      <c r="N3942" s="8" t="s">
        <v>257</v>
      </c>
      <c r="O3942" s="7"/>
      <c r="P3942" s="2" t="s">
        <v>7973</v>
      </c>
      <c r="Q3942" s="7"/>
      <c r="R3942" s="1"/>
      <c r="S3942" s="1" t="str">
        <f>"J-UN-2022-321"</f>
        <v>J-UN-2022-321</v>
      </c>
      <c r="T3942" s="1" t="s">
        <v>32</v>
      </c>
    </row>
    <row r="3943" spans="1:20" ht="63.75" x14ac:dyDescent="0.25">
      <c r="A3943" s="6">
        <v>3937</v>
      </c>
      <c r="B3943" s="1" t="str">
        <f>"2022-712"</f>
        <v>2022-712</v>
      </c>
      <c r="C3943" s="1" t="s">
        <v>2828</v>
      </c>
      <c r="D3943" s="1" t="s">
        <v>914</v>
      </c>
      <c r="E3943" s="1" t="str">
        <f>""</f>
        <v/>
      </c>
      <c r="F3943" s="1" t="s">
        <v>1860</v>
      </c>
      <c r="G3943" s="1" t="str">
        <f>CONCATENATE(" TOKIĆ D.O.O.,"," ULICA 144. BRIGADE HRVATSKE VOJSKE 1A,"," 10360 SESVETE,"," OIB: 7486748762")</f>
        <v xml:space="preserve"> TOKIĆ D.O.O., ULICA 144. BRIGADE HRVATSKE VOJSKE 1A, 10360 SESVETE, OIB: 7486748762</v>
      </c>
      <c r="H3943" s="7"/>
      <c r="I3943" s="8" t="s">
        <v>255</v>
      </c>
      <c r="J3943" s="8" t="s">
        <v>1385</v>
      </c>
      <c r="K3943" s="6" t="str">
        <f>"3.660,00"</f>
        <v>3.660,00</v>
      </c>
      <c r="L3943" s="6" t="str">
        <f>"915,00"</f>
        <v>915,00</v>
      </c>
      <c r="M3943" s="6" t="str">
        <f>"4.575,00"</f>
        <v>4.575,00</v>
      </c>
      <c r="N3943" s="8" t="s">
        <v>94</v>
      </c>
      <c r="O3943" s="7"/>
      <c r="P3943" s="2" t="s">
        <v>7974</v>
      </c>
      <c r="Q3943" s="7"/>
      <c r="R3943" s="1"/>
      <c r="S3943" s="1" t="str">
        <f>"J-UN-2022-322"</f>
        <v>J-UN-2022-322</v>
      </c>
      <c r="T3943" s="1" t="s">
        <v>32</v>
      </c>
    </row>
    <row r="3944" spans="1:20" ht="51" x14ac:dyDescent="0.25">
      <c r="A3944" s="6">
        <v>3938</v>
      </c>
      <c r="B3944" s="1" t="str">
        <f>"2022-1455"</f>
        <v>2022-1455</v>
      </c>
      <c r="C3944" s="1" t="s">
        <v>3083</v>
      </c>
      <c r="D3944" s="1" t="s">
        <v>1373</v>
      </c>
      <c r="E3944" s="1" t="str">
        <f>""</f>
        <v/>
      </c>
      <c r="F3944" s="1" t="s">
        <v>1860</v>
      </c>
      <c r="G3944" s="1" t="str">
        <f>CONCATENATE(" ELICOM D.O.O.,"," ŠTEFANOVEC 138,"," 10000 ZAGREB,"," OIB: 76370234816")</f>
        <v xml:space="preserve"> ELICOM D.O.O., ŠTEFANOVEC 138, 10000 ZAGREB, OIB: 76370234816</v>
      </c>
      <c r="H3944" s="7"/>
      <c r="I3944" s="8" t="s">
        <v>42</v>
      </c>
      <c r="J3944" s="8" t="s">
        <v>796</v>
      </c>
      <c r="K3944" s="6" t="str">
        <f>"32.900,00"</f>
        <v>32.900,00</v>
      </c>
      <c r="L3944" s="6" t="str">
        <f>"8.225,00"</f>
        <v>8.225,00</v>
      </c>
      <c r="M3944" s="6" t="str">
        <f>"41.125,00"</f>
        <v>41.125,00</v>
      </c>
      <c r="N3944" s="8" t="s">
        <v>124</v>
      </c>
      <c r="O3944" s="7"/>
      <c r="P3944" s="2" t="s">
        <v>5614</v>
      </c>
      <c r="Q3944" s="7"/>
      <c r="R3944" s="1"/>
      <c r="S3944" s="1" t="str">
        <f>"J-UN-2022-324"</f>
        <v>J-UN-2022-324</v>
      </c>
      <c r="T3944" s="1" t="s">
        <v>32</v>
      </c>
    </row>
    <row r="3945" spans="1:20" ht="51" x14ac:dyDescent="0.25">
      <c r="A3945" s="6">
        <v>3939</v>
      </c>
      <c r="B3945" s="1" t="str">
        <f>"2022-295"</f>
        <v>2022-295</v>
      </c>
      <c r="C3945" s="1" t="s">
        <v>2836</v>
      </c>
      <c r="D3945" s="1" t="s">
        <v>689</v>
      </c>
      <c r="E3945" s="1" t="str">
        <f>""</f>
        <v/>
      </c>
      <c r="F3945" s="1" t="s">
        <v>1860</v>
      </c>
      <c r="G3945" s="1" t="str">
        <f>CONCATENATE(" BILAĆ COLOR D.O.O.,"," VODIĆKA 24,"," 10000 ZAGREB,"," OIB: 54294753")</f>
        <v xml:space="preserve"> BILAĆ COLOR D.O.O., VODIĆKA 24, 10000 ZAGREB, OIB: 54294753</v>
      </c>
      <c r="H3945" s="7"/>
      <c r="I3945" s="8" t="s">
        <v>242</v>
      </c>
      <c r="J3945" s="8" t="s">
        <v>2166</v>
      </c>
      <c r="K3945" s="6" t="str">
        <f>"4.331,00"</f>
        <v>4.331,00</v>
      </c>
      <c r="L3945" s="6" t="str">
        <f>"1.082,75"</f>
        <v>1.082,75</v>
      </c>
      <c r="M3945" s="6" t="str">
        <f>"5.413,75"</f>
        <v>5.413,75</v>
      </c>
      <c r="N3945" s="8" t="s">
        <v>405</v>
      </c>
      <c r="O3945" s="7"/>
      <c r="P3945" s="2" t="s">
        <v>7975</v>
      </c>
      <c r="Q3945" s="7"/>
      <c r="R3945" s="1"/>
      <c r="S3945" s="1" t="str">
        <f>"J-UN-2022-327"</f>
        <v>J-UN-2022-327</v>
      </c>
      <c r="T3945" s="1" t="s">
        <v>32</v>
      </c>
    </row>
    <row r="3946" spans="1:20" ht="76.5" x14ac:dyDescent="0.25">
      <c r="A3946" s="6">
        <v>3940</v>
      </c>
      <c r="B3946" s="1" t="str">
        <f>"2022-306"</f>
        <v>2022-306</v>
      </c>
      <c r="C3946" s="1" t="s">
        <v>2692</v>
      </c>
      <c r="D3946" s="1" t="s">
        <v>2693</v>
      </c>
      <c r="E3946" s="1" t="str">
        <f>""</f>
        <v/>
      </c>
      <c r="F3946" s="1" t="s">
        <v>1860</v>
      </c>
      <c r="G3946" s="1" t="str">
        <f>CONCATENATE(" SMIT-COMMERCE D.O.O.,"," GORNJOSTUPNIČKA 9B,"," 10255 GORNJI STUPNIK,"," OIB: 9524348214")</f>
        <v xml:space="preserve"> SMIT-COMMERCE D.O.O., GORNJOSTUPNIČKA 9B, 10255 GORNJI STUPNIK, OIB: 9524348214</v>
      </c>
      <c r="H3946" s="7"/>
      <c r="I3946" s="8" t="s">
        <v>398</v>
      </c>
      <c r="J3946" s="8" t="s">
        <v>1882</v>
      </c>
      <c r="K3946" s="6" t="str">
        <f>"1.608,00"</f>
        <v>1.608,00</v>
      </c>
      <c r="L3946" s="6" t="str">
        <f>"402,00"</f>
        <v>402,00</v>
      </c>
      <c r="M3946" s="6" t="str">
        <f>"2.010,00"</f>
        <v>2.010,00</v>
      </c>
      <c r="N3946" s="8" t="s">
        <v>296</v>
      </c>
      <c r="O3946" s="7"/>
      <c r="P3946" s="2" t="s">
        <v>7976</v>
      </c>
      <c r="Q3946" s="7"/>
      <c r="R3946" s="1"/>
      <c r="S3946" s="1" t="str">
        <f>"J-UN-2022-328"</f>
        <v>J-UN-2022-328</v>
      </c>
      <c r="T3946" s="1" t="s">
        <v>32</v>
      </c>
    </row>
    <row r="3947" spans="1:20" ht="51" x14ac:dyDescent="0.25">
      <c r="A3947" s="6">
        <v>3941</v>
      </c>
      <c r="B3947" s="1" t="str">
        <f>"2022-273"</f>
        <v>2022-273</v>
      </c>
      <c r="C3947" s="1" t="s">
        <v>2737</v>
      </c>
      <c r="D3947" s="1" t="s">
        <v>689</v>
      </c>
      <c r="E3947" s="1" t="str">
        <f>""</f>
        <v/>
      </c>
      <c r="F3947" s="1" t="s">
        <v>1860</v>
      </c>
      <c r="G3947" s="1" t="str">
        <f>CONCATENATE(" VODOSKOK D.D.,"," ČULINEČKA CESTA 221/C,"," 10040 ZAGREB,"," OIB: 34134218058")</f>
        <v xml:space="preserve"> VODOSKOK D.D., ČULINEČKA CESTA 221/C, 10040 ZAGREB, OIB: 34134218058</v>
      </c>
      <c r="H3947" s="7"/>
      <c r="I3947" s="8" t="s">
        <v>398</v>
      </c>
      <c r="J3947" s="8" t="s">
        <v>1882</v>
      </c>
      <c r="K3947" s="6" t="str">
        <f>"3.550,00"</f>
        <v>3.550,00</v>
      </c>
      <c r="L3947" s="6" t="str">
        <f>"887,50"</f>
        <v>887,50</v>
      </c>
      <c r="M3947" s="6" t="str">
        <f>"4.437,50"</f>
        <v>4.437,50</v>
      </c>
      <c r="N3947" s="8" t="s">
        <v>499</v>
      </c>
      <c r="O3947" s="7"/>
      <c r="P3947" s="2" t="s">
        <v>6317</v>
      </c>
      <c r="Q3947" s="7"/>
      <c r="R3947" s="1"/>
      <c r="S3947" s="1" t="str">
        <f>"J-UN-2022-329"</f>
        <v>J-UN-2022-329</v>
      </c>
      <c r="T3947" s="1" t="s">
        <v>32</v>
      </c>
    </row>
    <row r="3948" spans="1:20" ht="76.5" x14ac:dyDescent="0.25">
      <c r="A3948" s="6">
        <v>3942</v>
      </c>
      <c r="B3948" s="1" t="str">
        <f>"2022-370"</f>
        <v>2022-370</v>
      </c>
      <c r="C3948" s="1" t="s">
        <v>2624</v>
      </c>
      <c r="D3948" s="1" t="s">
        <v>1334</v>
      </c>
      <c r="E3948" s="1" t="str">
        <f>""</f>
        <v/>
      </c>
      <c r="F3948" s="1" t="s">
        <v>1860</v>
      </c>
      <c r="G3948" s="1" t="str">
        <f>CONCATENATE(" SMIT-COMMERCE D.O.O.,"," GORNJOSTUPNIČKA 9B,"," 10255 GORNJI STUPNIK,"," OIB: 9524348214")</f>
        <v xml:space="preserve"> SMIT-COMMERCE D.O.O., GORNJOSTUPNIČKA 9B, 10255 GORNJI STUPNIK, OIB: 9524348214</v>
      </c>
      <c r="H3948" s="7"/>
      <c r="I3948" s="8" t="s">
        <v>398</v>
      </c>
      <c r="J3948" s="8" t="s">
        <v>1882</v>
      </c>
      <c r="K3948" s="6" t="str">
        <f>"4.950,00"</f>
        <v>4.950,00</v>
      </c>
      <c r="L3948" s="6" t="str">
        <f>"1.237,50"</f>
        <v>1.237,50</v>
      </c>
      <c r="M3948" s="6" t="str">
        <f>"6.187,50"</f>
        <v>6.187,50</v>
      </c>
      <c r="N3948" s="8" t="s">
        <v>296</v>
      </c>
      <c r="O3948" s="7"/>
      <c r="P3948" s="2" t="s">
        <v>7300</v>
      </c>
      <c r="Q3948" s="7"/>
      <c r="R3948" s="1"/>
      <c r="S3948" s="1" t="str">
        <f>"J-UN-2022-331"</f>
        <v>J-UN-2022-331</v>
      </c>
      <c r="T3948" s="1" t="s">
        <v>32</v>
      </c>
    </row>
    <row r="3949" spans="1:20" ht="76.5" x14ac:dyDescent="0.25">
      <c r="A3949" s="6">
        <v>3943</v>
      </c>
      <c r="B3949" s="1" t="str">
        <f>"2022-348"</f>
        <v>2022-348</v>
      </c>
      <c r="C3949" s="1" t="s">
        <v>2616</v>
      </c>
      <c r="D3949" s="1" t="s">
        <v>2617</v>
      </c>
      <c r="E3949" s="1" t="str">
        <f>""</f>
        <v/>
      </c>
      <c r="F3949" s="1" t="s">
        <v>1860</v>
      </c>
      <c r="G3949" s="1" t="str">
        <f>CONCATENATE(" SMIT-COMMERCE D.O.O.,"," GORNJOSTUPNIČKA 9B,"," 10255 GORNJI STUPNIK,"," OIB: 9524348214")</f>
        <v xml:space="preserve"> SMIT-COMMERCE D.O.O., GORNJOSTUPNIČKA 9B, 10255 GORNJI STUPNIK, OIB: 9524348214</v>
      </c>
      <c r="H3949" s="7"/>
      <c r="I3949" s="8" t="s">
        <v>127</v>
      </c>
      <c r="J3949" s="8" t="s">
        <v>1456</v>
      </c>
      <c r="K3949" s="6" t="str">
        <f>"661,95"</f>
        <v>661,95</v>
      </c>
      <c r="L3949" s="6" t="str">
        <f>"165,49"</f>
        <v>165,49</v>
      </c>
      <c r="M3949" s="6" t="str">
        <f>"827,44"</f>
        <v>827,44</v>
      </c>
      <c r="N3949" s="8" t="s">
        <v>920</v>
      </c>
      <c r="O3949" s="7"/>
      <c r="P3949" s="2" t="s">
        <v>7977</v>
      </c>
      <c r="Q3949" s="7"/>
      <c r="R3949" s="1"/>
      <c r="S3949" s="1" t="str">
        <f>"J-UN-2022-332"</f>
        <v>J-UN-2022-332</v>
      </c>
      <c r="T3949" s="1" t="s">
        <v>32</v>
      </c>
    </row>
    <row r="3950" spans="1:20" ht="76.5" x14ac:dyDescent="0.25">
      <c r="A3950" s="6">
        <v>3944</v>
      </c>
      <c r="B3950" s="1" t="str">
        <f>"2022-26"</f>
        <v>2022-26</v>
      </c>
      <c r="C3950" s="1" t="s">
        <v>1041</v>
      </c>
      <c r="D3950" s="1" t="s">
        <v>515</v>
      </c>
      <c r="E3950" s="1" t="str">
        <f>""</f>
        <v/>
      </c>
      <c r="F3950" s="1" t="s">
        <v>1860</v>
      </c>
      <c r="G3950" s="1" t="str">
        <f>CONCATENATE(" NASTAVNI ZAVOD ZA JAVNO ZDRAVSTVO DR. ANDRIJA ŠTAMPAR,"," MIROGOJSKA CESTA 16,"," 10000 ZAGREB,"," OIB: 3339200596")</f>
        <v xml:space="preserve"> NASTAVNI ZAVOD ZA JAVNO ZDRAVSTVO DR. ANDRIJA ŠTAMPAR, MIROGOJSKA CESTA 16, 10000 ZAGREB, OIB: 3339200596</v>
      </c>
      <c r="H3950" s="7"/>
      <c r="I3950" s="8" t="s">
        <v>127</v>
      </c>
      <c r="J3950" s="8" t="s">
        <v>1456</v>
      </c>
      <c r="K3950" s="6" t="str">
        <f>"19.832,00"</f>
        <v>19.832,00</v>
      </c>
      <c r="L3950" s="6" t="str">
        <f>"4.958,00"</f>
        <v>4.958,00</v>
      </c>
      <c r="M3950" s="6" t="str">
        <f>"24.790,00"</f>
        <v>24.790,00</v>
      </c>
      <c r="N3950" s="8" t="s">
        <v>124</v>
      </c>
      <c r="O3950" s="7"/>
      <c r="P3950" s="2" t="s">
        <v>7978</v>
      </c>
      <c r="Q3950" s="7"/>
      <c r="R3950" s="1"/>
      <c r="S3950" s="1" t="str">
        <f>"J-UN-2022-333"</f>
        <v>J-UN-2022-333</v>
      </c>
      <c r="T3950" s="1" t="s">
        <v>32</v>
      </c>
    </row>
    <row r="3951" spans="1:20" ht="76.5" x14ac:dyDescent="0.25">
      <c r="A3951" s="6">
        <v>3945</v>
      </c>
      <c r="B3951" s="1" t="str">
        <f>"2022-282"</f>
        <v>2022-282</v>
      </c>
      <c r="C3951" s="1" t="s">
        <v>2874</v>
      </c>
      <c r="D3951" s="1" t="s">
        <v>1428</v>
      </c>
      <c r="E3951" s="1" t="str">
        <f>""</f>
        <v/>
      </c>
      <c r="F3951" s="1" t="s">
        <v>1860</v>
      </c>
      <c r="G3951" s="1" t="str">
        <f>CONCATENATE(" SMIT-COMMERCE D.O.O.,"," GORNJOSTUPNIČKA 9B,"," 10255 GORNJI STUPNIK,"," OIB: 9524348214")</f>
        <v xml:space="preserve"> SMIT-COMMERCE D.O.O., GORNJOSTUPNIČKA 9B, 10255 GORNJI STUPNIK, OIB: 9524348214</v>
      </c>
      <c r="H3951" s="7"/>
      <c r="I3951" s="8" t="s">
        <v>127</v>
      </c>
      <c r="J3951" s="8" t="s">
        <v>1456</v>
      </c>
      <c r="K3951" s="6" t="str">
        <f>"1.776,00"</f>
        <v>1.776,00</v>
      </c>
      <c r="L3951" s="6" t="str">
        <f>"444,00"</f>
        <v>444,00</v>
      </c>
      <c r="M3951" s="6" t="str">
        <f>"2.220,00"</f>
        <v>2.220,00</v>
      </c>
      <c r="N3951" s="8" t="s">
        <v>296</v>
      </c>
      <c r="O3951" s="7"/>
      <c r="P3951" s="2" t="s">
        <v>7979</v>
      </c>
      <c r="Q3951" s="7"/>
      <c r="R3951" s="1"/>
      <c r="S3951" s="1" t="str">
        <f>"J-UN-2022-334"</f>
        <v>J-UN-2022-334</v>
      </c>
      <c r="T3951" s="1" t="s">
        <v>32</v>
      </c>
    </row>
    <row r="3952" spans="1:20" ht="51" x14ac:dyDescent="0.25">
      <c r="A3952" s="6">
        <v>3946</v>
      </c>
      <c r="B3952" s="1" t="str">
        <f>"2022-262"</f>
        <v>2022-262</v>
      </c>
      <c r="C3952" s="1" t="s">
        <v>2620</v>
      </c>
      <c r="D3952" s="1" t="s">
        <v>665</v>
      </c>
      <c r="E3952" s="1" t="str">
        <f>""</f>
        <v/>
      </c>
      <c r="F3952" s="1" t="s">
        <v>1860</v>
      </c>
      <c r="G3952" s="1" t="str">
        <f>CONCATENATE(" AUTOTEHNIKA D.O.O.,"," BRUNE BUŠIĆA 23,"," 10020 ZAGREB,"," OIB: 99404302342")</f>
        <v xml:space="preserve"> AUTOTEHNIKA D.O.O., BRUNE BUŠIĆA 23, 10020 ZAGREB, OIB: 99404302342</v>
      </c>
      <c r="H3952" s="7"/>
      <c r="I3952" s="8" t="s">
        <v>127</v>
      </c>
      <c r="J3952" s="8" t="s">
        <v>1456</v>
      </c>
      <c r="K3952" s="6" t="str">
        <f>"1.109,60"</f>
        <v>1.109,60</v>
      </c>
      <c r="L3952" s="6" t="str">
        <f>"277,40"</f>
        <v>277,40</v>
      </c>
      <c r="M3952" s="6" t="str">
        <f>"1.387,00"</f>
        <v>1.387,00</v>
      </c>
      <c r="N3952" s="8" t="s">
        <v>1119</v>
      </c>
      <c r="O3952" s="7"/>
      <c r="P3952" s="2" t="s">
        <v>7980</v>
      </c>
      <c r="Q3952" s="7"/>
      <c r="R3952" s="1"/>
      <c r="S3952" s="1" t="str">
        <f>"J-UN-2022-335"</f>
        <v>J-UN-2022-335</v>
      </c>
      <c r="T3952" s="1" t="s">
        <v>32</v>
      </c>
    </row>
    <row r="3953" spans="1:20" ht="51" x14ac:dyDescent="0.25">
      <c r="A3953" s="6">
        <v>3947</v>
      </c>
      <c r="B3953" s="1" t="str">
        <f>"2022-376"</f>
        <v>2022-376</v>
      </c>
      <c r="C3953" s="1" t="s">
        <v>2730</v>
      </c>
      <c r="D3953" s="1" t="s">
        <v>1203</v>
      </c>
      <c r="E3953" s="1" t="str">
        <f>""</f>
        <v/>
      </c>
      <c r="F3953" s="1" t="s">
        <v>1860</v>
      </c>
      <c r="G3953" s="1" t="str">
        <f>CONCATENATE(" DIATEH D.O.O.,"," HRASTOVIČKA ULICA 33,"," 10250 LUČKO,"," OIB: 36086299082")</f>
        <v xml:space="preserve"> DIATEH D.O.O., HRASTOVIČKA ULICA 33, 10250 LUČKO, OIB: 36086299082</v>
      </c>
      <c r="H3953" s="7"/>
      <c r="I3953" s="8" t="s">
        <v>127</v>
      </c>
      <c r="J3953" s="8" t="s">
        <v>1456</v>
      </c>
      <c r="K3953" s="6" t="str">
        <f>"39.307,60"</f>
        <v>39.307,60</v>
      </c>
      <c r="L3953" s="6" t="str">
        <f>"9.826,90"</f>
        <v>9.826,90</v>
      </c>
      <c r="M3953" s="6" t="str">
        <f>"49.134,50"</f>
        <v>49.134,50</v>
      </c>
      <c r="N3953" s="8" t="s">
        <v>400</v>
      </c>
      <c r="O3953" s="7"/>
      <c r="P3953" s="2" t="s">
        <v>7981</v>
      </c>
      <c r="Q3953" s="7"/>
      <c r="R3953" s="1"/>
      <c r="S3953" s="1" t="str">
        <f>"J-UN-2022-336"</f>
        <v>J-UN-2022-336</v>
      </c>
      <c r="T3953" s="1" t="s">
        <v>32</v>
      </c>
    </row>
    <row r="3954" spans="1:20" ht="51" x14ac:dyDescent="0.25">
      <c r="A3954" s="6">
        <v>3948</v>
      </c>
      <c r="B3954" s="1" t="str">
        <f>"2022-99"</f>
        <v>2022-99</v>
      </c>
      <c r="C3954" s="1" t="s">
        <v>3027</v>
      </c>
      <c r="D3954" s="1" t="s">
        <v>3028</v>
      </c>
      <c r="E3954" s="1" t="str">
        <f>""</f>
        <v/>
      </c>
      <c r="F3954" s="1" t="s">
        <v>1860</v>
      </c>
      <c r="G3954" s="1" t="str">
        <f>CONCATENATE(" SELEKTA PRIMA D.O.O.,"," I. TRNAVA 49,"," 10000 ZAGREB,"," OIB: 68651120977")</f>
        <v xml:space="preserve"> SELEKTA PRIMA D.O.O., I. TRNAVA 49, 10000 ZAGREB, OIB: 68651120977</v>
      </c>
      <c r="H3954" s="7"/>
      <c r="I3954" s="8" t="s">
        <v>42</v>
      </c>
      <c r="J3954" s="8" t="s">
        <v>796</v>
      </c>
      <c r="K3954" s="6" t="str">
        <f>"31.650,00"</f>
        <v>31.650,00</v>
      </c>
      <c r="L3954" s="6" t="str">
        <f>"7.912,50"</f>
        <v>7.912,50</v>
      </c>
      <c r="M3954" s="6" t="str">
        <f>"39.562,50"</f>
        <v>39.562,50</v>
      </c>
      <c r="N3954" s="8" t="s">
        <v>855</v>
      </c>
      <c r="O3954" s="7"/>
      <c r="P3954" s="2" t="s">
        <v>7982</v>
      </c>
      <c r="Q3954" s="7"/>
      <c r="R3954" s="1"/>
      <c r="S3954" s="1" t="str">
        <f>"J-UN-2022-337"</f>
        <v>J-UN-2022-337</v>
      </c>
      <c r="T3954" s="1" t="s">
        <v>32</v>
      </c>
    </row>
    <row r="3955" spans="1:20" ht="63.75" x14ac:dyDescent="0.25">
      <c r="A3955" s="6">
        <v>3949</v>
      </c>
      <c r="B3955" s="1" t="str">
        <f>"2022-244"</f>
        <v>2022-244</v>
      </c>
      <c r="C3955" s="1" t="s">
        <v>2677</v>
      </c>
      <c r="D3955" s="1" t="s">
        <v>2678</v>
      </c>
      <c r="E3955" s="1" t="str">
        <f>""</f>
        <v/>
      </c>
      <c r="F3955" s="1" t="s">
        <v>1860</v>
      </c>
      <c r="G3955" s="1" t="str">
        <f>CONCATENATE(" GRADSKA LJEKARNA ZAGREB,"," KRALJA DRŽISLAVA 6,"," 10000 ZAGREB,"," OIB: 37268254106")</f>
        <v xml:space="preserve"> GRADSKA LJEKARNA ZAGREB, KRALJA DRŽISLAVA 6, 10000 ZAGREB, OIB: 37268254106</v>
      </c>
      <c r="H3955" s="7"/>
      <c r="I3955" s="8" t="s">
        <v>918</v>
      </c>
      <c r="J3955" s="8" t="s">
        <v>1255</v>
      </c>
      <c r="K3955" s="6" t="str">
        <f>"2.143,80"</f>
        <v>2.143,80</v>
      </c>
      <c r="L3955" s="6" t="str">
        <f>"535,95"</f>
        <v>535,95</v>
      </c>
      <c r="M3955" s="6" t="str">
        <f>"2.679,75"</f>
        <v>2.679,75</v>
      </c>
      <c r="N3955" s="8" t="s">
        <v>124</v>
      </c>
      <c r="O3955" s="7"/>
      <c r="P3955" s="2" t="s">
        <v>5614</v>
      </c>
      <c r="Q3955" s="7"/>
      <c r="R3955" s="1"/>
      <c r="S3955" s="1" t="str">
        <f>"J-UN-2022-340"</f>
        <v>J-UN-2022-340</v>
      </c>
      <c r="T3955" s="1" t="s">
        <v>32</v>
      </c>
    </row>
    <row r="3956" spans="1:20" ht="25.5" x14ac:dyDescent="0.25">
      <c r="A3956" s="6">
        <v>3950</v>
      </c>
      <c r="B3956" s="1" t="str">
        <f>"2022-422"</f>
        <v>2022-422</v>
      </c>
      <c r="C3956" s="1" t="s">
        <v>2810</v>
      </c>
      <c r="D3956" s="1" t="s">
        <v>2577</v>
      </c>
      <c r="E3956" s="1" t="str">
        <f>""</f>
        <v/>
      </c>
      <c r="F3956" s="1" t="s">
        <v>1860</v>
      </c>
      <c r="G3956" s="1" t="str">
        <f>CONCATENATE(" R-PIM D.O.O.,"," ,"," OIB: 38514700472")</f>
        <v xml:space="preserve"> R-PIM D.O.O., , OIB: 38514700472</v>
      </c>
      <c r="H3956" s="7"/>
      <c r="I3956" s="8" t="s">
        <v>918</v>
      </c>
      <c r="J3956" s="8" t="s">
        <v>1255</v>
      </c>
      <c r="K3956" s="6" t="str">
        <f>"6.527,00"</f>
        <v>6.527,00</v>
      </c>
      <c r="L3956" s="6" t="str">
        <f>"1.631,75"</f>
        <v>1.631,75</v>
      </c>
      <c r="M3956" s="6" t="str">
        <f>"8.158,75"</f>
        <v>8.158,75</v>
      </c>
      <c r="N3956" s="8" t="s">
        <v>400</v>
      </c>
      <c r="O3956" s="7"/>
      <c r="P3956" s="2" t="s">
        <v>7983</v>
      </c>
      <c r="Q3956" s="7"/>
      <c r="R3956" s="1"/>
      <c r="S3956" s="1" t="str">
        <f>"J-UN-2022-341"</f>
        <v>J-UN-2022-341</v>
      </c>
      <c r="T3956" s="1" t="s">
        <v>32</v>
      </c>
    </row>
    <row r="3957" spans="1:20" ht="51" x14ac:dyDescent="0.25">
      <c r="A3957" s="6">
        <v>3951</v>
      </c>
      <c r="B3957" s="1" t="str">
        <f>"2022-377"</f>
        <v>2022-377</v>
      </c>
      <c r="C3957" s="1" t="s">
        <v>2608</v>
      </c>
      <c r="D3957" s="1" t="s">
        <v>1203</v>
      </c>
      <c r="E3957" s="1" t="str">
        <f>""</f>
        <v/>
      </c>
      <c r="F3957" s="1" t="s">
        <v>1860</v>
      </c>
      <c r="G3957" s="1" t="str">
        <f>CONCATENATE(" SVRDLO D.O.O.,"," ŠKOLSKA ULICA 10,"," 10370 DUGO SELO,"," OIB: 36535565458")</f>
        <v xml:space="preserve"> SVRDLO D.O.O., ŠKOLSKA ULICA 10, 10370 DUGO SELO, OIB: 36535565458</v>
      </c>
      <c r="H3957" s="7"/>
      <c r="I3957" s="8" t="s">
        <v>242</v>
      </c>
      <c r="J3957" s="8" t="s">
        <v>2166</v>
      </c>
      <c r="K3957" s="6" t="str">
        <f>"1.263,00"</f>
        <v>1.263,00</v>
      </c>
      <c r="L3957" s="6" t="str">
        <f>"315,75"</f>
        <v>315,75</v>
      </c>
      <c r="M3957" s="6" t="str">
        <f>"1.578,75"</f>
        <v>1.578,75</v>
      </c>
      <c r="N3957" s="8" t="s">
        <v>499</v>
      </c>
      <c r="O3957" s="7"/>
      <c r="P3957" s="2" t="s">
        <v>7984</v>
      </c>
      <c r="Q3957" s="7"/>
      <c r="R3957" s="1"/>
      <c r="S3957" s="1" t="str">
        <f>"J-UN-2022-342"</f>
        <v>J-UN-2022-342</v>
      </c>
      <c r="T3957" s="1" t="s">
        <v>32</v>
      </c>
    </row>
    <row r="3958" spans="1:20" ht="51" x14ac:dyDescent="0.25">
      <c r="A3958" s="6">
        <v>3952</v>
      </c>
      <c r="B3958" s="1" t="str">
        <f>"2022-321"</f>
        <v>2022-321</v>
      </c>
      <c r="C3958" s="1" t="s">
        <v>2703</v>
      </c>
      <c r="D3958" s="1" t="s">
        <v>2704</v>
      </c>
      <c r="E3958" s="1" t="str">
        <f>""</f>
        <v/>
      </c>
      <c r="F3958" s="1" t="s">
        <v>1860</v>
      </c>
      <c r="G3958" s="1" t="str">
        <f>CONCATENATE(" STROJOPROMET D.O.O.,"," ZAGREBAČKA 6,"," 10292 ŠENKOVEC,"," OIB: 97994010225")</f>
        <v xml:space="preserve"> STROJOPROMET D.O.O., ZAGREBAČKA 6, 10292 ŠENKOVEC, OIB: 97994010225</v>
      </c>
      <c r="H3958" s="7"/>
      <c r="I3958" s="8" t="s">
        <v>398</v>
      </c>
      <c r="J3958" s="8" t="s">
        <v>1882</v>
      </c>
      <c r="K3958" s="6" t="str">
        <f>"13.151,00"</f>
        <v>13.151,00</v>
      </c>
      <c r="L3958" s="6" t="str">
        <f>"3.287,75"</f>
        <v>3.287,75</v>
      </c>
      <c r="M3958" s="6" t="str">
        <f>"16.438,75"</f>
        <v>16.438,75</v>
      </c>
      <c r="N3958" s="8" t="s">
        <v>273</v>
      </c>
      <c r="O3958" s="7"/>
      <c r="P3958" s="2" t="s">
        <v>7985</v>
      </c>
      <c r="Q3958" s="7"/>
      <c r="R3958" s="1"/>
      <c r="S3958" s="1" t="str">
        <f>"J-UN-2022-343"</f>
        <v>J-UN-2022-343</v>
      </c>
      <c r="T3958" s="1" t="s">
        <v>32</v>
      </c>
    </row>
    <row r="3959" spans="1:20" ht="51" x14ac:dyDescent="0.25">
      <c r="A3959" s="6">
        <v>3953</v>
      </c>
      <c r="B3959" s="1" t="str">
        <f>"2022-272"</f>
        <v>2022-272</v>
      </c>
      <c r="C3959" s="1" t="s">
        <v>3084</v>
      </c>
      <c r="D3959" s="1" t="s">
        <v>1808</v>
      </c>
      <c r="E3959" s="1" t="str">
        <f>""</f>
        <v/>
      </c>
      <c r="F3959" s="1" t="s">
        <v>1860</v>
      </c>
      <c r="G3959" s="1" t="str">
        <f>CONCATENATE(" VODOSKOK D.D.,"," ČULINEČKA CESTA 221/C,"," 10040 ZAGREB,"," OIB: 34134218058")</f>
        <v xml:space="preserve"> VODOSKOK D.D., ČULINEČKA CESTA 221/C, 10040 ZAGREB, OIB: 34134218058</v>
      </c>
      <c r="H3959" s="7"/>
      <c r="I3959" s="8" t="s">
        <v>398</v>
      </c>
      <c r="J3959" s="8" t="s">
        <v>1882</v>
      </c>
      <c r="K3959" s="6" t="str">
        <f>"9.420,00"</f>
        <v>9.420,00</v>
      </c>
      <c r="L3959" s="6" t="str">
        <f>"2.355,00"</f>
        <v>2.355,00</v>
      </c>
      <c r="M3959" s="6" t="str">
        <f>"11.775,00"</f>
        <v>11.775,00</v>
      </c>
      <c r="N3959" s="8" t="s">
        <v>371</v>
      </c>
      <c r="O3959" s="7"/>
      <c r="P3959" s="2" t="s">
        <v>7986</v>
      </c>
      <c r="Q3959" s="7"/>
      <c r="R3959" s="1"/>
      <c r="S3959" s="1" t="str">
        <f>"J-UN-2022-344"</f>
        <v>J-UN-2022-344</v>
      </c>
      <c r="T3959" s="1" t="s">
        <v>32</v>
      </c>
    </row>
    <row r="3960" spans="1:20" ht="51" x14ac:dyDescent="0.25">
      <c r="A3960" s="6">
        <v>3954</v>
      </c>
      <c r="B3960" s="1" t="str">
        <f>"2022-95"</f>
        <v>2022-95</v>
      </c>
      <c r="C3960" s="1" t="s">
        <v>2761</v>
      </c>
      <c r="D3960" s="1" t="s">
        <v>2762</v>
      </c>
      <c r="E3960" s="1" t="str">
        <f>""</f>
        <v/>
      </c>
      <c r="F3960" s="1" t="s">
        <v>1860</v>
      </c>
      <c r="G3960" s="1" t="str">
        <f>CONCATENATE(" ADRIALIFT D.O.O.,"," BRAĆE BAĆIĆA 36,"," 51000 RIJEKA,"," OIB: 36856415212")</f>
        <v xml:space="preserve"> ADRIALIFT D.O.O., BRAĆE BAĆIĆA 36, 51000 RIJEKA, OIB: 36856415212</v>
      </c>
      <c r="H3960" s="7"/>
      <c r="I3960" s="8" t="s">
        <v>258</v>
      </c>
      <c r="J3960" s="8" t="s">
        <v>2154</v>
      </c>
      <c r="K3960" s="6" t="str">
        <f>"1.500,00"</f>
        <v>1.500,00</v>
      </c>
      <c r="L3960" s="6" t="str">
        <f>"375,00"</f>
        <v>375,00</v>
      </c>
      <c r="M3960" s="6" t="str">
        <f>"1.875,00"</f>
        <v>1.875,00</v>
      </c>
      <c r="N3960" s="8" t="s">
        <v>214</v>
      </c>
      <c r="O3960" s="7"/>
      <c r="P3960" s="2" t="s">
        <v>5739</v>
      </c>
      <c r="Q3960" s="1" t="s">
        <v>488</v>
      </c>
      <c r="R3960" s="1"/>
      <c r="S3960" s="1" t="str">
        <f>"J-UN-2022-345"</f>
        <v>J-UN-2022-345</v>
      </c>
      <c r="T3960" s="1" t="s">
        <v>32</v>
      </c>
    </row>
    <row r="3961" spans="1:20" ht="38.25" x14ac:dyDescent="0.25">
      <c r="A3961" s="6">
        <v>3955</v>
      </c>
      <c r="B3961" s="1" t="str">
        <f>"2022-698"</f>
        <v>2022-698</v>
      </c>
      <c r="C3961" s="1" t="s">
        <v>2565</v>
      </c>
      <c r="D3961" s="1" t="s">
        <v>1833</v>
      </c>
      <c r="E3961" s="1" t="str">
        <f>""</f>
        <v/>
      </c>
      <c r="F3961" s="1" t="s">
        <v>1860</v>
      </c>
      <c r="G3961" s="1" t="str">
        <f>CONCATENATE(" R-PIM D.O.O.,"," ,"," OIB: 38514700472")</f>
        <v xml:space="preserve"> R-PIM D.O.O., , OIB: 38514700472</v>
      </c>
      <c r="H3961" s="7"/>
      <c r="I3961" s="8" t="s">
        <v>398</v>
      </c>
      <c r="J3961" s="8" t="s">
        <v>1882</v>
      </c>
      <c r="K3961" s="6" t="str">
        <f>"870,00"</f>
        <v>870,00</v>
      </c>
      <c r="L3961" s="6" t="str">
        <f>"217,50"</f>
        <v>217,50</v>
      </c>
      <c r="M3961" s="6" t="str">
        <f>"1.087,50"</f>
        <v>1.087,50</v>
      </c>
      <c r="N3961" s="8" t="s">
        <v>400</v>
      </c>
      <c r="O3961" s="7"/>
      <c r="P3961" s="2" t="s">
        <v>7116</v>
      </c>
      <c r="Q3961" s="7"/>
      <c r="R3961" s="1"/>
      <c r="S3961" s="1" t="str">
        <f>"J-UN-2022-347"</f>
        <v>J-UN-2022-347</v>
      </c>
      <c r="T3961" s="1" t="s">
        <v>32</v>
      </c>
    </row>
    <row r="3962" spans="1:20" ht="76.5" x14ac:dyDescent="0.25">
      <c r="A3962" s="6">
        <v>3956</v>
      </c>
      <c r="B3962" s="1" t="str">
        <f>"2022-384"</f>
        <v>2022-384</v>
      </c>
      <c r="C3962" s="1" t="s">
        <v>3062</v>
      </c>
      <c r="D3962" s="1" t="s">
        <v>3063</v>
      </c>
      <c r="E3962" s="1" t="str">
        <f>""</f>
        <v/>
      </c>
      <c r="F3962" s="1" t="s">
        <v>1860</v>
      </c>
      <c r="G3962" s="1" t="str">
        <f>CONCATENATE(" SMIT-COMMERCE D.O.O.,"," GORNJOSTUPNIČKA 9B,"," 10255 GORNJI STUPNIK,"," OIB: 9524348214")</f>
        <v xml:space="preserve"> SMIT-COMMERCE D.O.O., GORNJOSTUPNIČKA 9B, 10255 GORNJI STUPNIK, OIB: 9524348214</v>
      </c>
      <c r="H3962" s="7"/>
      <c r="I3962" s="8" t="s">
        <v>127</v>
      </c>
      <c r="J3962" s="8" t="s">
        <v>1456</v>
      </c>
      <c r="K3962" s="6" t="str">
        <f>"631,60"</f>
        <v>631,60</v>
      </c>
      <c r="L3962" s="6" t="str">
        <f>"157,90"</f>
        <v>157,90</v>
      </c>
      <c r="M3962" s="6" t="str">
        <f>"789,50"</f>
        <v>789,50</v>
      </c>
      <c r="N3962" s="8" t="s">
        <v>478</v>
      </c>
      <c r="O3962" s="7"/>
      <c r="P3962" s="2" t="s">
        <v>7987</v>
      </c>
      <c r="Q3962" s="7"/>
      <c r="R3962" s="1"/>
      <c r="S3962" s="1" t="str">
        <f>"J-UN-2022-348"</f>
        <v>J-UN-2022-348</v>
      </c>
      <c r="T3962" s="1" t="s">
        <v>32</v>
      </c>
    </row>
    <row r="3963" spans="1:20" ht="51" x14ac:dyDescent="0.25">
      <c r="A3963" s="6">
        <v>3957</v>
      </c>
      <c r="B3963" s="1" t="str">
        <f>"2022-1215"</f>
        <v>2022-1215</v>
      </c>
      <c r="C3963" s="1" t="s">
        <v>2769</v>
      </c>
      <c r="D3963" s="1" t="s">
        <v>381</v>
      </c>
      <c r="E3963" s="1" t="str">
        <f>""</f>
        <v/>
      </c>
      <c r="F3963" s="1" t="s">
        <v>1860</v>
      </c>
      <c r="G3963" s="1" t="str">
        <f>CONCATENATE(" ZIK D.O.O.,"," LJUDEVITA GAJA 17/III,"," 10000 ZAGREB,"," OIB: 74121470605")</f>
        <v xml:space="preserve"> ZIK D.O.O., LJUDEVITA GAJA 17/III, 10000 ZAGREB, OIB: 74121470605</v>
      </c>
      <c r="H3963" s="7"/>
      <c r="I3963" s="8" t="s">
        <v>127</v>
      </c>
      <c r="J3963" s="8" t="s">
        <v>1456</v>
      </c>
      <c r="K3963" s="6" t="str">
        <f>"3.120,00"</f>
        <v>3.120,00</v>
      </c>
      <c r="L3963" s="6" t="str">
        <f>"780,00"</f>
        <v>780,00</v>
      </c>
      <c r="M3963" s="6" t="str">
        <f>"3.900,00"</f>
        <v>3.900,00</v>
      </c>
      <c r="N3963" s="8" t="s">
        <v>124</v>
      </c>
      <c r="O3963" s="7"/>
      <c r="P3963" s="2" t="s">
        <v>5614</v>
      </c>
      <c r="Q3963" s="7"/>
      <c r="R3963" s="1"/>
      <c r="S3963" s="1" t="str">
        <f>"J-UN-2022-350"</f>
        <v>J-UN-2022-350</v>
      </c>
      <c r="T3963" s="1" t="s">
        <v>32</v>
      </c>
    </row>
    <row r="3964" spans="1:20" ht="51" x14ac:dyDescent="0.25">
      <c r="A3964" s="6">
        <v>3958</v>
      </c>
      <c r="B3964" s="1" t="str">
        <f>"2022-225"</f>
        <v>2022-225</v>
      </c>
      <c r="C3964" s="1" t="s">
        <v>2865</v>
      </c>
      <c r="D3964" s="1" t="s">
        <v>766</v>
      </c>
      <c r="E3964" s="1" t="str">
        <f>""</f>
        <v/>
      </c>
      <c r="F3964" s="1" t="s">
        <v>1860</v>
      </c>
      <c r="G3964" s="1" t="str">
        <f>CONCATENATE(" INA MAZIVA D.O.O.,"," RADNIČKA CESTA 175,"," 10000 ZAGREB,"," OIB: 63988426425")</f>
        <v xml:space="preserve"> INA MAZIVA D.O.O., RADNIČKA CESTA 175, 10000 ZAGREB, OIB: 63988426425</v>
      </c>
      <c r="H3964" s="7"/>
      <c r="I3964" s="8" t="s">
        <v>127</v>
      </c>
      <c r="J3964" s="8" t="s">
        <v>1456</v>
      </c>
      <c r="K3964" s="6" t="str">
        <f>"1.540,00"</f>
        <v>1.540,00</v>
      </c>
      <c r="L3964" s="6" t="str">
        <f>"385,00"</f>
        <v>385,00</v>
      </c>
      <c r="M3964" s="6" t="str">
        <f>"1.925,00"</f>
        <v>1.925,00</v>
      </c>
      <c r="N3964" s="8" t="s">
        <v>400</v>
      </c>
      <c r="O3964" s="7"/>
      <c r="P3964" s="2" t="s">
        <v>7988</v>
      </c>
      <c r="Q3964" s="7"/>
      <c r="R3964" s="1"/>
      <c r="S3964" s="1" t="str">
        <f>"J-UN-2022-351"</f>
        <v>J-UN-2022-351</v>
      </c>
      <c r="T3964" s="1" t="s">
        <v>32</v>
      </c>
    </row>
    <row r="3965" spans="1:20" ht="51" x14ac:dyDescent="0.25">
      <c r="A3965" s="6">
        <v>3959</v>
      </c>
      <c r="B3965" s="1" t="str">
        <f>"2022-1278"</f>
        <v>2022-1278</v>
      </c>
      <c r="C3965" s="1" t="s">
        <v>2592</v>
      </c>
      <c r="D3965" s="1" t="s">
        <v>1865</v>
      </c>
      <c r="E3965" s="1" t="str">
        <f>""</f>
        <v/>
      </c>
      <c r="F3965" s="1" t="s">
        <v>1860</v>
      </c>
      <c r="G3965" s="1" t="str">
        <f>CONCATENATE(" REAL GRUPA D.O.O.,"," LJUDEVITA POSAVSKOG 31,"," 10000 ZAGREB,"," OIB: 57210097686")</f>
        <v xml:space="preserve"> REAL GRUPA D.O.O., LJUDEVITA POSAVSKOG 31, 10000 ZAGREB, OIB: 57210097686</v>
      </c>
      <c r="H3965" s="7"/>
      <c r="I3965" s="8" t="s">
        <v>421</v>
      </c>
      <c r="J3965" s="8" t="s">
        <v>1368</v>
      </c>
      <c r="K3965" s="6" t="str">
        <f>"40.000,00"</f>
        <v>40.000,00</v>
      </c>
      <c r="L3965" s="6" t="str">
        <f>"10.000,00"</f>
        <v>10.000,00</v>
      </c>
      <c r="M3965" s="6" t="str">
        <f>"50.000,00"</f>
        <v>50.000,00</v>
      </c>
      <c r="N3965" s="8" t="s">
        <v>207</v>
      </c>
      <c r="O3965" s="7"/>
      <c r="P3965" s="2" t="s">
        <v>7013</v>
      </c>
      <c r="Q3965" s="7"/>
      <c r="R3965" s="1"/>
      <c r="S3965" s="1" t="str">
        <f>"J-UN-2022-352"</f>
        <v>J-UN-2022-352</v>
      </c>
      <c r="T3965" s="1" t="s">
        <v>32</v>
      </c>
    </row>
    <row r="3966" spans="1:20" ht="51" x14ac:dyDescent="0.25">
      <c r="A3966" s="6">
        <v>3960</v>
      </c>
      <c r="B3966" s="1" t="str">
        <f>"2022-1310"</f>
        <v>2022-1310</v>
      </c>
      <c r="C3966" s="1" t="s">
        <v>3085</v>
      </c>
      <c r="D3966" s="1" t="s">
        <v>2549</v>
      </c>
      <c r="E3966" s="1" t="str">
        <f>""</f>
        <v/>
      </c>
      <c r="F3966" s="1" t="s">
        <v>1860</v>
      </c>
      <c r="G3966" s="1" t="str">
        <f>CONCATENATE(" AD HOC-CENTAR D.O.O.,"," DRAŠKOVIĆEVA 4A,"," 10000 ZAGREB,"," OIB: 75132412279")</f>
        <v xml:space="preserve"> AD HOC-CENTAR D.O.O., DRAŠKOVIĆEVA 4A, 10000 ZAGREB, OIB: 75132412279</v>
      </c>
      <c r="H3966" s="7"/>
      <c r="I3966" s="8" t="s">
        <v>127</v>
      </c>
      <c r="J3966" s="8" t="s">
        <v>1456</v>
      </c>
      <c r="K3966" s="6" t="str">
        <f>"19.750,00"</f>
        <v>19.750,00</v>
      </c>
      <c r="L3966" s="6" t="str">
        <f>"4.937,50"</f>
        <v>4.937,50</v>
      </c>
      <c r="M3966" s="6" t="str">
        <f>"24.687,50"</f>
        <v>24.687,50</v>
      </c>
      <c r="N3966" s="8" t="s">
        <v>124</v>
      </c>
      <c r="O3966" s="7"/>
      <c r="P3966" s="2" t="s">
        <v>5614</v>
      </c>
      <c r="Q3966" s="7"/>
      <c r="R3966" s="1"/>
      <c r="S3966" s="1" t="str">
        <f>"J-UN-2022-353"</f>
        <v>J-UN-2022-353</v>
      </c>
      <c r="T3966" s="1" t="s">
        <v>32</v>
      </c>
    </row>
    <row r="3967" spans="1:20" ht="51" x14ac:dyDescent="0.25">
      <c r="A3967" s="6">
        <v>3961</v>
      </c>
      <c r="B3967" s="1" t="str">
        <f>"2022-823"</f>
        <v>2022-823</v>
      </c>
      <c r="C3967" s="1" t="s">
        <v>2675</v>
      </c>
      <c r="D3967" s="1" t="s">
        <v>2676</v>
      </c>
      <c r="E3967" s="1" t="str">
        <f>""</f>
        <v/>
      </c>
      <c r="F3967" s="1" t="s">
        <v>1860</v>
      </c>
      <c r="G3967" s="1" t="str">
        <f>CONCATENATE(" AUTOBUS D.O.O.,"," I. RESNIK 178,"," 10040 ZAGREB,"," OIB: 77383886713")</f>
        <v xml:space="preserve"> AUTOBUS D.O.O., I. RESNIK 178, 10040 ZAGREB, OIB: 77383886713</v>
      </c>
      <c r="H3967" s="7"/>
      <c r="I3967" s="8" t="s">
        <v>41</v>
      </c>
      <c r="J3967" s="8" t="s">
        <v>490</v>
      </c>
      <c r="K3967" s="6" t="str">
        <f>"3.691,76"</f>
        <v>3.691,76</v>
      </c>
      <c r="L3967" s="6" t="str">
        <f>"922,94"</f>
        <v>922,94</v>
      </c>
      <c r="M3967" s="6" t="str">
        <f>"4.614,70"</f>
        <v>4.614,70</v>
      </c>
      <c r="N3967" s="8" t="s">
        <v>41</v>
      </c>
      <c r="O3967" s="7"/>
      <c r="P3967" s="2" t="s">
        <v>7989</v>
      </c>
      <c r="Q3967" s="7"/>
      <c r="R3967" s="1"/>
      <c r="S3967" s="1" t="str">
        <f>"J-UN-2022-354"</f>
        <v>J-UN-2022-354</v>
      </c>
      <c r="T3967" s="1" t="s">
        <v>32</v>
      </c>
    </row>
    <row r="3968" spans="1:20" ht="51" x14ac:dyDescent="0.25">
      <c r="A3968" s="6">
        <v>3962</v>
      </c>
      <c r="B3968" s="1" t="str">
        <f>"2022-1130"</f>
        <v>2022-1130</v>
      </c>
      <c r="C3968" s="1" t="s">
        <v>2368</v>
      </c>
      <c r="D3968" s="1" t="s">
        <v>2367</v>
      </c>
      <c r="E3968" s="1" t="str">
        <f>""</f>
        <v/>
      </c>
      <c r="F3968" s="1" t="s">
        <v>1860</v>
      </c>
      <c r="G3968" s="1" t="str">
        <f>CONCATENATE(" EONEA SAVJETOVANJE D.O.O.,"," EDE MURTIĆA 2a,"," 10020 ZAGREB,"," OIB: 18413194805")</f>
        <v xml:space="preserve"> EONEA SAVJETOVANJE D.O.O., EDE MURTIĆA 2a, 10020 ZAGREB, OIB: 18413194805</v>
      </c>
      <c r="H3968" s="7"/>
      <c r="I3968" s="8" t="s">
        <v>748</v>
      </c>
      <c r="J3968" s="8" t="s">
        <v>3086</v>
      </c>
      <c r="K3968" s="6" t="str">
        <f>"19.000,00"</f>
        <v>19.000,00</v>
      </c>
      <c r="L3968" s="6" t="str">
        <f>"4.750,00"</f>
        <v>4.750,00</v>
      </c>
      <c r="M3968" s="6" t="str">
        <f>"23.750,00"</f>
        <v>23.750,00</v>
      </c>
      <c r="N3968" s="8" t="s">
        <v>855</v>
      </c>
      <c r="O3968" s="7"/>
      <c r="P3968" s="2" t="s">
        <v>7795</v>
      </c>
      <c r="Q3968" s="7"/>
      <c r="R3968" s="1"/>
      <c r="S3968" s="1" t="str">
        <f>"J-UN-2022-359"</f>
        <v>J-UN-2022-359</v>
      </c>
      <c r="T3968" s="1" t="s">
        <v>32</v>
      </c>
    </row>
    <row r="3969" spans="1:20" ht="63.75" x14ac:dyDescent="0.25">
      <c r="A3969" s="6">
        <v>3963</v>
      </c>
      <c r="B3969" s="1" t="str">
        <f>"2022-900"</f>
        <v>2022-900</v>
      </c>
      <c r="C3969" s="1" t="s">
        <v>2702</v>
      </c>
      <c r="D3969" s="1" t="s">
        <v>1209</v>
      </c>
      <c r="E3969" s="1" t="str">
        <f>""</f>
        <v/>
      </c>
      <c r="F3969" s="1" t="s">
        <v>1860</v>
      </c>
      <c r="G3969" s="1" t="str">
        <f>CONCATENATE(" DRÄGER SAFETY D.O.O.,"," AVENIJA VEĆESLAVA HOLJEVCA 40,"," 10010 ZAGREB,"," OIB: 32874587842")</f>
        <v xml:space="preserve"> DRÄGER SAFETY D.O.O., AVENIJA VEĆESLAVA HOLJEVCA 40, 10010 ZAGREB, OIB: 32874587842</v>
      </c>
      <c r="H3969" s="7"/>
      <c r="I3969" s="8" t="s">
        <v>163</v>
      </c>
      <c r="J3969" s="8" t="s">
        <v>2158</v>
      </c>
      <c r="K3969" s="6" t="str">
        <f>"1.550,00"</f>
        <v>1.550,00</v>
      </c>
      <c r="L3969" s="6" t="str">
        <f>"387,50"</f>
        <v>387,50</v>
      </c>
      <c r="M3969" s="6" t="str">
        <f>"1.937,50"</f>
        <v>1.937,50</v>
      </c>
      <c r="N3969" s="8" t="s">
        <v>371</v>
      </c>
      <c r="O3969" s="7"/>
      <c r="P3969" s="2" t="s">
        <v>7579</v>
      </c>
      <c r="Q3969" s="7"/>
      <c r="R3969" s="1"/>
      <c r="S3969" s="1" t="str">
        <f>"J-UN-2022-361"</f>
        <v>J-UN-2022-361</v>
      </c>
      <c r="T3969" s="1" t="s">
        <v>32</v>
      </c>
    </row>
    <row r="3970" spans="1:20" ht="63.75" x14ac:dyDescent="0.25">
      <c r="A3970" s="6">
        <v>3964</v>
      </c>
      <c r="B3970" s="1" t="str">
        <f>"2022-959"</f>
        <v>2022-959</v>
      </c>
      <c r="C3970" s="1" t="s">
        <v>2784</v>
      </c>
      <c r="D3970" s="1" t="s">
        <v>2785</v>
      </c>
      <c r="E3970" s="1" t="str">
        <f>""</f>
        <v/>
      </c>
      <c r="F3970" s="1" t="s">
        <v>1860</v>
      </c>
      <c r="G3970" s="1" t="str">
        <f>CONCATENATE(" KUM TRADE ENGINEERING D.O.O.,"," SAVSKI GAJ XIII PUT 2,"," 10000 ZAGREB,"," OIB: 15856331916")</f>
        <v xml:space="preserve"> KUM TRADE ENGINEERING D.O.O., SAVSKI GAJ XIII PUT 2, 10000 ZAGREB, OIB: 15856331916</v>
      </c>
      <c r="H3970" s="7"/>
      <c r="I3970" s="8" t="s">
        <v>163</v>
      </c>
      <c r="J3970" s="8" t="s">
        <v>2158</v>
      </c>
      <c r="K3970" s="6" t="str">
        <f>"25.060,00"</f>
        <v>25.060,00</v>
      </c>
      <c r="L3970" s="6" t="str">
        <f>"6.265,00"</f>
        <v>6.265,00</v>
      </c>
      <c r="M3970" s="6" t="str">
        <f>"31.325,00"</f>
        <v>31.325,00</v>
      </c>
      <c r="N3970" s="8" t="s">
        <v>500</v>
      </c>
      <c r="O3970" s="7"/>
      <c r="P3970" s="2" t="s">
        <v>7990</v>
      </c>
      <c r="Q3970" s="7"/>
      <c r="R3970" s="1"/>
      <c r="S3970" s="1" t="str">
        <f>"J-UN-2022-363"</f>
        <v>J-UN-2022-363</v>
      </c>
      <c r="T3970" s="1" t="s">
        <v>32</v>
      </c>
    </row>
    <row r="3971" spans="1:20" ht="63.75" x14ac:dyDescent="0.25">
      <c r="A3971" s="6">
        <v>3965</v>
      </c>
      <c r="B3971" s="1" t="str">
        <f>"2022-825"</f>
        <v>2022-825</v>
      </c>
      <c r="C3971" s="1" t="s">
        <v>2492</v>
      </c>
      <c r="D3971" s="1" t="s">
        <v>2493</v>
      </c>
      <c r="E3971" s="1" t="str">
        <f>""</f>
        <v/>
      </c>
      <c r="F3971" s="1" t="s">
        <v>1860</v>
      </c>
      <c r="G3971" s="1" t="str">
        <f>CONCATENATE(" TOKIĆ D.O.O.,"," ULICA 144. BRIGADE HRVATSKE VOJSKE 1A,"," 10360 SESVETE,"," OIB: 7486748762")</f>
        <v xml:space="preserve"> TOKIĆ D.O.O., ULICA 144. BRIGADE HRVATSKE VOJSKE 1A, 10360 SESVETE, OIB: 7486748762</v>
      </c>
      <c r="H3971" s="7"/>
      <c r="I3971" s="8" t="s">
        <v>255</v>
      </c>
      <c r="J3971" s="8" t="s">
        <v>1385</v>
      </c>
      <c r="K3971" s="6" t="str">
        <f>"23.665,00"</f>
        <v>23.665,00</v>
      </c>
      <c r="L3971" s="6" t="str">
        <f>"5.916,25"</f>
        <v>5.916,25</v>
      </c>
      <c r="M3971" s="6" t="str">
        <f>"29.581,25"</f>
        <v>29.581,25</v>
      </c>
      <c r="N3971" s="8" t="s">
        <v>897</v>
      </c>
      <c r="O3971" s="7"/>
      <c r="P3971" s="2" t="s">
        <v>7991</v>
      </c>
      <c r="Q3971" s="7"/>
      <c r="R3971" s="1"/>
      <c r="S3971" s="1" t="str">
        <f>"J-UN-2022-364"</f>
        <v>J-UN-2022-364</v>
      </c>
      <c r="T3971" s="1" t="s">
        <v>32</v>
      </c>
    </row>
    <row r="3972" spans="1:20" ht="63.75" x14ac:dyDescent="0.25">
      <c r="A3972" s="6">
        <v>3966</v>
      </c>
      <c r="B3972" s="1" t="str">
        <f>"2022-236"</f>
        <v>2022-236</v>
      </c>
      <c r="C3972" s="1" t="s">
        <v>3087</v>
      </c>
      <c r="D3972" s="1" t="s">
        <v>3088</v>
      </c>
      <c r="E3972" s="1" t="str">
        <f>""</f>
        <v/>
      </c>
      <c r="F3972" s="1" t="s">
        <v>1860</v>
      </c>
      <c r="G3972" s="1" t="str">
        <f>CONCATENATE(" KEMOBOJA-DUBRAVA D.O.O.,"," AVENIJA DUBRAVA 37,"," 10000 ZAGREB,"," OIB: 6402157427")</f>
        <v xml:space="preserve"> KEMOBOJA-DUBRAVA D.O.O., AVENIJA DUBRAVA 37, 10000 ZAGREB, OIB: 6402157427</v>
      </c>
      <c r="H3972" s="7"/>
      <c r="I3972" s="8" t="s">
        <v>255</v>
      </c>
      <c r="J3972" s="8" t="s">
        <v>1385</v>
      </c>
      <c r="K3972" s="6" t="str">
        <f>"6.415,20"</f>
        <v>6.415,20</v>
      </c>
      <c r="L3972" s="6" t="str">
        <f>"1.603,80"</f>
        <v>1.603,80</v>
      </c>
      <c r="M3972" s="6" t="str">
        <f>"8.019,00"</f>
        <v>8.019,00</v>
      </c>
      <c r="N3972" s="8" t="s">
        <v>500</v>
      </c>
      <c r="O3972" s="7"/>
      <c r="P3972" s="2" t="s">
        <v>7992</v>
      </c>
      <c r="Q3972" s="7"/>
      <c r="R3972" s="1"/>
      <c r="S3972" s="1" t="str">
        <f>"J-UN-2022-367"</f>
        <v>J-UN-2022-367</v>
      </c>
      <c r="T3972" s="1" t="s">
        <v>32</v>
      </c>
    </row>
    <row r="3973" spans="1:20" ht="63.75" x14ac:dyDescent="0.25">
      <c r="A3973" s="6">
        <v>3967</v>
      </c>
      <c r="B3973" s="1" t="str">
        <f>"2022-1416"</f>
        <v>2022-1416</v>
      </c>
      <c r="C3973" s="1" t="s">
        <v>2991</v>
      </c>
      <c r="D3973" s="1" t="s">
        <v>2992</v>
      </c>
      <c r="E3973" s="1" t="str">
        <f>""</f>
        <v/>
      </c>
      <c r="F3973" s="1" t="s">
        <v>1860</v>
      </c>
      <c r="G3973" s="1" t="str">
        <f t="shared" ref="G3973:G3978" si="223">CONCATENATE(" LANIŠTE D.O.O.,"," ALEXANDERA VON HUMBOLDTA 4B,"," 10000 ZAGREB,"," OIB: 3755384865")</f>
        <v xml:space="preserve"> LANIŠTE D.O.O., ALEXANDERA VON HUMBOLDTA 4B, 10000 ZAGREB, OIB: 3755384865</v>
      </c>
      <c r="H3973" s="7"/>
      <c r="I3973" s="8" t="s">
        <v>163</v>
      </c>
      <c r="J3973" s="8" t="s">
        <v>2158</v>
      </c>
      <c r="K3973" s="6" t="str">
        <f>"3.636,00"</f>
        <v>3.636,00</v>
      </c>
      <c r="L3973" s="6" t="str">
        <f>"909,00"</f>
        <v>909,00</v>
      </c>
      <c r="M3973" s="6" t="str">
        <f>"4.545,00"</f>
        <v>4.545,00</v>
      </c>
      <c r="N3973" s="8" t="s">
        <v>220</v>
      </c>
      <c r="O3973" s="7"/>
      <c r="P3973" s="2" t="s">
        <v>7917</v>
      </c>
      <c r="Q3973" s="7"/>
      <c r="R3973" s="1"/>
      <c r="S3973" s="1" t="str">
        <f>"J-UN-2022-368"</f>
        <v>J-UN-2022-368</v>
      </c>
      <c r="T3973" s="1" t="s">
        <v>32</v>
      </c>
    </row>
    <row r="3974" spans="1:20" ht="63.75" x14ac:dyDescent="0.25">
      <c r="A3974" s="6">
        <v>3968</v>
      </c>
      <c r="B3974" s="1" t="str">
        <f>"2022-1429"</f>
        <v>2022-1429</v>
      </c>
      <c r="C3974" s="1" t="s">
        <v>2984</v>
      </c>
      <c r="D3974" s="1" t="s">
        <v>2985</v>
      </c>
      <c r="E3974" s="1" t="str">
        <f>""</f>
        <v/>
      </c>
      <c r="F3974" s="1" t="s">
        <v>1860</v>
      </c>
      <c r="G3974" s="1" t="str">
        <f t="shared" si="223"/>
        <v xml:space="preserve"> LANIŠTE D.O.O., ALEXANDERA VON HUMBOLDTA 4B, 10000 ZAGREB, OIB: 3755384865</v>
      </c>
      <c r="H3974" s="7"/>
      <c r="I3974" s="8" t="s">
        <v>163</v>
      </c>
      <c r="J3974" s="8" t="s">
        <v>2158</v>
      </c>
      <c r="K3974" s="6" t="str">
        <f>"4.032,00"</f>
        <v>4.032,00</v>
      </c>
      <c r="L3974" s="6" t="str">
        <f>"1.008,00"</f>
        <v>1.008,00</v>
      </c>
      <c r="M3974" s="6" t="str">
        <f>"5.040,00"</f>
        <v>5.040,00</v>
      </c>
      <c r="N3974" s="8" t="s">
        <v>220</v>
      </c>
      <c r="O3974" s="7"/>
      <c r="P3974" s="2" t="s">
        <v>7919</v>
      </c>
      <c r="Q3974" s="7"/>
      <c r="R3974" s="1"/>
      <c r="S3974" s="1" t="str">
        <f>"J-UN-2022-369"</f>
        <v>J-UN-2022-369</v>
      </c>
      <c r="T3974" s="1" t="s">
        <v>32</v>
      </c>
    </row>
    <row r="3975" spans="1:20" ht="63.75" x14ac:dyDescent="0.25">
      <c r="A3975" s="6">
        <v>3969</v>
      </c>
      <c r="B3975" s="1" t="str">
        <f>"2022-1430"</f>
        <v>2022-1430</v>
      </c>
      <c r="C3975" s="1" t="s">
        <v>2986</v>
      </c>
      <c r="D3975" s="1" t="s">
        <v>2985</v>
      </c>
      <c r="E3975" s="1" t="str">
        <f>""</f>
        <v/>
      </c>
      <c r="F3975" s="1" t="s">
        <v>1860</v>
      </c>
      <c r="G3975" s="1" t="str">
        <f t="shared" si="223"/>
        <v xml:space="preserve"> LANIŠTE D.O.O., ALEXANDERA VON HUMBOLDTA 4B, 10000 ZAGREB, OIB: 3755384865</v>
      </c>
      <c r="H3975" s="7"/>
      <c r="I3975" s="8" t="s">
        <v>163</v>
      </c>
      <c r="J3975" s="8" t="s">
        <v>2158</v>
      </c>
      <c r="K3975" s="6" t="str">
        <f>"4.032,00"</f>
        <v>4.032,00</v>
      </c>
      <c r="L3975" s="6" t="str">
        <f>"1.008,00"</f>
        <v>1.008,00</v>
      </c>
      <c r="M3975" s="6" t="str">
        <f>"5.040,00"</f>
        <v>5.040,00</v>
      </c>
      <c r="N3975" s="8" t="s">
        <v>220</v>
      </c>
      <c r="O3975" s="7"/>
      <c r="P3975" s="2" t="s">
        <v>7919</v>
      </c>
      <c r="Q3975" s="7"/>
      <c r="R3975" s="1"/>
      <c r="S3975" s="1" t="str">
        <f>"J-UN-2022-370"</f>
        <v>J-UN-2022-370</v>
      </c>
      <c r="T3975" s="1" t="s">
        <v>32</v>
      </c>
    </row>
    <row r="3976" spans="1:20" ht="63.75" x14ac:dyDescent="0.25">
      <c r="A3976" s="6">
        <v>3970</v>
      </c>
      <c r="B3976" s="1" t="str">
        <f>"2022-1321"</f>
        <v>2022-1321</v>
      </c>
      <c r="C3976" s="1" t="s">
        <v>2987</v>
      </c>
      <c r="D3976" s="1" t="s">
        <v>2988</v>
      </c>
      <c r="E3976" s="1" t="str">
        <f>""</f>
        <v/>
      </c>
      <c r="F3976" s="1" t="s">
        <v>1860</v>
      </c>
      <c r="G3976" s="1" t="str">
        <f t="shared" si="223"/>
        <v xml:space="preserve"> LANIŠTE D.O.O., ALEXANDERA VON HUMBOLDTA 4B, 10000 ZAGREB, OIB: 3755384865</v>
      </c>
      <c r="H3976" s="7"/>
      <c r="I3976" s="8" t="s">
        <v>163</v>
      </c>
      <c r="J3976" s="8" t="s">
        <v>2158</v>
      </c>
      <c r="K3976" s="6" t="str">
        <f>"4.032,00"</f>
        <v>4.032,00</v>
      </c>
      <c r="L3976" s="6" t="str">
        <f>"1.008,00"</f>
        <v>1.008,00</v>
      </c>
      <c r="M3976" s="6" t="str">
        <f>"5.040,00"</f>
        <v>5.040,00</v>
      </c>
      <c r="N3976" s="8" t="s">
        <v>220</v>
      </c>
      <c r="O3976" s="7"/>
      <c r="P3976" s="2" t="s">
        <v>7919</v>
      </c>
      <c r="Q3976" s="7"/>
      <c r="R3976" s="1"/>
      <c r="S3976" s="1" t="str">
        <f>"J-UN-2022-371"</f>
        <v>J-UN-2022-371</v>
      </c>
      <c r="T3976" s="1" t="s">
        <v>32</v>
      </c>
    </row>
    <row r="3977" spans="1:20" ht="63.75" x14ac:dyDescent="0.25">
      <c r="A3977" s="6">
        <v>3971</v>
      </c>
      <c r="B3977" s="1" t="str">
        <f>"2022-1289"</f>
        <v>2022-1289</v>
      </c>
      <c r="C3977" s="1" t="s">
        <v>2993</v>
      </c>
      <c r="D3977" s="1" t="s">
        <v>2994</v>
      </c>
      <c r="E3977" s="1" t="str">
        <f>""</f>
        <v/>
      </c>
      <c r="F3977" s="1" t="s">
        <v>1860</v>
      </c>
      <c r="G3977" s="1" t="str">
        <f t="shared" si="223"/>
        <v xml:space="preserve"> LANIŠTE D.O.O., ALEXANDERA VON HUMBOLDTA 4B, 10000 ZAGREB, OIB: 3755384865</v>
      </c>
      <c r="H3977" s="7"/>
      <c r="I3977" s="8" t="s">
        <v>163</v>
      </c>
      <c r="J3977" s="8" t="s">
        <v>2158</v>
      </c>
      <c r="K3977" s="6" t="str">
        <f>"3.632,00"</f>
        <v>3.632,00</v>
      </c>
      <c r="L3977" s="6" t="str">
        <f>"908,00"</f>
        <v>908,00</v>
      </c>
      <c r="M3977" s="6" t="str">
        <f>"4.540,00"</f>
        <v>4.540,00</v>
      </c>
      <c r="N3977" s="8" t="s">
        <v>220</v>
      </c>
      <c r="O3977" s="7"/>
      <c r="P3977" s="2" t="s">
        <v>7918</v>
      </c>
      <c r="Q3977" s="7"/>
      <c r="R3977" s="1"/>
      <c r="S3977" s="1" t="str">
        <f>"J-UN-2022-372"</f>
        <v>J-UN-2022-372</v>
      </c>
      <c r="T3977" s="1" t="s">
        <v>32</v>
      </c>
    </row>
    <row r="3978" spans="1:20" ht="63.75" x14ac:dyDescent="0.25">
      <c r="A3978" s="6">
        <v>3972</v>
      </c>
      <c r="B3978" s="1" t="str">
        <f>"2022-1291"</f>
        <v>2022-1291</v>
      </c>
      <c r="C3978" s="1" t="s">
        <v>2989</v>
      </c>
      <c r="D3978" s="1" t="s">
        <v>2990</v>
      </c>
      <c r="E3978" s="1" t="str">
        <f>""</f>
        <v/>
      </c>
      <c r="F3978" s="1" t="s">
        <v>1860</v>
      </c>
      <c r="G3978" s="1" t="str">
        <f t="shared" si="223"/>
        <v xml:space="preserve"> LANIŠTE D.O.O., ALEXANDERA VON HUMBOLDTA 4B, 10000 ZAGREB, OIB: 3755384865</v>
      </c>
      <c r="H3978" s="7"/>
      <c r="I3978" s="8" t="s">
        <v>804</v>
      </c>
      <c r="J3978" s="8" t="s">
        <v>1327</v>
      </c>
      <c r="K3978" s="6" t="str">
        <f>"3.636,00"</f>
        <v>3.636,00</v>
      </c>
      <c r="L3978" s="6" t="str">
        <f>"909,00"</f>
        <v>909,00</v>
      </c>
      <c r="M3978" s="6" t="str">
        <f>"4.545,00"</f>
        <v>4.545,00</v>
      </c>
      <c r="N3978" s="8" t="s">
        <v>220</v>
      </c>
      <c r="O3978" s="7"/>
      <c r="P3978" s="2" t="s">
        <v>7917</v>
      </c>
      <c r="Q3978" s="7"/>
      <c r="R3978" s="1"/>
      <c r="S3978" s="1" t="str">
        <f>"J-UN-2022-373"</f>
        <v>J-UN-2022-373</v>
      </c>
      <c r="T3978" s="1" t="s">
        <v>32</v>
      </c>
    </row>
    <row r="3979" spans="1:20" ht="51" x14ac:dyDescent="0.25">
      <c r="A3979" s="6">
        <v>3973</v>
      </c>
      <c r="B3979" s="1" t="str">
        <f>"2022-323"</f>
        <v>2022-323</v>
      </c>
      <c r="C3979" s="1" t="s">
        <v>2687</v>
      </c>
      <c r="D3979" s="1" t="s">
        <v>2688</v>
      </c>
      <c r="E3979" s="1" t="str">
        <f>""</f>
        <v/>
      </c>
      <c r="F3979" s="1" t="s">
        <v>1860</v>
      </c>
      <c r="G3979" s="1" t="str">
        <f>CONCATENATE(" VODOSKOK D.D.,"," ČULINEČKA CESTA 221/C,"," 10040 ZAGREB,"," OIB: 34134218058")</f>
        <v xml:space="preserve"> VODOSKOK D.D., ČULINEČKA CESTA 221/C, 10040 ZAGREB, OIB: 34134218058</v>
      </c>
      <c r="H3979" s="7"/>
      <c r="I3979" s="8" t="s">
        <v>42</v>
      </c>
      <c r="J3979" s="8" t="s">
        <v>796</v>
      </c>
      <c r="K3979" s="6" t="str">
        <f>"1.221,00"</f>
        <v>1.221,00</v>
      </c>
      <c r="L3979" s="6" t="str">
        <f>"305,25"</f>
        <v>305,25</v>
      </c>
      <c r="M3979" s="6" t="str">
        <f>"1.526,25"</f>
        <v>1.526,25</v>
      </c>
      <c r="N3979" s="8" t="s">
        <v>291</v>
      </c>
      <c r="O3979" s="7"/>
      <c r="P3979" s="2" t="s">
        <v>7993</v>
      </c>
      <c r="Q3979" s="7"/>
      <c r="R3979" s="1"/>
      <c r="S3979" s="1" t="str">
        <f>"J-UN-2022-374"</f>
        <v>J-UN-2022-374</v>
      </c>
      <c r="T3979" s="1" t="s">
        <v>32</v>
      </c>
    </row>
    <row r="3980" spans="1:20" ht="51" x14ac:dyDescent="0.25">
      <c r="A3980" s="6">
        <v>3974</v>
      </c>
      <c r="B3980" s="1" t="str">
        <f>"2022-485"</f>
        <v>2022-485</v>
      </c>
      <c r="C3980" s="1" t="s">
        <v>2614</v>
      </c>
      <c r="D3980" s="1" t="s">
        <v>619</v>
      </c>
      <c r="E3980" s="1" t="str">
        <f>""</f>
        <v/>
      </c>
      <c r="F3980" s="1" t="s">
        <v>1860</v>
      </c>
      <c r="G3980" s="1" t="str">
        <f>CONCATENATE(" SAFIR D.O.O.,"," HORVAĆANSKA 17,"," 10000 ZAGREB,"," OIB: 33548604975")</f>
        <v xml:space="preserve"> SAFIR D.O.O., HORVAĆANSKA 17, 10000 ZAGREB, OIB: 33548604975</v>
      </c>
      <c r="H3980" s="7"/>
      <c r="I3980" s="8" t="s">
        <v>42</v>
      </c>
      <c r="J3980" s="8" t="s">
        <v>796</v>
      </c>
      <c r="K3980" s="6" t="str">
        <f>"456,00"</f>
        <v>456,00</v>
      </c>
      <c r="L3980" s="6" t="str">
        <f>"114,00"</f>
        <v>114,00</v>
      </c>
      <c r="M3980" s="6" t="str">
        <f>"570,00"</f>
        <v>570,00</v>
      </c>
      <c r="N3980" s="8" t="s">
        <v>920</v>
      </c>
      <c r="O3980" s="7"/>
      <c r="P3980" s="2" t="s">
        <v>7559</v>
      </c>
      <c r="Q3980" s="7"/>
      <c r="R3980" s="1"/>
      <c r="S3980" s="1" t="str">
        <f>"J-UN-2022-375"</f>
        <v>J-UN-2022-375</v>
      </c>
      <c r="T3980" s="1" t="s">
        <v>32</v>
      </c>
    </row>
    <row r="3981" spans="1:20" ht="63.75" x14ac:dyDescent="0.25">
      <c r="A3981" s="6">
        <v>3975</v>
      </c>
      <c r="B3981" s="1" t="str">
        <f>"2022-295"</f>
        <v>2022-295</v>
      </c>
      <c r="C3981" s="1" t="s">
        <v>2836</v>
      </c>
      <c r="D3981" s="1" t="s">
        <v>689</v>
      </c>
      <c r="E3981" s="1" t="str">
        <f>""</f>
        <v/>
      </c>
      <c r="F3981" s="1" t="s">
        <v>1860</v>
      </c>
      <c r="G3981" s="1" t="str">
        <f>CONCATENATE(" KEMOBOJA-DUBRAVA D.O.O.,"," AVENIJA DUBRAVA 37,"," 10000 ZAGREB,"," OIB: 6402157427")</f>
        <v xml:space="preserve"> KEMOBOJA-DUBRAVA D.O.O., AVENIJA DUBRAVA 37, 10000 ZAGREB, OIB: 6402157427</v>
      </c>
      <c r="H3981" s="7"/>
      <c r="I3981" s="8" t="s">
        <v>42</v>
      </c>
      <c r="J3981" s="8" t="s">
        <v>796</v>
      </c>
      <c r="K3981" s="6" t="str">
        <f>"340,00"</f>
        <v>340,00</v>
      </c>
      <c r="L3981" s="6" t="str">
        <f>"85,00"</f>
        <v>85,00</v>
      </c>
      <c r="M3981" s="6" t="str">
        <f>"425,00"</f>
        <v>425,00</v>
      </c>
      <c r="N3981" s="8" t="s">
        <v>94</v>
      </c>
      <c r="O3981" s="7"/>
      <c r="P3981" s="2" t="s">
        <v>7394</v>
      </c>
      <c r="Q3981" s="7"/>
      <c r="R3981" s="1"/>
      <c r="S3981" s="1" t="str">
        <f>"J-UN-2022-376"</f>
        <v>J-UN-2022-376</v>
      </c>
      <c r="T3981" s="1" t="s">
        <v>32</v>
      </c>
    </row>
    <row r="3982" spans="1:20" ht="51" x14ac:dyDescent="0.25">
      <c r="A3982" s="6">
        <v>3976</v>
      </c>
      <c r="B3982" s="1" t="str">
        <f>"2022-648"</f>
        <v>2022-648</v>
      </c>
      <c r="C3982" s="1" t="s">
        <v>2848</v>
      </c>
      <c r="D3982" s="1" t="s">
        <v>2849</v>
      </c>
      <c r="E3982" s="1" t="str">
        <f>""</f>
        <v/>
      </c>
      <c r="F3982" s="1" t="s">
        <v>1860</v>
      </c>
      <c r="G3982" s="1" t="str">
        <f>CONCATENATE(" GEO WILD D.O.O.,"," IVANA KUKULJEVIĆA 6/4,"," 10000 ZAGREB,"," OIB: 99307623254")</f>
        <v xml:space="preserve"> GEO WILD D.O.O., IVANA KUKULJEVIĆA 6/4, 10000 ZAGREB, OIB: 99307623254</v>
      </c>
      <c r="H3982" s="7"/>
      <c r="I3982" s="8" t="s">
        <v>42</v>
      </c>
      <c r="J3982" s="8" t="s">
        <v>796</v>
      </c>
      <c r="K3982" s="6" t="str">
        <f>"4.000,00"</f>
        <v>4.000,00</v>
      </c>
      <c r="L3982" s="6" t="str">
        <f>"1.000,00"</f>
        <v>1.000,00</v>
      </c>
      <c r="M3982" s="6" t="str">
        <f>"5.000,00"</f>
        <v>5.000,00</v>
      </c>
      <c r="N3982" s="8" t="s">
        <v>499</v>
      </c>
      <c r="O3982" s="7"/>
      <c r="P3982" s="2" t="s">
        <v>6367</v>
      </c>
      <c r="Q3982" s="7"/>
      <c r="R3982" s="1"/>
      <c r="S3982" s="1" t="str">
        <f>"J-UN-2022-377"</f>
        <v>J-UN-2022-377</v>
      </c>
      <c r="T3982" s="1" t="s">
        <v>32</v>
      </c>
    </row>
    <row r="3983" spans="1:20" ht="51" x14ac:dyDescent="0.25">
      <c r="A3983" s="6">
        <v>3977</v>
      </c>
      <c r="B3983" s="1" t="str">
        <f>"2022-715"</f>
        <v>2022-715</v>
      </c>
      <c r="C3983" s="1" t="s">
        <v>2733</v>
      </c>
      <c r="D3983" s="1" t="s">
        <v>914</v>
      </c>
      <c r="E3983" s="1" t="str">
        <f>""</f>
        <v/>
      </c>
      <c r="F3983" s="1" t="s">
        <v>1860</v>
      </c>
      <c r="G3983" s="1" t="str">
        <f>CONCATENATE(" AUTOMEHANIKA D.D.,"," KOVINSKA 4,"," 10000 ZAGREB,"," OIB: 5223317126")</f>
        <v xml:space="preserve"> AUTOMEHANIKA D.D., KOVINSKA 4, 10000 ZAGREB, OIB: 5223317126</v>
      </c>
      <c r="H3983" s="7"/>
      <c r="I3983" s="8" t="s">
        <v>127</v>
      </c>
      <c r="J3983" s="8" t="s">
        <v>1456</v>
      </c>
      <c r="K3983" s="6" t="str">
        <f>"3.360,79"</f>
        <v>3.360,79</v>
      </c>
      <c r="L3983" s="6" t="str">
        <f>"840,20"</f>
        <v>840,20</v>
      </c>
      <c r="M3983" s="6" t="str">
        <f>"4.200,99"</f>
        <v>4.200,99</v>
      </c>
      <c r="N3983" s="8" t="s">
        <v>1119</v>
      </c>
      <c r="O3983" s="7"/>
      <c r="P3983" s="2" t="s">
        <v>7994</v>
      </c>
      <c r="Q3983" s="7"/>
      <c r="R3983" s="1"/>
      <c r="S3983" s="1" t="str">
        <f>"J-UN-2022-378"</f>
        <v>J-UN-2022-378</v>
      </c>
      <c r="T3983" s="1" t="s">
        <v>32</v>
      </c>
    </row>
    <row r="3984" spans="1:20" ht="63.75" x14ac:dyDescent="0.25">
      <c r="A3984" s="6">
        <v>3978</v>
      </c>
      <c r="B3984" s="1" t="str">
        <f>"2022-1434"</f>
        <v>2022-1434</v>
      </c>
      <c r="C3984" s="1" t="s">
        <v>2558</v>
      </c>
      <c r="D3984" s="1" t="s">
        <v>860</v>
      </c>
      <c r="E3984" s="1" t="str">
        <f>""</f>
        <v/>
      </c>
      <c r="F3984" s="1" t="s">
        <v>1860</v>
      </c>
      <c r="G3984" s="1" t="str">
        <f>CONCATENATE(" METAL KRMPOTIĆ D.O.O.,"," SAMOBORSKA 230,"," 10090 ZAGREB-SUSEDGRAD,"," OIB: 09304335375")</f>
        <v xml:space="preserve"> METAL KRMPOTIĆ D.O.O., SAMOBORSKA 230, 10090 ZAGREB-SUSEDGRAD, OIB: 09304335375</v>
      </c>
      <c r="H3984" s="7"/>
      <c r="I3984" s="8" t="s">
        <v>804</v>
      </c>
      <c r="J3984" s="8" t="s">
        <v>1327</v>
      </c>
      <c r="K3984" s="6" t="str">
        <f>"1.200,00"</f>
        <v>1.200,00</v>
      </c>
      <c r="L3984" s="6" t="str">
        <f>"300,00"</f>
        <v>300,00</v>
      </c>
      <c r="M3984" s="6" t="str">
        <f>"1.500,00"</f>
        <v>1.500,00</v>
      </c>
      <c r="N3984" s="8" t="s">
        <v>124</v>
      </c>
      <c r="O3984" s="7"/>
      <c r="P3984" s="2" t="s">
        <v>5614</v>
      </c>
      <c r="Q3984" s="7"/>
      <c r="R3984" s="1"/>
      <c r="S3984" s="1" t="str">
        <f>"J-UN-2022-379"</f>
        <v>J-UN-2022-379</v>
      </c>
      <c r="T3984" s="1" t="s">
        <v>32</v>
      </c>
    </row>
    <row r="3985" spans="1:20" ht="76.5" x14ac:dyDescent="0.25">
      <c r="A3985" s="6">
        <v>3979</v>
      </c>
      <c r="B3985" s="1" t="str">
        <f>"2022-363"</f>
        <v>2022-363</v>
      </c>
      <c r="C3985" s="1" t="s">
        <v>2609</v>
      </c>
      <c r="D3985" s="1" t="s">
        <v>2610</v>
      </c>
      <c r="E3985" s="1" t="str">
        <f>""</f>
        <v/>
      </c>
      <c r="F3985" s="1" t="s">
        <v>1860</v>
      </c>
      <c r="G3985" s="1" t="str">
        <f>CONCATENATE(" SMIT-COMMERCE D.O.O.,"," GORNJOSTUPNIČKA 9B,"," 10255 GORNJI STUPNIK,"," OIB: 9524348214")</f>
        <v xml:space="preserve"> SMIT-COMMERCE D.O.O., GORNJOSTUPNIČKA 9B, 10255 GORNJI STUPNIK, OIB: 9524348214</v>
      </c>
      <c r="H3985" s="7"/>
      <c r="I3985" s="8" t="s">
        <v>42</v>
      </c>
      <c r="J3985" s="8" t="s">
        <v>796</v>
      </c>
      <c r="K3985" s="6" t="str">
        <f>"2.544,00"</f>
        <v>2.544,00</v>
      </c>
      <c r="L3985" s="6" t="str">
        <f>"636,00"</f>
        <v>636,00</v>
      </c>
      <c r="M3985" s="6" t="str">
        <f>"3.180,00"</f>
        <v>3.180,00</v>
      </c>
      <c r="N3985" s="8" t="s">
        <v>260</v>
      </c>
      <c r="O3985" s="7"/>
      <c r="P3985" s="2" t="s">
        <v>7995</v>
      </c>
      <c r="Q3985" s="7"/>
      <c r="R3985" s="1"/>
      <c r="S3985" s="1" t="str">
        <f>"J-UN-2022-380"</f>
        <v>J-UN-2022-380</v>
      </c>
      <c r="T3985" s="1" t="s">
        <v>32</v>
      </c>
    </row>
    <row r="3986" spans="1:20" ht="51" x14ac:dyDescent="0.25">
      <c r="A3986" s="6">
        <v>3980</v>
      </c>
      <c r="B3986" s="1" t="str">
        <f>"2022-1224"</f>
        <v>2022-1224</v>
      </c>
      <c r="C3986" s="1" t="s">
        <v>2697</v>
      </c>
      <c r="D3986" s="1" t="s">
        <v>2698</v>
      </c>
      <c r="E3986" s="1" t="str">
        <f>""</f>
        <v/>
      </c>
      <c r="F3986" s="1" t="s">
        <v>1860</v>
      </c>
      <c r="G3986" s="1" t="str">
        <f>CONCATENATE(" CROATIAINSPECT D.O.O.,"," TKALČIĆEVA 7,"," 10000 ZAGREB,"," OIB: 17295810199")</f>
        <v xml:space="preserve"> CROATIAINSPECT D.O.O., TKALČIĆEVA 7, 10000 ZAGREB, OIB: 17295810199</v>
      </c>
      <c r="H3986" s="7"/>
      <c r="I3986" s="8" t="s">
        <v>42</v>
      </c>
      <c r="J3986" s="8" t="s">
        <v>796</v>
      </c>
      <c r="K3986" s="6" t="str">
        <f>"3.700,00"</f>
        <v>3.700,00</v>
      </c>
      <c r="L3986" s="6" t="str">
        <f>"925,00"</f>
        <v>925,00</v>
      </c>
      <c r="M3986" s="6" t="str">
        <f>"4.625,00"</f>
        <v>4.625,00</v>
      </c>
      <c r="N3986" s="8" t="s">
        <v>500</v>
      </c>
      <c r="O3986" s="7"/>
      <c r="P3986" s="2" t="s">
        <v>7996</v>
      </c>
      <c r="Q3986" s="7"/>
      <c r="R3986" s="1"/>
      <c r="S3986" s="1" t="str">
        <f>"J-UN-2022-381"</f>
        <v>J-UN-2022-381</v>
      </c>
      <c r="T3986" s="1" t="s">
        <v>32</v>
      </c>
    </row>
    <row r="3987" spans="1:20" ht="63.75" x14ac:dyDescent="0.25">
      <c r="A3987" s="6">
        <v>3981</v>
      </c>
      <c r="B3987" s="1" t="str">
        <f>"2022-459"</f>
        <v>2022-459</v>
      </c>
      <c r="C3987" s="1" t="s">
        <v>2795</v>
      </c>
      <c r="D3987" s="1" t="s">
        <v>1619</v>
      </c>
      <c r="E3987" s="1" t="str">
        <f>""</f>
        <v/>
      </c>
      <c r="F3987" s="1" t="s">
        <v>1860</v>
      </c>
      <c r="G3987" s="1" t="str">
        <f>CONCATENATE(" GRA-PO D.O.O.,"," GOSPODARSKA 5B,"," 10255 ZAGREB - STUPNIK,"," OIB: 05364995085")</f>
        <v xml:space="preserve"> GRA-PO D.O.O., GOSPODARSKA 5B, 10255 ZAGREB - STUPNIK, OIB: 05364995085</v>
      </c>
      <c r="H3987" s="7"/>
      <c r="I3987" s="8" t="s">
        <v>127</v>
      </c>
      <c r="J3987" s="8" t="s">
        <v>1456</v>
      </c>
      <c r="K3987" s="6" t="str">
        <f>"2.540,00"</f>
        <v>2.540,00</v>
      </c>
      <c r="L3987" s="6" t="str">
        <f>"635,00"</f>
        <v>635,00</v>
      </c>
      <c r="M3987" s="6" t="str">
        <f>"3.175,00"</f>
        <v>3.175,00</v>
      </c>
      <c r="N3987" s="8" t="s">
        <v>345</v>
      </c>
      <c r="O3987" s="7"/>
      <c r="P3987" s="2" t="s">
        <v>7447</v>
      </c>
      <c r="Q3987" s="7"/>
      <c r="R3987" s="1"/>
      <c r="S3987" s="1" t="str">
        <f>"J-UN-2022-382"</f>
        <v>J-UN-2022-382</v>
      </c>
      <c r="T3987" s="1" t="s">
        <v>32</v>
      </c>
    </row>
    <row r="3988" spans="1:20" ht="51" x14ac:dyDescent="0.25">
      <c r="A3988" s="6">
        <v>3982</v>
      </c>
      <c r="B3988" s="1" t="str">
        <f>"2022-453"</f>
        <v>2022-453</v>
      </c>
      <c r="C3988" s="1" t="s">
        <v>2829</v>
      </c>
      <c r="D3988" s="1" t="s">
        <v>2830</v>
      </c>
      <c r="E3988" s="1" t="str">
        <f>""</f>
        <v/>
      </c>
      <c r="F3988" s="1" t="s">
        <v>1860</v>
      </c>
      <c r="G3988" s="1" t="str">
        <f>CONCATENATE(" EKO DONUM D.O.O.,"," MOHOROVIČIĆEVA 38,"," 10000 ZAGREB,"," OIB: 93039268123")</f>
        <v xml:space="preserve"> EKO DONUM D.O.O., MOHOROVIČIĆEVA 38, 10000 ZAGREB, OIB: 93039268123</v>
      </c>
      <c r="H3988" s="7"/>
      <c r="I3988" s="8" t="s">
        <v>163</v>
      </c>
      <c r="J3988" s="8" t="s">
        <v>2158</v>
      </c>
      <c r="K3988" s="6" t="str">
        <f>"3.835,60"</f>
        <v>3.835,60</v>
      </c>
      <c r="L3988" s="6" t="str">
        <f>"958,90"</f>
        <v>958,90</v>
      </c>
      <c r="M3988" s="6" t="str">
        <f>"4.794,50"</f>
        <v>4.794,50</v>
      </c>
      <c r="N3988" s="8" t="s">
        <v>163</v>
      </c>
      <c r="O3988" s="7"/>
      <c r="P3988" s="2" t="s">
        <v>7997</v>
      </c>
      <c r="Q3988" s="7"/>
      <c r="R3988" s="1"/>
      <c r="S3988" s="1" t="str">
        <f>"J-UN-2022-385"</f>
        <v>J-UN-2022-385</v>
      </c>
      <c r="T3988" s="1" t="s">
        <v>32</v>
      </c>
    </row>
    <row r="3989" spans="1:20" ht="51" x14ac:dyDescent="0.25">
      <c r="A3989" s="6">
        <v>3983</v>
      </c>
      <c r="B3989" s="1" t="str">
        <f>"2022-706"</f>
        <v>2022-706</v>
      </c>
      <c r="C3989" s="1" t="s">
        <v>2670</v>
      </c>
      <c r="D3989" s="1" t="s">
        <v>2671</v>
      </c>
      <c r="E3989" s="1" t="str">
        <f>""</f>
        <v/>
      </c>
      <c r="F3989" s="1" t="s">
        <v>1860</v>
      </c>
      <c r="G3989" s="1" t="str">
        <f>CONCATENATE(" SAFIR D.O.O.,"," HORVAĆANSKA 17,"," 10000 ZAGREB,"," OIB: 33548604975")</f>
        <v xml:space="preserve"> SAFIR D.O.O., HORVAĆANSKA 17, 10000 ZAGREB, OIB: 33548604975</v>
      </c>
      <c r="H3989" s="7"/>
      <c r="I3989" s="8" t="s">
        <v>255</v>
      </c>
      <c r="J3989" s="8" t="s">
        <v>1385</v>
      </c>
      <c r="K3989" s="6" t="str">
        <f>"1.380,00"</f>
        <v>1.380,00</v>
      </c>
      <c r="L3989" s="6" t="str">
        <f>"345,00"</f>
        <v>345,00</v>
      </c>
      <c r="M3989" s="6" t="str">
        <f>"1.725,00"</f>
        <v>1.725,00</v>
      </c>
      <c r="N3989" s="8" t="s">
        <v>499</v>
      </c>
      <c r="O3989" s="7"/>
      <c r="P3989" s="2" t="s">
        <v>5960</v>
      </c>
      <c r="Q3989" s="7"/>
      <c r="R3989" s="1"/>
      <c r="S3989" s="1" t="str">
        <f>"J-UN-2022-387"</f>
        <v>J-UN-2022-387</v>
      </c>
      <c r="T3989" s="1" t="s">
        <v>32</v>
      </c>
    </row>
    <row r="3990" spans="1:20" ht="51" x14ac:dyDescent="0.25">
      <c r="A3990" s="6">
        <v>3984</v>
      </c>
      <c r="B3990" s="1" t="str">
        <f>"2022-95"</f>
        <v>2022-95</v>
      </c>
      <c r="C3990" s="1" t="s">
        <v>2761</v>
      </c>
      <c r="D3990" s="1" t="s">
        <v>2762</v>
      </c>
      <c r="E3990" s="1" t="str">
        <f>""</f>
        <v/>
      </c>
      <c r="F3990" s="1" t="s">
        <v>1860</v>
      </c>
      <c r="G3990" s="1" t="str">
        <f>CONCATENATE(" BALANS VAGA J. D. O. O.,"," OSJEČKA 76,"," 51000 RIJEKA,"," OIB: 713617952")</f>
        <v xml:space="preserve"> BALANS VAGA J. D. O. O., OSJEČKA 76, 51000 RIJEKA, OIB: 713617952</v>
      </c>
      <c r="H3990" s="7"/>
      <c r="I3990" s="8" t="s">
        <v>804</v>
      </c>
      <c r="J3990" s="8" t="s">
        <v>1327</v>
      </c>
      <c r="K3990" s="6" t="str">
        <f>"1.800,00"</f>
        <v>1.800,00</v>
      </c>
      <c r="L3990" s="6" t="str">
        <f>"450,00"</f>
        <v>450,00</v>
      </c>
      <c r="M3990" s="6" t="str">
        <f>"2.250,00"</f>
        <v>2.250,00</v>
      </c>
      <c r="N3990" s="8" t="s">
        <v>425</v>
      </c>
      <c r="O3990" s="7"/>
      <c r="P3990" s="2" t="s">
        <v>5641</v>
      </c>
      <c r="Q3990" s="7"/>
      <c r="R3990" s="1"/>
      <c r="S3990" s="1" t="str">
        <f>"J-UN-2022-388"</f>
        <v>J-UN-2022-388</v>
      </c>
      <c r="T3990" s="1" t="s">
        <v>32</v>
      </c>
    </row>
    <row r="3991" spans="1:20" ht="63.75" x14ac:dyDescent="0.25">
      <c r="A3991" s="6">
        <v>3985</v>
      </c>
      <c r="B3991" s="1" t="str">
        <f>"2022-1429"</f>
        <v>2022-1429</v>
      </c>
      <c r="C3991" s="1" t="s">
        <v>2984</v>
      </c>
      <c r="D3991" s="1" t="s">
        <v>2985</v>
      </c>
      <c r="E3991" s="1" t="str">
        <f>""</f>
        <v/>
      </c>
      <c r="F3991" s="1" t="s">
        <v>1860</v>
      </c>
      <c r="G3991" s="1" t="str">
        <f>CONCATENATE(" LANIŠTE D.O.O.,"," ALEXANDERA VON HUMBOLDTA 4B,"," 10000 ZAGREB,"," OIB: 3755384865")</f>
        <v xml:space="preserve"> LANIŠTE D.O.O., ALEXANDERA VON HUMBOLDTA 4B, 10000 ZAGREB, OIB: 3755384865</v>
      </c>
      <c r="H3991" s="7"/>
      <c r="I3991" s="8" t="s">
        <v>804</v>
      </c>
      <c r="J3991" s="8" t="s">
        <v>1327</v>
      </c>
      <c r="K3991" s="6" t="str">
        <f>"4.032,00"</f>
        <v>4.032,00</v>
      </c>
      <c r="L3991" s="6" t="str">
        <f>"1.008,00"</f>
        <v>1.008,00</v>
      </c>
      <c r="M3991" s="6" t="str">
        <f>"5.040,00"</f>
        <v>5.040,00</v>
      </c>
      <c r="N3991" s="8" t="s">
        <v>503</v>
      </c>
      <c r="O3991" s="7"/>
      <c r="P3991" s="2" t="s">
        <v>7919</v>
      </c>
      <c r="Q3991" s="7"/>
      <c r="R3991" s="1"/>
      <c r="S3991" s="1" t="str">
        <f>"J-UN-2022-389"</f>
        <v>J-UN-2022-389</v>
      </c>
      <c r="T3991" s="1" t="s">
        <v>32</v>
      </c>
    </row>
    <row r="3992" spans="1:20" ht="63.75" x14ac:dyDescent="0.25">
      <c r="A3992" s="6">
        <v>3986</v>
      </c>
      <c r="B3992" s="1" t="str">
        <f>"2022-1430"</f>
        <v>2022-1430</v>
      </c>
      <c r="C3992" s="1" t="s">
        <v>2986</v>
      </c>
      <c r="D3992" s="1" t="s">
        <v>2985</v>
      </c>
      <c r="E3992" s="1" t="str">
        <f>""</f>
        <v/>
      </c>
      <c r="F3992" s="1" t="s">
        <v>1860</v>
      </c>
      <c r="G3992" s="1" t="str">
        <f>CONCATENATE(" LANIŠTE D.O.O.,"," ALEXANDERA VON HUMBOLDTA 4B,"," 10000 ZAGREB,"," OIB: 3755384865")</f>
        <v xml:space="preserve"> LANIŠTE D.O.O., ALEXANDERA VON HUMBOLDTA 4B, 10000 ZAGREB, OIB: 3755384865</v>
      </c>
      <c r="H3992" s="7"/>
      <c r="I3992" s="8" t="s">
        <v>804</v>
      </c>
      <c r="J3992" s="8" t="s">
        <v>123</v>
      </c>
      <c r="K3992" s="6" t="str">
        <f>"7.452,00"</f>
        <v>7.452,00</v>
      </c>
      <c r="L3992" s="6" t="str">
        <f>"1.863,00"</f>
        <v>1.863,00</v>
      </c>
      <c r="M3992" s="6" t="str">
        <f>"9.315,00"</f>
        <v>9.315,00</v>
      </c>
      <c r="N3992" s="8" t="s">
        <v>503</v>
      </c>
      <c r="O3992" s="7"/>
      <c r="P3992" s="2" t="s">
        <v>7998</v>
      </c>
      <c r="Q3992" s="7"/>
      <c r="R3992" s="1"/>
      <c r="S3992" s="1" t="str">
        <f>"J-UN-2022-390"</f>
        <v>J-UN-2022-390</v>
      </c>
      <c r="T3992" s="1" t="s">
        <v>32</v>
      </c>
    </row>
    <row r="3993" spans="1:20" ht="63.75" x14ac:dyDescent="0.25">
      <c r="A3993" s="6">
        <v>3987</v>
      </c>
      <c r="B3993" s="1" t="str">
        <f>"2022-1321"</f>
        <v>2022-1321</v>
      </c>
      <c r="C3993" s="1" t="s">
        <v>2987</v>
      </c>
      <c r="D3993" s="1" t="s">
        <v>2988</v>
      </c>
      <c r="E3993" s="1" t="str">
        <f>""</f>
        <v/>
      </c>
      <c r="F3993" s="1" t="s">
        <v>1860</v>
      </c>
      <c r="G3993" s="1" t="str">
        <f>CONCATENATE(" LANIŠTE D.O.O.,"," ALEXANDERA VON HUMBOLDTA 4B,"," 10000 ZAGREB,"," OIB: 3755384865")</f>
        <v xml:space="preserve"> LANIŠTE D.O.O., ALEXANDERA VON HUMBOLDTA 4B, 10000 ZAGREB, OIB: 3755384865</v>
      </c>
      <c r="H3993" s="7"/>
      <c r="I3993" s="8" t="s">
        <v>163</v>
      </c>
      <c r="J3993" s="8" t="s">
        <v>123</v>
      </c>
      <c r="K3993" s="6" t="str">
        <f>"7.452,00"</f>
        <v>7.452,00</v>
      </c>
      <c r="L3993" s="6" t="str">
        <f>"1.863,00"</f>
        <v>1.863,00</v>
      </c>
      <c r="M3993" s="6" t="str">
        <f>"9.315,00"</f>
        <v>9.315,00</v>
      </c>
      <c r="N3993" s="8" t="s">
        <v>503</v>
      </c>
      <c r="O3993" s="7"/>
      <c r="P3993" s="2" t="s">
        <v>7998</v>
      </c>
      <c r="Q3993" s="7"/>
      <c r="R3993" s="1"/>
      <c r="S3993" s="1" t="str">
        <f>"J-UN-2022-391"</f>
        <v>J-UN-2022-391</v>
      </c>
      <c r="T3993" s="1" t="s">
        <v>32</v>
      </c>
    </row>
    <row r="3994" spans="1:20" ht="63.75" x14ac:dyDescent="0.25">
      <c r="A3994" s="6">
        <v>3988</v>
      </c>
      <c r="B3994" s="1" t="str">
        <f>"2022-1289"</f>
        <v>2022-1289</v>
      </c>
      <c r="C3994" s="1" t="s">
        <v>2993</v>
      </c>
      <c r="D3994" s="1" t="s">
        <v>2994</v>
      </c>
      <c r="E3994" s="1" t="str">
        <f>""</f>
        <v/>
      </c>
      <c r="F3994" s="1" t="s">
        <v>1860</v>
      </c>
      <c r="G3994" s="1" t="str">
        <f>CONCATENATE(" LANIŠTE D.O.O.,"," ALEXANDERA VON HUMBOLDTA 4B,"," 10000 ZAGREB,"," OIB: 3755384865")</f>
        <v xml:space="preserve"> LANIŠTE D.O.O., ALEXANDERA VON HUMBOLDTA 4B, 10000 ZAGREB, OIB: 3755384865</v>
      </c>
      <c r="H3994" s="7"/>
      <c r="I3994" s="8" t="s">
        <v>163</v>
      </c>
      <c r="J3994" s="8" t="s">
        <v>123</v>
      </c>
      <c r="K3994" s="6" t="str">
        <f>"6.712,00"</f>
        <v>6.712,00</v>
      </c>
      <c r="L3994" s="6" t="str">
        <f>"1.678,00"</f>
        <v>1.678,00</v>
      </c>
      <c r="M3994" s="6" t="str">
        <f>"8.390,00"</f>
        <v>8.390,00</v>
      </c>
      <c r="N3994" s="8" t="s">
        <v>503</v>
      </c>
      <c r="O3994" s="7"/>
      <c r="P3994" s="2" t="s">
        <v>7999</v>
      </c>
      <c r="Q3994" s="7"/>
      <c r="R3994" s="1"/>
      <c r="S3994" s="1" t="str">
        <f>"J-UN-2022-392"</f>
        <v>J-UN-2022-392</v>
      </c>
      <c r="T3994" s="1" t="s">
        <v>32</v>
      </c>
    </row>
    <row r="3995" spans="1:20" ht="63.75" x14ac:dyDescent="0.25">
      <c r="A3995" s="6">
        <v>3989</v>
      </c>
      <c r="B3995" s="1" t="str">
        <f>"2022-1291"</f>
        <v>2022-1291</v>
      </c>
      <c r="C3995" s="1" t="s">
        <v>2989</v>
      </c>
      <c r="D3995" s="1" t="s">
        <v>2990</v>
      </c>
      <c r="E3995" s="1" t="str">
        <f>""</f>
        <v/>
      </c>
      <c r="F3995" s="1" t="s">
        <v>1860</v>
      </c>
      <c r="G3995" s="1" t="str">
        <f>CONCATENATE(" LANIŠTE D.O.O.,"," ALEXANDERA VON HUMBOLDTA 4B,"," 10000 ZAGREB,"," OIB: 3755384865")</f>
        <v xml:space="preserve"> LANIŠTE D.O.O., ALEXANDERA VON HUMBOLDTA 4B, 10000 ZAGREB, OIB: 3755384865</v>
      </c>
      <c r="H3995" s="7"/>
      <c r="I3995" s="8" t="s">
        <v>163</v>
      </c>
      <c r="J3995" s="8" t="s">
        <v>123</v>
      </c>
      <c r="K3995" s="6" t="str">
        <f>"6.716,00"</f>
        <v>6.716,00</v>
      </c>
      <c r="L3995" s="6" t="str">
        <f>"1.679,00"</f>
        <v>1.679,00</v>
      </c>
      <c r="M3995" s="6" t="str">
        <f>"8.395,00"</f>
        <v>8.395,00</v>
      </c>
      <c r="N3995" s="8" t="s">
        <v>503</v>
      </c>
      <c r="O3995" s="7"/>
      <c r="P3995" s="2" t="s">
        <v>8000</v>
      </c>
      <c r="Q3995" s="7"/>
      <c r="R3995" s="1"/>
      <c r="S3995" s="1" t="str">
        <f>"J-UN-2022-393"</f>
        <v>J-UN-2022-393</v>
      </c>
      <c r="T3995" s="1" t="s">
        <v>32</v>
      </c>
    </row>
    <row r="3996" spans="1:20" ht="51" x14ac:dyDescent="0.25">
      <c r="A3996" s="6">
        <v>3990</v>
      </c>
      <c r="B3996" s="1" t="str">
        <f>"2022-95"</f>
        <v>2022-95</v>
      </c>
      <c r="C3996" s="1" t="s">
        <v>2761</v>
      </c>
      <c r="D3996" s="1" t="s">
        <v>2762</v>
      </c>
      <c r="E3996" s="1" t="str">
        <f>""</f>
        <v/>
      </c>
      <c r="F3996" s="1" t="s">
        <v>1860</v>
      </c>
      <c r="G3996" s="1" t="str">
        <f>CONCATENATE(" DIMO-PROMET D.O.O.,"," HRASTIN PRILAZ 2,"," 10000 ZAGREB,"," OIB: 68626176119")</f>
        <v xml:space="preserve"> DIMO-PROMET D.O.O., HRASTIN PRILAZ 2, 10000 ZAGREB, OIB: 68626176119</v>
      </c>
      <c r="H3996" s="7"/>
      <c r="I3996" s="8" t="s">
        <v>127</v>
      </c>
      <c r="J3996" s="8" t="s">
        <v>1456</v>
      </c>
      <c r="K3996" s="6" t="str">
        <f>"6.228,00"</f>
        <v>6.228,00</v>
      </c>
      <c r="L3996" s="6" t="str">
        <f>"1.557,00"</f>
        <v>1.557,00</v>
      </c>
      <c r="M3996" s="6" t="str">
        <f>"7.785,00"</f>
        <v>7.785,00</v>
      </c>
      <c r="N3996" s="8" t="s">
        <v>396</v>
      </c>
      <c r="O3996" s="7"/>
      <c r="P3996" s="2" t="s">
        <v>8001</v>
      </c>
      <c r="Q3996" s="7"/>
      <c r="R3996" s="1"/>
      <c r="S3996" s="1" t="str">
        <f>"J-UN-2022-394"</f>
        <v>J-UN-2022-394</v>
      </c>
      <c r="T3996" s="1" t="s">
        <v>32</v>
      </c>
    </row>
    <row r="3997" spans="1:20" ht="38.25" x14ac:dyDescent="0.25">
      <c r="A3997" s="6">
        <v>3991</v>
      </c>
      <c r="B3997" s="1" t="str">
        <f>"2022-101"</f>
        <v>2022-101</v>
      </c>
      <c r="C3997" s="1" t="s">
        <v>2914</v>
      </c>
      <c r="D3997" s="1" t="s">
        <v>2915</v>
      </c>
      <c r="E3997" s="1" t="str">
        <f>""</f>
        <v/>
      </c>
      <c r="F3997" s="1" t="s">
        <v>1860</v>
      </c>
      <c r="G3997" s="1" t="str">
        <f>CONCATENATE(" CRESCAT D.O.O.,"," NOVA VES 8,"," 10000 ZAGREB,"," OIB: 316081945")</f>
        <v xml:space="preserve"> CRESCAT D.O.O., NOVA VES 8, 10000 ZAGREB, OIB: 316081945</v>
      </c>
      <c r="H3997" s="7"/>
      <c r="I3997" s="8" t="s">
        <v>42</v>
      </c>
      <c r="J3997" s="8" t="s">
        <v>796</v>
      </c>
      <c r="K3997" s="6" t="str">
        <f>"14.245,00"</f>
        <v>14.245,00</v>
      </c>
      <c r="L3997" s="6" t="str">
        <f>"3.561,25"</f>
        <v>3.561,25</v>
      </c>
      <c r="M3997" s="6" t="str">
        <f>"17.806,25"</f>
        <v>17.806,25</v>
      </c>
      <c r="N3997" s="8" t="s">
        <v>284</v>
      </c>
      <c r="O3997" s="7"/>
      <c r="P3997" s="2" t="s">
        <v>8002</v>
      </c>
      <c r="Q3997" s="7"/>
      <c r="R3997" s="1"/>
      <c r="S3997" s="1" t="str">
        <f>"J-UN-2022-397"</f>
        <v>J-UN-2022-397</v>
      </c>
      <c r="T3997" s="1" t="s">
        <v>32</v>
      </c>
    </row>
    <row r="3998" spans="1:20" ht="51" x14ac:dyDescent="0.25">
      <c r="A3998" s="6">
        <v>3992</v>
      </c>
      <c r="B3998" s="1" t="str">
        <f>"2022-159"</f>
        <v>2022-159</v>
      </c>
      <c r="C3998" s="1" t="s">
        <v>2887</v>
      </c>
      <c r="D3998" s="1" t="s">
        <v>1322</v>
      </c>
      <c r="E3998" s="1" t="str">
        <f>""</f>
        <v/>
      </c>
      <c r="F3998" s="1" t="s">
        <v>1860</v>
      </c>
      <c r="G3998" s="1" t="str">
        <f>CONCATENATE(" VODOSKOK D.D.,"," ČULINEČKA CESTA 221/C,"," 10040 ZAGREB,"," OIB: 34134218058")</f>
        <v xml:space="preserve"> VODOSKOK D.D., ČULINEČKA CESTA 221/C, 10040 ZAGREB, OIB: 34134218058</v>
      </c>
      <c r="H3998" s="7"/>
      <c r="I3998" s="8" t="s">
        <v>255</v>
      </c>
      <c r="J3998" s="8" t="s">
        <v>1385</v>
      </c>
      <c r="K3998" s="6" t="str">
        <f>"86.150,00"</f>
        <v>86.150,00</v>
      </c>
      <c r="L3998" s="6" t="str">
        <f>"21.537,50"</f>
        <v>21.537,50</v>
      </c>
      <c r="M3998" s="6" t="str">
        <f>"107.687,50"</f>
        <v>107.687,50</v>
      </c>
      <c r="N3998" s="8" t="s">
        <v>920</v>
      </c>
      <c r="O3998" s="7"/>
      <c r="P3998" s="2" t="s">
        <v>8003</v>
      </c>
      <c r="Q3998" s="7"/>
      <c r="R3998" s="1"/>
      <c r="S3998" s="1" t="str">
        <f>"J-UN-2022-398"</f>
        <v>J-UN-2022-398</v>
      </c>
      <c r="T3998" s="1" t="s">
        <v>32</v>
      </c>
    </row>
    <row r="3999" spans="1:20" ht="76.5" x14ac:dyDescent="0.25">
      <c r="A3999" s="6">
        <v>3993</v>
      </c>
      <c r="B3999" s="1" t="str">
        <f>"2022-348"</f>
        <v>2022-348</v>
      </c>
      <c r="C3999" s="1" t="s">
        <v>2616</v>
      </c>
      <c r="D3999" s="1" t="s">
        <v>2617</v>
      </c>
      <c r="E3999" s="1" t="str">
        <f>""</f>
        <v/>
      </c>
      <c r="F3999" s="1" t="s">
        <v>1860</v>
      </c>
      <c r="G3999" s="1" t="str">
        <f>CONCATENATE(" SMIT-COMMERCE D.O.O.,"," GORNJOSTUPNIČKA 9B,"," 10255 GORNJI STUPNIK,"," OIB: 9524348214")</f>
        <v xml:space="preserve"> SMIT-COMMERCE D.O.O., GORNJOSTUPNIČKA 9B, 10255 GORNJI STUPNIK, OIB: 9524348214</v>
      </c>
      <c r="H3999" s="7"/>
      <c r="I3999" s="8" t="s">
        <v>259</v>
      </c>
      <c r="J3999" s="8" t="s">
        <v>305</v>
      </c>
      <c r="K3999" s="6" t="str">
        <f>"11.336,72"</f>
        <v>11.336,72</v>
      </c>
      <c r="L3999" s="6" t="str">
        <f>"2.834,18"</f>
        <v>2.834,18</v>
      </c>
      <c r="M3999" s="6" t="str">
        <f>"14.170,90"</f>
        <v>14.170,90</v>
      </c>
      <c r="N3999" s="8" t="s">
        <v>124</v>
      </c>
      <c r="O3999" s="7"/>
      <c r="P3999" s="2" t="s">
        <v>8004</v>
      </c>
      <c r="Q3999" s="7"/>
      <c r="R3999" s="1"/>
      <c r="S3999" s="1" t="str">
        <f>"J-UN-2022-401"</f>
        <v>J-UN-2022-401</v>
      </c>
      <c r="T3999" s="1" t="s">
        <v>32</v>
      </c>
    </row>
    <row r="4000" spans="1:20" ht="51" x14ac:dyDescent="0.25">
      <c r="A4000" s="6">
        <v>3994</v>
      </c>
      <c r="B4000" s="1" t="str">
        <f>"2022-1006"</f>
        <v>2022-1006</v>
      </c>
      <c r="C4000" s="1" t="s">
        <v>2618</v>
      </c>
      <c r="D4000" s="1" t="s">
        <v>2619</v>
      </c>
      <c r="E4000" s="1" t="str">
        <f>""</f>
        <v/>
      </c>
      <c r="F4000" s="1" t="s">
        <v>1860</v>
      </c>
      <c r="G4000" s="1" t="str">
        <f>CONCATENATE(" TRA-MONT D.O.O.,"," MILIVOJA MATOŠECA 5,"," 10000 ZAGREB,"," OIB: 05336208843")</f>
        <v xml:space="preserve"> TRA-MONT D.O.O., MILIVOJA MATOŠECA 5, 10000 ZAGREB, OIB: 05336208843</v>
      </c>
      <c r="H4000" s="7"/>
      <c r="I4000" s="8" t="s">
        <v>127</v>
      </c>
      <c r="J4000" s="8" t="s">
        <v>1456</v>
      </c>
      <c r="K4000" s="6" t="str">
        <f>"982,00"</f>
        <v>982,00</v>
      </c>
      <c r="L4000" s="6" t="str">
        <f>"245,50"</f>
        <v>245,50</v>
      </c>
      <c r="M4000" s="6" t="str">
        <f>"1.227,50"</f>
        <v>1.227,50</v>
      </c>
      <c r="N4000" s="8" t="s">
        <v>918</v>
      </c>
      <c r="O4000" s="7"/>
      <c r="P4000" s="2" t="s">
        <v>8005</v>
      </c>
      <c r="Q4000" s="7"/>
      <c r="R4000" s="1"/>
      <c r="S4000" s="1" t="str">
        <f>"J-UN-2022-402"</f>
        <v>J-UN-2022-402</v>
      </c>
      <c r="T4000" s="1" t="s">
        <v>32</v>
      </c>
    </row>
    <row r="4001" spans="1:20" ht="51" x14ac:dyDescent="0.25">
      <c r="A4001" s="6">
        <v>3995</v>
      </c>
      <c r="B4001" s="1" t="str">
        <f>"2022-801"</f>
        <v>2022-801</v>
      </c>
      <c r="C4001" s="1" t="s">
        <v>2771</v>
      </c>
      <c r="D4001" s="1" t="s">
        <v>2772</v>
      </c>
      <c r="E4001" s="1" t="str">
        <f>""</f>
        <v/>
      </c>
      <c r="F4001" s="1" t="s">
        <v>1860</v>
      </c>
      <c r="G4001" s="1" t="str">
        <f>CONCATENATE(" O-REL D.O.O.,"," POLJANA JOSIPA BRUNŠMIDA 2,"," 10000 ZAGREB,"," OIB: 71438240165")</f>
        <v xml:space="preserve"> O-REL D.O.O., POLJANA JOSIPA BRUNŠMIDA 2, 10000 ZAGREB, OIB: 71438240165</v>
      </c>
      <c r="H4001" s="7"/>
      <c r="I4001" s="8" t="s">
        <v>918</v>
      </c>
      <c r="J4001" s="8" t="s">
        <v>1255</v>
      </c>
      <c r="K4001" s="6" t="str">
        <f>"27.030,00"</f>
        <v>27.030,00</v>
      </c>
      <c r="L4001" s="6" t="str">
        <f>"6.757,50"</f>
        <v>6.757,50</v>
      </c>
      <c r="M4001" s="6" t="str">
        <f>"33.787,50"</f>
        <v>33.787,50</v>
      </c>
      <c r="N4001" s="8" t="s">
        <v>500</v>
      </c>
      <c r="O4001" s="7"/>
      <c r="P4001" s="2" t="s">
        <v>8006</v>
      </c>
      <c r="Q4001" s="7"/>
      <c r="R4001" s="1"/>
      <c r="S4001" s="1" t="str">
        <f>"J-UN-2022-409"</f>
        <v>J-UN-2022-409</v>
      </c>
      <c r="T4001" s="1" t="s">
        <v>32</v>
      </c>
    </row>
    <row r="4002" spans="1:20" ht="51" x14ac:dyDescent="0.25">
      <c r="A4002" s="6">
        <v>3996</v>
      </c>
      <c r="B4002" s="1" t="str">
        <f>"2022-216"</f>
        <v>2022-216</v>
      </c>
      <c r="C4002" s="1" t="s">
        <v>2595</v>
      </c>
      <c r="D4002" s="1" t="s">
        <v>2596</v>
      </c>
      <c r="E4002" s="1" t="str">
        <f>""</f>
        <v/>
      </c>
      <c r="F4002" s="1" t="s">
        <v>1860</v>
      </c>
      <c r="G4002" s="1" t="str">
        <f>CONCATENATE(" KERSCHOFFSET D.O.O.,"," JEŽDOVEČKA 112,"," 10250 LUČKO,"," OIB: 84934386922")</f>
        <v xml:space="preserve"> KERSCHOFFSET D.O.O., JEŽDOVEČKA 112, 10250 LUČKO, OIB: 84934386922</v>
      </c>
      <c r="H4002" s="7"/>
      <c r="I4002" s="8" t="s">
        <v>918</v>
      </c>
      <c r="J4002" s="8" t="s">
        <v>123</v>
      </c>
      <c r="K4002" s="6" t="str">
        <f>"1.367,40"</f>
        <v>1.367,40</v>
      </c>
      <c r="L4002" s="6" t="str">
        <f>"341,85"</f>
        <v>341,85</v>
      </c>
      <c r="M4002" s="6" t="str">
        <f>"1.709,25"</f>
        <v>1.709,25</v>
      </c>
      <c r="N4002" s="8" t="s">
        <v>259</v>
      </c>
      <c r="O4002" s="7"/>
      <c r="P4002" s="2" t="s">
        <v>8007</v>
      </c>
      <c r="Q4002" s="7"/>
      <c r="R4002" s="1"/>
      <c r="S4002" s="1" t="str">
        <f>"J-UN-2022-413"</f>
        <v>J-UN-2022-413</v>
      </c>
      <c r="T4002" s="1" t="s">
        <v>32</v>
      </c>
    </row>
    <row r="4003" spans="1:20" ht="51" x14ac:dyDescent="0.25">
      <c r="A4003" s="6">
        <v>3997</v>
      </c>
      <c r="B4003" s="1" t="str">
        <f>"2022-511"</f>
        <v>2022-511</v>
      </c>
      <c r="C4003" s="1" t="s">
        <v>2572</v>
      </c>
      <c r="D4003" s="1" t="s">
        <v>2573</v>
      </c>
      <c r="E4003" s="1" t="str">
        <f>""</f>
        <v/>
      </c>
      <c r="F4003" s="1" t="s">
        <v>1860</v>
      </c>
      <c r="G4003" s="1" t="str">
        <f>CONCATENATE(" ECCOS-INŽENJERING D.O.O.,"," BANI 110,"," 10000 ZAGREB,"," OIB: 71629027685")</f>
        <v xml:space="preserve"> ECCOS-INŽENJERING D.O.O., BANI 110, 10000 ZAGREB, OIB: 71629027685</v>
      </c>
      <c r="H4003" s="7"/>
      <c r="I4003" s="8" t="s">
        <v>242</v>
      </c>
      <c r="J4003" s="8" t="s">
        <v>2166</v>
      </c>
      <c r="K4003" s="6" t="str">
        <f>"3.200,00"</f>
        <v>3.200,00</v>
      </c>
      <c r="L4003" s="6" t="str">
        <f>"800,00"</f>
        <v>800,00</v>
      </c>
      <c r="M4003" s="6" t="str">
        <f>"4.000,00"</f>
        <v>4.000,00</v>
      </c>
      <c r="N4003" s="8" t="s">
        <v>124</v>
      </c>
      <c r="O4003" s="7"/>
      <c r="P4003" s="2" t="s">
        <v>5614</v>
      </c>
      <c r="Q4003" s="7"/>
      <c r="R4003" s="1"/>
      <c r="S4003" s="1" t="str">
        <f>"J-UN-2022-414"</f>
        <v>J-UN-2022-414</v>
      </c>
      <c r="T4003" s="1" t="s">
        <v>32</v>
      </c>
    </row>
    <row r="4004" spans="1:20" ht="63.75" x14ac:dyDescent="0.25">
      <c r="A4004" s="6">
        <v>3998</v>
      </c>
      <c r="B4004" s="1" t="str">
        <f>"2022-966"</f>
        <v>2022-966</v>
      </c>
      <c r="C4004" s="1" t="s">
        <v>2815</v>
      </c>
      <c r="D4004" s="1" t="s">
        <v>1373</v>
      </c>
      <c r="E4004" s="1" t="str">
        <f>""</f>
        <v/>
      </c>
      <c r="F4004" s="1" t="s">
        <v>1860</v>
      </c>
      <c r="G4004" s="1" t="str">
        <f>CONCATENATE(" STROJOOBNOVA,"," VL.TIHOMIR LJUBIĆ,"," RAVNICE 13,"," 10294 DONJA PUŠĆA,"," OIB: 50149576546")</f>
        <v xml:space="preserve"> STROJOOBNOVA, VL.TIHOMIR LJUBIĆ, RAVNICE 13, 10294 DONJA PUŠĆA, OIB: 50149576546</v>
      </c>
      <c r="H4004" s="7"/>
      <c r="I4004" s="8" t="s">
        <v>500</v>
      </c>
      <c r="J4004" s="8" t="s">
        <v>2158</v>
      </c>
      <c r="K4004" s="6" t="str">
        <f>"8.420,00"</f>
        <v>8.420,00</v>
      </c>
      <c r="L4004" s="6" t="str">
        <f>"2.105,00"</f>
        <v>2.105,00</v>
      </c>
      <c r="M4004" s="6" t="str">
        <f>"10.525,00"</f>
        <v>10.525,00</v>
      </c>
      <c r="N4004" s="8" t="s">
        <v>403</v>
      </c>
      <c r="O4004" s="7"/>
      <c r="P4004" s="2" t="s">
        <v>8008</v>
      </c>
      <c r="Q4004" s="7"/>
      <c r="R4004" s="1"/>
      <c r="S4004" s="1" t="str">
        <f>"J-UN-2022-415"</f>
        <v>J-UN-2022-415</v>
      </c>
      <c r="T4004" s="1" t="s">
        <v>32</v>
      </c>
    </row>
    <row r="4005" spans="1:20" ht="51" x14ac:dyDescent="0.25">
      <c r="A4005" s="6">
        <v>3999</v>
      </c>
      <c r="B4005" s="1" t="str">
        <f>"2022-1435"</f>
        <v>2022-1435</v>
      </c>
      <c r="C4005" s="1" t="s">
        <v>2756</v>
      </c>
      <c r="D4005" s="1" t="s">
        <v>860</v>
      </c>
      <c r="E4005" s="1" t="str">
        <f>""</f>
        <v/>
      </c>
      <c r="F4005" s="1" t="s">
        <v>1860</v>
      </c>
      <c r="G4005" s="1" t="str">
        <f>CONCATENATE(" UNIVERZAL ŽICA D.O.O.,"," IV TROKUT 1B,"," 10000 ZAGREB,"," OIB: 62988526948")</f>
        <v xml:space="preserve"> UNIVERZAL ŽICA D.O.O., IV TROKUT 1B, 10000 ZAGREB, OIB: 62988526948</v>
      </c>
      <c r="H4005" s="7"/>
      <c r="I4005" s="8" t="s">
        <v>422</v>
      </c>
      <c r="J4005" s="8" t="s">
        <v>3089</v>
      </c>
      <c r="K4005" s="6" t="str">
        <f>"6.377,20"</f>
        <v>6.377,20</v>
      </c>
      <c r="L4005" s="6" t="str">
        <f>"1.594,30"</f>
        <v>1.594,30</v>
      </c>
      <c r="M4005" s="6" t="str">
        <f>"7.971,50"</f>
        <v>7.971,50</v>
      </c>
      <c r="N4005" s="8" t="s">
        <v>403</v>
      </c>
      <c r="O4005" s="7"/>
      <c r="P4005" s="2" t="s">
        <v>8009</v>
      </c>
      <c r="Q4005" s="7"/>
      <c r="R4005" s="1"/>
      <c r="S4005" s="1" t="str">
        <f>"J-UN-2022-416"</f>
        <v>J-UN-2022-416</v>
      </c>
      <c r="T4005" s="1" t="s">
        <v>32</v>
      </c>
    </row>
    <row r="4006" spans="1:20" ht="51" x14ac:dyDescent="0.25">
      <c r="A4006" s="6">
        <v>4000</v>
      </c>
      <c r="B4006" s="1" t="str">
        <f>"2022-95"</f>
        <v>2022-95</v>
      </c>
      <c r="C4006" s="1" t="s">
        <v>2761</v>
      </c>
      <c r="D4006" s="1" t="s">
        <v>2762</v>
      </c>
      <c r="E4006" s="1" t="str">
        <f>""</f>
        <v/>
      </c>
      <c r="F4006" s="1" t="s">
        <v>1860</v>
      </c>
      <c r="G4006" s="1" t="str">
        <f>CONCATENATE(" QUALICH D.O.O.,"," ZELENICE 7,"," 52220 LABIN,"," OIB: 9637701374")</f>
        <v xml:space="preserve"> QUALICH D.O.O., ZELENICE 7, 52220 LABIN, OIB: 9637701374</v>
      </c>
      <c r="H4006" s="7"/>
      <c r="I4006" s="8" t="s">
        <v>242</v>
      </c>
      <c r="J4006" s="8" t="s">
        <v>2166</v>
      </c>
      <c r="K4006" s="6" t="str">
        <f>"4.900,00"</f>
        <v>4.900,00</v>
      </c>
      <c r="L4006" s="6" t="str">
        <f>"1.225,00"</f>
        <v>1.225,00</v>
      </c>
      <c r="M4006" s="6" t="str">
        <f>"6.125,00"</f>
        <v>6.125,00</v>
      </c>
      <c r="N4006" s="8" t="s">
        <v>400</v>
      </c>
      <c r="O4006" s="7"/>
      <c r="P4006" s="2" t="s">
        <v>6312</v>
      </c>
      <c r="Q4006" s="1"/>
      <c r="R4006" s="1"/>
      <c r="S4006" s="1" t="str">
        <f>"J-UN-2022-418"</f>
        <v>J-UN-2022-418</v>
      </c>
      <c r="T4006" s="1" t="s">
        <v>32</v>
      </c>
    </row>
    <row r="4007" spans="1:20" ht="89.25" x14ac:dyDescent="0.25">
      <c r="A4007" s="6">
        <v>4001</v>
      </c>
      <c r="B4007" s="1" t="str">
        <f>"2022-1410"</f>
        <v>2022-1410</v>
      </c>
      <c r="C4007" s="1" t="s">
        <v>2757</v>
      </c>
      <c r="D4007" s="1" t="s">
        <v>2724</v>
      </c>
      <c r="E4007" s="1" t="str">
        <f>""</f>
        <v/>
      </c>
      <c r="F4007" s="1" t="s">
        <v>1860</v>
      </c>
      <c r="G4007" s="1" t="str">
        <f>CONCATENATE(" ZAVOD ZA ISTRAŽIVANJE I RAZVOJ SIGURNOSTI D.O.O.,"," ULICA GRADA VUKOVARA 68,"," 10000 ZAGREB,"," OIB: 05494093403")</f>
        <v xml:space="preserve"> ZAVOD ZA ISTRAŽIVANJE I RAZVOJ SIGURNOSTI D.O.O., ULICA GRADA VUKOVARA 68, 10000 ZAGREB, OIB: 05494093403</v>
      </c>
      <c r="H4007" s="7"/>
      <c r="I4007" s="8" t="s">
        <v>1119</v>
      </c>
      <c r="J4007" s="8" t="s">
        <v>2329</v>
      </c>
      <c r="K4007" s="6" t="str">
        <f>"1.100,00"</f>
        <v>1.100,00</v>
      </c>
      <c r="L4007" s="6" t="str">
        <f>"275,00"</f>
        <v>275,00</v>
      </c>
      <c r="M4007" s="6" t="str">
        <f>"1.375,00"</f>
        <v>1.375,00</v>
      </c>
      <c r="N4007" s="8" t="s">
        <v>124</v>
      </c>
      <c r="O4007" s="7"/>
      <c r="P4007" s="2" t="s">
        <v>5614</v>
      </c>
      <c r="Q4007" s="7"/>
      <c r="R4007" s="1"/>
      <c r="S4007" s="1" t="str">
        <f>"J-UN-2022-419"</f>
        <v>J-UN-2022-419</v>
      </c>
      <c r="T4007" s="1" t="s">
        <v>32</v>
      </c>
    </row>
    <row r="4008" spans="1:20" ht="63.75" x14ac:dyDescent="0.25">
      <c r="A4008" s="6">
        <v>4002</v>
      </c>
      <c r="B4008" s="1" t="str">
        <f>"2022-600"</f>
        <v>2022-600</v>
      </c>
      <c r="C4008" s="1" t="s">
        <v>2817</v>
      </c>
      <c r="D4008" s="1" t="s">
        <v>2818</v>
      </c>
      <c r="E4008" s="1" t="str">
        <f>""</f>
        <v/>
      </c>
      <c r="F4008" s="1" t="s">
        <v>1860</v>
      </c>
      <c r="G4008" s="1" t="str">
        <f>CONCATENATE(" TOKIĆ D.O.O.,"," ULICA 144. BRIGADE HRVATSKE VOJSKE 1A,"," 10360 SESVETE,"," OIB: 7486748762")</f>
        <v xml:space="preserve"> TOKIĆ D.O.O., ULICA 144. BRIGADE HRVATSKE VOJSKE 1A, 10360 SESVETE, OIB: 7486748762</v>
      </c>
      <c r="H4008" s="7"/>
      <c r="I4008" s="8" t="s">
        <v>1119</v>
      </c>
      <c r="J4008" s="8" t="s">
        <v>2329</v>
      </c>
      <c r="K4008" s="6" t="str">
        <f>"430,00"</f>
        <v>430,00</v>
      </c>
      <c r="L4008" s="6" t="str">
        <f>"107,50"</f>
        <v>107,50</v>
      </c>
      <c r="M4008" s="6" t="str">
        <f>"537,50"</f>
        <v>537,50</v>
      </c>
      <c r="N4008" s="8" t="s">
        <v>273</v>
      </c>
      <c r="O4008" s="7"/>
      <c r="P4008" s="2" t="s">
        <v>8010</v>
      </c>
      <c r="Q4008" s="7"/>
      <c r="R4008" s="1"/>
      <c r="S4008" s="1" t="str">
        <f>"J-UN-2022-421"</f>
        <v>J-UN-2022-421</v>
      </c>
      <c r="T4008" s="1" t="s">
        <v>32</v>
      </c>
    </row>
    <row r="4009" spans="1:20" ht="63.75" x14ac:dyDescent="0.25">
      <c r="A4009" s="6">
        <v>4003</v>
      </c>
      <c r="B4009" s="1" t="str">
        <f>"2022-825"</f>
        <v>2022-825</v>
      </c>
      <c r="C4009" s="1" t="s">
        <v>2492</v>
      </c>
      <c r="D4009" s="1" t="s">
        <v>2493</v>
      </c>
      <c r="E4009" s="1" t="str">
        <f>""</f>
        <v/>
      </c>
      <c r="F4009" s="1" t="s">
        <v>1860</v>
      </c>
      <c r="G4009" s="1" t="str">
        <f>CONCATENATE(" TOKIĆ D.O.O.,"," ULICA 144. BRIGADE HRVATSKE VOJSKE 1A,"," 10360 SESVETE,"," OIB: 7486748762")</f>
        <v xml:space="preserve"> TOKIĆ D.O.O., ULICA 144. BRIGADE HRVATSKE VOJSKE 1A, 10360 SESVETE, OIB: 7486748762</v>
      </c>
      <c r="H4009" s="7"/>
      <c r="I4009" s="8" t="s">
        <v>371</v>
      </c>
      <c r="J4009" s="8" t="s">
        <v>2512</v>
      </c>
      <c r="K4009" s="6" t="str">
        <f>"3.075,00"</f>
        <v>3.075,00</v>
      </c>
      <c r="L4009" s="6" t="str">
        <f>"768,75"</f>
        <v>768,75</v>
      </c>
      <c r="M4009" s="6" t="str">
        <f>"3.843,75"</f>
        <v>3.843,75</v>
      </c>
      <c r="N4009" s="8" t="s">
        <v>920</v>
      </c>
      <c r="O4009" s="7"/>
      <c r="P4009" s="2" t="s">
        <v>8011</v>
      </c>
      <c r="Q4009" s="7"/>
      <c r="R4009" s="1"/>
      <c r="S4009" s="1" t="str">
        <f>"J-UN-2022-422"</f>
        <v>J-UN-2022-422</v>
      </c>
      <c r="T4009" s="1" t="s">
        <v>32</v>
      </c>
    </row>
    <row r="4010" spans="1:20" ht="63.75" x14ac:dyDescent="0.25">
      <c r="A4010" s="6">
        <v>4004</v>
      </c>
      <c r="B4010" s="1" t="str">
        <f>"2022-370"</f>
        <v>2022-370</v>
      </c>
      <c r="C4010" s="1" t="s">
        <v>2624</v>
      </c>
      <c r="D4010" s="1" t="s">
        <v>1334</v>
      </c>
      <c r="E4010" s="1" t="str">
        <f>""</f>
        <v/>
      </c>
      <c r="F4010" s="1" t="s">
        <v>1860</v>
      </c>
      <c r="G4010" s="1" t="str">
        <f>CONCATENATE(" POLJOOPSKRBA-TEHNO D.D.,"," SAMOBORSKA 96,"," 10000 ZAGREB,"," OIB: 5372167324")</f>
        <v xml:space="preserve"> POLJOOPSKRBA-TEHNO D.D., SAMOBORSKA 96, 10000 ZAGREB, OIB: 5372167324</v>
      </c>
      <c r="H4010" s="7"/>
      <c r="I4010" s="8" t="s">
        <v>1119</v>
      </c>
      <c r="J4010" s="8" t="s">
        <v>2329</v>
      </c>
      <c r="K4010" s="6" t="str">
        <f>"14.450,00"</f>
        <v>14.450,00</v>
      </c>
      <c r="L4010" s="6" t="str">
        <f>"3.612,50"</f>
        <v>3.612,50</v>
      </c>
      <c r="M4010" s="6" t="str">
        <f>"18.062,50"</f>
        <v>18.062,50</v>
      </c>
      <c r="N4010" s="8" t="s">
        <v>72</v>
      </c>
      <c r="O4010" s="7"/>
      <c r="P4010" s="2" t="s">
        <v>8012</v>
      </c>
      <c r="Q4010" s="7"/>
      <c r="R4010" s="1"/>
      <c r="S4010" s="1" t="str">
        <f>"J-UN-2022-424"</f>
        <v>J-UN-2022-424</v>
      </c>
      <c r="T4010" s="1" t="s">
        <v>32</v>
      </c>
    </row>
    <row r="4011" spans="1:20" ht="63.75" x14ac:dyDescent="0.25">
      <c r="A4011" s="6">
        <v>4005</v>
      </c>
      <c r="B4011" s="1" t="str">
        <f>"2022-301"</f>
        <v>2022-301</v>
      </c>
      <c r="C4011" s="1" t="s">
        <v>3090</v>
      </c>
      <c r="D4011" s="1" t="s">
        <v>3091</v>
      </c>
      <c r="E4011" s="1" t="str">
        <f>""</f>
        <v/>
      </c>
      <c r="F4011" s="1" t="s">
        <v>1860</v>
      </c>
      <c r="G4011" s="1" t="str">
        <f>CONCATENATE(" SECURITAS HRVATSKA D.O.O.,"," ZAGREBAČKA CESTA 145A,"," 10000 ZAGREB,"," OIB: 33679708526")</f>
        <v xml:space="preserve"> SECURITAS HRVATSKA D.O.O., ZAGREBAČKA CESTA 145A, 10000 ZAGREB, OIB: 33679708526</v>
      </c>
      <c r="H4011" s="7"/>
      <c r="I4011" s="8" t="s">
        <v>371</v>
      </c>
      <c r="J4011" s="8" t="s">
        <v>2512</v>
      </c>
      <c r="K4011" s="6" t="str">
        <f>"10.000,00"</f>
        <v>10.000,00</v>
      </c>
      <c r="L4011" s="6" t="str">
        <f>"2.500,00"</f>
        <v>2.500,00</v>
      </c>
      <c r="M4011" s="6" t="str">
        <f>"12.500,00"</f>
        <v>12.500,00</v>
      </c>
      <c r="N4011" s="8" t="s">
        <v>124</v>
      </c>
      <c r="O4011" s="7"/>
      <c r="P4011" s="2" t="s">
        <v>5614</v>
      </c>
      <c r="Q4011" s="7"/>
      <c r="R4011" s="1"/>
      <c r="S4011" s="1" t="str">
        <f>"J-UN-2022-425"</f>
        <v>J-UN-2022-425</v>
      </c>
      <c r="T4011" s="1" t="s">
        <v>32</v>
      </c>
    </row>
    <row r="4012" spans="1:20" ht="76.5" x14ac:dyDescent="0.25">
      <c r="A4012" s="6">
        <v>4006</v>
      </c>
      <c r="B4012" s="1" t="str">
        <f>"2022-914"</f>
        <v>2022-914</v>
      </c>
      <c r="C4012" s="1" t="s">
        <v>2847</v>
      </c>
      <c r="D4012" s="1" t="s">
        <v>1007</v>
      </c>
      <c r="E4012" s="1" t="str">
        <f>""</f>
        <v/>
      </c>
      <c r="F4012" s="1" t="s">
        <v>1860</v>
      </c>
      <c r="G4012" s="1" t="str">
        <f>CONCATENATE(" BILIĆ-ERIĆ D.O.O.,"," TRGOVAČKI CENTAR MILLENNIJUM,"," LJUDEVITA POSAVSKOG 3,"," 10360 SESVETE,"," OIB: 685801282")</f>
        <v xml:space="preserve"> BILIĆ-ERIĆ D.O.O., TRGOVAČKI CENTAR MILLENNIJUM, LJUDEVITA POSAVSKOG 3, 10360 SESVETE, OIB: 685801282</v>
      </c>
      <c r="H4012" s="7"/>
      <c r="I4012" s="8" t="s">
        <v>422</v>
      </c>
      <c r="J4012" s="8" t="s">
        <v>3089</v>
      </c>
      <c r="K4012" s="6" t="str">
        <f>"949,00"</f>
        <v>949,00</v>
      </c>
      <c r="L4012" s="6" t="str">
        <f>"237,25"</f>
        <v>237,25</v>
      </c>
      <c r="M4012" s="6" t="str">
        <f>"1.186,25"</f>
        <v>1.186,25</v>
      </c>
      <c r="N4012" s="8" t="s">
        <v>124</v>
      </c>
      <c r="O4012" s="7"/>
      <c r="P4012" s="2" t="s">
        <v>5614</v>
      </c>
      <c r="Q4012" s="7"/>
      <c r="R4012" s="1"/>
      <c r="S4012" s="1" t="str">
        <f>"J-UN-2022-426"</f>
        <v>J-UN-2022-426</v>
      </c>
      <c r="T4012" s="1" t="s">
        <v>32</v>
      </c>
    </row>
    <row r="4013" spans="1:20" ht="76.5" x14ac:dyDescent="0.25">
      <c r="A4013" s="6">
        <v>4007</v>
      </c>
      <c r="B4013" s="1" t="str">
        <f>"2022-384"</f>
        <v>2022-384</v>
      </c>
      <c r="C4013" s="1" t="s">
        <v>3062</v>
      </c>
      <c r="D4013" s="1" t="s">
        <v>3063</v>
      </c>
      <c r="E4013" s="1" t="str">
        <f>""</f>
        <v/>
      </c>
      <c r="F4013" s="1" t="s">
        <v>1860</v>
      </c>
      <c r="G4013" s="1" t="str">
        <f>CONCATENATE(" SMIT-COMMERCE D.O.O.,"," GORNJOSTUPNIČKA 9B,"," 10255 GORNJI STUPNIK,"," OIB: 9524348214")</f>
        <v xml:space="preserve"> SMIT-COMMERCE D.O.O., GORNJOSTUPNIČKA 9B, 10255 GORNJI STUPNIK, OIB: 9524348214</v>
      </c>
      <c r="H4013" s="7"/>
      <c r="I4013" s="8" t="s">
        <v>1119</v>
      </c>
      <c r="J4013" s="8" t="s">
        <v>2329</v>
      </c>
      <c r="K4013" s="6" t="str">
        <f>"6.328,00"</f>
        <v>6.328,00</v>
      </c>
      <c r="L4013" s="6" t="str">
        <f>"1.582,00"</f>
        <v>1.582,00</v>
      </c>
      <c r="M4013" s="6" t="str">
        <f>"7.910,00"</f>
        <v>7.910,00</v>
      </c>
      <c r="N4013" s="8" t="s">
        <v>72</v>
      </c>
      <c r="O4013" s="7"/>
      <c r="P4013" s="2" t="s">
        <v>8013</v>
      </c>
      <c r="Q4013" s="7"/>
      <c r="R4013" s="1"/>
      <c r="S4013" s="1" t="str">
        <f>"J-UN-2022-428"</f>
        <v>J-UN-2022-428</v>
      </c>
      <c r="T4013" s="1" t="s">
        <v>32</v>
      </c>
    </row>
    <row r="4014" spans="1:20" ht="38.25" x14ac:dyDescent="0.25">
      <c r="A4014" s="6">
        <v>4008</v>
      </c>
      <c r="B4014" s="1" t="str">
        <f>"2022-698"</f>
        <v>2022-698</v>
      </c>
      <c r="C4014" s="1" t="s">
        <v>2565</v>
      </c>
      <c r="D4014" s="1" t="s">
        <v>1833</v>
      </c>
      <c r="E4014" s="1" t="str">
        <f>""</f>
        <v/>
      </c>
      <c r="F4014" s="1" t="s">
        <v>1860</v>
      </c>
      <c r="G4014" s="1" t="str">
        <f>CONCATENATE(" R-PIM D.O.O.,"," ,"," OIB: 38514700472")</f>
        <v xml:space="preserve"> R-PIM D.O.O., , OIB: 38514700472</v>
      </c>
      <c r="H4014" s="7"/>
      <c r="I4014" s="8" t="s">
        <v>42</v>
      </c>
      <c r="J4014" s="8" t="s">
        <v>796</v>
      </c>
      <c r="K4014" s="6" t="str">
        <f>"6.833,00"</f>
        <v>6.833,00</v>
      </c>
      <c r="L4014" s="6" t="str">
        <f>"1.708,25"</f>
        <v>1.708,25</v>
      </c>
      <c r="M4014" s="6" t="str">
        <f>"8.541,25"</f>
        <v>8.541,25</v>
      </c>
      <c r="N4014" s="8" t="s">
        <v>400</v>
      </c>
      <c r="O4014" s="7"/>
      <c r="P4014" s="2" t="s">
        <v>8014</v>
      </c>
      <c r="Q4014" s="7"/>
      <c r="R4014" s="1"/>
      <c r="S4014" s="1" t="str">
        <f>"J-UN-2022-429"</f>
        <v>J-UN-2022-429</v>
      </c>
      <c r="T4014" s="1" t="s">
        <v>32</v>
      </c>
    </row>
    <row r="4015" spans="1:20" ht="63.75" x14ac:dyDescent="0.25">
      <c r="A4015" s="6">
        <v>4009</v>
      </c>
      <c r="B4015" s="1" t="str">
        <f>"2022-1237"</f>
        <v>2022-1237</v>
      </c>
      <c r="C4015" s="1" t="s">
        <v>2637</v>
      </c>
      <c r="D4015" s="1" t="s">
        <v>2631</v>
      </c>
      <c r="E4015" s="1" t="str">
        <f>""</f>
        <v/>
      </c>
      <c r="F4015" s="1" t="s">
        <v>1860</v>
      </c>
      <c r="G4015" s="1" t="str">
        <f>CONCATENATE(" ZAGREB PLAKAT D.O.O.,"," ULICA ANDRIJE HEBRANGA 32,"," 10000 ZAGREB,"," OIB: 321117423")</f>
        <v xml:space="preserve"> ZAGREB PLAKAT D.O.O., ULICA ANDRIJE HEBRANGA 32, 10000 ZAGREB, OIB: 321117423</v>
      </c>
      <c r="H4015" s="7"/>
      <c r="I4015" s="8" t="s">
        <v>422</v>
      </c>
      <c r="J4015" s="8" t="s">
        <v>3089</v>
      </c>
      <c r="K4015" s="6" t="str">
        <f>"44.176,88"</f>
        <v>44.176,88</v>
      </c>
      <c r="L4015" s="6" t="str">
        <f>"11.044,22"</f>
        <v>11.044,22</v>
      </c>
      <c r="M4015" s="6" t="str">
        <f>"55.221,10"</f>
        <v>55.221,10</v>
      </c>
      <c r="N4015" s="8" t="s">
        <v>293</v>
      </c>
      <c r="O4015" s="7"/>
      <c r="P4015" s="2" t="s">
        <v>8015</v>
      </c>
      <c r="Q4015" s="1" t="s">
        <v>5601</v>
      </c>
      <c r="R4015" s="1"/>
      <c r="S4015" s="1" t="str">
        <f>"J-UN-2022-430"</f>
        <v>J-UN-2022-430</v>
      </c>
      <c r="T4015" s="1" t="s">
        <v>32</v>
      </c>
    </row>
    <row r="4016" spans="1:20" ht="76.5" x14ac:dyDescent="0.25">
      <c r="A4016" s="6">
        <v>4010</v>
      </c>
      <c r="B4016" s="1" t="str">
        <f>"2022-382"</f>
        <v>2022-382</v>
      </c>
      <c r="C4016" s="1" t="s">
        <v>2700</v>
      </c>
      <c r="D4016" s="1" t="s">
        <v>2701</v>
      </c>
      <c r="E4016" s="1" t="str">
        <f>""</f>
        <v/>
      </c>
      <c r="F4016" s="1" t="s">
        <v>1860</v>
      </c>
      <c r="G4016" s="1" t="str">
        <f>CONCATENATE(" SMIT-COMMERCE D.O.O.,"," GORNJOSTUPNIČKA 9B,"," 10255 GORNJI STUPNIK,"," OIB: 9524348214")</f>
        <v xml:space="preserve"> SMIT-COMMERCE D.O.O., GORNJOSTUPNIČKA 9B, 10255 GORNJI STUPNIK, OIB: 9524348214</v>
      </c>
      <c r="H4016" s="7"/>
      <c r="I4016" s="8" t="s">
        <v>371</v>
      </c>
      <c r="J4016" s="8" t="s">
        <v>2512</v>
      </c>
      <c r="K4016" s="6" t="str">
        <f>"6.224,52"</f>
        <v>6.224,52</v>
      </c>
      <c r="L4016" s="6" t="str">
        <f>"1.556,13"</f>
        <v>1.556,13</v>
      </c>
      <c r="M4016" s="6" t="str">
        <f>"7.780,65"</f>
        <v>7.780,65</v>
      </c>
      <c r="N4016" s="8" t="s">
        <v>438</v>
      </c>
      <c r="O4016" s="7"/>
      <c r="P4016" s="2" t="s">
        <v>8016</v>
      </c>
      <c r="Q4016" s="7"/>
      <c r="R4016" s="1"/>
      <c r="S4016" s="1" t="str">
        <f>"J-UN-2022-431"</f>
        <v>J-UN-2022-431</v>
      </c>
      <c r="T4016" s="1" t="s">
        <v>32</v>
      </c>
    </row>
    <row r="4017" spans="1:20" ht="51" x14ac:dyDescent="0.25">
      <c r="A4017" s="6">
        <v>4011</v>
      </c>
      <c r="B4017" s="1" t="str">
        <f>"2022-913"</f>
        <v>2022-913</v>
      </c>
      <c r="C4017" s="1" t="s">
        <v>2879</v>
      </c>
      <c r="D4017" s="1" t="s">
        <v>1007</v>
      </c>
      <c r="E4017" s="1" t="str">
        <f>""</f>
        <v/>
      </c>
      <c r="F4017" s="1" t="s">
        <v>1860</v>
      </c>
      <c r="G4017" s="1" t="str">
        <f>CONCATENATE(" TEHNOPLAM D.O.O.,"," USKOČKA 29,"," 10000 ZAGREB,"," OIB: 95347519849")</f>
        <v xml:space="preserve"> TEHNOPLAM D.O.O., USKOČKA 29, 10000 ZAGREB, OIB: 95347519849</v>
      </c>
      <c r="H4017" s="7"/>
      <c r="I4017" s="8" t="s">
        <v>422</v>
      </c>
      <c r="J4017" s="8" t="s">
        <v>3089</v>
      </c>
      <c r="K4017" s="6" t="str">
        <f>"4.500,00"</f>
        <v>4.500,00</v>
      </c>
      <c r="L4017" s="6" t="str">
        <f>"1.125,00"</f>
        <v>1.125,00</v>
      </c>
      <c r="M4017" s="6" t="str">
        <f>"5.625,00"</f>
        <v>5.625,00</v>
      </c>
      <c r="N4017" s="8" t="s">
        <v>124</v>
      </c>
      <c r="O4017" s="7"/>
      <c r="P4017" s="2" t="s">
        <v>5614</v>
      </c>
      <c r="Q4017" s="7"/>
      <c r="R4017" s="1"/>
      <c r="S4017" s="1" t="str">
        <f>"J-UN-2022-432"</f>
        <v>J-UN-2022-432</v>
      </c>
      <c r="T4017" s="1" t="s">
        <v>32</v>
      </c>
    </row>
    <row r="4018" spans="1:20" ht="63.75" x14ac:dyDescent="0.25">
      <c r="A4018" s="6">
        <v>4012</v>
      </c>
      <c r="B4018" s="1" t="str">
        <f>"2022-900"</f>
        <v>2022-900</v>
      </c>
      <c r="C4018" s="1" t="s">
        <v>2702</v>
      </c>
      <c r="D4018" s="1" t="s">
        <v>1209</v>
      </c>
      <c r="E4018" s="1" t="str">
        <f>""</f>
        <v/>
      </c>
      <c r="F4018" s="1" t="s">
        <v>1860</v>
      </c>
      <c r="G4018" s="1" t="str">
        <f>CONCATENATE(" DRÄGER SAFETY D.O.O.,"," AVENIJA VEĆESLAVA HOLJEVCA 40,"," 10010 ZAGREB,"," OIB: 32874587842")</f>
        <v xml:space="preserve"> DRÄGER SAFETY D.O.O., AVENIJA VEĆESLAVA HOLJEVCA 40, 10010 ZAGREB, OIB: 32874587842</v>
      </c>
      <c r="H4018" s="7"/>
      <c r="I4018" s="8" t="s">
        <v>371</v>
      </c>
      <c r="J4018" s="8" t="s">
        <v>2512</v>
      </c>
      <c r="K4018" s="6" t="str">
        <f>"1.417,00"</f>
        <v>1.417,00</v>
      </c>
      <c r="L4018" s="6" t="str">
        <f>"354,25"</f>
        <v>354,25</v>
      </c>
      <c r="M4018" s="6" t="str">
        <f>"1.771,25"</f>
        <v>1.771,25</v>
      </c>
      <c r="N4018" s="8" t="s">
        <v>403</v>
      </c>
      <c r="O4018" s="7"/>
      <c r="P4018" s="2" t="s">
        <v>8017</v>
      </c>
      <c r="Q4018" s="7"/>
      <c r="R4018" s="1"/>
      <c r="S4018" s="1" t="str">
        <f>"J-UN-2022-434"</f>
        <v>J-UN-2022-434</v>
      </c>
      <c r="T4018" s="1" t="s">
        <v>32</v>
      </c>
    </row>
    <row r="4019" spans="1:20" ht="63.75" x14ac:dyDescent="0.25">
      <c r="A4019" s="6">
        <v>4013</v>
      </c>
      <c r="B4019" s="1" t="str">
        <f>"2022-1002"</f>
        <v>2022-1002</v>
      </c>
      <c r="C4019" s="1" t="s">
        <v>266</v>
      </c>
      <c r="D4019" s="1" t="s">
        <v>267</v>
      </c>
      <c r="E4019" s="1" t="str">
        <f>""</f>
        <v/>
      </c>
      <c r="F4019" s="1" t="s">
        <v>1860</v>
      </c>
      <c r="G4019" s="1" t="str">
        <f>CONCATENATE(" TK ELEVATOR EASTERN EUROPE GMBH,"," FALLEROVO ŠETALIŠTE 22,"," 10000 ZAGREB,"," OIB: 94505281348")</f>
        <v xml:space="preserve"> TK ELEVATOR EASTERN EUROPE GMBH, FALLEROVO ŠETALIŠTE 22, 10000 ZAGREB, OIB: 94505281348</v>
      </c>
      <c r="H4019" s="7"/>
      <c r="I4019" s="8" t="s">
        <v>371</v>
      </c>
      <c r="J4019" s="8" t="s">
        <v>2512</v>
      </c>
      <c r="K4019" s="6" t="str">
        <f>"9.000,00"</f>
        <v>9.000,00</v>
      </c>
      <c r="L4019" s="6" t="str">
        <f>"2.250,00"</f>
        <v>2.250,00</v>
      </c>
      <c r="M4019" s="6" t="str">
        <f>"11.250,00"</f>
        <v>11.250,00</v>
      </c>
      <c r="N4019" s="8" t="s">
        <v>124</v>
      </c>
      <c r="O4019" s="7"/>
      <c r="P4019" s="2" t="s">
        <v>7208</v>
      </c>
      <c r="Q4019" s="7"/>
      <c r="R4019" s="1"/>
      <c r="S4019" s="1" t="str">
        <f>"J-UN-2022-435"</f>
        <v>J-UN-2022-435</v>
      </c>
      <c r="T4019" s="1" t="s">
        <v>32</v>
      </c>
    </row>
    <row r="4020" spans="1:20" ht="76.5" x14ac:dyDescent="0.25">
      <c r="A4020" s="6">
        <v>4014</v>
      </c>
      <c r="B4020" s="1" t="str">
        <f>"2022-1434"</f>
        <v>2022-1434</v>
      </c>
      <c r="C4020" s="1" t="s">
        <v>2558</v>
      </c>
      <c r="D4020" s="1" t="s">
        <v>860</v>
      </c>
      <c r="E4020" s="1" t="str">
        <f>""</f>
        <v/>
      </c>
      <c r="F4020" s="1" t="s">
        <v>1860</v>
      </c>
      <c r="G4020" s="1" t="str">
        <f>CONCATENATE(" SPECIJALNA ZAVARIVANJA ČUKMAN D.O.O.,"," JEŽDOVEČKA ULICA 1C,"," 10250 LUČKO,"," OIB: 14195538193")</f>
        <v xml:space="preserve"> SPECIJALNA ZAVARIVANJA ČUKMAN D.O.O., JEŽDOVEČKA ULICA 1C, 10250 LUČKO, OIB: 14195538193</v>
      </c>
      <c r="H4020" s="7"/>
      <c r="I4020" s="8" t="s">
        <v>242</v>
      </c>
      <c r="J4020" s="8" t="s">
        <v>2166</v>
      </c>
      <c r="K4020" s="6" t="str">
        <f>"6.300,00"</f>
        <v>6.300,00</v>
      </c>
      <c r="L4020" s="6" t="str">
        <f>"1.575,00"</f>
        <v>1.575,00</v>
      </c>
      <c r="M4020" s="6" t="str">
        <f>"7.875,00"</f>
        <v>7.875,00</v>
      </c>
      <c r="N4020" s="8" t="s">
        <v>920</v>
      </c>
      <c r="O4020" s="7"/>
      <c r="P4020" s="2" t="s">
        <v>8018</v>
      </c>
      <c r="Q4020" s="7"/>
      <c r="R4020" s="1"/>
      <c r="S4020" s="1" t="str">
        <f>"J-UN-2022-436"</f>
        <v>J-UN-2022-436</v>
      </c>
      <c r="T4020" s="1" t="s">
        <v>32</v>
      </c>
    </row>
    <row r="4021" spans="1:20" ht="51" x14ac:dyDescent="0.25">
      <c r="A4021" s="6">
        <v>4015</v>
      </c>
      <c r="B4021" s="1" t="str">
        <f>"2022-713"</f>
        <v>2022-713</v>
      </c>
      <c r="C4021" s="1" t="s">
        <v>3072</v>
      </c>
      <c r="D4021" s="1" t="s">
        <v>914</v>
      </c>
      <c r="E4021" s="1" t="str">
        <f>""</f>
        <v/>
      </c>
      <c r="F4021" s="1" t="s">
        <v>1860</v>
      </c>
      <c r="G4021" s="1" t="str">
        <f>CONCATENATE(" LAGER BAŠIĆ D.O.O.,"," TRGOVAČKA 3,"," 10255 DONJI STUPNIK,"," OIB: 49617677906")</f>
        <v xml:space="preserve"> LAGER BAŠIĆ D.O.O., TRGOVAČKA 3, 10255 DONJI STUPNIK, OIB: 49617677906</v>
      </c>
      <c r="H4021" s="7"/>
      <c r="I4021" s="8" t="s">
        <v>422</v>
      </c>
      <c r="J4021" s="8" t="s">
        <v>3089</v>
      </c>
      <c r="K4021" s="6" t="str">
        <f>"13.452,00"</f>
        <v>13.452,00</v>
      </c>
      <c r="L4021" s="6" t="str">
        <f>"3.363,00"</f>
        <v>3.363,00</v>
      </c>
      <c r="M4021" s="6" t="str">
        <f>"16.815,00"</f>
        <v>16.815,00</v>
      </c>
      <c r="N4021" s="8" t="s">
        <v>30</v>
      </c>
      <c r="O4021" s="7"/>
      <c r="P4021" s="2" t="s">
        <v>8019</v>
      </c>
      <c r="Q4021" s="7"/>
      <c r="R4021" s="1"/>
      <c r="S4021" s="1" t="str">
        <f>"J-UN-2022-437"</f>
        <v>J-UN-2022-437</v>
      </c>
      <c r="T4021" s="1" t="s">
        <v>32</v>
      </c>
    </row>
    <row r="4022" spans="1:20" ht="38.25" x14ac:dyDescent="0.25">
      <c r="A4022" s="6">
        <v>4016</v>
      </c>
      <c r="B4022" s="1" t="str">
        <f>"2022-698"</f>
        <v>2022-698</v>
      </c>
      <c r="C4022" s="1" t="s">
        <v>2565</v>
      </c>
      <c r="D4022" s="1" t="s">
        <v>1833</v>
      </c>
      <c r="E4022" s="1" t="str">
        <f>""</f>
        <v/>
      </c>
      <c r="F4022" s="1" t="s">
        <v>1860</v>
      </c>
      <c r="G4022" s="1" t="str">
        <f>CONCATENATE(" R-PIM D.O.O.,"," ,"," OIB: 38514700472")</f>
        <v xml:space="preserve"> R-PIM D.O.O., , OIB: 38514700472</v>
      </c>
      <c r="H4022" s="7"/>
      <c r="I4022" s="8" t="s">
        <v>371</v>
      </c>
      <c r="J4022" s="8" t="s">
        <v>2512</v>
      </c>
      <c r="K4022" s="6" t="str">
        <f>"1.264,00"</f>
        <v>1.264,00</v>
      </c>
      <c r="L4022" s="6" t="str">
        <f>"316,00"</f>
        <v>316,00</v>
      </c>
      <c r="M4022" s="6" t="str">
        <f>"1.580,00"</f>
        <v>1.580,00</v>
      </c>
      <c r="N4022" s="8" t="s">
        <v>920</v>
      </c>
      <c r="O4022" s="7"/>
      <c r="P4022" s="2" t="s">
        <v>8020</v>
      </c>
      <c r="Q4022" s="7"/>
      <c r="R4022" s="1"/>
      <c r="S4022" s="1" t="str">
        <f>"J-UN-2022-438"</f>
        <v>J-UN-2022-438</v>
      </c>
      <c r="T4022" s="1" t="s">
        <v>32</v>
      </c>
    </row>
    <row r="4023" spans="1:20" ht="51" x14ac:dyDescent="0.25">
      <c r="A4023" s="6">
        <v>4017</v>
      </c>
      <c r="B4023" s="1" t="str">
        <f>"2022-1006"</f>
        <v>2022-1006</v>
      </c>
      <c r="C4023" s="1" t="s">
        <v>2618</v>
      </c>
      <c r="D4023" s="1" t="s">
        <v>2619</v>
      </c>
      <c r="E4023" s="1" t="str">
        <f>""</f>
        <v/>
      </c>
      <c r="F4023" s="1" t="s">
        <v>1860</v>
      </c>
      <c r="G4023" s="1" t="str">
        <f>CONCATENATE(" TRA-MONT D.O.O.,"," MILIVOJA MATOŠECA 5,"," 10000 ZAGREB,"," OIB: 05336208843")</f>
        <v xml:space="preserve"> TRA-MONT D.O.O., MILIVOJA MATOŠECA 5, 10000 ZAGREB, OIB: 05336208843</v>
      </c>
      <c r="H4023" s="7"/>
      <c r="I4023" s="8" t="s">
        <v>422</v>
      </c>
      <c r="J4023" s="8" t="s">
        <v>3089</v>
      </c>
      <c r="K4023" s="6" t="str">
        <f>"1.695,00"</f>
        <v>1.695,00</v>
      </c>
      <c r="L4023" s="6" t="str">
        <f>"423,75"</f>
        <v>423,75</v>
      </c>
      <c r="M4023" s="6" t="str">
        <f>"2.118,75"</f>
        <v>2.118,75</v>
      </c>
      <c r="N4023" s="8" t="s">
        <v>345</v>
      </c>
      <c r="O4023" s="7"/>
      <c r="P4023" s="2" t="s">
        <v>8021</v>
      </c>
      <c r="Q4023" s="7"/>
      <c r="R4023" s="1"/>
      <c r="S4023" s="1" t="str">
        <f>"J-UN-2022-439"</f>
        <v>J-UN-2022-439</v>
      </c>
      <c r="T4023" s="1" t="s">
        <v>32</v>
      </c>
    </row>
    <row r="4024" spans="1:20" ht="38.25" x14ac:dyDescent="0.25">
      <c r="A4024" s="6">
        <v>4018</v>
      </c>
      <c r="B4024" s="1" t="str">
        <f>"2022-698"</f>
        <v>2022-698</v>
      </c>
      <c r="C4024" s="1" t="s">
        <v>2565</v>
      </c>
      <c r="D4024" s="1" t="s">
        <v>1833</v>
      </c>
      <c r="E4024" s="1" t="str">
        <f>""</f>
        <v/>
      </c>
      <c r="F4024" s="1" t="s">
        <v>1860</v>
      </c>
      <c r="G4024" s="1" t="str">
        <f>CONCATENATE(" R-PIM D.O.O.,"," ,"," OIB: 38514700472")</f>
        <v xml:space="preserve"> R-PIM D.O.O., , OIB: 38514700472</v>
      </c>
      <c r="H4024" s="7"/>
      <c r="I4024" s="8" t="s">
        <v>422</v>
      </c>
      <c r="J4024" s="8" t="s">
        <v>3089</v>
      </c>
      <c r="K4024" s="6" t="str">
        <f>"1.838,00"</f>
        <v>1.838,00</v>
      </c>
      <c r="L4024" s="6" t="str">
        <f>"459,50"</f>
        <v>459,50</v>
      </c>
      <c r="M4024" s="6" t="str">
        <f>"2.297,50"</f>
        <v>2.297,50</v>
      </c>
      <c r="N4024" s="8" t="s">
        <v>401</v>
      </c>
      <c r="O4024" s="7"/>
      <c r="P4024" s="2" t="s">
        <v>8022</v>
      </c>
      <c r="Q4024" s="7"/>
      <c r="R4024" s="1"/>
      <c r="S4024" s="1" t="str">
        <f>"J-UN-2022-441"</f>
        <v>J-UN-2022-441</v>
      </c>
      <c r="T4024" s="1" t="s">
        <v>32</v>
      </c>
    </row>
    <row r="4025" spans="1:20" ht="51" x14ac:dyDescent="0.25">
      <c r="A4025" s="6">
        <v>4019</v>
      </c>
      <c r="B4025" s="1" t="str">
        <f>"2022-706"</f>
        <v>2022-706</v>
      </c>
      <c r="C4025" s="1" t="s">
        <v>2670</v>
      </c>
      <c r="D4025" s="1" t="s">
        <v>2671</v>
      </c>
      <c r="E4025" s="1" t="str">
        <f>""</f>
        <v/>
      </c>
      <c r="F4025" s="1" t="s">
        <v>1860</v>
      </c>
      <c r="G4025" s="1" t="str">
        <f>CONCATENATE(" SAFIR D.O.O.,"," HORVAĆANSKA 17,"," 10000 ZAGREB,"," OIB: 33548604975")</f>
        <v xml:space="preserve"> SAFIR D.O.O., HORVAĆANSKA 17, 10000 ZAGREB, OIB: 33548604975</v>
      </c>
      <c r="H4025" s="7"/>
      <c r="I4025" s="8" t="s">
        <v>1119</v>
      </c>
      <c r="J4025" s="8" t="s">
        <v>2329</v>
      </c>
      <c r="K4025" s="6" t="str">
        <f>"2.880,00"</f>
        <v>2.880,00</v>
      </c>
      <c r="L4025" s="6" t="str">
        <f>"720,00"</f>
        <v>720,00</v>
      </c>
      <c r="M4025" s="6" t="str">
        <f>"3.600,00"</f>
        <v>3.600,00</v>
      </c>
      <c r="N4025" s="8" t="s">
        <v>296</v>
      </c>
      <c r="O4025" s="7"/>
      <c r="P4025" s="2" t="s">
        <v>6268</v>
      </c>
      <c r="Q4025" s="7"/>
      <c r="R4025" s="1"/>
      <c r="S4025" s="1" t="str">
        <f>"J-UN-2022-442"</f>
        <v>J-UN-2022-442</v>
      </c>
      <c r="T4025" s="1" t="s">
        <v>32</v>
      </c>
    </row>
    <row r="4026" spans="1:20" ht="76.5" x14ac:dyDescent="0.25">
      <c r="A4026" s="6">
        <v>4020</v>
      </c>
      <c r="B4026" s="1" t="str">
        <f>"2022-100"</f>
        <v>2022-100</v>
      </c>
      <c r="C4026" s="1" t="s">
        <v>2628</v>
      </c>
      <c r="D4026" s="1" t="s">
        <v>2010</v>
      </c>
      <c r="E4026" s="1" t="str">
        <f>""</f>
        <v/>
      </c>
      <c r="F4026" s="1" t="s">
        <v>1860</v>
      </c>
      <c r="G4026" s="1" t="str">
        <f>CONCATENATE(" METRON INSTRUMENTS D.O.O.,"," POSLOVNI CENTAR ZAVRTNICA,"," ZAVRTNICA 17,"," 10000 ZAGREB,"," OIB: 53299066792")</f>
        <v xml:space="preserve"> METRON INSTRUMENTS D.O.O., POSLOVNI CENTAR ZAVRTNICA, ZAVRTNICA 17, 10000 ZAGREB, OIB: 53299066792</v>
      </c>
      <c r="H4026" s="7"/>
      <c r="I4026" s="8" t="s">
        <v>422</v>
      </c>
      <c r="J4026" s="8" t="s">
        <v>3089</v>
      </c>
      <c r="K4026" s="6" t="str">
        <f>"850,00"</f>
        <v>850,00</v>
      </c>
      <c r="L4026" s="6" t="str">
        <f>"212,50"</f>
        <v>212,50</v>
      </c>
      <c r="M4026" s="6" t="str">
        <f>"1.062,50"</f>
        <v>1.062,50</v>
      </c>
      <c r="N4026" s="8" t="s">
        <v>296</v>
      </c>
      <c r="O4026" s="7"/>
      <c r="P4026" s="2" t="s">
        <v>5682</v>
      </c>
      <c r="Q4026" s="7"/>
      <c r="R4026" s="1"/>
      <c r="S4026" s="1" t="str">
        <f>"J-UN-2022-443"</f>
        <v>J-UN-2022-443</v>
      </c>
      <c r="T4026" s="1" t="s">
        <v>32</v>
      </c>
    </row>
    <row r="4027" spans="1:20" ht="63.75" x14ac:dyDescent="0.25">
      <c r="A4027" s="6">
        <v>4021</v>
      </c>
      <c r="B4027" s="1" t="str">
        <f>"2022-100"</f>
        <v>2022-100</v>
      </c>
      <c r="C4027" s="1" t="s">
        <v>2628</v>
      </c>
      <c r="D4027" s="1" t="s">
        <v>2010</v>
      </c>
      <c r="E4027" s="1" t="str">
        <f>""</f>
        <v/>
      </c>
      <c r="F4027" s="1" t="s">
        <v>1860</v>
      </c>
      <c r="G4027" s="1" t="str">
        <f>CONCATENATE(" HIP D.O.O.,"," ZVONIMIRA FURTINGERA 1,"," 10090 ZAGREB-SUSEDGRAD,"," OIB: 212142083")</f>
        <v xml:space="preserve"> HIP D.O.O., ZVONIMIRA FURTINGERA 1, 10090 ZAGREB-SUSEDGRAD, OIB: 212142083</v>
      </c>
      <c r="H4027" s="7"/>
      <c r="I4027" s="8" t="s">
        <v>422</v>
      </c>
      <c r="J4027" s="8" t="s">
        <v>3089</v>
      </c>
      <c r="K4027" s="6" t="str">
        <f>"3.552,00"</f>
        <v>3.552,00</v>
      </c>
      <c r="L4027" s="6" t="str">
        <f>"888,00"</f>
        <v>888,00</v>
      </c>
      <c r="M4027" s="6" t="str">
        <f>"4.440,00"</f>
        <v>4.440,00</v>
      </c>
      <c r="N4027" s="8" t="s">
        <v>499</v>
      </c>
      <c r="O4027" s="7"/>
      <c r="P4027" s="2" t="s">
        <v>8023</v>
      </c>
      <c r="Q4027" s="7"/>
      <c r="R4027" s="1"/>
      <c r="S4027" s="1" t="str">
        <f>"J-UN-2022-444"</f>
        <v>J-UN-2022-444</v>
      </c>
      <c r="T4027" s="1" t="s">
        <v>32</v>
      </c>
    </row>
    <row r="4028" spans="1:20" ht="51" x14ac:dyDescent="0.25">
      <c r="A4028" s="6">
        <v>4022</v>
      </c>
      <c r="B4028" s="1" t="str">
        <f>"2022-715"</f>
        <v>2022-715</v>
      </c>
      <c r="C4028" s="1" t="s">
        <v>2733</v>
      </c>
      <c r="D4028" s="1" t="s">
        <v>914</v>
      </c>
      <c r="E4028" s="1" t="str">
        <f>""</f>
        <v/>
      </c>
      <c r="F4028" s="1" t="s">
        <v>1860</v>
      </c>
      <c r="G4028" s="1" t="str">
        <f>CONCATENATE(" TPZ D.O.O.,"," NOVOSELSKA 25,"," 10000 ZAGREB,"," OIB: 68119083236")</f>
        <v xml:space="preserve"> TPZ D.O.O., NOVOSELSKA 25, 10000 ZAGREB, OIB: 68119083236</v>
      </c>
      <c r="H4028" s="7"/>
      <c r="I4028" s="8" t="s">
        <v>422</v>
      </c>
      <c r="J4028" s="8" t="s">
        <v>3089</v>
      </c>
      <c r="K4028" s="6" t="str">
        <f>"52.592,14"</f>
        <v>52.592,14</v>
      </c>
      <c r="L4028" s="6" t="str">
        <f>"13.148,04"</f>
        <v>13.148,04</v>
      </c>
      <c r="M4028" s="6" t="str">
        <f>"65.740,18"</f>
        <v>65.740,18</v>
      </c>
      <c r="N4028" s="8" t="s">
        <v>257</v>
      </c>
      <c r="O4028" s="7"/>
      <c r="P4028" s="2" t="s">
        <v>8024</v>
      </c>
      <c r="Q4028" s="7"/>
      <c r="R4028" s="1"/>
      <c r="S4028" s="1" t="str">
        <f>"J-UN-2022-445"</f>
        <v>J-UN-2022-445</v>
      </c>
      <c r="T4028" s="1" t="s">
        <v>32</v>
      </c>
    </row>
    <row r="4029" spans="1:20" ht="51" x14ac:dyDescent="0.25">
      <c r="A4029" s="6">
        <v>4023</v>
      </c>
      <c r="B4029" s="1" t="str">
        <f>"2022-244"</f>
        <v>2022-244</v>
      </c>
      <c r="C4029" s="1" t="s">
        <v>2677</v>
      </c>
      <c r="D4029" s="1" t="s">
        <v>2678</v>
      </c>
      <c r="E4029" s="1" t="str">
        <f>""</f>
        <v/>
      </c>
      <c r="F4029" s="1" t="s">
        <v>1860</v>
      </c>
      <c r="G4029" s="1" t="str">
        <f>CONCATENATE(" LJEKARNE JOUKHADAR,"," HRIBAROV PRILAZ 6A,"," 10000 ZAGREB,"," OIB: 12767193532")</f>
        <v xml:space="preserve"> LJEKARNE JOUKHADAR, HRIBAROV PRILAZ 6A, 10000 ZAGREB, OIB: 12767193532</v>
      </c>
      <c r="H4029" s="7"/>
      <c r="I4029" s="8" t="s">
        <v>371</v>
      </c>
      <c r="J4029" s="8" t="s">
        <v>2512</v>
      </c>
      <c r="K4029" s="6" t="str">
        <f>"7.500,00"</f>
        <v>7.500,00</v>
      </c>
      <c r="L4029" s="6" t="str">
        <f>"1.875,00"</f>
        <v>1.875,00</v>
      </c>
      <c r="M4029" s="6" t="str">
        <f>"9.375,00"</f>
        <v>9.375,00</v>
      </c>
      <c r="N4029" s="8" t="s">
        <v>296</v>
      </c>
      <c r="O4029" s="7"/>
      <c r="P4029" s="2" t="s">
        <v>7958</v>
      </c>
      <c r="Q4029" s="7"/>
      <c r="R4029" s="1"/>
      <c r="S4029" s="1" t="str">
        <f>"J-UN-2022-447"</f>
        <v>J-UN-2022-447</v>
      </c>
      <c r="T4029" s="1" t="s">
        <v>32</v>
      </c>
    </row>
    <row r="4030" spans="1:20" ht="63.75" x14ac:dyDescent="0.25">
      <c r="A4030" s="6">
        <v>4024</v>
      </c>
      <c r="B4030" s="1" t="str">
        <f>"2022-193"</f>
        <v>2022-193</v>
      </c>
      <c r="C4030" s="1" t="s">
        <v>2731</v>
      </c>
      <c r="D4030" s="1" t="s">
        <v>2732</v>
      </c>
      <c r="E4030" s="1" t="str">
        <f>""</f>
        <v/>
      </c>
      <c r="F4030" s="1" t="s">
        <v>1860</v>
      </c>
      <c r="G4030" s="1" t="str">
        <f>CONCATENATE(" PROTING HORVAT D.O.O.,"," FRANA GALINOVIĆA 4,"," 49000 KRAPINA,"," OIB: 75263812619")</f>
        <v xml:space="preserve"> PROTING HORVAT D.O.O., FRANA GALINOVIĆA 4, 49000 KRAPINA, OIB: 75263812619</v>
      </c>
      <c r="H4030" s="7"/>
      <c r="I4030" s="8" t="s">
        <v>500</v>
      </c>
      <c r="J4030" s="8" t="s">
        <v>3092</v>
      </c>
      <c r="K4030" s="6" t="str">
        <f>"1.400,00"</f>
        <v>1.400,00</v>
      </c>
      <c r="L4030" s="6" t="str">
        <f>"350,00"</f>
        <v>350,00</v>
      </c>
      <c r="M4030" s="6" t="str">
        <f>"1.750,00"</f>
        <v>1.750,00</v>
      </c>
      <c r="N4030" s="8" t="s">
        <v>273</v>
      </c>
      <c r="O4030" s="7"/>
      <c r="P4030" s="2" t="s">
        <v>6524</v>
      </c>
      <c r="Q4030" s="7"/>
      <c r="R4030" s="1"/>
      <c r="S4030" s="1" t="str">
        <f>"J-UN-2022-448"</f>
        <v>J-UN-2022-448</v>
      </c>
      <c r="T4030" s="1" t="s">
        <v>32</v>
      </c>
    </row>
    <row r="4031" spans="1:20" ht="63.75" x14ac:dyDescent="0.25">
      <c r="A4031" s="6">
        <v>4025</v>
      </c>
      <c r="B4031" s="1" t="str">
        <f>"2022-966"</f>
        <v>2022-966</v>
      </c>
      <c r="C4031" s="1" t="s">
        <v>2815</v>
      </c>
      <c r="D4031" s="1" t="s">
        <v>1373</v>
      </c>
      <c r="E4031" s="1" t="str">
        <f>""</f>
        <v/>
      </c>
      <c r="F4031" s="1" t="s">
        <v>1860</v>
      </c>
      <c r="G4031" s="1" t="str">
        <f>CONCATENATE(" STROJOOBNOVA,"," VL.TIHOMIR LJUBIĆ,"," RAVNICE 13,"," 10294 DONJA PUŠĆA,"," OIB: 50149576546")</f>
        <v xml:space="preserve"> STROJOOBNOVA, VL.TIHOMIR LJUBIĆ, RAVNICE 13, 10294 DONJA PUŠĆA, OIB: 50149576546</v>
      </c>
      <c r="H4031" s="7"/>
      <c r="I4031" s="8" t="s">
        <v>242</v>
      </c>
      <c r="J4031" s="8" t="s">
        <v>2166</v>
      </c>
      <c r="K4031" s="6" t="str">
        <f>"6.960,00"</f>
        <v>6.960,00</v>
      </c>
      <c r="L4031" s="6" t="str">
        <f>"1.740,00"</f>
        <v>1.740,00</v>
      </c>
      <c r="M4031" s="6" t="str">
        <f>"8.700,00"</f>
        <v>8.700,00</v>
      </c>
      <c r="N4031" s="8" t="s">
        <v>124</v>
      </c>
      <c r="O4031" s="7"/>
      <c r="P4031" s="2" t="s">
        <v>8025</v>
      </c>
      <c r="Q4031" s="7"/>
      <c r="R4031" s="1"/>
      <c r="S4031" s="1" t="str">
        <f>"J-UN-2022-449"</f>
        <v>J-UN-2022-449</v>
      </c>
      <c r="T4031" s="1" t="s">
        <v>32</v>
      </c>
    </row>
    <row r="4032" spans="1:20" ht="76.5" x14ac:dyDescent="0.25">
      <c r="A4032" s="6">
        <v>4026</v>
      </c>
      <c r="B4032" s="1" t="str">
        <f>"2022-306"</f>
        <v>2022-306</v>
      </c>
      <c r="C4032" s="1" t="s">
        <v>2692</v>
      </c>
      <c r="D4032" s="1" t="s">
        <v>2693</v>
      </c>
      <c r="E4032" s="1" t="str">
        <f>""</f>
        <v/>
      </c>
      <c r="F4032" s="1" t="s">
        <v>1860</v>
      </c>
      <c r="G4032" s="1" t="str">
        <f>CONCATENATE(" SMIT-COMMERCE D.O.O.,"," GORNJOSTUPNIČKA 9B,"," 10255 GORNJI STUPNIK,"," OIB: 9524348214")</f>
        <v xml:space="preserve"> SMIT-COMMERCE D.O.O., GORNJOSTUPNIČKA 9B, 10255 GORNJI STUPNIK, OIB: 9524348214</v>
      </c>
      <c r="H4032" s="7"/>
      <c r="I4032" s="8" t="s">
        <v>500</v>
      </c>
      <c r="J4032" s="8" t="s">
        <v>3092</v>
      </c>
      <c r="K4032" s="6" t="str">
        <f>"657,00"</f>
        <v>657,00</v>
      </c>
      <c r="L4032" s="6" t="str">
        <f>"164,25"</f>
        <v>164,25</v>
      </c>
      <c r="M4032" s="6" t="str">
        <f>"821,25"</f>
        <v>821,25</v>
      </c>
      <c r="N4032" s="8" t="s">
        <v>856</v>
      </c>
      <c r="O4032" s="7"/>
      <c r="P4032" s="2" t="s">
        <v>8026</v>
      </c>
      <c r="Q4032" s="7"/>
      <c r="R4032" s="1"/>
      <c r="S4032" s="1" t="str">
        <f>"J-UN-2022-450"</f>
        <v>J-UN-2022-450</v>
      </c>
      <c r="T4032" s="1" t="s">
        <v>32</v>
      </c>
    </row>
    <row r="4033" spans="1:20" ht="76.5" x14ac:dyDescent="0.25">
      <c r="A4033" s="6">
        <v>4027</v>
      </c>
      <c r="B4033" s="1" t="str">
        <f>"2022-374"</f>
        <v>2022-374</v>
      </c>
      <c r="C4033" s="1" t="s">
        <v>2706</v>
      </c>
      <c r="D4033" s="1" t="s">
        <v>1334</v>
      </c>
      <c r="E4033" s="1" t="str">
        <f>""</f>
        <v/>
      </c>
      <c r="F4033" s="1" t="s">
        <v>1860</v>
      </c>
      <c r="G4033" s="1" t="str">
        <f>CONCATENATE(" SMIT-COMMERCE D.O.O.,"," GORNJOSTUPNIČKA 9B,"," 10255 GORNJI STUPNIK,"," OIB: 9524348214")</f>
        <v xml:space="preserve"> SMIT-COMMERCE D.O.O., GORNJOSTUPNIČKA 9B, 10255 GORNJI STUPNIK, OIB: 9524348214</v>
      </c>
      <c r="H4033" s="7"/>
      <c r="I4033" s="8" t="s">
        <v>500</v>
      </c>
      <c r="J4033" s="8" t="s">
        <v>3092</v>
      </c>
      <c r="K4033" s="6" t="str">
        <f>"189,80"</f>
        <v>189,80</v>
      </c>
      <c r="L4033" s="6" t="str">
        <f>"47,45"</f>
        <v>47,45</v>
      </c>
      <c r="M4033" s="6" t="str">
        <f>"237,25"</f>
        <v>237,25</v>
      </c>
      <c r="N4033" s="8" t="s">
        <v>260</v>
      </c>
      <c r="O4033" s="7"/>
      <c r="P4033" s="2" t="s">
        <v>8027</v>
      </c>
      <c r="Q4033" s="7"/>
      <c r="R4033" s="1"/>
      <c r="S4033" s="1" t="str">
        <f>"J-UN-2022-451"</f>
        <v>J-UN-2022-451</v>
      </c>
      <c r="T4033" s="1" t="s">
        <v>32</v>
      </c>
    </row>
    <row r="4034" spans="1:20" ht="51" x14ac:dyDescent="0.25">
      <c r="A4034" s="6">
        <v>4028</v>
      </c>
      <c r="B4034" s="1" t="str">
        <f>"2022-452"</f>
        <v>2022-452</v>
      </c>
      <c r="C4034" s="1" t="s">
        <v>2881</v>
      </c>
      <c r="D4034" s="1" t="s">
        <v>2882</v>
      </c>
      <c r="E4034" s="1" t="str">
        <f>""</f>
        <v/>
      </c>
      <c r="F4034" s="1" t="s">
        <v>1860</v>
      </c>
      <c r="G4034" s="1" t="str">
        <f>CONCATENATE(" BRIŠAR SERVIS D.O.O.,"," PRELČEVA 21D,"," 10360 SESVETE,"," OIB: 58933898865")</f>
        <v xml:space="preserve"> BRIŠAR SERVIS D.O.O., PRELČEVA 21D, 10360 SESVETE, OIB: 58933898865</v>
      </c>
      <c r="H4034" s="7"/>
      <c r="I4034" s="8" t="s">
        <v>422</v>
      </c>
      <c r="J4034" s="8" t="s">
        <v>3089</v>
      </c>
      <c r="K4034" s="6" t="str">
        <f>"6.868,14"</f>
        <v>6.868,14</v>
      </c>
      <c r="L4034" s="6" t="str">
        <f>"1.717,04"</f>
        <v>1.717,04</v>
      </c>
      <c r="M4034" s="6" t="str">
        <f>"8.585,18"</f>
        <v>8.585,18</v>
      </c>
      <c r="N4034" s="8" t="s">
        <v>262</v>
      </c>
      <c r="O4034" s="7"/>
      <c r="P4034" s="2" t="s">
        <v>8028</v>
      </c>
      <c r="Q4034" s="7"/>
      <c r="R4034" s="1"/>
      <c r="S4034" s="1" t="str">
        <f>"J-UN-2022-453"</f>
        <v>J-UN-2022-453</v>
      </c>
      <c r="T4034" s="1" t="s">
        <v>32</v>
      </c>
    </row>
    <row r="4035" spans="1:20" ht="51" x14ac:dyDescent="0.25">
      <c r="A4035" s="6">
        <v>4029</v>
      </c>
      <c r="B4035" s="1" t="str">
        <f>"2022-923"</f>
        <v>2022-923</v>
      </c>
      <c r="C4035" s="1" t="s">
        <v>2856</v>
      </c>
      <c r="D4035" s="1" t="s">
        <v>1007</v>
      </c>
      <c r="E4035" s="1" t="str">
        <f>""</f>
        <v/>
      </c>
      <c r="F4035" s="1" t="s">
        <v>1860</v>
      </c>
      <c r="G4035" s="1" t="str">
        <f>CONCATENATE(" BLUEMONT D.O.O.,"," VINCEKOV BREG 20,"," 10000 ZAGREB,"," OIB: 54895392358")</f>
        <v xml:space="preserve"> BLUEMONT D.O.O., VINCEKOV BREG 20, 10000 ZAGREB, OIB: 54895392358</v>
      </c>
      <c r="H4035" s="7"/>
      <c r="I4035" s="8" t="s">
        <v>371</v>
      </c>
      <c r="J4035" s="8" t="s">
        <v>2512</v>
      </c>
      <c r="K4035" s="6" t="str">
        <f>"9.987,70"</f>
        <v>9.987,70</v>
      </c>
      <c r="L4035" s="6" t="str">
        <f>"2.496,93"</f>
        <v>2.496,93</v>
      </c>
      <c r="M4035" s="6" t="str">
        <f>"12.484,63"</f>
        <v>12.484,63</v>
      </c>
      <c r="N4035" s="8" t="s">
        <v>284</v>
      </c>
      <c r="O4035" s="7"/>
      <c r="P4035" s="2" t="s">
        <v>8029</v>
      </c>
      <c r="Q4035" s="7"/>
      <c r="R4035" s="1"/>
      <c r="S4035" s="1" t="str">
        <f>"J-UN-2022-454"</f>
        <v>J-UN-2022-454</v>
      </c>
      <c r="T4035" s="1" t="s">
        <v>32</v>
      </c>
    </row>
    <row r="4036" spans="1:20" ht="51" x14ac:dyDescent="0.25">
      <c r="A4036" s="6">
        <v>4030</v>
      </c>
      <c r="B4036" s="1" t="str">
        <f>"2022-100"</f>
        <v>2022-100</v>
      </c>
      <c r="C4036" s="1" t="s">
        <v>2628</v>
      </c>
      <c r="D4036" s="1" t="s">
        <v>2010</v>
      </c>
      <c r="E4036" s="1" t="str">
        <f>""</f>
        <v/>
      </c>
      <c r="F4036" s="1" t="s">
        <v>1860</v>
      </c>
      <c r="G4036" s="1" t="str">
        <f>CONCATENATE(" RO-TEHNOLOGIJA D.O.O.,"," NOVA CESTA 86,"," 51410 OPATIJA,"," OIB: 94757004774")</f>
        <v xml:space="preserve"> RO-TEHNOLOGIJA D.O.O., NOVA CESTA 86, 51410 OPATIJA, OIB: 94757004774</v>
      </c>
      <c r="H4036" s="7"/>
      <c r="I4036" s="8" t="s">
        <v>242</v>
      </c>
      <c r="J4036" s="8" t="s">
        <v>2166</v>
      </c>
      <c r="K4036" s="6" t="str">
        <f>"18.000,00"</f>
        <v>18.000,00</v>
      </c>
      <c r="L4036" s="6" t="str">
        <f>"4.500,00"</f>
        <v>4.500,00</v>
      </c>
      <c r="M4036" s="6" t="str">
        <f>"22.500,00"</f>
        <v>22.500,00</v>
      </c>
      <c r="N4036" s="8" t="s">
        <v>354</v>
      </c>
      <c r="O4036" s="7"/>
      <c r="P4036" s="2" t="s">
        <v>8030</v>
      </c>
      <c r="Q4036" s="7"/>
      <c r="R4036" s="1"/>
      <c r="S4036" s="1" t="str">
        <f>"J-UN-2022-455"</f>
        <v>J-UN-2022-455</v>
      </c>
      <c r="T4036" s="1" t="s">
        <v>32</v>
      </c>
    </row>
    <row r="4037" spans="1:20" ht="102" x14ac:dyDescent="0.25">
      <c r="A4037" s="6">
        <v>4031</v>
      </c>
      <c r="B4037" s="1" t="str">
        <f>"2022-1434"</f>
        <v>2022-1434</v>
      </c>
      <c r="C4037" s="1" t="s">
        <v>2558</v>
      </c>
      <c r="D4037" s="1" t="s">
        <v>860</v>
      </c>
      <c r="E4037" s="1" t="str">
        <f>""</f>
        <v/>
      </c>
      <c r="F4037" s="1" t="s">
        <v>1860</v>
      </c>
      <c r="G4037" s="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037" s="7"/>
      <c r="I4037" s="8" t="s">
        <v>242</v>
      </c>
      <c r="J4037" s="8" t="s">
        <v>2166</v>
      </c>
      <c r="K4037" s="6" t="str">
        <f>"1.280,00"</f>
        <v>1.280,00</v>
      </c>
      <c r="L4037" s="6" t="str">
        <f>"320,00"</f>
        <v>320,00</v>
      </c>
      <c r="M4037" s="6" t="str">
        <f>"1.600,00"</f>
        <v>1.600,00</v>
      </c>
      <c r="N4037" s="8" t="s">
        <v>124</v>
      </c>
      <c r="O4037" s="7"/>
      <c r="P4037" s="2" t="s">
        <v>5614</v>
      </c>
      <c r="Q4037" s="7"/>
      <c r="R4037" s="1"/>
      <c r="S4037" s="1" t="str">
        <f>"J-UN-2022-456"</f>
        <v>J-UN-2022-456</v>
      </c>
      <c r="T4037" s="1" t="s">
        <v>32</v>
      </c>
    </row>
    <row r="4038" spans="1:20" ht="63.75" x14ac:dyDescent="0.25">
      <c r="A4038" s="6">
        <v>4032</v>
      </c>
      <c r="B4038" s="1" t="str">
        <f>"2022-925"</f>
        <v>2022-925</v>
      </c>
      <c r="C4038" s="1" t="s">
        <v>2889</v>
      </c>
      <c r="D4038" s="1" t="s">
        <v>1007</v>
      </c>
      <c r="E4038" s="1" t="str">
        <f>""</f>
        <v/>
      </c>
      <c r="F4038" s="1" t="s">
        <v>1860</v>
      </c>
      <c r="G4038" s="1" t="str">
        <f>CONCATENATE(" MIKLEC UPRAVLJANJE NEKRETNINAMA D.O.O.,"," SINBUK 23,"," 10000 ZAGREB,"," OIB: 40504688204")</f>
        <v xml:space="preserve"> MIKLEC UPRAVLJANJE NEKRETNINAMA D.O.O., SINBUK 23, 10000 ZAGREB, OIB: 40504688204</v>
      </c>
      <c r="H4038" s="7"/>
      <c r="I4038" s="8" t="s">
        <v>257</v>
      </c>
      <c r="J4038" s="8" t="s">
        <v>3093</v>
      </c>
      <c r="K4038" s="6" t="str">
        <f>"54.270,00"</f>
        <v>54.270,00</v>
      </c>
      <c r="L4038" s="6" t="str">
        <f>"13.567,50"</f>
        <v>13.567,50</v>
      </c>
      <c r="M4038" s="6" t="str">
        <f>"67.837,50"</f>
        <v>67.837,50</v>
      </c>
      <c r="N4038" s="8" t="s">
        <v>293</v>
      </c>
      <c r="O4038" s="7"/>
      <c r="P4038" s="2" t="s">
        <v>8031</v>
      </c>
      <c r="Q4038" s="7"/>
      <c r="R4038" s="1"/>
      <c r="S4038" s="1" t="str">
        <f>"J-UN-2022-460"</f>
        <v>J-UN-2022-460</v>
      </c>
      <c r="T4038" s="1" t="s">
        <v>32</v>
      </c>
    </row>
    <row r="4039" spans="1:20" ht="51" x14ac:dyDescent="0.25">
      <c r="A4039" s="6">
        <v>4033</v>
      </c>
      <c r="B4039" s="1" t="str">
        <f>"2022-995"</f>
        <v>2022-995</v>
      </c>
      <c r="C4039" s="1" t="s">
        <v>2816</v>
      </c>
      <c r="D4039" s="1" t="s">
        <v>229</v>
      </c>
      <c r="E4039" s="1" t="str">
        <f>""</f>
        <v/>
      </c>
      <c r="F4039" s="1" t="s">
        <v>1860</v>
      </c>
      <c r="G4039" s="1" t="str">
        <f>CONCATENATE(" KLIMAOPREMA D.D.,"," GRADNA 78/A,"," 10430 SAMOBOR,"," OIB: 34383404032")</f>
        <v xml:space="preserve"> KLIMAOPREMA D.D., GRADNA 78/A, 10430 SAMOBOR, OIB: 34383404032</v>
      </c>
      <c r="H4039" s="7"/>
      <c r="I4039" s="8" t="s">
        <v>257</v>
      </c>
      <c r="J4039" s="8" t="s">
        <v>3093</v>
      </c>
      <c r="K4039" s="6" t="str">
        <f>"37.800,00"</f>
        <v>37.800,00</v>
      </c>
      <c r="L4039" s="6" t="str">
        <f>"9.450,00"</f>
        <v>9.450,00</v>
      </c>
      <c r="M4039" s="6" t="str">
        <f>"47.250,00"</f>
        <v>47.250,00</v>
      </c>
      <c r="N4039" s="8" t="s">
        <v>124</v>
      </c>
      <c r="O4039" s="7"/>
      <c r="P4039" s="2" t="s">
        <v>5614</v>
      </c>
      <c r="Q4039" s="7"/>
      <c r="R4039" s="1"/>
      <c r="S4039" s="1" t="str">
        <f>"J-UN-2022-461"</f>
        <v>J-UN-2022-461</v>
      </c>
      <c r="T4039" s="1" t="s">
        <v>32</v>
      </c>
    </row>
    <row r="4040" spans="1:20" ht="63.75" x14ac:dyDescent="0.25">
      <c r="A4040" s="6">
        <v>4034</v>
      </c>
      <c r="B4040" s="1" t="str">
        <f>"2022-1435"</f>
        <v>2022-1435</v>
      </c>
      <c r="C4040" s="1" t="s">
        <v>2756</v>
      </c>
      <c r="D4040" s="1" t="s">
        <v>860</v>
      </c>
      <c r="E4040" s="1" t="str">
        <f>""</f>
        <v/>
      </c>
      <c r="F4040" s="1" t="s">
        <v>1860</v>
      </c>
      <c r="G4040" s="1" t="str">
        <f>CONCATENATE(" MIKLEC UPRAVLJANJE NEKRETNINAMA D.O.O.,"," SINBUK 23,"," 10000 ZAGREB,"," OIB: 40504688204")</f>
        <v xml:space="preserve"> MIKLEC UPRAVLJANJE NEKRETNINAMA D.O.O., SINBUK 23, 10000 ZAGREB, OIB: 40504688204</v>
      </c>
      <c r="H4040" s="7"/>
      <c r="I4040" s="8" t="s">
        <v>242</v>
      </c>
      <c r="J4040" s="8" t="s">
        <v>2166</v>
      </c>
      <c r="K4040" s="6" t="str">
        <f>"1.620,00"</f>
        <v>1.620,00</v>
      </c>
      <c r="L4040" s="6" t="str">
        <f>"405,00"</f>
        <v>405,00</v>
      </c>
      <c r="M4040" s="6" t="str">
        <f>"2.025,00"</f>
        <v>2.025,00</v>
      </c>
      <c r="N4040" s="8" t="s">
        <v>500</v>
      </c>
      <c r="O4040" s="7"/>
      <c r="P4040" s="2" t="s">
        <v>8032</v>
      </c>
      <c r="Q4040" s="7"/>
      <c r="R4040" s="1"/>
      <c r="S4040" s="1" t="str">
        <f>"J-UN-2022-462"</f>
        <v>J-UN-2022-462</v>
      </c>
      <c r="T4040" s="1" t="s">
        <v>32</v>
      </c>
    </row>
    <row r="4041" spans="1:20" ht="51" x14ac:dyDescent="0.25">
      <c r="A4041" s="6">
        <v>4035</v>
      </c>
      <c r="B4041" s="1" t="str">
        <f>"2022-554"</f>
        <v>2022-554</v>
      </c>
      <c r="C4041" s="1" t="s">
        <v>2727</v>
      </c>
      <c r="D4041" s="1" t="s">
        <v>794</v>
      </c>
      <c r="E4041" s="1" t="str">
        <f>""</f>
        <v/>
      </c>
      <c r="F4041" s="1" t="s">
        <v>1860</v>
      </c>
      <c r="G4041" s="1" t="str">
        <f>CONCATENATE(" TAHOGRAF D.O.O.,"," DR. FRANJE TUĐMANA 24,"," 10431 SVETA NEDELJA,"," OIB: 73777060562")</f>
        <v xml:space="preserve"> TAHOGRAF D.O.O., DR. FRANJE TUĐMANA 24, 10431 SVETA NEDELJA, OIB: 73777060562</v>
      </c>
      <c r="H4041" s="7"/>
      <c r="I4041" s="8" t="s">
        <v>345</v>
      </c>
      <c r="J4041" s="8" t="s">
        <v>2164</v>
      </c>
      <c r="K4041" s="6" t="str">
        <f>"4.598,00"</f>
        <v>4.598,00</v>
      </c>
      <c r="L4041" s="6" t="str">
        <f>"1.149,50"</f>
        <v>1.149,50</v>
      </c>
      <c r="M4041" s="6" t="str">
        <f>"5.747,50"</f>
        <v>5.747,50</v>
      </c>
      <c r="N4041" s="8" t="s">
        <v>400</v>
      </c>
      <c r="O4041" s="7"/>
      <c r="P4041" s="2" t="s">
        <v>7195</v>
      </c>
      <c r="Q4041" s="7"/>
      <c r="R4041" s="1"/>
      <c r="S4041" s="1" t="str">
        <f>"J-UN-2022-463"</f>
        <v>J-UN-2022-463</v>
      </c>
      <c r="T4041" s="1" t="s">
        <v>32</v>
      </c>
    </row>
    <row r="4042" spans="1:20" ht="63.75" x14ac:dyDescent="0.25">
      <c r="A4042" s="6">
        <v>4036</v>
      </c>
      <c r="B4042" s="1" t="str">
        <f>"2022-485"</f>
        <v>2022-485</v>
      </c>
      <c r="C4042" s="1" t="s">
        <v>2614</v>
      </c>
      <c r="D4042" s="1" t="s">
        <v>619</v>
      </c>
      <c r="E4042" s="1" t="str">
        <f>""</f>
        <v/>
      </c>
      <c r="F4042" s="1" t="s">
        <v>1860</v>
      </c>
      <c r="G4042" s="1" t="str">
        <f>CONCATENATE(" METAL PLUS D.O.O.,"," CMP SAVICA ŠANCI,"," OBRTNIČKA 5,"," 10000 ZAGREB,"," OIB: 13534526502")</f>
        <v xml:space="preserve"> METAL PLUS D.O.O., CMP SAVICA ŠANCI, OBRTNIČKA 5, 10000 ZAGREB, OIB: 13534526502</v>
      </c>
      <c r="H4042" s="7"/>
      <c r="I4042" s="8" t="s">
        <v>1119</v>
      </c>
      <c r="J4042" s="8" t="s">
        <v>2329</v>
      </c>
      <c r="K4042" s="6" t="str">
        <f>"2.602,50"</f>
        <v>2.602,50</v>
      </c>
      <c r="L4042" s="6" t="str">
        <f>"650,63"</f>
        <v>650,63</v>
      </c>
      <c r="M4042" s="6" t="str">
        <f>"3.253,13"</f>
        <v>3.253,13</v>
      </c>
      <c r="N4042" s="8" t="s">
        <v>291</v>
      </c>
      <c r="O4042" s="7"/>
      <c r="P4042" s="2" t="s">
        <v>8033</v>
      </c>
      <c r="Q4042" s="7"/>
      <c r="R4042" s="1"/>
      <c r="S4042" s="1" t="str">
        <f>"J-UN-2022-465"</f>
        <v>J-UN-2022-465</v>
      </c>
      <c r="T4042" s="1" t="s">
        <v>32</v>
      </c>
    </row>
    <row r="4043" spans="1:20" ht="51" x14ac:dyDescent="0.25">
      <c r="A4043" s="6">
        <v>4037</v>
      </c>
      <c r="B4043" s="1" t="str">
        <f>"2022-222"</f>
        <v>2022-222</v>
      </c>
      <c r="C4043" s="1" t="s">
        <v>2841</v>
      </c>
      <c r="D4043" s="1" t="s">
        <v>2842</v>
      </c>
      <c r="E4043" s="1" t="str">
        <f>""</f>
        <v/>
      </c>
      <c r="F4043" s="1" t="s">
        <v>1860</v>
      </c>
      <c r="G4043" s="1" t="str">
        <f>CONCATENATE(" DIGITALNI TAHOGRAF D.O.O.,"," VENTILATORSKA 8A,"," 10250 LUČKO,"," OIB: 56290033854")</f>
        <v xml:space="preserve"> DIGITALNI TAHOGRAF D.O.O., VENTILATORSKA 8A, 10250 LUČKO, OIB: 56290033854</v>
      </c>
      <c r="H4043" s="7"/>
      <c r="I4043" s="8" t="s">
        <v>1119</v>
      </c>
      <c r="J4043" s="8" t="s">
        <v>2329</v>
      </c>
      <c r="K4043" s="6" t="str">
        <f>"690,00"</f>
        <v>690,00</v>
      </c>
      <c r="L4043" s="6" t="str">
        <f>"172,50"</f>
        <v>172,50</v>
      </c>
      <c r="M4043" s="6" t="str">
        <f>"862,50"</f>
        <v>862,50</v>
      </c>
      <c r="N4043" s="8" t="s">
        <v>94</v>
      </c>
      <c r="O4043" s="7"/>
      <c r="P4043" s="2" t="s">
        <v>8034</v>
      </c>
      <c r="Q4043" s="7"/>
      <c r="R4043" s="1"/>
      <c r="S4043" s="1" t="str">
        <f>"J-UN-2022-466"</f>
        <v>J-UN-2022-466</v>
      </c>
      <c r="T4043" s="1" t="s">
        <v>32</v>
      </c>
    </row>
    <row r="4044" spans="1:20" ht="63.75" x14ac:dyDescent="0.25">
      <c r="A4044" s="6">
        <v>4038</v>
      </c>
      <c r="B4044" s="1" t="str">
        <f>"2022-1416"</f>
        <v>2022-1416</v>
      </c>
      <c r="C4044" s="1" t="s">
        <v>2991</v>
      </c>
      <c r="D4044" s="1" t="s">
        <v>2992</v>
      </c>
      <c r="E4044" s="1" t="str">
        <f>""</f>
        <v/>
      </c>
      <c r="F4044" s="1" t="s">
        <v>1860</v>
      </c>
      <c r="G4044" s="1" t="str">
        <f>CONCATENATE(" LANIŠTE D.O.O.,"," ALEXANDERA VON HUMBOLDTA 4B,"," 10000 ZAGREB,"," OIB: 3755384865")</f>
        <v xml:space="preserve"> LANIŠTE D.O.O., ALEXANDERA VON HUMBOLDTA 4B, 10000 ZAGREB, OIB: 3755384865</v>
      </c>
      <c r="H4044" s="7"/>
      <c r="I4044" s="8" t="s">
        <v>345</v>
      </c>
      <c r="J4044" s="8" t="s">
        <v>2164</v>
      </c>
      <c r="K4044" s="6" t="str">
        <f>"3.636,00"</f>
        <v>3.636,00</v>
      </c>
      <c r="L4044" s="6" t="str">
        <f>"909,00"</f>
        <v>909,00</v>
      </c>
      <c r="M4044" s="6" t="str">
        <f>"4.545,00"</f>
        <v>4.545,00</v>
      </c>
      <c r="N4044" s="8" t="s">
        <v>124</v>
      </c>
      <c r="O4044" s="7"/>
      <c r="P4044" s="2" t="s">
        <v>5614</v>
      </c>
      <c r="Q4044" s="7"/>
      <c r="R4044" s="1"/>
      <c r="S4044" s="1" t="str">
        <f>"J-UN-2022-468"</f>
        <v>J-UN-2022-468</v>
      </c>
      <c r="T4044" s="1" t="s">
        <v>32</v>
      </c>
    </row>
    <row r="4045" spans="1:20" ht="89.25" x14ac:dyDescent="0.25">
      <c r="A4045" s="6">
        <v>4039</v>
      </c>
      <c r="B4045" s="1" t="str">
        <f>"2022-26"</f>
        <v>2022-26</v>
      </c>
      <c r="C4045" s="1" t="s">
        <v>1041</v>
      </c>
      <c r="D4045" s="1" t="s">
        <v>515</v>
      </c>
      <c r="E4045" s="1" t="str">
        <f>""</f>
        <v/>
      </c>
      <c r="F4045" s="1" t="s">
        <v>1860</v>
      </c>
      <c r="G4045" s="1" t="str">
        <f>CONCATENATE(" NASTAVNI ZAVOD ZA JAVNO ZDRAVSTVO PRIMORSKO - GORANSKE ŽUPANIJE,"," KREŠIMIROVA 52/A,"," 51000 RIJEKA,"," OIB: 45613787772")</f>
        <v xml:space="preserve"> NASTAVNI ZAVOD ZA JAVNO ZDRAVSTVO PRIMORSKO - GORANSKE ŽUPANIJE, KREŠIMIROVA 52/A, 51000 RIJEKA, OIB: 45613787772</v>
      </c>
      <c r="H4045" s="7"/>
      <c r="I4045" s="8" t="s">
        <v>257</v>
      </c>
      <c r="J4045" s="8" t="s">
        <v>3093</v>
      </c>
      <c r="K4045" s="6" t="str">
        <f>"479,00"</f>
        <v>479,00</v>
      </c>
      <c r="L4045" s="6" t="str">
        <f>"119,75"</f>
        <v>119,75</v>
      </c>
      <c r="M4045" s="6" t="str">
        <f>"598,75"</f>
        <v>598,75</v>
      </c>
      <c r="N4045" s="8" t="s">
        <v>133</v>
      </c>
      <c r="O4045" s="7"/>
      <c r="P4045" s="2" t="s">
        <v>8035</v>
      </c>
      <c r="Q4045" s="7"/>
      <c r="R4045" s="1"/>
      <c r="S4045" s="1" t="str">
        <f>"J-UN-2022-469"</f>
        <v>J-UN-2022-469</v>
      </c>
      <c r="T4045" s="1" t="s">
        <v>32</v>
      </c>
    </row>
    <row r="4046" spans="1:20" ht="63.75" x14ac:dyDescent="0.25">
      <c r="A4046" s="6">
        <v>4040</v>
      </c>
      <c r="B4046" s="1" t="str">
        <f>"2022-900"</f>
        <v>2022-900</v>
      </c>
      <c r="C4046" s="1" t="s">
        <v>2702</v>
      </c>
      <c r="D4046" s="1" t="s">
        <v>1209</v>
      </c>
      <c r="E4046" s="1" t="str">
        <f>""</f>
        <v/>
      </c>
      <c r="F4046" s="1" t="s">
        <v>1860</v>
      </c>
      <c r="G4046" s="1" t="str">
        <f>CONCATENATE(" DRÄGER SAFETY D.O.O.,"," AVENIJA VEĆESLAVA HOLJEVCA 40,"," 10010 ZAGREB,"," OIB: 32874587842")</f>
        <v xml:space="preserve"> DRÄGER SAFETY D.O.O., AVENIJA VEĆESLAVA HOLJEVCA 40, 10010 ZAGREB, OIB: 32874587842</v>
      </c>
      <c r="H4046" s="7"/>
      <c r="I4046" s="8" t="s">
        <v>257</v>
      </c>
      <c r="J4046" s="8" t="s">
        <v>3093</v>
      </c>
      <c r="K4046" s="6" t="str">
        <f>"2.450,00"</f>
        <v>2.450,00</v>
      </c>
      <c r="L4046" s="6" t="str">
        <f>"612,50"</f>
        <v>612,50</v>
      </c>
      <c r="M4046" s="6" t="str">
        <f>"3.062,50"</f>
        <v>3.062,50</v>
      </c>
      <c r="N4046" s="8" t="s">
        <v>124</v>
      </c>
      <c r="O4046" s="7"/>
      <c r="P4046" s="2" t="s">
        <v>5614</v>
      </c>
      <c r="Q4046" s="7"/>
      <c r="R4046" s="1"/>
      <c r="S4046" s="1" t="str">
        <f>"J-UN-2022-470"</f>
        <v>J-UN-2022-470</v>
      </c>
      <c r="T4046" s="1" t="s">
        <v>32</v>
      </c>
    </row>
    <row r="4047" spans="1:20" ht="51" x14ac:dyDescent="0.25">
      <c r="A4047" s="6">
        <v>4041</v>
      </c>
      <c r="B4047" s="1" t="str">
        <f>"2022-477"</f>
        <v>2022-477</v>
      </c>
      <c r="C4047" s="1" t="s">
        <v>2840</v>
      </c>
      <c r="D4047" s="1" t="s">
        <v>2601</v>
      </c>
      <c r="E4047" s="1" t="str">
        <f>""</f>
        <v/>
      </c>
      <c r="F4047" s="1" t="s">
        <v>1860</v>
      </c>
      <c r="G4047" s="1" t="str">
        <f>CONCATENATE(" G.K.T. - TUŠKANAC D.O.O.,"," TUŠKANAC 79 A,"," 10000 ZAGREB,"," OIB: 08844541968")</f>
        <v xml:space="preserve"> G.K.T. - TUŠKANAC D.O.O., TUŠKANAC 79 A, 10000 ZAGREB, OIB: 08844541968</v>
      </c>
      <c r="H4047" s="7"/>
      <c r="I4047" s="8" t="s">
        <v>296</v>
      </c>
      <c r="J4047" s="8" t="s">
        <v>3094</v>
      </c>
      <c r="K4047" s="6" t="str">
        <f>"19.936,00"</f>
        <v>19.936,00</v>
      </c>
      <c r="L4047" s="6" t="str">
        <f>"4.984,00"</f>
        <v>4.984,00</v>
      </c>
      <c r="M4047" s="6" t="str">
        <f>"24.920,00"</f>
        <v>24.920,00</v>
      </c>
      <c r="N4047" s="8" t="s">
        <v>247</v>
      </c>
      <c r="O4047" s="7"/>
      <c r="P4047" s="2" t="s">
        <v>8036</v>
      </c>
      <c r="Q4047" s="7"/>
      <c r="R4047" s="1"/>
      <c r="S4047" s="1" t="str">
        <f>"J-UN-2022-471"</f>
        <v>J-UN-2022-471</v>
      </c>
      <c r="T4047" s="1" t="s">
        <v>32</v>
      </c>
    </row>
    <row r="4048" spans="1:20" ht="51" x14ac:dyDescent="0.25">
      <c r="A4048" s="6">
        <v>4042</v>
      </c>
      <c r="B4048" s="1" t="str">
        <f>"2022-1101"</f>
        <v>2022-1101</v>
      </c>
      <c r="C4048" s="1" t="s">
        <v>2908</v>
      </c>
      <c r="D4048" s="1" t="s">
        <v>74</v>
      </c>
      <c r="E4048" s="1" t="str">
        <f>""</f>
        <v/>
      </c>
      <c r="F4048" s="1" t="s">
        <v>1860</v>
      </c>
      <c r="G4048" s="1" t="str">
        <f>CONCATENATE("  SMARTNET D.O.O.,"," STINICE 12,"," 21000 SPLIT,"," OIB: 2337997359")</f>
        <v>  SMARTNET D.O.O., STINICE 12, 21000 SPLIT, OIB: 2337997359</v>
      </c>
      <c r="H4048" s="7"/>
      <c r="I4048" s="8" t="s">
        <v>345</v>
      </c>
      <c r="J4048" s="8" t="s">
        <v>2164</v>
      </c>
      <c r="K4048" s="6" t="str">
        <f>"8.000,00"</f>
        <v>8.000,00</v>
      </c>
      <c r="L4048" s="6" t="str">
        <f>"2.000,00"</f>
        <v>2.000,00</v>
      </c>
      <c r="M4048" s="6" t="str">
        <f>"10.000,00"</f>
        <v>10.000,00</v>
      </c>
      <c r="N4048" s="8" t="s">
        <v>287</v>
      </c>
      <c r="O4048" s="7"/>
      <c r="P4048" s="2" t="s">
        <v>5881</v>
      </c>
      <c r="Q4048" s="7"/>
      <c r="R4048" s="1"/>
      <c r="S4048" s="1" t="str">
        <f>"J-UN-2022-472"</f>
        <v>J-UN-2022-472</v>
      </c>
      <c r="T4048" s="1" t="s">
        <v>32</v>
      </c>
    </row>
    <row r="4049" spans="1:20" ht="63.75" x14ac:dyDescent="0.25">
      <c r="A4049" s="6">
        <v>4043</v>
      </c>
      <c r="B4049" s="1" t="str">
        <f>"2022-966"</f>
        <v>2022-966</v>
      </c>
      <c r="C4049" s="1" t="s">
        <v>2815</v>
      </c>
      <c r="D4049" s="1" t="s">
        <v>1373</v>
      </c>
      <c r="E4049" s="1" t="str">
        <f>""</f>
        <v/>
      </c>
      <c r="F4049" s="1" t="s">
        <v>1860</v>
      </c>
      <c r="G4049" s="1" t="str">
        <f>CONCATENATE(" STROJOOBNOVA,"," VL.TIHOMIR LJUBIĆ,"," RAVNICE 13,"," 10294 DONJA PUŠĆA,"," OIB: 50149576546")</f>
        <v xml:space="preserve"> STROJOOBNOVA, VL.TIHOMIR LJUBIĆ, RAVNICE 13, 10294 DONJA PUŠĆA, OIB: 50149576546</v>
      </c>
      <c r="H4049" s="7"/>
      <c r="I4049" s="8" t="s">
        <v>371</v>
      </c>
      <c r="J4049" s="8" t="s">
        <v>2512</v>
      </c>
      <c r="K4049" s="6" t="str">
        <f>"1.320,00"</f>
        <v>1.320,00</v>
      </c>
      <c r="L4049" s="6" t="str">
        <f>"330,00"</f>
        <v>330,00</v>
      </c>
      <c r="M4049" s="6" t="str">
        <f>"1.650,00"</f>
        <v>1.650,00</v>
      </c>
      <c r="N4049" s="8" t="s">
        <v>261</v>
      </c>
      <c r="O4049" s="7"/>
      <c r="P4049" s="2" t="s">
        <v>6784</v>
      </c>
      <c r="Q4049" s="7"/>
      <c r="R4049" s="1"/>
      <c r="S4049" s="1" t="str">
        <f>"J-UN-2022-474"</f>
        <v>J-UN-2022-474</v>
      </c>
      <c r="T4049" s="1" t="s">
        <v>32</v>
      </c>
    </row>
    <row r="4050" spans="1:20" ht="63.75" x14ac:dyDescent="0.25">
      <c r="A4050" s="6">
        <v>4044</v>
      </c>
      <c r="B4050" s="1" t="str">
        <f>"2022-488"</f>
        <v>2022-488</v>
      </c>
      <c r="C4050" s="1" t="s">
        <v>2714</v>
      </c>
      <c r="D4050" s="1" t="s">
        <v>619</v>
      </c>
      <c r="E4050" s="1" t="str">
        <f>""</f>
        <v/>
      </c>
      <c r="F4050" s="1" t="s">
        <v>1860</v>
      </c>
      <c r="G4050" s="1" t="str">
        <f>CONCATENATE(" POLJOOPSKRBA-TEHNO D.D.,"," SAMOBORSKA 96,"," 10000 ZAGREB,"," OIB: 5372167324")</f>
        <v xml:space="preserve"> POLJOOPSKRBA-TEHNO D.D., SAMOBORSKA 96, 10000 ZAGREB, OIB: 5372167324</v>
      </c>
      <c r="H4050" s="7"/>
      <c r="I4050" s="8" t="s">
        <v>371</v>
      </c>
      <c r="J4050" s="8" t="s">
        <v>2512</v>
      </c>
      <c r="K4050" s="6" t="str">
        <f>"4.205,00"</f>
        <v>4.205,00</v>
      </c>
      <c r="L4050" s="6" t="str">
        <f>"1.051,25"</f>
        <v>1.051,25</v>
      </c>
      <c r="M4050" s="6" t="str">
        <f>"5.256,25"</f>
        <v>5.256,25</v>
      </c>
      <c r="N4050" s="8" t="s">
        <v>72</v>
      </c>
      <c r="O4050" s="7"/>
      <c r="P4050" s="2" t="s">
        <v>7429</v>
      </c>
      <c r="Q4050" s="7"/>
      <c r="R4050" s="1"/>
      <c r="S4050" s="1" t="str">
        <f>"J-UN-2022-475"</f>
        <v>J-UN-2022-475</v>
      </c>
      <c r="T4050" s="1" t="s">
        <v>32</v>
      </c>
    </row>
    <row r="4051" spans="1:20" ht="89.25" x14ac:dyDescent="0.25">
      <c r="A4051" s="6">
        <v>4045</v>
      </c>
      <c r="B4051" s="1" t="str">
        <f>"2022-95"</f>
        <v>2022-95</v>
      </c>
      <c r="C4051" s="1" t="s">
        <v>2761</v>
      </c>
      <c r="D4051" s="1" t="s">
        <v>2762</v>
      </c>
      <c r="E4051" s="1" t="str">
        <f>""</f>
        <v/>
      </c>
      <c r="F4051" s="1" t="s">
        <v>1860</v>
      </c>
      <c r="G4051" s="1" t="str">
        <f>CONCATENATE(" NASTAVNI ZAVOD ZA JAVNO ZDRAVSTVO PRIMORSKO - GORANSKE ŽUPANIJE,"," KREŠIMIROVA 52/A,"," 51000 RIJEKA,"," OIB: 45613787772")</f>
        <v xml:space="preserve"> NASTAVNI ZAVOD ZA JAVNO ZDRAVSTVO PRIMORSKO - GORANSKE ŽUPANIJE, KREŠIMIROVA 52/A, 51000 RIJEKA, OIB: 45613787772</v>
      </c>
      <c r="H4051" s="7"/>
      <c r="I4051" s="8" t="s">
        <v>257</v>
      </c>
      <c r="J4051" s="8" t="s">
        <v>3093</v>
      </c>
      <c r="K4051" s="6" t="str">
        <f>"2.675,00"</f>
        <v>2.675,00</v>
      </c>
      <c r="L4051" s="6" t="str">
        <f>"668,75"</f>
        <v>668,75</v>
      </c>
      <c r="M4051" s="6" t="str">
        <f>"3.343,75"</f>
        <v>3.343,75</v>
      </c>
      <c r="N4051" s="8" t="s">
        <v>124</v>
      </c>
      <c r="O4051" s="7"/>
      <c r="P4051" s="2" t="s">
        <v>5614</v>
      </c>
      <c r="Q4051" s="7"/>
      <c r="R4051" s="1"/>
      <c r="S4051" s="1" t="str">
        <f>"J-UN-2022-476"</f>
        <v>J-UN-2022-476</v>
      </c>
      <c r="T4051" s="1" t="s">
        <v>32</v>
      </c>
    </row>
    <row r="4052" spans="1:20" ht="89.25" x14ac:dyDescent="0.25">
      <c r="A4052" s="6">
        <v>4046</v>
      </c>
      <c r="B4052" s="1" t="str">
        <f>"2022-95"</f>
        <v>2022-95</v>
      </c>
      <c r="C4052" s="1" t="s">
        <v>2761</v>
      </c>
      <c r="D4052" s="1" t="s">
        <v>2762</v>
      </c>
      <c r="E4052" s="1" t="str">
        <f>""</f>
        <v/>
      </c>
      <c r="F4052" s="1" t="s">
        <v>1860</v>
      </c>
      <c r="G4052" s="1" t="str">
        <f>CONCATENATE(" NASTAVNI ZAVOD ZA JAVNO ZDRAVSTVO PRIMORSKO - GORANSKE ŽUPANIJE,"," KREŠIMIROVA 52/A,"," 51000 RIJEKA,"," OIB: 45613787772")</f>
        <v xml:space="preserve"> NASTAVNI ZAVOD ZA JAVNO ZDRAVSTVO PRIMORSKO - GORANSKE ŽUPANIJE, KREŠIMIROVA 52/A, 51000 RIJEKA, OIB: 45613787772</v>
      </c>
      <c r="H4052" s="7"/>
      <c r="I4052" s="8" t="s">
        <v>257</v>
      </c>
      <c r="J4052" s="8" t="s">
        <v>3093</v>
      </c>
      <c r="K4052" s="6" t="str">
        <f>"755,00"</f>
        <v>755,00</v>
      </c>
      <c r="L4052" s="6" t="str">
        <f>"188,75"</f>
        <v>188,75</v>
      </c>
      <c r="M4052" s="6" t="str">
        <f>"943,75"</f>
        <v>943,75</v>
      </c>
      <c r="N4052" s="8" t="s">
        <v>124</v>
      </c>
      <c r="O4052" s="7"/>
      <c r="P4052" s="2" t="s">
        <v>5614</v>
      </c>
      <c r="Q4052" s="7"/>
      <c r="R4052" s="1"/>
      <c r="S4052" s="1" t="str">
        <f>"J-UN-2022-477"</f>
        <v>J-UN-2022-477</v>
      </c>
      <c r="T4052" s="1" t="s">
        <v>32</v>
      </c>
    </row>
    <row r="4053" spans="1:20" ht="51" x14ac:dyDescent="0.25">
      <c r="A4053" s="6">
        <v>4047</v>
      </c>
      <c r="B4053" s="1" t="str">
        <f>"2022-1006"</f>
        <v>2022-1006</v>
      </c>
      <c r="C4053" s="1" t="s">
        <v>2618</v>
      </c>
      <c r="D4053" s="1" t="s">
        <v>2619</v>
      </c>
      <c r="E4053" s="1" t="str">
        <f>""</f>
        <v/>
      </c>
      <c r="F4053" s="1" t="s">
        <v>1860</v>
      </c>
      <c r="G4053" s="1" t="str">
        <f>CONCATENATE(" TRA-MONT D.O.O.,"," MILIVOJA MATOŠECA 5,"," 10000 ZAGREB,"," OIB: 05336208843")</f>
        <v xml:space="preserve"> TRA-MONT D.O.O., MILIVOJA MATOŠECA 5, 10000 ZAGREB, OIB: 05336208843</v>
      </c>
      <c r="H4053" s="7"/>
      <c r="I4053" s="8" t="s">
        <v>422</v>
      </c>
      <c r="J4053" s="8" t="s">
        <v>3089</v>
      </c>
      <c r="K4053" s="6" t="str">
        <f>"4.809,00"</f>
        <v>4.809,00</v>
      </c>
      <c r="L4053" s="6" t="str">
        <f>"1.202,25"</f>
        <v>1.202,25</v>
      </c>
      <c r="M4053" s="6" t="str">
        <f>"6.011,25"</f>
        <v>6.011,25</v>
      </c>
      <c r="N4053" s="8" t="s">
        <v>273</v>
      </c>
      <c r="O4053" s="7"/>
      <c r="P4053" s="2" t="s">
        <v>8037</v>
      </c>
      <c r="Q4053" s="7"/>
      <c r="R4053" s="1"/>
      <c r="S4053" s="1" t="str">
        <f>"J-UN-2022-478"</f>
        <v>J-UN-2022-478</v>
      </c>
      <c r="T4053" s="1" t="s">
        <v>32</v>
      </c>
    </row>
    <row r="4054" spans="1:20" ht="51" x14ac:dyDescent="0.25">
      <c r="A4054" s="6">
        <v>4048</v>
      </c>
      <c r="B4054" s="1" t="str">
        <f>"2022-717"</f>
        <v>2022-717</v>
      </c>
      <c r="C4054" s="1" t="s">
        <v>3095</v>
      </c>
      <c r="D4054" s="1" t="s">
        <v>815</v>
      </c>
      <c r="E4054" s="1" t="str">
        <f>""</f>
        <v/>
      </c>
      <c r="F4054" s="1" t="s">
        <v>1860</v>
      </c>
      <c r="G4054" s="1" t="str">
        <f>CONCATENATE(" MAN-EKO D.O.O.,"," BRAĆE CVIJIĆA 17,"," 10000 ZAGREB,"," OIB: 708190967")</f>
        <v xml:space="preserve"> MAN-EKO D.O.O., BRAĆE CVIJIĆA 17, 10000 ZAGREB, OIB: 708190967</v>
      </c>
      <c r="H4054" s="7"/>
      <c r="I4054" s="8" t="s">
        <v>400</v>
      </c>
      <c r="J4054" s="8" t="s">
        <v>3096</v>
      </c>
      <c r="K4054" s="6" t="str">
        <f>"300,00"</f>
        <v>300,00</v>
      </c>
      <c r="L4054" s="6" t="str">
        <f>"75,00"</f>
        <v>75,00</v>
      </c>
      <c r="M4054" s="6" t="str">
        <f>"375,00"</f>
        <v>375,00</v>
      </c>
      <c r="N4054" s="8" t="s">
        <v>260</v>
      </c>
      <c r="O4054" s="7"/>
      <c r="P4054" s="2" t="s">
        <v>8038</v>
      </c>
      <c r="Q4054" s="7"/>
      <c r="R4054" s="1"/>
      <c r="S4054" s="1" t="str">
        <f>"J-UN-2022-479"</f>
        <v>J-UN-2022-479</v>
      </c>
      <c r="T4054" s="1" t="s">
        <v>32</v>
      </c>
    </row>
    <row r="4055" spans="1:20" ht="76.5" x14ac:dyDescent="0.25">
      <c r="A4055" s="6">
        <v>4049</v>
      </c>
      <c r="B4055" s="1" t="str">
        <f>"2022-192"</f>
        <v>2022-192</v>
      </c>
      <c r="C4055" s="1" t="s">
        <v>2790</v>
      </c>
      <c r="D4055" s="1" t="s">
        <v>2791</v>
      </c>
      <c r="E4055" s="1" t="str">
        <f>""</f>
        <v/>
      </c>
      <c r="F4055" s="1" t="s">
        <v>1860</v>
      </c>
      <c r="G4055" s="1" t="str">
        <f>CONCATENATE(" SMIT-COMMERCE D.O.O.,"," GORNJOSTUPNIČKA 9B,"," 10255 GORNJI STUPNIK,"," OIB: 9524348214")</f>
        <v xml:space="preserve"> SMIT-COMMERCE D.O.O., GORNJOSTUPNIČKA 9B, 10255 GORNJI STUPNIK, OIB: 9524348214</v>
      </c>
      <c r="H4055" s="7"/>
      <c r="I4055" s="8" t="s">
        <v>400</v>
      </c>
      <c r="J4055" s="8" t="s">
        <v>3096</v>
      </c>
      <c r="K4055" s="6" t="str">
        <f>"172,60"</f>
        <v>172,60</v>
      </c>
      <c r="L4055" s="6" t="str">
        <f>"43,15"</f>
        <v>43,15</v>
      </c>
      <c r="M4055" s="6" t="str">
        <f>"215,75"</f>
        <v>215,75</v>
      </c>
      <c r="N4055" s="8" t="s">
        <v>403</v>
      </c>
      <c r="O4055" s="7"/>
      <c r="P4055" s="2" t="s">
        <v>8039</v>
      </c>
      <c r="Q4055" s="7"/>
      <c r="R4055" s="1"/>
      <c r="S4055" s="1" t="str">
        <f>"J-UN-2022-481"</f>
        <v>J-UN-2022-481</v>
      </c>
      <c r="T4055" s="1" t="s">
        <v>32</v>
      </c>
    </row>
    <row r="4056" spans="1:20" ht="63.75" x14ac:dyDescent="0.25">
      <c r="A4056" s="6">
        <v>4050</v>
      </c>
      <c r="B4056" s="1" t="str">
        <f>"2022-755"</f>
        <v>2022-755</v>
      </c>
      <c r="C4056" s="1" t="s">
        <v>2615</v>
      </c>
      <c r="D4056" s="1" t="s">
        <v>999</v>
      </c>
      <c r="E4056" s="1" t="str">
        <f>""</f>
        <v/>
      </c>
      <c r="F4056" s="1" t="s">
        <v>1860</v>
      </c>
      <c r="G4056" s="1" t="str">
        <f>CONCATENATE(" POLJOOPSKRBA-TEHNO D.D.,"," SAMOBORSKA 96,"," 10000 ZAGREB,"," OIB: 5372167324")</f>
        <v xml:space="preserve"> POLJOOPSKRBA-TEHNO D.D., SAMOBORSKA 96, 10000 ZAGREB, OIB: 5372167324</v>
      </c>
      <c r="H4056" s="7"/>
      <c r="I4056" s="8" t="s">
        <v>1119</v>
      </c>
      <c r="J4056" s="8" t="s">
        <v>2329</v>
      </c>
      <c r="K4056" s="6" t="str">
        <f>"1.345,00"</f>
        <v>1.345,00</v>
      </c>
      <c r="L4056" s="6" t="str">
        <f>"336,25"</f>
        <v>336,25</v>
      </c>
      <c r="M4056" s="6" t="str">
        <f>"1.681,25"</f>
        <v>1.681,25</v>
      </c>
      <c r="N4056" s="8" t="s">
        <v>920</v>
      </c>
      <c r="O4056" s="7"/>
      <c r="P4056" s="2" t="s">
        <v>8040</v>
      </c>
      <c r="Q4056" s="7"/>
      <c r="R4056" s="1"/>
      <c r="S4056" s="1" t="str">
        <f>"J-UN-2022-482"</f>
        <v>J-UN-2022-482</v>
      </c>
      <c r="T4056" s="1" t="s">
        <v>32</v>
      </c>
    </row>
    <row r="4057" spans="1:20" ht="76.5" x14ac:dyDescent="0.25">
      <c r="A4057" s="6">
        <v>4051</v>
      </c>
      <c r="B4057" s="1" t="str">
        <f>"2022-427"</f>
        <v>2022-427</v>
      </c>
      <c r="C4057" s="1" t="s">
        <v>3082</v>
      </c>
      <c r="D4057" s="1" t="s">
        <v>2577</v>
      </c>
      <c r="E4057" s="1" t="str">
        <f>""</f>
        <v/>
      </c>
      <c r="F4057" s="1" t="s">
        <v>1860</v>
      </c>
      <c r="G4057" s="1" t="str">
        <f>CONCATENATE(" STILLVIL SERVIS VILIČARA,"," VL. VANJA ŠUVAK,"," KRALJA D. ZVONIMIRA 24,"," 10410 VELIKA GORICA,"," OIB: 08815096372")</f>
        <v xml:space="preserve"> STILLVIL SERVIS VILIČARA, VL. VANJA ŠUVAK, KRALJA D. ZVONIMIRA 24, 10410 VELIKA GORICA, OIB: 08815096372</v>
      </c>
      <c r="H4057" s="7"/>
      <c r="I4057" s="8" t="s">
        <v>422</v>
      </c>
      <c r="J4057" s="8" t="s">
        <v>3089</v>
      </c>
      <c r="K4057" s="6" t="str">
        <f>"18.208,00"</f>
        <v>18.208,00</v>
      </c>
      <c r="L4057" s="6" t="str">
        <f>"4.552,00"</f>
        <v>4.552,00</v>
      </c>
      <c r="M4057" s="6" t="str">
        <f>"22.760,00"</f>
        <v>22.760,00</v>
      </c>
      <c r="N4057" s="8" t="s">
        <v>260</v>
      </c>
      <c r="O4057" s="7"/>
      <c r="P4057" s="2" t="s">
        <v>8041</v>
      </c>
      <c r="Q4057" s="7"/>
      <c r="R4057" s="1"/>
      <c r="S4057" s="1" t="str">
        <f>"J-UN-2022-483"</f>
        <v>J-UN-2022-483</v>
      </c>
      <c r="T4057" s="1" t="s">
        <v>32</v>
      </c>
    </row>
    <row r="4058" spans="1:20" ht="51" x14ac:dyDescent="0.25">
      <c r="A4058" s="6">
        <v>4052</v>
      </c>
      <c r="B4058" s="1" t="str">
        <f>"2022-602"</f>
        <v>2022-602</v>
      </c>
      <c r="C4058" s="1" t="s">
        <v>2642</v>
      </c>
      <c r="D4058" s="1" t="s">
        <v>1236</v>
      </c>
      <c r="E4058" s="1" t="str">
        <f>""</f>
        <v/>
      </c>
      <c r="F4058" s="1" t="s">
        <v>1860</v>
      </c>
      <c r="G4058" s="1" t="str">
        <f>CONCATENATE(" MEGA MONT D.O.O.,"," POPOVIĆEV PUT 2/D,"," 51211 MATULJI,"," OIB: 64536314217")</f>
        <v xml:space="preserve"> MEGA MONT D.O.O., POPOVIĆEV PUT 2/D, 51211 MATULJI, OIB: 64536314217</v>
      </c>
      <c r="H4058" s="7"/>
      <c r="I4058" s="8" t="s">
        <v>422</v>
      </c>
      <c r="J4058" s="8" t="s">
        <v>3089</v>
      </c>
      <c r="K4058" s="6" t="str">
        <f>"19.141,68"</f>
        <v>19.141,68</v>
      </c>
      <c r="L4058" s="6" t="str">
        <f>"4.785,42"</f>
        <v>4.785,42</v>
      </c>
      <c r="M4058" s="6" t="str">
        <f>"23.927,10"</f>
        <v>23.927,10</v>
      </c>
      <c r="N4058" s="8" t="s">
        <v>296</v>
      </c>
      <c r="O4058" s="7"/>
      <c r="P4058" s="2" t="s">
        <v>8042</v>
      </c>
      <c r="Q4058" s="7"/>
      <c r="R4058" s="1"/>
      <c r="S4058" s="1" t="str">
        <f>"J-UN-2022-484"</f>
        <v>J-UN-2022-484</v>
      </c>
      <c r="T4058" s="1" t="s">
        <v>32</v>
      </c>
    </row>
    <row r="4059" spans="1:20" ht="51" x14ac:dyDescent="0.25">
      <c r="A4059" s="6">
        <v>4053</v>
      </c>
      <c r="B4059" s="1" t="str">
        <f>"2022-159"</f>
        <v>2022-159</v>
      </c>
      <c r="C4059" s="1" t="s">
        <v>2887</v>
      </c>
      <c r="D4059" s="1" t="s">
        <v>1322</v>
      </c>
      <c r="E4059" s="1" t="str">
        <f>""</f>
        <v/>
      </c>
      <c r="F4059" s="1" t="s">
        <v>1860</v>
      </c>
      <c r="G4059" s="1" t="str">
        <f>CONCATENATE(" CONFESTIM D.O.O.,"," FRANJE WOLFA 4,"," 10000 ZAGREB,"," OIB: 08953264659")</f>
        <v xml:space="preserve"> CONFESTIM D.O.O., FRANJE WOLFA 4, 10000 ZAGREB, OIB: 08953264659</v>
      </c>
      <c r="H4059" s="7"/>
      <c r="I4059" s="8" t="s">
        <v>273</v>
      </c>
      <c r="J4059" s="8" t="s">
        <v>1393</v>
      </c>
      <c r="K4059" s="6" t="str">
        <f>"12.400,00"</f>
        <v>12.400,00</v>
      </c>
      <c r="L4059" s="6" t="str">
        <f>"3.100,00"</f>
        <v>3.100,00</v>
      </c>
      <c r="M4059" s="6" t="str">
        <f>"15.500,00"</f>
        <v>15.500,00</v>
      </c>
      <c r="N4059" s="8" t="s">
        <v>919</v>
      </c>
      <c r="O4059" s="7"/>
      <c r="P4059" s="2" t="s">
        <v>6314</v>
      </c>
      <c r="Q4059" s="7"/>
      <c r="R4059" s="1"/>
      <c r="S4059" s="1" t="str">
        <f>"J-UN-2022-485"</f>
        <v>J-UN-2022-485</v>
      </c>
      <c r="T4059" s="1" t="s">
        <v>32</v>
      </c>
    </row>
    <row r="4060" spans="1:20" ht="63.75" x14ac:dyDescent="0.25">
      <c r="A4060" s="6">
        <v>4054</v>
      </c>
      <c r="B4060" s="1" t="str">
        <f>"2022-782"</f>
        <v>2022-782</v>
      </c>
      <c r="C4060" s="1" t="s">
        <v>3097</v>
      </c>
      <c r="D4060" s="1" t="s">
        <v>3098</v>
      </c>
      <c r="E4060" s="1" t="str">
        <f>""</f>
        <v/>
      </c>
      <c r="F4060" s="1" t="s">
        <v>1860</v>
      </c>
      <c r="G4060" s="1" t="str">
        <f>CONCATENATE(" ELICOM D.O.O.,"," ŠTEFANOVEC 138,"," 10000 ZAGREB,"," OIB: 76370234816")</f>
        <v xml:space="preserve"> ELICOM D.O.O., ŠTEFANOVEC 138, 10000 ZAGREB, OIB: 76370234816</v>
      </c>
      <c r="H4060" s="7"/>
      <c r="I4060" s="8" t="s">
        <v>400</v>
      </c>
      <c r="J4060" s="8" t="s">
        <v>3096</v>
      </c>
      <c r="K4060" s="6" t="str">
        <f>"109.340,00"</f>
        <v>109.340,00</v>
      </c>
      <c r="L4060" s="6" t="str">
        <f>"27.335,00"</f>
        <v>27.335,00</v>
      </c>
      <c r="M4060" s="6" t="str">
        <f>"136.675,00"</f>
        <v>136.675,00</v>
      </c>
      <c r="N4060" s="8" t="s">
        <v>281</v>
      </c>
      <c r="O4060" s="7"/>
      <c r="P4060" s="2" t="s">
        <v>8043</v>
      </c>
      <c r="Q4060" s="7"/>
      <c r="R4060" s="1"/>
      <c r="S4060" s="1" t="str">
        <f>"J-UN-2022-488"</f>
        <v>J-UN-2022-488</v>
      </c>
      <c r="T4060" s="1" t="s">
        <v>32</v>
      </c>
    </row>
    <row r="4061" spans="1:20" ht="51" x14ac:dyDescent="0.25">
      <c r="A4061" s="6">
        <v>4055</v>
      </c>
      <c r="B4061" s="1" t="str">
        <f>"2022-1447"</f>
        <v>2022-1447</v>
      </c>
      <c r="C4061" s="1" t="s">
        <v>3050</v>
      </c>
      <c r="D4061" s="1" t="s">
        <v>2241</v>
      </c>
      <c r="E4061" s="1" t="str">
        <f>""</f>
        <v/>
      </c>
      <c r="F4061" s="1" t="s">
        <v>1860</v>
      </c>
      <c r="G4061" s="1" t="str">
        <f>CONCATENATE(" VIATOR D.O.O.,"," KRALJA DRŽISLAVA 6,"," 21000 SPLIT,"," OIB: 6473171712")</f>
        <v xml:space="preserve"> VIATOR D.O.O., KRALJA DRŽISLAVA 6, 21000 SPLIT, OIB: 6473171712</v>
      </c>
      <c r="H4061" s="7"/>
      <c r="I4061" s="8" t="s">
        <v>296</v>
      </c>
      <c r="J4061" s="8" t="s">
        <v>3094</v>
      </c>
      <c r="K4061" s="6" t="str">
        <f>"26.400,00"</f>
        <v>26.400,00</v>
      </c>
      <c r="L4061" s="6" t="str">
        <f>"6.600,00"</f>
        <v>6.600,00</v>
      </c>
      <c r="M4061" s="6" t="str">
        <f>"33.000,00"</f>
        <v>33.000,00</v>
      </c>
      <c r="N4061" s="8" t="s">
        <v>124</v>
      </c>
      <c r="O4061" s="7"/>
      <c r="P4061" s="2" t="s">
        <v>8044</v>
      </c>
      <c r="Q4061" s="7"/>
      <c r="R4061" s="1"/>
      <c r="S4061" s="1" t="str">
        <f>"J-UN-2022-490"</f>
        <v>J-UN-2022-490</v>
      </c>
      <c r="T4061" s="1" t="s">
        <v>32</v>
      </c>
    </row>
    <row r="4062" spans="1:20" ht="51" x14ac:dyDescent="0.25">
      <c r="A4062" s="6">
        <v>4056</v>
      </c>
      <c r="B4062" s="1" t="str">
        <f>"2022-203"</f>
        <v>2022-203</v>
      </c>
      <c r="C4062" s="1" t="s">
        <v>2674</v>
      </c>
      <c r="D4062" s="1" t="s">
        <v>1637</v>
      </c>
      <c r="E4062" s="1" t="str">
        <f>""</f>
        <v/>
      </c>
      <c r="F4062" s="1" t="s">
        <v>1860</v>
      </c>
      <c r="G4062" s="1" t="str">
        <f>CONCATENATE(" FEST D.O.O.,"," KOLODVORSKA CESTA 50,"," 47280 OZALJ,"," OIB: 80391790896")</f>
        <v xml:space="preserve"> FEST D.O.O., KOLODVORSKA CESTA 50, 47280 OZALJ, OIB: 80391790896</v>
      </c>
      <c r="H4062" s="7"/>
      <c r="I4062" s="8" t="s">
        <v>260</v>
      </c>
      <c r="J4062" s="8" t="s">
        <v>1415</v>
      </c>
      <c r="K4062" s="6" t="str">
        <f>"33.700,00"</f>
        <v>33.700,00</v>
      </c>
      <c r="L4062" s="6" t="str">
        <f>"8.425,00"</f>
        <v>8.425,00</v>
      </c>
      <c r="M4062" s="6" t="str">
        <f>"42.125,00"</f>
        <v>42.125,00</v>
      </c>
      <c r="N4062" s="8" t="s">
        <v>403</v>
      </c>
      <c r="O4062" s="7"/>
      <c r="P4062" s="2" t="s">
        <v>8045</v>
      </c>
      <c r="Q4062" s="7"/>
      <c r="R4062" s="1"/>
      <c r="S4062" s="1" t="str">
        <f>"J-UN-2022-491"</f>
        <v>J-UN-2022-491</v>
      </c>
      <c r="T4062" s="1" t="s">
        <v>32</v>
      </c>
    </row>
    <row r="4063" spans="1:20" ht="51" x14ac:dyDescent="0.25">
      <c r="A4063" s="6">
        <v>4057</v>
      </c>
      <c r="B4063" s="1" t="str">
        <f>"2022-217"</f>
        <v>2022-217</v>
      </c>
      <c r="C4063" s="1" t="s">
        <v>3099</v>
      </c>
      <c r="D4063" s="1" t="s">
        <v>2596</v>
      </c>
      <c r="E4063" s="1" t="str">
        <f>""</f>
        <v/>
      </c>
      <c r="F4063" s="1" t="s">
        <v>1860</v>
      </c>
      <c r="G4063" s="1" t="str">
        <f>CONCATENATE(" TRAG DUO D.O.O.,"," NOVA CESTA 184,"," 10000 ZAGREB,"," OIB: 24169331637")</f>
        <v xml:space="preserve"> TRAG DUO D.O.O., NOVA CESTA 184, 10000 ZAGREB, OIB: 24169331637</v>
      </c>
      <c r="H4063" s="7"/>
      <c r="I4063" s="8" t="s">
        <v>260</v>
      </c>
      <c r="J4063" s="8" t="s">
        <v>1415</v>
      </c>
      <c r="K4063" s="6" t="str">
        <f>"12.487,00"</f>
        <v>12.487,00</v>
      </c>
      <c r="L4063" s="6" t="str">
        <f>"3.121,75"</f>
        <v>3.121,75</v>
      </c>
      <c r="M4063" s="6" t="str">
        <f>"15.608,75"</f>
        <v>15.608,75</v>
      </c>
      <c r="N4063" s="8" t="s">
        <v>919</v>
      </c>
      <c r="O4063" s="7"/>
      <c r="P4063" s="2" t="s">
        <v>8046</v>
      </c>
      <c r="Q4063" s="7"/>
      <c r="R4063" s="1"/>
      <c r="S4063" s="1" t="str">
        <f>"J-UN-2022-492"</f>
        <v>J-UN-2022-492</v>
      </c>
      <c r="T4063" s="1" t="s">
        <v>32</v>
      </c>
    </row>
    <row r="4064" spans="1:20" ht="51" x14ac:dyDescent="0.25">
      <c r="A4064" s="6">
        <v>4058</v>
      </c>
      <c r="B4064" s="1" t="str">
        <f>"2022-426"</f>
        <v>2022-426</v>
      </c>
      <c r="C4064" s="1" t="s">
        <v>2833</v>
      </c>
      <c r="D4064" s="1" t="s">
        <v>1962</v>
      </c>
      <c r="E4064" s="1" t="str">
        <f>""</f>
        <v/>
      </c>
      <c r="F4064" s="1" t="s">
        <v>1860</v>
      </c>
      <c r="G4064" s="1" t="str">
        <f>CONCATENATE(" GRAPAK D.O.O.,"," M. SCHLENGERA 5,"," 42204 TURČIN,"," OIB: 8387333034")</f>
        <v xml:space="preserve"> GRAPAK D.O.O., M. SCHLENGERA 5, 42204 TURČIN, OIB: 8387333034</v>
      </c>
      <c r="H4064" s="7"/>
      <c r="I4064" s="8" t="s">
        <v>1119</v>
      </c>
      <c r="J4064" s="8" t="s">
        <v>2329</v>
      </c>
      <c r="K4064" s="6" t="str">
        <f>"49.097,27"</f>
        <v>49.097,27</v>
      </c>
      <c r="L4064" s="6" t="str">
        <f>"12.274,32"</f>
        <v>12.274,32</v>
      </c>
      <c r="M4064" s="6" t="str">
        <f>"61.371,59"</f>
        <v>61.371,59</v>
      </c>
      <c r="N4064" s="8" t="s">
        <v>855</v>
      </c>
      <c r="O4064" s="7"/>
      <c r="P4064" s="2" t="s">
        <v>8047</v>
      </c>
      <c r="Q4064" s="7"/>
      <c r="R4064" s="1"/>
      <c r="S4064" s="1" t="str">
        <f>"J-UN-2022-493"</f>
        <v>J-UN-2022-493</v>
      </c>
      <c r="T4064" s="1" t="s">
        <v>32</v>
      </c>
    </row>
    <row r="4065" spans="1:20" ht="63.75" x14ac:dyDescent="0.25">
      <c r="A4065" s="6">
        <v>4059</v>
      </c>
      <c r="B4065" s="1" t="str">
        <f>"2022-1416"</f>
        <v>2022-1416</v>
      </c>
      <c r="C4065" s="1" t="s">
        <v>2991</v>
      </c>
      <c r="D4065" s="1" t="s">
        <v>2992</v>
      </c>
      <c r="E4065" s="1" t="str">
        <f>""</f>
        <v/>
      </c>
      <c r="F4065" s="1" t="s">
        <v>1860</v>
      </c>
      <c r="G4065" s="1" t="str">
        <f t="shared" ref="G4065:G4070" si="224">CONCATENATE(" LANIŠTE D.O.O.,"," ALEXANDERA VON HUMBOLDTA 4B,"," 10000 ZAGREB,"," OIB: 3755384865")</f>
        <v xml:space="preserve"> LANIŠTE D.O.O., ALEXANDERA VON HUMBOLDTA 4B, 10000 ZAGREB, OIB: 3755384865</v>
      </c>
      <c r="H4065" s="7"/>
      <c r="I4065" s="8" t="s">
        <v>1119</v>
      </c>
      <c r="J4065" s="8" t="s">
        <v>2329</v>
      </c>
      <c r="K4065" s="6" t="str">
        <f>"3.636,00"</f>
        <v>3.636,00</v>
      </c>
      <c r="L4065" s="6" t="str">
        <f>"909,00"</f>
        <v>909,00</v>
      </c>
      <c r="M4065" s="6" t="str">
        <f>"4.545,00"</f>
        <v>4.545,00</v>
      </c>
      <c r="N4065" s="8" t="s">
        <v>272</v>
      </c>
      <c r="O4065" s="7"/>
      <c r="P4065" s="2" t="s">
        <v>7917</v>
      </c>
      <c r="Q4065" s="7"/>
      <c r="R4065" s="1"/>
      <c r="S4065" s="1" t="str">
        <f>"J-UN-2022-494"</f>
        <v>J-UN-2022-494</v>
      </c>
      <c r="T4065" s="1" t="s">
        <v>32</v>
      </c>
    </row>
    <row r="4066" spans="1:20" ht="63.75" x14ac:dyDescent="0.25">
      <c r="A4066" s="6">
        <v>4060</v>
      </c>
      <c r="B4066" s="1" t="str">
        <f>"2022-1429"</f>
        <v>2022-1429</v>
      </c>
      <c r="C4066" s="1" t="s">
        <v>2984</v>
      </c>
      <c r="D4066" s="1" t="s">
        <v>2985</v>
      </c>
      <c r="E4066" s="1" t="str">
        <f>""</f>
        <v/>
      </c>
      <c r="F4066" s="1" t="s">
        <v>1860</v>
      </c>
      <c r="G4066" s="1" t="str">
        <f t="shared" si="224"/>
        <v xml:space="preserve"> LANIŠTE D.O.O., ALEXANDERA VON HUMBOLDTA 4B, 10000 ZAGREB, OIB: 3755384865</v>
      </c>
      <c r="H4066" s="7"/>
      <c r="I4066" s="8" t="s">
        <v>1119</v>
      </c>
      <c r="J4066" s="8" t="s">
        <v>2329</v>
      </c>
      <c r="K4066" s="6" t="str">
        <f>"4.032,00"</f>
        <v>4.032,00</v>
      </c>
      <c r="L4066" s="6" t="str">
        <f>"1.008,00"</f>
        <v>1.008,00</v>
      </c>
      <c r="M4066" s="6" t="str">
        <f>"5.040,00"</f>
        <v>5.040,00</v>
      </c>
      <c r="N4066" s="8" t="s">
        <v>272</v>
      </c>
      <c r="O4066" s="7"/>
      <c r="P4066" s="2" t="s">
        <v>7919</v>
      </c>
      <c r="Q4066" s="7"/>
      <c r="R4066" s="1"/>
      <c r="S4066" s="1" t="str">
        <f>"J-UN-2022-495"</f>
        <v>J-UN-2022-495</v>
      </c>
      <c r="T4066" s="1" t="s">
        <v>32</v>
      </c>
    </row>
    <row r="4067" spans="1:20" ht="63.75" x14ac:dyDescent="0.25">
      <c r="A4067" s="6">
        <v>4061</v>
      </c>
      <c r="B4067" s="1" t="str">
        <f>"2022-1430"</f>
        <v>2022-1430</v>
      </c>
      <c r="C4067" s="1" t="s">
        <v>2986</v>
      </c>
      <c r="D4067" s="1" t="s">
        <v>2985</v>
      </c>
      <c r="E4067" s="1" t="str">
        <f>""</f>
        <v/>
      </c>
      <c r="F4067" s="1" t="s">
        <v>1860</v>
      </c>
      <c r="G4067" s="1" t="str">
        <f t="shared" si="224"/>
        <v xml:space="preserve"> LANIŠTE D.O.O., ALEXANDERA VON HUMBOLDTA 4B, 10000 ZAGREB, OIB: 3755384865</v>
      </c>
      <c r="H4067" s="7"/>
      <c r="I4067" s="8" t="s">
        <v>1119</v>
      </c>
      <c r="J4067" s="8" t="s">
        <v>2329</v>
      </c>
      <c r="K4067" s="6" t="str">
        <f>"4.032,00"</f>
        <v>4.032,00</v>
      </c>
      <c r="L4067" s="6" t="str">
        <f>"1.008,00"</f>
        <v>1.008,00</v>
      </c>
      <c r="M4067" s="6" t="str">
        <f>"5.040,00"</f>
        <v>5.040,00</v>
      </c>
      <c r="N4067" s="8" t="s">
        <v>272</v>
      </c>
      <c r="O4067" s="7"/>
      <c r="P4067" s="2" t="s">
        <v>7919</v>
      </c>
      <c r="Q4067" s="7"/>
      <c r="R4067" s="1"/>
      <c r="S4067" s="1" t="str">
        <f>"J-UN-2022-496"</f>
        <v>J-UN-2022-496</v>
      </c>
      <c r="T4067" s="1" t="s">
        <v>32</v>
      </c>
    </row>
    <row r="4068" spans="1:20" ht="63.75" x14ac:dyDescent="0.25">
      <c r="A4068" s="6">
        <v>4062</v>
      </c>
      <c r="B4068" s="1" t="str">
        <f>"2022-1321"</f>
        <v>2022-1321</v>
      </c>
      <c r="C4068" s="1" t="s">
        <v>2987</v>
      </c>
      <c r="D4068" s="1" t="s">
        <v>2988</v>
      </c>
      <c r="E4068" s="1" t="str">
        <f>""</f>
        <v/>
      </c>
      <c r="F4068" s="1" t="s">
        <v>1860</v>
      </c>
      <c r="G4068" s="1" t="str">
        <f t="shared" si="224"/>
        <v xml:space="preserve"> LANIŠTE D.O.O., ALEXANDERA VON HUMBOLDTA 4B, 10000 ZAGREB, OIB: 3755384865</v>
      </c>
      <c r="H4068" s="7"/>
      <c r="I4068" s="8" t="s">
        <v>1119</v>
      </c>
      <c r="J4068" s="8" t="s">
        <v>2329</v>
      </c>
      <c r="K4068" s="6" t="str">
        <f>"4.032,00"</f>
        <v>4.032,00</v>
      </c>
      <c r="L4068" s="6" t="str">
        <f>"1.008,00"</f>
        <v>1.008,00</v>
      </c>
      <c r="M4068" s="6" t="str">
        <f>"5.040,00"</f>
        <v>5.040,00</v>
      </c>
      <c r="N4068" s="8" t="s">
        <v>272</v>
      </c>
      <c r="O4068" s="7"/>
      <c r="P4068" s="2" t="s">
        <v>7919</v>
      </c>
      <c r="Q4068" s="7"/>
      <c r="R4068" s="1"/>
      <c r="S4068" s="1" t="str">
        <f>"J-UN-2022-497"</f>
        <v>J-UN-2022-497</v>
      </c>
      <c r="T4068" s="1" t="s">
        <v>32</v>
      </c>
    </row>
    <row r="4069" spans="1:20" ht="63.75" x14ac:dyDescent="0.25">
      <c r="A4069" s="6">
        <v>4063</v>
      </c>
      <c r="B4069" s="1" t="str">
        <f>"2022-1289"</f>
        <v>2022-1289</v>
      </c>
      <c r="C4069" s="1" t="s">
        <v>2993</v>
      </c>
      <c r="D4069" s="1" t="s">
        <v>2994</v>
      </c>
      <c r="E4069" s="1" t="str">
        <f>""</f>
        <v/>
      </c>
      <c r="F4069" s="1" t="s">
        <v>1860</v>
      </c>
      <c r="G4069" s="1" t="str">
        <f t="shared" si="224"/>
        <v xml:space="preserve"> LANIŠTE D.O.O., ALEXANDERA VON HUMBOLDTA 4B, 10000 ZAGREB, OIB: 3755384865</v>
      </c>
      <c r="H4069" s="7"/>
      <c r="I4069" s="8" t="s">
        <v>1119</v>
      </c>
      <c r="J4069" s="8" t="s">
        <v>2329</v>
      </c>
      <c r="K4069" s="6" t="str">
        <f>"3.632,00"</f>
        <v>3.632,00</v>
      </c>
      <c r="L4069" s="6" t="str">
        <f>"908,00"</f>
        <v>908,00</v>
      </c>
      <c r="M4069" s="6" t="str">
        <f>"4.540,00"</f>
        <v>4.540,00</v>
      </c>
      <c r="N4069" s="8" t="s">
        <v>272</v>
      </c>
      <c r="O4069" s="7"/>
      <c r="P4069" s="2" t="s">
        <v>7918</v>
      </c>
      <c r="Q4069" s="7"/>
      <c r="R4069" s="1"/>
      <c r="S4069" s="1" t="str">
        <f>"J-UN-2022-498"</f>
        <v>J-UN-2022-498</v>
      </c>
      <c r="T4069" s="1" t="s">
        <v>32</v>
      </c>
    </row>
    <row r="4070" spans="1:20" ht="63.75" x14ac:dyDescent="0.25">
      <c r="A4070" s="6">
        <v>4064</v>
      </c>
      <c r="B4070" s="1" t="str">
        <f>"2022-1291"</f>
        <v>2022-1291</v>
      </c>
      <c r="C4070" s="1" t="s">
        <v>2989</v>
      </c>
      <c r="D4070" s="1" t="s">
        <v>2990</v>
      </c>
      <c r="E4070" s="1" t="str">
        <f>""</f>
        <v/>
      </c>
      <c r="F4070" s="1" t="s">
        <v>1860</v>
      </c>
      <c r="G4070" s="1" t="str">
        <f t="shared" si="224"/>
        <v xml:space="preserve"> LANIŠTE D.O.O., ALEXANDERA VON HUMBOLDTA 4B, 10000 ZAGREB, OIB: 3755384865</v>
      </c>
      <c r="H4070" s="7"/>
      <c r="I4070" s="8" t="s">
        <v>1119</v>
      </c>
      <c r="J4070" s="8" t="s">
        <v>2329</v>
      </c>
      <c r="K4070" s="6" t="str">
        <f>"3.636,00"</f>
        <v>3.636,00</v>
      </c>
      <c r="L4070" s="6" t="str">
        <f>"909,00"</f>
        <v>909,00</v>
      </c>
      <c r="M4070" s="6" t="str">
        <f>"4.545,00"</f>
        <v>4.545,00</v>
      </c>
      <c r="N4070" s="8" t="s">
        <v>272</v>
      </c>
      <c r="O4070" s="7"/>
      <c r="P4070" s="2" t="s">
        <v>7917</v>
      </c>
      <c r="Q4070" s="7"/>
      <c r="R4070" s="1"/>
      <c r="S4070" s="1" t="str">
        <f>"J-UN-2022-499"</f>
        <v>J-UN-2022-499</v>
      </c>
      <c r="T4070" s="1" t="s">
        <v>32</v>
      </c>
    </row>
    <row r="4071" spans="1:20" ht="63.75" x14ac:dyDescent="0.25">
      <c r="A4071" s="6">
        <v>4065</v>
      </c>
      <c r="B4071" s="1" t="str">
        <f>"2022-710"</f>
        <v>2022-710</v>
      </c>
      <c r="C4071" s="1" t="s">
        <v>2782</v>
      </c>
      <c r="D4071" s="1" t="s">
        <v>815</v>
      </c>
      <c r="E4071" s="1" t="str">
        <f>""</f>
        <v/>
      </c>
      <c r="F4071" s="1" t="s">
        <v>1860</v>
      </c>
      <c r="G4071" s="1" t="str">
        <f>CONCATENATE(" LAUS INTERNATIONAL D.O.O.,"," DR. FRANJE TUĐMANA 16B,"," 10431 SVETA NEDELJA,"," OIB: 93039509752")</f>
        <v xml:space="preserve"> LAUS INTERNATIONAL D.O.O., DR. FRANJE TUĐMANA 16B, 10431 SVETA NEDELJA, OIB: 93039509752</v>
      </c>
      <c r="H4071" s="7"/>
      <c r="I4071" s="8" t="s">
        <v>1119</v>
      </c>
      <c r="J4071" s="8" t="s">
        <v>2329</v>
      </c>
      <c r="K4071" s="6" t="str">
        <f>"778,61"</f>
        <v>778,61</v>
      </c>
      <c r="L4071" s="6" t="str">
        <f>"194,65"</f>
        <v>194,65</v>
      </c>
      <c r="M4071" s="6" t="str">
        <f>"973,26"</f>
        <v>973,26</v>
      </c>
      <c r="N4071" s="8" t="s">
        <v>296</v>
      </c>
      <c r="O4071" s="7"/>
      <c r="P4071" s="2" t="s">
        <v>8048</v>
      </c>
      <c r="Q4071" s="7"/>
      <c r="R4071" s="1"/>
      <c r="S4071" s="1" t="str">
        <f>"J-UN-2022-500"</f>
        <v>J-UN-2022-500</v>
      </c>
      <c r="T4071" s="1" t="s">
        <v>32</v>
      </c>
    </row>
    <row r="4072" spans="1:20" ht="51" x14ac:dyDescent="0.25">
      <c r="A4072" s="6">
        <v>4066</v>
      </c>
      <c r="B4072" s="1" t="str">
        <f>"2022-503"</f>
        <v>2022-503</v>
      </c>
      <c r="C4072" s="1" t="s">
        <v>2699</v>
      </c>
      <c r="D4072" s="1" t="s">
        <v>1888</v>
      </c>
      <c r="E4072" s="1" t="str">
        <f>""</f>
        <v/>
      </c>
      <c r="F4072" s="1" t="s">
        <v>1860</v>
      </c>
      <c r="G4072" s="1" t="str">
        <f>CONCATENATE(" DREZGA D.O.O.,"," OBRTNIČKA 2,"," 10437 BESTOVJE,"," OIB: 46535283602")</f>
        <v xml:space="preserve"> DREZGA D.O.O., OBRTNIČKA 2, 10437 BESTOVJE, OIB: 46535283602</v>
      </c>
      <c r="H4072" s="7"/>
      <c r="I4072" s="8" t="s">
        <v>1119</v>
      </c>
      <c r="J4072" s="8" t="s">
        <v>2329</v>
      </c>
      <c r="K4072" s="6" t="str">
        <f>"1.014,20"</f>
        <v>1.014,20</v>
      </c>
      <c r="L4072" s="6" t="str">
        <f>"253,55"</f>
        <v>253,55</v>
      </c>
      <c r="M4072" s="6" t="str">
        <f>"1.267,75"</f>
        <v>1.267,75</v>
      </c>
      <c r="N4072" s="8" t="s">
        <v>94</v>
      </c>
      <c r="O4072" s="7"/>
      <c r="P4072" s="2" t="s">
        <v>8049</v>
      </c>
      <c r="Q4072" s="7"/>
      <c r="R4072" s="1"/>
      <c r="S4072" s="1" t="str">
        <f>"J-UN-2022-501"</f>
        <v>J-UN-2022-501</v>
      </c>
      <c r="T4072" s="1" t="s">
        <v>32</v>
      </c>
    </row>
    <row r="4073" spans="1:20" ht="51" x14ac:dyDescent="0.25">
      <c r="A4073" s="6">
        <v>4067</v>
      </c>
      <c r="B4073" s="1" t="str">
        <f>"2022-767"</f>
        <v>2022-767</v>
      </c>
      <c r="C4073" s="1" t="s">
        <v>3057</v>
      </c>
      <c r="D4073" s="1" t="s">
        <v>486</v>
      </c>
      <c r="E4073" s="1" t="str">
        <f>""</f>
        <v/>
      </c>
      <c r="F4073" s="1" t="s">
        <v>1860</v>
      </c>
      <c r="G4073" s="1" t="str">
        <f>CONCATENATE(" HT D.D.,"," RADNIČKA CESTA 21,"," 10000 ZAGREB,"," OIB: 8179314656")</f>
        <v xml:space="preserve"> HT D.D., RADNIČKA CESTA 21, 10000 ZAGREB, OIB: 8179314656</v>
      </c>
      <c r="H4073" s="7"/>
      <c r="I4073" s="8" t="s">
        <v>273</v>
      </c>
      <c r="J4073" s="8" t="s">
        <v>1393</v>
      </c>
      <c r="K4073" s="6" t="str">
        <f>"21.108,04"</f>
        <v>21.108,04</v>
      </c>
      <c r="L4073" s="6" t="str">
        <f>"5.277,01"</f>
        <v>5.277,01</v>
      </c>
      <c r="M4073" s="6" t="str">
        <f>"26.385,05"</f>
        <v>26.385,05</v>
      </c>
      <c r="N4073" s="8" t="s">
        <v>124</v>
      </c>
      <c r="O4073" s="7"/>
      <c r="P4073" s="2" t="s">
        <v>5614</v>
      </c>
      <c r="Q4073" s="7"/>
      <c r="R4073" s="1"/>
      <c r="S4073" s="1" t="str">
        <f>"J-UN-2022-502"</f>
        <v>J-UN-2022-502</v>
      </c>
      <c r="T4073" s="1" t="s">
        <v>32</v>
      </c>
    </row>
    <row r="4074" spans="1:20" ht="51" x14ac:dyDescent="0.25">
      <c r="A4074" s="6">
        <v>4068</v>
      </c>
      <c r="B4074" s="1" t="str">
        <f>"2022-188"</f>
        <v>2022-188</v>
      </c>
      <c r="C4074" s="1" t="s">
        <v>2685</v>
      </c>
      <c r="D4074" s="1" t="s">
        <v>2686</v>
      </c>
      <c r="E4074" s="1" t="str">
        <f>""</f>
        <v/>
      </c>
      <c r="F4074" s="1" t="s">
        <v>1860</v>
      </c>
      <c r="G4074" s="1" t="str">
        <f>CONCATENATE(" TED D.O.O.,"," VRHOVČEV VIJENAC 84,"," 10000 ZAGREB,"," OIB: 22740118957")</f>
        <v xml:space="preserve"> TED D.O.O., VRHOVČEV VIJENAC 84, 10000 ZAGREB, OIB: 22740118957</v>
      </c>
      <c r="H4074" s="7"/>
      <c r="I4074" s="8" t="s">
        <v>260</v>
      </c>
      <c r="J4074" s="8" t="s">
        <v>1415</v>
      </c>
      <c r="K4074" s="6" t="str">
        <f>"11.220,00"</f>
        <v>11.220,00</v>
      </c>
      <c r="L4074" s="6" t="str">
        <f>"2.805,00"</f>
        <v>2.805,00</v>
      </c>
      <c r="M4074" s="6" t="str">
        <f>"14.025,00"</f>
        <v>14.025,00</v>
      </c>
      <c r="N4074" s="8" t="s">
        <v>354</v>
      </c>
      <c r="O4074" s="7"/>
      <c r="P4074" s="2" t="s">
        <v>8050</v>
      </c>
      <c r="Q4074" s="7"/>
      <c r="R4074" s="1"/>
      <c r="S4074" s="1" t="str">
        <f>"J-UN-2022-503"</f>
        <v>J-UN-2022-503</v>
      </c>
      <c r="T4074" s="1" t="s">
        <v>32</v>
      </c>
    </row>
    <row r="4075" spans="1:20" ht="63.75" x14ac:dyDescent="0.25">
      <c r="A4075" s="6">
        <v>4069</v>
      </c>
      <c r="B4075" s="1" t="str">
        <f>"2022-1416"</f>
        <v>2022-1416</v>
      </c>
      <c r="C4075" s="1" t="s">
        <v>2991</v>
      </c>
      <c r="D4075" s="1" t="s">
        <v>2992</v>
      </c>
      <c r="E4075" s="1" t="str">
        <f>""</f>
        <v/>
      </c>
      <c r="F4075" s="1" t="s">
        <v>1860</v>
      </c>
      <c r="G4075" s="1" t="str">
        <f>CONCATENATE(" LANIŠTE D.O.O.,"," ALEXANDERA VON HUMBOLDTA 4B,"," 10000 ZAGREB,"," OIB: 3755384865")</f>
        <v xml:space="preserve"> LANIŠTE D.O.O., ALEXANDERA VON HUMBOLDTA 4B, 10000 ZAGREB, OIB: 3755384865</v>
      </c>
      <c r="H4075" s="7"/>
      <c r="I4075" s="8" t="s">
        <v>371</v>
      </c>
      <c r="J4075" s="8" t="s">
        <v>2512</v>
      </c>
      <c r="K4075" s="6" t="str">
        <f>"3.636,00"</f>
        <v>3.636,00</v>
      </c>
      <c r="L4075" s="6" t="str">
        <f>"909,00"</f>
        <v>909,00</v>
      </c>
      <c r="M4075" s="6" t="str">
        <f>"4.545,00"</f>
        <v>4.545,00</v>
      </c>
      <c r="N4075" s="8" t="s">
        <v>258</v>
      </c>
      <c r="O4075" s="7"/>
      <c r="P4075" s="2" t="s">
        <v>7917</v>
      </c>
      <c r="Q4075" s="7"/>
      <c r="R4075" s="1"/>
      <c r="S4075" s="1" t="str">
        <f>"J-UN-2022-504"</f>
        <v>J-UN-2022-504</v>
      </c>
      <c r="T4075" s="1" t="s">
        <v>32</v>
      </c>
    </row>
    <row r="4076" spans="1:20" ht="63.75" x14ac:dyDescent="0.25">
      <c r="A4076" s="6">
        <v>4070</v>
      </c>
      <c r="B4076" s="1" t="str">
        <f>"2022-1429"</f>
        <v>2022-1429</v>
      </c>
      <c r="C4076" s="1" t="s">
        <v>2984</v>
      </c>
      <c r="D4076" s="1" t="s">
        <v>2985</v>
      </c>
      <c r="E4076" s="1" t="str">
        <f>""</f>
        <v/>
      </c>
      <c r="F4076" s="1" t="s">
        <v>1860</v>
      </c>
      <c r="G4076" s="1" t="str">
        <f>CONCATENATE(" LANIŠTE D.O.O.,"," ALEXANDERA VON HUMBOLDTA 4B,"," 10000 ZAGREB,"," OIB: 3755384865")</f>
        <v xml:space="preserve"> LANIŠTE D.O.O., ALEXANDERA VON HUMBOLDTA 4B, 10000 ZAGREB, OIB: 3755384865</v>
      </c>
      <c r="H4076" s="7"/>
      <c r="I4076" s="8" t="s">
        <v>371</v>
      </c>
      <c r="J4076" s="8" t="s">
        <v>2512</v>
      </c>
      <c r="K4076" s="6" t="str">
        <f>"4.032,00"</f>
        <v>4.032,00</v>
      </c>
      <c r="L4076" s="6" t="str">
        <f>"1.008,00"</f>
        <v>1.008,00</v>
      </c>
      <c r="M4076" s="6" t="str">
        <f>"5.040,00"</f>
        <v>5.040,00</v>
      </c>
      <c r="N4076" s="8" t="s">
        <v>258</v>
      </c>
      <c r="O4076" s="7"/>
      <c r="P4076" s="2" t="s">
        <v>7919</v>
      </c>
      <c r="Q4076" s="7"/>
      <c r="R4076" s="1"/>
      <c r="S4076" s="1" t="str">
        <f>"J-UN-2022-505"</f>
        <v>J-UN-2022-505</v>
      </c>
      <c r="T4076" s="1" t="s">
        <v>32</v>
      </c>
    </row>
    <row r="4077" spans="1:20" ht="51" x14ac:dyDescent="0.25">
      <c r="A4077" s="6">
        <v>4071</v>
      </c>
      <c r="B4077" s="1" t="str">
        <f>"2022-427"</f>
        <v>2022-427</v>
      </c>
      <c r="C4077" s="1" t="s">
        <v>3082</v>
      </c>
      <c r="D4077" s="1" t="s">
        <v>2577</v>
      </c>
      <c r="E4077" s="1" t="str">
        <f>""</f>
        <v/>
      </c>
      <c r="F4077" s="1" t="s">
        <v>1860</v>
      </c>
      <c r="G4077" s="1" t="str">
        <f>CONCATENATE(" VISINA DIR D.O.O.,"," SAVSKA CESTA 1A,"," 10437 BRESTOVJE,"," OIB: 69154724516")</f>
        <v xml:space="preserve"> VISINA DIR D.O.O., SAVSKA CESTA 1A, 10437 BRESTOVJE, OIB: 69154724516</v>
      </c>
      <c r="H4077" s="7"/>
      <c r="I4077" s="8" t="s">
        <v>371</v>
      </c>
      <c r="J4077" s="8" t="s">
        <v>2512</v>
      </c>
      <c r="K4077" s="6" t="str">
        <f>"16.045,69"</f>
        <v>16.045,69</v>
      </c>
      <c r="L4077" s="6" t="str">
        <f>"4.011,42"</f>
        <v>4.011,42</v>
      </c>
      <c r="M4077" s="6" t="str">
        <f>"20.057,11"</f>
        <v>20.057,11</v>
      </c>
      <c r="N4077" s="8" t="s">
        <v>124</v>
      </c>
      <c r="O4077" s="7"/>
      <c r="P4077" s="2" t="s">
        <v>5614</v>
      </c>
      <c r="Q4077" s="7"/>
      <c r="R4077" s="1"/>
      <c r="S4077" s="1" t="str">
        <f>"J-UN-2022-506"</f>
        <v>J-UN-2022-506</v>
      </c>
      <c r="T4077" s="1" t="s">
        <v>32</v>
      </c>
    </row>
    <row r="4078" spans="1:20" ht="51" x14ac:dyDescent="0.25">
      <c r="A4078" s="6">
        <v>4072</v>
      </c>
      <c r="B4078" s="1" t="str">
        <f>"2022-459"</f>
        <v>2022-459</v>
      </c>
      <c r="C4078" s="1" t="s">
        <v>2795</v>
      </c>
      <c r="D4078" s="1" t="s">
        <v>1619</v>
      </c>
      <c r="E4078" s="1" t="str">
        <f>""</f>
        <v/>
      </c>
      <c r="F4078" s="1" t="s">
        <v>1860</v>
      </c>
      <c r="G4078" s="1" t="str">
        <f>CONCATENATE(" TRIDION D.O.O.,"," ZAPADNA LOZICA 10,"," 10000 ZAGREB,"," OIB: 79247590666")</f>
        <v xml:space="preserve"> TRIDION D.O.O., ZAPADNA LOZICA 10, 10000 ZAGREB, OIB: 79247590666</v>
      </c>
      <c r="H4078" s="7"/>
      <c r="I4078" s="8" t="s">
        <v>371</v>
      </c>
      <c r="J4078" s="8" t="s">
        <v>2512</v>
      </c>
      <c r="K4078" s="6" t="str">
        <f>"13.555,91"</f>
        <v>13.555,91</v>
      </c>
      <c r="L4078" s="6" t="str">
        <f>"3.388,98"</f>
        <v>3.388,98</v>
      </c>
      <c r="M4078" s="6" t="str">
        <f>"16.944,89"</f>
        <v>16.944,89</v>
      </c>
      <c r="N4078" s="8" t="s">
        <v>994</v>
      </c>
      <c r="O4078" s="7"/>
      <c r="P4078" s="2" t="s">
        <v>8051</v>
      </c>
      <c r="Q4078" s="7"/>
      <c r="R4078" s="1"/>
      <c r="S4078" s="1" t="str">
        <f>"J-UN-2022-507"</f>
        <v>J-UN-2022-507</v>
      </c>
      <c r="T4078" s="1" t="s">
        <v>32</v>
      </c>
    </row>
    <row r="4079" spans="1:20" ht="63.75" x14ac:dyDescent="0.25">
      <c r="A4079" s="6">
        <v>4073</v>
      </c>
      <c r="B4079" s="1" t="str">
        <f>"2022-1430"</f>
        <v>2022-1430</v>
      </c>
      <c r="C4079" s="1" t="s">
        <v>2986</v>
      </c>
      <c r="D4079" s="1" t="s">
        <v>2985</v>
      </c>
      <c r="E4079" s="1" t="str">
        <f>""</f>
        <v/>
      </c>
      <c r="F4079" s="1" t="s">
        <v>1860</v>
      </c>
      <c r="G4079" s="1" t="str">
        <f>CONCATENATE(" LANIŠTE D.O.O.,"," ALEXANDERA VON HUMBOLDTA 4B,"," 10000 ZAGREB,"," OIB: 3755384865")</f>
        <v xml:space="preserve"> LANIŠTE D.O.O., ALEXANDERA VON HUMBOLDTA 4B, 10000 ZAGREB, OIB: 3755384865</v>
      </c>
      <c r="H4079" s="7"/>
      <c r="I4079" s="8" t="s">
        <v>371</v>
      </c>
      <c r="J4079" s="8" t="s">
        <v>2512</v>
      </c>
      <c r="K4079" s="6" t="str">
        <f>"4.032,00"</f>
        <v>4.032,00</v>
      </c>
      <c r="L4079" s="6" t="str">
        <f>"1.008,00"</f>
        <v>1.008,00</v>
      </c>
      <c r="M4079" s="6" t="str">
        <f>"5.040,00"</f>
        <v>5.040,00</v>
      </c>
      <c r="N4079" s="8" t="s">
        <v>258</v>
      </c>
      <c r="O4079" s="7"/>
      <c r="P4079" s="2" t="s">
        <v>7919</v>
      </c>
      <c r="Q4079" s="7"/>
      <c r="R4079" s="1"/>
      <c r="S4079" s="1" t="str">
        <f>"J-UN-2022-508"</f>
        <v>J-UN-2022-508</v>
      </c>
      <c r="T4079" s="1" t="s">
        <v>32</v>
      </c>
    </row>
    <row r="4080" spans="1:20" ht="63.75" x14ac:dyDescent="0.25">
      <c r="A4080" s="6">
        <v>4074</v>
      </c>
      <c r="B4080" s="1" t="str">
        <f>"2022-1321"</f>
        <v>2022-1321</v>
      </c>
      <c r="C4080" s="1" t="s">
        <v>2987</v>
      </c>
      <c r="D4080" s="1" t="s">
        <v>2988</v>
      </c>
      <c r="E4080" s="1" t="str">
        <f>""</f>
        <v/>
      </c>
      <c r="F4080" s="1" t="s">
        <v>1860</v>
      </c>
      <c r="G4080" s="1" t="str">
        <f>CONCATENATE(" LANIŠTE D.O.O.,"," ALEXANDERA VON HUMBOLDTA 4B,"," 10000 ZAGREB,"," OIB: 3755384865")</f>
        <v xml:space="preserve"> LANIŠTE D.O.O., ALEXANDERA VON HUMBOLDTA 4B, 10000 ZAGREB, OIB: 3755384865</v>
      </c>
      <c r="H4080" s="7"/>
      <c r="I4080" s="8" t="s">
        <v>371</v>
      </c>
      <c r="J4080" s="8" t="s">
        <v>2512</v>
      </c>
      <c r="K4080" s="6" t="str">
        <f>"4.032,00"</f>
        <v>4.032,00</v>
      </c>
      <c r="L4080" s="6" t="str">
        <f>"1.008,00"</f>
        <v>1.008,00</v>
      </c>
      <c r="M4080" s="6" t="str">
        <f>"5.040,00"</f>
        <v>5.040,00</v>
      </c>
      <c r="N4080" s="8" t="s">
        <v>258</v>
      </c>
      <c r="O4080" s="7"/>
      <c r="P4080" s="2" t="s">
        <v>7919</v>
      </c>
      <c r="Q4080" s="7"/>
      <c r="R4080" s="1"/>
      <c r="S4080" s="1" t="str">
        <f>"J-UN-2022-509"</f>
        <v>J-UN-2022-509</v>
      </c>
      <c r="T4080" s="1" t="s">
        <v>32</v>
      </c>
    </row>
    <row r="4081" spans="1:20" ht="63.75" x14ac:dyDescent="0.25">
      <c r="A4081" s="6">
        <v>4075</v>
      </c>
      <c r="B4081" s="1" t="str">
        <f>"2022-1289"</f>
        <v>2022-1289</v>
      </c>
      <c r="C4081" s="1" t="s">
        <v>2993</v>
      </c>
      <c r="D4081" s="1" t="s">
        <v>2994</v>
      </c>
      <c r="E4081" s="1" t="str">
        <f>""</f>
        <v/>
      </c>
      <c r="F4081" s="1" t="s">
        <v>1860</v>
      </c>
      <c r="G4081" s="1" t="str">
        <f>CONCATENATE(" LANIŠTE D.O.O.,"," ALEXANDERA VON HUMBOLDTA 4B,"," 10000 ZAGREB,"," OIB: 3755384865")</f>
        <v xml:space="preserve"> LANIŠTE D.O.O., ALEXANDERA VON HUMBOLDTA 4B, 10000 ZAGREB, OIB: 3755384865</v>
      </c>
      <c r="H4081" s="7"/>
      <c r="I4081" s="8" t="s">
        <v>1119</v>
      </c>
      <c r="J4081" s="8" t="s">
        <v>2329</v>
      </c>
      <c r="K4081" s="6" t="str">
        <f>"3.632,00"</f>
        <v>3.632,00</v>
      </c>
      <c r="L4081" s="6" t="str">
        <f>"908,00"</f>
        <v>908,00</v>
      </c>
      <c r="M4081" s="6" t="str">
        <f>"4.540,00"</f>
        <v>4.540,00</v>
      </c>
      <c r="N4081" s="8" t="s">
        <v>258</v>
      </c>
      <c r="O4081" s="7"/>
      <c r="P4081" s="2" t="s">
        <v>7918</v>
      </c>
      <c r="Q4081" s="7"/>
      <c r="R4081" s="1"/>
      <c r="S4081" s="1" t="str">
        <f>"J-UN-2022-510"</f>
        <v>J-UN-2022-510</v>
      </c>
      <c r="T4081" s="1" t="s">
        <v>32</v>
      </c>
    </row>
    <row r="4082" spans="1:20" ht="63.75" x14ac:dyDescent="0.25">
      <c r="A4082" s="6">
        <v>4076</v>
      </c>
      <c r="B4082" s="1" t="str">
        <f>"2022-1291"</f>
        <v>2022-1291</v>
      </c>
      <c r="C4082" s="1" t="s">
        <v>2989</v>
      </c>
      <c r="D4082" s="1" t="s">
        <v>2990</v>
      </c>
      <c r="E4082" s="1" t="str">
        <f>""</f>
        <v/>
      </c>
      <c r="F4082" s="1" t="s">
        <v>1860</v>
      </c>
      <c r="G4082" s="1" t="str">
        <f>CONCATENATE(" LANIŠTE D.O.O.,"," ALEXANDERA VON HUMBOLDTA 4B,"," 10000 ZAGREB,"," OIB: 3755384865")</f>
        <v xml:space="preserve"> LANIŠTE D.O.O., ALEXANDERA VON HUMBOLDTA 4B, 10000 ZAGREB, OIB: 3755384865</v>
      </c>
      <c r="H4082" s="7"/>
      <c r="I4082" s="8" t="s">
        <v>1119</v>
      </c>
      <c r="J4082" s="8" t="s">
        <v>2329</v>
      </c>
      <c r="K4082" s="6" t="str">
        <f>"3.636,00"</f>
        <v>3.636,00</v>
      </c>
      <c r="L4082" s="6" t="str">
        <f>"909,00"</f>
        <v>909,00</v>
      </c>
      <c r="M4082" s="6" t="str">
        <f>"4.545,00"</f>
        <v>4.545,00</v>
      </c>
      <c r="N4082" s="8" t="s">
        <v>258</v>
      </c>
      <c r="O4082" s="7"/>
      <c r="P4082" s="2" t="s">
        <v>7917</v>
      </c>
      <c r="Q4082" s="7"/>
      <c r="R4082" s="1"/>
      <c r="S4082" s="1" t="str">
        <f>"J-UN-2022-511"</f>
        <v>J-UN-2022-511</v>
      </c>
      <c r="T4082" s="1" t="s">
        <v>32</v>
      </c>
    </row>
    <row r="4083" spans="1:20" ht="63.75" x14ac:dyDescent="0.25">
      <c r="A4083" s="6">
        <v>4077</v>
      </c>
      <c r="B4083" s="1" t="str">
        <f>"2022-201"</f>
        <v>2022-201</v>
      </c>
      <c r="C4083" s="1" t="s">
        <v>2651</v>
      </c>
      <c r="D4083" s="1" t="s">
        <v>2652</v>
      </c>
      <c r="E4083" s="1" t="str">
        <f>""</f>
        <v/>
      </c>
      <c r="F4083" s="1" t="s">
        <v>1860</v>
      </c>
      <c r="G4083" s="1" t="str">
        <f>CONCATENATE(" ELEKTRO-KOMUNIKACIJE D.O.O.,"," 14. PODBREŽJE 4,"," 10000 ZAGREB,"," OIB: 76412373309")</f>
        <v xml:space="preserve"> ELEKTRO-KOMUNIKACIJE D.O.O., 14. PODBREŽJE 4, 10000 ZAGREB, OIB: 76412373309</v>
      </c>
      <c r="H4083" s="7"/>
      <c r="I4083" s="8" t="s">
        <v>260</v>
      </c>
      <c r="J4083" s="8" t="s">
        <v>1415</v>
      </c>
      <c r="K4083" s="6" t="str">
        <f>"27.858,38"</f>
        <v>27.858,38</v>
      </c>
      <c r="L4083" s="6" t="str">
        <f>"6.964,60"</f>
        <v>6.964,60</v>
      </c>
      <c r="M4083" s="6" t="str">
        <f>"34.822,98"</f>
        <v>34.822,98</v>
      </c>
      <c r="N4083" s="8" t="s">
        <v>835</v>
      </c>
      <c r="O4083" s="7"/>
      <c r="P4083" s="2" t="s">
        <v>8052</v>
      </c>
      <c r="Q4083" s="7"/>
      <c r="R4083" s="1"/>
      <c r="S4083" s="1" t="str">
        <f>"J-UN-2022-512"</f>
        <v>J-UN-2022-512</v>
      </c>
      <c r="T4083" s="1" t="s">
        <v>32</v>
      </c>
    </row>
    <row r="4084" spans="1:20" ht="63.75" x14ac:dyDescent="0.25">
      <c r="A4084" s="6">
        <v>4078</v>
      </c>
      <c r="B4084" s="1" t="str">
        <f>"2022-900"</f>
        <v>2022-900</v>
      </c>
      <c r="C4084" s="1" t="s">
        <v>2702</v>
      </c>
      <c r="D4084" s="1" t="s">
        <v>1209</v>
      </c>
      <c r="E4084" s="1" t="str">
        <f>""</f>
        <v/>
      </c>
      <c r="F4084" s="1" t="s">
        <v>1860</v>
      </c>
      <c r="G4084" s="1" t="str">
        <f>CONCATENATE(" DRÄGER SAFETY D.O.O.,"," AVENIJA VEĆESLAVA HOLJEVCA 40,"," 10010 ZAGREB,"," OIB: 32874587842")</f>
        <v xml:space="preserve"> DRÄGER SAFETY D.O.O., AVENIJA VEĆESLAVA HOLJEVCA 40, 10010 ZAGREB, OIB: 32874587842</v>
      </c>
      <c r="H4084" s="7"/>
      <c r="I4084" s="8" t="s">
        <v>1119</v>
      </c>
      <c r="J4084" s="8" t="s">
        <v>2329</v>
      </c>
      <c r="K4084" s="6" t="str">
        <f>"963,00"</f>
        <v>963,00</v>
      </c>
      <c r="L4084" s="6" t="str">
        <f>"240,75"</f>
        <v>240,75</v>
      </c>
      <c r="M4084" s="6" t="str">
        <f>"1.203,75"</f>
        <v>1.203,75</v>
      </c>
      <c r="N4084" s="8" t="s">
        <v>403</v>
      </c>
      <c r="O4084" s="7"/>
      <c r="P4084" s="2" t="s">
        <v>8053</v>
      </c>
      <c r="Q4084" s="7"/>
      <c r="R4084" s="1"/>
      <c r="S4084" s="1" t="str">
        <f>"J-UN-2022-513"</f>
        <v>J-UN-2022-513</v>
      </c>
      <c r="T4084" s="1" t="s">
        <v>32</v>
      </c>
    </row>
    <row r="4085" spans="1:20" ht="51" x14ac:dyDescent="0.25">
      <c r="A4085" s="6">
        <v>4079</v>
      </c>
      <c r="B4085" s="1" t="str">
        <f>"2022-222"</f>
        <v>2022-222</v>
      </c>
      <c r="C4085" s="1" t="s">
        <v>2841</v>
      </c>
      <c r="D4085" s="1" t="s">
        <v>2842</v>
      </c>
      <c r="E4085" s="1" t="str">
        <f>""</f>
        <v/>
      </c>
      <c r="F4085" s="1" t="s">
        <v>1860</v>
      </c>
      <c r="G4085" s="1" t="str">
        <f>CONCATENATE(" TAHOGRAF D.O.O.,"," DR. FRANJE TUĐMANA 24,"," 10431 SVETA NEDELJA,"," OIB: 73777060562")</f>
        <v xml:space="preserve"> TAHOGRAF D.O.O., DR. FRANJE TUĐMANA 24, 10431 SVETA NEDELJA, OIB: 73777060562</v>
      </c>
      <c r="H4085" s="7"/>
      <c r="I4085" s="8" t="s">
        <v>94</v>
      </c>
      <c r="J4085" s="8" t="s">
        <v>3100</v>
      </c>
      <c r="K4085" s="6" t="str">
        <f>"3.440,00"</f>
        <v>3.440,00</v>
      </c>
      <c r="L4085" s="6" t="str">
        <f>"860,00"</f>
        <v>860,00</v>
      </c>
      <c r="M4085" s="6" t="str">
        <f>"4.300,00"</f>
        <v>4.300,00</v>
      </c>
      <c r="N4085" s="8" t="s">
        <v>124</v>
      </c>
      <c r="O4085" s="7"/>
      <c r="P4085" s="2" t="s">
        <v>5614</v>
      </c>
      <c r="Q4085" s="7"/>
      <c r="R4085" s="1"/>
      <c r="S4085" s="1" t="str">
        <f>"J-UN-2022-514"</f>
        <v>J-UN-2022-514</v>
      </c>
      <c r="T4085" s="1" t="s">
        <v>32</v>
      </c>
    </row>
    <row r="4086" spans="1:20" ht="51" x14ac:dyDescent="0.25">
      <c r="A4086" s="6">
        <v>4080</v>
      </c>
      <c r="B4086" s="1" t="str">
        <f>"2022-1435"</f>
        <v>2022-1435</v>
      </c>
      <c r="C4086" s="1" t="s">
        <v>2756</v>
      </c>
      <c r="D4086" s="1" t="s">
        <v>860</v>
      </c>
      <c r="E4086" s="1" t="str">
        <f>""</f>
        <v/>
      </c>
      <c r="F4086" s="1" t="s">
        <v>1860</v>
      </c>
      <c r="G4086" s="1" t="str">
        <f>CONCATENATE(" METAL-REZ D.O.O.,"," BASAROVIĆEVA 20,"," 10408 VELIKA MLAKA,"," OIB: 69123890176")</f>
        <v xml:space="preserve"> METAL-REZ D.O.O., BASAROVIĆEVA 20, 10408 VELIKA MLAKA, OIB: 69123890176</v>
      </c>
      <c r="H4086" s="7"/>
      <c r="I4086" s="8" t="s">
        <v>371</v>
      </c>
      <c r="J4086" s="8" t="s">
        <v>2512</v>
      </c>
      <c r="K4086" s="6" t="str">
        <f>"3.600,00"</f>
        <v>3.600,00</v>
      </c>
      <c r="L4086" s="6" t="str">
        <f>"900,00"</f>
        <v>900,00</v>
      </c>
      <c r="M4086" s="6" t="str">
        <f>"4.500,00"</f>
        <v>4.500,00</v>
      </c>
      <c r="N4086" s="8" t="s">
        <v>261</v>
      </c>
      <c r="O4086" s="7"/>
      <c r="P4086" s="2" t="s">
        <v>5730</v>
      </c>
      <c r="Q4086" s="7"/>
      <c r="R4086" s="1"/>
      <c r="S4086" s="1" t="str">
        <f>"J-UN-2022-515"</f>
        <v>J-UN-2022-515</v>
      </c>
      <c r="T4086" s="1" t="s">
        <v>32</v>
      </c>
    </row>
    <row r="4087" spans="1:20" ht="76.5" x14ac:dyDescent="0.25">
      <c r="A4087" s="6">
        <v>4081</v>
      </c>
      <c r="B4087" s="1" t="str">
        <f>"2022-306"</f>
        <v>2022-306</v>
      </c>
      <c r="C4087" s="1" t="s">
        <v>2692</v>
      </c>
      <c r="D4087" s="1" t="s">
        <v>2693</v>
      </c>
      <c r="E4087" s="1" t="str">
        <f>""</f>
        <v/>
      </c>
      <c r="F4087" s="1" t="s">
        <v>1860</v>
      </c>
      <c r="G4087" s="1" t="str">
        <f>CONCATENATE(" SMIT-COMMERCE D.O.O.,"," GORNJOSTUPNIČKA 9B,"," 10255 GORNJI STUPNIK,"," OIB: 9524348214")</f>
        <v xml:space="preserve"> SMIT-COMMERCE D.O.O., GORNJOSTUPNIČKA 9B, 10255 GORNJI STUPNIK, OIB: 9524348214</v>
      </c>
      <c r="H4087" s="7"/>
      <c r="I4087" s="8" t="s">
        <v>94</v>
      </c>
      <c r="J4087" s="8" t="s">
        <v>3100</v>
      </c>
      <c r="K4087" s="6" t="str">
        <f>"1.516,60"</f>
        <v>1.516,60</v>
      </c>
      <c r="L4087" s="6" t="str">
        <f>"379,15"</f>
        <v>379,15</v>
      </c>
      <c r="M4087" s="6" t="str">
        <f>"1.895,75"</f>
        <v>1.895,75</v>
      </c>
      <c r="N4087" s="8" t="s">
        <v>291</v>
      </c>
      <c r="O4087" s="7"/>
      <c r="P4087" s="2" t="s">
        <v>8054</v>
      </c>
      <c r="Q4087" s="7"/>
      <c r="R4087" s="1"/>
      <c r="S4087" s="1" t="str">
        <f>"J-UN-2022-516"</f>
        <v>J-UN-2022-516</v>
      </c>
      <c r="T4087" s="1" t="s">
        <v>32</v>
      </c>
    </row>
    <row r="4088" spans="1:20" ht="76.5" x14ac:dyDescent="0.25">
      <c r="A4088" s="6">
        <v>4082</v>
      </c>
      <c r="B4088" s="1" t="str">
        <f>"2022-593"</f>
        <v>2022-593</v>
      </c>
      <c r="C4088" s="1" t="s">
        <v>2834</v>
      </c>
      <c r="D4088" s="1" t="s">
        <v>2835</v>
      </c>
      <c r="E4088" s="1" t="str">
        <f>""</f>
        <v/>
      </c>
      <c r="F4088" s="1" t="s">
        <v>1860</v>
      </c>
      <c r="G4088" s="1" t="str">
        <f>CONCATENATE(" SMIT-COMMERCE D.O.O.,"," GORNJOSTUPNIČKA 9B,"," 10255 GORNJI STUPNIK,"," OIB: 9524348214")</f>
        <v xml:space="preserve"> SMIT-COMMERCE D.O.O., GORNJOSTUPNIČKA 9B, 10255 GORNJI STUPNIK, OIB: 9524348214</v>
      </c>
      <c r="H4088" s="7"/>
      <c r="I4088" s="8" t="s">
        <v>94</v>
      </c>
      <c r="J4088" s="8" t="s">
        <v>3100</v>
      </c>
      <c r="K4088" s="6" t="str">
        <f>"10.610,24"</f>
        <v>10.610,24</v>
      </c>
      <c r="L4088" s="6" t="str">
        <f>"2.652,56"</f>
        <v>2.652,56</v>
      </c>
      <c r="M4088" s="6" t="str">
        <f>"13.262,80"</f>
        <v>13.262,80</v>
      </c>
      <c r="N4088" s="8" t="s">
        <v>354</v>
      </c>
      <c r="O4088" s="7"/>
      <c r="P4088" s="2" t="s">
        <v>8055</v>
      </c>
      <c r="Q4088" s="7"/>
      <c r="R4088" s="1"/>
      <c r="S4088" s="1" t="str">
        <f>"J-UN-2022-517"</f>
        <v>J-UN-2022-517</v>
      </c>
      <c r="T4088" s="1" t="s">
        <v>32</v>
      </c>
    </row>
    <row r="4089" spans="1:20" ht="51" x14ac:dyDescent="0.25">
      <c r="A4089" s="6">
        <v>4083</v>
      </c>
      <c r="B4089" s="1" t="str">
        <f>"2022-648"</f>
        <v>2022-648</v>
      </c>
      <c r="C4089" s="1" t="s">
        <v>2848</v>
      </c>
      <c r="D4089" s="1" t="s">
        <v>2849</v>
      </c>
      <c r="E4089" s="1" t="str">
        <f>""</f>
        <v/>
      </c>
      <c r="F4089" s="1" t="s">
        <v>1860</v>
      </c>
      <c r="G4089" s="1" t="str">
        <f>CONCATENATE(" COMET D.O.O.,"," VARAŽDINSKA 40/C,"," 42220 NOVI MAROF,"," OIB: 48249084626")</f>
        <v xml:space="preserve"> COMET D.O.O., VARAŽDINSKA 40/C, 42220 NOVI MAROF, OIB: 48249084626</v>
      </c>
      <c r="H4089" s="7"/>
      <c r="I4089" s="8" t="s">
        <v>94</v>
      </c>
      <c r="J4089" s="8" t="s">
        <v>3100</v>
      </c>
      <c r="K4089" s="6" t="str">
        <f>"900,00"</f>
        <v>900,00</v>
      </c>
      <c r="L4089" s="6" t="str">
        <f>"225,00"</f>
        <v>225,00</v>
      </c>
      <c r="M4089" s="6" t="str">
        <f>"1.125,00"</f>
        <v>1.125,00</v>
      </c>
      <c r="N4089" s="8" t="s">
        <v>284</v>
      </c>
      <c r="O4089" s="7"/>
      <c r="P4089" s="2" t="s">
        <v>6769</v>
      </c>
      <c r="Q4089" s="7"/>
      <c r="R4089" s="1"/>
      <c r="S4089" s="1" t="str">
        <f>"J-UN-2022-519"</f>
        <v>J-UN-2022-519</v>
      </c>
      <c r="T4089" s="1" t="s">
        <v>32</v>
      </c>
    </row>
    <row r="4090" spans="1:20" ht="51" x14ac:dyDescent="0.25">
      <c r="A4090" s="6">
        <v>4084</v>
      </c>
      <c r="B4090" s="1" t="str">
        <f>"2022-491"</f>
        <v>2022-491</v>
      </c>
      <c r="C4090" s="1" t="s">
        <v>2626</v>
      </c>
      <c r="D4090" s="1" t="s">
        <v>2627</v>
      </c>
      <c r="E4090" s="1" t="str">
        <f>""</f>
        <v/>
      </c>
      <c r="F4090" s="1" t="s">
        <v>1860</v>
      </c>
      <c r="G4090" s="1" t="str">
        <f>CONCATENATE(" E-ELMES D.O.O.,"," MATIJE MESIĆA 29A,"," 10370 DUGO SELO,"," OIB: 89958947498")</f>
        <v xml:space="preserve"> E-ELMES D.O.O., MATIJE MESIĆA 29A, 10370 DUGO SELO, OIB: 89958947498</v>
      </c>
      <c r="H4090" s="7"/>
      <c r="I4090" s="8" t="s">
        <v>371</v>
      </c>
      <c r="J4090" s="8" t="s">
        <v>2512</v>
      </c>
      <c r="K4090" s="6" t="str">
        <f>"2.065,50"</f>
        <v>2.065,50</v>
      </c>
      <c r="L4090" s="6" t="str">
        <f>"516,38"</f>
        <v>516,38</v>
      </c>
      <c r="M4090" s="6" t="str">
        <f>"2.581,88"</f>
        <v>2.581,88</v>
      </c>
      <c r="N4090" s="8" t="s">
        <v>400</v>
      </c>
      <c r="O4090" s="7"/>
      <c r="P4090" s="2" t="s">
        <v>8056</v>
      </c>
      <c r="Q4090" s="7"/>
      <c r="R4090" s="1"/>
      <c r="S4090" s="1" t="str">
        <f>"J-UN-2022-520"</f>
        <v>J-UN-2022-520</v>
      </c>
      <c r="T4090" s="1" t="s">
        <v>32</v>
      </c>
    </row>
    <row r="4091" spans="1:20" ht="63.75" x14ac:dyDescent="0.25">
      <c r="A4091" s="6">
        <v>4085</v>
      </c>
      <c r="B4091" s="1" t="str">
        <f>"2022-453"</f>
        <v>2022-453</v>
      </c>
      <c r="C4091" s="1" t="s">
        <v>2829</v>
      </c>
      <c r="D4091" s="1" t="s">
        <v>2830</v>
      </c>
      <c r="E4091" s="1" t="str">
        <f>""</f>
        <v/>
      </c>
      <c r="F4091" s="1" t="s">
        <v>1860</v>
      </c>
      <c r="G4091" s="1" t="str">
        <f>CONCATENATE(" GUMIIMPEX - GRP D.O.O.,"," PAVLEKA MIŠKINE 64C,"," 42000 VARAŽDIN,"," OIB: 8229856262")</f>
        <v xml:space="preserve"> GUMIIMPEX - GRP D.O.O., PAVLEKA MIŠKINE 64C, 42000 VARAŽDIN, OIB: 8229856262</v>
      </c>
      <c r="H4091" s="7"/>
      <c r="I4091" s="8" t="s">
        <v>371</v>
      </c>
      <c r="J4091" s="8" t="s">
        <v>2512</v>
      </c>
      <c r="K4091" s="6" t="str">
        <f>"10.900,00"</f>
        <v>10.900,00</v>
      </c>
      <c r="L4091" s="6" t="str">
        <f>"2.725,00"</f>
        <v>2.725,00</v>
      </c>
      <c r="M4091" s="6" t="str">
        <f>"13.625,00"</f>
        <v>13.625,00</v>
      </c>
      <c r="N4091" s="8" t="s">
        <v>855</v>
      </c>
      <c r="O4091" s="7"/>
      <c r="P4091" s="2" t="s">
        <v>6768</v>
      </c>
      <c r="Q4091" s="7"/>
      <c r="R4091" s="1"/>
      <c r="S4091" s="1" t="str">
        <f>"J-UN-2022-521"</f>
        <v>J-UN-2022-521</v>
      </c>
      <c r="T4091" s="1" t="s">
        <v>32</v>
      </c>
    </row>
    <row r="4092" spans="1:20" ht="51" x14ac:dyDescent="0.25">
      <c r="A4092" s="6">
        <v>4086</v>
      </c>
      <c r="B4092" s="1" t="str">
        <f>"2022-460"</f>
        <v>2022-460</v>
      </c>
      <c r="C4092" s="1" t="s">
        <v>2793</v>
      </c>
      <c r="D4092" s="1" t="s">
        <v>1619</v>
      </c>
      <c r="E4092" s="1" t="str">
        <f>""</f>
        <v/>
      </c>
      <c r="F4092" s="1" t="s">
        <v>1860</v>
      </c>
      <c r="G4092" s="1" t="str">
        <f>CONCATENATE(" MESSIS D.O.O.,"," FROUDEOVA 7,"," 10000 ZAGREB,"," OIB: 32087382809")</f>
        <v xml:space="preserve"> MESSIS D.O.O., FROUDEOVA 7, 10000 ZAGREB, OIB: 32087382809</v>
      </c>
      <c r="H4092" s="7"/>
      <c r="I4092" s="8" t="s">
        <v>94</v>
      </c>
      <c r="J4092" s="8" t="s">
        <v>3100</v>
      </c>
      <c r="K4092" s="6" t="str">
        <f>"2.520,00"</f>
        <v>2.520,00</v>
      </c>
      <c r="L4092" s="6" t="str">
        <f>"630,00"</f>
        <v>630,00</v>
      </c>
      <c r="M4092" s="6" t="str">
        <f>"3.150,00"</f>
        <v>3.150,00</v>
      </c>
      <c r="N4092" s="8" t="s">
        <v>403</v>
      </c>
      <c r="O4092" s="7"/>
      <c r="P4092" s="2" t="s">
        <v>8057</v>
      </c>
      <c r="Q4092" s="7"/>
      <c r="R4092" s="1"/>
      <c r="S4092" s="1" t="str">
        <f>"J-UN-2022-522"</f>
        <v>J-UN-2022-522</v>
      </c>
      <c r="T4092" s="1" t="s">
        <v>32</v>
      </c>
    </row>
    <row r="4093" spans="1:20" ht="76.5" x14ac:dyDescent="0.25">
      <c r="A4093" s="6">
        <v>4087</v>
      </c>
      <c r="B4093" s="1" t="str">
        <f>"2022-1434"</f>
        <v>2022-1434</v>
      </c>
      <c r="C4093" s="1" t="s">
        <v>2558</v>
      </c>
      <c r="D4093" s="1" t="s">
        <v>860</v>
      </c>
      <c r="E4093" s="1" t="str">
        <f>""</f>
        <v/>
      </c>
      <c r="F4093" s="1" t="s">
        <v>1860</v>
      </c>
      <c r="G4093" s="1" t="str">
        <f>CONCATENATE(" SPECIJALNA ZAVARIVANJA ČUKMAN D.O.O.,"," JEŽDOVEČKA ULICA 1C,"," 10250 LUČKO,"," OIB: 14195538193")</f>
        <v xml:space="preserve"> SPECIJALNA ZAVARIVANJA ČUKMAN D.O.O., JEŽDOVEČKA ULICA 1C, 10250 LUČKO, OIB: 14195538193</v>
      </c>
      <c r="H4093" s="7"/>
      <c r="I4093" s="8" t="s">
        <v>371</v>
      </c>
      <c r="J4093" s="8" t="s">
        <v>2512</v>
      </c>
      <c r="K4093" s="6" t="str">
        <f>"1.800,00"</f>
        <v>1.800,00</v>
      </c>
      <c r="L4093" s="6" t="str">
        <f>"450,00"</f>
        <v>450,00</v>
      </c>
      <c r="M4093" s="6" t="str">
        <f>"2.250,00"</f>
        <v>2.250,00</v>
      </c>
      <c r="N4093" s="8" t="s">
        <v>133</v>
      </c>
      <c r="O4093" s="7"/>
      <c r="P4093" s="2" t="s">
        <v>5641</v>
      </c>
      <c r="Q4093" s="7"/>
      <c r="R4093" s="1"/>
      <c r="S4093" s="1" t="str">
        <f>"J-UN-2022-523"</f>
        <v>J-UN-2022-523</v>
      </c>
      <c r="T4093" s="1" t="s">
        <v>32</v>
      </c>
    </row>
    <row r="4094" spans="1:20" ht="63.75" x14ac:dyDescent="0.25">
      <c r="A4094" s="6">
        <v>4088</v>
      </c>
      <c r="B4094" s="1" t="str">
        <f>"2022-849"</f>
        <v>2022-849</v>
      </c>
      <c r="C4094" s="1" t="s">
        <v>3101</v>
      </c>
      <c r="D4094" s="1" t="s">
        <v>275</v>
      </c>
      <c r="E4094" s="1" t="str">
        <f>""</f>
        <v/>
      </c>
      <c r="F4094" s="1" t="s">
        <v>1860</v>
      </c>
      <c r="G4094" s="1" t="str">
        <f>CONCATENATE(" ELEKTROKEM D.O.O.,"," VUGROVEC,"," AUGUSTA ŠENOE 69,"," 10360 SESVETE,"," OIB: 38411868043")</f>
        <v xml:space="preserve"> ELEKTROKEM D.O.O., VUGROVEC, AUGUSTA ŠENOE 69, 10360 SESVETE, OIB: 38411868043</v>
      </c>
      <c r="H4094" s="7"/>
      <c r="I4094" s="8" t="s">
        <v>500</v>
      </c>
      <c r="J4094" s="8" t="s">
        <v>3092</v>
      </c>
      <c r="K4094" s="6" t="str">
        <f>"19.140,00"</f>
        <v>19.140,00</v>
      </c>
      <c r="L4094" s="6" t="str">
        <f>"4.785,00"</f>
        <v>4.785,00</v>
      </c>
      <c r="M4094" s="6" t="str">
        <f>"23.925,00"</f>
        <v>23.925,00</v>
      </c>
      <c r="N4094" s="8" t="s">
        <v>94</v>
      </c>
      <c r="O4094" s="7"/>
      <c r="P4094" s="2" t="s">
        <v>8058</v>
      </c>
      <c r="Q4094" s="7"/>
      <c r="R4094" s="1"/>
      <c r="S4094" s="1" t="str">
        <f>"J-UN-2022-524"</f>
        <v>J-UN-2022-524</v>
      </c>
      <c r="T4094" s="1" t="s">
        <v>32</v>
      </c>
    </row>
    <row r="4095" spans="1:20" ht="51" x14ac:dyDescent="0.25">
      <c r="A4095" s="6">
        <v>4089</v>
      </c>
      <c r="B4095" s="1" t="str">
        <f>"2022-453"</f>
        <v>2022-453</v>
      </c>
      <c r="C4095" s="1" t="s">
        <v>2829</v>
      </c>
      <c r="D4095" s="1" t="s">
        <v>2830</v>
      </c>
      <c r="E4095" s="1" t="str">
        <f>""</f>
        <v/>
      </c>
      <c r="F4095" s="1" t="s">
        <v>1860</v>
      </c>
      <c r="G4095" s="1" t="str">
        <f>CONCATENATE(" VITIS D.O.O.,"," KUSTOŠIJSKI VENEC 48,"," 10090 ZAGREB,"," OIB: 96887244333")</f>
        <v xml:space="preserve"> VITIS D.O.O., KUSTOŠIJSKI VENEC 48, 10090 ZAGREB, OIB: 96887244333</v>
      </c>
      <c r="H4095" s="7"/>
      <c r="I4095" s="8" t="s">
        <v>500</v>
      </c>
      <c r="J4095" s="8" t="s">
        <v>3092</v>
      </c>
      <c r="K4095" s="6" t="str">
        <f>"13.103,60"</f>
        <v>13.103,60</v>
      </c>
      <c r="L4095" s="6" t="str">
        <f>"3.275,90"</f>
        <v>3.275,90</v>
      </c>
      <c r="M4095" s="6" t="str">
        <f>"16.379,50"</f>
        <v>16.379,50</v>
      </c>
      <c r="N4095" s="8" t="s">
        <v>478</v>
      </c>
      <c r="O4095" s="7"/>
      <c r="P4095" s="2" t="s">
        <v>8059</v>
      </c>
      <c r="Q4095" s="7"/>
      <c r="R4095" s="1"/>
      <c r="S4095" s="1" t="str">
        <f>"J-UN-2022-525"</f>
        <v>J-UN-2022-525</v>
      </c>
      <c r="T4095" s="1" t="s">
        <v>32</v>
      </c>
    </row>
    <row r="4096" spans="1:20" ht="51" x14ac:dyDescent="0.25">
      <c r="A4096" s="6">
        <v>4090</v>
      </c>
      <c r="B4096" s="1" t="str">
        <f>"2022-716"</f>
        <v>2022-716</v>
      </c>
      <c r="C4096" s="1" t="s">
        <v>2563</v>
      </c>
      <c r="D4096" s="1" t="s">
        <v>914</v>
      </c>
      <c r="E4096" s="1" t="str">
        <f>""</f>
        <v/>
      </c>
      <c r="F4096" s="1" t="s">
        <v>1860</v>
      </c>
      <c r="G4096" s="1" t="str">
        <f>CONCATENATE(" D.R. AUTO D.O.O.,"," SELSKA CESTA 34,"," 10000 ZAGREB,"," OIB: 07523847158")</f>
        <v xml:space="preserve"> D.R. AUTO D.O.O., SELSKA CESTA 34, 10000 ZAGREB, OIB: 07523847158</v>
      </c>
      <c r="H4096" s="7"/>
      <c r="I4096" s="8" t="s">
        <v>1119</v>
      </c>
      <c r="J4096" s="8" t="s">
        <v>2329</v>
      </c>
      <c r="K4096" s="6" t="str">
        <f>"3.457,20"</f>
        <v>3.457,20</v>
      </c>
      <c r="L4096" s="6" t="str">
        <f>"864,30"</f>
        <v>864,30</v>
      </c>
      <c r="M4096" s="6" t="str">
        <f>"4.321,50"</f>
        <v>4.321,50</v>
      </c>
      <c r="N4096" s="8" t="s">
        <v>273</v>
      </c>
      <c r="O4096" s="7"/>
      <c r="P4096" s="2" t="s">
        <v>8060</v>
      </c>
      <c r="Q4096" s="7"/>
      <c r="R4096" s="1"/>
      <c r="S4096" s="1" t="str">
        <f>"J-UN-2022-526"</f>
        <v>J-UN-2022-526</v>
      </c>
      <c r="T4096" s="1" t="s">
        <v>32</v>
      </c>
    </row>
    <row r="4097" spans="1:20" ht="51" x14ac:dyDescent="0.25">
      <c r="A4097" s="6">
        <v>4091</v>
      </c>
      <c r="B4097" s="1" t="str">
        <f>"2022-459"</f>
        <v>2022-459</v>
      </c>
      <c r="C4097" s="1" t="s">
        <v>2795</v>
      </c>
      <c r="D4097" s="1" t="s">
        <v>1619</v>
      </c>
      <c r="E4097" s="1" t="str">
        <f>""</f>
        <v/>
      </c>
      <c r="F4097" s="1" t="s">
        <v>1860</v>
      </c>
      <c r="G4097" s="1" t="str">
        <f>CONCATENATE(" D.R. AUTO D.O.O.,"," SELSKA CESTA 34,"," 10000 ZAGREB,"," OIB: 07523847158")</f>
        <v xml:space="preserve"> D.R. AUTO D.O.O., SELSKA CESTA 34, 10000 ZAGREB, OIB: 07523847158</v>
      </c>
      <c r="H4097" s="7"/>
      <c r="I4097" s="8" t="s">
        <v>1119</v>
      </c>
      <c r="J4097" s="8" t="s">
        <v>2329</v>
      </c>
      <c r="K4097" s="6" t="str">
        <f>"639,20"</f>
        <v>639,20</v>
      </c>
      <c r="L4097" s="6" t="str">
        <f>"159,80"</f>
        <v>159,80</v>
      </c>
      <c r="M4097" s="6" t="str">
        <f>"799,00"</f>
        <v>799,00</v>
      </c>
      <c r="N4097" s="8" t="s">
        <v>273</v>
      </c>
      <c r="O4097" s="7"/>
      <c r="P4097" s="2" t="s">
        <v>8061</v>
      </c>
      <c r="Q4097" s="7"/>
      <c r="R4097" s="1"/>
      <c r="S4097" s="1" t="str">
        <f>"J-UN-2022-527"</f>
        <v>J-UN-2022-527</v>
      </c>
      <c r="T4097" s="1" t="s">
        <v>32</v>
      </c>
    </row>
    <row r="4098" spans="1:20" ht="63.75" x14ac:dyDescent="0.25">
      <c r="A4098" s="6">
        <v>4092</v>
      </c>
      <c r="B4098" s="1" t="str">
        <f>"2022-426"</f>
        <v>2022-426</v>
      </c>
      <c r="C4098" s="1" t="s">
        <v>2833</v>
      </c>
      <c r="D4098" s="1" t="s">
        <v>1962</v>
      </c>
      <c r="E4098" s="1" t="str">
        <f>""</f>
        <v/>
      </c>
      <c r="F4098" s="1" t="s">
        <v>1860</v>
      </c>
      <c r="G4098" s="1" t="str">
        <f>CONCATENATE(" GRA-PO D.O.O.,"," GOSPODARSKA 5B,"," 10255 ZAGREB - STUPNIK,"," OIB: 05364995085")</f>
        <v xml:space="preserve"> GRA-PO D.O.O., GOSPODARSKA 5B, 10255 ZAGREB - STUPNIK, OIB: 05364995085</v>
      </c>
      <c r="H4098" s="7"/>
      <c r="I4098" s="8" t="s">
        <v>1119</v>
      </c>
      <c r="J4098" s="8" t="s">
        <v>2329</v>
      </c>
      <c r="K4098" s="6" t="str">
        <f>"14.971,00"</f>
        <v>14.971,00</v>
      </c>
      <c r="L4098" s="6" t="str">
        <f>"3.742,75"</f>
        <v>3.742,75</v>
      </c>
      <c r="M4098" s="6" t="str">
        <f>"18.713,75"</f>
        <v>18.713,75</v>
      </c>
      <c r="N4098" s="8" t="s">
        <v>500</v>
      </c>
      <c r="O4098" s="7"/>
      <c r="P4098" s="2" t="s">
        <v>8062</v>
      </c>
      <c r="Q4098" s="7"/>
      <c r="R4098" s="1"/>
      <c r="S4098" s="1" t="str">
        <f>"J-UN-2022-528"</f>
        <v>J-UN-2022-528</v>
      </c>
      <c r="T4098" s="1" t="s">
        <v>32</v>
      </c>
    </row>
    <row r="4099" spans="1:20" ht="51" x14ac:dyDescent="0.25">
      <c r="A4099" s="6">
        <v>4093</v>
      </c>
      <c r="B4099" s="1" t="str">
        <f>"2022-459"</f>
        <v>2022-459</v>
      </c>
      <c r="C4099" s="1" t="s">
        <v>2795</v>
      </c>
      <c r="D4099" s="1" t="s">
        <v>1619</v>
      </c>
      <c r="E4099" s="1" t="str">
        <f>""</f>
        <v/>
      </c>
      <c r="F4099" s="1" t="s">
        <v>1860</v>
      </c>
      <c r="G4099" s="1" t="str">
        <f>CONCATENATE(" GRAPAK D.O.O.,"," M. SCHLENGERA 5,"," 42204 TURČIN,"," OIB: 8387333034")</f>
        <v xml:space="preserve"> GRAPAK D.O.O., M. SCHLENGERA 5, 42204 TURČIN, OIB: 8387333034</v>
      </c>
      <c r="H4099" s="7"/>
      <c r="I4099" s="8" t="s">
        <v>1119</v>
      </c>
      <c r="J4099" s="8" t="s">
        <v>2329</v>
      </c>
      <c r="K4099" s="6" t="str">
        <f>"66.577,58"</f>
        <v>66.577,58</v>
      </c>
      <c r="L4099" s="6" t="str">
        <f>"16.644,40"</f>
        <v>16.644,40</v>
      </c>
      <c r="M4099" s="6" t="str">
        <f>"83.221,98"</f>
        <v>83.221,98</v>
      </c>
      <c r="N4099" s="8" t="s">
        <v>425</v>
      </c>
      <c r="O4099" s="7"/>
      <c r="P4099" s="2" t="s">
        <v>8063</v>
      </c>
      <c r="Q4099" s="7"/>
      <c r="R4099" s="1"/>
      <c r="S4099" s="1" t="str">
        <f>"J-UN-2022-529"</f>
        <v>J-UN-2022-529</v>
      </c>
      <c r="T4099" s="1" t="s">
        <v>32</v>
      </c>
    </row>
    <row r="4100" spans="1:20" ht="63.75" x14ac:dyDescent="0.25">
      <c r="A4100" s="6">
        <v>4094</v>
      </c>
      <c r="B4100" s="1" t="str">
        <f>"2022-825"</f>
        <v>2022-825</v>
      </c>
      <c r="C4100" s="1" t="s">
        <v>2492</v>
      </c>
      <c r="D4100" s="1" t="s">
        <v>2493</v>
      </c>
      <c r="E4100" s="1" t="str">
        <f>""</f>
        <v/>
      </c>
      <c r="F4100" s="1" t="s">
        <v>1860</v>
      </c>
      <c r="G4100" s="1" t="str">
        <f>CONCATENATE(" TOKIĆ D.O.O.,"," ULICA 144. BRIGADE HRVATSKE VOJSKE 1A,"," 10360 SESVETE,"," OIB: 7486748762")</f>
        <v xml:space="preserve"> TOKIĆ D.O.O., ULICA 144. BRIGADE HRVATSKE VOJSKE 1A, 10360 SESVETE, OIB: 7486748762</v>
      </c>
      <c r="H4100" s="7"/>
      <c r="I4100" s="8" t="s">
        <v>94</v>
      </c>
      <c r="J4100" s="8" t="s">
        <v>3100</v>
      </c>
      <c r="K4100" s="6" t="str">
        <f>"846,00"</f>
        <v>846,00</v>
      </c>
      <c r="L4100" s="6" t="str">
        <f>"211,50"</f>
        <v>211,50</v>
      </c>
      <c r="M4100" s="6" t="str">
        <f>"1.057,50"</f>
        <v>1.057,50</v>
      </c>
      <c r="N4100" s="8" t="s">
        <v>921</v>
      </c>
      <c r="O4100" s="7"/>
      <c r="P4100" s="2" t="s">
        <v>8064</v>
      </c>
      <c r="Q4100" s="7"/>
      <c r="R4100" s="1"/>
      <c r="S4100" s="1" t="str">
        <f>"J-UN-2022-530"</f>
        <v>J-UN-2022-530</v>
      </c>
      <c r="T4100" s="1" t="s">
        <v>32</v>
      </c>
    </row>
    <row r="4101" spans="1:20" ht="38.25" x14ac:dyDescent="0.25">
      <c r="A4101" s="6">
        <v>4095</v>
      </c>
      <c r="B4101" s="1" t="str">
        <f>"2022-698"</f>
        <v>2022-698</v>
      </c>
      <c r="C4101" s="1" t="s">
        <v>2565</v>
      </c>
      <c r="D4101" s="1" t="s">
        <v>1833</v>
      </c>
      <c r="E4101" s="1" t="str">
        <f>""</f>
        <v/>
      </c>
      <c r="F4101" s="1" t="s">
        <v>1860</v>
      </c>
      <c r="G4101" s="1" t="str">
        <f>CONCATENATE(" R-PIM D.O.O.,"," ,"," OIB: 38514700472")</f>
        <v xml:space="preserve"> R-PIM D.O.O., , OIB: 38514700472</v>
      </c>
      <c r="H4101" s="7"/>
      <c r="I4101" s="8" t="s">
        <v>1119</v>
      </c>
      <c r="J4101" s="8" t="s">
        <v>2329</v>
      </c>
      <c r="K4101" s="6" t="str">
        <f>"4.513,00"</f>
        <v>4.513,00</v>
      </c>
      <c r="L4101" s="6" t="str">
        <f>"1.128,25"</f>
        <v>1.128,25</v>
      </c>
      <c r="M4101" s="6" t="str">
        <f>"5.641,25"</f>
        <v>5.641,25</v>
      </c>
      <c r="N4101" s="8" t="s">
        <v>920</v>
      </c>
      <c r="O4101" s="7"/>
      <c r="P4101" s="2" t="s">
        <v>8065</v>
      </c>
      <c r="Q4101" s="7"/>
      <c r="R4101" s="1"/>
      <c r="S4101" s="1" t="str">
        <f>"J-UN-2022-531"</f>
        <v>J-UN-2022-531</v>
      </c>
      <c r="T4101" s="1" t="s">
        <v>32</v>
      </c>
    </row>
    <row r="4102" spans="1:20" ht="63.75" x14ac:dyDescent="0.25">
      <c r="A4102" s="6">
        <v>4096</v>
      </c>
      <c r="B4102" s="1" t="str">
        <f>"2022-716"</f>
        <v>2022-716</v>
      </c>
      <c r="C4102" s="1" t="s">
        <v>2563</v>
      </c>
      <c r="D4102" s="1" t="s">
        <v>914</v>
      </c>
      <c r="E4102" s="1" t="str">
        <f>""</f>
        <v/>
      </c>
      <c r="F4102" s="1" t="s">
        <v>1860</v>
      </c>
      <c r="G4102" s="1" t="str">
        <f>CONCATENATE(" TOKIĆ D.O.O.,"," ULICA 144. BRIGADE HRVATSKE VOJSKE 1A,"," 10360 SESVETE,"," OIB: 7486748762")</f>
        <v xml:space="preserve"> TOKIĆ D.O.O., ULICA 144. BRIGADE HRVATSKE VOJSKE 1A, 10360 SESVETE, OIB: 7486748762</v>
      </c>
      <c r="H4102" s="7"/>
      <c r="I4102" s="8" t="s">
        <v>94</v>
      </c>
      <c r="J4102" s="8" t="s">
        <v>3100</v>
      </c>
      <c r="K4102" s="6" t="str">
        <f>"5.431,00"</f>
        <v>5.431,00</v>
      </c>
      <c r="L4102" s="6" t="str">
        <f>"1.357,75"</f>
        <v>1.357,75</v>
      </c>
      <c r="M4102" s="6" t="str">
        <f>"6.788,75"</f>
        <v>6.788,75</v>
      </c>
      <c r="N4102" s="8" t="s">
        <v>607</v>
      </c>
      <c r="O4102" s="7"/>
      <c r="P4102" s="2" t="s">
        <v>8066</v>
      </c>
      <c r="Q4102" s="7"/>
      <c r="R4102" s="1"/>
      <c r="S4102" s="1" t="str">
        <f>"J-UN-2022-533"</f>
        <v>J-UN-2022-533</v>
      </c>
      <c r="T4102" s="1" t="s">
        <v>32</v>
      </c>
    </row>
    <row r="4103" spans="1:20" ht="63.75" x14ac:dyDescent="0.25">
      <c r="A4103" s="6">
        <v>4097</v>
      </c>
      <c r="B4103" s="1" t="str">
        <f>"2022-276"</f>
        <v>2022-276</v>
      </c>
      <c r="C4103" s="1" t="s">
        <v>2726</v>
      </c>
      <c r="D4103" s="1" t="s">
        <v>689</v>
      </c>
      <c r="E4103" s="1" t="str">
        <f>""</f>
        <v/>
      </c>
      <c r="F4103" s="1" t="s">
        <v>1860</v>
      </c>
      <c r="G4103" s="1" t="str">
        <f>CONCATENATE(" KEMOBOJA-DUBRAVA D.O.O.,"," AVENIJA DUBRAVA 37,"," 10000 ZAGREB,"," OIB: 6402157427")</f>
        <v xml:space="preserve"> KEMOBOJA-DUBRAVA D.O.O., AVENIJA DUBRAVA 37, 10000 ZAGREB, OIB: 6402157427</v>
      </c>
      <c r="H4103" s="7"/>
      <c r="I4103" s="8" t="s">
        <v>94</v>
      </c>
      <c r="J4103" s="8" t="s">
        <v>3100</v>
      </c>
      <c r="K4103" s="6" t="str">
        <f>"41.522,40"</f>
        <v>41.522,40</v>
      </c>
      <c r="L4103" s="6" t="str">
        <f>"10.380,60"</f>
        <v>10.380,60</v>
      </c>
      <c r="M4103" s="6" t="str">
        <f>"51.903,00"</f>
        <v>51.903,00</v>
      </c>
      <c r="N4103" s="8" t="s">
        <v>124</v>
      </c>
      <c r="O4103" s="7"/>
      <c r="P4103" s="2" t="s">
        <v>8067</v>
      </c>
      <c r="Q4103" s="7"/>
      <c r="R4103" s="1"/>
      <c r="S4103" s="1" t="str">
        <f>"J-UN-2022-534"</f>
        <v>J-UN-2022-534</v>
      </c>
      <c r="T4103" s="1" t="s">
        <v>32</v>
      </c>
    </row>
    <row r="4104" spans="1:20" ht="51" x14ac:dyDescent="0.25">
      <c r="A4104" s="6">
        <v>4098</v>
      </c>
      <c r="B4104" s="1" t="str">
        <f>"2022-478"</f>
        <v>2022-478</v>
      </c>
      <c r="C4104" s="1" t="s">
        <v>2600</v>
      </c>
      <c r="D4104" s="1" t="s">
        <v>2601</v>
      </c>
      <c r="E4104" s="1" t="str">
        <f>""</f>
        <v/>
      </c>
      <c r="F4104" s="1" t="s">
        <v>1860</v>
      </c>
      <c r="G4104" s="1" t="str">
        <f>CONCATENATE(" PRO-TEHNA D.O.O.,"," MAKSIMIRSKA 64,"," 10000 ZAGREB,"," OIB: 88951687357")</f>
        <v xml:space="preserve"> PRO-TEHNA D.O.O., MAKSIMIRSKA 64, 10000 ZAGREB, OIB: 88951687357</v>
      </c>
      <c r="H4104" s="7"/>
      <c r="I4104" s="8" t="s">
        <v>94</v>
      </c>
      <c r="J4104" s="8" t="s">
        <v>3100</v>
      </c>
      <c r="K4104" s="6" t="str">
        <f>"7.209,00"</f>
        <v>7.209,00</v>
      </c>
      <c r="L4104" s="6" t="str">
        <f>"1.802,25"</f>
        <v>1.802,25</v>
      </c>
      <c r="M4104" s="6" t="str">
        <f>"9.011,25"</f>
        <v>9.011,25</v>
      </c>
      <c r="N4104" s="8" t="s">
        <v>354</v>
      </c>
      <c r="O4104" s="7"/>
      <c r="P4104" s="2" t="s">
        <v>8068</v>
      </c>
      <c r="Q4104" s="7"/>
      <c r="R4104" s="1"/>
      <c r="S4104" s="1" t="str">
        <f>"J-UN-2022-535"</f>
        <v>J-UN-2022-535</v>
      </c>
      <c r="T4104" s="1" t="s">
        <v>32</v>
      </c>
    </row>
    <row r="4105" spans="1:20" ht="51" x14ac:dyDescent="0.25">
      <c r="A4105" s="6">
        <v>4099</v>
      </c>
      <c r="B4105" s="1" t="str">
        <f>"2022-1238"</f>
        <v>2022-1238</v>
      </c>
      <c r="C4105" s="1" t="s">
        <v>3102</v>
      </c>
      <c r="D4105" s="1" t="s">
        <v>2631</v>
      </c>
      <c r="E4105" s="1" t="str">
        <f>""</f>
        <v/>
      </c>
      <c r="F4105" s="1" t="s">
        <v>1860</v>
      </c>
      <c r="G4105" s="1" t="str">
        <f>CONCATENATE(" INVENTA D.O.O.,"," ULICA GRADA VUKOVARA 284,"," 10000 ZAGREB,"," OIB: 99213847706")</f>
        <v xml:space="preserve"> INVENTA D.O.O., ULICA GRADA VUKOVARA 284, 10000 ZAGREB, OIB: 99213847706</v>
      </c>
      <c r="H4105" s="7"/>
      <c r="I4105" s="8" t="s">
        <v>371</v>
      </c>
      <c r="J4105" s="8" t="s">
        <v>2512</v>
      </c>
      <c r="K4105" s="6" t="str">
        <f>"4.500,00"</f>
        <v>4.500,00</v>
      </c>
      <c r="L4105" s="6" t="str">
        <f>"1.125,00"</f>
        <v>1.125,00</v>
      </c>
      <c r="M4105" s="6" t="str">
        <f>"5.625,00"</f>
        <v>5.625,00</v>
      </c>
      <c r="N4105" s="8" t="s">
        <v>53</v>
      </c>
      <c r="O4105" s="7"/>
      <c r="P4105" s="2" t="s">
        <v>6313</v>
      </c>
      <c r="Q4105" s="7"/>
      <c r="R4105" s="1"/>
      <c r="S4105" s="1" t="str">
        <f>"J-UN-2022-537"</f>
        <v>J-UN-2022-537</v>
      </c>
      <c r="T4105" s="1" t="s">
        <v>32</v>
      </c>
    </row>
    <row r="4106" spans="1:20" ht="51" x14ac:dyDescent="0.25">
      <c r="A4106" s="6">
        <v>4100</v>
      </c>
      <c r="B4106" s="1" t="str">
        <f>"2022-488"</f>
        <v>2022-488</v>
      </c>
      <c r="C4106" s="1" t="s">
        <v>2714</v>
      </c>
      <c r="D4106" s="1" t="s">
        <v>619</v>
      </c>
      <c r="E4106" s="1" t="str">
        <f>""</f>
        <v/>
      </c>
      <c r="F4106" s="1" t="s">
        <v>1860</v>
      </c>
      <c r="G4106" s="1" t="str">
        <f>CONCATENATE(" NIACO D.O.O.,"," IVANA KAMENARIĆA 9,"," 10380 SVETI IVAN ZELINA,"," OIB: 61876916009")</f>
        <v xml:space="preserve"> NIACO D.O.O., IVANA KAMENARIĆA 9, 10380 SVETI IVAN ZELINA, OIB: 61876916009</v>
      </c>
      <c r="H4106" s="7"/>
      <c r="I4106" s="8" t="s">
        <v>94</v>
      </c>
      <c r="J4106" s="8" t="s">
        <v>3100</v>
      </c>
      <c r="K4106" s="6" t="str">
        <f>"7.068,00"</f>
        <v>7.068,00</v>
      </c>
      <c r="L4106" s="6" t="str">
        <f>"1.767,00"</f>
        <v>1.767,00</v>
      </c>
      <c r="M4106" s="6" t="str">
        <f>"8.835,00"</f>
        <v>8.835,00</v>
      </c>
      <c r="N4106" s="8" t="s">
        <v>293</v>
      </c>
      <c r="O4106" s="7"/>
      <c r="P4106" s="2" t="s">
        <v>8069</v>
      </c>
      <c r="Q4106" s="7"/>
      <c r="R4106" s="1"/>
      <c r="S4106" s="1" t="str">
        <f>"J-UN-2022-538"</f>
        <v>J-UN-2022-538</v>
      </c>
      <c r="T4106" s="1" t="s">
        <v>32</v>
      </c>
    </row>
    <row r="4107" spans="1:20" ht="63.75" x14ac:dyDescent="0.25">
      <c r="A4107" s="6">
        <v>4101</v>
      </c>
      <c r="B4107" s="1" t="str">
        <f>"2022-101"</f>
        <v>2022-101</v>
      </c>
      <c r="C4107" s="1" t="s">
        <v>2914</v>
      </c>
      <c r="D4107" s="1" t="s">
        <v>2915</v>
      </c>
      <c r="E4107" s="1" t="str">
        <f>""</f>
        <v/>
      </c>
      <c r="F4107" s="1" t="s">
        <v>1860</v>
      </c>
      <c r="G4107" s="1" t="str">
        <f>CONCATENATE(" URIHO - ZAGREB,"," AVENIJA MARINA DRŽIĆA 1,"," 10000 ZAGREB,"," OIB: 77931216562")</f>
        <v xml:space="preserve"> URIHO - ZAGREB, AVENIJA MARINA DRŽIĆA 1, 10000 ZAGREB, OIB: 77931216562</v>
      </c>
      <c r="H4107" s="7"/>
      <c r="I4107" s="8" t="s">
        <v>371</v>
      </c>
      <c r="J4107" s="8" t="s">
        <v>2512</v>
      </c>
      <c r="K4107" s="6" t="str">
        <f>"2.499,10"</f>
        <v>2.499,10</v>
      </c>
      <c r="L4107" s="6" t="str">
        <f>"624,78"</f>
        <v>624,78</v>
      </c>
      <c r="M4107" s="6" t="str">
        <f>"3.123,88"</f>
        <v>3.123,88</v>
      </c>
      <c r="N4107" s="8" t="s">
        <v>291</v>
      </c>
      <c r="O4107" s="7"/>
      <c r="P4107" s="2" t="s">
        <v>8070</v>
      </c>
      <c r="Q4107" s="7"/>
      <c r="R4107" s="1"/>
      <c r="S4107" s="1" t="str">
        <f>"J-UN-2022-539"</f>
        <v>J-UN-2022-539</v>
      </c>
      <c r="T4107" s="1" t="s">
        <v>32</v>
      </c>
    </row>
    <row r="4108" spans="1:20" ht="63.75" x14ac:dyDescent="0.25">
      <c r="A4108" s="6">
        <v>4102</v>
      </c>
      <c r="B4108" s="1" t="str">
        <f>"2022-426"</f>
        <v>2022-426</v>
      </c>
      <c r="C4108" s="1" t="s">
        <v>2833</v>
      </c>
      <c r="D4108" s="1" t="s">
        <v>1962</v>
      </c>
      <c r="E4108" s="1" t="str">
        <f>""</f>
        <v/>
      </c>
      <c r="F4108" s="1" t="s">
        <v>1860</v>
      </c>
      <c r="G4108" s="1" t="str">
        <f>CONCATENATE(" GRA-PO D.O.O.,"," GOSPODARSKA 5B,"," 10255 ZAGREB - STUPNIK,"," OIB: 05364995085")</f>
        <v xml:space="preserve"> GRA-PO D.O.O., GOSPODARSKA 5B, 10255 ZAGREB - STUPNIK, OIB: 05364995085</v>
      </c>
      <c r="H4108" s="7"/>
      <c r="I4108" s="8" t="s">
        <v>371</v>
      </c>
      <c r="J4108" s="8" t="s">
        <v>2512</v>
      </c>
      <c r="K4108" s="6" t="str">
        <f>"21.997,00"</f>
        <v>21.997,00</v>
      </c>
      <c r="L4108" s="6" t="str">
        <f>"5.499,25"</f>
        <v>5.499,25</v>
      </c>
      <c r="M4108" s="6" t="str">
        <f>"27.496,25"</f>
        <v>27.496,25</v>
      </c>
      <c r="N4108" s="8" t="s">
        <v>1119</v>
      </c>
      <c r="O4108" s="7"/>
      <c r="P4108" s="2" t="s">
        <v>8071</v>
      </c>
      <c r="Q4108" s="7"/>
      <c r="R4108" s="1"/>
      <c r="S4108" s="1" t="str">
        <f>"J-UN-2022-540"</f>
        <v>J-UN-2022-540</v>
      </c>
      <c r="T4108" s="1" t="s">
        <v>32</v>
      </c>
    </row>
    <row r="4109" spans="1:20" ht="63.75" x14ac:dyDescent="0.25">
      <c r="A4109" s="6">
        <v>4103</v>
      </c>
      <c r="B4109" s="1" t="str">
        <f>"2022-459"</f>
        <v>2022-459</v>
      </c>
      <c r="C4109" s="1" t="s">
        <v>2795</v>
      </c>
      <c r="D4109" s="1" t="s">
        <v>1619</v>
      </c>
      <c r="E4109" s="1" t="str">
        <f>""</f>
        <v/>
      </c>
      <c r="F4109" s="1" t="s">
        <v>1860</v>
      </c>
      <c r="G4109" s="1" t="str">
        <f>CONCATENATE(" GRA-PO D.O.O.,"," GOSPODARSKA 5B,"," 10255 ZAGREB - STUPNIK,"," OIB: 05364995085")</f>
        <v xml:space="preserve"> GRA-PO D.O.O., GOSPODARSKA 5B, 10255 ZAGREB - STUPNIK, OIB: 05364995085</v>
      </c>
      <c r="H4109" s="7"/>
      <c r="I4109" s="8" t="s">
        <v>371</v>
      </c>
      <c r="J4109" s="8" t="s">
        <v>2512</v>
      </c>
      <c r="K4109" s="6" t="str">
        <f>"5.610,00"</f>
        <v>5.610,00</v>
      </c>
      <c r="L4109" s="6" t="str">
        <f>"1.402,50"</f>
        <v>1.402,50</v>
      </c>
      <c r="M4109" s="6" t="str">
        <f>"7.012,50"</f>
        <v>7.012,50</v>
      </c>
      <c r="N4109" s="8" t="s">
        <v>500</v>
      </c>
      <c r="O4109" s="7"/>
      <c r="P4109" s="2" t="s">
        <v>8072</v>
      </c>
      <c r="Q4109" s="7"/>
      <c r="R4109" s="1"/>
      <c r="S4109" s="1" t="str">
        <f>"J-UN-2022-541"</f>
        <v>J-UN-2022-541</v>
      </c>
      <c r="T4109" s="1" t="s">
        <v>32</v>
      </c>
    </row>
    <row r="4110" spans="1:20" ht="51" x14ac:dyDescent="0.25">
      <c r="A4110" s="6">
        <v>4104</v>
      </c>
      <c r="B4110" s="1" t="str">
        <f>"2022-95"</f>
        <v>2022-95</v>
      </c>
      <c r="C4110" s="1" t="s">
        <v>2761</v>
      </c>
      <c r="D4110" s="1" t="s">
        <v>2762</v>
      </c>
      <c r="E4110" s="1" t="str">
        <f>""</f>
        <v/>
      </c>
      <c r="F4110" s="1" t="s">
        <v>1860</v>
      </c>
      <c r="G4110" s="1" t="str">
        <f>CONCATENATE(" SPEKTAR J.D.O.O.,"," MIGALOVICA 17A,"," 22211 VODICE,"," OIB: 40288365972")</f>
        <v xml:space="preserve"> SPEKTAR J.D.O.O., MIGALOVICA 17A, 22211 VODICE, OIB: 40288365972</v>
      </c>
      <c r="H4110" s="7"/>
      <c r="I4110" s="8" t="s">
        <v>500</v>
      </c>
      <c r="J4110" s="8" t="s">
        <v>3092</v>
      </c>
      <c r="K4110" s="6" t="str">
        <f>"11.587,50"</f>
        <v>11.587,50</v>
      </c>
      <c r="L4110" s="6" t="str">
        <f>"2.896,88"</f>
        <v>2.896,88</v>
      </c>
      <c r="M4110" s="6" t="str">
        <f>"14.484,38"</f>
        <v>14.484,38</v>
      </c>
      <c r="N4110" s="8" t="s">
        <v>403</v>
      </c>
      <c r="O4110" s="7"/>
      <c r="P4110" s="2" t="s">
        <v>8073</v>
      </c>
      <c r="Q4110" s="7"/>
      <c r="R4110" s="1"/>
      <c r="S4110" s="1" t="str">
        <f>"J-UN-2022-543"</f>
        <v>J-UN-2022-543</v>
      </c>
      <c r="T4110" s="1" t="s">
        <v>32</v>
      </c>
    </row>
    <row r="4111" spans="1:20" ht="63.75" x14ac:dyDescent="0.25">
      <c r="A4111" s="6">
        <v>4105</v>
      </c>
      <c r="B4111" s="1" t="str">
        <f>"2022-41"</f>
        <v>2022-41</v>
      </c>
      <c r="C4111" s="1" t="s">
        <v>2323</v>
      </c>
      <c r="D4111" s="1" t="s">
        <v>2324</v>
      </c>
      <c r="E4111" s="1" t="str">
        <f>""</f>
        <v/>
      </c>
      <c r="F4111" s="1" t="s">
        <v>1860</v>
      </c>
      <c r="G4111" s="1" t="str">
        <f>CONCATENATE(" PREHRAMBENA INDUSTRIJA VINDIJA D.D.,"," MEĐIMURSKA 6,"," 42000 VARAŽDIN,"," OIB: 44138062462")</f>
        <v xml:space="preserve"> PREHRAMBENA INDUSTRIJA VINDIJA D.D., MEĐIMURSKA 6, 42000 VARAŽDIN, OIB: 44138062462</v>
      </c>
      <c r="H4111" s="7"/>
      <c r="I4111" s="8" t="s">
        <v>920</v>
      </c>
      <c r="J4111" s="8" t="s">
        <v>3103</v>
      </c>
      <c r="K4111" s="6" t="str">
        <f>"9.900,00"</f>
        <v>9.900,00</v>
      </c>
      <c r="L4111" s="6" t="str">
        <f>"2.475,00"</f>
        <v>2.475,00</v>
      </c>
      <c r="M4111" s="6" t="str">
        <f>"12.375,00"</f>
        <v>12.375,00</v>
      </c>
      <c r="N4111" s="8" t="s">
        <v>124</v>
      </c>
      <c r="O4111" s="7"/>
      <c r="P4111" s="2" t="s">
        <v>8074</v>
      </c>
      <c r="Q4111" s="7"/>
      <c r="R4111" s="1"/>
      <c r="S4111" s="1" t="str">
        <f>"J-UN-2022-544"</f>
        <v>J-UN-2022-544</v>
      </c>
      <c r="T4111" s="1" t="s">
        <v>32</v>
      </c>
    </row>
    <row r="4112" spans="1:20" ht="51" x14ac:dyDescent="0.25">
      <c r="A4112" s="6">
        <v>4106</v>
      </c>
      <c r="B4112" s="1" t="str">
        <f>"2022-40"</f>
        <v>2022-40</v>
      </c>
      <c r="C4112" s="1" t="s">
        <v>2317</v>
      </c>
      <c r="D4112" s="1" t="s">
        <v>837</v>
      </c>
      <c r="E4112" s="1" t="str">
        <f>""</f>
        <v/>
      </c>
      <c r="F4112" s="1" t="s">
        <v>1860</v>
      </c>
      <c r="G4112" s="1" t="str">
        <f>CONCATENATE(" ROTO DINAMIC D.O.O.,"," ULICA GRADA WIRGESA 14,"," 10430 SAMOBOR,"," OIB: 24723122482")</f>
        <v xml:space="preserve"> ROTO DINAMIC D.O.O., ULICA GRADA WIRGESA 14, 10430 SAMOBOR, OIB: 24723122482</v>
      </c>
      <c r="H4112" s="7"/>
      <c r="I4112" s="8" t="s">
        <v>920</v>
      </c>
      <c r="J4112" s="8" t="s">
        <v>3103</v>
      </c>
      <c r="K4112" s="6" t="str">
        <f>"819,84"</f>
        <v>819,84</v>
      </c>
      <c r="L4112" s="6" t="str">
        <f>"204,96"</f>
        <v>204,96</v>
      </c>
      <c r="M4112" s="6" t="str">
        <f>"1.024,80"</f>
        <v>1.024,80</v>
      </c>
      <c r="N4112" s="8" t="s">
        <v>124</v>
      </c>
      <c r="O4112" s="7"/>
      <c r="P4112" s="2" t="s">
        <v>5614</v>
      </c>
      <c r="Q4112" s="7"/>
      <c r="R4112" s="1"/>
      <c r="S4112" s="1" t="str">
        <f>"J-UN-2022-545"</f>
        <v>J-UN-2022-545</v>
      </c>
      <c r="T4112" s="1" t="s">
        <v>32</v>
      </c>
    </row>
    <row r="4113" spans="1:20" ht="63.75" x14ac:dyDescent="0.25">
      <c r="A4113" s="6">
        <v>4107</v>
      </c>
      <c r="B4113" s="1" t="str">
        <f>"2022-909"</f>
        <v>2022-909</v>
      </c>
      <c r="C4113" s="1" t="s">
        <v>2718</v>
      </c>
      <c r="D4113" s="1" t="s">
        <v>1102</v>
      </c>
      <c r="E4113" s="1" t="str">
        <f>""</f>
        <v/>
      </c>
      <c r="F4113" s="1" t="s">
        <v>1860</v>
      </c>
      <c r="G4113" s="1" t="str">
        <f>CONCATENATE(" ADEO d.o.o. Osijek,"," ULICA KRALJA TOMISLAVA 81,"," 31327 BILJE,"," OIB: 6242811405")</f>
        <v xml:space="preserve"> ADEO d.o.o. Osijek, ULICA KRALJA TOMISLAVA 81, 31327 BILJE, OIB: 6242811405</v>
      </c>
      <c r="H4113" s="7"/>
      <c r="I4113" s="8" t="s">
        <v>400</v>
      </c>
      <c r="J4113" s="8" t="s">
        <v>3096</v>
      </c>
      <c r="K4113" s="6" t="str">
        <f>"1.972,00"</f>
        <v>1.972,00</v>
      </c>
      <c r="L4113" s="6" t="str">
        <f>"493,00"</f>
        <v>493,00</v>
      </c>
      <c r="M4113" s="6" t="str">
        <f>"2.465,00"</f>
        <v>2.465,00</v>
      </c>
      <c r="N4113" s="8" t="s">
        <v>354</v>
      </c>
      <c r="O4113" s="7"/>
      <c r="P4113" s="2" t="s">
        <v>8075</v>
      </c>
      <c r="Q4113" s="7"/>
      <c r="R4113" s="1"/>
      <c r="S4113" s="1" t="str">
        <f>"J-UN-2022-546"</f>
        <v>J-UN-2022-546</v>
      </c>
      <c r="T4113" s="1" t="s">
        <v>32</v>
      </c>
    </row>
    <row r="4114" spans="1:20" ht="51" x14ac:dyDescent="0.25">
      <c r="A4114" s="6">
        <v>4108</v>
      </c>
      <c r="B4114" s="1" t="str">
        <f>"2022-711"</f>
        <v>2022-711</v>
      </c>
      <c r="C4114" s="1" t="s">
        <v>2956</v>
      </c>
      <c r="D4114" s="1" t="s">
        <v>815</v>
      </c>
      <c r="E4114" s="1" t="str">
        <f>""</f>
        <v/>
      </c>
      <c r="F4114" s="1" t="s">
        <v>1860</v>
      </c>
      <c r="G4114" s="1" t="str">
        <f>CONCATENATE(" MIGRAL D.O.O.,"," RUJANSKA 1,"," 10000 ZAGREB,"," OIB: 957173045")</f>
        <v xml:space="preserve"> MIGRAL D.O.O., RUJANSKA 1, 10000 ZAGREB, OIB: 957173045</v>
      </c>
      <c r="H4114" s="7"/>
      <c r="I4114" s="8" t="s">
        <v>296</v>
      </c>
      <c r="J4114" s="8" t="s">
        <v>3094</v>
      </c>
      <c r="K4114" s="6" t="str">
        <f>"19.808,80"</f>
        <v>19.808,80</v>
      </c>
      <c r="L4114" s="6" t="str">
        <f>"4.952,20"</f>
        <v>4.952,20</v>
      </c>
      <c r="M4114" s="6" t="str">
        <f>"24.761,00"</f>
        <v>24.761,00</v>
      </c>
      <c r="N4114" s="8" t="s">
        <v>94</v>
      </c>
      <c r="O4114" s="7"/>
      <c r="P4114" s="2" t="s">
        <v>8076</v>
      </c>
      <c r="Q4114" s="7"/>
      <c r="R4114" s="1"/>
      <c r="S4114" s="1" t="str">
        <f>"J-UN-2022-547"</f>
        <v>J-UN-2022-547</v>
      </c>
      <c r="T4114" s="1" t="s">
        <v>32</v>
      </c>
    </row>
    <row r="4115" spans="1:20" ht="51" x14ac:dyDescent="0.25">
      <c r="A4115" s="6">
        <v>4109</v>
      </c>
      <c r="B4115" s="1" t="str">
        <f>"2022-252"</f>
        <v>2022-252</v>
      </c>
      <c r="C4115" s="1" t="s">
        <v>3104</v>
      </c>
      <c r="D4115" s="1" t="s">
        <v>2838</v>
      </c>
      <c r="E4115" s="1" t="str">
        <f>""</f>
        <v/>
      </c>
      <c r="F4115" s="1" t="s">
        <v>1860</v>
      </c>
      <c r="G4115" s="1" t="str">
        <f>CONCATENATE(" RO-TEHNOLOGIJA D.O.O.,"," NOVA CESTA 86,"," 51410 OPATIJA,"," OIB: 94757004774")</f>
        <v xml:space="preserve"> RO-TEHNOLOGIJA D.O.O., NOVA CESTA 86, 51410 OPATIJA, OIB: 94757004774</v>
      </c>
      <c r="H4115" s="7"/>
      <c r="I4115" s="8" t="s">
        <v>856</v>
      </c>
      <c r="J4115" s="8" t="s">
        <v>2169</v>
      </c>
      <c r="K4115" s="6" t="str">
        <f>"6.400,00"</f>
        <v>6.400,00</v>
      </c>
      <c r="L4115" s="6" t="str">
        <f>"1.600,00"</f>
        <v>1.600,00</v>
      </c>
      <c r="M4115" s="6" t="str">
        <f>"8.000,00"</f>
        <v>8.000,00</v>
      </c>
      <c r="N4115" s="8" t="s">
        <v>224</v>
      </c>
      <c r="O4115" s="7"/>
      <c r="P4115" s="2" t="s">
        <v>7782</v>
      </c>
      <c r="Q4115" s="7"/>
      <c r="R4115" s="1"/>
      <c r="S4115" s="1" t="str">
        <f>"J-UN-2022-548"</f>
        <v>J-UN-2022-548</v>
      </c>
      <c r="T4115" s="1" t="s">
        <v>32</v>
      </c>
    </row>
    <row r="4116" spans="1:20" ht="51" x14ac:dyDescent="0.25">
      <c r="A4116" s="6">
        <v>4110</v>
      </c>
      <c r="B4116" s="1" t="str">
        <f>"2022-503"</f>
        <v>2022-503</v>
      </c>
      <c r="C4116" s="1" t="s">
        <v>2699</v>
      </c>
      <c r="D4116" s="1" t="s">
        <v>1888</v>
      </c>
      <c r="E4116" s="1" t="str">
        <f>""</f>
        <v/>
      </c>
      <c r="F4116" s="1" t="s">
        <v>1860</v>
      </c>
      <c r="G4116" s="1" t="str">
        <f>CONCATENATE(" CIAK TOOLS D.O.O.,"," KOVINSKA 4,"," 10090 ZAGREB-SUSEDGRAD,"," OIB: 26004523816")</f>
        <v xml:space="preserve"> CIAK TOOLS D.O.O., KOVINSKA 4, 10090 ZAGREB-SUSEDGRAD, OIB: 26004523816</v>
      </c>
      <c r="H4116" s="7"/>
      <c r="I4116" s="8" t="s">
        <v>856</v>
      </c>
      <c r="J4116" s="8" t="s">
        <v>2169</v>
      </c>
      <c r="K4116" s="6" t="str">
        <f>"500,40"</f>
        <v>500,40</v>
      </c>
      <c r="L4116" s="6" t="str">
        <f>"125,10"</f>
        <v>125,10</v>
      </c>
      <c r="M4116" s="6" t="str">
        <f>"625,50"</f>
        <v>625,50</v>
      </c>
      <c r="N4116" s="8" t="s">
        <v>405</v>
      </c>
      <c r="O4116" s="7"/>
      <c r="P4116" s="2" t="s">
        <v>8077</v>
      </c>
      <c r="Q4116" s="1" t="s">
        <v>5601</v>
      </c>
      <c r="R4116" s="1"/>
      <c r="S4116" s="1" t="str">
        <f>"J-UN-2022-550"</f>
        <v>J-UN-2022-550</v>
      </c>
      <c r="T4116" s="1" t="s">
        <v>32</v>
      </c>
    </row>
    <row r="4117" spans="1:20" ht="51" x14ac:dyDescent="0.25">
      <c r="A4117" s="6">
        <v>4111</v>
      </c>
      <c r="B4117" s="1" t="str">
        <f>"2022-710"</f>
        <v>2022-710</v>
      </c>
      <c r="C4117" s="1" t="s">
        <v>2782</v>
      </c>
      <c r="D4117" s="1" t="s">
        <v>815</v>
      </c>
      <c r="E4117" s="1" t="str">
        <f>""</f>
        <v/>
      </c>
      <c r="F4117" s="1" t="s">
        <v>1860</v>
      </c>
      <c r="G4117" s="1" t="str">
        <f>CONCATENATE(" LAGER BAŠIĆ D.O.O.,"," TRGOVAČKA 3,"," 10255 DONJI STUPNIK,"," OIB: 49617677906")</f>
        <v xml:space="preserve"> LAGER BAŠIĆ D.O.O., TRGOVAČKA 3, 10255 DONJI STUPNIK, OIB: 49617677906</v>
      </c>
      <c r="H4117" s="7"/>
      <c r="I4117" s="8" t="s">
        <v>855</v>
      </c>
      <c r="J4117" s="8" t="s">
        <v>3105</v>
      </c>
      <c r="K4117" s="6" t="str">
        <f>"5.636,00"</f>
        <v>5.636,00</v>
      </c>
      <c r="L4117" s="6" t="str">
        <f>"1.409,00"</f>
        <v>1.409,00</v>
      </c>
      <c r="M4117" s="6" t="str">
        <f>"7.045,00"</f>
        <v>7.045,00</v>
      </c>
      <c r="N4117" s="8" t="s">
        <v>124</v>
      </c>
      <c r="O4117" s="7"/>
      <c r="P4117" s="2" t="s">
        <v>8078</v>
      </c>
      <c r="Q4117" s="7"/>
      <c r="R4117" s="1"/>
      <c r="S4117" s="1" t="str">
        <f>"J-UN-2022-551"</f>
        <v>J-UN-2022-551</v>
      </c>
      <c r="T4117" s="1" t="s">
        <v>32</v>
      </c>
    </row>
    <row r="4118" spans="1:20" ht="63.75" x14ac:dyDescent="0.25">
      <c r="A4118" s="6">
        <v>4112</v>
      </c>
      <c r="B4118" s="1" t="str">
        <f>"2022-947"</f>
        <v>2022-947</v>
      </c>
      <c r="C4118" s="1" t="s">
        <v>3106</v>
      </c>
      <c r="D4118" s="1" t="s">
        <v>1150</v>
      </c>
      <c r="E4118" s="1" t="str">
        <f>""</f>
        <v/>
      </c>
      <c r="F4118" s="1" t="s">
        <v>1860</v>
      </c>
      <c r="G4118" s="1" t="str">
        <f>CONCATENATE(" VODOOPSKRBA I ODVODNJA D.O.O.,"," FOLNEGOVIĆEVA 1B,"," 10000 ZAGREB,"," OIB: 83416546499")</f>
        <v xml:space="preserve"> VODOOPSKRBA I ODVODNJA D.O.O., FOLNEGOVIĆEVA 1B, 10000 ZAGREB, OIB: 83416546499</v>
      </c>
      <c r="H4118" s="7"/>
      <c r="I4118" s="8" t="s">
        <v>296</v>
      </c>
      <c r="J4118" s="8" t="s">
        <v>3094</v>
      </c>
      <c r="K4118" s="6" t="str">
        <f>"48.000,00"</f>
        <v>48.000,00</v>
      </c>
      <c r="L4118" s="6" t="str">
        <f>"12.000,00"</f>
        <v>12.000,00</v>
      </c>
      <c r="M4118" s="6" t="str">
        <f>"60.000,00"</f>
        <v>60.000,00</v>
      </c>
      <c r="N4118" s="8" t="s">
        <v>124</v>
      </c>
      <c r="O4118" s="7"/>
      <c r="P4118" s="2" t="s">
        <v>5614</v>
      </c>
      <c r="Q4118" s="7"/>
      <c r="R4118" s="1"/>
      <c r="S4118" s="1" t="str">
        <f>"J-UN-2022-552"</f>
        <v>J-UN-2022-552</v>
      </c>
      <c r="T4118" s="1" t="s">
        <v>32</v>
      </c>
    </row>
    <row r="4119" spans="1:20" ht="51" x14ac:dyDescent="0.25">
      <c r="A4119" s="6">
        <v>4113</v>
      </c>
      <c r="B4119" s="1" t="str">
        <f>"2022-600"</f>
        <v>2022-600</v>
      </c>
      <c r="C4119" s="1" t="s">
        <v>2817</v>
      </c>
      <c r="D4119" s="1" t="s">
        <v>2818</v>
      </c>
      <c r="E4119" s="1" t="str">
        <f>""</f>
        <v/>
      </c>
      <c r="F4119" s="1" t="s">
        <v>1860</v>
      </c>
      <c r="G4119" s="1" t="str">
        <f>CONCATENATE(" CIAK TOOLS D.O.O.,"," KOVINSKA 4,"," 10090 ZAGREB-SUSEDGRAD,"," OIB: 26004523816")</f>
        <v xml:space="preserve"> CIAK TOOLS D.O.O., KOVINSKA 4, 10090 ZAGREB-SUSEDGRAD, OIB: 26004523816</v>
      </c>
      <c r="H4119" s="7"/>
      <c r="I4119" s="8" t="s">
        <v>855</v>
      </c>
      <c r="J4119" s="8" t="s">
        <v>3105</v>
      </c>
      <c r="K4119" s="6" t="str">
        <f>"2.021,00"</f>
        <v>2.021,00</v>
      </c>
      <c r="L4119" s="6" t="str">
        <f>"505,25"</f>
        <v>505,25</v>
      </c>
      <c r="M4119" s="6" t="str">
        <f>"2.526,25"</f>
        <v>2.526,25</v>
      </c>
      <c r="N4119" s="8" t="s">
        <v>607</v>
      </c>
      <c r="O4119" s="7"/>
      <c r="P4119" s="2" t="s">
        <v>7699</v>
      </c>
      <c r="Q4119" s="7"/>
      <c r="R4119" s="1"/>
      <c r="S4119" s="1" t="str">
        <f>"J-UN-2022-553"</f>
        <v>J-UN-2022-553</v>
      </c>
      <c r="T4119" s="1" t="s">
        <v>32</v>
      </c>
    </row>
    <row r="4120" spans="1:20" ht="51" x14ac:dyDescent="0.25">
      <c r="A4120" s="6">
        <v>4114</v>
      </c>
      <c r="B4120" s="1" t="str">
        <f>"2022-1006"</f>
        <v>2022-1006</v>
      </c>
      <c r="C4120" s="1" t="s">
        <v>2618</v>
      </c>
      <c r="D4120" s="1" t="s">
        <v>2619</v>
      </c>
      <c r="E4120" s="1" t="str">
        <f>""</f>
        <v/>
      </c>
      <c r="F4120" s="1" t="s">
        <v>1860</v>
      </c>
      <c r="G4120" s="1" t="str">
        <f>CONCATENATE(" TRA-MONT D.O.O.,"," MILIVOJA MATOŠECA 5,"," 10000 ZAGREB,"," OIB: 05336208843")</f>
        <v xml:space="preserve"> TRA-MONT D.O.O., MILIVOJA MATOŠECA 5, 10000 ZAGREB, OIB: 05336208843</v>
      </c>
      <c r="H4120" s="7"/>
      <c r="I4120" s="8" t="s">
        <v>855</v>
      </c>
      <c r="J4120" s="8" t="s">
        <v>3105</v>
      </c>
      <c r="K4120" s="6" t="str">
        <f>"5.828,00"</f>
        <v>5.828,00</v>
      </c>
      <c r="L4120" s="6" t="str">
        <f>"1.457,00"</f>
        <v>1.457,00</v>
      </c>
      <c r="M4120" s="6" t="str">
        <f>"7.285,00"</f>
        <v>7.285,00</v>
      </c>
      <c r="N4120" s="8" t="s">
        <v>247</v>
      </c>
      <c r="O4120" s="7"/>
      <c r="P4120" s="2" t="s">
        <v>8079</v>
      </c>
      <c r="Q4120" s="7"/>
      <c r="R4120" s="1"/>
      <c r="S4120" s="1" t="str">
        <f>"J-UN-2022-554"</f>
        <v>J-UN-2022-554</v>
      </c>
      <c r="T4120" s="1" t="s">
        <v>32</v>
      </c>
    </row>
    <row r="4121" spans="1:20" ht="63.75" x14ac:dyDescent="0.25">
      <c r="A4121" s="6">
        <v>4115</v>
      </c>
      <c r="B4121" s="1" t="str">
        <f>"2022-276"</f>
        <v>2022-276</v>
      </c>
      <c r="C4121" s="1" t="s">
        <v>2726</v>
      </c>
      <c r="D4121" s="1" t="s">
        <v>689</v>
      </c>
      <c r="E4121" s="1" t="str">
        <f>""</f>
        <v/>
      </c>
      <c r="F4121" s="1" t="s">
        <v>1860</v>
      </c>
      <c r="G4121" s="1" t="str">
        <f>CONCATENATE(" DRAVA INTERNATIONAL D.O.O.,"," STJEPANA RADIĆA 15,"," 31000 OSIJEK,"," OIB: 40223379376")</f>
        <v xml:space="preserve"> DRAVA INTERNATIONAL D.O.O., STJEPANA RADIĆA 15, 31000 OSIJEK, OIB: 40223379376</v>
      </c>
      <c r="H4121" s="7"/>
      <c r="I4121" s="8" t="s">
        <v>855</v>
      </c>
      <c r="J4121" s="8" t="s">
        <v>3105</v>
      </c>
      <c r="K4121" s="6" t="str">
        <f>"54.460,00"</f>
        <v>54.460,00</v>
      </c>
      <c r="L4121" s="6" t="str">
        <f>"13.615,00"</f>
        <v>13.615,00</v>
      </c>
      <c r="M4121" s="6" t="str">
        <f>"68.075,00"</f>
        <v>68.075,00</v>
      </c>
      <c r="N4121" s="8" t="s">
        <v>293</v>
      </c>
      <c r="O4121" s="7"/>
      <c r="P4121" s="2" t="s">
        <v>8080</v>
      </c>
      <c r="Q4121" s="7"/>
      <c r="R4121" s="1"/>
      <c r="S4121" s="1" t="str">
        <f>"J-UN-2022-555"</f>
        <v>J-UN-2022-555</v>
      </c>
      <c r="T4121" s="1" t="s">
        <v>32</v>
      </c>
    </row>
    <row r="4122" spans="1:20" ht="51" x14ac:dyDescent="0.25">
      <c r="A4122" s="6">
        <v>4116</v>
      </c>
      <c r="B4122" s="1" t="str">
        <f>"2022-715"</f>
        <v>2022-715</v>
      </c>
      <c r="C4122" s="1" t="s">
        <v>2733</v>
      </c>
      <c r="D4122" s="1" t="s">
        <v>914</v>
      </c>
      <c r="E4122" s="1" t="str">
        <f>""</f>
        <v/>
      </c>
      <c r="F4122" s="1" t="s">
        <v>1860</v>
      </c>
      <c r="G4122" s="1" t="str">
        <f>CONCATENATE(" AUTOMEHANIKA D.D.,"," KOVINSKA 4,"," 10000 ZAGREB,"," OIB: 5223317126")</f>
        <v xml:space="preserve"> AUTOMEHANIKA D.D., KOVINSKA 4, 10000 ZAGREB, OIB: 5223317126</v>
      </c>
      <c r="H4122" s="7"/>
      <c r="I4122" s="8" t="s">
        <v>94</v>
      </c>
      <c r="J4122" s="8" t="s">
        <v>3100</v>
      </c>
      <c r="K4122" s="6" t="str">
        <f>"29.505,55"</f>
        <v>29.505,55</v>
      </c>
      <c r="L4122" s="6" t="str">
        <f>"7.376,39"</f>
        <v>7.376,39</v>
      </c>
      <c r="M4122" s="6" t="str">
        <f>"36.881,94"</f>
        <v>36.881,94</v>
      </c>
      <c r="N4122" s="8" t="s">
        <v>293</v>
      </c>
      <c r="O4122" s="7"/>
      <c r="P4122" s="2" t="s">
        <v>8081</v>
      </c>
      <c r="Q4122" s="7"/>
      <c r="R4122" s="1"/>
      <c r="S4122" s="1" t="str">
        <f>"J-UN-2022-558"</f>
        <v>J-UN-2022-558</v>
      </c>
      <c r="T4122" s="1" t="s">
        <v>32</v>
      </c>
    </row>
    <row r="4123" spans="1:20" ht="51" x14ac:dyDescent="0.25">
      <c r="A4123" s="6">
        <v>4117</v>
      </c>
      <c r="B4123" s="1" t="str">
        <f>"2022-1308"</f>
        <v>2022-1308</v>
      </c>
      <c r="C4123" s="1" t="s">
        <v>2639</v>
      </c>
      <c r="D4123" s="1" t="s">
        <v>2640</v>
      </c>
      <c r="E4123" s="1" t="str">
        <f>""</f>
        <v/>
      </c>
      <c r="F4123" s="1" t="s">
        <v>1860</v>
      </c>
      <c r="G4123" s="1" t="str">
        <f>CONCATENATE(" IM PHOTO,"," FOLNEGOVIĆEVA 6C,"," 10000 ZAGREB,"," OIB: 9842567863")</f>
        <v xml:space="preserve"> IM PHOTO, FOLNEGOVIĆEVA 6C, 10000 ZAGREB, OIB: 9842567863</v>
      </c>
      <c r="H4123" s="7"/>
      <c r="I4123" s="8" t="s">
        <v>94</v>
      </c>
      <c r="J4123" s="8" t="s">
        <v>3100</v>
      </c>
      <c r="K4123" s="6" t="str">
        <f>"9.000,00"</f>
        <v>9.000,00</v>
      </c>
      <c r="L4123" s="6" t="str">
        <f>"2.250,00"</f>
        <v>2.250,00</v>
      </c>
      <c r="M4123" s="6" t="str">
        <f>"11.250,00"</f>
        <v>11.250,00</v>
      </c>
      <c r="N4123" s="8" t="s">
        <v>124</v>
      </c>
      <c r="O4123" s="7"/>
      <c r="P4123" s="2" t="s">
        <v>5614</v>
      </c>
      <c r="Q4123" s="7"/>
      <c r="R4123" s="1"/>
      <c r="S4123" s="1" t="str">
        <f>"J-UN-2022-559"</f>
        <v>J-UN-2022-559</v>
      </c>
      <c r="T4123" s="1" t="s">
        <v>32</v>
      </c>
    </row>
    <row r="4124" spans="1:20" ht="51" x14ac:dyDescent="0.25">
      <c r="A4124" s="6">
        <v>4118</v>
      </c>
      <c r="B4124" s="1" t="str">
        <f>"2022-825"</f>
        <v>2022-825</v>
      </c>
      <c r="C4124" s="1" t="s">
        <v>2492</v>
      </c>
      <c r="D4124" s="1" t="s">
        <v>2493</v>
      </c>
      <c r="E4124" s="1" t="str">
        <f>""</f>
        <v/>
      </c>
      <c r="F4124" s="1" t="s">
        <v>1860</v>
      </c>
      <c r="G4124" s="1" t="str">
        <f>CONCATENATE(" STAR IMPORT D.O.O.,"," KOVINSKA 5,"," 10090 ZAGREB-SUSEDGRAD,"," OIB: 783122799")</f>
        <v xml:space="preserve"> STAR IMPORT D.O.O., KOVINSKA 5, 10090 ZAGREB-SUSEDGRAD, OIB: 783122799</v>
      </c>
      <c r="H4124" s="7"/>
      <c r="I4124" s="8" t="s">
        <v>855</v>
      </c>
      <c r="J4124" s="8" t="s">
        <v>3105</v>
      </c>
      <c r="K4124" s="6" t="str">
        <f>"2.163,12"</f>
        <v>2.163,12</v>
      </c>
      <c r="L4124" s="6" t="str">
        <f>"540,78"</f>
        <v>540,78</v>
      </c>
      <c r="M4124" s="6" t="str">
        <f>"2.703,90"</f>
        <v>2.703,90</v>
      </c>
      <c r="N4124" s="8" t="s">
        <v>1612</v>
      </c>
      <c r="O4124" s="7"/>
      <c r="P4124" s="2" t="s">
        <v>8082</v>
      </c>
      <c r="Q4124" s="7"/>
      <c r="R4124" s="1"/>
      <c r="S4124" s="1" t="str">
        <f>"J-UN-2022-560"</f>
        <v>J-UN-2022-560</v>
      </c>
      <c r="T4124" s="1" t="s">
        <v>32</v>
      </c>
    </row>
    <row r="4125" spans="1:20" ht="51" x14ac:dyDescent="0.25">
      <c r="A4125" s="6">
        <v>4119</v>
      </c>
      <c r="B4125" s="1" t="str">
        <f>"2022-491"</f>
        <v>2022-491</v>
      </c>
      <c r="C4125" s="1" t="s">
        <v>2626</v>
      </c>
      <c r="D4125" s="1" t="s">
        <v>2627</v>
      </c>
      <c r="E4125" s="1" t="str">
        <f>""</f>
        <v/>
      </c>
      <c r="F4125" s="1" t="s">
        <v>1860</v>
      </c>
      <c r="G4125" s="1" t="str">
        <f>CONCATENATE(" RIMOS D.O.O.,"," LAGINJINA 6C,"," 10000 ZAGREB,"," OIB: 14998834808")</f>
        <v xml:space="preserve"> RIMOS D.O.O., LAGINJINA 6C, 10000 ZAGREB, OIB: 14998834808</v>
      </c>
      <c r="H4125" s="7"/>
      <c r="I4125" s="8" t="s">
        <v>296</v>
      </c>
      <c r="J4125" s="8" t="s">
        <v>3094</v>
      </c>
      <c r="K4125" s="6" t="str">
        <f>"5.080,00"</f>
        <v>5.080,00</v>
      </c>
      <c r="L4125" s="6" t="str">
        <f>"1.270,00"</f>
        <v>1.270,00</v>
      </c>
      <c r="M4125" s="6" t="str">
        <f>"6.350,00"</f>
        <v>6.350,00</v>
      </c>
      <c r="N4125" s="8" t="s">
        <v>250</v>
      </c>
      <c r="O4125" s="7"/>
      <c r="P4125" s="2" t="s">
        <v>8083</v>
      </c>
      <c r="Q4125" s="7"/>
      <c r="R4125" s="1"/>
      <c r="S4125" s="1" t="str">
        <f>"J-UN-2022-561"</f>
        <v>J-UN-2022-561</v>
      </c>
      <c r="T4125" s="1" t="s">
        <v>32</v>
      </c>
    </row>
    <row r="4126" spans="1:20" ht="51" x14ac:dyDescent="0.25">
      <c r="A4126" s="6">
        <v>4120</v>
      </c>
      <c r="B4126" s="1" t="str">
        <f>"2022-825"</f>
        <v>2022-825</v>
      </c>
      <c r="C4126" s="1" t="s">
        <v>2492</v>
      </c>
      <c r="D4126" s="1" t="s">
        <v>2493</v>
      </c>
      <c r="E4126" s="1" t="str">
        <f>""</f>
        <v/>
      </c>
      <c r="F4126" s="1" t="s">
        <v>1860</v>
      </c>
      <c r="G4126" s="1" t="str">
        <f>CONCATENATE(" STAR IMPORT D.O.O.,"," KOVINSKA 5,"," 10090 ZAGREB-SUSEDGRAD,"," OIB: 783122799")</f>
        <v xml:space="preserve"> STAR IMPORT D.O.O., KOVINSKA 5, 10090 ZAGREB-SUSEDGRAD, OIB: 783122799</v>
      </c>
      <c r="H4126" s="7"/>
      <c r="I4126" s="8" t="s">
        <v>855</v>
      </c>
      <c r="J4126" s="8" t="s">
        <v>3105</v>
      </c>
      <c r="K4126" s="6" t="str">
        <f>"2.970,90"</f>
        <v>2.970,90</v>
      </c>
      <c r="L4126" s="6" t="str">
        <f>"742,73"</f>
        <v>742,73</v>
      </c>
      <c r="M4126" s="6" t="str">
        <f>"3.713,63"</f>
        <v>3.713,63</v>
      </c>
      <c r="N4126" s="8" t="s">
        <v>124</v>
      </c>
      <c r="O4126" s="7"/>
      <c r="P4126" s="2" t="s">
        <v>5614</v>
      </c>
      <c r="Q4126" s="7"/>
      <c r="R4126" s="1"/>
      <c r="S4126" s="1" t="str">
        <f>"J-UN-2022-562"</f>
        <v>J-UN-2022-562</v>
      </c>
      <c r="T4126" s="1" t="s">
        <v>32</v>
      </c>
    </row>
    <row r="4127" spans="1:20" ht="76.5" x14ac:dyDescent="0.25">
      <c r="A4127" s="6">
        <v>4121</v>
      </c>
      <c r="B4127" s="1" t="str">
        <f>"2022-1381"</f>
        <v>2022-1381</v>
      </c>
      <c r="C4127" s="1" t="s">
        <v>2405</v>
      </c>
      <c r="D4127" s="1" t="s">
        <v>880</v>
      </c>
      <c r="E4127" s="1" t="str">
        <f>""</f>
        <v/>
      </c>
      <c r="F4127" s="1" t="s">
        <v>1860</v>
      </c>
      <c r="G4127" s="1" t="str">
        <f>CONCATENATE(" USTANOVA ZA ZDRAVSTVENU SKRB VAŠ PREGLED,"," TRPINJSKA 5A,"," 10000 ZAGREB,"," OIB: 83321839235")</f>
        <v xml:space="preserve"> USTANOVA ZA ZDRAVSTVENU SKRB VAŠ PREGLED, TRPINJSKA 5A, 10000 ZAGREB, OIB: 83321839235</v>
      </c>
      <c r="H4127" s="7"/>
      <c r="I4127" s="8" t="s">
        <v>273</v>
      </c>
      <c r="J4127" s="8" t="s">
        <v>1393</v>
      </c>
      <c r="K4127" s="6" t="str">
        <f>"1.110,00"</f>
        <v>1.110,00</v>
      </c>
      <c r="L4127" s="6" t="str">
        <f>"277,50"</f>
        <v>277,50</v>
      </c>
      <c r="M4127" s="6" t="str">
        <f>"1.387,50"</f>
        <v>1.387,50</v>
      </c>
      <c r="N4127" s="8" t="s">
        <v>41</v>
      </c>
      <c r="O4127" s="7"/>
      <c r="P4127" s="2" t="s">
        <v>8084</v>
      </c>
      <c r="Q4127" s="7"/>
      <c r="R4127" s="1"/>
      <c r="S4127" s="1" t="str">
        <f>"J-UN-2022-563"</f>
        <v>J-UN-2022-563</v>
      </c>
      <c r="T4127" s="1" t="s">
        <v>32</v>
      </c>
    </row>
    <row r="4128" spans="1:20" ht="63.75" x14ac:dyDescent="0.25">
      <c r="A4128" s="6">
        <v>4122</v>
      </c>
      <c r="B4128" s="1" t="str">
        <f>"2022-296"</f>
        <v>2022-296</v>
      </c>
      <c r="C4128" s="1" t="s">
        <v>2822</v>
      </c>
      <c r="D4128" s="1" t="s">
        <v>2823</v>
      </c>
      <c r="E4128" s="1" t="str">
        <f>""</f>
        <v/>
      </c>
      <c r="F4128" s="1" t="s">
        <v>1860</v>
      </c>
      <c r="G4128" s="1" t="str">
        <f>CONCATENATE(" ELEKTRO-KOMUNIKACIJE D.O.O.,"," 14. PODBREŽJE 4,"," 10000 ZAGREB,"," OIB: 76412373309")</f>
        <v xml:space="preserve"> ELEKTRO-KOMUNIKACIJE D.O.O., 14. PODBREŽJE 4, 10000 ZAGREB, OIB: 76412373309</v>
      </c>
      <c r="H4128" s="7"/>
      <c r="I4128" s="8" t="s">
        <v>855</v>
      </c>
      <c r="J4128" s="8" t="s">
        <v>3105</v>
      </c>
      <c r="K4128" s="6" t="str">
        <f>"11.600,00"</f>
        <v>11.600,00</v>
      </c>
      <c r="L4128" s="6" t="str">
        <f>"2.900,00"</f>
        <v>2.900,00</v>
      </c>
      <c r="M4128" s="6" t="str">
        <f>"14.500,00"</f>
        <v>14.500,00</v>
      </c>
      <c r="N4128" s="8" t="s">
        <v>30</v>
      </c>
      <c r="O4128" s="7"/>
      <c r="P4128" s="2" t="s">
        <v>7043</v>
      </c>
      <c r="Q4128" s="7"/>
      <c r="R4128" s="1"/>
      <c r="S4128" s="1" t="str">
        <f>"J-UN-2022-564"</f>
        <v>J-UN-2022-564</v>
      </c>
      <c r="T4128" s="1" t="s">
        <v>32</v>
      </c>
    </row>
    <row r="4129" spans="1:20" ht="51" x14ac:dyDescent="0.25">
      <c r="A4129" s="6">
        <v>4123</v>
      </c>
      <c r="B4129" s="1" t="str">
        <f>"2022-251"</f>
        <v>2022-251</v>
      </c>
      <c r="C4129" s="1" t="s">
        <v>2885</v>
      </c>
      <c r="D4129" s="1" t="s">
        <v>2886</v>
      </c>
      <c r="E4129" s="1" t="str">
        <f>""</f>
        <v/>
      </c>
      <c r="F4129" s="1" t="s">
        <v>1860</v>
      </c>
      <c r="G4129" s="1" t="str">
        <f>CONCATENATE(" TED D.O.O.,"," VRHOVČEV VIJENAC 84,"," 10000 ZAGREB,"," OIB: 22740118957")</f>
        <v xml:space="preserve"> TED D.O.O., VRHOVČEV VIJENAC 84, 10000 ZAGREB, OIB: 22740118957</v>
      </c>
      <c r="H4129" s="7"/>
      <c r="I4129" s="8" t="s">
        <v>855</v>
      </c>
      <c r="J4129" s="8" t="s">
        <v>3105</v>
      </c>
      <c r="K4129" s="6" t="str">
        <f>"29.964,00"</f>
        <v>29.964,00</v>
      </c>
      <c r="L4129" s="6" t="str">
        <f>"7.491,00"</f>
        <v>7.491,00</v>
      </c>
      <c r="M4129" s="6" t="str">
        <f>"37.455,00"</f>
        <v>37.455,00</v>
      </c>
      <c r="N4129" s="8" t="s">
        <v>635</v>
      </c>
      <c r="O4129" s="7"/>
      <c r="P4129" s="2" t="s">
        <v>8085</v>
      </c>
      <c r="Q4129" s="7"/>
      <c r="R4129" s="1"/>
      <c r="S4129" s="1" t="str">
        <f>"J-UN-2022-565"</f>
        <v>J-UN-2022-565</v>
      </c>
      <c r="T4129" s="1" t="s">
        <v>32</v>
      </c>
    </row>
    <row r="4130" spans="1:20" ht="63.75" x14ac:dyDescent="0.25">
      <c r="A4130" s="6">
        <v>4124</v>
      </c>
      <c r="B4130" s="1" t="str">
        <f>"2022-1247"</f>
        <v>2022-1247</v>
      </c>
      <c r="C4130" s="1" t="s">
        <v>3107</v>
      </c>
      <c r="D4130" s="1" t="s">
        <v>3108</v>
      </c>
      <c r="E4130" s="1" t="str">
        <f>""</f>
        <v/>
      </c>
      <c r="F4130" s="1" t="s">
        <v>1860</v>
      </c>
      <c r="G4130" s="1" t="str">
        <f>CONCATENATE(" MIDAS NETWORK D.O.O.,"," RADNIČKA CESTA 47,"," 10000 ZAGREB,"," OIB: 44561205245")</f>
        <v xml:space="preserve"> MIDAS NETWORK D.O.O., RADNIČKA CESTA 47, 10000 ZAGREB, OIB: 44561205245</v>
      </c>
      <c r="H4130" s="7"/>
      <c r="I4130" s="8" t="s">
        <v>273</v>
      </c>
      <c r="J4130" s="8" t="s">
        <v>1393</v>
      </c>
      <c r="K4130" s="6" t="str">
        <f>"5.000,00"</f>
        <v>5.000,00</v>
      </c>
      <c r="L4130" s="6" t="str">
        <f>"1.250,00"</f>
        <v>1.250,00</v>
      </c>
      <c r="M4130" s="6" t="str">
        <f>"6.250,00"</f>
        <v>6.250,00</v>
      </c>
      <c r="N4130" s="8" t="s">
        <v>848</v>
      </c>
      <c r="O4130" s="7"/>
      <c r="P4130" s="2" t="s">
        <v>6736</v>
      </c>
      <c r="Q4130" s="7"/>
      <c r="R4130" s="1"/>
      <c r="S4130" s="1" t="str">
        <f>"J-UN-2022-566"</f>
        <v>J-UN-2022-566</v>
      </c>
      <c r="T4130" s="1" t="s">
        <v>32</v>
      </c>
    </row>
    <row r="4131" spans="1:20" ht="63.75" x14ac:dyDescent="0.25">
      <c r="A4131" s="6">
        <v>4125</v>
      </c>
      <c r="B4131" s="1" t="str">
        <f>"2022-850"</f>
        <v>2022-850</v>
      </c>
      <c r="C4131" s="1" t="s">
        <v>3109</v>
      </c>
      <c r="D4131" s="1" t="s">
        <v>1246</v>
      </c>
      <c r="E4131" s="1" t="str">
        <f>""</f>
        <v/>
      </c>
      <c r="F4131" s="1" t="s">
        <v>1860</v>
      </c>
      <c r="G4131" s="1" t="str">
        <f>CONCATENATE(" RINEO DIZAJN D.O.O.,"," VELIKA CESTA 22C,"," 10020 ZAGREB-NOVI ZAGREB,"," OIB: 5699354256")</f>
        <v xml:space="preserve"> RINEO DIZAJN D.O.O., VELIKA CESTA 22C, 10020 ZAGREB-NOVI ZAGREB, OIB: 5699354256</v>
      </c>
      <c r="H4131" s="7"/>
      <c r="I4131" s="8" t="s">
        <v>856</v>
      </c>
      <c r="J4131" s="8" t="s">
        <v>2169</v>
      </c>
      <c r="K4131" s="6" t="str">
        <f>"44.600,00"</f>
        <v>44.600,00</v>
      </c>
      <c r="L4131" s="6" t="str">
        <f>"11.150,00"</f>
        <v>11.150,00</v>
      </c>
      <c r="M4131" s="6" t="str">
        <f>"55.750,00"</f>
        <v>55.750,00</v>
      </c>
      <c r="N4131" s="8" t="s">
        <v>442</v>
      </c>
      <c r="O4131" s="7"/>
      <c r="P4131" s="2" t="s">
        <v>8086</v>
      </c>
      <c r="Q4131" s="7"/>
      <c r="R4131" s="1"/>
      <c r="S4131" s="1" t="str">
        <f>"J-UN-2022-567"</f>
        <v>J-UN-2022-567</v>
      </c>
      <c r="T4131" s="1" t="s">
        <v>32</v>
      </c>
    </row>
    <row r="4132" spans="1:20" ht="51" x14ac:dyDescent="0.25">
      <c r="A4132" s="6">
        <v>4126</v>
      </c>
      <c r="B4132" s="1" t="str">
        <f>"2022-950"</f>
        <v>2022-950</v>
      </c>
      <c r="C4132" s="1" t="s">
        <v>2854</v>
      </c>
      <c r="D4132" s="1" t="s">
        <v>2855</v>
      </c>
      <c r="E4132" s="1" t="str">
        <f>""</f>
        <v/>
      </c>
      <c r="F4132" s="1" t="s">
        <v>1860</v>
      </c>
      <c r="G4132" s="1" t="str">
        <f>CONCATENATE(" SAFIR D.O.O.,"," HORVAĆANSKA 17,"," 10000 ZAGREB,"," OIB: 33548604975")</f>
        <v xml:space="preserve"> SAFIR D.O.O., HORVAĆANSKA 17, 10000 ZAGREB, OIB: 33548604975</v>
      </c>
      <c r="H4132" s="7"/>
      <c r="I4132" s="8" t="s">
        <v>94</v>
      </c>
      <c r="J4132" s="8" t="s">
        <v>3100</v>
      </c>
      <c r="K4132" s="6" t="str">
        <f>"9.386,40"</f>
        <v>9.386,40</v>
      </c>
      <c r="L4132" s="6" t="str">
        <f>"2.346,60"</f>
        <v>2.346,60</v>
      </c>
      <c r="M4132" s="6" t="str">
        <f>"11.733,00"</f>
        <v>11.733,00</v>
      </c>
      <c r="N4132" s="8" t="s">
        <v>403</v>
      </c>
      <c r="O4132" s="7"/>
      <c r="P4132" s="2" t="s">
        <v>8087</v>
      </c>
      <c r="Q4132" s="7"/>
      <c r="R4132" s="1"/>
      <c r="S4132" s="1" t="str">
        <f>"J-UN-2022-568"</f>
        <v>J-UN-2022-568</v>
      </c>
      <c r="T4132" s="1" t="s">
        <v>32</v>
      </c>
    </row>
    <row r="4133" spans="1:20" ht="51" x14ac:dyDescent="0.25">
      <c r="A4133" s="6">
        <v>4127</v>
      </c>
      <c r="B4133" s="1" t="str">
        <f>"2022-915"</f>
        <v>2022-915</v>
      </c>
      <c r="C4133" s="1" t="s">
        <v>3024</v>
      </c>
      <c r="D4133" s="1" t="s">
        <v>1007</v>
      </c>
      <c r="E4133" s="1" t="str">
        <f>""</f>
        <v/>
      </c>
      <c r="F4133" s="1" t="s">
        <v>1860</v>
      </c>
      <c r="G4133" s="1" t="str">
        <f>CONCATENATE(" AUREL D.O.O.,"," BORONGAJSKA CESTA bb,"," 10000 ZAGREB,"," OIB: 62871653225")</f>
        <v xml:space="preserve"> AUREL D.O.O., BORONGAJSKA CESTA bb, 10000 ZAGREB, OIB: 62871653225</v>
      </c>
      <c r="H4133" s="7"/>
      <c r="I4133" s="8" t="s">
        <v>273</v>
      </c>
      <c r="J4133" s="8" t="s">
        <v>1393</v>
      </c>
      <c r="K4133" s="6" t="str">
        <f>"3.050,00"</f>
        <v>3.050,00</v>
      </c>
      <c r="L4133" s="6" t="str">
        <f>"762,50"</f>
        <v>762,50</v>
      </c>
      <c r="M4133" s="6" t="str">
        <f>"3.812,50"</f>
        <v>3.812,50</v>
      </c>
      <c r="N4133" s="8" t="s">
        <v>1073</v>
      </c>
      <c r="O4133" s="7"/>
      <c r="P4133" s="2" t="s">
        <v>8088</v>
      </c>
      <c r="Q4133" s="1" t="s">
        <v>1462</v>
      </c>
      <c r="R4133" s="1"/>
      <c r="S4133" s="1" t="str">
        <f>"J-UN-2022-569"</f>
        <v>J-UN-2022-569</v>
      </c>
      <c r="T4133" s="1" t="s">
        <v>32</v>
      </c>
    </row>
    <row r="4134" spans="1:20" ht="38.25" x14ac:dyDescent="0.25">
      <c r="A4134" s="6">
        <v>4128</v>
      </c>
      <c r="B4134" s="1" t="str">
        <f>"2022-26"</f>
        <v>2022-26</v>
      </c>
      <c r="C4134" s="1" t="s">
        <v>1041</v>
      </c>
      <c r="D4134" s="1" t="s">
        <v>515</v>
      </c>
      <c r="E4134" s="1" t="str">
        <f>""</f>
        <v/>
      </c>
      <c r="F4134" s="1" t="s">
        <v>1860</v>
      </c>
      <c r="G4134" s="1" t="str">
        <f>CONCATENATE(" LABOSAN D.O.O.,"," RIM 42,"," 10000 ZAGREB,"," OIB: 81145490196")</f>
        <v xml:space="preserve"> LABOSAN D.O.O., RIM 42, 10000 ZAGREB, OIB: 81145490196</v>
      </c>
      <c r="H4134" s="7"/>
      <c r="I4134" s="8" t="s">
        <v>855</v>
      </c>
      <c r="J4134" s="8" t="s">
        <v>3105</v>
      </c>
      <c r="K4134" s="6" t="str">
        <f>"4.800,00"</f>
        <v>4.800,00</v>
      </c>
      <c r="L4134" s="6" t="str">
        <f>"1.200,00"</f>
        <v>1.200,00</v>
      </c>
      <c r="M4134" s="6" t="str">
        <f>"6.000,00"</f>
        <v>6.000,00</v>
      </c>
      <c r="N4134" s="8" t="s">
        <v>1099</v>
      </c>
      <c r="O4134" s="7"/>
      <c r="P4134" s="2" t="s">
        <v>6850</v>
      </c>
      <c r="Q4134" s="7"/>
      <c r="R4134" s="1"/>
      <c r="S4134" s="1" t="str">
        <f>"J-UN-2022-570"</f>
        <v>J-UN-2022-570</v>
      </c>
      <c r="T4134" s="1" t="s">
        <v>32</v>
      </c>
    </row>
    <row r="4135" spans="1:20" ht="63.75" x14ac:dyDescent="0.25">
      <c r="A4135" s="6">
        <v>4129</v>
      </c>
      <c r="B4135" s="1" t="str">
        <f>"2022-186"</f>
        <v>2022-186</v>
      </c>
      <c r="C4135" s="1" t="s">
        <v>2534</v>
      </c>
      <c r="D4135" s="1" t="s">
        <v>2535</v>
      </c>
      <c r="E4135" s="1" t="str">
        <f>""</f>
        <v/>
      </c>
      <c r="F4135" s="1" t="s">
        <v>1860</v>
      </c>
      <c r="G4135" s="1" t="str">
        <f>CONCATENATE(" JULIUS MEINL BONFANTI D.O.O.,"," LJUBLJANSKA ULICA 4,"," 10431 SVETA NEDELJA,"," OIB: 39546130894")</f>
        <v xml:space="preserve"> JULIUS MEINL BONFANTI D.O.O., LJUBLJANSKA ULICA 4, 10431 SVETA NEDELJA, OIB: 39546130894</v>
      </c>
      <c r="H4135" s="7"/>
      <c r="I4135" s="8" t="s">
        <v>260</v>
      </c>
      <c r="J4135" s="8" t="s">
        <v>1415</v>
      </c>
      <c r="K4135" s="6" t="str">
        <f>"6.870,00"</f>
        <v>6.870,00</v>
      </c>
      <c r="L4135" s="6" t="str">
        <f>"1.717,50"</f>
        <v>1.717,50</v>
      </c>
      <c r="M4135" s="6" t="str">
        <f>"8.587,50"</f>
        <v>8.587,50</v>
      </c>
      <c r="N4135" s="8" t="s">
        <v>124</v>
      </c>
      <c r="O4135" s="7"/>
      <c r="P4135" s="2" t="s">
        <v>5614</v>
      </c>
      <c r="Q4135" s="7"/>
      <c r="R4135" s="1"/>
      <c r="S4135" s="1" t="str">
        <f>"J-UN-2022-583"</f>
        <v>J-UN-2022-583</v>
      </c>
      <c r="T4135" s="1" t="s">
        <v>32</v>
      </c>
    </row>
    <row r="4136" spans="1:20" ht="51" x14ac:dyDescent="0.25">
      <c r="A4136" s="6">
        <v>4130</v>
      </c>
      <c r="B4136" s="1" t="str">
        <f>"2022-1826"</f>
        <v>2022-1826</v>
      </c>
      <c r="C4136" s="1" t="s">
        <v>3110</v>
      </c>
      <c r="D4136" s="1" t="s">
        <v>884</v>
      </c>
      <c r="E4136" s="1" t="str">
        <f>""</f>
        <v/>
      </c>
      <c r="F4136" s="1" t="s">
        <v>1860</v>
      </c>
      <c r="G4136" s="1" t="str">
        <f>CONCATENATE(" PON - PET D.O.O.,"," KUŠEVAČKA ULICA 52c,"," 10000 ZAGREB,"," OIB: 40168263")</f>
        <v xml:space="preserve"> PON - PET D.O.O., KUŠEVAČKA ULICA 52c, 10000 ZAGREB, OIB: 40168263</v>
      </c>
      <c r="H4136" s="7"/>
      <c r="I4136" s="8" t="s">
        <v>856</v>
      </c>
      <c r="J4136" s="8" t="s">
        <v>2169</v>
      </c>
      <c r="K4136" s="6" t="str">
        <f>"193.800,00"</f>
        <v>193.800,00</v>
      </c>
      <c r="L4136" s="6" t="str">
        <f>"48.450,00"</f>
        <v>48.450,00</v>
      </c>
      <c r="M4136" s="6" t="str">
        <f>"242.250,00"</f>
        <v>242.250,00</v>
      </c>
      <c r="N4136" s="8" t="s">
        <v>308</v>
      </c>
      <c r="O4136" s="7"/>
      <c r="P4136" s="2" t="s">
        <v>8089</v>
      </c>
      <c r="Q4136" s="7"/>
      <c r="R4136" s="1"/>
      <c r="S4136" s="1" t="str">
        <f>"J-UN-2022-584"</f>
        <v>J-UN-2022-584</v>
      </c>
      <c r="T4136" s="1" t="s">
        <v>32</v>
      </c>
    </row>
    <row r="4137" spans="1:20" ht="76.5" x14ac:dyDescent="0.25">
      <c r="A4137" s="6">
        <v>4131</v>
      </c>
      <c r="B4137" s="1" t="str">
        <f>"2022-54"</f>
        <v>2022-54</v>
      </c>
      <c r="C4137" s="1" t="s">
        <v>3111</v>
      </c>
      <c r="D4137" s="1" t="s">
        <v>3112</v>
      </c>
      <c r="E4137" s="1" t="str">
        <f>""</f>
        <v/>
      </c>
      <c r="F4137" s="1" t="s">
        <v>1860</v>
      </c>
      <c r="G4137" s="1" t="str">
        <f>CONCATENATE(" SMIT-COMMERCE D.O.O.,"," GORNJOSTUPNIČKA 9B,"," 10255 GORNJI STUPNIK,"," OIB: 9524348214")</f>
        <v xml:space="preserve"> SMIT-COMMERCE D.O.O., GORNJOSTUPNIČKA 9B, 10255 GORNJI STUPNIK, OIB: 9524348214</v>
      </c>
      <c r="H4137" s="7"/>
      <c r="I4137" s="8" t="s">
        <v>921</v>
      </c>
      <c r="J4137" s="8" t="s">
        <v>493</v>
      </c>
      <c r="K4137" s="6" t="str">
        <f>"48.000,00"</f>
        <v>48.000,00</v>
      </c>
      <c r="L4137" s="6" t="str">
        <f>"12.000,00"</f>
        <v>12.000,00</v>
      </c>
      <c r="M4137" s="6" t="str">
        <f>"60.000,00"</f>
        <v>60.000,00</v>
      </c>
      <c r="N4137" s="8" t="s">
        <v>124</v>
      </c>
      <c r="O4137" s="7"/>
      <c r="P4137" s="2" t="s">
        <v>8090</v>
      </c>
      <c r="Q4137" s="7"/>
      <c r="R4137" s="1"/>
      <c r="S4137" s="1" t="str">
        <f>"J-UN-2022-591"</f>
        <v>J-UN-2022-591</v>
      </c>
      <c r="T4137" s="1" t="s">
        <v>32</v>
      </c>
    </row>
    <row r="4138" spans="1:20" ht="63.75" x14ac:dyDescent="0.25">
      <c r="A4138" s="6">
        <v>4132</v>
      </c>
      <c r="B4138" s="1" t="str">
        <f>"2022-1805"</f>
        <v>2022-1805</v>
      </c>
      <c r="C4138" s="1" t="s">
        <v>3113</v>
      </c>
      <c r="D4138" s="1" t="s">
        <v>34</v>
      </c>
      <c r="E4138" s="1" t="str">
        <f>""</f>
        <v/>
      </c>
      <c r="F4138" s="1" t="s">
        <v>1860</v>
      </c>
      <c r="G4138" s="1" t="str">
        <f>CONCATENATE(" URIHO - ZAGREB,"," AVENIJA MARINA DRŽIĆA 1,"," 10000 ZAGREB,"," OIB: 77931216562")</f>
        <v xml:space="preserve"> URIHO - ZAGREB, AVENIJA MARINA DRŽIĆA 1, 10000 ZAGREB, OIB: 77931216562</v>
      </c>
      <c r="H4138" s="7"/>
      <c r="I4138" s="8" t="s">
        <v>920</v>
      </c>
      <c r="J4138" s="8" t="s">
        <v>169</v>
      </c>
      <c r="K4138" s="6" t="str">
        <f>"132.560,00"</f>
        <v>132.560,00</v>
      </c>
      <c r="L4138" s="6" t="str">
        <f>"33.140,00"</f>
        <v>33.140,00</v>
      </c>
      <c r="M4138" s="6" t="str">
        <f>"165.700,00"</f>
        <v>165.700,00</v>
      </c>
      <c r="N4138" s="8" t="s">
        <v>426</v>
      </c>
      <c r="O4138" s="7"/>
      <c r="P4138" s="2" t="s">
        <v>8091</v>
      </c>
      <c r="Q4138" s="7"/>
      <c r="R4138" s="1"/>
      <c r="S4138" s="1" t="str">
        <f>"J-UN-2022-592"</f>
        <v>J-UN-2022-592</v>
      </c>
      <c r="T4138" s="1" t="s">
        <v>43</v>
      </c>
    </row>
    <row r="4139" spans="1:20" ht="51" x14ac:dyDescent="0.25">
      <c r="A4139" s="6">
        <v>4133</v>
      </c>
      <c r="B4139" s="1" t="str">
        <f>"2022-92"</f>
        <v>2022-92</v>
      </c>
      <c r="C4139" s="1" t="s">
        <v>3114</v>
      </c>
      <c r="D4139" s="1" t="s">
        <v>1438</v>
      </c>
      <c r="E4139" s="1" t="str">
        <f>""</f>
        <v/>
      </c>
      <c r="F4139" s="1" t="s">
        <v>1860</v>
      </c>
      <c r="G4139" s="1" t="str">
        <f>CONCATENATE(" RENATO COMERC D.O.O.,"," BALIĆI I 7A,"," 52341 BALIĆI I,"," OIB: 71815754725")</f>
        <v xml:space="preserve"> RENATO COMERC D.O.O., BALIĆI I 7A, 52341 BALIĆI I, OIB: 71815754725</v>
      </c>
      <c r="H4139" s="7"/>
      <c r="I4139" s="8" t="s">
        <v>921</v>
      </c>
      <c r="J4139" s="8" t="s">
        <v>493</v>
      </c>
      <c r="K4139" s="6" t="str">
        <f>"21.000,00"</f>
        <v>21.000,00</v>
      </c>
      <c r="L4139" s="6" t="str">
        <f>"5.250,00"</f>
        <v>5.250,00</v>
      </c>
      <c r="M4139" s="6" t="str">
        <f>"26.250,00"</f>
        <v>26.250,00</v>
      </c>
      <c r="N4139" s="8" t="s">
        <v>3115</v>
      </c>
      <c r="O4139" s="7"/>
      <c r="P4139" s="2" t="s">
        <v>8092</v>
      </c>
      <c r="Q4139" s="7"/>
      <c r="R4139" s="1"/>
      <c r="S4139" s="1" t="str">
        <f>"J-UN-2022-630"</f>
        <v>J-UN-2022-630</v>
      </c>
      <c r="T4139" s="1" t="s">
        <v>32</v>
      </c>
    </row>
    <row r="4140" spans="1:20" ht="63.75" x14ac:dyDescent="0.25">
      <c r="A4140" s="6">
        <v>4134</v>
      </c>
      <c r="B4140" s="1" t="str">
        <f>"2022-27"</f>
        <v>2022-27</v>
      </c>
      <c r="C4140" s="1" t="s">
        <v>3116</v>
      </c>
      <c r="D4140" s="1" t="s">
        <v>2357</v>
      </c>
      <c r="E4140" s="1" t="str">
        <f>""</f>
        <v/>
      </c>
      <c r="F4140" s="1" t="s">
        <v>1860</v>
      </c>
      <c r="G4140" s="1" t="str">
        <f>CONCATENATE(" ELDRA D.O.O.,"," LUG SAMOBORSKI,","  KNEZA NINOSLAVA 9,"," 10432 BREGANA,"," OIB: 79695515983")</f>
        <v xml:space="preserve"> ELDRA D.O.O., LUG SAMOBORSKI,  KNEZA NINOSLAVA 9, 10432 BREGANA, OIB: 79695515983</v>
      </c>
      <c r="H4140" s="7"/>
      <c r="I4140" s="8" t="s">
        <v>921</v>
      </c>
      <c r="J4140" s="8" t="s">
        <v>493</v>
      </c>
      <c r="K4140" s="6" t="str">
        <f>"57.590,00"</f>
        <v>57.590,00</v>
      </c>
      <c r="L4140" s="6" t="str">
        <f>"14.397,50"</f>
        <v>14.397,50</v>
      </c>
      <c r="M4140" s="6" t="str">
        <f>"71.987,50"</f>
        <v>71.987,50</v>
      </c>
      <c r="N4140" s="8" t="s">
        <v>124</v>
      </c>
      <c r="O4140" s="7"/>
      <c r="P4140" s="2" t="s">
        <v>5614</v>
      </c>
      <c r="Q4140" s="7"/>
      <c r="R4140" s="1"/>
      <c r="S4140" s="1" t="str">
        <f>"J-UN-2022-631"</f>
        <v>J-UN-2022-631</v>
      </c>
      <c r="T4140" s="1" t="s">
        <v>32</v>
      </c>
    </row>
    <row r="4141" spans="1:20" ht="63.75" x14ac:dyDescent="0.25">
      <c r="A4141" s="6">
        <v>4135</v>
      </c>
      <c r="B4141" s="1" t="str">
        <f>"2022-243"</f>
        <v>2022-243</v>
      </c>
      <c r="C4141" s="1" t="s">
        <v>2621</v>
      </c>
      <c r="D4141" s="1" t="s">
        <v>2622</v>
      </c>
      <c r="E4141" s="1" t="str">
        <f>""</f>
        <v/>
      </c>
      <c r="F4141" s="1" t="s">
        <v>1860</v>
      </c>
      <c r="G4141" s="1" t="str">
        <f>CONCATENATE(" VELEKEM D.D.,"," UL.KNEZA LJUDEVITA POSAVSKOG 13,"," 10360 SESVETE,"," OIB: 62347407589")</f>
        <v xml:space="preserve"> VELEKEM D.D., UL.KNEZA LJUDEVITA POSAVSKOG 13, 10360 SESVETE, OIB: 62347407589</v>
      </c>
      <c r="H4141" s="7"/>
      <c r="I4141" s="8" t="s">
        <v>247</v>
      </c>
      <c r="J4141" s="8" t="s">
        <v>1461</v>
      </c>
      <c r="K4141" s="6" t="str">
        <f>"6.302,20"</f>
        <v>6.302,20</v>
      </c>
      <c r="L4141" s="6" t="str">
        <f>"1.575,55"</f>
        <v>1.575,55</v>
      </c>
      <c r="M4141" s="6" t="str">
        <f>"7.877,75"</f>
        <v>7.877,75</v>
      </c>
      <c r="N4141" s="8" t="s">
        <v>835</v>
      </c>
      <c r="O4141" s="7"/>
      <c r="P4141" s="2" t="s">
        <v>8093</v>
      </c>
      <c r="Q4141" s="7"/>
      <c r="R4141" s="1"/>
      <c r="S4141" s="1" t="str">
        <f>"J-UN-2022-637"</f>
        <v>J-UN-2022-637</v>
      </c>
      <c r="T4141" s="1" t="s">
        <v>32</v>
      </c>
    </row>
    <row r="4142" spans="1:20" ht="63.75" x14ac:dyDescent="0.25">
      <c r="A4142" s="6">
        <v>4136</v>
      </c>
      <c r="B4142" s="1" t="str">
        <f>"2022-714"</f>
        <v>2022-714</v>
      </c>
      <c r="C4142" s="1" t="s">
        <v>2710</v>
      </c>
      <c r="D4142" s="1" t="s">
        <v>815</v>
      </c>
      <c r="E4142" s="1" t="str">
        <f>""</f>
        <v/>
      </c>
      <c r="F4142" s="1" t="s">
        <v>1860</v>
      </c>
      <c r="G4142" s="1" t="str">
        <f>CONCATENATE(" TOKIĆ D.O.O.,"," ULICA 144. BRIGADE HRVATSKE VOJSKE 1A,"," 10360 SESVETE,"," OIB: 7486748762")</f>
        <v xml:space="preserve"> TOKIĆ D.O.O., ULICA 144. BRIGADE HRVATSKE VOJSKE 1A, 10360 SESVETE, OIB: 7486748762</v>
      </c>
      <c r="H4142" s="7"/>
      <c r="I4142" s="8" t="s">
        <v>247</v>
      </c>
      <c r="J4142" s="8" t="s">
        <v>1461</v>
      </c>
      <c r="K4142" s="6" t="str">
        <f>"9.000,00"</f>
        <v>9.000,00</v>
      </c>
      <c r="L4142" s="6" t="str">
        <f>"2.250,00"</f>
        <v>2.250,00</v>
      </c>
      <c r="M4142" s="6" t="str">
        <f>"11.250,00"</f>
        <v>11.250,00</v>
      </c>
      <c r="N4142" s="8" t="s">
        <v>893</v>
      </c>
      <c r="O4142" s="7"/>
      <c r="P4142" s="2" t="s">
        <v>6835</v>
      </c>
      <c r="Q4142" s="7"/>
      <c r="R4142" s="1"/>
      <c r="S4142" s="1" t="str">
        <f>"J-UN-2022-638"</f>
        <v>J-UN-2022-638</v>
      </c>
      <c r="T4142" s="1" t="s">
        <v>32</v>
      </c>
    </row>
    <row r="4143" spans="1:20" ht="63.75" x14ac:dyDescent="0.25">
      <c r="A4143" s="6">
        <v>4137</v>
      </c>
      <c r="B4143" s="1" t="str">
        <f>"2022-1416"</f>
        <v>2022-1416</v>
      </c>
      <c r="C4143" s="1" t="s">
        <v>2991</v>
      </c>
      <c r="D4143" s="1" t="s">
        <v>2992</v>
      </c>
      <c r="E4143" s="1" t="str">
        <f>""</f>
        <v/>
      </c>
      <c r="F4143" s="1" t="s">
        <v>1860</v>
      </c>
      <c r="G4143" s="1" t="str">
        <f>CONCATENATE(" LANIŠTE D.O.O.,"," ALEXANDERA VON HUMBOLDTA 4B,"," 10000 ZAGREB,"," OIB: 3755384865")</f>
        <v xml:space="preserve"> LANIŠTE D.O.O., ALEXANDERA VON HUMBOLDTA 4B, 10000 ZAGREB, OIB: 3755384865</v>
      </c>
      <c r="H4143" s="7"/>
      <c r="I4143" s="8" t="s">
        <v>919</v>
      </c>
      <c r="J4143" s="8" t="s">
        <v>1430</v>
      </c>
      <c r="K4143" s="6" t="str">
        <f>"3.636,00"</f>
        <v>3.636,00</v>
      </c>
      <c r="L4143" s="6" t="str">
        <f>"909,00"</f>
        <v>909,00</v>
      </c>
      <c r="M4143" s="6" t="str">
        <f>"4.545,00"</f>
        <v>4.545,00</v>
      </c>
      <c r="N4143" s="8" t="s">
        <v>398</v>
      </c>
      <c r="O4143" s="7"/>
      <c r="P4143" s="2" t="s">
        <v>7917</v>
      </c>
      <c r="Q4143" s="7"/>
      <c r="R4143" s="1"/>
      <c r="S4143" s="1" t="str">
        <f>"J-UN-2022-639"</f>
        <v>J-UN-2022-639</v>
      </c>
      <c r="T4143" s="1" t="s">
        <v>32</v>
      </c>
    </row>
    <row r="4144" spans="1:20" ht="63.75" x14ac:dyDescent="0.25">
      <c r="A4144" s="6">
        <v>4138</v>
      </c>
      <c r="B4144" s="1" t="str">
        <f>"2022-1430"</f>
        <v>2022-1430</v>
      </c>
      <c r="C4144" s="1" t="s">
        <v>2986</v>
      </c>
      <c r="D4144" s="1" t="s">
        <v>2985</v>
      </c>
      <c r="E4144" s="1" t="str">
        <f>""</f>
        <v/>
      </c>
      <c r="F4144" s="1" t="s">
        <v>1860</v>
      </c>
      <c r="G4144" s="1" t="str">
        <f>CONCATENATE(" LANIŠTE D.O.O.,"," ALEXANDERA VON HUMBOLDTA 4B,"," 10000 ZAGREB,"," OIB: 3755384865")</f>
        <v xml:space="preserve"> LANIŠTE D.O.O., ALEXANDERA VON HUMBOLDTA 4B, 10000 ZAGREB, OIB: 3755384865</v>
      </c>
      <c r="H4144" s="7"/>
      <c r="I4144" s="8" t="s">
        <v>919</v>
      </c>
      <c r="J4144" s="8" t="s">
        <v>1430</v>
      </c>
      <c r="K4144" s="6" t="str">
        <f>"4.032,00"</f>
        <v>4.032,00</v>
      </c>
      <c r="L4144" s="6" t="str">
        <f>"1.008,00"</f>
        <v>1.008,00</v>
      </c>
      <c r="M4144" s="6" t="str">
        <f>"5.040,00"</f>
        <v>5.040,00</v>
      </c>
      <c r="N4144" s="8" t="s">
        <v>398</v>
      </c>
      <c r="O4144" s="7"/>
      <c r="P4144" s="2" t="s">
        <v>7919</v>
      </c>
      <c r="Q4144" s="7"/>
      <c r="R4144" s="1"/>
      <c r="S4144" s="1" t="str">
        <f>"J-UN-2022-640"</f>
        <v>J-UN-2022-640</v>
      </c>
      <c r="T4144" s="1" t="s">
        <v>32</v>
      </c>
    </row>
    <row r="4145" spans="1:20" ht="63.75" x14ac:dyDescent="0.25">
      <c r="A4145" s="6">
        <v>4139</v>
      </c>
      <c r="B4145" s="1" t="str">
        <f>"2022-1289"</f>
        <v>2022-1289</v>
      </c>
      <c r="C4145" s="1" t="s">
        <v>2993</v>
      </c>
      <c r="D4145" s="1" t="s">
        <v>2994</v>
      </c>
      <c r="E4145" s="1" t="str">
        <f>""</f>
        <v/>
      </c>
      <c r="F4145" s="1" t="s">
        <v>1860</v>
      </c>
      <c r="G4145" s="1" t="str">
        <f>CONCATENATE(" LANIŠTE D.O.O.,"," ALEXANDERA VON HUMBOLDTA 4B,"," 10000 ZAGREB,"," OIB: 3755384865")</f>
        <v xml:space="preserve"> LANIŠTE D.O.O., ALEXANDERA VON HUMBOLDTA 4B, 10000 ZAGREB, OIB: 3755384865</v>
      </c>
      <c r="H4145" s="7"/>
      <c r="I4145" s="8" t="s">
        <v>919</v>
      </c>
      <c r="J4145" s="8" t="s">
        <v>1430</v>
      </c>
      <c r="K4145" s="6" t="str">
        <f>"3.632,00"</f>
        <v>3.632,00</v>
      </c>
      <c r="L4145" s="6" t="str">
        <f>"908,00"</f>
        <v>908,00</v>
      </c>
      <c r="M4145" s="6" t="str">
        <f>"4.540,00"</f>
        <v>4.540,00</v>
      </c>
      <c r="N4145" s="8" t="s">
        <v>398</v>
      </c>
      <c r="O4145" s="7"/>
      <c r="P4145" s="2" t="s">
        <v>7918</v>
      </c>
      <c r="Q4145" s="7"/>
      <c r="R4145" s="1"/>
      <c r="S4145" s="1" t="str">
        <f>"J-UN-2022-641"</f>
        <v>J-UN-2022-641</v>
      </c>
      <c r="T4145" s="1" t="s">
        <v>32</v>
      </c>
    </row>
    <row r="4146" spans="1:20" ht="51" x14ac:dyDescent="0.25">
      <c r="A4146" s="6">
        <v>4140</v>
      </c>
      <c r="B4146" s="1" t="str">
        <f>"2022-813"</f>
        <v>2022-813</v>
      </c>
      <c r="C4146" s="1" t="s">
        <v>2844</v>
      </c>
      <c r="D4146" s="1" t="s">
        <v>2716</v>
      </c>
      <c r="E4146" s="1" t="str">
        <f>""</f>
        <v/>
      </c>
      <c r="F4146" s="1" t="s">
        <v>1860</v>
      </c>
      <c r="G4146" s="1" t="str">
        <f>CONCATENATE(" LAGER BAŠIĆ D.O.O.,"," TRGOVAČKA 3,"," 10255 DONJI STUPNIK,"," OIB: 49617677906")</f>
        <v xml:space="preserve"> LAGER BAŠIĆ D.O.O., TRGOVAČKA 3, 10255 DONJI STUPNIK, OIB: 49617677906</v>
      </c>
      <c r="H4146" s="7"/>
      <c r="I4146" s="8" t="s">
        <v>291</v>
      </c>
      <c r="J4146" s="8" t="s">
        <v>2334</v>
      </c>
      <c r="K4146" s="6" t="str">
        <f>"8.193,00"</f>
        <v>8.193,00</v>
      </c>
      <c r="L4146" s="6" t="str">
        <f>"2.048,25"</f>
        <v>2.048,25</v>
      </c>
      <c r="M4146" s="6" t="str">
        <f>"10.241,25"</f>
        <v>10.241,25</v>
      </c>
      <c r="N4146" s="8" t="s">
        <v>431</v>
      </c>
      <c r="O4146" s="7"/>
      <c r="P4146" s="2" t="s">
        <v>8094</v>
      </c>
      <c r="Q4146" s="7"/>
      <c r="R4146" s="1"/>
      <c r="S4146" s="1" t="str">
        <f>"J-UN-2022-642"</f>
        <v>J-UN-2022-642</v>
      </c>
      <c r="T4146" s="1" t="s">
        <v>32</v>
      </c>
    </row>
    <row r="4147" spans="1:20" ht="63.75" x14ac:dyDescent="0.25">
      <c r="A4147" s="6">
        <v>4141</v>
      </c>
      <c r="B4147" s="1" t="str">
        <f>"2022-1291"</f>
        <v>2022-1291</v>
      </c>
      <c r="C4147" s="1" t="s">
        <v>2989</v>
      </c>
      <c r="D4147" s="1" t="s">
        <v>2990</v>
      </c>
      <c r="E4147" s="1" t="str">
        <f>""</f>
        <v/>
      </c>
      <c r="F4147" s="1" t="s">
        <v>1860</v>
      </c>
      <c r="G4147" s="1" t="str">
        <f>CONCATENATE(" LANIŠTE D.O.O.,"," ALEXANDERA VON HUMBOLDTA 4B,"," 10000 ZAGREB,"," OIB: 3755384865")</f>
        <v xml:space="preserve"> LANIŠTE D.O.O., ALEXANDERA VON HUMBOLDTA 4B, 10000 ZAGREB, OIB: 3755384865</v>
      </c>
      <c r="H4147" s="7"/>
      <c r="I4147" s="8" t="s">
        <v>291</v>
      </c>
      <c r="J4147" s="8" t="s">
        <v>2334</v>
      </c>
      <c r="K4147" s="6" t="str">
        <f>"3.636,00"</f>
        <v>3.636,00</v>
      </c>
      <c r="L4147" s="6" t="str">
        <f>"909,00"</f>
        <v>909,00</v>
      </c>
      <c r="M4147" s="6" t="str">
        <f>"4.545,00"</f>
        <v>4.545,00</v>
      </c>
      <c r="N4147" s="8" t="s">
        <v>398</v>
      </c>
      <c r="O4147" s="7"/>
      <c r="P4147" s="2" t="s">
        <v>7917</v>
      </c>
      <c r="Q4147" s="7"/>
      <c r="R4147" s="1"/>
      <c r="S4147" s="1" t="str">
        <f>"J-UN-2022-643"</f>
        <v>J-UN-2022-643</v>
      </c>
      <c r="T4147" s="1" t="s">
        <v>32</v>
      </c>
    </row>
    <row r="4148" spans="1:20" ht="51" x14ac:dyDescent="0.25">
      <c r="A4148" s="6">
        <v>4142</v>
      </c>
      <c r="B4148" s="1" t="str">
        <f>"2022-363"</f>
        <v>2022-363</v>
      </c>
      <c r="C4148" s="1" t="s">
        <v>2609</v>
      </c>
      <c r="D4148" s="1" t="s">
        <v>2610</v>
      </c>
      <c r="E4148" s="1" t="str">
        <f>""</f>
        <v/>
      </c>
      <c r="F4148" s="1" t="s">
        <v>1860</v>
      </c>
      <c r="G4148" s="1" t="str">
        <f>CONCATENATE(" SAFIR D.O.O.,"," HORVAĆANSKA 17,"," 10000 ZAGREB,"," OIB: 33548604975")</f>
        <v xml:space="preserve"> SAFIR D.O.O., HORVAĆANSKA 17, 10000 ZAGREB, OIB: 33548604975</v>
      </c>
      <c r="H4148" s="7"/>
      <c r="I4148" s="8" t="s">
        <v>403</v>
      </c>
      <c r="J4148" s="8" t="s">
        <v>3117</v>
      </c>
      <c r="K4148" s="6" t="str">
        <f>"656,00"</f>
        <v>656,00</v>
      </c>
      <c r="L4148" s="6" t="str">
        <f>"164,00"</f>
        <v>164,00</v>
      </c>
      <c r="M4148" s="6" t="str">
        <f>"820,00"</f>
        <v>820,00</v>
      </c>
      <c r="N4148" s="8" t="s">
        <v>607</v>
      </c>
      <c r="O4148" s="7"/>
      <c r="P4148" s="2" t="s">
        <v>7715</v>
      </c>
      <c r="Q4148" s="7"/>
      <c r="R4148" s="1"/>
      <c r="S4148" s="1" t="str">
        <f>"J-UN-2022-644"</f>
        <v>J-UN-2022-644</v>
      </c>
      <c r="T4148" s="1" t="s">
        <v>32</v>
      </c>
    </row>
    <row r="4149" spans="1:20" ht="63.75" x14ac:dyDescent="0.25">
      <c r="A4149" s="6">
        <v>4143</v>
      </c>
      <c r="B4149" s="1" t="str">
        <f>"2022-1358"</f>
        <v>2022-1358</v>
      </c>
      <c r="C4149" s="1" t="s">
        <v>2643</v>
      </c>
      <c r="D4149" s="1" t="s">
        <v>1859</v>
      </c>
      <c r="E4149" s="1" t="str">
        <f>""</f>
        <v/>
      </c>
      <c r="F4149" s="1" t="s">
        <v>1860</v>
      </c>
      <c r="G4149" s="1" t="str">
        <f>CONCATENATE(" UDRUGA ENERGETIČARA ZAGREB - UEZ,"," ILICA 34/1,"," 10000 ZAGREB,"," OIB: 97895722777")</f>
        <v xml:space="preserve"> UDRUGA ENERGETIČARA ZAGREB - UEZ, ILICA 34/1, 10000 ZAGREB, OIB: 97895722777</v>
      </c>
      <c r="H4149" s="7"/>
      <c r="I4149" s="8" t="s">
        <v>354</v>
      </c>
      <c r="J4149" s="8" t="s">
        <v>3118</v>
      </c>
      <c r="K4149" s="6" t="str">
        <f>"2.760,00"</f>
        <v>2.760,00</v>
      </c>
      <c r="L4149" s="6" t="str">
        <f>"690,00"</f>
        <v>690,00</v>
      </c>
      <c r="M4149" s="6" t="str">
        <f>"3.450,00"</f>
        <v>3.450,00</v>
      </c>
      <c r="N4149" s="8" t="s">
        <v>124</v>
      </c>
      <c r="O4149" s="7"/>
      <c r="P4149" s="2" t="s">
        <v>5614</v>
      </c>
      <c r="Q4149" s="7"/>
      <c r="R4149" s="1"/>
      <c r="S4149" s="1" t="str">
        <f>"J-UN-2022-645"</f>
        <v>J-UN-2022-645</v>
      </c>
      <c r="T4149" s="1" t="s">
        <v>32</v>
      </c>
    </row>
    <row r="4150" spans="1:20" ht="51" x14ac:dyDescent="0.25">
      <c r="A4150" s="6">
        <v>4144</v>
      </c>
      <c r="B4150" s="1" t="str">
        <f>"2022-384"</f>
        <v>2022-384</v>
      </c>
      <c r="C4150" s="1" t="s">
        <v>3062</v>
      </c>
      <c r="D4150" s="1" t="s">
        <v>3063</v>
      </c>
      <c r="E4150" s="1" t="str">
        <f>""</f>
        <v/>
      </c>
      <c r="F4150" s="1" t="s">
        <v>1860</v>
      </c>
      <c r="G4150" s="1" t="str">
        <f>CONCATENATE(" VODOSKOK D.D.,"," ČULINEČKA CESTA 221/C,"," 10040 ZAGREB,"," OIB: 34134218058")</f>
        <v xml:space="preserve"> VODOSKOK D.D., ČULINEČKA CESTA 221/C, 10040 ZAGREB, OIB: 34134218058</v>
      </c>
      <c r="H4150" s="7"/>
      <c r="I4150" s="8" t="s">
        <v>247</v>
      </c>
      <c r="J4150" s="8" t="s">
        <v>1461</v>
      </c>
      <c r="K4150" s="6" t="str">
        <f>"1.080,80"</f>
        <v>1.080,80</v>
      </c>
      <c r="L4150" s="6" t="str">
        <f>"270,20"</f>
        <v>270,20</v>
      </c>
      <c r="M4150" s="6" t="str">
        <f>"1.351,00"</f>
        <v>1.351,00</v>
      </c>
      <c r="N4150" s="8" t="s">
        <v>133</v>
      </c>
      <c r="O4150" s="7"/>
      <c r="P4150" s="2" t="s">
        <v>8095</v>
      </c>
      <c r="Q4150" s="7"/>
      <c r="R4150" s="1"/>
      <c r="S4150" s="1" t="str">
        <f>"J-UN-2022-648"</f>
        <v>J-UN-2022-648</v>
      </c>
      <c r="T4150" s="1" t="s">
        <v>32</v>
      </c>
    </row>
    <row r="4151" spans="1:20" ht="51" x14ac:dyDescent="0.25">
      <c r="A4151" s="6">
        <v>4145</v>
      </c>
      <c r="B4151" s="1" t="str">
        <f>"2022-709"</f>
        <v>2022-709</v>
      </c>
      <c r="C4151" s="1" t="s">
        <v>2798</v>
      </c>
      <c r="D4151" s="1" t="s">
        <v>914</v>
      </c>
      <c r="E4151" s="1" t="str">
        <f>""</f>
        <v/>
      </c>
      <c r="F4151" s="1" t="s">
        <v>1860</v>
      </c>
      <c r="G4151" s="1" t="str">
        <f>CONCATENATE(" D.R. AUTO D.O.O.,"," SELSKA CESTA 34,"," 10000 ZAGREB,"," OIB: 07523847158")</f>
        <v xml:space="preserve"> D.R. AUTO D.O.O., SELSKA CESTA 34, 10000 ZAGREB, OIB: 07523847158</v>
      </c>
      <c r="H4151" s="7"/>
      <c r="I4151" s="8" t="s">
        <v>291</v>
      </c>
      <c r="J4151" s="8" t="s">
        <v>2334</v>
      </c>
      <c r="K4151" s="6" t="str">
        <f>"1.352,00"</f>
        <v>1.352,00</v>
      </c>
      <c r="L4151" s="6" t="str">
        <f>"338,00"</f>
        <v>338,00</v>
      </c>
      <c r="M4151" s="6" t="str">
        <f>"1.690,00"</f>
        <v>1.690,00</v>
      </c>
      <c r="N4151" s="8" t="s">
        <v>261</v>
      </c>
      <c r="O4151" s="7"/>
      <c r="P4151" s="2" t="s">
        <v>8096</v>
      </c>
      <c r="Q4151" s="7"/>
      <c r="R4151" s="1"/>
      <c r="S4151" s="1" t="str">
        <f>"J-UN-2022-649"</f>
        <v>J-UN-2022-649</v>
      </c>
      <c r="T4151" s="1" t="s">
        <v>32</v>
      </c>
    </row>
    <row r="4152" spans="1:20" ht="63.75" x14ac:dyDescent="0.25">
      <c r="A4152" s="6">
        <v>4146</v>
      </c>
      <c r="B4152" s="1" t="str">
        <f>"2022-600"</f>
        <v>2022-600</v>
      </c>
      <c r="C4152" s="1" t="s">
        <v>2817</v>
      </c>
      <c r="D4152" s="1" t="s">
        <v>2818</v>
      </c>
      <c r="E4152" s="1" t="str">
        <f>""</f>
        <v/>
      </c>
      <c r="F4152" s="1" t="s">
        <v>1860</v>
      </c>
      <c r="G4152" s="1" t="str">
        <f>CONCATENATE(" TOKIĆ D.O.O.,"," ULICA 144. BRIGADE HRVATSKE VOJSKE 1A,"," 10360 SESVETE,"," OIB: 7486748762")</f>
        <v xml:space="preserve"> TOKIĆ D.O.O., ULICA 144. BRIGADE HRVATSKE VOJSKE 1A, 10360 SESVETE, OIB: 7486748762</v>
      </c>
      <c r="H4152" s="7"/>
      <c r="I4152" s="8" t="s">
        <v>30</v>
      </c>
      <c r="J4152" s="8" t="s">
        <v>389</v>
      </c>
      <c r="K4152" s="6" t="str">
        <f>"23.949,00"</f>
        <v>23.949,00</v>
      </c>
      <c r="L4152" s="6" t="str">
        <f>"5.987,25"</f>
        <v>5.987,25</v>
      </c>
      <c r="M4152" s="6" t="str">
        <f>"29.936,25"</f>
        <v>29.936,25</v>
      </c>
      <c r="N4152" s="8" t="s">
        <v>172</v>
      </c>
      <c r="O4152" s="7"/>
      <c r="P4152" s="2" t="s">
        <v>8097</v>
      </c>
      <c r="Q4152" s="7"/>
      <c r="R4152" s="1"/>
      <c r="S4152" s="1" t="str">
        <f>"J-UN-2022-650"</f>
        <v>J-UN-2022-650</v>
      </c>
      <c r="T4152" s="1" t="s">
        <v>32</v>
      </c>
    </row>
    <row r="4153" spans="1:20" ht="76.5" x14ac:dyDescent="0.25">
      <c r="A4153" s="6">
        <v>4147</v>
      </c>
      <c r="B4153" s="1" t="str">
        <f>"2022-306"</f>
        <v>2022-306</v>
      </c>
      <c r="C4153" s="1" t="s">
        <v>2692</v>
      </c>
      <c r="D4153" s="1" t="s">
        <v>2693</v>
      </c>
      <c r="E4153" s="1" t="str">
        <f>""</f>
        <v/>
      </c>
      <c r="F4153" s="1" t="s">
        <v>1860</v>
      </c>
      <c r="G4153" s="1" t="str">
        <f>CONCATENATE(" SMIT-COMMERCE D.O.O.,"," GORNJOSTUPNIČKA 9B,"," 10255 GORNJI STUPNIK,"," OIB: 9524348214")</f>
        <v xml:space="preserve"> SMIT-COMMERCE D.O.O., GORNJOSTUPNIČKA 9B, 10255 GORNJI STUPNIK, OIB: 9524348214</v>
      </c>
      <c r="H4153" s="7"/>
      <c r="I4153" s="8" t="s">
        <v>403</v>
      </c>
      <c r="J4153" s="8" t="s">
        <v>3117</v>
      </c>
      <c r="K4153" s="6" t="str">
        <f>"5.526,54"</f>
        <v>5.526,54</v>
      </c>
      <c r="L4153" s="6" t="str">
        <f>"1.381,64"</f>
        <v>1.381,64</v>
      </c>
      <c r="M4153" s="6" t="str">
        <f>"6.908,18"</f>
        <v>6.908,18</v>
      </c>
      <c r="N4153" s="8" t="s">
        <v>160</v>
      </c>
      <c r="O4153" s="7"/>
      <c r="P4153" s="2" t="s">
        <v>8098</v>
      </c>
      <c r="Q4153" s="7"/>
      <c r="R4153" s="1"/>
      <c r="S4153" s="1" t="str">
        <f>"J-UN-2022-651"</f>
        <v>J-UN-2022-651</v>
      </c>
      <c r="T4153" s="1" t="s">
        <v>32</v>
      </c>
    </row>
    <row r="4154" spans="1:20" ht="63.75" x14ac:dyDescent="0.25">
      <c r="A4154" s="6">
        <v>4148</v>
      </c>
      <c r="B4154" s="1" t="str">
        <f>"2022-600"</f>
        <v>2022-600</v>
      </c>
      <c r="C4154" s="1" t="s">
        <v>2817</v>
      </c>
      <c r="D4154" s="1" t="s">
        <v>2818</v>
      </c>
      <c r="E4154" s="1" t="str">
        <f>""</f>
        <v/>
      </c>
      <c r="F4154" s="1" t="s">
        <v>1860</v>
      </c>
      <c r="G4154" s="1" t="str">
        <f>CONCATENATE(" AUTO-MAG D.O.O.,"," GORNJOSTUPNIČKA 1/d,"," 10255 GORNJI STUPNIK,"," OIB: 99940897955")</f>
        <v xml:space="preserve"> AUTO-MAG D.O.O., GORNJOSTUPNIČKA 1/d, 10255 GORNJI STUPNIK, OIB: 99940897955</v>
      </c>
      <c r="H4154" s="7"/>
      <c r="I4154" s="8" t="s">
        <v>403</v>
      </c>
      <c r="J4154" s="8" t="s">
        <v>3117</v>
      </c>
      <c r="K4154" s="6" t="str">
        <f>"2.400,00"</f>
        <v>2.400,00</v>
      </c>
      <c r="L4154" s="6" t="str">
        <f>"600,00"</f>
        <v>600,00</v>
      </c>
      <c r="M4154" s="6" t="str">
        <f>"3.000,00"</f>
        <v>3.000,00</v>
      </c>
      <c r="N4154" s="8" t="s">
        <v>124</v>
      </c>
      <c r="O4154" s="7"/>
      <c r="P4154" s="2" t="s">
        <v>5614</v>
      </c>
      <c r="Q4154" s="7"/>
      <c r="R4154" s="1"/>
      <c r="S4154" s="1" t="str">
        <f>"J-UN-2022-653"</f>
        <v>J-UN-2022-653</v>
      </c>
      <c r="T4154" s="1" t="s">
        <v>32</v>
      </c>
    </row>
    <row r="4155" spans="1:20" ht="51" x14ac:dyDescent="0.25">
      <c r="A4155" s="6">
        <v>4149</v>
      </c>
      <c r="B4155" s="1" t="str">
        <f>"2022-473"</f>
        <v>2022-473</v>
      </c>
      <c r="C4155" s="1" t="s">
        <v>2738</v>
      </c>
      <c r="D4155" s="1" t="s">
        <v>2739</v>
      </c>
      <c r="E4155" s="1" t="str">
        <f>""</f>
        <v/>
      </c>
      <c r="F4155" s="1" t="s">
        <v>1860</v>
      </c>
      <c r="G4155" s="1" t="str">
        <f>CONCATENATE(" TOPTEHNIKA J.D.O.O.,"," PILINKA 51A,"," 10251 HRVATSKI LESKOVAC,"," OIB: 40215607334")</f>
        <v xml:space="preserve"> TOPTEHNIKA J.D.O.O., PILINKA 51A, 10251 HRVATSKI LESKOVAC, OIB: 40215607334</v>
      </c>
      <c r="H4155" s="7"/>
      <c r="I4155" s="8" t="s">
        <v>291</v>
      </c>
      <c r="J4155" s="8" t="s">
        <v>2334</v>
      </c>
      <c r="K4155" s="6" t="str">
        <f>"4.423,00"</f>
        <v>4.423,00</v>
      </c>
      <c r="L4155" s="6" t="str">
        <f>"1.105,75"</f>
        <v>1.105,75</v>
      </c>
      <c r="M4155" s="6" t="str">
        <f>"5.528,75"</f>
        <v>5.528,75</v>
      </c>
      <c r="N4155" s="8" t="s">
        <v>247</v>
      </c>
      <c r="O4155" s="7"/>
      <c r="P4155" s="2" t="s">
        <v>8099</v>
      </c>
      <c r="Q4155" s="1" t="s">
        <v>5601</v>
      </c>
      <c r="R4155" s="1"/>
      <c r="S4155" s="1" t="str">
        <f>"J-UN-2022-654"</f>
        <v>J-UN-2022-654</v>
      </c>
      <c r="T4155" s="1" t="s">
        <v>32</v>
      </c>
    </row>
    <row r="4156" spans="1:20" ht="63.75" x14ac:dyDescent="0.25">
      <c r="A4156" s="6">
        <v>4150</v>
      </c>
      <c r="B4156" s="1" t="str">
        <f>"2022-460"</f>
        <v>2022-460</v>
      </c>
      <c r="C4156" s="1" t="s">
        <v>2793</v>
      </c>
      <c r="D4156" s="1" t="s">
        <v>1619</v>
      </c>
      <c r="E4156" s="1" t="str">
        <f>""</f>
        <v/>
      </c>
      <c r="F4156" s="1" t="s">
        <v>1860</v>
      </c>
      <c r="G4156" s="1" t="str">
        <f>CONCATENATE(" HIDROMEHANIKA D.O.O.,"," SLAVONSKA AVENIJA 26/10,"," 10000 ZAGREB,"," OIB: 9178029895")</f>
        <v xml:space="preserve"> HIDROMEHANIKA D.O.O., SLAVONSKA AVENIJA 26/10, 10000 ZAGREB, OIB: 9178029895</v>
      </c>
      <c r="H4156" s="7"/>
      <c r="I4156" s="8" t="s">
        <v>291</v>
      </c>
      <c r="J4156" s="8" t="s">
        <v>2334</v>
      </c>
      <c r="K4156" s="6" t="str">
        <f>"12.178,30"</f>
        <v>12.178,30</v>
      </c>
      <c r="L4156" s="6" t="str">
        <f>"3.044,58"</f>
        <v>3.044,58</v>
      </c>
      <c r="M4156" s="6" t="str">
        <f>"15.222,88"</f>
        <v>15.222,88</v>
      </c>
      <c r="N4156" s="8" t="s">
        <v>293</v>
      </c>
      <c r="O4156" s="7"/>
      <c r="P4156" s="2" t="s">
        <v>8100</v>
      </c>
      <c r="Q4156" s="7"/>
      <c r="R4156" s="1"/>
      <c r="S4156" s="1" t="str">
        <f>"J-UN-2022-655"</f>
        <v>J-UN-2022-655</v>
      </c>
      <c r="T4156" s="1" t="s">
        <v>32</v>
      </c>
    </row>
    <row r="4157" spans="1:20" ht="51" x14ac:dyDescent="0.25">
      <c r="A4157" s="6">
        <v>4151</v>
      </c>
      <c r="B4157" s="1" t="str">
        <f>"2022-506"</f>
        <v>2022-506</v>
      </c>
      <c r="C4157" s="1" t="s">
        <v>3119</v>
      </c>
      <c r="D4157" s="1" t="s">
        <v>750</v>
      </c>
      <c r="E4157" s="1" t="str">
        <f>""</f>
        <v/>
      </c>
      <c r="F4157" s="1" t="s">
        <v>1860</v>
      </c>
      <c r="G4157" s="1" t="str">
        <f>CONCATENATE(" KOVA D.O.O.,"," BRAĆE RADIĆA 122B,"," 10410 VELIKA GORICA,"," OIB: 31948370674")</f>
        <v xml:space="preserve"> KOVA D.O.O., BRAĆE RADIĆA 122B, 10410 VELIKA GORICA, OIB: 31948370674</v>
      </c>
      <c r="H4157" s="7"/>
      <c r="I4157" s="8" t="s">
        <v>403</v>
      </c>
      <c r="J4157" s="8" t="s">
        <v>3117</v>
      </c>
      <c r="K4157" s="6" t="str">
        <f>"40.050,00"</f>
        <v>40.050,00</v>
      </c>
      <c r="L4157" s="6" t="str">
        <f>"10.012,50"</f>
        <v>10.012,50</v>
      </c>
      <c r="M4157" s="6" t="str">
        <f>"50.062,50"</f>
        <v>50.062,50</v>
      </c>
      <c r="N4157" s="8" t="s">
        <v>905</v>
      </c>
      <c r="O4157" s="7"/>
      <c r="P4157" s="2" t="s">
        <v>8101</v>
      </c>
      <c r="Q4157" s="7"/>
      <c r="R4157" s="1"/>
      <c r="S4157" s="1" t="str">
        <f>"J-UN-2022-656"</f>
        <v>J-UN-2022-656</v>
      </c>
      <c r="T4157" s="1" t="s">
        <v>32</v>
      </c>
    </row>
    <row r="4158" spans="1:20" ht="63.75" x14ac:dyDescent="0.25">
      <c r="A4158" s="6">
        <v>4152</v>
      </c>
      <c r="B4158" s="1" t="str">
        <f>"2022-716"</f>
        <v>2022-716</v>
      </c>
      <c r="C4158" s="1" t="s">
        <v>2563</v>
      </c>
      <c r="D4158" s="1" t="s">
        <v>914</v>
      </c>
      <c r="E4158" s="1" t="str">
        <f>""</f>
        <v/>
      </c>
      <c r="F4158" s="1" t="s">
        <v>1860</v>
      </c>
      <c r="G4158" s="1" t="str">
        <f>CONCATENATE(" TOKIĆ D.O.O.,"," ULICA 144. BRIGADE HRVATSKE VOJSKE 1A,"," 10360 SESVETE,"," OIB: 7486748762")</f>
        <v xml:space="preserve"> TOKIĆ D.O.O., ULICA 144. BRIGADE HRVATSKE VOJSKE 1A, 10360 SESVETE, OIB: 7486748762</v>
      </c>
      <c r="H4158" s="7"/>
      <c r="I4158" s="8" t="s">
        <v>72</v>
      </c>
      <c r="J4158" s="8" t="s">
        <v>2172</v>
      </c>
      <c r="K4158" s="6" t="str">
        <f>"301,00"</f>
        <v>301,00</v>
      </c>
      <c r="L4158" s="6" t="str">
        <f>"75,25"</f>
        <v>75,25</v>
      </c>
      <c r="M4158" s="6" t="str">
        <f>"376,25"</f>
        <v>376,25</v>
      </c>
      <c r="N4158" s="8" t="s">
        <v>521</v>
      </c>
      <c r="O4158" s="7"/>
      <c r="P4158" s="2" t="s">
        <v>8102</v>
      </c>
      <c r="Q4158" s="7"/>
      <c r="R4158" s="1"/>
      <c r="S4158" s="1" t="str">
        <f>"J-UN-2022-657"</f>
        <v>J-UN-2022-657</v>
      </c>
      <c r="T4158" s="1" t="s">
        <v>32</v>
      </c>
    </row>
    <row r="4159" spans="1:20" ht="63.75" x14ac:dyDescent="0.25">
      <c r="A4159" s="6">
        <v>4153</v>
      </c>
      <c r="B4159" s="1" t="str">
        <f>"2022-321"</f>
        <v>2022-321</v>
      </c>
      <c r="C4159" s="1" t="s">
        <v>2703</v>
      </c>
      <c r="D4159" s="1" t="s">
        <v>2704</v>
      </c>
      <c r="E4159" s="1" t="str">
        <f>""</f>
        <v/>
      </c>
      <c r="F4159" s="1" t="s">
        <v>1860</v>
      </c>
      <c r="G4159" s="1" t="str">
        <f>CONCATENATE(" ELEKTRO-KOMUNIKACIJE D.O.O.,"," 14. PODBREŽJE 4,"," 10000 ZAGREB,"," OIB: 76412373309")</f>
        <v xml:space="preserve"> ELEKTRO-KOMUNIKACIJE D.O.O., 14. PODBREŽJE 4, 10000 ZAGREB, OIB: 76412373309</v>
      </c>
      <c r="H4159" s="7"/>
      <c r="I4159" s="8" t="s">
        <v>247</v>
      </c>
      <c r="J4159" s="8" t="s">
        <v>1461</v>
      </c>
      <c r="K4159" s="6" t="str">
        <f>"359,40"</f>
        <v>359,40</v>
      </c>
      <c r="L4159" s="6" t="str">
        <f>"89,85"</f>
        <v>89,85</v>
      </c>
      <c r="M4159" s="6" t="str">
        <f>"449,25"</f>
        <v>449,25</v>
      </c>
      <c r="N4159" s="8" t="s">
        <v>478</v>
      </c>
      <c r="O4159" s="7"/>
      <c r="P4159" s="2" t="s">
        <v>8103</v>
      </c>
      <c r="Q4159" s="7"/>
      <c r="R4159" s="1"/>
      <c r="S4159" s="1" t="str">
        <f>"J-UN-2022-658"</f>
        <v>J-UN-2022-658</v>
      </c>
      <c r="T4159" s="1" t="s">
        <v>32</v>
      </c>
    </row>
    <row r="4160" spans="1:20" ht="51" x14ac:dyDescent="0.25">
      <c r="A4160" s="6">
        <v>4154</v>
      </c>
      <c r="B4160" s="1" t="str">
        <f>"2022-1458"</f>
        <v>2022-1458</v>
      </c>
      <c r="C4160" s="1" t="s">
        <v>2851</v>
      </c>
      <c r="D4160" s="1" t="s">
        <v>1007</v>
      </c>
      <c r="E4160" s="1" t="str">
        <f>""</f>
        <v/>
      </c>
      <c r="F4160" s="1" t="s">
        <v>1860</v>
      </c>
      <c r="G4160" s="1" t="str">
        <f>CONCATENATE(" ECCOS-INŽENJERING D.O.O.,"," BANI 110,"," 10000 ZAGREB,"," OIB: 71629027685")</f>
        <v xml:space="preserve"> ECCOS-INŽENJERING D.O.O., BANI 110, 10000 ZAGREB, OIB: 71629027685</v>
      </c>
      <c r="H4160" s="7"/>
      <c r="I4160" s="8" t="s">
        <v>919</v>
      </c>
      <c r="J4160" s="8" t="s">
        <v>1430</v>
      </c>
      <c r="K4160" s="6" t="str">
        <f>"13.135,00"</f>
        <v>13.135,00</v>
      </c>
      <c r="L4160" s="6" t="str">
        <f>"3.283,75"</f>
        <v>3.283,75</v>
      </c>
      <c r="M4160" s="6" t="str">
        <f>"16.418,75"</f>
        <v>16.418,75</v>
      </c>
      <c r="N4160" s="8" t="s">
        <v>424</v>
      </c>
      <c r="O4160" s="7"/>
      <c r="P4160" s="2" t="s">
        <v>8104</v>
      </c>
      <c r="Q4160" s="7"/>
      <c r="R4160" s="1"/>
      <c r="S4160" s="1" t="str">
        <f>"J-UN-2022-659"</f>
        <v>J-UN-2022-659</v>
      </c>
      <c r="T4160" s="1" t="s">
        <v>32</v>
      </c>
    </row>
    <row r="4161" spans="1:20" ht="51" x14ac:dyDescent="0.25">
      <c r="A4161" s="6">
        <v>4155</v>
      </c>
      <c r="B4161" s="1" t="str">
        <f>"2022-813"</f>
        <v>2022-813</v>
      </c>
      <c r="C4161" s="1" t="s">
        <v>2844</v>
      </c>
      <c r="D4161" s="1" t="s">
        <v>2716</v>
      </c>
      <c r="E4161" s="1" t="str">
        <f>""</f>
        <v/>
      </c>
      <c r="F4161" s="1" t="s">
        <v>1860</v>
      </c>
      <c r="G4161" s="1" t="str">
        <f>CONCATENATE(" LAGER BAŠIĆ D.O.O.,"," TRGOVAČKA 3,"," 10255 DONJI STUPNIK,"," OIB: 49617677906")</f>
        <v xml:space="preserve"> LAGER BAŠIĆ D.O.O., TRGOVAČKA 3, 10255 DONJI STUPNIK, OIB: 49617677906</v>
      </c>
      <c r="H4161" s="7"/>
      <c r="I4161" s="8" t="s">
        <v>291</v>
      </c>
      <c r="J4161" s="8" t="s">
        <v>2334</v>
      </c>
      <c r="K4161" s="6" t="str">
        <f>"1.993,00"</f>
        <v>1.993,00</v>
      </c>
      <c r="L4161" s="6" t="str">
        <f>"498,25"</f>
        <v>498,25</v>
      </c>
      <c r="M4161" s="6" t="str">
        <f>"2.491,25"</f>
        <v>2.491,25</v>
      </c>
      <c r="N4161" s="8" t="s">
        <v>124</v>
      </c>
      <c r="O4161" s="7"/>
      <c r="P4161" s="2" t="s">
        <v>5614</v>
      </c>
      <c r="Q4161" s="7"/>
      <c r="R4161" s="1"/>
      <c r="S4161" s="1" t="str">
        <f>"J-UN-2022-660"</f>
        <v>J-UN-2022-660</v>
      </c>
      <c r="T4161" s="1" t="s">
        <v>32</v>
      </c>
    </row>
    <row r="4162" spans="1:20" ht="76.5" x14ac:dyDescent="0.25">
      <c r="A4162" s="6">
        <v>4156</v>
      </c>
      <c r="B4162" s="1" t="str">
        <f>"2022-757"</f>
        <v>2022-757</v>
      </c>
      <c r="C4162" s="1" t="s">
        <v>2690</v>
      </c>
      <c r="D4162" s="1" t="s">
        <v>2691</v>
      </c>
      <c r="E4162" s="1" t="str">
        <f>""</f>
        <v/>
      </c>
      <c r="F4162" s="1" t="s">
        <v>1860</v>
      </c>
      <c r="G4162" s="1" t="str">
        <f>CONCATENATE(" SMIT-COMMERCE D.O.O.,"," GORNJOSTUPNIČKA 9B,"," 10255 GORNJI STUPNIK,"," OIB: 9524348214")</f>
        <v xml:space="preserve"> SMIT-COMMERCE D.O.O., GORNJOSTUPNIČKA 9B, 10255 GORNJI STUPNIK, OIB: 9524348214</v>
      </c>
      <c r="H4162" s="7"/>
      <c r="I4162" s="8" t="s">
        <v>293</v>
      </c>
      <c r="J4162" s="8" t="s">
        <v>3120</v>
      </c>
      <c r="K4162" s="6" t="str">
        <f>"454,54"</f>
        <v>454,54</v>
      </c>
      <c r="L4162" s="6" t="str">
        <f>"113,64"</f>
        <v>113,64</v>
      </c>
      <c r="M4162" s="6" t="str">
        <f>"568,18"</f>
        <v>568,18</v>
      </c>
      <c r="N4162" s="8" t="s">
        <v>124</v>
      </c>
      <c r="O4162" s="7"/>
      <c r="P4162" s="2" t="s">
        <v>8105</v>
      </c>
      <c r="Q4162" s="7"/>
      <c r="R4162" s="1"/>
      <c r="S4162" s="1" t="str">
        <f>"J-UN-2022-661"</f>
        <v>J-UN-2022-661</v>
      </c>
      <c r="T4162" s="1" t="s">
        <v>32</v>
      </c>
    </row>
    <row r="4163" spans="1:20" ht="51" x14ac:dyDescent="0.25">
      <c r="A4163" s="6">
        <v>4157</v>
      </c>
      <c r="B4163" s="1" t="str">
        <f>"2022-954"</f>
        <v>2022-954</v>
      </c>
      <c r="C4163" s="1" t="s">
        <v>2655</v>
      </c>
      <c r="D4163" s="1" t="s">
        <v>2656</v>
      </c>
      <c r="E4163" s="1" t="str">
        <f>""</f>
        <v/>
      </c>
      <c r="F4163" s="1" t="s">
        <v>1860</v>
      </c>
      <c r="G4163" s="1" t="str">
        <f>CONCATENATE(" PROCESNA OPREMA D.O.O.,"," MAJSTORSKA 11,"," 10000 ZAGREB,"," OIB: 82552676073")</f>
        <v xml:space="preserve"> PROCESNA OPREMA D.O.O., MAJSTORSKA 11, 10000 ZAGREB, OIB: 82552676073</v>
      </c>
      <c r="H4163" s="7"/>
      <c r="I4163" s="8" t="s">
        <v>291</v>
      </c>
      <c r="J4163" s="8" t="s">
        <v>2334</v>
      </c>
      <c r="K4163" s="6" t="str">
        <f>"44.685,00"</f>
        <v>44.685,00</v>
      </c>
      <c r="L4163" s="6" t="str">
        <f>"11.171,25"</f>
        <v>11.171,25</v>
      </c>
      <c r="M4163" s="6" t="str">
        <f>"55.856,25"</f>
        <v>55.856,25</v>
      </c>
      <c r="N4163" s="8" t="s">
        <v>607</v>
      </c>
      <c r="O4163" s="7"/>
      <c r="P4163" s="2" t="s">
        <v>7157</v>
      </c>
      <c r="Q4163" s="7"/>
      <c r="R4163" s="1"/>
      <c r="S4163" s="1" t="str">
        <f>"J-UN-2022-662"</f>
        <v>J-UN-2022-662</v>
      </c>
      <c r="T4163" s="1" t="s">
        <v>32</v>
      </c>
    </row>
    <row r="4164" spans="1:20" ht="51" x14ac:dyDescent="0.25">
      <c r="A4164" s="6">
        <v>4158</v>
      </c>
      <c r="B4164" s="1" t="str">
        <f>"2022-813"</f>
        <v>2022-813</v>
      </c>
      <c r="C4164" s="1" t="s">
        <v>2844</v>
      </c>
      <c r="D4164" s="1" t="s">
        <v>2716</v>
      </c>
      <c r="E4164" s="1" t="str">
        <f>""</f>
        <v/>
      </c>
      <c r="F4164" s="1" t="s">
        <v>1860</v>
      </c>
      <c r="G4164" s="1" t="str">
        <f>CONCATENATE(" STAR IMPORT D.O.O.,"," KOVINSKA 5,"," 10090 ZAGREB-SUSEDGRAD,"," OIB: 783122799")</f>
        <v xml:space="preserve"> STAR IMPORT D.O.O., KOVINSKA 5, 10090 ZAGREB-SUSEDGRAD, OIB: 783122799</v>
      </c>
      <c r="H4164" s="7"/>
      <c r="I4164" s="8" t="s">
        <v>291</v>
      </c>
      <c r="J4164" s="8" t="s">
        <v>2334</v>
      </c>
      <c r="K4164" s="6" t="str">
        <f>"13.900,05"</f>
        <v>13.900,05</v>
      </c>
      <c r="L4164" s="6" t="str">
        <f>"3.475,01"</f>
        <v>3.475,01</v>
      </c>
      <c r="M4164" s="6" t="str">
        <f>"17.375,06"</f>
        <v>17.375,06</v>
      </c>
      <c r="N4164" s="8" t="s">
        <v>354</v>
      </c>
      <c r="O4164" s="7"/>
      <c r="P4164" s="2" t="s">
        <v>8106</v>
      </c>
      <c r="Q4164" s="1" t="s">
        <v>5601</v>
      </c>
      <c r="R4164" s="1"/>
      <c r="S4164" s="1" t="str">
        <f>"J-UN-2022-663"</f>
        <v>J-UN-2022-663</v>
      </c>
      <c r="T4164" s="1" t="s">
        <v>32</v>
      </c>
    </row>
    <row r="4165" spans="1:20" ht="63.75" x14ac:dyDescent="0.25">
      <c r="A4165" s="6">
        <v>4159</v>
      </c>
      <c r="B4165" s="1" t="str">
        <f>"2022-825"</f>
        <v>2022-825</v>
      </c>
      <c r="C4165" s="1" t="s">
        <v>2492</v>
      </c>
      <c r="D4165" s="1" t="s">
        <v>2493</v>
      </c>
      <c r="E4165" s="1" t="str">
        <f>""</f>
        <v/>
      </c>
      <c r="F4165" s="1" t="s">
        <v>1860</v>
      </c>
      <c r="G4165" s="1" t="str">
        <f>CONCATENATE(" TOKIĆ D.O.O.,"," ULICA 144. BRIGADE HRVATSKE VOJSKE 1A,"," 10360 SESVETE,"," OIB: 7486748762")</f>
        <v xml:space="preserve"> TOKIĆ D.O.O., ULICA 144. BRIGADE HRVATSKE VOJSKE 1A, 10360 SESVETE, OIB: 7486748762</v>
      </c>
      <c r="H4165" s="7"/>
      <c r="I4165" s="8" t="s">
        <v>293</v>
      </c>
      <c r="J4165" s="8" t="s">
        <v>3120</v>
      </c>
      <c r="K4165" s="6" t="str">
        <f>"1.100,00"</f>
        <v>1.100,00</v>
      </c>
      <c r="L4165" s="6" t="str">
        <f>"275,00"</f>
        <v>275,00</v>
      </c>
      <c r="M4165" s="6" t="str">
        <f>"1.375,00"</f>
        <v>1.375,00</v>
      </c>
      <c r="N4165" s="8" t="s">
        <v>30</v>
      </c>
      <c r="O4165" s="7"/>
      <c r="P4165" s="2" t="s">
        <v>7315</v>
      </c>
      <c r="Q4165" s="7"/>
      <c r="R4165" s="1"/>
      <c r="S4165" s="1" t="str">
        <f>"J-UN-2022-664"</f>
        <v>J-UN-2022-664</v>
      </c>
      <c r="T4165" s="1" t="s">
        <v>32</v>
      </c>
    </row>
    <row r="4166" spans="1:20" ht="76.5" x14ac:dyDescent="0.25">
      <c r="A4166" s="6">
        <v>4160</v>
      </c>
      <c r="B4166" s="1" t="str">
        <f>"2022-207"</f>
        <v>2022-207</v>
      </c>
      <c r="C4166" s="1" t="s">
        <v>2734</v>
      </c>
      <c r="D4166" s="1" t="s">
        <v>2735</v>
      </c>
      <c r="E4166" s="1" t="str">
        <f>""</f>
        <v/>
      </c>
      <c r="F4166" s="1" t="s">
        <v>1860</v>
      </c>
      <c r="G4166" s="1" t="str">
        <f>CONCATENATE(" SMIT-COMMERCE D.O.O.,"," GORNJOSTUPNIČKA 9B,"," 10255 GORNJI STUPNIK,"," OIB: 9524348214")</f>
        <v xml:space="preserve"> SMIT-COMMERCE D.O.O., GORNJOSTUPNIČKA 9B, 10255 GORNJI STUPNIK, OIB: 9524348214</v>
      </c>
      <c r="H4166" s="7"/>
      <c r="I4166" s="8" t="s">
        <v>293</v>
      </c>
      <c r="J4166" s="8" t="s">
        <v>3120</v>
      </c>
      <c r="K4166" s="6" t="str">
        <f>"1.601,20"</f>
        <v>1.601,20</v>
      </c>
      <c r="L4166" s="6" t="str">
        <f>"400,30"</f>
        <v>400,30</v>
      </c>
      <c r="M4166" s="6" t="str">
        <f>"2.001,50"</f>
        <v>2.001,50</v>
      </c>
      <c r="N4166" s="8" t="s">
        <v>426</v>
      </c>
      <c r="O4166" s="7"/>
      <c r="P4166" s="2" t="s">
        <v>8107</v>
      </c>
      <c r="Q4166" s="1" t="s">
        <v>5601</v>
      </c>
      <c r="R4166" s="1"/>
      <c r="S4166" s="1" t="str">
        <f>"J-UN-2022-665"</f>
        <v>J-UN-2022-665</v>
      </c>
      <c r="T4166" s="1" t="s">
        <v>32</v>
      </c>
    </row>
    <row r="4167" spans="1:20" ht="63.75" x14ac:dyDescent="0.25">
      <c r="A4167" s="6">
        <v>4161</v>
      </c>
      <c r="B4167" s="1" t="str">
        <f>"2022-988"</f>
        <v>2022-988</v>
      </c>
      <c r="C4167" s="1" t="s">
        <v>2845</v>
      </c>
      <c r="D4167" s="1" t="s">
        <v>2846</v>
      </c>
      <c r="E4167" s="1" t="str">
        <f>""</f>
        <v/>
      </c>
      <c r="F4167" s="1" t="s">
        <v>1860</v>
      </c>
      <c r="G4167" s="1" t="str">
        <f>CONCATENATE(" MAT-TOPS D.O.O.,"," J.KOVAČIĆA 5,"," 10413 KRAVARSKO(ŠILJAKOVINA),"," OIB: 99349765216")</f>
        <v xml:space="preserve"> MAT-TOPS D.O.O., J.KOVAČIĆA 5, 10413 KRAVARSKO(ŠILJAKOVINA), OIB: 99349765216</v>
      </c>
      <c r="H4167" s="7"/>
      <c r="I4167" s="8" t="s">
        <v>919</v>
      </c>
      <c r="J4167" s="8" t="s">
        <v>1430</v>
      </c>
      <c r="K4167" s="6" t="str">
        <f>"49.425,00"</f>
        <v>49.425,00</v>
      </c>
      <c r="L4167" s="6" t="str">
        <f>"12.356,25"</f>
        <v>12.356,25</v>
      </c>
      <c r="M4167" s="6" t="str">
        <f>"61.781,25"</f>
        <v>61.781,25</v>
      </c>
      <c r="N4167" s="8" t="s">
        <v>994</v>
      </c>
      <c r="O4167" s="7"/>
      <c r="P4167" s="2" t="s">
        <v>7344</v>
      </c>
      <c r="Q4167" s="7"/>
      <c r="R4167" s="1"/>
      <c r="S4167" s="1" t="str">
        <f>"J-UN-2022-666"</f>
        <v>J-UN-2022-666</v>
      </c>
      <c r="T4167" s="1" t="s">
        <v>32</v>
      </c>
    </row>
    <row r="4168" spans="1:20" ht="51" x14ac:dyDescent="0.25">
      <c r="A4168" s="6">
        <v>4162</v>
      </c>
      <c r="B4168" s="1" t="str">
        <f>"2022-923"</f>
        <v>2022-923</v>
      </c>
      <c r="C4168" s="1" t="s">
        <v>2856</v>
      </c>
      <c r="D4168" s="1" t="s">
        <v>1007</v>
      </c>
      <c r="E4168" s="1" t="str">
        <f>""</f>
        <v/>
      </c>
      <c r="F4168" s="1" t="s">
        <v>1860</v>
      </c>
      <c r="G4168" s="1" t="str">
        <f>CONCATENATE(" TEHNOPLAM D.O.O.,"," USKOČKA 29,"," 10000 ZAGREB,"," OIB: 95347519849")</f>
        <v xml:space="preserve"> TEHNOPLAM D.O.O., USKOČKA 29, 10000 ZAGREB, OIB: 95347519849</v>
      </c>
      <c r="H4168" s="7"/>
      <c r="I4168" s="8" t="s">
        <v>919</v>
      </c>
      <c r="J4168" s="8" t="s">
        <v>1430</v>
      </c>
      <c r="K4168" s="6" t="str">
        <f>"8.965,00"</f>
        <v>8.965,00</v>
      </c>
      <c r="L4168" s="6" t="str">
        <f>"2.241,25"</f>
        <v>2.241,25</v>
      </c>
      <c r="M4168" s="6" t="str">
        <f>"11.206,25"</f>
        <v>11.206,25</v>
      </c>
      <c r="N4168" s="8" t="s">
        <v>898</v>
      </c>
      <c r="O4168" s="7"/>
      <c r="P4168" s="2" t="s">
        <v>7828</v>
      </c>
      <c r="Q4168" s="7"/>
      <c r="R4168" s="1"/>
      <c r="S4168" s="1" t="str">
        <f>"J-UN-2022-667"</f>
        <v>J-UN-2022-667</v>
      </c>
      <c r="T4168" s="1" t="s">
        <v>32</v>
      </c>
    </row>
    <row r="4169" spans="1:20" ht="76.5" x14ac:dyDescent="0.25">
      <c r="A4169" s="6">
        <v>4163</v>
      </c>
      <c r="B4169" s="1" t="str">
        <f>"2022-755"</f>
        <v>2022-755</v>
      </c>
      <c r="C4169" s="1" t="s">
        <v>2615</v>
      </c>
      <c r="D4169" s="1" t="s">
        <v>999</v>
      </c>
      <c r="E4169" s="1" t="str">
        <f>""</f>
        <v/>
      </c>
      <c r="F4169" s="1" t="s">
        <v>1860</v>
      </c>
      <c r="G4169" s="1" t="str">
        <f>CONCATENATE(" SMIT-COMMERCE D.O.O.,"," GORNJOSTUPNIČKA 9B,"," 10255 GORNJI STUPNIK,"," OIB: 9524348214")</f>
        <v xml:space="preserve"> SMIT-COMMERCE D.O.O., GORNJOSTUPNIČKA 9B, 10255 GORNJI STUPNIK, OIB: 9524348214</v>
      </c>
      <c r="H4169" s="7"/>
      <c r="I4169" s="8" t="s">
        <v>293</v>
      </c>
      <c r="J4169" s="8" t="s">
        <v>3120</v>
      </c>
      <c r="K4169" s="6" t="str">
        <f>"2.604,00"</f>
        <v>2.604,00</v>
      </c>
      <c r="L4169" s="6" t="str">
        <f>"651,00"</f>
        <v>651,00</v>
      </c>
      <c r="M4169" s="6" t="str">
        <f>"3.255,00"</f>
        <v>3.255,00</v>
      </c>
      <c r="N4169" s="8" t="s">
        <v>30</v>
      </c>
      <c r="O4169" s="7"/>
      <c r="P4169" s="2" t="s">
        <v>8108</v>
      </c>
      <c r="Q4169" s="7"/>
      <c r="R4169" s="1"/>
      <c r="S4169" s="1" t="str">
        <f>"J-UN-2022-668"</f>
        <v>J-UN-2022-668</v>
      </c>
      <c r="T4169" s="1" t="s">
        <v>32</v>
      </c>
    </row>
    <row r="4170" spans="1:20" ht="63.75" x14ac:dyDescent="0.25">
      <c r="A4170" s="6">
        <v>4164</v>
      </c>
      <c r="B4170" s="1" t="str">
        <f>"2022-273"</f>
        <v>2022-273</v>
      </c>
      <c r="C4170" s="1" t="s">
        <v>2737</v>
      </c>
      <c r="D4170" s="1" t="s">
        <v>689</v>
      </c>
      <c r="E4170" s="1" t="str">
        <f>""</f>
        <v/>
      </c>
      <c r="F4170" s="1" t="s">
        <v>1860</v>
      </c>
      <c r="G4170" s="1" t="str">
        <f>CONCATENATE(" POLJOOPSKRBA-TEHNO D.D.,"," SAMOBORSKA 96,"," 10000 ZAGREB,"," OIB: 5372167324")</f>
        <v xml:space="preserve"> POLJOOPSKRBA-TEHNO D.D., SAMOBORSKA 96, 10000 ZAGREB, OIB: 5372167324</v>
      </c>
      <c r="H4170" s="7"/>
      <c r="I4170" s="8" t="s">
        <v>293</v>
      </c>
      <c r="J4170" s="8" t="s">
        <v>3120</v>
      </c>
      <c r="K4170" s="6" t="str">
        <f>"998,00"</f>
        <v>998,00</v>
      </c>
      <c r="L4170" s="6" t="str">
        <f>"249,50"</f>
        <v>249,50</v>
      </c>
      <c r="M4170" s="6" t="str">
        <f>"1.247,50"</f>
        <v>1.247,50</v>
      </c>
      <c r="N4170" s="8" t="s">
        <v>30</v>
      </c>
      <c r="O4170" s="7"/>
      <c r="P4170" s="2" t="s">
        <v>8109</v>
      </c>
      <c r="Q4170" s="7"/>
      <c r="R4170" s="1"/>
      <c r="S4170" s="1" t="str">
        <f>"J-UN-2022-669"</f>
        <v>J-UN-2022-669</v>
      </c>
      <c r="T4170" s="1" t="s">
        <v>32</v>
      </c>
    </row>
    <row r="4171" spans="1:20" ht="63.75" x14ac:dyDescent="0.25">
      <c r="A4171" s="6">
        <v>4165</v>
      </c>
      <c r="B4171" s="1" t="str">
        <f>"2022-455"</f>
        <v>2022-455</v>
      </c>
      <c r="C4171" s="1" t="s">
        <v>2597</v>
      </c>
      <c r="D4171" s="1" t="s">
        <v>2598</v>
      </c>
      <c r="E4171" s="1" t="str">
        <f>""</f>
        <v/>
      </c>
      <c r="F4171" s="1" t="s">
        <v>1860</v>
      </c>
      <c r="G4171" s="1" t="str">
        <f>CONCATENATE(" POLJOOPSKRBA-TEHNO D.D.,"," SAMOBORSKA 96,"," 10000 ZAGREB,"," OIB: 5372167324")</f>
        <v xml:space="preserve"> POLJOOPSKRBA-TEHNO D.D., SAMOBORSKA 96, 10000 ZAGREB, OIB: 5372167324</v>
      </c>
      <c r="H4171" s="7"/>
      <c r="I4171" s="8" t="s">
        <v>293</v>
      </c>
      <c r="J4171" s="8" t="s">
        <v>3120</v>
      </c>
      <c r="K4171" s="6" t="str">
        <f>"1.399,00"</f>
        <v>1.399,00</v>
      </c>
      <c r="L4171" s="6" t="str">
        <f>"349,75"</f>
        <v>349,75</v>
      </c>
      <c r="M4171" s="6" t="str">
        <f>"1.748,75"</f>
        <v>1.748,75</v>
      </c>
      <c r="N4171" s="8" t="s">
        <v>30</v>
      </c>
      <c r="O4171" s="7"/>
      <c r="P4171" s="2" t="s">
        <v>8110</v>
      </c>
      <c r="Q4171" s="7"/>
      <c r="R4171" s="1"/>
      <c r="S4171" s="1" t="str">
        <f>"J-UN-2022-670"</f>
        <v>J-UN-2022-670</v>
      </c>
      <c r="T4171" s="1" t="s">
        <v>32</v>
      </c>
    </row>
    <row r="4172" spans="1:20" ht="51" x14ac:dyDescent="0.25">
      <c r="A4172" s="6">
        <v>4166</v>
      </c>
      <c r="B4172" s="1" t="str">
        <f>"2022-1238"</f>
        <v>2022-1238</v>
      </c>
      <c r="C4172" s="1" t="s">
        <v>3102</v>
      </c>
      <c r="D4172" s="1" t="s">
        <v>2631</v>
      </c>
      <c r="E4172" s="1" t="str">
        <f>""</f>
        <v/>
      </c>
      <c r="F4172" s="1" t="s">
        <v>1860</v>
      </c>
      <c r="G4172" s="1" t="str">
        <f>CONCATENATE(" INVENTA D.O.O.,"," ULICA GRADA VUKOVARA 284,"," 10000 ZAGREB,"," OIB: 99213847706")</f>
        <v xml:space="preserve"> INVENTA D.O.O., ULICA GRADA VUKOVARA 284, 10000 ZAGREB, OIB: 99213847706</v>
      </c>
      <c r="H4172" s="7"/>
      <c r="I4172" s="8" t="s">
        <v>291</v>
      </c>
      <c r="J4172" s="8" t="s">
        <v>2334</v>
      </c>
      <c r="K4172" s="6" t="str">
        <f>"3.060,00"</f>
        <v>3.060,00</v>
      </c>
      <c r="L4172" s="6" t="str">
        <f>"765,00"</f>
        <v>765,00</v>
      </c>
      <c r="M4172" s="6" t="str">
        <f>"3.825,00"</f>
        <v>3.825,00</v>
      </c>
      <c r="N4172" s="8" t="s">
        <v>53</v>
      </c>
      <c r="O4172" s="7"/>
      <c r="P4172" s="2" t="s">
        <v>8111</v>
      </c>
      <c r="Q4172" s="7"/>
      <c r="R4172" s="1"/>
      <c r="S4172" s="1" t="str">
        <f>"J-UN-2022-671"</f>
        <v>J-UN-2022-671</v>
      </c>
      <c r="T4172" s="1" t="s">
        <v>32</v>
      </c>
    </row>
    <row r="4173" spans="1:20" ht="76.5" x14ac:dyDescent="0.25">
      <c r="A4173" s="6">
        <v>4167</v>
      </c>
      <c r="B4173" s="1" t="str">
        <f>"2022-201"</f>
        <v>2022-201</v>
      </c>
      <c r="C4173" s="1" t="s">
        <v>2651</v>
      </c>
      <c r="D4173" s="1" t="s">
        <v>2652</v>
      </c>
      <c r="E4173" s="1" t="str">
        <f>""</f>
        <v/>
      </c>
      <c r="F4173" s="1" t="s">
        <v>1860</v>
      </c>
      <c r="G4173" s="1" t="str">
        <f>CONCATENATE(" SMIT-COMMERCE D.O.O.,"," GORNJOSTUPNIČKA 9B,"," 10255 GORNJI STUPNIK,"," OIB: 9524348214")</f>
        <v xml:space="preserve"> SMIT-COMMERCE D.O.O., GORNJOSTUPNIČKA 9B, 10255 GORNJI STUPNIK, OIB: 9524348214</v>
      </c>
      <c r="H4173" s="7"/>
      <c r="I4173" s="8" t="s">
        <v>250</v>
      </c>
      <c r="J4173" s="8" t="s">
        <v>1441</v>
      </c>
      <c r="K4173" s="6" t="str">
        <f>"1.476,98"</f>
        <v>1.476,98</v>
      </c>
      <c r="L4173" s="6" t="str">
        <f>"369,25"</f>
        <v>369,25</v>
      </c>
      <c r="M4173" s="6" t="str">
        <f>"1.846,23"</f>
        <v>1.846,23</v>
      </c>
      <c r="N4173" s="8" t="s">
        <v>272</v>
      </c>
      <c r="O4173" s="7"/>
      <c r="P4173" s="2" t="s">
        <v>8112</v>
      </c>
      <c r="Q4173" s="7"/>
      <c r="R4173" s="1"/>
      <c r="S4173" s="1" t="str">
        <f>"J-UN-2022-672"</f>
        <v>J-UN-2022-672</v>
      </c>
      <c r="T4173" s="1" t="s">
        <v>32</v>
      </c>
    </row>
    <row r="4174" spans="1:20" ht="63.75" x14ac:dyDescent="0.25">
      <c r="A4174" s="6">
        <v>4168</v>
      </c>
      <c r="B4174" s="1" t="str">
        <f>"2022-244"</f>
        <v>2022-244</v>
      </c>
      <c r="C4174" s="1" t="s">
        <v>2677</v>
      </c>
      <c r="D4174" s="1" t="s">
        <v>2678</v>
      </c>
      <c r="E4174" s="1" t="str">
        <f>""</f>
        <v/>
      </c>
      <c r="F4174" s="1" t="s">
        <v>1860</v>
      </c>
      <c r="G4174" s="1" t="str">
        <f>CONCATENATE(" GRADSKA LJEKARNA ZAGREB,"," KRALJA DRŽISLAVA 6,"," 10000 ZAGREB,"," OIB: 37268254106")</f>
        <v xml:space="preserve"> GRADSKA LJEKARNA ZAGREB, KRALJA DRŽISLAVA 6, 10000 ZAGREB, OIB: 37268254106</v>
      </c>
      <c r="H4174" s="7"/>
      <c r="I4174" s="8" t="s">
        <v>250</v>
      </c>
      <c r="J4174" s="8" t="s">
        <v>1441</v>
      </c>
      <c r="K4174" s="6" t="str">
        <f>"1.071,90"</f>
        <v>1.071,90</v>
      </c>
      <c r="L4174" s="6" t="str">
        <f>"267,98"</f>
        <v>267,98</v>
      </c>
      <c r="M4174" s="6" t="str">
        <f>"1.339,88"</f>
        <v>1.339,88</v>
      </c>
      <c r="N4174" s="8" t="s">
        <v>428</v>
      </c>
      <c r="O4174" s="7"/>
      <c r="P4174" s="2" t="s">
        <v>8113</v>
      </c>
      <c r="Q4174" s="7"/>
      <c r="R4174" s="1"/>
      <c r="S4174" s="1" t="str">
        <f>"J-UN-2022-673"</f>
        <v>J-UN-2022-673</v>
      </c>
      <c r="T4174" s="1" t="s">
        <v>32</v>
      </c>
    </row>
    <row r="4175" spans="1:20" ht="51" x14ac:dyDescent="0.25">
      <c r="A4175" s="6">
        <v>4169</v>
      </c>
      <c r="B4175" s="1" t="str">
        <f>"2022-970"</f>
        <v>2022-970</v>
      </c>
      <c r="C4175" s="1" t="s">
        <v>2857</v>
      </c>
      <c r="D4175" s="1" t="s">
        <v>1373</v>
      </c>
      <c r="E4175" s="1" t="str">
        <f>""</f>
        <v/>
      </c>
      <c r="F4175" s="1" t="s">
        <v>1860</v>
      </c>
      <c r="G4175" s="1" t="str">
        <f>CONCATENATE(" BLUEMONT D.O.O.,"," VINCEKOV BREG 20,"," 10000 ZAGREB,"," OIB: 54895392358")</f>
        <v xml:space="preserve"> BLUEMONT D.O.O., VINCEKOV BREG 20, 10000 ZAGREB, OIB: 54895392358</v>
      </c>
      <c r="H4175" s="7"/>
      <c r="I4175" s="8" t="s">
        <v>919</v>
      </c>
      <c r="J4175" s="8" t="s">
        <v>1430</v>
      </c>
      <c r="K4175" s="6" t="str">
        <f>"2.717,10"</f>
        <v>2.717,10</v>
      </c>
      <c r="L4175" s="6" t="str">
        <f>"679,28"</f>
        <v>679,28</v>
      </c>
      <c r="M4175" s="6" t="str">
        <f>"3.396,38"</f>
        <v>3.396,38</v>
      </c>
      <c r="N4175" s="8" t="s">
        <v>293</v>
      </c>
      <c r="O4175" s="7"/>
      <c r="P4175" s="2" t="s">
        <v>8114</v>
      </c>
      <c r="Q4175" s="7"/>
      <c r="R4175" s="1"/>
      <c r="S4175" s="1" t="str">
        <f>"J-UN-2022-674"</f>
        <v>J-UN-2022-674</v>
      </c>
      <c r="T4175" s="1" t="s">
        <v>32</v>
      </c>
    </row>
    <row r="4176" spans="1:20" ht="51" x14ac:dyDescent="0.25">
      <c r="A4176" s="6">
        <v>4170</v>
      </c>
      <c r="B4176" s="1" t="str">
        <f>"2022-1831"</f>
        <v>2022-1831</v>
      </c>
      <c r="C4176" s="1" t="s">
        <v>3121</v>
      </c>
      <c r="D4176" s="1" t="s">
        <v>537</v>
      </c>
      <c r="E4176" s="1" t="str">
        <f>""</f>
        <v/>
      </c>
      <c r="F4176" s="1" t="s">
        <v>1860</v>
      </c>
      <c r="G4176" s="1" t="str">
        <f>CONCATENATE(" TRANSENA D.O.O.,"," UNSKA 15,"," 44250 PETRINJA,"," OIB: 2197018532")</f>
        <v xml:space="preserve"> TRANSENA D.O.O., UNSKA 15, 44250 PETRINJA, OIB: 2197018532</v>
      </c>
      <c r="H4176" s="7"/>
      <c r="I4176" s="8" t="s">
        <v>261</v>
      </c>
      <c r="J4176" s="8" t="s">
        <v>3122</v>
      </c>
      <c r="K4176" s="6" t="str">
        <f>"112.500,00"</f>
        <v>112.500,00</v>
      </c>
      <c r="L4176" s="6" t="str">
        <f>"28.125,00"</f>
        <v>28.125,00</v>
      </c>
      <c r="M4176" s="6" t="str">
        <f>"140.625,00"</f>
        <v>140.625,00</v>
      </c>
      <c r="N4176" s="8" t="s">
        <v>3123</v>
      </c>
      <c r="O4176" s="7"/>
      <c r="P4176" s="2" t="s">
        <v>8115</v>
      </c>
      <c r="Q4176" s="7"/>
      <c r="R4176" s="1"/>
      <c r="S4176" s="1" t="str">
        <f>"J-UN-2022-676"</f>
        <v>J-UN-2022-676</v>
      </c>
      <c r="T4176" s="1" t="s">
        <v>32</v>
      </c>
    </row>
    <row r="4177" spans="1:20" ht="63.75" x14ac:dyDescent="0.25">
      <c r="A4177" s="6">
        <v>4171</v>
      </c>
      <c r="B4177" s="1" t="str">
        <f>"2022-503"</f>
        <v>2022-503</v>
      </c>
      <c r="C4177" s="1" t="s">
        <v>2699</v>
      </c>
      <c r="D4177" s="1" t="s">
        <v>1888</v>
      </c>
      <c r="E4177" s="1" t="str">
        <f>""</f>
        <v/>
      </c>
      <c r="F4177" s="1" t="s">
        <v>1860</v>
      </c>
      <c r="G4177" s="1" t="str">
        <f>CONCATENATE(" METAL-KOVIS D.O.O.,"," MALA RAKOVICA,"," STARA CESTA 14,"," 10430 SAMOBOR,"," OIB: 83581046582")</f>
        <v xml:space="preserve"> METAL-KOVIS D.O.O., MALA RAKOVICA, STARA CESTA 14, 10430 SAMOBOR, OIB: 83581046582</v>
      </c>
      <c r="H4177" s="7"/>
      <c r="I4177" s="8" t="s">
        <v>919</v>
      </c>
      <c r="J4177" s="8" t="s">
        <v>1430</v>
      </c>
      <c r="K4177" s="6" t="str">
        <f>"13.581,00"</f>
        <v>13.581,00</v>
      </c>
      <c r="L4177" s="6" t="str">
        <f>"3.395,25"</f>
        <v>3.395,25</v>
      </c>
      <c r="M4177" s="6" t="str">
        <f>"16.976,25"</f>
        <v>16.976,25</v>
      </c>
      <c r="N4177" s="8" t="s">
        <v>124</v>
      </c>
      <c r="O4177" s="7"/>
      <c r="P4177" s="2" t="s">
        <v>5614</v>
      </c>
      <c r="Q4177" s="7"/>
      <c r="R4177" s="1"/>
      <c r="S4177" s="1" t="str">
        <f>"J-UN-2022-678"</f>
        <v>J-UN-2022-678</v>
      </c>
      <c r="T4177" s="1" t="s">
        <v>32</v>
      </c>
    </row>
    <row r="4178" spans="1:20" ht="51" x14ac:dyDescent="0.25">
      <c r="A4178" s="6">
        <v>4172</v>
      </c>
      <c r="B4178" s="1" t="str">
        <f>"2022-984"</f>
        <v>2022-984</v>
      </c>
      <c r="C4178" s="1" t="s">
        <v>2638</v>
      </c>
      <c r="D4178" s="1" t="s">
        <v>1458</v>
      </c>
      <c r="E4178" s="1" t="str">
        <f>""</f>
        <v/>
      </c>
      <c r="F4178" s="1" t="s">
        <v>1860</v>
      </c>
      <c r="G4178" s="1" t="str">
        <f>CONCATENATE(" TEPESCO D.O.O.,"," JASENA 11A,"," 10040 ZAGREB,"," OIB: 7691411318")</f>
        <v xml:space="preserve"> TEPESCO D.O.O., JASENA 11A, 10040 ZAGREB, OIB: 7691411318</v>
      </c>
      <c r="H4178" s="7"/>
      <c r="I4178" s="8" t="s">
        <v>919</v>
      </c>
      <c r="J4178" s="8" t="s">
        <v>1430</v>
      </c>
      <c r="K4178" s="6" t="str">
        <f>"19.200,00"</f>
        <v>19.200,00</v>
      </c>
      <c r="L4178" s="6" t="str">
        <f>"4.800,00"</f>
        <v>4.800,00</v>
      </c>
      <c r="M4178" s="6" t="str">
        <f>"24.000,00"</f>
        <v>24.000,00</v>
      </c>
      <c r="N4178" s="8" t="s">
        <v>1112</v>
      </c>
      <c r="O4178" s="7"/>
      <c r="P4178" s="2" t="s">
        <v>8116</v>
      </c>
      <c r="Q4178" s="7"/>
      <c r="R4178" s="1"/>
      <c r="S4178" s="1" t="str">
        <f>"J-UN-2022-679"</f>
        <v>J-UN-2022-679</v>
      </c>
      <c r="T4178" s="1" t="s">
        <v>32</v>
      </c>
    </row>
    <row r="4179" spans="1:20" ht="63.75" x14ac:dyDescent="0.25">
      <c r="A4179" s="6">
        <v>4173</v>
      </c>
      <c r="B4179" s="1" t="str">
        <f>"2022-713"</f>
        <v>2022-713</v>
      </c>
      <c r="C4179" s="1" t="s">
        <v>3072</v>
      </c>
      <c r="D4179" s="1" t="s">
        <v>914</v>
      </c>
      <c r="E4179" s="1" t="str">
        <f>""</f>
        <v/>
      </c>
      <c r="F4179" s="1" t="s">
        <v>1860</v>
      </c>
      <c r="G4179" s="1" t="str">
        <f>CONCATENATE(" TOKIĆ D.O.O.,"," ULICA 144. BRIGADE HRVATSKE VOJSKE 1A,"," 10360 SESVETE,"," OIB: 7486748762")</f>
        <v xml:space="preserve"> TOKIĆ D.O.O., ULICA 144. BRIGADE HRVATSKE VOJSKE 1A, 10360 SESVETE, OIB: 7486748762</v>
      </c>
      <c r="H4179" s="7"/>
      <c r="I4179" s="8" t="s">
        <v>354</v>
      </c>
      <c r="J4179" s="8" t="s">
        <v>3118</v>
      </c>
      <c r="K4179" s="6" t="str">
        <f>"5.920,00"</f>
        <v>5.920,00</v>
      </c>
      <c r="L4179" s="6" t="str">
        <f>"1.480,00"</f>
        <v>1.480,00</v>
      </c>
      <c r="M4179" s="6" t="str">
        <f>"7.400,00"</f>
        <v>7.400,00</v>
      </c>
      <c r="N4179" s="8" t="s">
        <v>124</v>
      </c>
      <c r="O4179" s="7"/>
      <c r="P4179" s="2" t="s">
        <v>5614</v>
      </c>
      <c r="Q4179" s="7"/>
      <c r="R4179" s="1"/>
      <c r="S4179" s="1" t="str">
        <f>"J-UN-2022-682"</f>
        <v>J-UN-2022-682</v>
      </c>
      <c r="T4179" s="1" t="s">
        <v>32</v>
      </c>
    </row>
    <row r="4180" spans="1:20" ht="89.25" x14ac:dyDescent="0.25">
      <c r="A4180" s="6">
        <v>4174</v>
      </c>
      <c r="B4180" s="1" t="str">
        <f>"2022-244"</f>
        <v>2022-244</v>
      </c>
      <c r="C4180" s="1" t="s">
        <v>2677</v>
      </c>
      <c r="D4180" s="1" t="s">
        <v>2678</v>
      </c>
      <c r="E4180" s="1" t="str">
        <f>""</f>
        <v/>
      </c>
      <c r="F4180" s="1" t="s">
        <v>1860</v>
      </c>
      <c r="G4180" s="1" t="str">
        <f>CONCATENATE(" ZAVOD ZA ISTRAŽIVANJE I RAZVOJ SIGURNOSTI D.O.O.,"," ULICA GRADA VUKOVARA 68,"," 10000 ZAGREB,"," OIB: 05494093403")</f>
        <v xml:space="preserve"> ZAVOD ZA ISTRAŽIVANJE I RAZVOJ SIGURNOSTI D.O.O., ULICA GRADA VUKOVARA 68, 10000 ZAGREB, OIB: 05494093403</v>
      </c>
      <c r="H4180" s="7"/>
      <c r="I4180" s="8" t="s">
        <v>354</v>
      </c>
      <c r="J4180" s="8" t="s">
        <v>3118</v>
      </c>
      <c r="K4180" s="6" t="str">
        <f>"4.784,64"</f>
        <v>4.784,64</v>
      </c>
      <c r="L4180" s="6" t="str">
        <f>"1.196,16"</f>
        <v>1.196,16</v>
      </c>
      <c r="M4180" s="6" t="str">
        <f>"5.980,80"</f>
        <v>5.980,80</v>
      </c>
      <c r="N4180" s="8" t="s">
        <v>72</v>
      </c>
      <c r="O4180" s="7"/>
      <c r="P4180" s="2" t="s">
        <v>8117</v>
      </c>
      <c r="Q4180" s="7"/>
      <c r="R4180" s="1"/>
      <c r="S4180" s="1" t="str">
        <f>"J-UN-2022-683"</f>
        <v>J-UN-2022-683</v>
      </c>
      <c r="T4180" s="1" t="s">
        <v>32</v>
      </c>
    </row>
    <row r="4181" spans="1:20" ht="38.25" x14ac:dyDescent="0.25">
      <c r="A4181" s="6">
        <v>4175</v>
      </c>
      <c r="B4181" s="1" t="str">
        <f>"2022-698"</f>
        <v>2022-698</v>
      </c>
      <c r="C4181" s="1" t="s">
        <v>2565</v>
      </c>
      <c r="D4181" s="1" t="s">
        <v>1833</v>
      </c>
      <c r="E4181" s="1" t="str">
        <f>""</f>
        <v/>
      </c>
      <c r="F4181" s="1" t="s">
        <v>1860</v>
      </c>
      <c r="G4181" s="1" t="str">
        <f>CONCATENATE(" R-PIM D.O.O.,"," ,"," OIB: 38514700472")</f>
        <v xml:space="preserve"> R-PIM D.O.O., , OIB: 38514700472</v>
      </c>
      <c r="H4181" s="7"/>
      <c r="I4181" s="8" t="s">
        <v>262</v>
      </c>
      <c r="J4181" s="8" t="s">
        <v>1435</v>
      </c>
      <c r="K4181" s="6" t="str">
        <f>"5.786,00"</f>
        <v>5.786,00</v>
      </c>
      <c r="L4181" s="6" t="str">
        <f>"1.446,50"</f>
        <v>1.446,50</v>
      </c>
      <c r="M4181" s="6" t="str">
        <f>"7.232,50"</f>
        <v>7.232,50</v>
      </c>
      <c r="N4181" s="8" t="s">
        <v>607</v>
      </c>
      <c r="O4181" s="7"/>
      <c r="P4181" s="2" t="s">
        <v>8118</v>
      </c>
      <c r="Q4181" s="7"/>
      <c r="R4181" s="1"/>
      <c r="S4181" s="1" t="str">
        <f>"J-UN-2022-684"</f>
        <v>J-UN-2022-684</v>
      </c>
      <c r="T4181" s="1" t="s">
        <v>32</v>
      </c>
    </row>
    <row r="4182" spans="1:20" ht="51" x14ac:dyDescent="0.25">
      <c r="A4182" s="6">
        <v>4176</v>
      </c>
      <c r="B4182" s="1" t="str">
        <f>"2022-1414"</f>
        <v>2022-1414</v>
      </c>
      <c r="C4182" s="1" t="s">
        <v>2553</v>
      </c>
      <c r="D4182" s="1" t="s">
        <v>2554</v>
      </c>
      <c r="E4182" s="1" t="str">
        <f>""</f>
        <v/>
      </c>
      <c r="F4182" s="1" t="s">
        <v>1860</v>
      </c>
      <c r="G4182" s="1" t="str">
        <f>CONCATENATE(" FOCUS VL SUZANA ARSLANI,"," ULICA BORELLI 10B,"," 23000 ZADAR,"," OIB: 94525473076")</f>
        <v xml:space="preserve"> FOCUS VL SUZANA ARSLANI, ULICA BORELLI 10B, 23000 ZADAR, OIB: 94525473076</v>
      </c>
      <c r="H4182" s="7"/>
      <c r="I4182" s="8" t="s">
        <v>250</v>
      </c>
      <c r="J4182" s="8" t="s">
        <v>1441</v>
      </c>
      <c r="K4182" s="6" t="str">
        <f>"5.000,00"</f>
        <v>5.000,00</v>
      </c>
      <c r="L4182" s="6" t="str">
        <f>"1.250,00"</f>
        <v>1.250,00</v>
      </c>
      <c r="M4182" s="6" t="str">
        <f>"6.250,00"</f>
        <v>6.250,00</v>
      </c>
      <c r="N4182" s="8" t="s">
        <v>172</v>
      </c>
      <c r="O4182" s="7"/>
      <c r="P4182" s="2" t="s">
        <v>6367</v>
      </c>
      <c r="Q4182" s="7"/>
      <c r="R4182" s="1"/>
      <c r="S4182" s="1" t="str">
        <f>"J-UN-2022-686"</f>
        <v>J-UN-2022-686</v>
      </c>
      <c r="T4182" s="1" t="s">
        <v>32</v>
      </c>
    </row>
    <row r="4183" spans="1:20" ht="114.75" x14ac:dyDescent="0.25">
      <c r="A4183" s="6">
        <v>4177</v>
      </c>
      <c r="B4183" s="1" t="str">
        <f>"2022-1438"</f>
        <v>2022-1438</v>
      </c>
      <c r="C4183" s="1" t="s">
        <v>3124</v>
      </c>
      <c r="D4183" s="1" t="s">
        <v>860</v>
      </c>
      <c r="E4183" s="1" t="str">
        <f>""</f>
        <v/>
      </c>
      <c r="F4183" s="1" t="s">
        <v>1860</v>
      </c>
      <c r="G4183" s="1" t="str">
        <f>CONCATENATE(" VINSKI JURAJ -  OBRT ZA PROIZVODNJU,","POPRAVAK,","OŠTRENJEI VELEPRODAJU REZNIH ALATA VL.BORIS VINSKI,"," MIRNOVEČKA CESTA 40,"," 10430 SAMOBOR,"," OIB: 99114657919")</f>
        <v xml:space="preserve"> VINSKI JURAJ -  OBRT ZA PROIZVODNJU,POPRAVAK,OŠTRENJEI VELEPRODAJU REZNIH ALATA VL.BORIS VINSKI, MIRNOVEČKA CESTA 40, 10430 SAMOBOR, OIB: 99114657919</v>
      </c>
      <c r="H4183" s="7"/>
      <c r="I4183" s="8" t="s">
        <v>354</v>
      </c>
      <c r="J4183" s="8" t="s">
        <v>3103</v>
      </c>
      <c r="K4183" s="6" t="str">
        <f>"2.895,40"</f>
        <v>2.895,40</v>
      </c>
      <c r="L4183" s="6" t="str">
        <f>"723,85"</f>
        <v>723,85</v>
      </c>
      <c r="M4183" s="6" t="str">
        <f>"3.619,25"</f>
        <v>3.619,25</v>
      </c>
      <c r="N4183" s="8" t="s">
        <v>124</v>
      </c>
      <c r="O4183" s="7"/>
      <c r="P4183" s="2" t="s">
        <v>5614</v>
      </c>
      <c r="Q4183" s="7"/>
      <c r="R4183" s="1"/>
      <c r="S4183" s="1" t="str">
        <f>"J-UN-2022-688"</f>
        <v>J-UN-2022-688</v>
      </c>
      <c r="T4183" s="1" t="s">
        <v>32</v>
      </c>
    </row>
    <row r="4184" spans="1:20" ht="51" x14ac:dyDescent="0.25">
      <c r="A4184" s="6">
        <v>4178</v>
      </c>
      <c r="B4184" s="1" t="str">
        <f>"2022-1006"</f>
        <v>2022-1006</v>
      </c>
      <c r="C4184" s="1" t="s">
        <v>2618</v>
      </c>
      <c r="D4184" s="1" t="s">
        <v>2619</v>
      </c>
      <c r="E4184" s="1" t="str">
        <f>""</f>
        <v/>
      </c>
      <c r="F4184" s="1" t="s">
        <v>1860</v>
      </c>
      <c r="G4184" s="1" t="str">
        <f>CONCATENATE(" TRA-MONT D.O.O.,"," MILIVOJA MATOŠECA 5,"," 10000 ZAGREB,"," OIB: 05336208843")</f>
        <v xml:space="preserve"> TRA-MONT D.O.O., MILIVOJA MATOŠECA 5, 10000 ZAGREB, OIB: 05336208843</v>
      </c>
      <c r="H4184" s="7"/>
      <c r="I4184" s="8" t="s">
        <v>30</v>
      </c>
      <c r="J4184" s="8" t="s">
        <v>389</v>
      </c>
      <c r="K4184" s="6" t="str">
        <f>"6.525,00"</f>
        <v>6.525,00</v>
      </c>
      <c r="L4184" s="6" t="str">
        <f>"1.631,25"</f>
        <v>1.631,25</v>
      </c>
      <c r="M4184" s="6" t="str">
        <f>"8.156,25"</f>
        <v>8.156,25</v>
      </c>
      <c r="N4184" s="8" t="s">
        <v>478</v>
      </c>
      <c r="O4184" s="7"/>
      <c r="P4184" s="2" t="s">
        <v>8119</v>
      </c>
      <c r="Q4184" s="7"/>
      <c r="R4184" s="1"/>
      <c r="S4184" s="1" t="str">
        <f>"J-UN-2022-689"</f>
        <v>J-UN-2022-689</v>
      </c>
      <c r="T4184" s="1" t="s">
        <v>32</v>
      </c>
    </row>
    <row r="4185" spans="1:20" ht="63.75" x14ac:dyDescent="0.25">
      <c r="A4185" s="6">
        <v>4179</v>
      </c>
      <c r="B4185" s="1" t="str">
        <f>"2022-1321"</f>
        <v>2022-1321</v>
      </c>
      <c r="C4185" s="1" t="s">
        <v>2987</v>
      </c>
      <c r="D4185" s="1" t="s">
        <v>2988</v>
      </c>
      <c r="E4185" s="1" t="str">
        <f>""</f>
        <v/>
      </c>
      <c r="F4185" s="1" t="s">
        <v>1860</v>
      </c>
      <c r="G4185" s="1" t="str">
        <f>CONCATENATE(" LANIŠTE D.O.O.,"," ALEXANDERA VON HUMBOLDTA 4B,"," 10000 ZAGREB,"," OIB: 3755384865")</f>
        <v xml:space="preserve"> LANIŠTE D.O.O., ALEXANDERA VON HUMBOLDTA 4B, 10000 ZAGREB, OIB: 3755384865</v>
      </c>
      <c r="H4185" s="7"/>
      <c r="I4185" s="8" t="s">
        <v>354</v>
      </c>
      <c r="J4185" s="8" t="s">
        <v>3118</v>
      </c>
      <c r="K4185" s="6" t="str">
        <f>"4.032,00"</f>
        <v>4.032,00</v>
      </c>
      <c r="L4185" s="6" t="str">
        <f>"1.008,00"</f>
        <v>1.008,00</v>
      </c>
      <c r="M4185" s="6" t="str">
        <f>"5.040,00"</f>
        <v>5.040,00</v>
      </c>
      <c r="N4185" s="8" t="s">
        <v>398</v>
      </c>
      <c r="O4185" s="7"/>
      <c r="P4185" s="2" t="s">
        <v>7919</v>
      </c>
      <c r="Q4185" s="7"/>
      <c r="R4185" s="1"/>
      <c r="S4185" s="1" t="str">
        <f>"J-UN-2022-690"</f>
        <v>J-UN-2022-690</v>
      </c>
      <c r="T4185" s="1" t="s">
        <v>32</v>
      </c>
    </row>
    <row r="4186" spans="1:20" ht="51" x14ac:dyDescent="0.25">
      <c r="A4186" s="6">
        <v>4180</v>
      </c>
      <c r="B4186" s="1" t="str">
        <f>"2022-377"</f>
        <v>2022-377</v>
      </c>
      <c r="C4186" s="1" t="s">
        <v>2608</v>
      </c>
      <c r="D4186" s="1" t="s">
        <v>1203</v>
      </c>
      <c r="E4186" s="1" t="str">
        <f>""</f>
        <v/>
      </c>
      <c r="F4186" s="1" t="s">
        <v>1860</v>
      </c>
      <c r="G4186" s="1" t="str">
        <f>CONCATENATE(" SVRDLO D.O.O.,"," ŠKOLSKA ULICA 10,"," 10370 DUGO SELO,"," OIB: 36535565458")</f>
        <v xml:space="preserve"> SVRDLO D.O.O., ŠKOLSKA ULICA 10, 10370 DUGO SELO, OIB: 36535565458</v>
      </c>
      <c r="H4186" s="7"/>
      <c r="I4186" s="8" t="s">
        <v>405</v>
      </c>
      <c r="J4186" s="8" t="s">
        <v>3125</v>
      </c>
      <c r="K4186" s="6" t="str">
        <f>"1.133,50"</f>
        <v>1.133,50</v>
      </c>
      <c r="L4186" s="6" t="str">
        <f>"283,38"</f>
        <v>283,38</v>
      </c>
      <c r="M4186" s="6" t="str">
        <f>"1.416,88"</f>
        <v>1.416,88</v>
      </c>
      <c r="N4186" s="8" t="s">
        <v>478</v>
      </c>
      <c r="O4186" s="7"/>
      <c r="P4186" s="2" t="s">
        <v>8120</v>
      </c>
      <c r="Q4186" s="7"/>
      <c r="R4186" s="1"/>
      <c r="S4186" s="1" t="str">
        <f>"J-UN-2022-692"</f>
        <v>J-UN-2022-692</v>
      </c>
      <c r="T4186" s="1" t="s">
        <v>32</v>
      </c>
    </row>
    <row r="4187" spans="1:20" ht="63.75" x14ac:dyDescent="0.25">
      <c r="A4187" s="6">
        <v>4181</v>
      </c>
      <c r="B4187" s="1" t="str">
        <f>"2022-1046"</f>
        <v>2022-1046</v>
      </c>
      <c r="C4187" s="1" t="s">
        <v>2825</v>
      </c>
      <c r="D4187" s="1" t="s">
        <v>2729</v>
      </c>
      <c r="E4187" s="1" t="str">
        <f>""</f>
        <v/>
      </c>
      <c r="F4187" s="1" t="s">
        <v>1860</v>
      </c>
      <c r="G4187" s="1" t="str">
        <f>CONCATENATE(" BUREAU VERITAS CROATIA D.O.O.,"," CIOTTINA 17A,"," 51000 RIJEKA,"," OIB: 8279853215")</f>
        <v xml:space="preserve"> BUREAU VERITAS CROATIA D.O.O., CIOTTINA 17A, 51000 RIJEKA, OIB: 8279853215</v>
      </c>
      <c r="H4187" s="7"/>
      <c r="I4187" s="8" t="s">
        <v>247</v>
      </c>
      <c r="J4187" s="8" t="s">
        <v>1461</v>
      </c>
      <c r="K4187" s="6" t="str">
        <f>"6.000,00"</f>
        <v>6.000,00</v>
      </c>
      <c r="L4187" s="6" t="str">
        <f>"1.500,00"</f>
        <v>1.500,00</v>
      </c>
      <c r="M4187" s="6" t="str">
        <f>"7.500,00"</f>
        <v>7.500,00</v>
      </c>
      <c r="N4187" s="8" t="s">
        <v>963</v>
      </c>
      <c r="O4187" s="7"/>
      <c r="P4187" s="2" t="s">
        <v>5806</v>
      </c>
      <c r="Q4187" s="7"/>
      <c r="R4187" s="1"/>
      <c r="S4187" s="1" t="str">
        <f>"J-UN-2022-693"</f>
        <v>J-UN-2022-693</v>
      </c>
      <c r="T4187" s="1" t="s">
        <v>32</v>
      </c>
    </row>
    <row r="4188" spans="1:20" ht="63.75" x14ac:dyDescent="0.25">
      <c r="A4188" s="6">
        <v>4182</v>
      </c>
      <c r="B4188" s="1" t="str">
        <f>"2022-1042"</f>
        <v>2022-1042</v>
      </c>
      <c r="C4188" s="1" t="s">
        <v>2728</v>
      </c>
      <c r="D4188" s="1" t="s">
        <v>2729</v>
      </c>
      <c r="E4188" s="1" t="str">
        <f>""</f>
        <v/>
      </c>
      <c r="F4188" s="1" t="s">
        <v>1860</v>
      </c>
      <c r="G4188" s="1" t="str">
        <f>CONCATENATE(" BUREAU VERITAS CROATIA D.O.O.,"," CIOTTINA 17A,"," 51000 RIJEKA,"," OIB: 8279853215")</f>
        <v xml:space="preserve"> BUREAU VERITAS CROATIA D.O.O., CIOTTINA 17A, 51000 RIJEKA, OIB: 8279853215</v>
      </c>
      <c r="H4188" s="7"/>
      <c r="I4188" s="8" t="s">
        <v>247</v>
      </c>
      <c r="J4188" s="8" t="s">
        <v>1461</v>
      </c>
      <c r="K4188" s="6" t="str">
        <f>"19.125,00"</f>
        <v>19.125,00</v>
      </c>
      <c r="L4188" s="6" t="str">
        <f>"4.781,25"</f>
        <v>4.781,25</v>
      </c>
      <c r="M4188" s="6" t="str">
        <f>"23.906,25"</f>
        <v>23.906,25</v>
      </c>
      <c r="N4188" s="8" t="s">
        <v>607</v>
      </c>
      <c r="O4188" s="7"/>
      <c r="P4188" s="2" t="s">
        <v>8121</v>
      </c>
      <c r="Q4188" s="7"/>
      <c r="R4188" s="1"/>
      <c r="S4188" s="1" t="str">
        <f>"J-UN-2022-694"</f>
        <v>J-UN-2022-694</v>
      </c>
      <c r="T4188" s="1" t="s">
        <v>32</v>
      </c>
    </row>
    <row r="4189" spans="1:20" ht="63.75" x14ac:dyDescent="0.25">
      <c r="A4189" s="6">
        <v>4183</v>
      </c>
      <c r="B4189" s="1" t="str">
        <f>"2022-825"</f>
        <v>2022-825</v>
      </c>
      <c r="C4189" s="1" t="s">
        <v>2492</v>
      </c>
      <c r="D4189" s="1" t="s">
        <v>2493</v>
      </c>
      <c r="E4189" s="1" t="str">
        <f>""</f>
        <v/>
      </c>
      <c r="F4189" s="1" t="s">
        <v>1860</v>
      </c>
      <c r="G4189" s="1" t="str">
        <f>CONCATENATE(" TOKIĆ D.O.O.,"," ULICA 144. BRIGADE HRVATSKE VOJSKE 1A,"," 10360 SESVETE,"," OIB: 7486748762")</f>
        <v xml:space="preserve"> TOKIĆ D.O.O., ULICA 144. BRIGADE HRVATSKE VOJSKE 1A, 10360 SESVETE, OIB: 7486748762</v>
      </c>
      <c r="H4189" s="7"/>
      <c r="I4189" s="8" t="s">
        <v>405</v>
      </c>
      <c r="J4189" s="8" t="s">
        <v>3125</v>
      </c>
      <c r="K4189" s="6" t="str">
        <f>"1.796,00"</f>
        <v>1.796,00</v>
      </c>
      <c r="L4189" s="6" t="str">
        <f>"449,00"</f>
        <v>449,00</v>
      </c>
      <c r="M4189" s="6" t="str">
        <f>"2.245,00"</f>
        <v>2.245,00</v>
      </c>
      <c r="N4189" s="8" t="s">
        <v>308</v>
      </c>
      <c r="O4189" s="7"/>
      <c r="P4189" s="2" t="s">
        <v>8122</v>
      </c>
      <c r="Q4189" s="7"/>
      <c r="R4189" s="1"/>
      <c r="S4189" s="1" t="str">
        <f>"J-UN-2022-695"</f>
        <v>J-UN-2022-695</v>
      </c>
      <c r="T4189" s="1" t="s">
        <v>32</v>
      </c>
    </row>
    <row r="4190" spans="1:20" ht="51" x14ac:dyDescent="0.25">
      <c r="A4190" s="6">
        <v>4184</v>
      </c>
      <c r="B4190" s="1" t="str">
        <f>"2022-709"</f>
        <v>2022-709</v>
      </c>
      <c r="C4190" s="1" t="s">
        <v>2798</v>
      </c>
      <c r="D4190" s="1" t="s">
        <v>914</v>
      </c>
      <c r="E4190" s="1" t="str">
        <f>""</f>
        <v/>
      </c>
      <c r="F4190" s="1" t="s">
        <v>1860</v>
      </c>
      <c r="G4190" s="1" t="str">
        <f>CONCATENATE(" DROBILEC D.O.O.,"," MATUNOVA 14,"," 10000 ZAGREB,"," OIB: 87772955929")</f>
        <v xml:space="preserve"> DROBILEC D.O.O., MATUNOVA 14, 10000 ZAGREB, OIB: 87772955929</v>
      </c>
      <c r="H4190" s="7"/>
      <c r="I4190" s="8" t="s">
        <v>247</v>
      </c>
      <c r="J4190" s="8" t="s">
        <v>1461</v>
      </c>
      <c r="K4190" s="6" t="str">
        <f>"1.480,00"</f>
        <v>1.480,00</v>
      </c>
      <c r="L4190" s="6" t="str">
        <f>"370,00"</f>
        <v>370,00</v>
      </c>
      <c r="M4190" s="6" t="str">
        <f>"1.850,00"</f>
        <v>1.850,00</v>
      </c>
      <c r="N4190" s="8" t="s">
        <v>478</v>
      </c>
      <c r="O4190" s="7"/>
      <c r="P4190" s="2" t="s">
        <v>8123</v>
      </c>
      <c r="Q4190" s="7"/>
      <c r="R4190" s="1"/>
      <c r="S4190" s="1" t="str">
        <f>"J-UN-2022-697"</f>
        <v>J-UN-2022-697</v>
      </c>
      <c r="T4190" s="1" t="s">
        <v>32</v>
      </c>
    </row>
    <row r="4191" spans="1:20" ht="51" x14ac:dyDescent="0.25">
      <c r="A4191" s="6">
        <v>4185</v>
      </c>
      <c r="B4191" s="1" t="str">
        <f>"2022-915"</f>
        <v>2022-915</v>
      </c>
      <c r="C4191" s="1" t="s">
        <v>3024</v>
      </c>
      <c r="D4191" s="1" t="s">
        <v>1007</v>
      </c>
      <c r="E4191" s="1" t="str">
        <f>""</f>
        <v/>
      </c>
      <c r="F4191" s="1" t="s">
        <v>1860</v>
      </c>
      <c r="G4191" s="1" t="str">
        <f>CONCATENATE(" AUREL D.O.O.,"," BORONGAJSKA CESTA bb,"," 10000 ZAGREB,"," OIB: 62871653225")</f>
        <v xml:space="preserve"> AUREL D.O.O., BORONGAJSKA CESTA bb, 10000 ZAGREB, OIB: 62871653225</v>
      </c>
      <c r="H4191" s="7"/>
      <c r="I4191" s="8" t="s">
        <v>247</v>
      </c>
      <c r="J4191" s="8" t="s">
        <v>1461</v>
      </c>
      <c r="K4191" s="6" t="str">
        <f>"8.490,00"</f>
        <v>8.490,00</v>
      </c>
      <c r="L4191" s="6" t="str">
        <f>"2.122,50"</f>
        <v>2.122,50</v>
      </c>
      <c r="M4191" s="6" t="str">
        <f>"10.612,50"</f>
        <v>10.612,50</v>
      </c>
      <c r="N4191" s="8" t="s">
        <v>124</v>
      </c>
      <c r="O4191" s="7"/>
      <c r="P4191" s="2" t="s">
        <v>5817</v>
      </c>
      <c r="Q4191" s="7"/>
      <c r="R4191" s="1"/>
      <c r="S4191" s="1" t="str">
        <f>"J-UN-2022-699"</f>
        <v>J-UN-2022-699</v>
      </c>
      <c r="T4191" s="1" t="s">
        <v>32</v>
      </c>
    </row>
    <row r="4192" spans="1:20" ht="63.75" x14ac:dyDescent="0.25">
      <c r="A4192" s="6">
        <v>4186</v>
      </c>
      <c r="B4192" s="1" t="str">
        <f>"2022-825"</f>
        <v>2022-825</v>
      </c>
      <c r="C4192" s="1" t="s">
        <v>2492</v>
      </c>
      <c r="D4192" s="1" t="s">
        <v>2493</v>
      </c>
      <c r="E4192" s="1" t="str">
        <f>""</f>
        <v/>
      </c>
      <c r="F4192" s="1" t="s">
        <v>1860</v>
      </c>
      <c r="G4192" s="1" t="str">
        <f>CONCATENATE(" TOKIĆ D.O.O.,"," ULICA 144. BRIGADE HRVATSKE VOJSKE 1A,"," 10360 SESVETE,"," OIB: 7486748762")</f>
        <v xml:space="preserve"> TOKIĆ D.O.O., ULICA 144. BRIGADE HRVATSKE VOJSKE 1A, 10360 SESVETE, OIB: 7486748762</v>
      </c>
      <c r="H4192" s="7"/>
      <c r="I4192" s="8" t="s">
        <v>30</v>
      </c>
      <c r="J4192" s="8" t="s">
        <v>389</v>
      </c>
      <c r="K4192" s="6" t="str">
        <f>"1.000,00"</f>
        <v>1.000,00</v>
      </c>
      <c r="L4192" s="6" t="str">
        <f>"250,00"</f>
        <v>250,00</v>
      </c>
      <c r="M4192" s="6" t="str">
        <f>"1.250,00"</f>
        <v>1.250,00</v>
      </c>
      <c r="N4192" s="8" t="s">
        <v>308</v>
      </c>
      <c r="O4192" s="7"/>
      <c r="P4192" s="2" t="s">
        <v>7239</v>
      </c>
      <c r="Q4192" s="7"/>
      <c r="R4192" s="1"/>
      <c r="S4192" s="1" t="str">
        <f>"J-UN-2022-700"</f>
        <v>J-UN-2022-700</v>
      </c>
      <c r="T4192" s="1" t="s">
        <v>32</v>
      </c>
    </row>
    <row r="4193" spans="1:20" ht="63.75" x14ac:dyDescent="0.25">
      <c r="A4193" s="6">
        <v>4187</v>
      </c>
      <c r="B4193" s="1" t="str">
        <f>"2022-1046"</f>
        <v>2022-1046</v>
      </c>
      <c r="C4193" s="1" t="s">
        <v>2825</v>
      </c>
      <c r="D4193" s="1" t="s">
        <v>2729</v>
      </c>
      <c r="E4193" s="1" t="str">
        <f>""</f>
        <v/>
      </c>
      <c r="F4193" s="1" t="s">
        <v>1860</v>
      </c>
      <c r="G4193" s="1" t="str">
        <f>CONCATENATE(" PROTEKO D.O.O.,"," F.PUŠKARIĆA 18,"," 10250 ZAGREB,"," OIB: 44459323154")</f>
        <v xml:space="preserve"> PROTEKO D.O.O., F.PUŠKARIĆA 18, 10250 ZAGREB, OIB: 44459323154</v>
      </c>
      <c r="H4193" s="7"/>
      <c r="I4193" s="8" t="s">
        <v>30</v>
      </c>
      <c r="J4193" s="8" t="s">
        <v>389</v>
      </c>
      <c r="K4193" s="6" t="str">
        <f>"44.700,00"</f>
        <v>44.700,00</v>
      </c>
      <c r="L4193" s="6" t="str">
        <f>"11.175,00"</f>
        <v>11.175,00</v>
      </c>
      <c r="M4193" s="6" t="str">
        <f>"55.875,00"</f>
        <v>55.875,00</v>
      </c>
      <c r="N4193" s="8" t="s">
        <v>124</v>
      </c>
      <c r="O4193" s="7"/>
      <c r="P4193" s="2" t="s">
        <v>5614</v>
      </c>
      <c r="Q4193" s="7"/>
      <c r="R4193" s="1"/>
      <c r="S4193" s="1" t="str">
        <f>"J-UN-2022-701"</f>
        <v>J-UN-2022-701</v>
      </c>
      <c r="T4193" s="1" t="s">
        <v>32</v>
      </c>
    </row>
    <row r="4194" spans="1:20" ht="51" x14ac:dyDescent="0.25">
      <c r="A4194" s="6">
        <v>4188</v>
      </c>
      <c r="B4194" s="1" t="str">
        <f>"2022-757"</f>
        <v>2022-757</v>
      </c>
      <c r="C4194" s="1" t="s">
        <v>2690</v>
      </c>
      <c r="D4194" s="1" t="s">
        <v>2691</v>
      </c>
      <c r="E4194" s="1" t="str">
        <f>""</f>
        <v/>
      </c>
      <c r="F4194" s="1" t="s">
        <v>1860</v>
      </c>
      <c r="G4194" s="1" t="str">
        <f>CONCATENATE(" VODOSKOK D.D.,"," ČULINEČKA CESTA 221/C,"," 10040 ZAGREB,"," OIB: 34134218058")</f>
        <v xml:space="preserve"> VODOSKOK D.D., ČULINEČKA CESTA 221/C, 10040 ZAGREB, OIB: 34134218058</v>
      </c>
      <c r="H4194" s="7"/>
      <c r="I4194" s="8" t="s">
        <v>607</v>
      </c>
      <c r="J4194" s="8" t="s">
        <v>2517</v>
      </c>
      <c r="K4194" s="6" t="str">
        <f>"2.728,00"</f>
        <v>2.728,00</v>
      </c>
      <c r="L4194" s="6" t="str">
        <f>"682,00"</f>
        <v>682,00</v>
      </c>
      <c r="M4194" s="6" t="str">
        <f>"3.410,00"</f>
        <v>3.410,00</v>
      </c>
      <c r="N4194" s="8" t="s">
        <v>469</v>
      </c>
      <c r="O4194" s="7"/>
      <c r="P4194" s="2" t="s">
        <v>8124</v>
      </c>
      <c r="Q4194" s="7"/>
      <c r="R4194" s="1"/>
      <c r="S4194" s="1" t="str">
        <f>"J-UN-2022-702"</f>
        <v>J-UN-2022-702</v>
      </c>
      <c r="T4194" s="1" t="s">
        <v>32</v>
      </c>
    </row>
    <row r="4195" spans="1:20" ht="63.75" x14ac:dyDescent="0.25">
      <c r="A4195" s="6">
        <v>4189</v>
      </c>
      <c r="B4195" s="1" t="str">
        <f>"2022-716"</f>
        <v>2022-716</v>
      </c>
      <c r="C4195" s="1" t="s">
        <v>2563</v>
      </c>
      <c r="D4195" s="1" t="s">
        <v>914</v>
      </c>
      <c r="E4195" s="1" t="str">
        <f>""</f>
        <v/>
      </c>
      <c r="F4195" s="1" t="s">
        <v>1860</v>
      </c>
      <c r="G4195" s="1" t="str">
        <f>CONCATENATE(" TOKIĆ D.O.O.,"," ULICA 144. BRIGADE HRVATSKE VOJSKE 1A,"," 10360 SESVETE,"," OIB: 7486748762")</f>
        <v xml:space="preserve"> TOKIĆ D.O.O., ULICA 144. BRIGADE HRVATSKE VOJSKE 1A, 10360 SESVETE, OIB: 7486748762</v>
      </c>
      <c r="H4195" s="7"/>
      <c r="I4195" s="8" t="s">
        <v>607</v>
      </c>
      <c r="J4195" s="8" t="s">
        <v>2517</v>
      </c>
      <c r="K4195" s="6" t="str">
        <f>"1.007,00"</f>
        <v>1.007,00</v>
      </c>
      <c r="L4195" s="6" t="str">
        <f>"251,75"</f>
        <v>251,75</v>
      </c>
      <c r="M4195" s="6" t="str">
        <f>"1.258,75"</f>
        <v>1.258,75</v>
      </c>
      <c r="N4195" s="8" t="s">
        <v>308</v>
      </c>
      <c r="O4195" s="7"/>
      <c r="P4195" s="2" t="s">
        <v>8125</v>
      </c>
      <c r="Q4195" s="7"/>
      <c r="R4195" s="1"/>
      <c r="S4195" s="1" t="str">
        <f>"J-UN-2022-703"</f>
        <v>J-UN-2022-703</v>
      </c>
      <c r="T4195" s="1" t="s">
        <v>32</v>
      </c>
    </row>
    <row r="4196" spans="1:20" ht="76.5" x14ac:dyDescent="0.25">
      <c r="A4196" s="6">
        <v>4190</v>
      </c>
      <c r="B4196" s="1" t="str">
        <f>"2022-374"</f>
        <v>2022-374</v>
      </c>
      <c r="C4196" s="1" t="s">
        <v>2706</v>
      </c>
      <c r="D4196" s="1" t="s">
        <v>1334</v>
      </c>
      <c r="E4196" s="1" t="str">
        <f>""</f>
        <v/>
      </c>
      <c r="F4196" s="1" t="s">
        <v>1860</v>
      </c>
      <c r="G4196" s="1" t="str">
        <f>CONCATENATE(" SMIT-COMMERCE D.O.O.,"," GORNJOSTUPNIČKA 9B,"," 10255 GORNJI STUPNIK,"," OIB: 9524348214")</f>
        <v xml:space="preserve"> SMIT-COMMERCE D.O.O., GORNJOSTUPNIČKA 9B, 10255 GORNJI STUPNIK, OIB: 9524348214</v>
      </c>
      <c r="H4196" s="7"/>
      <c r="I4196" s="8" t="s">
        <v>607</v>
      </c>
      <c r="J4196" s="8" t="s">
        <v>2517</v>
      </c>
      <c r="K4196" s="6" t="str">
        <f>"3.572,00"</f>
        <v>3.572,00</v>
      </c>
      <c r="L4196" s="6" t="str">
        <f>"893,00"</f>
        <v>893,00</v>
      </c>
      <c r="M4196" s="6" t="str">
        <f>"4.465,00"</f>
        <v>4.465,00</v>
      </c>
      <c r="N4196" s="8" t="s">
        <v>521</v>
      </c>
      <c r="O4196" s="7"/>
      <c r="P4196" s="2" t="s">
        <v>8126</v>
      </c>
      <c r="Q4196" s="7"/>
      <c r="R4196" s="1"/>
      <c r="S4196" s="1" t="str">
        <f>"J-UN-2022-704"</f>
        <v>J-UN-2022-704</v>
      </c>
      <c r="T4196" s="1" t="s">
        <v>32</v>
      </c>
    </row>
    <row r="4197" spans="1:20" ht="51" x14ac:dyDescent="0.25">
      <c r="A4197" s="6">
        <v>4191</v>
      </c>
      <c r="B4197" s="1" t="str">
        <f>"2022-1006"</f>
        <v>2022-1006</v>
      </c>
      <c r="C4197" s="1" t="s">
        <v>2618</v>
      </c>
      <c r="D4197" s="1" t="s">
        <v>2619</v>
      </c>
      <c r="E4197" s="1" t="str">
        <f>""</f>
        <v/>
      </c>
      <c r="F4197" s="1" t="s">
        <v>1860</v>
      </c>
      <c r="G4197" s="1" t="str">
        <f>CONCATENATE(" TRA-MONT D.O.O.,"," MILIVOJA MATOŠECA 5,"," 10000 ZAGREB,"," OIB: 05336208843")</f>
        <v xml:space="preserve"> TRA-MONT D.O.O., MILIVOJA MATOŠECA 5, 10000 ZAGREB, OIB: 05336208843</v>
      </c>
      <c r="H4197" s="7"/>
      <c r="I4197" s="8" t="s">
        <v>247</v>
      </c>
      <c r="J4197" s="8" t="s">
        <v>1461</v>
      </c>
      <c r="K4197" s="6" t="str">
        <f>"2.879,00"</f>
        <v>2.879,00</v>
      </c>
      <c r="L4197" s="6" t="str">
        <f>"719,75"</f>
        <v>719,75</v>
      </c>
      <c r="M4197" s="6" t="str">
        <f>"3.598,75"</f>
        <v>3.598,75</v>
      </c>
      <c r="N4197" s="8" t="s">
        <v>30</v>
      </c>
      <c r="O4197" s="7"/>
      <c r="P4197" s="2" t="s">
        <v>8127</v>
      </c>
      <c r="Q4197" s="7"/>
      <c r="R4197" s="1"/>
      <c r="S4197" s="1" t="str">
        <f>"J-UN-2022-706"</f>
        <v>J-UN-2022-706</v>
      </c>
      <c r="T4197" s="1" t="s">
        <v>32</v>
      </c>
    </row>
    <row r="4198" spans="1:20" ht="76.5" x14ac:dyDescent="0.25">
      <c r="A4198" s="6">
        <v>4192</v>
      </c>
      <c r="B4198" s="1" t="str">
        <f>"2022-370"</f>
        <v>2022-370</v>
      </c>
      <c r="C4198" s="1" t="s">
        <v>2624</v>
      </c>
      <c r="D4198" s="1" t="s">
        <v>1334</v>
      </c>
      <c r="E4198" s="1" t="str">
        <f>""</f>
        <v/>
      </c>
      <c r="F4198" s="1" t="s">
        <v>1860</v>
      </c>
      <c r="G4198" s="1" t="str">
        <f>CONCATENATE(" SMIT-COMMERCE D.O.O.,"," GORNJOSTUPNIČKA 9B,"," 10255 GORNJI STUPNIK,"," OIB: 9524348214")</f>
        <v xml:space="preserve"> SMIT-COMMERCE D.O.O., GORNJOSTUPNIČKA 9B, 10255 GORNJI STUPNIK, OIB: 9524348214</v>
      </c>
      <c r="H4198" s="7"/>
      <c r="I4198" s="8" t="s">
        <v>607</v>
      </c>
      <c r="J4198" s="8" t="s">
        <v>2517</v>
      </c>
      <c r="K4198" s="6" t="str">
        <f>"6.360,00"</f>
        <v>6.360,00</v>
      </c>
      <c r="L4198" s="6" t="str">
        <f>"1.590,00"</f>
        <v>1.590,00</v>
      </c>
      <c r="M4198" s="6" t="str">
        <f>"7.950,00"</f>
        <v>7.950,00</v>
      </c>
      <c r="N4198" s="8" t="s">
        <v>350</v>
      </c>
      <c r="O4198" s="7"/>
      <c r="P4198" s="2" t="s">
        <v>6796</v>
      </c>
      <c r="Q4198" s="7"/>
      <c r="R4198" s="1"/>
      <c r="S4198" s="1" t="str">
        <f>"J-UN-2022-707"</f>
        <v>J-UN-2022-707</v>
      </c>
      <c r="T4198" s="1" t="s">
        <v>32</v>
      </c>
    </row>
    <row r="4199" spans="1:20" ht="51" x14ac:dyDescent="0.25">
      <c r="A4199" s="6">
        <v>4193</v>
      </c>
      <c r="B4199" s="1" t="str">
        <f>"2022-460"</f>
        <v>2022-460</v>
      </c>
      <c r="C4199" s="1" t="s">
        <v>2793</v>
      </c>
      <c r="D4199" s="1" t="s">
        <v>1619</v>
      </c>
      <c r="E4199" s="1" t="str">
        <f>""</f>
        <v/>
      </c>
      <c r="F4199" s="1" t="s">
        <v>1860</v>
      </c>
      <c r="G4199" s="1" t="str">
        <f>CONCATENATE(" DREZGA D.O.O.,"," OBRTNIČKA 2,"," 10437 BESTOVJE,"," OIB: 46535283602")</f>
        <v xml:space="preserve"> DREZGA D.O.O., OBRTNIČKA 2, 10437 BESTOVJE, OIB: 46535283602</v>
      </c>
      <c r="H4199" s="7"/>
      <c r="I4199" s="8" t="s">
        <v>250</v>
      </c>
      <c r="J4199" s="8" t="s">
        <v>1441</v>
      </c>
      <c r="K4199" s="6" t="str">
        <f>"4.932,00"</f>
        <v>4.932,00</v>
      </c>
      <c r="L4199" s="6" t="str">
        <f>"1.233,00"</f>
        <v>1.233,00</v>
      </c>
      <c r="M4199" s="6" t="str">
        <f>"6.165,00"</f>
        <v>6.165,00</v>
      </c>
      <c r="N4199" s="8" t="s">
        <v>124</v>
      </c>
      <c r="O4199" s="7"/>
      <c r="P4199" s="2" t="s">
        <v>8128</v>
      </c>
      <c r="Q4199" s="7"/>
      <c r="R4199" s="1"/>
      <c r="S4199" s="1" t="str">
        <f>"J-UN-2022-708"</f>
        <v>J-UN-2022-708</v>
      </c>
      <c r="T4199" s="1" t="s">
        <v>32</v>
      </c>
    </row>
    <row r="4200" spans="1:20" ht="63.75" x14ac:dyDescent="0.25">
      <c r="A4200" s="6">
        <v>4194</v>
      </c>
      <c r="B4200" s="1" t="str">
        <f>"2022-459"</f>
        <v>2022-459</v>
      </c>
      <c r="C4200" s="1" t="s">
        <v>2795</v>
      </c>
      <c r="D4200" s="1" t="s">
        <v>1619</v>
      </c>
      <c r="E4200" s="1" t="str">
        <f>""</f>
        <v/>
      </c>
      <c r="F4200" s="1" t="s">
        <v>1860</v>
      </c>
      <c r="G4200" s="1" t="str">
        <f>CONCATENATE(" POLJOOPSKRBA-TEHNO D.D.,"," SAMOBORSKA 96,"," 10000 ZAGREB,"," OIB: 5372167324")</f>
        <v xml:space="preserve"> POLJOOPSKRBA-TEHNO D.D., SAMOBORSKA 96, 10000 ZAGREB, OIB: 5372167324</v>
      </c>
      <c r="H4200" s="7"/>
      <c r="I4200" s="8" t="s">
        <v>607</v>
      </c>
      <c r="J4200" s="8" t="s">
        <v>2517</v>
      </c>
      <c r="K4200" s="6" t="str">
        <f>"17.380,00"</f>
        <v>17.380,00</v>
      </c>
      <c r="L4200" s="6" t="str">
        <f>"4.345,00"</f>
        <v>4.345,00</v>
      </c>
      <c r="M4200" s="6" t="str">
        <f>"21.725,00"</f>
        <v>21.725,00</v>
      </c>
      <c r="N4200" s="8" t="s">
        <v>607</v>
      </c>
      <c r="O4200" s="7"/>
      <c r="P4200" s="2" t="s">
        <v>8129</v>
      </c>
      <c r="Q4200" s="7"/>
      <c r="R4200" s="1"/>
      <c r="S4200" s="1" t="str">
        <f>"J-UN-2022-709"</f>
        <v>J-UN-2022-709</v>
      </c>
      <c r="T4200" s="1" t="s">
        <v>32</v>
      </c>
    </row>
    <row r="4201" spans="1:20" ht="51" x14ac:dyDescent="0.25">
      <c r="A4201" s="6">
        <v>4195</v>
      </c>
      <c r="B4201" s="1" t="str">
        <f>"2022-452"</f>
        <v>2022-452</v>
      </c>
      <c r="C4201" s="1" t="s">
        <v>2881</v>
      </c>
      <c r="D4201" s="1" t="s">
        <v>2882</v>
      </c>
      <c r="E4201" s="1" t="str">
        <f>""</f>
        <v/>
      </c>
      <c r="F4201" s="1" t="s">
        <v>1860</v>
      </c>
      <c r="G4201" s="1" t="str">
        <f>CONCATENATE(" BRIŠAR SERVIS D.O.O.,"," PRELČEVA 21D,"," 10360 SESVETE,"," OIB: 58933898865")</f>
        <v xml:space="preserve"> BRIŠAR SERVIS D.O.O., PRELČEVA 21D, 10360 SESVETE, OIB: 58933898865</v>
      </c>
      <c r="H4201" s="7"/>
      <c r="I4201" s="8" t="s">
        <v>403</v>
      </c>
      <c r="J4201" s="8" t="s">
        <v>3117</v>
      </c>
      <c r="K4201" s="6" t="str">
        <f>"1.647,78"</f>
        <v>1.647,78</v>
      </c>
      <c r="L4201" s="6" t="str">
        <f>"411,95"</f>
        <v>411,95</v>
      </c>
      <c r="M4201" s="6" t="str">
        <f>"2.059,73"</f>
        <v>2.059,73</v>
      </c>
      <c r="N4201" s="8" t="s">
        <v>835</v>
      </c>
      <c r="O4201" s="7"/>
      <c r="P4201" s="2" t="s">
        <v>8130</v>
      </c>
      <c r="Q4201" s="7"/>
      <c r="R4201" s="1"/>
      <c r="S4201" s="1" t="str">
        <f>"J-UN-2022-711"</f>
        <v>J-UN-2022-711</v>
      </c>
      <c r="T4201" s="1" t="s">
        <v>32</v>
      </c>
    </row>
    <row r="4202" spans="1:20" ht="76.5" x14ac:dyDescent="0.25">
      <c r="A4202" s="6">
        <v>4196</v>
      </c>
      <c r="B4202" s="1" t="str">
        <f>"2022-243"</f>
        <v>2022-243</v>
      </c>
      <c r="C4202" s="1" t="s">
        <v>2621</v>
      </c>
      <c r="D4202" s="1" t="s">
        <v>2622</v>
      </c>
      <c r="E4202" s="1" t="str">
        <f>""</f>
        <v/>
      </c>
      <c r="F4202" s="1" t="s">
        <v>1860</v>
      </c>
      <c r="G4202" s="1" t="str">
        <f>CONCATENATE(" SMIT-COMMERCE D.O.O.,"," GORNJOSTUPNIČKA 9B,"," 10255 GORNJI STUPNIK,"," OIB: 9524348214")</f>
        <v xml:space="preserve"> SMIT-COMMERCE D.O.O., GORNJOSTUPNIČKA 9B, 10255 GORNJI STUPNIK, OIB: 9524348214</v>
      </c>
      <c r="H4202" s="7"/>
      <c r="I4202" s="8" t="s">
        <v>607</v>
      </c>
      <c r="J4202" s="8" t="s">
        <v>2517</v>
      </c>
      <c r="K4202" s="6" t="str">
        <f>"3.703,60"</f>
        <v>3.703,60</v>
      </c>
      <c r="L4202" s="6" t="str">
        <f>"925,90"</f>
        <v>925,90</v>
      </c>
      <c r="M4202" s="6" t="str">
        <f>"4.629,50"</f>
        <v>4.629,50</v>
      </c>
      <c r="N4202" s="8" t="s">
        <v>521</v>
      </c>
      <c r="O4202" s="7"/>
      <c r="P4202" s="2" t="s">
        <v>8131</v>
      </c>
      <c r="Q4202" s="7"/>
      <c r="R4202" s="1"/>
      <c r="S4202" s="1" t="str">
        <f>"J-UN-2022-712"</f>
        <v>J-UN-2022-712</v>
      </c>
      <c r="T4202" s="1" t="s">
        <v>32</v>
      </c>
    </row>
    <row r="4203" spans="1:20" ht="63.75" x14ac:dyDescent="0.25">
      <c r="A4203" s="6">
        <v>4197</v>
      </c>
      <c r="B4203" s="1" t="str">
        <f>"2022-488"</f>
        <v>2022-488</v>
      </c>
      <c r="C4203" s="1" t="s">
        <v>2714</v>
      </c>
      <c r="D4203" s="1" t="s">
        <v>619</v>
      </c>
      <c r="E4203" s="1" t="str">
        <f>""</f>
        <v/>
      </c>
      <c r="F4203" s="1" t="s">
        <v>1860</v>
      </c>
      <c r="G4203" s="1" t="str">
        <f>CONCATENATE(" POLJOOPSKRBA-TEHNO D.D.,"," SAMOBORSKA 96,"," 10000 ZAGREB,"," OIB: 5372167324")</f>
        <v xml:space="preserve"> POLJOOPSKRBA-TEHNO D.D., SAMOBORSKA 96, 10000 ZAGREB, OIB: 5372167324</v>
      </c>
      <c r="H4203" s="7"/>
      <c r="I4203" s="8" t="s">
        <v>607</v>
      </c>
      <c r="J4203" s="8" t="s">
        <v>2517</v>
      </c>
      <c r="K4203" s="6" t="str">
        <f>"18.571,50"</f>
        <v>18.571,50</v>
      </c>
      <c r="L4203" s="6" t="str">
        <f>"4.642,88"</f>
        <v>4.642,88</v>
      </c>
      <c r="M4203" s="6" t="str">
        <f>"23.214,38"</f>
        <v>23.214,38</v>
      </c>
      <c r="N4203" s="8" t="s">
        <v>425</v>
      </c>
      <c r="O4203" s="7"/>
      <c r="P4203" s="2" t="s">
        <v>8132</v>
      </c>
      <c r="Q4203" s="7"/>
      <c r="R4203" s="1"/>
      <c r="S4203" s="1" t="str">
        <f>"J-UN-2022-713"</f>
        <v>J-UN-2022-713</v>
      </c>
      <c r="T4203" s="1" t="s">
        <v>32</v>
      </c>
    </row>
    <row r="4204" spans="1:20" ht="51" x14ac:dyDescent="0.25">
      <c r="A4204" s="6">
        <v>4198</v>
      </c>
      <c r="B4204" s="1" t="str">
        <f>"2022-265"</f>
        <v>2022-265</v>
      </c>
      <c r="C4204" s="1" t="s">
        <v>3126</v>
      </c>
      <c r="D4204" s="1" t="s">
        <v>2871</v>
      </c>
      <c r="E4204" s="1" t="str">
        <f>""</f>
        <v/>
      </c>
      <c r="F4204" s="1" t="s">
        <v>1860</v>
      </c>
      <c r="G4204" s="1" t="str">
        <f>CONCATENATE(" TEHNOGUMA d.o.o.,"," OBRTNIČKA 1,"," 10000 ZAGREB,"," OIB: 38867318377")</f>
        <v xml:space="preserve"> TEHNOGUMA d.o.o., OBRTNIČKA 1, 10000 ZAGREB, OIB: 38867318377</v>
      </c>
      <c r="H4204" s="7"/>
      <c r="I4204" s="8" t="s">
        <v>607</v>
      </c>
      <c r="J4204" s="8" t="s">
        <v>2517</v>
      </c>
      <c r="K4204" s="6" t="str">
        <f>"17.113,00"</f>
        <v>17.113,00</v>
      </c>
      <c r="L4204" s="6" t="str">
        <f>"4.278,25"</f>
        <v>4.278,25</v>
      </c>
      <c r="M4204" s="6" t="str">
        <f>"21.391,25"</f>
        <v>21.391,25</v>
      </c>
      <c r="N4204" s="8" t="s">
        <v>478</v>
      </c>
      <c r="O4204" s="7"/>
      <c r="P4204" s="2" t="s">
        <v>8133</v>
      </c>
      <c r="Q4204" s="7"/>
      <c r="R4204" s="1"/>
      <c r="S4204" s="1" t="str">
        <f>"J-UN-2022-715"</f>
        <v>J-UN-2022-715</v>
      </c>
      <c r="T4204" s="1" t="s">
        <v>32</v>
      </c>
    </row>
    <row r="4205" spans="1:20" ht="51" x14ac:dyDescent="0.25">
      <c r="A4205" s="6">
        <v>4199</v>
      </c>
      <c r="B4205" s="1" t="str">
        <f>"2022-1215"</f>
        <v>2022-1215</v>
      </c>
      <c r="C4205" s="1" t="s">
        <v>2769</v>
      </c>
      <c r="D4205" s="1" t="s">
        <v>381</v>
      </c>
      <c r="E4205" s="1" t="str">
        <f>""</f>
        <v/>
      </c>
      <c r="F4205" s="1" t="s">
        <v>1860</v>
      </c>
      <c r="G4205" s="1" t="str">
        <f>CONCATENATE(" ZIK D.O.O.,"," LJUDEVITA GAJA 17/III,"," 10000 ZAGREB,"," OIB: 74121470605")</f>
        <v xml:space="preserve"> ZIK D.O.O., LJUDEVITA GAJA 17/III, 10000 ZAGREB, OIB: 74121470605</v>
      </c>
      <c r="H4205" s="7"/>
      <c r="I4205" s="8" t="s">
        <v>607</v>
      </c>
      <c r="J4205" s="8" t="s">
        <v>2517</v>
      </c>
      <c r="K4205" s="6" t="str">
        <f>"2.730,00"</f>
        <v>2.730,00</v>
      </c>
      <c r="L4205" s="6" t="str">
        <f>"682,50"</f>
        <v>682,50</v>
      </c>
      <c r="M4205" s="6" t="str">
        <f>"3.412,50"</f>
        <v>3.412,50</v>
      </c>
      <c r="N4205" s="8" t="s">
        <v>124</v>
      </c>
      <c r="O4205" s="7"/>
      <c r="P4205" s="2" t="s">
        <v>7500</v>
      </c>
      <c r="Q4205" s="7"/>
      <c r="R4205" s="1"/>
      <c r="S4205" s="1" t="str">
        <f>"J-UN-2022-716"</f>
        <v>J-UN-2022-716</v>
      </c>
      <c r="T4205" s="1" t="s">
        <v>32</v>
      </c>
    </row>
    <row r="4206" spans="1:20" ht="51" x14ac:dyDescent="0.25">
      <c r="A4206" s="6">
        <v>4200</v>
      </c>
      <c r="B4206" s="1" t="str">
        <f>"2022-92"</f>
        <v>2022-92</v>
      </c>
      <c r="C4206" s="1" t="s">
        <v>3114</v>
      </c>
      <c r="D4206" s="1" t="s">
        <v>1438</v>
      </c>
      <c r="E4206" s="1" t="str">
        <f>""</f>
        <v/>
      </c>
      <c r="F4206" s="1" t="s">
        <v>1860</v>
      </c>
      <c r="G4206" s="1" t="str">
        <f>CONCATENATE(" TEŽAK D.O.O.,"," BRUTIJA 16,"," 52470 UMAG (UMAGO),"," OIB: 733523924")</f>
        <v xml:space="preserve"> TEŽAK D.O.O., BRUTIJA 16, 52470 UMAG (UMAGO), OIB: 733523924</v>
      </c>
      <c r="H4206" s="7"/>
      <c r="I4206" s="8" t="s">
        <v>607</v>
      </c>
      <c r="J4206" s="8" t="s">
        <v>2517</v>
      </c>
      <c r="K4206" s="6" t="str">
        <f>"34.600,00"</f>
        <v>34.600,00</v>
      </c>
      <c r="L4206" s="6" t="str">
        <f>"8.650,00"</f>
        <v>8.650,00</v>
      </c>
      <c r="M4206" s="6" t="str">
        <f>"43.250,00"</f>
        <v>43.250,00</v>
      </c>
      <c r="N4206" s="8" t="s">
        <v>160</v>
      </c>
      <c r="O4206" s="7"/>
      <c r="P4206" s="2" t="s">
        <v>8134</v>
      </c>
      <c r="Q4206" s="7"/>
      <c r="R4206" s="1"/>
      <c r="S4206" s="1" t="str">
        <f>"J-UN-2022-718"</f>
        <v>J-UN-2022-718</v>
      </c>
      <c r="T4206" s="1" t="s">
        <v>32</v>
      </c>
    </row>
    <row r="4207" spans="1:20" ht="63.75" x14ac:dyDescent="0.25">
      <c r="A4207" s="6">
        <v>4201</v>
      </c>
      <c r="B4207" s="1" t="str">
        <f>"2022-427"</f>
        <v>2022-427</v>
      </c>
      <c r="C4207" s="1" t="s">
        <v>3082</v>
      </c>
      <c r="D4207" s="1" t="s">
        <v>2577</v>
      </c>
      <c r="E4207" s="1" t="str">
        <f>""</f>
        <v/>
      </c>
      <c r="F4207" s="1" t="s">
        <v>1860</v>
      </c>
      <c r="G4207" s="1" t="str">
        <f>CONCATENATE(" GRA-PO D.O.O.,"," GOSPODARSKA 5B,"," 10255 ZAGREB - STUPNIK,"," OIB: 05364995085")</f>
        <v xml:space="preserve"> GRA-PO D.O.O., GOSPODARSKA 5B, 10255 ZAGREB - STUPNIK, OIB: 05364995085</v>
      </c>
      <c r="H4207" s="7"/>
      <c r="I4207" s="8" t="s">
        <v>250</v>
      </c>
      <c r="J4207" s="8" t="s">
        <v>1441</v>
      </c>
      <c r="K4207" s="6" t="str">
        <f>"10.438,00"</f>
        <v>10.438,00</v>
      </c>
      <c r="L4207" s="6" t="str">
        <f>"2.609,50"</f>
        <v>2.609,50</v>
      </c>
      <c r="M4207" s="6" t="str">
        <f>"13.047,50"</f>
        <v>13.047,50</v>
      </c>
      <c r="N4207" s="8" t="s">
        <v>404</v>
      </c>
      <c r="O4207" s="7"/>
      <c r="P4207" s="2" t="s">
        <v>8135</v>
      </c>
      <c r="Q4207" s="7"/>
      <c r="R4207" s="1"/>
      <c r="S4207" s="1" t="str">
        <f>"J-UN-2022-719"</f>
        <v>J-UN-2022-719</v>
      </c>
      <c r="T4207" s="1" t="s">
        <v>32</v>
      </c>
    </row>
    <row r="4208" spans="1:20" ht="38.25" x14ac:dyDescent="0.25">
      <c r="A4208" s="6">
        <v>4202</v>
      </c>
      <c r="B4208" s="1" t="str">
        <f>"2022-101"</f>
        <v>2022-101</v>
      </c>
      <c r="C4208" s="1" t="s">
        <v>2914</v>
      </c>
      <c r="D4208" s="1" t="s">
        <v>2915</v>
      </c>
      <c r="E4208" s="1" t="str">
        <f>""</f>
        <v/>
      </c>
      <c r="F4208" s="1" t="s">
        <v>1860</v>
      </c>
      <c r="G4208" s="1" t="str">
        <f>CONCATENATE(" CRESCAT D.O.O.,"," NOVA VES 8,"," 10000 ZAGREB,"," OIB: 316081945")</f>
        <v xml:space="preserve"> CRESCAT D.O.O., NOVA VES 8, 10000 ZAGREB, OIB: 316081945</v>
      </c>
      <c r="H4208" s="7"/>
      <c r="I4208" s="8" t="s">
        <v>607</v>
      </c>
      <c r="J4208" s="8" t="s">
        <v>2517</v>
      </c>
      <c r="K4208" s="6" t="str">
        <f>"22.792,00"</f>
        <v>22.792,00</v>
      </c>
      <c r="L4208" s="6" t="str">
        <f>"5.698,00"</f>
        <v>5.698,00</v>
      </c>
      <c r="M4208" s="6" t="str">
        <f>"28.490,00"</f>
        <v>28.490,00</v>
      </c>
      <c r="N4208" s="8" t="s">
        <v>848</v>
      </c>
      <c r="O4208" s="7"/>
      <c r="P4208" s="2" t="s">
        <v>8136</v>
      </c>
      <c r="Q4208" s="7"/>
      <c r="R4208" s="1"/>
      <c r="S4208" s="1" t="str">
        <f>"J-UN-2022-720"</f>
        <v>J-UN-2022-720</v>
      </c>
      <c r="T4208" s="1" t="s">
        <v>32</v>
      </c>
    </row>
    <row r="4209" spans="1:20" ht="63.75" x14ac:dyDescent="0.25">
      <c r="A4209" s="6">
        <v>4203</v>
      </c>
      <c r="B4209" s="1" t="str">
        <f>"2022-217"</f>
        <v>2022-217</v>
      </c>
      <c r="C4209" s="1" t="s">
        <v>3099</v>
      </c>
      <c r="D4209" s="1" t="s">
        <v>2596</v>
      </c>
      <c r="E4209" s="1" t="str">
        <f>""</f>
        <v/>
      </c>
      <c r="F4209" s="1" t="s">
        <v>1860</v>
      </c>
      <c r="G4209" s="1" t="str">
        <f>CONCATENATE(" ZAGREB PLAKAT D.O.O.,"," ULICA ANDRIJE HEBRANGA 32,"," 10000 ZAGREB,"," OIB: 321117423")</f>
        <v xml:space="preserve"> ZAGREB PLAKAT D.O.O., ULICA ANDRIJE HEBRANGA 32, 10000 ZAGREB, OIB: 321117423</v>
      </c>
      <c r="H4209" s="7"/>
      <c r="I4209" s="8" t="s">
        <v>250</v>
      </c>
      <c r="J4209" s="8" t="s">
        <v>1441</v>
      </c>
      <c r="K4209" s="6" t="str">
        <f>"28.195,00"</f>
        <v>28.195,00</v>
      </c>
      <c r="L4209" s="6" t="str">
        <f>"7.048,75"</f>
        <v>7.048,75</v>
      </c>
      <c r="M4209" s="6" t="str">
        <f>"35.243,75"</f>
        <v>35.243,75</v>
      </c>
      <c r="N4209" s="8" t="s">
        <v>291</v>
      </c>
      <c r="O4209" s="7"/>
      <c r="P4209" s="2" t="s">
        <v>8137</v>
      </c>
      <c r="Q4209" s="7"/>
      <c r="R4209" s="1"/>
      <c r="S4209" s="1" t="str">
        <f>"J-UN-2022-721"</f>
        <v>J-UN-2022-721</v>
      </c>
      <c r="T4209" s="1" t="s">
        <v>32</v>
      </c>
    </row>
    <row r="4210" spans="1:20" ht="63.75" x14ac:dyDescent="0.25">
      <c r="A4210" s="6">
        <v>4204</v>
      </c>
      <c r="B4210" s="1" t="str">
        <f>"2022-1431"</f>
        <v>2022-1431</v>
      </c>
      <c r="C4210" s="1" t="s">
        <v>2765</v>
      </c>
      <c r="D4210" s="1" t="s">
        <v>2766</v>
      </c>
      <c r="E4210" s="1" t="str">
        <f>""</f>
        <v/>
      </c>
      <c r="F4210" s="1" t="s">
        <v>1860</v>
      </c>
      <c r="G4210" s="1" t="str">
        <f>CONCATENATE(" MARGALIĆ OBRT,"," VL. KRISTINA BARBARIĆ,"," MARGALIĆI 32,"," 10000 ZAGREB,"," OIB: 2063605475")</f>
        <v xml:space="preserve"> MARGALIĆ OBRT, VL. KRISTINA BARBARIĆ, MARGALIĆI 32, 10000 ZAGREB, OIB: 2063605475</v>
      </c>
      <c r="H4210" s="7"/>
      <c r="I4210" s="8" t="s">
        <v>250</v>
      </c>
      <c r="J4210" s="8" t="s">
        <v>1441</v>
      </c>
      <c r="K4210" s="6" t="str">
        <f>"5.950,00"</f>
        <v>5.950,00</v>
      </c>
      <c r="L4210" s="6" t="str">
        <f>"1.487,50"</f>
        <v>1.487,50</v>
      </c>
      <c r="M4210" s="6" t="str">
        <f>"7.437,50"</f>
        <v>7.437,50</v>
      </c>
      <c r="N4210" s="8" t="s">
        <v>405</v>
      </c>
      <c r="O4210" s="7"/>
      <c r="P4210" s="2" t="s">
        <v>7458</v>
      </c>
      <c r="Q4210" s="7"/>
      <c r="R4210" s="1"/>
      <c r="S4210" s="1" t="str">
        <f>"J-UN-2022-722"</f>
        <v>J-UN-2022-722</v>
      </c>
      <c r="T4210" s="1" t="s">
        <v>32</v>
      </c>
    </row>
    <row r="4211" spans="1:20" ht="51" x14ac:dyDescent="0.25">
      <c r="A4211" s="6">
        <v>4205</v>
      </c>
      <c r="B4211" s="1" t="str">
        <f>"2022-323"</f>
        <v>2022-323</v>
      </c>
      <c r="C4211" s="1" t="s">
        <v>2687</v>
      </c>
      <c r="D4211" s="1" t="s">
        <v>2688</v>
      </c>
      <c r="E4211" s="1" t="str">
        <f>""</f>
        <v/>
      </c>
      <c r="F4211" s="1" t="s">
        <v>1860</v>
      </c>
      <c r="G4211" s="1" t="str">
        <f>CONCATENATE(" VODOSKOK D.D.,"," ČULINEČKA CESTA 221/C,"," 10040 ZAGREB,"," OIB: 34134218058")</f>
        <v xml:space="preserve"> VODOSKOK D.D., ČULINEČKA CESTA 221/C, 10040 ZAGREB, OIB: 34134218058</v>
      </c>
      <c r="H4211" s="7"/>
      <c r="I4211" s="8" t="s">
        <v>848</v>
      </c>
      <c r="J4211" s="8" t="s">
        <v>3127</v>
      </c>
      <c r="K4211" s="6" t="str">
        <f>"400,00"</f>
        <v>400,00</v>
      </c>
      <c r="L4211" s="6" t="str">
        <f>"100,00"</f>
        <v>100,00</v>
      </c>
      <c r="M4211" s="6" t="str">
        <f>"500,00"</f>
        <v>500,00</v>
      </c>
      <c r="N4211" s="8" t="s">
        <v>425</v>
      </c>
      <c r="O4211" s="7"/>
      <c r="P4211" s="2" t="s">
        <v>5789</v>
      </c>
      <c r="Q4211" s="7"/>
      <c r="R4211" s="1"/>
      <c r="S4211" s="1" t="str">
        <f>"J-UN-2022-733"</f>
        <v>J-UN-2022-733</v>
      </c>
      <c r="T4211" s="1" t="s">
        <v>32</v>
      </c>
    </row>
    <row r="4212" spans="1:20" ht="63.75" x14ac:dyDescent="0.25">
      <c r="A4212" s="6">
        <v>4206</v>
      </c>
      <c r="B4212" s="1" t="str">
        <f>"2022-900"</f>
        <v>2022-900</v>
      </c>
      <c r="C4212" s="1" t="s">
        <v>2702</v>
      </c>
      <c r="D4212" s="1" t="s">
        <v>1209</v>
      </c>
      <c r="E4212" s="1" t="str">
        <f>""</f>
        <v/>
      </c>
      <c r="F4212" s="1" t="s">
        <v>1860</v>
      </c>
      <c r="G4212" s="1" t="str">
        <f>CONCATENATE(" DRÄGER SAFETY D.O.O.,"," AVENIJA VEĆESLAVA HOLJEVCA 40,"," 10010 ZAGREB,"," OIB: 32874587842")</f>
        <v xml:space="preserve"> DRÄGER SAFETY D.O.O., AVENIJA VEĆESLAVA HOLJEVCA 40, 10010 ZAGREB, OIB: 32874587842</v>
      </c>
      <c r="H4212" s="7"/>
      <c r="I4212" s="8" t="s">
        <v>607</v>
      </c>
      <c r="J4212" s="8" t="s">
        <v>2517</v>
      </c>
      <c r="K4212" s="6" t="str">
        <f>"388,55"</f>
        <v>388,55</v>
      </c>
      <c r="L4212" s="6" t="str">
        <f>"97,14"</f>
        <v>97,14</v>
      </c>
      <c r="M4212" s="6" t="str">
        <f>"485,69"</f>
        <v>485,69</v>
      </c>
      <c r="N4212" s="8" t="s">
        <v>124</v>
      </c>
      <c r="O4212" s="7"/>
      <c r="P4212" s="2" t="s">
        <v>5614</v>
      </c>
      <c r="Q4212" s="7"/>
      <c r="R4212" s="1"/>
      <c r="S4212" s="1" t="str">
        <f>"J-UN-2022-735"</f>
        <v>J-UN-2022-735</v>
      </c>
      <c r="T4212" s="1" t="s">
        <v>32</v>
      </c>
    </row>
    <row r="4213" spans="1:20" ht="38.25" x14ac:dyDescent="0.25">
      <c r="A4213" s="6">
        <v>4207</v>
      </c>
      <c r="B4213" s="1" t="str">
        <f>"2022-698"</f>
        <v>2022-698</v>
      </c>
      <c r="C4213" s="1" t="s">
        <v>2565</v>
      </c>
      <c r="D4213" s="1" t="s">
        <v>1833</v>
      </c>
      <c r="E4213" s="1" t="str">
        <f>""</f>
        <v/>
      </c>
      <c r="F4213" s="1" t="s">
        <v>1860</v>
      </c>
      <c r="G4213" s="1" t="str">
        <f>CONCATENATE(" O-K-TEH d.o.o.,"," VUČAK 16A,"," 10000 ZAGREB,"," OIB: 37322381288")</f>
        <v xml:space="preserve"> O-K-TEH d.o.o., VUČAK 16A, 10000 ZAGREB, OIB: 37322381288</v>
      </c>
      <c r="H4213" s="7"/>
      <c r="I4213" s="8" t="s">
        <v>607</v>
      </c>
      <c r="J4213" s="8" t="s">
        <v>2517</v>
      </c>
      <c r="K4213" s="6" t="str">
        <f>"9.525,40"</f>
        <v>9.525,40</v>
      </c>
      <c r="L4213" s="6" t="str">
        <f>"2.381,35"</f>
        <v>2.381,35</v>
      </c>
      <c r="M4213" s="6" t="str">
        <f>"11.906,75"</f>
        <v>11.906,75</v>
      </c>
      <c r="N4213" s="8" t="s">
        <v>635</v>
      </c>
      <c r="O4213" s="7"/>
      <c r="P4213" s="2" t="s">
        <v>8138</v>
      </c>
      <c r="Q4213" s="7"/>
      <c r="R4213" s="1"/>
      <c r="S4213" s="1" t="str">
        <f>"J-UN-2022-736"</f>
        <v>J-UN-2022-736</v>
      </c>
      <c r="T4213" s="1" t="s">
        <v>32</v>
      </c>
    </row>
    <row r="4214" spans="1:20" ht="63.75" x14ac:dyDescent="0.25">
      <c r="A4214" s="6">
        <v>4208</v>
      </c>
      <c r="B4214" s="1" t="str">
        <f>"2022-1413"</f>
        <v>2022-1413</v>
      </c>
      <c r="C4214" s="1" t="s">
        <v>2723</v>
      </c>
      <c r="D4214" s="1" t="s">
        <v>2724</v>
      </c>
      <c r="E4214" s="1" t="str">
        <f>""</f>
        <v/>
      </c>
      <c r="F4214" s="1" t="s">
        <v>1860</v>
      </c>
      <c r="G4214" s="1" t="str">
        <f>CONCATENATE(" HRVATSKI VETERINARSKI INSTITUT ZAGREB,"," SAVSKA CESTA 143,"," 10000 ZAGREB,"," OIB: 29059177553")</f>
        <v xml:space="preserve"> HRVATSKI VETERINARSKI INSTITUT ZAGREB, SAVSKA CESTA 143, 10000 ZAGREB, OIB: 29059177553</v>
      </c>
      <c r="H4214" s="7"/>
      <c r="I4214" s="8" t="s">
        <v>607</v>
      </c>
      <c r="J4214" s="8" t="s">
        <v>2517</v>
      </c>
      <c r="K4214" s="6" t="str">
        <f>"20.000,00"</f>
        <v>20.000,00</v>
      </c>
      <c r="L4214" s="6" t="str">
        <f>"5.000,00"</f>
        <v>5.000,00</v>
      </c>
      <c r="M4214" s="6" t="str">
        <f>"25.000,00"</f>
        <v>25.000,00</v>
      </c>
      <c r="N4214" s="8" t="s">
        <v>124</v>
      </c>
      <c r="O4214" s="7"/>
      <c r="P4214" s="2" t="s">
        <v>5614</v>
      </c>
      <c r="Q4214" s="7"/>
      <c r="R4214" s="1"/>
      <c r="S4214" s="1" t="str">
        <f>"J-UN-2022-737"</f>
        <v>J-UN-2022-737</v>
      </c>
      <c r="T4214" s="1" t="s">
        <v>32</v>
      </c>
    </row>
    <row r="4215" spans="1:20" ht="63.75" x14ac:dyDescent="0.25">
      <c r="A4215" s="6">
        <v>4209</v>
      </c>
      <c r="B4215" s="1" t="str">
        <f>"2022-900"</f>
        <v>2022-900</v>
      </c>
      <c r="C4215" s="1" t="s">
        <v>2702</v>
      </c>
      <c r="D4215" s="1" t="s">
        <v>1209</v>
      </c>
      <c r="E4215" s="1" t="str">
        <f>""</f>
        <v/>
      </c>
      <c r="F4215" s="1" t="s">
        <v>1860</v>
      </c>
      <c r="G4215" s="1" t="str">
        <f>CONCATENATE(" DRÄGER SAFETY D.O.O.,"," AVENIJA VEĆESLAVA HOLJEVCA 40,"," 10010 ZAGREB,"," OIB: 32874587842")</f>
        <v xml:space="preserve"> DRÄGER SAFETY D.O.O., AVENIJA VEĆESLAVA HOLJEVCA 40, 10010 ZAGREB, OIB: 32874587842</v>
      </c>
      <c r="H4215" s="7"/>
      <c r="I4215" s="8" t="s">
        <v>607</v>
      </c>
      <c r="J4215" s="8" t="s">
        <v>2517</v>
      </c>
      <c r="K4215" s="6" t="str">
        <f>"8.724,30"</f>
        <v>8.724,30</v>
      </c>
      <c r="L4215" s="6" t="str">
        <f>"2.181,08"</f>
        <v>2.181,08</v>
      </c>
      <c r="M4215" s="6" t="str">
        <f>"10.905,38"</f>
        <v>10.905,38</v>
      </c>
      <c r="N4215" s="8" t="s">
        <v>169</v>
      </c>
      <c r="O4215" s="7"/>
      <c r="P4215" s="2" t="s">
        <v>8139</v>
      </c>
      <c r="Q4215" s="7"/>
      <c r="R4215" s="1"/>
      <c r="S4215" s="1" t="str">
        <f>"J-UN-2022-738"</f>
        <v>J-UN-2022-738</v>
      </c>
      <c r="T4215" s="1" t="s">
        <v>32</v>
      </c>
    </row>
    <row r="4216" spans="1:20" ht="63.75" x14ac:dyDescent="0.25">
      <c r="A4216" s="6">
        <v>4210</v>
      </c>
      <c r="B4216" s="1" t="str">
        <f>"2022-186"</f>
        <v>2022-186</v>
      </c>
      <c r="C4216" s="1" t="s">
        <v>2534</v>
      </c>
      <c r="D4216" s="1" t="s">
        <v>2535</v>
      </c>
      <c r="E4216" s="1" t="str">
        <f>""</f>
        <v/>
      </c>
      <c r="F4216" s="1" t="s">
        <v>1860</v>
      </c>
      <c r="G4216" s="1" t="str">
        <f>CONCATENATE(" JULIUS MEINL BONFANTI D.O.O.,"," LJUBLJANSKA ULICA 4,"," 10431 SVETA NEDELJA,"," OIB: 39546130894")</f>
        <v xml:space="preserve"> JULIUS MEINL BONFANTI D.O.O., LJUBLJANSKA ULICA 4, 10431 SVETA NEDELJA, OIB: 39546130894</v>
      </c>
      <c r="H4216" s="7"/>
      <c r="I4216" s="8" t="s">
        <v>72</v>
      </c>
      <c r="J4216" s="8" t="s">
        <v>2172</v>
      </c>
      <c r="K4216" s="6" t="str">
        <f>"2.888,20"</f>
        <v>2.888,20</v>
      </c>
      <c r="L4216" s="6" t="str">
        <f>"722,05"</f>
        <v>722,05</v>
      </c>
      <c r="M4216" s="6" t="str">
        <f>"3.610,25"</f>
        <v>3.610,25</v>
      </c>
      <c r="N4216" s="8" t="s">
        <v>124</v>
      </c>
      <c r="O4216" s="7"/>
      <c r="P4216" s="2" t="s">
        <v>8140</v>
      </c>
      <c r="Q4216" s="7"/>
      <c r="R4216" s="1"/>
      <c r="S4216" s="1" t="str">
        <f>"J-UN-2022-741"</f>
        <v>J-UN-2022-741</v>
      </c>
      <c r="T4216" s="1" t="s">
        <v>32</v>
      </c>
    </row>
    <row r="4217" spans="1:20" ht="76.5" x14ac:dyDescent="0.25">
      <c r="A4217" s="6">
        <v>4211</v>
      </c>
      <c r="B4217" s="1" t="str">
        <f>"2022-201"</f>
        <v>2022-201</v>
      </c>
      <c r="C4217" s="1" t="s">
        <v>2651</v>
      </c>
      <c r="D4217" s="1" t="s">
        <v>2652</v>
      </c>
      <c r="E4217" s="1" t="str">
        <f>""</f>
        <v/>
      </c>
      <c r="F4217" s="1" t="s">
        <v>1860</v>
      </c>
      <c r="G4217" s="1" t="str">
        <f>CONCATENATE(" SMIT-COMMERCE D.O.O.,"," GORNJOSTUPNIČKA 9B,"," 10255 GORNJI STUPNIK,"," OIB: 9524348214")</f>
        <v xml:space="preserve"> SMIT-COMMERCE D.O.O., GORNJOSTUPNIČKA 9B, 10255 GORNJI STUPNIK, OIB: 9524348214</v>
      </c>
      <c r="H4217" s="7"/>
      <c r="I4217" s="8" t="s">
        <v>72</v>
      </c>
      <c r="J4217" s="8" t="s">
        <v>2172</v>
      </c>
      <c r="K4217" s="6" t="str">
        <f>"4.907,16"</f>
        <v>4.907,16</v>
      </c>
      <c r="L4217" s="6" t="str">
        <f>"1.226,79"</f>
        <v>1.226,79</v>
      </c>
      <c r="M4217" s="6" t="str">
        <f>"6.133,95"</f>
        <v>6.133,95</v>
      </c>
      <c r="N4217" s="8" t="s">
        <v>124</v>
      </c>
      <c r="O4217" s="7"/>
      <c r="P4217" s="2" t="s">
        <v>8141</v>
      </c>
      <c r="Q4217" s="7"/>
      <c r="R4217" s="1"/>
      <c r="S4217" s="1" t="str">
        <f>"J-UN-2022-742"</f>
        <v>J-UN-2022-742</v>
      </c>
      <c r="T4217" s="1" t="s">
        <v>32</v>
      </c>
    </row>
    <row r="4218" spans="1:20" ht="63.75" x14ac:dyDescent="0.25">
      <c r="A4218" s="6">
        <v>4212</v>
      </c>
      <c r="B4218" s="1" t="str">
        <f>"2022-191"</f>
        <v>2022-191</v>
      </c>
      <c r="C4218" s="1" t="s">
        <v>3128</v>
      </c>
      <c r="D4218" s="1" t="s">
        <v>3129</v>
      </c>
      <c r="E4218" s="1" t="str">
        <f>""</f>
        <v/>
      </c>
      <c r="F4218" s="1" t="s">
        <v>1860</v>
      </c>
      <c r="G4218" s="1" t="str">
        <f>CONCATENATE(" KEMOBOJA-DUBRAVA D.O.O.,"," AVENIJA DUBRAVA 37,"," 10000 ZAGREB,"," OIB: 6402157427")</f>
        <v xml:space="preserve"> KEMOBOJA-DUBRAVA D.O.O., AVENIJA DUBRAVA 37, 10000 ZAGREB, OIB: 6402157427</v>
      </c>
      <c r="H4218" s="7"/>
      <c r="I4218" s="8" t="s">
        <v>72</v>
      </c>
      <c r="J4218" s="8" t="s">
        <v>2172</v>
      </c>
      <c r="K4218" s="6" t="str">
        <f>"2.300,00"</f>
        <v>2.300,00</v>
      </c>
      <c r="L4218" s="6" t="str">
        <f>"575,00"</f>
        <v>575,00</v>
      </c>
      <c r="M4218" s="6" t="str">
        <f>"2.875,00"</f>
        <v>2.875,00</v>
      </c>
      <c r="N4218" s="8" t="s">
        <v>505</v>
      </c>
      <c r="O4218" s="7"/>
      <c r="P4218" s="2" t="s">
        <v>7523</v>
      </c>
      <c r="Q4218" s="7"/>
      <c r="R4218" s="1"/>
      <c r="S4218" s="1" t="str">
        <f>"J-UN-2022-743"</f>
        <v>J-UN-2022-743</v>
      </c>
      <c r="T4218" s="1" t="s">
        <v>32</v>
      </c>
    </row>
    <row r="4219" spans="1:20" ht="63.75" x14ac:dyDescent="0.25">
      <c r="A4219" s="6">
        <v>4213</v>
      </c>
      <c r="B4219" s="1" t="str">
        <f>"2022-193"</f>
        <v>2022-193</v>
      </c>
      <c r="C4219" s="1" t="s">
        <v>2731</v>
      </c>
      <c r="D4219" s="1" t="s">
        <v>2732</v>
      </c>
      <c r="E4219" s="1" t="str">
        <f>""</f>
        <v/>
      </c>
      <c r="F4219" s="1" t="s">
        <v>1860</v>
      </c>
      <c r="G4219" s="1" t="str">
        <f>CONCATENATE(" PROTING HORVAT D.O.O.,"," FRANA GALINOVIĆA 4,"," 49000 KRAPINA,"," OIB: 75263812619")</f>
        <v xml:space="preserve"> PROTING HORVAT D.O.O., FRANA GALINOVIĆA 4, 49000 KRAPINA, OIB: 75263812619</v>
      </c>
      <c r="H4219" s="7"/>
      <c r="I4219" s="8" t="s">
        <v>72</v>
      </c>
      <c r="J4219" s="8" t="s">
        <v>2172</v>
      </c>
      <c r="K4219" s="6" t="str">
        <f>"2.700,00"</f>
        <v>2.700,00</v>
      </c>
      <c r="L4219" s="6" t="str">
        <f>"675,00"</f>
        <v>675,00</v>
      </c>
      <c r="M4219" s="6" t="str">
        <f>"3.375,00"</f>
        <v>3.375,00</v>
      </c>
      <c r="N4219" s="8" t="s">
        <v>635</v>
      </c>
      <c r="O4219" s="7"/>
      <c r="P4219" s="2" t="s">
        <v>6354</v>
      </c>
      <c r="Q4219" s="7"/>
      <c r="R4219" s="1"/>
      <c r="S4219" s="1" t="str">
        <f>"J-UN-2022-745"</f>
        <v>J-UN-2022-745</v>
      </c>
      <c r="T4219" s="1" t="s">
        <v>32</v>
      </c>
    </row>
    <row r="4220" spans="1:20" ht="51" x14ac:dyDescent="0.25">
      <c r="A4220" s="6">
        <v>4214</v>
      </c>
      <c r="B4220" s="1" t="str">
        <f>"2022-734"</f>
        <v>2022-734</v>
      </c>
      <c r="C4220" s="1" t="s">
        <v>2707</v>
      </c>
      <c r="D4220" s="1" t="s">
        <v>2708</v>
      </c>
      <c r="E4220" s="1" t="str">
        <f>""</f>
        <v/>
      </c>
      <c r="F4220" s="1" t="s">
        <v>1860</v>
      </c>
      <c r="G4220" s="1" t="str">
        <f>CONCATENATE(" TED D.O.O.,"," VRHOVČEV VIJENAC 84,"," 10000 ZAGREB,"," OIB: 22740118957")</f>
        <v xml:space="preserve"> TED D.O.O., VRHOVČEV VIJENAC 84, 10000 ZAGREB, OIB: 22740118957</v>
      </c>
      <c r="H4220" s="7"/>
      <c r="I4220" s="8" t="s">
        <v>72</v>
      </c>
      <c r="J4220" s="8" t="s">
        <v>2172</v>
      </c>
      <c r="K4220" s="6" t="str">
        <f>"6.850,00"</f>
        <v>6.850,00</v>
      </c>
      <c r="L4220" s="6" t="str">
        <f>"1.712,50"</f>
        <v>1.712,50</v>
      </c>
      <c r="M4220" s="6" t="str">
        <f>"8.562,50"</f>
        <v>8.562,50</v>
      </c>
      <c r="N4220" s="8" t="s">
        <v>635</v>
      </c>
      <c r="O4220" s="7"/>
      <c r="P4220" s="2" t="s">
        <v>8142</v>
      </c>
      <c r="Q4220" s="7"/>
      <c r="R4220" s="1"/>
      <c r="S4220" s="1" t="str">
        <f>"J-UN-2022-746"</f>
        <v>J-UN-2022-746</v>
      </c>
      <c r="T4220" s="1" t="s">
        <v>32</v>
      </c>
    </row>
    <row r="4221" spans="1:20" ht="51" x14ac:dyDescent="0.25">
      <c r="A4221" s="6">
        <v>4215</v>
      </c>
      <c r="B4221" s="1" t="str">
        <f>"2022-1245"</f>
        <v>2022-1245</v>
      </c>
      <c r="C4221" s="1" t="s">
        <v>3130</v>
      </c>
      <c r="D4221" s="1" t="s">
        <v>2631</v>
      </c>
      <c r="E4221" s="1" t="str">
        <f>""</f>
        <v/>
      </c>
      <c r="F4221" s="1" t="s">
        <v>1860</v>
      </c>
      <c r="G4221" s="1" t="str">
        <f>CONCATENATE(" DESNI KLIK D.O.O.,"," SIGET 7,"," 10020 ZAGREB,"," OIB: 49266720063")</f>
        <v xml:space="preserve"> DESNI KLIK D.O.O., SIGET 7, 10020 ZAGREB, OIB: 49266720063</v>
      </c>
      <c r="H4221" s="7"/>
      <c r="I4221" s="8" t="s">
        <v>72</v>
      </c>
      <c r="J4221" s="8" t="s">
        <v>2172</v>
      </c>
      <c r="K4221" s="6" t="str">
        <f>"16.040,00"</f>
        <v>16.040,00</v>
      </c>
      <c r="L4221" s="6" t="str">
        <f>"4.010,00"</f>
        <v>4.010,00</v>
      </c>
      <c r="M4221" s="6" t="str">
        <f>"20.050,00"</f>
        <v>20.050,00</v>
      </c>
      <c r="N4221" s="8" t="s">
        <v>124</v>
      </c>
      <c r="O4221" s="7"/>
      <c r="P4221" s="2" t="s">
        <v>8143</v>
      </c>
      <c r="Q4221" s="7"/>
      <c r="R4221" s="1"/>
      <c r="S4221" s="1" t="str">
        <f>"J-UN-2022-747"</f>
        <v>J-UN-2022-747</v>
      </c>
      <c r="T4221" s="1" t="s">
        <v>32</v>
      </c>
    </row>
    <row r="4222" spans="1:20" ht="51" x14ac:dyDescent="0.25">
      <c r="A4222" s="6">
        <v>4216</v>
      </c>
      <c r="B4222" s="1" t="str">
        <f>"2022-1350"</f>
        <v>2022-1350</v>
      </c>
      <c r="C4222" s="1" t="s">
        <v>3131</v>
      </c>
      <c r="D4222" s="1" t="s">
        <v>1859</v>
      </c>
      <c r="E4222" s="1" t="str">
        <f>""</f>
        <v/>
      </c>
      <c r="F4222" s="1" t="s">
        <v>1860</v>
      </c>
      <c r="G4222" s="1" t="str">
        <f>CONCATENATE(" INFO PULS D.O.O.,"," JOSIPA PUPAČIĆA 1,"," 10000 ZAGREB,"," OIB: 43150843424")</f>
        <v xml:space="preserve"> INFO PULS D.O.O., JOSIPA PUPAČIĆA 1, 10000 ZAGREB, OIB: 43150843424</v>
      </c>
      <c r="H4222" s="7"/>
      <c r="I4222" s="8" t="s">
        <v>354</v>
      </c>
      <c r="J4222" s="8" t="s">
        <v>3118</v>
      </c>
      <c r="K4222" s="6" t="str">
        <f>"2.580,00"</f>
        <v>2.580,00</v>
      </c>
      <c r="L4222" s="6" t="str">
        <f>"645,00"</f>
        <v>645,00</v>
      </c>
      <c r="M4222" s="6" t="str">
        <f>"3.225,00"</f>
        <v>3.225,00</v>
      </c>
      <c r="N4222" s="8" t="s">
        <v>124</v>
      </c>
      <c r="O4222" s="7"/>
      <c r="P4222" s="2" t="s">
        <v>5614</v>
      </c>
      <c r="Q4222" s="7"/>
      <c r="R4222" s="1"/>
      <c r="S4222" s="1" t="str">
        <f>"J-UN-2022-748"</f>
        <v>J-UN-2022-748</v>
      </c>
      <c r="T4222" s="1" t="s">
        <v>32</v>
      </c>
    </row>
    <row r="4223" spans="1:20" ht="63.75" x14ac:dyDescent="0.25">
      <c r="A4223" s="6">
        <v>4217</v>
      </c>
      <c r="B4223" s="1" t="str">
        <f>"2022-925"</f>
        <v>2022-925</v>
      </c>
      <c r="C4223" s="1" t="s">
        <v>2889</v>
      </c>
      <c r="D4223" s="1" t="s">
        <v>1007</v>
      </c>
      <c r="E4223" s="1" t="str">
        <f>""</f>
        <v/>
      </c>
      <c r="F4223" s="1" t="s">
        <v>1860</v>
      </c>
      <c r="G4223" s="1" t="str">
        <f>CONCATENATE(" HUST D.O.O.,"," MARIJANA STILINOVIĆA 53,"," 10431 SVETA NEDJELJA,"," OIB: 53951737793")</f>
        <v xml:space="preserve"> HUST D.O.O., MARIJANA STILINOVIĆA 53, 10431 SVETA NEDJELJA, OIB: 53951737793</v>
      </c>
      <c r="H4223" s="7"/>
      <c r="I4223" s="8" t="s">
        <v>405</v>
      </c>
      <c r="J4223" s="8" t="s">
        <v>3125</v>
      </c>
      <c r="K4223" s="6" t="str">
        <f>"1.068,00"</f>
        <v>1.068,00</v>
      </c>
      <c r="L4223" s="6" t="str">
        <f>"267,00"</f>
        <v>267,00</v>
      </c>
      <c r="M4223" s="6" t="str">
        <f>"1.335,00"</f>
        <v>1.335,00</v>
      </c>
      <c r="N4223" s="8" t="s">
        <v>30</v>
      </c>
      <c r="O4223" s="7"/>
      <c r="P4223" s="2" t="s">
        <v>8144</v>
      </c>
      <c r="Q4223" s="7"/>
      <c r="R4223" s="1"/>
      <c r="S4223" s="1" t="str">
        <f>"J-UN-2022-767"</f>
        <v>J-UN-2022-767</v>
      </c>
      <c r="T4223" s="1" t="s">
        <v>32</v>
      </c>
    </row>
    <row r="4224" spans="1:20" ht="63.75" x14ac:dyDescent="0.25">
      <c r="A4224" s="6">
        <v>4218</v>
      </c>
      <c r="B4224" s="1" t="str">
        <f>"2022-970"</f>
        <v>2022-970</v>
      </c>
      <c r="C4224" s="1" t="s">
        <v>2857</v>
      </c>
      <c r="D4224" s="1" t="s">
        <v>1373</v>
      </c>
      <c r="E4224" s="1" t="str">
        <f>""</f>
        <v/>
      </c>
      <c r="F4224" s="1" t="s">
        <v>1860</v>
      </c>
      <c r="G4224" s="1" t="str">
        <f>CONCATENATE(" MAT-TOPS D.O.O.,"," J.KOVAČIĆA 5,"," 10413 KRAVARSKO(ŠILJAKOVINA),"," OIB: 99349765216")</f>
        <v xml:space="preserve"> MAT-TOPS D.O.O., J.KOVAČIĆA 5, 10413 KRAVARSKO(ŠILJAKOVINA), OIB: 99349765216</v>
      </c>
      <c r="H4224" s="7"/>
      <c r="I4224" s="8" t="s">
        <v>405</v>
      </c>
      <c r="J4224" s="8" t="s">
        <v>3125</v>
      </c>
      <c r="K4224" s="6" t="str">
        <f>"4.863,20"</f>
        <v>4.863,20</v>
      </c>
      <c r="L4224" s="6" t="str">
        <f>"1.215,80"</f>
        <v>1.215,80</v>
      </c>
      <c r="M4224" s="6" t="str">
        <f>"6.079,00"</f>
        <v>6.079,00</v>
      </c>
      <c r="N4224" s="8" t="s">
        <v>404</v>
      </c>
      <c r="O4224" s="7"/>
      <c r="P4224" s="2" t="s">
        <v>8145</v>
      </c>
      <c r="Q4224" s="7"/>
      <c r="R4224" s="1"/>
      <c r="S4224" s="1" t="str">
        <f>"J-UN-2022-768"</f>
        <v>J-UN-2022-768</v>
      </c>
      <c r="T4224" s="1" t="s">
        <v>32</v>
      </c>
    </row>
    <row r="4225" spans="1:20" ht="51" x14ac:dyDescent="0.25">
      <c r="A4225" s="6">
        <v>4219</v>
      </c>
      <c r="B4225" s="1" t="str">
        <f>"2022-970"</f>
        <v>2022-970</v>
      </c>
      <c r="C4225" s="1" t="s">
        <v>2857</v>
      </c>
      <c r="D4225" s="1" t="s">
        <v>1373</v>
      </c>
      <c r="E4225" s="1" t="str">
        <f>""</f>
        <v/>
      </c>
      <c r="F4225" s="1" t="s">
        <v>1860</v>
      </c>
      <c r="G4225" s="1" t="str">
        <f>CONCATENATE(" CONTROLMATIK D.O.O.,"," PRIMORSKA 1,"," 42000 VARAŽDIN,"," OIB: 25020037517")</f>
        <v xml:space="preserve"> CONTROLMATIK D.O.O., PRIMORSKA 1, 42000 VARAŽDIN, OIB: 25020037517</v>
      </c>
      <c r="H4225" s="7"/>
      <c r="I4225" s="8" t="s">
        <v>405</v>
      </c>
      <c r="J4225" s="8" t="s">
        <v>3125</v>
      </c>
      <c r="K4225" s="6" t="str">
        <f>"76.000,00"</f>
        <v>76.000,00</v>
      </c>
      <c r="L4225" s="6" t="str">
        <f>"19.000,00"</f>
        <v>19.000,00</v>
      </c>
      <c r="M4225" s="6" t="str">
        <f>"95.000,00"</f>
        <v>95.000,00</v>
      </c>
      <c r="N4225" s="8" t="s">
        <v>124</v>
      </c>
      <c r="O4225" s="7"/>
      <c r="P4225" s="2" t="s">
        <v>5614</v>
      </c>
      <c r="Q4225" s="7"/>
      <c r="R4225" s="1"/>
      <c r="S4225" s="1" t="str">
        <f>"J-UN-2022-769"</f>
        <v>J-UN-2022-769</v>
      </c>
      <c r="T4225" s="1" t="s">
        <v>32</v>
      </c>
    </row>
    <row r="4226" spans="1:20" ht="51" x14ac:dyDescent="0.25">
      <c r="A4226" s="6">
        <v>4220</v>
      </c>
      <c r="B4226" s="1" t="str">
        <f>"2022-950"</f>
        <v>2022-950</v>
      </c>
      <c r="C4226" s="1" t="s">
        <v>2854</v>
      </c>
      <c r="D4226" s="1" t="s">
        <v>2855</v>
      </c>
      <c r="E4226" s="1" t="str">
        <f>""</f>
        <v/>
      </c>
      <c r="F4226" s="1" t="s">
        <v>1860</v>
      </c>
      <c r="G4226" s="1" t="str">
        <f>CONCATENATE(" TEHNO-HIDRAULIK D.O.O.,"," SAVIŠĆE 2,"," 10000 ZAGREB,"," OIB: 09925328419")</f>
        <v xml:space="preserve"> TEHNO-HIDRAULIK D.O.O., SAVIŠĆE 2, 10000 ZAGREB, OIB: 09925328419</v>
      </c>
      <c r="H4226" s="7"/>
      <c r="I4226" s="8" t="s">
        <v>72</v>
      </c>
      <c r="J4226" s="8" t="s">
        <v>2172</v>
      </c>
      <c r="K4226" s="6" t="str">
        <f>"1.620,70"</f>
        <v>1.620,70</v>
      </c>
      <c r="L4226" s="6" t="str">
        <f>"405,18"</f>
        <v>405,18</v>
      </c>
      <c r="M4226" s="6" t="str">
        <f>"2.025,88"</f>
        <v>2.025,88</v>
      </c>
      <c r="N4226" s="8" t="s">
        <v>521</v>
      </c>
      <c r="O4226" s="7"/>
      <c r="P4226" s="2" t="s">
        <v>8146</v>
      </c>
      <c r="Q4226" s="7"/>
      <c r="R4226" s="1"/>
      <c r="S4226" s="1" t="str">
        <f>"J-UN-2022-770"</f>
        <v>J-UN-2022-770</v>
      </c>
      <c r="T4226" s="1" t="s">
        <v>32</v>
      </c>
    </row>
    <row r="4227" spans="1:20" ht="51" x14ac:dyDescent="0.25">
      <c r="A4227" s="6">
        <v>4221</v>
      </c>
      <c r="B4227" s="1" t="str">
        <f>"2022-909"</f>
        <v>2022-909</v>
      </c>
      <c r="C4227" s="1" t="s">
        <v>2718</v>
      </c>
      <c r="D4227" s="1" t="s">
        <v>1102</v>
      </c>
      <c r="E4227" s="1" t="str">
        <f>""</f>
        <v/>
      </c>
      <c r="F4227" s="1" t="s">
        <v>1860</v>
      </c>
      <c r="G4227" s="1" t="str">
        <f>CONCATENATE(" ITM D.O.O.,"," TRAKOŠĆANSKA 2,"," 10000 ZAGREB,"," OIB: 59759844999")</f>
        <v xml:space="preserve"> ITM D.O.O., TRAKOŠĆANSKA 2, 10000 ZAGREB, OIB: 59759844999</v>
      </c>
      <c r="H4227" s="7"/>
      <c r="I4227" s="8" t="s">
        <v>224</v>
      </c>
      <c r="J4227" s="8" t="s">
        <v>3132</v>
      </c>
      <c r="K4227" s="6" t="str">
        <f>"15.000,00"</f>
        <v>15.000,00</v>
      </c>
      <c r="L4227" s="6" t="str">
        <f>"3.750,00"</f>
        <v>3.750,00</v>
      </c>
      <c r="M4227" s="6" t="str">
        <f>"18.750,00"</f>
        <v>18.750,00</v>
      </c>
      <c r="N4227" s="8" t="s">
        <v>281</v>
      </c>
      <c r="O4227" s="7"/>
      <c r="P4227" s="2" t="s">
        <v>5900</v>
      </c>
      <c r="Q4227" s="7"/>
      <c r="R4227" s="1"/>
      <c r="S4227" s="1" t="str">
        <f>"J-UN-2022-771"</f>
        <v>J-UN-2022-771</v>
      </c>
      <c r="T4227" s="1" t="s">
        <v>32</v>
      </c>
    </row>
    <row r="4228" spans="1:20" ht="63.75" x14ac:dyDescent="0.25">
      <c r="A4228" s="6">
        <v>4222</v>
      </c>
      <c r="B4228" s="1" t="str">
        <f>"2022-460"</f>
        <v>2022-460</v>
      </c>
      <c r="C4228" s="1" t="s">
        <v>2793</v>
      </c>
      <c r="D4228" s="1" t="s">
        <v>1619</v>
      </c>
      <c r="E4228" s="1" t="str">
        <f>""</f>
        <v/>
      </c>
      <c r="F4228" s="1" t="s">
        <v>1860</v>
      </c>
      <c r="G4228" s="1" t="str">
        <f>CONCATENATE(" GRA-PO D.O.O.,"," GOSPODARSKA 5B,"," 10255 ZAGREB - STUPNIK,"," OIB: 05364995085")</f>
        <v xml:space="preserve"> GRA-PO D.O.O., GOSPODARSKA 5B, 10255 ZAGREB - STUPNIK, OIB: 05364995085</v>
      </c>
      <c r="H4228" s="7"/>
      <c r="I4228" s="8" t="s">
        <v>72</v>
      </c>
      <c r="J4228" s="8" t="s">
        <v>2172</v>
      </c>
      <c r="K4228" s="6" t="str">
        <f>"14.762,00"</f>
        <v>14.762,00</v>
      </c>
      <c r="L4228" s="6" t="str">
        <f>"3.690,50"</f>
        <v>3.690,50</v>
      </c>
      <c r="M4228" s="6" t="str">
        <f>"18.452,50"</f>
        <v>18.452,50</v>
      </c>
      <c r="N4228" s="8" t="s">
        <v>500</v>
      </c>
      <c r="O4228" s="7"/>
      <c r="P4228" s="2" t="s">
        <v>8147</v>
      </c>
      <c r="Q4228" s="7"/>
      <c r="R4228" s="1"/>
      <c r="S4228" s="1" t="str">
        <f>"J-UN-2022-772"</f>
        <v>J-UN-2022-772</v>
      </c>
      <c r="T4228" s="1" t="s">
        <v>32</v>
      </c>
    </row>
    <row r="4229" spans="1:20" ht="51" x14ac:dyDescent="0.25">
      <c r="A4229" s="6">
        <v>4223</v>
      </c>
      <c r="B4229" s="1" t="str">
        <f>"2022-706"</f>
        <v>2022-706</v>
      </c>
      <c r="C4229" s="1" t="s">
        <v>2670</v>
      </c>
      <c r="D4229" s="1" t="s">
        <v>2671</v>
      </c>
      <c r="E4229" s="1" t="str">
        <f>""</f>
        <v/>
      </c>
      <c r="F4229" s="1" t="s">
        <v>1860</v>
      </c>
      <c r="G4229" s="1" t="str">
        <f>CONCATENATE(" SAFIR D.O.O.,"," HORVAĆANSKA 17,"," 10000 ZAGREB,"," OIB: 33548604975")</f>
        <v xml:space="preserve"> SAFIR D.O.O., HORVAĆANSKA 17, 10000 ZAGREB, OIB: 33548604975</v>
      </c>
      <c r="H4229" s="7"/>
      <c r="I4229" s="8" t="s">
        <v>404</v>
      </c>
      <c r="J4229" s="8" t="s">
        <v>3133</v>
      </c>
      <c r="K4229" s="6" t="str">
        <f>"1.754,40"</f>
        <v>1.754,40</v>
      </c>
      <c r="L4229" s="6" t="str">
        <f>"438,60"</f>
        <v>438,60</v>
      </c>
      <c r="M4229" s="6" t="str">
        <f>"2.193,00"</f>
        <v>2.193,00</v>
      </c>
      <c r="N4229" s="8" t="s">
        <v>877</v>
      </c>
      <c r="O4229" s="7"/>
      <c r="P4229" s="2" t="s">
        <v>8148</v>
      </c>
      <c r="Q4229" s="7"/>
      <c r="R4229" s="1"/>
      <c r="S4229" s="1" t="str">
        <f>"J-UN-2022-774"</f>
        <v>J-UN-2022-774</v>
      </c>
      <c r="T4229" s="1" t="s">
        <v>32</v>
      </c>
    </row>
    <row r="4230" spans="1:20" ht="63.75" x14ac:dyDescent="0.25">
      <c r="A4230" s="6">
        <v>4224</v>
      </c>
      <c r="B4230" s="1" t="str">
        <f>"2022-1438"</f>
        <v>2022-1438</v>
      </c>
      <c r="C4230" s="1" t="s">
        <v>3124</v>
      </c>
      <c r="D4230" s="1" t="s">
        <v>860</v>
      </c>
      <c r="E4230" s="1" t="str">
        <f>""</f>
        <v/>
      </c>
      <c r="F4230" s="1" t="s">
        <v>1860</v>
      </c>
      <c r="G4230" s="1" t="str">
        <f>CONCATENATE(" JURANKO S.M. D.O.O.,"," I.G.KOVAČIĆA 10,"," 10434 STRMEC SAMOBORSKI,"," OIB: 24626850319")</f>
        <v xml:space="preserve"> JURANKO S.M. D.O.O., I.G.KOVAČIĆA 10, 10434 STRMEC SAMOBORSKI, OIB: 24626850319</v>
      </c>
      <c r="H4230" s="7"/>
      <c r="I4230" s="8" t="s">
        <v>72</v>
      </c>
      <c r="J4230" s="8" t="s">
        <v>2172</v>
      </c>
      <c r="K4230" s="6" t="str">
        <f>"3.000,00"</f>
        <v>3.000,00</v>
      </c>
      <c r="L4230" s="6" t="str">
        <f>"750,00"</f>
        <v>750,00</v>
      </c>
      <c r="M4230" s="6" t="str">
        <f>"3.750,00"</f>
        <v>3.750,00</v>
      </c>
      <c r="N4230" s="8" t="s">
        <v>124</v>
      </c>
      <c r="O4230" s="7"/>
      <c r="P4230" s="2" t="s">
        <v>5614</v>
      </c>
      <c r="Q4230" s="7"/>
      <c r="R4230" s="1"/>
      <c r="S4230" s="1" t="str">
        <f>"J-UN-2022-775"</f>
        <v>J-UN-2022-775</v>
      </c>
      <c r="T4230" s="1" t="s">
        <v>32</v>
      </c>
    </row>
    <row r="4231" spans="1:20" ht="51" x14ac:dyDescent="0.25">
      <c r="A4231" s="6">
        <v>4225</v>
      </c>
      <c r="B4231" s="1" t="str">
        <f>"2022-1238"</f>
        <v>2022-1238</v>
      </c>
      <c r="C4231" s="1" t="s">
        <v>3102</v>
      </c>
      <c r="D4231" s="1" t="s">
        <v>2631</v>
      </c>
      <c r="E4231" s="1" t="str">
        <f>""</f>
        <v/>
      </c>
      <c r="F4231" s="1" t="s">
        <v>1860</v>
      </c>
      <c r="G4231" s="1" t="str">
        <f>CONCATENATE(" INVENTA D.O.O.,"," ULICA GRADA VUKOVARA 284,"," 10000 ZAGREB,"," OIB: 99213847706")</f>
        <v xml:space="preserve"> INVENTA D.O.O., ULICA GRADA VUKOVARA 284, 10000 ZAGREB, OIB: 99213847706</v>
      </c>
      <c r="H4231" s="7"/>
      <c r="I4231" s="8" t="s">
        <v>835</v>
      </c>
      <c r="J4231" s="8" t="s">
        <v>2176</v>
      </c>
      <c r="K4231" s="6" t="str">
        <f>"9.720,00"</f>
        <v>9.720,00</v>
      </c>
      <c r="L4231" s="6" t="str">
        <f>"2.430,00"</f>
        <v>2.430,00</v>
      </c>
      <c r="M4231" s="6" t="str">
        <f>"12.150,00"</f>
        <v>12.150,00</v>
      </c>
      <c r="N4231" s="8" t="s">
        <v>57</v>
      </c>
      <c r="O4231" s="7"/>
      <c r="P4231" s="2" t="s">
        <v>8149</v>
      </c>
      <c r="Q4231" s="7"/>
      <c r="R4231" s="1"/>
      <c r="S4231" s="1" t="str">
        <f>"J-UN-2022-776"</f>
        <v>J-UN-2022-776</v>
      </c>
      <c r="T4231" s="1" t="s">
        <v>32</v>
      </c>
    </row>
    <row r="4232" spans="1:20" ht="63.75" x14ac:dyDescent="0.25">
      <c r="A4232" s="6">
        <v>4226</v>
      </c>
      <c r="B4232" s="1" t="str">
        <f>"2022-600"</f>
        <v>2022-600</v>
      </c>
      <c r="C4232" s="1" t="s">
        <v>2817</v>
      </c>
      <c r="D4232" s="1" t="s">
        <v>2818</v>
      </c>
      <c r="E4232" s="1" t="str">
        <f>""</f>
        <v/>
      </c>
      <c r="F4232" s="1" t="s">
        <v>1860</v>
      </c>
      <c r="G4232" s="1" t="str">
        <f>CONCATENATE(" TOKIĆ D.O.O.,"," ULICA 144. BRIGADE HRVATSKE VOJSKE 1A,"," 10360 SESVETE,"," OIB: 7486748762")</f>
        <v xml:space="preserve"> TOKIĆ D.O.O., ULICA 144. BRIGADE HRVATSKE VOJSKE 1A, 10360 SESVETE, OIB: 7486748762</v>
      </c>
      <c r="H4232" s="7"/>
      <c r="I4232" s="8" t="s">
        <v>635</v>
      </c>
      <c r="J4232" s="8" t="s">
        <v>2385</v>
      </c>
      <c r="K4232" s="6" t="str">
        <f>"320,00"</f>
        <v>320,00</v>
      </c>
      <c r="L4232" s="6" t="str">
        <f>"80,00"</f>
        <v>80,00</v>
      </c>
      <c r="M4232" s="6" t="str">
        <f>"400,00"</f>
        <v>400,00</v>
      </c>
      <c r="N4232" s="8" t="s">
        <v>877</v>
      </c>
      <c r="O4232" s="7"/>
      <c r="P4232" s="2" t="s">
        <v>7973</v>
      </c>
      <c r="Q4232" s="7"/>
      <c r="R4232" s="1"/>
      <c r="S4232" s="1" t="str">
        <f>"J-UN-2022-778"</f>
        <v>J-UN-2022-778</v>
      </c>
      <c r="T4232" s="1" t="s">
        <v>32</v>
      </c>
    </row>
    <row r="4233" spans="1:20" ht="63.75" x14ac:dyDescent="0.25">
      <c r="A4233" s="6">
        <v>4227</v>
      </c>
      <c r="B4233" s="1" t="str">
        <f>"2022-506"</f>
        <v>2022-506</v>
      </c>
      <c r="C4233" s="1" t="s">
        <v>3119</v>
      </c>
      <c r="D4233" s="1" t="s">
        <v>750</v>
      </c>
      <c r="E4233" s="1" t="str">
        <f>""</f>
        <v/>
      </c>
      <c r="F4233" s="1" t="s">
        <v>1860</v>
      </c>
      <c r="G4233" s="1" t="str">
        <f>CONCATENATE(" HRVATSKE ŠUME D.O.O.,"," UL. KNEZA BRANIMIRA 1,"," 10000 ZAGREB,"," OIB: 69693144506")</f>
        <v xml:space="preserve"> HRVATSKE ŠUME D.O.O., UL. KNEZA BRANIMIRA 1, 10000 ZAGREB, OIB: 69693144506</v>
      </c>
      <c r="H4233" s="7"/>
      <c r="I4233" s="8" t="s">
        <v>635</v>
      </c>
      <c r="J4233" s="8" t="s">
        <v>2385</v>
      </c>
      <c r="K4233" s="6" t="str">
        <f>"14.800,00"</f>
        <v>14.800,00</v>
      </c>
      <c r="L4233" s="6" t="str">
        <f>"3.700,00"</f>
        <v>3.700,00</v>
      </c>
      <c r="M4233" s="6" t="str">
        <f>"18.500,00"</f>
        <v>18.500,00</v>
      </c>
      <c r="N4233" s="8" t="s">
        <v>124</v>
      </c>
      <c r="O4233" s="7"/>
      <c r="P4233" s="2" t="s">
        <v>5614</v>
      </c>
      <c r="Q4233" s="7"/>
      <c r="R4233" s="1"/>
      <c r="S4233" s="1" t="str">
        <f>"J-UN-2022-779"</f>
        <v>J-UN-2022-779</v>
      </c>
      <c r="T4233" s="1" t="s">
        <v>32</v>
      </c>
    </row>
    <row r="4234" spans="1:20" ht="76.5" x14ac:dyDescent="0.25">
      <c r="A4234" s="6">
        <v>4228</v>
      </c>
      <c r="B4234" s="1" t="str">
        <f>"2022-382"</f>
        <v>2022-382</v>
      </c>
      <c r="C4234" s="1" t="s">
        <v>2700</v>
      </c>
      <c r="D4234" s="1" t="s">
        <v>2701</v>
      </c>
      <c r="E4234" s="1" t="str">
        <f>""</f>
        <v/>
      </c>
      <c r="F4234" s="1" t="s">
        <v>1860</v>
      </c>
      <c r="G4234" s="1" t="str">
        <f>CONCATENATE(" SMIT-COMMERCE D.O.O.,"," GORNJOSTUPNIČKA 9B,"," 10255 GORNJI STUPNIK,"," OIB: 9524348214")</f>
        <v xml:space="preserve"> SMIT-COMMERCE D.O.O., GORNJOSTUPNIČKA 9B, 10255 GORNJI STUPNIK, OIB: 9524348214</v>
      </c>
      <c r="H4234" s="7"/>
      <c r="I4234" s="8" t="s">
        <v>635</v>
      </c>
      <c r="J4234" s="8" t="s">
        <v>2385</v>
      </c>
      <c r="K4234" s="6" t="str">
        <f>"1.312,26"</f>
        <v>1.312,26</v>
      </c>
      <c r="L4234" s="6" t="str">
        <f>"328,07"</f>
        <v>328,07</v>
      </c>
      <c r="M4234" s="6" t="str">
        <f>"1.640,33"</f>
        <v>1.640,33</v>
      </c>
      <c r="N4234" s="8" t="s">
        <v>238</v>
      </c>
      <c r="O4234" s="7"/>
      <c r="P4234" s="2" t="s">
        <v>8150</v>
      </c>
      <c r="Q4234" s="7"/>
      <c r="R4234" s="1"/>
      <c r="S4234" s="1" t="str">
        <f>"J-UN-2022-780"</f>
        <v>J-UN-2022-780</v>
      </c>
      <c r="T4234" s="1" t="s">
        <v>32</v>
      </c>
    </row>
    <row r="4235" spans="1:20" ht="63.75" x14ac:dyDescent="0.25">
      <c r="A4235" s="6">
        <v>4229</v>
      </c>
      <c r="B4235" s="1" t="str">
        <f>"2022-596"</f>
        <v>2022-596</v>
      </c>
      <c r="C4235" s="1" t="s">
        <v>2660</v>
      </c>
      <c r="D4235" s="1" t="s">
        <v>2661</v>
      </c>
      <c r="E4235" s="1" t="str">
        <f>""</f>
        <v/>
      </c>
      <c r="F4235" s="1" t="s">
        <v>1860</v>
      </c>
      <c r="G4235" s="1" t="str">
        <f>CONCATENATE(" ELEKTRO-KOMUNIKACIJE D.O.O.,"," 14. PODBREŽJE 4,"," 10000 ZAGREB,"," OIB: 76412373309")</f>
        <v xml:space="preserve"> ELEKTRO-KOMUNIKACIJE D.O.O., 14. PODBREŽJE 4, 10000 ZAGREB, OIB: 76412373309</v>
      </c>
      <c r="H4235" s="7"/>
      <c r="I4235" s="8" t="s">
        <v>635</v>
      </c>
      <c r="J4235" s="8" t="s">
        <v>2385</v>
      </c>
      <c r="K4235" s="6" t="str">
        <f>"204,00"</f>
        <v>204,00</v>
      </c>
      <c r="L4235" s="6" t="str">
        <f>"51,00"</f>
        <v>51,00</v>
      </c>
      <c r="M4235" s="6" t="str">
        <f>"255,00"</f>
        <v>255,00</v>
      </c>
      <c r="N4235" s="8" t="s">
        <v>425</v>
      </c>
      <c r="O4235" s="7"/>
      <c r="P4235" s="2" t="s">
        <v>8151</v>
      </c>
      <c r="Q4235" s="7"/>
      <c r="R4235" s="1"/>
      <c r="S4235" s="1" t="str">
        <f>"J-UN-2022-784"</f>
        <v>J-UN-2022-784</v>
      </c>
      <c r="T4235" s="1" t="s">
        <v>32</v>
      </c>
    </row>
    <row r="4236" spans="1:20" ht="63.75" x14ac:dyDescent="0.25">
      <c r="A4236" s="6">
        <v>4230</v>
      </c>
      <c r="B4236" s="1" t="str">
        <f>"2022-473"</f>
        <v>2022-473</v>
      </c>
      <c r="C4236" s="1" t="s">
        <v>2738</v>
      </c>
      <c r="D4236" s="1" t="s">
        <v>2739</v>
      </c>
      <c r="E4236" s="1" t="str">
        <f>""</f>
        <v/>
      </c>
      <c r="F4236" s="1" t="s">
        <v>1860</v>
      </c>
      <c r="G4236" s="1" t="str">
        <f>CONCATENATE(" A.M.I. COMMERCE - LOVREKOVIĆ d.o.o.,"," MAKSIMIRSKA 100,"," 10000 ZAGREB,"," OIB: 55326209639")</f>
        <v xml:space="preserve"> A.M.I. COMMERCE - LOVREKOVIĆ d.o.o., MAKSIMIRSKA 100, 10000 ZAGREB, OIB: 55326209639</v>
      </c>
      <c r="H4236" s="7"/>
      <c r="I4236" s="8" t="s">
        <v>404</v>
      </c>
      <c r="J4236" s="8" t="s">
        <v>3133</v>
      </c>
      <c r="K4236" s="6" t="str">
        <f>"2.417,00"</f>
        <v>2.417,00</v>
      </c>
      <c r="L4236" s="6" t="str">
        <f>"604,25"</f>
        <v>604,25</v>
      </c>
      <c r="M4236" s="6" t="str">
        <f>"3.021,25"</f>
        <v>3.021,25</v>
      </c>
      <c r="N4236" s="8" t="s">
        <v>124</v>
      </c>
      <c r="O4236" s="7"/>
      <c r="P4236" s="2" t="s">
        <v>5614</v>
      </c>
      <c r="Q4236" s="7"/>
      <c r="R4236" s="1"/>
      <c r="S4236" s="1" t="str">
        <f>"J-UN-2022-785"</f>
        <v>J-UN-2022-785</v>
      </c>
      <c r="T4236" s="1" t="s">
        <v>32</v>
      </c>
    </row>
    <row r="4237" spans="1:20" ht="63.75" x14ac:dyDescent="0.25">
      <c r="A4237" s="6">
        <v>4231</v>
      </c>
      <c r="B4237" s="1" t="str">
        <f>"2022-715"</f>
        <v>2022-715</v>
      </c>
      <c r="C4237" s="1" t="s">
        <v>2733</v>
      </c>
      <c r="D4237" s="1" t="s">
        <v>914</v>
      </c>
      <c r="E4237" s="1" t="str">
        <f>""</f>
        <v/>
      </c>
      <c r="F4237" s="1" t="s">
        <v>1860</v>
      </c>
      <c r="G4237" s="1" t="str">
        <f>CONCATENATE(" TOKIĆ D.O.O.,"," ULICA 144. BRIGADE HRVATSKE VOJSKE 1A,"," 10360 SESVETE,"," OIB: 7486748762")</f>
        <v xml:space="preserve"> TOKIĆ D.O.O., ULICA 144. BRIGADE HRVATSKE VOJSKE 1A, 10360 SESVETE, OIB: 7486748762</v>
      </c>
      <c r="H4237" s="7"/>
      <c r="I4237" s="8" t="s">
        <v>635</v>
      </c>
      <c r="J4237" s="8" t="s">
        <v>2385</v>
      </c>
      <c r="K4237" s="6" t="str">
        <f>"1.340,00"</f>
        <v>1.340,00</v>
      </c>
      <c r="L4237" s="6" t="str">
        <f>"335,00"</f>
        <v>335,00</v>
      </c>
      <c r="M4237" s="6" t="str">
        <f>"1.675,00"</f>
        <v>1.675,00</v>
      </c>
      <c r="N4237" s="8" t="s">
        <v>877</v>
      </c>
      <c r="O4237" s="7"/>
      <c r="P4237" s="2" t="s">
        <v>7675</v>
      </c>
      <c r="Q4237" s="7"/>
      <c r="R4237" s="1"/>
      <c r="S4237" s="1" t="str">
        <f>"J-UN-2022-786"</f>
        <v>J-UN-2022-786</v>
      </c>
      <c r="T4237" s="1" t="s">
        <v>32</v>
      </c>
    </row>
    <row r="4238" spans="1:20" ht="51" x14ac:dyDescent="0.25">
      <c r="A4238" s="6">
        <v>4232</v>
      </c>
      <c r="B4238" s="1" t="str">
        <f>"2022-713"</f>
        <v>2022-713</v>
      </c>
      <c r="C4238" s="1" t="s">
        <v>3072</v>
      </c>
      <c r="D4238" s="1" t="s">
        <v>914</v>
      </c>
      <c r="E4238" s="1" t="str">
        <f>""</f>
        <v/>
      </c>
      <c r="F4238" s="1" t="s">
        <v>1860</v>
      </c>
      <c r="G4238" s="1" t="str">
        <f>CONCATENATE(" LAGER BAŠIĆ D.O.O.,"," TRGOVAČKA 3,"," 10255 DONJI STUPNIK,"," OIB: 49617677906")</f>
        <v xml:space="preserve"> LAGER BAŠIĆ D.O.O., TRGOVAČKA 3, 10255 DONJI STUPNIK, OIB: 49617677906</v>
      </c>
      <c r="H4238" s="7"/>
      <c r="I4238" s="8" t="s">
        <v>635</v>
      </c>
      <c r="J4238" s="8" t="s">
        <v>2385</v>
      </c>
      <c r="K4238" s="6" t="str">
        <f>"16.977,00"</f>
        <v>16.977,00</v>
      </c>
      <c r="L4238" s="6" t="str">
        <f>"4.244,25"</f>
        <v>4.244,25</v>
      </c>
      <c r="M4238" s="6" t="str">
        <f>"21.221,25"</f>
        <v>21.221,25</v>
      </c>
      <c r="N4238" s="8" t="s">
        <v>350</v>
      </c>
      <c r="O4238" s="7"/>
      <c r="P4238" s="2" t="s">
        <v>8152</v>
      </c>
      <c r="Q4238" s="7"/>
      <c r="R4238" s="1"/>
      <c r="S4238" s="1" t="str">
        <f>"J-UN-2022-787"</f>
        <v>J-UN-2022-787</v>
      </c>
      <c r="T4238" s="1" t="s">
        <v>32</v>
      </c>
    </row>
    <row r="4239" spans="1:20" ht="63.75" x14ac:dyDescent="0.25">
      <c r="A4239" s="6">
        <v>4233</v>
      </c>
      <c r="B4239" s="1" t="str">
        <f>"2022-101"</f>
        <v>2022-101</v>
      </c>
      <c r="C4239" s="1" t="s">
        <v>2914</v>
      </c>
      <c r="D4239" s="1" t="s">
        <v>2915</v>
      </c>
      <c r="E4239" s="1" t="str">
        <f>""</f>
        <v/>
      </c>
      <c r="F4239" s="1" t="s">
        <v>1860</v>
      </c>
      <c r="G4239" s="1" t="str">
        <f>CONCATENATE(" URIHO - ZAGREB,"," AVENIJA MARINA DRŽIĆA 1,"," 10000 ZAGREB,"," OIB: 77931216562")</f>
        <v xml:space="preserve"> URIHO - ZAGREB, AVENIJA MARINA DRŽIĆA 1, 10000 ZAGREB, OIB: 77931216562</v>
      </c>
      <c r="H4239" s="7"/>
      <c r="I4239" s="8" t="s">
        <v>224</v>
      </c>
      <c r="J4239" s="8" t="s">
        <v>3132</v>
      </c>
      <c r="K4239" s="6" t="str">
        <f>"5.595,00"</f>
        <v>5.595,00</v>
      </c>
      <c r="L4239" s="6" t="str">
        <f>"1.398,75"</f>
        <v>1.398,75</v>
      </c>
      <c r="M4239" s="6" t="str">
        <f>"6.993,75"</f>
        <v>6.993,75</v>
      </c>
      <c r="N4239" s="8" t="s">
        <v>406</v>
      </c>
      <c r="O4239" s="7"/>
      <c r="P4239" s="2" t="s">
        <v>8153</v>
      </c>
      <c r="Q4239" s="7"/>
      <c r="R4239" s="1"/>
      <c r="S4239" s="1" t="str">
        <f>"J-UN-2022-788"</f>
        <v>J-UN-2022-788</v>
      </c>
      <c r="T4239" s="1" t="s">
        <v>32</v>
      </c>
    </row>
    <row r="4240" spans="1:20" ht="63.75" x14ac:dyDescent="0.25">
      <c r="A4240" s="6">
        <v>4234</v>
      </c>
      <c r="B4240" s="1" t="str">
        <f>"2022-426"</f>
        <v>2022-426</v>
      </c>
      <c r="C4240" s="1" t="s">
        <v>2833</v>
      </c>
      <c r="D4240" s="1" t="s">
        <v>1962</v>
      </c>
      <c r="E4240" s="1" t="str">
        <f>""</f>
        <v/>
      </c>
      <c r="F4240" s="1" t="s">
        <v>1860</v>
      </c>
      <c r="G4240" s="1" t="str">
        <f>CONCATENATE(" GRA-PO D.O.O.,"," GOSPODARSKA 5B,"," 10255 ZAGREB - STUPNIK,"," OIB: 05364995085")</f>
        <v xml:space="preserve"> GRA-PO D.O.O., GOSPODARSKA 5B, 10255 ZAGREB - STUPNIK, OIB: 05364995085</v>
      </c>
      <c r="H4240" s="7"/>
      <c r="I4240" s="8" t="s">
        <v>835</v>
      </c>
      <c r="J4240" s="8" t="s">
        <v>2176</v>
      </c>
      <c r="K4240" s="6" t="str">
        <f>"21.748,00"</f>
        <v>21.748,00</v>
      </c>
      <c r="L4240" s="6" t="str">
        <f>"5.437,00"</f>
        <v>5.437,00</v>
      </c>
      <c r="M4240" s="6" t="str">
        <f>"27.185,00"</f>
        <v>27.185,00</v>
      </c>
      <c r="N4240" s="8" t="s">
        <v>124</v>
      </c>
      <c r="O4240" s="7"/>
      <c r="P4240" s="2" t="s">
        <v>8154</v>
      </c>
      <c r="Q4240" s="7"/>
      <c r="R4240" s="1"/>
      <c r="S4240" s="1" t="str">
        <f>"J-UN-2022-789"</f>
        <v>J-UN-2022-789</v>
      </c>
      <c r="T4240" s="1" t="s">
        <v>32</v>
      </c>
    </row>
    <row r="4241" spans="1:20" ht="76.5" x14ac:dyDescent="0.25">
      <c r="A4241" s="6">
        <v>4235</v>
      </c>
      <c r="B4241" s="1" t="str">
        <f>"2022-499"</f>
        <v>2022-499</v>
      </c>
      <c r="C4241" s="1" t="s">
        <v>2788</v>
      </c>
      <c r="D4241" s="1" t="s">
        <v>2789</v>
      </c>
      <c r="E4241" s="1" t="str">
        <f>""</f>
        <v/>
      </c>
      <c r="F4241" s="1" t="s">
        <v>1860</v>
      </c>
      <c r="G4241" s="1" t="str">
        <f>CONCATENATE(" SMIT-COMMERCE D.O.O.,"," GORNJOSTUPNIČKA 9B,"," 10255 GORNJI STUPNIK,"," OIB: 9524348214")</f>
        <v xml:space="preserve"> SMIT-COMMERCE D.O.O., GORNJOSTUPNIČKA 9B, 10255 GORNJI STUPNIK, OIB: 9524348214</v>
      </c>
      <c r="H4241" s="7"/>
      <c r="I4241" s="8" t="s">
        <v>635</v>
      </c>
      <c r="J4241" s="8" t="s">
        <v>2385</v>
      </c>
      <c r="K4241" s="6" t="str">
        <f>"725,00"</f>
        <v>725,00</v>
      </c>
      <c r="L4241" s="6" t="str">
        <f>"181,25"</f>
        <v>181,25</v>
      </c>
      <c r="M4241" s="6" t="str">
        <f>"906,25"</f>
        <v>906,25</v>
      </c>
      <c r="N4241" s="8" t="s">
        <v>238</v>
      </c>
      <c r="O4241" s="7"/>
      <c r="P4241" s="2" t="s">
        <v>8155</v>
      </c>
      <c r="Q4241" s="7"/>
      <c r="R4241" s="1"/>
      <c r="S4241" s="1" t="str">
        <f>"J-UN-2022-790"</f>
        <v>J-UN-2022-790</v>
      </c>
      <c r="T4241" s="1" t="s">
        <v>32</v>
      </c>
    </row>
    <row r="4242" spans="1:20" ht="51" x14ac:dyDescent="0.25">
      <c r="A4242" s="6">
        <v>4236</v>
      </c>
      <c r="B4242" s="1" t="str">
        <f>"2022-453"</f>
        <v>2022-453</v>
      </c>
      <c r="C4242" s="1" t="s">
        <v>2829</v>
      </c>
      <c r="D4242" s="1" t="s">
        <v>2830</v>
      </c>
      <c r="E4242" s="1" t="str">
        <f>""</f>
        <v/>
      </c>
      <c r="F4242" s="1" t="s">
        <v>1860</v>
      </c>
      <c r="G4242" s="1" t="str">
        <f>CONCATENATE(" VITIS D.O.O.,"," KUSTOŠIJSKI VENEC 48,"," 10090 ZAGREB,"," OIB: 96887244333")</f>
        <v xml:space="preserve"> VITIS D.O.O., KUSTOŠIJSKI VENEC 48, 10090 ZAGREB, OIB: 96887244333</v>
      </c>
      <c r="H4242" s="7"/>
      <c r="I4242" s="8" t="s">
        <v>835</v>
      </c>
      <c r="J4242" s="8" t="s">
        <v>2176</v>
      </c>
      <c r="K4242" s="6" t="str">
        <f>"647,00"</f>
        <v>647,00</v>
      </c>
      <c r="L4242" s="6" t="str">
        <f>"161,75"</f>
        <v>161,75</v>
      </c>
      <c r="M4242" s="6" t="str">
        <f>"808,75"</f>
        <v>808,75</v>
      </c>
      <c r="N4242" s="8" t="s">
        <v>72</v>
      </c>
      <c r="O4242" s="7"/>
      <c r="P4242" s="2" t="s">
        <v>8156</v>
      </c>
      <c r="Q4242" s="7"/>
      <c r="R4242" s="1"/>
      <c r="S4242" s="1" t="str">
        <f>"J-UN-2022-791"</f>
        <v>J-UN-2022-791</v>
      </c>
      <c r="T4242" s="1" t="s">
        <v>32</v>
      </c>
    </row>
    <row r="4243" spans="1:20" ht="51" x14ac:dyDescent="0.25">
      <c r="A4243" s="6">
        <v>4237</v>
      </c>
      <c r="B4243" s="1" t="str">
        <f>"2022-984"</f>
        <v>2022-984</v>
      </c>
      <c r="C4243" s="1" t="s">
        <v>2638</v>
      </c>
      <c r="D4243" s="1" t="s">
        <v>1458</v>
      </c>
      <c r="E4243" s="1" t="str">
        <f>""</f>
        <v/>
      </c>
      <c r="F4243" s="1" t="s">
        <v>1860</v>
      </c>
      <c r="G4243" s="1" t="str">
        <f>CONCATENATE(" RO-TERMO SERVISI D.O.O.,"," SISAČKA CESTA 20A,"," 10000 ZAGREB,"," OIB: 18918849649")</f>
        <v xml:space="preserve"> RO-TERMO SERVISI D.O.O., SISAČKA CESTA 20A, 10000 ZAGREB, OIB: 18918849649</v>
      </c>
      <c r="H4243" s="7"/>
      <c r="I4243" s="8" t="s">
        <v>72</v>
      </c>
      <c r="J4243" s="8" t="s">
        <v>2172</v>
      </c>
      <c r="K4243" s="6" t="str">
        <f>"13.837,50"</f>
        <v>13.837,50</v>
      </c>
      <c r="L4243" s="6" t="str">
        <f>"3.459,38"</f>
        <v>3.459,38</v>
      </c>
      <c r="M4243" s="6" t="str">
        <f>"17.296,88"</f>
        <v>17.296,88</v>
      </c>
      <c r="N4243" s="8" t="s">
        <v>124</v>
      </c>
      <c r="O4243" s="7"/>
      <c r="P4243" s="2" t="s">
        <v>5614</v>
      </c>
      <c r="Q4243" s="7"/>
      <c r="R4243" s="1"/>
      <c r="S4243" s="1" t="str">
        <f>"J-UN-2022-792"</f>
        <v>J-UN-2022-792</v>
      </c>
      <c r="T4243" s="1" t="s">
        <v>32</v>
      </c>
    </row>
    <row r="4244" spans="1:20" ht="63.75" x14ac:dyDescent="0.25">
      <c r="A4244" s="6">
        <v>4238</v>
      </c>
      <c r="B4244" s="1" t="str">
        <f>"2022-262"</f>
        <v>2022-262</v>
      </c>
      <c r="C4244" s="1" t="s">
        <v>2620</v>
      </c>
      <c r="D4244" s="1" t="s">
        <v>665</v>
      </c>
      <c r="E4244" s="1" t="str">
        <f>""</f>
        <v/>
      </c>
      <c r="F4244" s="1" t="s">
        <v>1860</v>
      </c>
      <c r="G4244" s="1" t="str">
        <f>CONCATENATE(" ELEKTRO-KOMUNIKACIJE D.O.O.,"," 14. PODBREŽJE 4,"," 10000 ZAGREB,"," OIB: 76412373309")</f>
        <v xml:space="preserve"> ELEKTRO-KOMUNIKACIJE D.O.O., 14. PODBREŽJE 4, 10000 ZAGREB, OIB: 76412373309</v>
      </c>
      <c r="H4244" s="7"/>
      <c r="I4244" s="8" t="s">
        <v>404</v>
      </c>
      <c r="J4244" s="8" t="s">
        <v>3133</v>
      </c>
      <c r="K4244" s="6" t="str">
        <f>"3.572,00"</f>
        <v>3.572,00</v>
      </c>
      <c r="L4244" s="6" t="str">
        <f>"893,00"</f>
        <v>893,00</v>
      </c>
      <c r="M4244" s="6" t="str">
        <f>"4.465,00"</f>
        <v>4.465,00</v>
      </c>
      <c r="N4244" s="8" t="s">
        <v>1155</v>
      </c>
      <c r="O4244" s="7"/>
      <c r="P4244" s="2" t="s">
        <v>8126</v>
      </c>
      <c r="Q4244" s="7"/>
      <c r="R4244" s="1"/>
      <c r="S4244" s="1" t="str">
        <f>"J-UN-2022-793"</f>
        <v>J-UN-2022-793</v>
      </c>
      <c r="T4244" s="1" t="s">
        <v>32</v>
      </c>
    </row>
    <row r="4245" spans="1:20" ht="76.5" x14ac:dyDescent="0.25">
      <c r="A4245" s="6">
        <v>4239</v>
      </c>
      <c r="B4245" s="1" t="str">
        <f>"2022-295"</f>
        <v>2022-295</v>
      </c>
      <c r="C4245" s="1" t="s">
        <v>2836</v>
      </c>
      <c r="D4245" s="1" t="s">
        <v>689</v>
      </c>
      <c r="E4245" s="1" t="str">
        <f>""</f>
        <v/>
      </c>
      <c r="F4245" s="1" t="s">
        <v>1860</v>
      </c>
      <c r="G4245" s="1" t="str">
        <f>CONCATENATE(" SMIT-COMMERCE D.O.O.,"," GORNJOSTUPNIČKA 9B,"," 10255 GORNJI STUPNIK,"," OIB: 9524348214")</f>
        <v xml:space="preserve"> SMIT-COMMERCE D.O.O., GORNJOSTUPNIČKA 9B, 10255 GORNJI STUPNIK, OIB: 9524348214</v>
      </c>
      <c r="H4245" s="7"/>
      <c r="I4245" s="8" t="s">
        <v>404</v>
      </c>
      <c r="J4245" s="8" t="s">
        <v>3133</v>
      </c>
      <c r="K4245" s="6" t="str">
        <f>"1.214,00"</f>
        <v>1.214,00</v>
      </c>
      <c r="L4245" s="6" t="str">
        <f>"303,50"</f>
        <v>303,50</v>
      </c>
      <c r="M4245" s="6" t="str">
        <f>"1.517,50"</f>
        <v>1.517,50</v>
      </c>
      <c r="N4245" s="8" t="s">
        <v>402</v>
      </c>
      <c r="O4245" s="7"/>
      <c r="P4245" s="2" t="s">
        <v>8157</v>
      </c>
      <c r="Q4245" s="7"/>
      <c r="R4245" s="1"/>
      <c r="S4245" s="1" t="str">
        <f>"J-UN-2022-794"</f>
        <v>J-UN-2022-794</v>
      </c>
      <c r="T4245" s="1" t="s">
        <v>32</v>
      </c>
    </row>
    <row r="4246" spans="1:20" ht="63.75" x14ac:dyDescent="0.25">
      <c r="A4246" s="6">
        <v>4240</v>
      </c>
      <c r="B4246" s="1" t="str">
        <f>"2022-95"</f>
        <v>2022-95</v>
      </c>
      <c r="C4246" s="1" t="s">
        <v>2761</v>
      </c>
      <c r="D4246" s="1" t="s">
        <v>2762</v>
      </c>
      <c r="E4246" s="1" t="str">
        <f>""</f>
        <v/>
      </c>
      <c r="F4246" s="1" t="s">
        <v>1860</v>
      </c>
      <c r="G4246" s="1" t="str">
        <f>CONCATENATE(" BEPI,"," OBRT ZA MORSKI RIBOLOV I ZEMLJANE RADOVE,"," KALDANIJA 1,"," 52470 UMAG,"," OIB: 56017007423")</f>
        <v xml:space="preserve"> BEPI, OBRT ZA MORSKI RIBOLOV I ZEMLJANE RADOVE, KALDANIJA 1, 52470 UMAG, OIB: 56017007423</v>
      </c>
      <c r="H4246" s="7"/>
      <c r="I4246" s="8" t="s">
        <v>72</v>
      </c>
      <c r="J4246" s="8" t="s">
        <v>2172</v>
      </c>
      <c r="K4246" s="6" t="str">
        <f>"6.500,00"</f>
        <v>6.500,00</v>
      </c>
      <c r="L4246" s="6" t="str">
        <f>"1.625,00"</f>
        <v>1.625,00</v>
      </c>
      <c r="M4246" s="6" t="str">
        <f>"8.125,00"</f>
        <v>8.125,00</v>
      </c>
      <c r="N4246" s="8" t="s">
        <v>905</v>
      </c>
      <c r="O4246" s="7"/>
      <c r="P4246" s="2" t="s">
        <v>6355</v>
      </c>
      <c r="Q4246" s="7"/>
      <c r="R4246" s="1"/>
      <c r="S4246" s="1" t="str">
        <f>"J-UN-2022-797"</f>
        <v>J-UN-2022-797</v>
      </c>
      <c r="T4246" s="1" t="s">
        <v>32</v>
      </c>
    </row>
    <row r="4247" spans="1:20" ht="51" x14ac:dyDescent="0.25">
      <c r="A4247" s="6">
        <v>4241</v>
      </c>
      <c r="B4247" s="1" t="str">
        <f>"2022-734"</f>
        <v>2022-734</v>
      </c>
      <c r="C4247" s="1" t="s">
        <v>2707</v>
      </c>
      <c r="D4247" s="1" t="s">
        <v>2708</v>
      </c>
      <c r="E4247" s="1" t="str">
        <f>""</f>
        <v/>
      </c>
      <c r="F4247" s="1" t="s">
        <v>1860</v>
      </c>
      <c r="G4247" s="1" t="str">
        <f>CONCATENATE(" NAVIS MARINE D.O.O.,"," TRG ŽRTAVA FAŠIZMA 5,"," 10000 ZAGREB,"," OIB: 3367383336")</f>
        <v xml:space="preserve"> NAVIS MARINE D.O.O., TRG ŽRTAVA FAŠIZMA 5, 10000 ZAGREB, OIB: 3367383336</v>
      </c>
      <c r="H4247" s="7"/>
      <c r="I4247" s="8" t="s">
        <v>848</v>
      </c>
      <c r="J4247" s="8" t="s">
        <v>3127</v>
      </c>
      <c r="K4247" s="6" t="str">
        <f>"1.000,00"</f>
        <v>1.000,00</v>
      </c>
      <c r="L4247" s="6" t="str">
        <f>"250,00"</f>
        <v>250,00</v>
      </c>
      <c r="M4247" s="6" t="str">
        <f>"1.250,00"</f>
        <v>1.250,00</v>
      </c>
      <c r="N4247" s="8" t="s">
        <v>521</v>
      </c>
      <c r="O4247" s="7"/>
      <c r="P4247" s="2" t="s">
        <v>7239</v>
      </c>
      <c r="Q4247" s="7"/>
      <c r="R4247" s="1"/>
      <c r="S4247" s="1" t="str">
        <f>"J-UN-2022-798"</f>
        <v>J-UN-2022-798</v>
      </c>
      <c r="T4247" s="1" t="s">
        <v>32</v>
      </c>
    </row>
    <row r="4248" spans="1:20" ht="51" x14ac:dyDescent="0.25">
      <c r="A4248" s="6">
        <v>4242</v>
      </c>
      <c r="B4248" s="1" t="str">
        <f>"2022-813"</f>
        <v>2022-813</v>
      </c>
      <c r="C4248" s="1" t="s">
        <v>2844</v>
      </c>
      <c r="D4248" s="1" t="s">
        <v>2716</v>
      </c>
      <c r="E4248" s="1" t="str">
        <f>""</f>
        <v/>
      </c>
      <c r="F4248" s="1" t="s">
        <v>1860</v>
      </c>
      <c r="G4248" s="1" t="str">
        <f>CONCATENATE(" LAGER BAŠIĆ D.O.O.,"," TRGOVAČKA 3,"," 10255 DONJI STUPNIK,"," OIB: 49617677906")</f>
        <v xml:space="preserve"> LAGER BAŠIĆ D.O.O., TRGOVAČKA 3, 10255 DONJI STUPNIK, OIB: 49617677906</v>
      </c>
      <c r="H4248" s="7"/>
      <c r="I4248" s="8" t="s">
        <v>72</v>
      </c>
      <c r="J4248" s="8" t="s">
        <v>2172</v>
      </c>
      <c r="K4248" s="6" t="str">
        <f>"4.550,00"</f>
        <v>4.550,00</v>
      </c>
      <c r="L4248" s="6" t="str">
        <f>"1.137,50"</f>
        <v>1.137,50</v>
      </c>
      <c r="M4248" s="6" t="str">
        <f>"5.687,50"</f>
        <v>5.687,50</v>
      </c>
      <c r="N4248" s="8" t="s">
        <v>124</v>
      </c>
      <c r="O4248" s="7"/>
      <c r="P4248" s="2" t="s">
        <v>5614</v>
      </c>
      <c r="Q4248" s="7"/>
      <c r="R4248" s="1"/>
      <c r="S4248" s="1" t="str">
        <f>"J-UN-2022-799"</f>
        <v>J-UN-2022-799</v>
      </c>
      <c r="T4248" s="1" t="s">
        <v>32</v>
      </c>
    </row>
    <row r="4249" spans="1:20" ht="63.75" x14ac:dyDescent="0.25">
      <c r="A4249" s="6">
        <v>4243</v>
      </c>
      <c r="B4249" s="1" t="str">
        <f>"2022-298"</f>
        <v>2022-298</v>
      </c>
      <c r="C4249" s="1" t="s">
        <v>2873</v>
      </c>
      <c r="D4249" s="1" t="s">
        <v>689</v>
      </c>
      <c r="E4249" s="1" t="str">
        <f>""</f>
        <v/>
      </c>
      <c r="F4249" s="1" t="s">
        <v>1860</v>
      </c>
      <c r="G4249" s="1" t="str">
        <f>CONCATENATE(" TOKIĆ D.O.O.,"," ULICA 144. BRIGADE HRVATSKE VOJSKE 1A,"," 10360 SESVETE,"," OIB: 7486748762")</f>
        <v xml:space="preserve"> TOKIĆ D.O.O., ULICA 144. BRIGADE HRVATSKE VOJSKE 1A, 10360 SESVETE, OIB: 7486748762</v>
      </c>
      <c r="H4249" s="7"/>
      <c r="I4249" s="8" t="s">
        <v>635</v>
      </c>
      <c r="J4249" s="8" t="s">
        <v>2385</v>
      </c>
      <c r="K4249" s="6" t="str">
        <f>"1.980,00"</f>
        <v>1.980,00</v>
      </c>
      <c r="L4249" s="6" t="str">
        <f>"495,00"</f>
        <v>495,00</v>
      </c>
      <c r="M4249" s="6" t="str">
        <f>"2.475,00"</f>
        <v>2.475,00</v>
      </c>
      <c r="N4249" s="8" t="s">
        <v>372</v>
      </c>
      <c r="O4249" s="7"/>
      <c r="P4249" s="2" t="s">
        <v>8158</v>
      </c>
      <c r="Q4249" s="7"/>
      <c r="R4249" s="1"/>
      <c r="S4249" s="1" t="str">
        <f>"J-UN-2022-800"</f>
        <v>J-UN-2022-800</v>
      </c>
      <c r="T4249" s="1" t="s">
        <v>32</v>
      </c>
    </row>
    <row r="4250" spans="1:20" ht="51" x14ac:dyDescent="0.25">
      <c r="A4250" s="6">
        <v>4244</v>
      </c>
      <c r="B4250" s="1" t="str">
        <f>"2022-188"</f>
        <v>2022-188</v>
      </c>
      <c r="C4250" s="1" t="s">
        <v>2685</v>
      </c>
      <c r="D4250" s="1" t="s">
        <v>2686</v>
      </c>
      <c r="E4250" s="1" t="str">
        <f>""</f>
        <v/>
      </c>
      <c r="F4250" s="1" t="s">
        <v>1860</v>
      </c>
      <c r="G4250" s="1" t="str">
        <f>CONCATENATE(" TED D.O.O.,"," VRHOVČEV VIJENAC 84,"," 10000 ZAGREB,"," OIB: 22740118957")</f>
        <v xml:space="preserve"> TED D.O.O., VRHOVČEV VIJENAC 84, 10000 ZAGREB, OIB: 22740118957</v>
      </c>
      <c r="H4250" s="7"/>
      <c r="I4250" s="8" t="s">
        <v>635</v>
      </c>
      <c r="J4250" s="8" t="s">
        <v>2385</v>
      </c>
      <c r="K4250" s="6" t="str">
        <f>"1.800,00"</f>
        <v>1.800,00</v>
      </c>
      <c r="L4250" s="6" t="str">
        <f>"450,00"</f>
        <v>450,00</v>
      </c>
      <c r="M4250" s="6" t="str">
        <f>"2.250,00"</f>
        <v>2.250,00</v>
      </c>
      <c r="N4250" s="8" t="s">
        <v>172</v>
      </c>
      <c r="O4250" s="7"/>
      <c r="P4250" s="2" t="s">
        <v>5641</v>
      </c>
      <c r="Q4250" s="7"/>
      <c r="R4250" s="1"/>
      <c r="S4250" s="1" t="str">
        <f>"J-UN-2022-801"</f>
        <v>J-UN-2022-801</v>
      </c>
      <c r="T4250" s="1" t="s">
        <v>32</v>
      </c>
    </row>
    <row r="4251" spans="1:20" ht="51" x14ac:dyDescent="0.25">
      <c r="A4251" s="6">
        <v>4245</v>
      </c>
      <c r="B4251" s="1" t="str">
        <f>"2022-209"</f>
        <v>2022-209</v>
      </c>
      <c r="C4251" s="1" t="s">
        <v>2859</v>
      </c>
      <c r="D4251" s="1" t="s">
        <v>2860</v>
      </c>
      <c r="E4251" s="1" t="str">
        <f>""</f>
        <v/>
      </c>
      <c r="F4251" s="1" t="s">
        <v>1860</v>
      </c>
      <c r="G4251" s="1" t="str">
        <f>CONCATENATE(" TIP - ZAGREB D.O.O.,"," VINOGRADSKA 34,"," 10431 SVETA NEDELJA,"," OIB: 36198195227")</f>
        <v xml:space="preserve"> TIP - ZAGREB D.O.O., VINOGRADSKA 34, 10431 SVETA NEDELJA, OIB: 36198195227</v>
      </c>
      <c r="H4251" s="7"/>
      <c r="I4251" s="8" t="s">
        <v>478</v>
      </c>
      <c r="J4251" s="8" t="s">
        <v>3134</v>
      </c>
      <c r="K4251" s="6" t="str">
        <f>"645,00"</f>
        <v>645,00</v>
      </c>
      <c r="L4251" s="6" t="str">
        <f>"161,25"</f>
        <v>161,25</v>
      </c>
      <c r="M4251" s="6" t="str">
        <f>"806,25"</f>
        <v>806,25</v>
      </c>
      <c r="N4251" s="8" t="s">
        <v>160</v>
      </c>
      <c r="O4251" s="7"/>
      <c r="P4251" s="2" t="s">
        <v>8159</v>
      </c>
      <c r="Q4251" s="7"/>
      <c r="R4251" s="1"/>
      <c r="S4251" s="1" t="str">
        <f>"J-UN-2022-805"</f>
        <v>J-UN-2022-805</v>
      </c>
      <c r="T4251" s="1" t="s">
        <v>32</v>
      </c>
    </row>
    <row r="4252" spans="1:20" ht="63.75" x14ac:dyDescent="0.25">
      <c r="A4252" s="6">
        <v>4246</v>
      </c>
      <c r="B4252" s="1" t="str">
        <f>"2022-535"</f>
        <v>2022-535</v>
      </c>
      <c r="C4252" s="1" t="s">
        <v>2561</v>
      </c>
      <c r="D4252" s="1" t="s">
        <v>2156</v>
      </c>
      <c r="E4252" s="1" t="str">
        <f>""</f>
        <v/>
      </c>
      <c r="F4252" s="1" t="s">
        <v>1860</v>
      </c>
      <c r="G4252" s="1" t="str">
        <f>CONCATENATE(" KVAM SISTEM D.O.O.,"," SISAČKA CESTA II ODVOJAK 60,"," 10000 ZAGREB,"," OIB: 54392975253")</f>
        <v xml:space="preserve"> KVAM SISTEM D.O.O., SISAČKA CESTA II ODVOJAK 60, 10000 ZAGREB, OIB: 54392975253</v>
      </c>
      <c r="H4252" s="7"/>
      <c r="I4252" s="8" t="s">
        <v>835</v>
      </c>
      <c r="J4252" s="8" t="s">
        <v>72</v>
      </c>
      <c r="K4252" s="6" t="str">
        <f>"3.696,00"</f>
        <v>3.696,00</v>
      </c>
      <c r="L4252" s="6" t="str">
        <f>"924,00"</f>
        <v>924,00</v>
      </c>
      <c r="M4252" s="6" t="str">
        <f>"4.620,00"</f>
        <v>4.620,00</v>
      </c>
      <c r="N4252" s="8" t="s">
        <v>521</v>
      </c>
      <c r="O4252" s="7"/>
      <c r="P4252" s="2" t="s">
        <v>8160</v>
      </c>
      <c r="Q4252" s="7"/>
      <c r="R4252" s="1"/>
      <c r="S4252" s="1" t="str">
        <f>"J-UN-2022-806"</f>
        <v>J-UN-2022-806</v>
      </c>
      <c r="T4252" s="1" t="s">
        <v>32</v>
      </c>
    </row>
    <row r="4253" spans="1:20" ht="63.75" x14ac:dyDescent="0.25">
      <c r="A4253" s="6">
        <v>4247</v>
      </c>
      <c r="B4253" s="1" t="str">
        <f>"2022-1858"</f>
        <v>2022-1858</v>
      </c>
      <c r="C4253" s="1" t="s">
        <v>2800</v>
      </c>
      <c r="D4253" s="1" t="s">
        <v>2801</v>
      </c>
      <c r="E4253" s="1" t="str">
        <f>""</f>
        <v/>
      </c>
      <c r="F4253" s="1" t="s">
        <v>1860</v>
      </c>
      <c r="G4253" s="1" t="str">
        <f>CONCATENATE(" TEHNO-ELEKTRO D.O.O.,"," AUGUSTA CESARCA 3,"," 31400 ĐAKOVO,"," OIB: 1165756075")</f>
        <v xml:space="preserve"> TEHNO-ELEKTRO D.O.O., AUGUSTA CESARCA 3, 31400 ĐAKOVO, OIB: 1165756075</v>
      </c>
      <c r="H4253" s="7"/>
      <c r="I4253" s="8" t="s">
        <v>404</v>
      </c>
      <c r="J4253" s="8" t="s">
        <v>3133</v>
      </c>
      <c r="K4253" s="6" t="str">
        <f>"60.385,00"</f>
        <v>60.385,00</v>
      </c>
      <c r="L4253" s="6" t="str">
        <f>"15.096,25"</f>
        <v>15.096,25</v>
      </c>
      <c r="M4253" s="6" t="str">
        <f>"75.481,25"</f>
        <v>75.481,25</v>
      </c>
      <c r="N4253" s="8" t="s">
        <v>426</v>
      </c>
      <c r="O4253" s="7"/>
      <c r="P4253" s="2" t="s">
        <v>8161</v>
      </c>
      <c r="Q4253" s="7"/>
      <c r="R4253" s="1"/>
      <c r="S4253" s="1" t="str">
        <f>"J-UN-2022-807"</f>
        <v>J-UN-2022-807</v>
      </c>
      <c r="T4253" s="1" t="s">
        <v>32</v>
      </c>
    </row>
    <row r="4254" spans="1:20" ht="51" x14ac:dyDescent="0.25">
      <c r="A4254" s="6">
        <v>4248</v>
      </c>
      <c r="B4254" s="1" t="str">
        <f>"2022-40"</f>
        <v>2022-40</v>
      </c>
      <c r="C4254" s="1" t="s">
        <v>2317</v>
      </c>
      <c r="D4254" s="1" t="s">
        <v>837</v>
      </c>
      <c r="E4254" s="1" t="str">
        <f>""</f>
        <v/>
      </c>
      <c r="F4254" s="1" t="s">
        <v>1860</v>
      </c>
      <c r="G4254" s="1" t="str">
        <f>CONCATENATE(" ROTO DINAMIC D.O.O.,"," ULICA GRADA WIRGESA 14,"," 10430 SAMOBOR,"," OIB: 24723122482")</f>
        <v xml:space="preserve"> ROTO DINAMIC D.O.O., ULICA GRADA WIRGESA 14, 10430 SAMOBOR, OIB: 24723122482</v>
      </c>
      <c r="H4254" s="7"/>
      <c r="I4254" s="8" t="s">
        <v>835</v>
      </c>
      <c r="J4254" s="8" t="s">
        <v>2176</v>
      </c>
      <c r="K4254" s="6" t="str">
        <f>"394,75"</f>
        <v>394,75</v>
      </c>
      <c r="L4254" s="6" t="str">
        <f>"98,69"</f>
        <v>98,69</v>
      </c>
      <c r="M4254" s="6" t="str">
        <f>"493,44"</f>
        <v>493,44</v>
      </c>
      <c r="N4254" s="8" t="s">
        <v>124</v>
      </c>
      <c r="O4254" s="7"/>
      <c r="P4254" s="2" t="s">
        <v>5614</v>
      </c>
      <c r="Q4254" s="7"/>
      <c r="R4254" s="1"/>
      <c r="S4254" s="1" t="str">
        <f>"J-UN-2022-808"</f>
        <v>J-UN-2022-808</v>
      </c>
      <c r="T4254" s="1" t="s">
        <v>32</v>
      </c>
    </row>
    <row r="4255" spans="1:20" ht="51" x14ac:dyDescent="0.25">
      <c r="A4255" s="6">
        <v>4249</v>
      </c>
      <c r="B4255" s="1" t="str">
        <f>"2022-1042"</f>
        <v>2022-1042</v>
      </c>
      <c r="C4255" s="1" t="s">
        <v>2728</v>
      </c>
      <c r="D4255" s="1" t="s">
        <v>2729</v>
      </c>
      <c r="E4255" s="1" t="str">
        <f>""</f>
        <v/>
      </c>
      <c r="F4255" s="1" t="s">
        <v>1860</v>
      </c>
      <c r="G4255" s="1" t="str">
        <f>CONCATENATE(" ADRIA NORMA D.O.O.,"," VUKOVARSKA 284D,"," 10000 ZAGREB,"," OIB: 80109305109")</f>
        <v xml:space="preserve"> ADRIA NORMA D.O.O., VUKOVARSKA 284D, 10000 ZAGREB, OIB: 80109305109</v>
      </c>
      <c r="H4255" s="7"/>
      <c r="I4255" s="8" t="s">
        <v>224</v>
      </c>
      <c r="J4255" s="8" t="s">
        <v>3132</v>
      </c>
      <c r="K4255" s="6" t="str">
        <f>"27.000,00"</f>
        <v>27.000,00</v>
      </c>
      <c r="L4255" s="6" t="str">
        <f>"6.750,00"</f>
        <v>6.750,00</v>
      </c>
      <c r="M4255" s="6" t="str">
        <f>"33.750,00"</f>
        <v>33.750,00</v>
      </c>
      <c r="N4255" s="8" t="s">
        <v>124</v>
      </c>
      <c r="O4255" s="7"/>
      <c r="P4255" s="2" t="s">
        <v>5614</v>
      </c>
      <c r="Q4255" s="7"/>
      <c r="R4255" s="1"/>
      <c r="S4255" s="1" t="str">
        <f>"J-UN-2022-809"</f>
        <v>J-UN-2022-809</v>
      </c>
      <c r="T4255" s="1" t="s">
        <v>32</v>
      </c>
    </row>
    <row r="4256" spans="1:20" ht="63.75" x14ac:dyDescent="0.25">
      <c r="A4256" s="6">
        <v>4250</v>
      </c>
      <c r="B4256" s="1" t="str">
        <f>"2022-489"</f>
        <v>2022-489</v>
      </c>
      <c r="C4256" s="1" t="s">
        <v>2679</v>
      </c>
      <c r="D4256" s="1" t="s">
        <v>619</v>
      </c>
      <c r="E4256" s="1" t="str">
        <f>""</f>
        <v/>
      </c>
      <c r="F4256" s="1" t="s">
        <v>1860</v>
      </c>
      <c r="G4256" s="1" t="str">
        <f>CONCATENATE(" GRA-PO D.O.O.,"," GOSPODARSKA 5B,"," 10255 ZAGREB - STUPNIK,"," OIB: 05364995085")</f>
        <v xml:space="preserve"> GRA-PO D.O.O., GOSPODARSKA 5B, 10255 ZAGREB - STUPNIK, OIB: 05364995085</v>
      </c>
      <c r="H4256" s="7"/>
      <c r="I4256" s="8" t="s">
        <v>848</v>
      </c>
      <c r="J4256" s="8" t="s">
        <v>3127</v>
      </c>
      <c r="K4256" s="6" t="str">
        <f>"35.839,00"</f>
        <v>35.839,00</v>
      </c>
      <c r="L4256" s="6" t="str">
        <f>"8.959,75"</f>
        <v>8.959,75</v>
      </c>
      <c r="M4256" s="6" t="str">
        <f>"44.798,75"</f>
        <v>44.798,75</v>
      </c>
      <c r="N4256" s="8" t="s">
        <v>562</v>
      </c>
      <c r="O4256" s="7"/>
      <c r="P4256" s="2" t="s">
        <v>8162</v>
      </c>
      <c r="Q4256" s="7"/>
      <c r="R4256" s="1"/>
      <c r="S4256" s="1" t="str">
        <f>"J-UN-2022-810"</f>
        <v>J-UN-2022-810</v>
      </c>
      <c r="T4256" s="1" t="s">
        <v>32</v>
      </c>
    </row>
    <row r="4257" spans="1:20" ht="63.75" x14ac:dyDescent="0.25">
      <c r="A4257" s="6">
        <v>4251</v>
      </c>
      <c r="B4257" s="1" t="str">
        <f>"2022-1429"</f>
        <v>2022-1429</v>
      </c>
      <c r="C4257" s="1" t="s">
        <v>2984</v>
      </c>
      <c r="D4257" s="1" t="s">
        <v>2985</v>
      </c>
      <c r="E4257" s="1" t="str">
        <f>""</f>
        <v/>
      </c>
      <c r="F4257" s="1" t="s">
        <v>1860</v>
      </c>
      <c r="G4257" s="1" t="str">
        <f>CONCATENATE(" LANIŠTE D.O.O.,"," ALEXANDERA VON HUMBOLDTA 4B,"," 10000 ZAGREB,"," OIB: 3755384865")</f>
        <v xml:space="preserve"> LANIŠTE D.O.O., ALEXANDERA VON HUMBOLDTA 4B, 10000 ZAGREB, OIB: 3755384865</v>
      </c>
      <c r="H4257" s="7"/>
      <c r="I4257" s="8" t="s">
        <v>224</v>
      </c>
      <c r="J4257" s="8" t="s">
        <v>3132</v>
      </c>
      <c r="K4257" s="6" t="str">
        <f>"4.032,00"</f>
        <v>4.032,00</v>
      </c>
      <c r="L4257" s="6" t="str">
        <f>"1.008,00"</f>
        <v>1.008,00</v>
      </c>
      <c r="M4257" s="6" t="str">
        <f>"5.040,00"</f>
        <v>5.040,00</v>
      </c>
      <c r="N4257" s="8" t="s">
        <v>398</v>
      </c>
      <c r="O4257" s="7"/>
      <c r="P4257" s="2" t="s">
        <v>7919</v>
      </c>
      <c r="Q4257" s="7"/>
      <c r="R4257" s="1"/>
      <c r="S4257" s="1" t="str">
        <f>"J-UN-2022-813"</f>
        <v>J-UN-2022-813</v>
      </c>
      <c r="T4257" s="1" t="s">
        <v>32</v>
      </c>
    </row>
    <row r="4258" spans="1:20" ht="51" x14ac:dyDescent="0.25">
      <c r="A4258" s="6">
        <v>4252</v>
      </c>
      <c r="B4258" s="1" t="str">
        <f>"2022-913"</f>
        <v>2022-913</v>
      </c>
      <c r="C4258" s="1" t="s">
        <v>2879</v>
      </c>
      <c r="D4258" s="1" t="s">
        <v>1007</v>
      </c>
      <c r="E4258" s="1" t="str">
        <f>""</f>
        <v/>
      </c>
      <c r="F4258" s="1" t="s">
        <v>1860</v>
      </c>
      <c r="G4258" s="1" t="str">
        <f>CONCATENATE(" TEHNOPLAM D.O.O.,"," USKOČKA 29,"," 10000 ZAGREB,"," OIB: 95347519849")</f>
        <v xml:space="preserve"> TEHNOPLAM D.O.O., USKOČKA 29, 10000 ZAGREB, OIB: 95347519849</v>
      </c>
      <c r="H4258" s="7"/>
      <c r="I4258" s="8" t="s">
        <v>224</v>
      </c>
      <c r="J4258" s="8" t="s">
        <v>3132</v>
      </c>
      <c r="K4258" s="6" t="str">
        <f>"13.800,00"</f>
        <v>13.800,00</v>
      </c>
      <c r="L4258" s="6" t="str">
        <f>"3.450,00"</f>
        <v>3.450,00</v>
      </c>
      <c r="M4258" s="6" t="str">
        <f>"17.250,00"</f>
        <v>17.250,00</v>
      </c>
      <c r="N4258" s="8" t="s">
        <v>350</v>
      </c>
      <c r="O4258" s="7"/>
      <c r="P4258" s="2" t="s">
        <v>7912</v>
      </c>
      <c r="Q4258" s="7"/>
      <c r="R4258" s="1"/>
      <c r="S4258" s="1" t="str">
        <f>"J-UN-2022-814"</f>
        <v>J-UN-2022-814</v>
      </c>
      <c r="T4258" s="1" t="s">
        <v>32</v>
      </c>
    </row>
    <row r="4259" spans="1:20" ht="51" x14ac:dyDescent="0.25">
      <c r="A4259" s="6">
        <v>4253</v>
      </c>
      <c r="B4259" s="1" t="str">
        <f>"2022-1806"</f>
        <v>2022-1806</v>
      </c>
      <c r="C4259" s="1" t="s">
        <v>3135</v>
      </c>
      <c r="D4259" s="1" t="s">
        <v>528</v>
      </c>
      <c r="E4259" s="1" t="str">
        <f>""</f>
        <v/>
      </c>
      <c r="F4259" s="1" t="s">
        <v>1860</v>
      </c>
      <c r="G4259" s="1" t="str">
        <f>CONCATENATE(" KSU D.O.O.,"," DR. JURJA DOBRILE 50,"," 10410 VELIKA GORICA,"," OIB: 349769936")</f>
        <v xml:space="preserve"> KSU D.O.O., DR. JURJA DOBRILE 50, 10410 VELIKA GORICA, OIB: 349769936</v>
      </c>
      <c r="H4259" s="7"/>
      <c r="I4259" s="8" t="s">
        <v>478</v>
      </c>
      <c r="J4259" s="8" t="s">
        <v>3134</v>
      </c>
      <c r="K4259" s="6" t="str">
        <f>"69.950,00"</f>
        <v>69.950,00</v>
      </c>
      <c r="L4259" s="6" t="str">
        <f>"17.487,50"</f>
        <v>17.487,50</v>
      </c>
      <c r="M4259" s="6" t="str">
        <f>"87.437,50"</f>
        <v>87.437,50</v>
      </c>
      <c r="N4259" s="8" t="s">
        <v>124</v>
      </c>
      <c r="O4259" s="7"/>
      <c r="P4259" s="2" t="s">
        <v>8163</v>
      </c>
      <c r="Q4259" s="7"/>
      <c r="R4259" s="1"/>
      <c r="S4259" s="1" t="str">
        <f>"J-UN-2022-815"</f>
        <v>J-UN-2022-815</v>
      </c>
      <c r="T4259" s="1" t="s">
        <v>43</v>
      </c>
    </row>
    <row r="4260" spans="1:20" ht="63.75" x14ac:dyDescent="0.25">
      <c r="A4260" s="6">
        <v>4254</v>
      </c>
      <c r="B4260" s="1" t="str">
        <f>"2022-1416"</f>
        <v>2022-1416</v>
      </c>
      <c r="C4260" s="1" t="s">
        <v>2991</v>
      </c>
      <c r="D4260" s="1" t="s">
        <v>2992</v>
      </c>
      <c r="E4260" s="1" t="str">
        <f>""</f>
        <v/>
      </c>
      <c r="F4260" s="1" t="s">
        <v>1860</v>
      </c>
      <c r="G4260" s="1" t="str">
        <f t="shared" ref="G4260:G4265" si="225">CONCATENATE(" LANIŠTE D.O.O.,"," ALEXANDERA VON HUMBOLDTA 4B,"," 10000 ZAGREB,"," OIB: 3755384865")</f>
        <v xml:space="preserve"> LANIŠTE D.O.O., ALEXANDERA VON HUMBOLDTA 4B, 10000 ZAGREB, OIB: 3755384865</v>
      </c>
      <c r="H4260" s="7"/>
      <c r="I4260" s="8" t="s">
        <v>224</v>
      </c>
      <c r="J4260" s="8" t="s">
        <v>3132</v>
      </c>
      <c r="K4260" s="6" t="str">
        <f>"3.636,00"</f>
        <v>3.636,00</v>
      </c>
      <c r="L4260" s="6" t="str">
        <f>"909,00"</f>
        <v>909,00</v>
      </c>
      <c r="M4260" s="6" t="str">
        <f>"4.545,00"</f>
        <v>4.545,00</v>
      </c>
      <c r="N4260" s="8" t="s">
        <v>272</v>
      </c>
      <c r="O4260" s="7"/>
      <c r="P4260" s="2" t="s">
        <v>7917</v>
      </c>
      <c r="Q4260" s="7"/>
      <c r="R4260" s="1"/>
      <c r="S4260" s="1" t="str">
        <f>"J-UN-2022-816"</f>
        <v>J-UN-2022-816</v>
      </c>
      <c r="T4260" s="1" t="s">
        <v>32</v>
      </c>
    </row>
    <row r="4261" spans="1:20" ht="63.75" x14ac:dyDescent="0.25">
      <c r="A4261" s="6">
        <v>4255</v>
      </c>
      <c r="B4261" s="1" t="str">
        <f>"2022-1429"</f>
        <v>2022-1429</v>
      </c>
      <c r="C4261" s="1" t="s">
        <v>2984</v>
      </c>
      <c r="D4261" s="1" t="s">
        <v>2985</v>
      </c>
      <c r="E4261" s="1" t="str">
        <f>""</f>
        <v/>
      </c>
      <c r="F4261" s="1" t="s">
        <v>1860</v>
      </c>
      <c r="G4261" s="1" t="str">
        <f t="shared" si="225"/>
        <v xml:space="preserve"> LANIŠTE D.O.O., ALEXANDERA VON HUMBOLDTA 4B, 10000 ZAGREB, OIB: 3755384865</v>
      </c>
      <c r="H4261" s="7"/>
      <c r="I4261" s="8" t="s">
        <v>478</v>
      </c>
      <c r="J4261" s="8" t="s">
        <v>3134</v>
      </c>
      <c r="K4261" s="6" t="str">
        <f>"4.032,00"</f>
        <v>4.032,00</v>
      </c>
      <c r="L4261" s="6" t="str">
        <f>"1.008,00"</f>
        <v>1.008,00</v>
      </c>
      <c r="M4261" s="6" t="str">
        <f>"5.040,00"</f>
        <v>5.040,00</v>
      </c>
      <c r="N4261" s="8" t="s">
        <v>272</v>
      </c>
      <c r="O4261" s="7"/>
      <c r="P4261" s="2" t="s">
        <v>7919</v>
      </c>
      <c r="Q4261" s="7"/>
      <c r="R4261" s="1"/>
      <c r="S4261" s="1" t="str">
        <f>"J-UN-2022-817"</f>
        <v>J-UN-2022-817</v>
      </c>
      <c r="T4261" s="1" t="s">
        <v>32</v>
      </c>
    </row>
    <row r="4262" spans="1:20" ht="63.75" x14ac:dyDescent="0.25">
      <c r="A4262" s="6">
        <v>4256</v>
      </c>
      <c r="B4262" s="1" t="str">
        <f>"2022-1430"</f>
        <v>2022-1430</v>
      </c>
      <c r="C4262" s="1" t="s">
        <v>2986</v>
      </c>
      <c r="D4262" s="1" t="s">
        <v>2985</v>
      </c>
      <c r="E4262" s="1" t="str">
        <f>""</f>
        <v/>
      </c>
      <c r="F4262" s="1" t="s">
        <v>1860</v>
      </c>
      <c r="G4262" s="1" t="str">
        <f t="shared" si="225"/>
        <v xml:space="preserve"> LANIŠTE D.O.O., ALEXANDERA VON HUMBOLDTA 4B, 10000 ZAGREB, OIB: 3755384865</v>
      </c>
      <c r="H4262" s="7"/>
      <c r="I4262" s="8" t="s">
        <v>478</v>
      </c>
      <c r="J4262" s="8" t="s">
        <v>3134</v>
      </c>
      <c r="K4262" s="6" t="str">
        <f>"4.032,00"</f>
        <v>4.032,00</v>
      </c>
      <c r="L4262" s="6" t="str">
        <f>"1.008,00"</f>
        <v>1.008,00</v>
      </c>
      <c r="M4262" s="6" t="str">
        <f>"5.040,00"</f>
        <v>5.040,00</v>
      </c>
      <c r="N4262" s="8" t="s">
        <v>272</v>
      </c>
      <c r="O4262" s="7"/>
      <c r="P4262" s="2" t="s">
        <v>7919</v>
      </c>
      <c r="Q4262" s="7"/>
      <c r="R4262" s="1"/>
      <c r="S4262" s="1" t="str">
        <f>"J-UN-2022-818"</f>
        <v>J-UN-2022-818</v>
      </c>
      <c r="T4262" s="1" t="s">
        <v>32</v>
      </c>
    </row>
    <row r="4263" spans="1:20" ht="63.75" x14ac:dyDescent="0.25">
      <c r="A4263" s="6">
        <v>4257</v>
      </c>
      <c r="B4263" s="1" t="str">
        <f>"2022-1321"</f>
        <v>2022-1321</v>
      </c>
      <c r="C4263" s="1" t="s">
        <v>2987</v>
      </c>
      <c r="D4263" s="1" t="s">
        <v>2988</v>
      </c>
      <c r="E4263" s="1" t="str">
        <f>""</f>
        <v/>
      </c>
      <c r="F4263" s="1" t="s">
        <v>1860</v>
      </c>
      <c r="G4263" s="1" t="str">
        <f t="shared" si="225"/>
        <v xml:space="preserve"> LANIŠTE D.O.O., ALEXANDERA VON HUMBOLDTA 4B, 10000 ZAGREB, OIB: 3755384865</v>
      </c>
      <c r="H4263" s="7"/>
      <c r="I4263" s="8" t="s">
        <v>224</v>
      </c>
      <c r="J4263" s="8" t="s">
        <v>3132</v>
      </c>
      <c r="K4263" s="6" t="str">
        <f>"4.032,00"</f>
        <v>4.032,00</v>
      </c>
      <c r="L4263" s="6" t="str">
        <f>"1.008,00"</f>
        <v>1.008,00</v>
      </c>
      <c r="M4263" s="6" t="str">
        <f>"5.040,00"</f>
        <v>5.040,00</v>
      </c>
      <c r="N4263" s="8" t="s">
        <v>272</v>
      </c>
      <c r="O4263" s="7"/>
      <c r="P4263" s="2" t="s">
        <v>7919</v>
      </c>
      <c r="Q4263" s="7"/>
      <c r="R4263" s="1"/>
      <c r="S4263" s="1" t="str">
        <f>"J-UN-2022-819"</f>
        <v>J-UN-2022-819</v>
      </c>
      <c r="T4263" s="1" t="s">
        <v>32</v>
      </c>
    </row>
    <row r="4264" spans="1:20" ht="63.75" x14ac:dyDescent="0.25">
      <c r="A4264" s="6">
        <v>4258</v>
      </c>
      <c r="B4264" s="1" t="str">
        <f>"2022-1289"</f>
        <v>2022-1289</v>
      </c>
      <c r="C4264" s="1" t="s">
        <v>2993</v>
      </c>
      <c r="D4264" s="1" t="s">
        <v>2994</v>
      </c>
      <c r="E4264" s="1" t="str">
        <f>""</f>
        <v/>
      </c>
      <c r="F4264" s="1" t="s">
        <v>1860</v>
      </c>
      <c r="G4264" s="1" t="str">
        <f t="shared" si="225"/>
        <v xml:space="preserve"> LANIŠTE D.O.O., ALEXANDERA VON HUMBOLDTA 4B, 10000 ZAGREB, OIB: 3755384865</v>
      </c>
      <c r="H4264" s="7"/>
      <c r="I4264" s="8" t="s">
        <v>224</v>
      </c>
      <c r="J4264" s="8" t="s">
        <v>3132</v>
      </c>
      <c r="K4264" s="6" t="str">
        <f>"3.632,00"</f>
        <v>3.632,00</v>
      </c>
      <c r="L4264" s="6" t="str">
        <f>"908,00"</f>
        <v>908,00</v>
      </c>
      <c r="M4264" s="6" t="str">
        <f>"4.540,00"</f>
        <v>4.540,00</v>
      </c>
      <c r="N4264" s="8" t="s">
        <v>272</v>
      </c>
      <c r="O4264" s="7"/>
      <c r="P4264" s="2" t="s">
        <v>7918</v>
      </c>
      <c r="Q4264" s="7"/>
      <c r="R4264" s="1"/>
      <c r="S4264" s="1" t="str">
        <f>"J-UN-2022-820"</f>
        <v>J-UN-2022-820</v>
      </c>
      <c r="T4264" s="1" t="s">
        <v>32</v>
      </c>
    </row>
    <row r="4265" spans="1:20" ht="63.75" x14ac:dyDescent="0.25">
      <c r="A4265" s="6">
        <v>4259</v>
      </c>
      <c r="B4265" s="1" t="str">
        <f>"2022-1291"</f>
        <v>2022-1291</v>
      </c>
      <c r="C4265" s="1" t="s">
        <v>2989</v>
      </c>
      <c r="D4265" s="1" t="s">
        <v>2990</v>
      </c>
      <c r="E4265" s="1" t="str">
        <f>""</f>
        <v/>
      </c>
      <c r="F4265" s="1" t="s">
        <v>1860</v>
      </c>
      <c r="G4265" s="1" t="str">
        <f t="shared" si="225"/>
        <v xml:space="preserve"> LANIŠTE D.O.O., ALEXANDERA VON HUMBOLDTA 4B, 10000 ZAGREB, OIB: 3755384865</v>
      </c>
      <c r="H4265" s="7"/>
      <c r="I4265" s="8" t="s">
        <v>224</v>
      </c>
      <c r="J4265" s="8" t="s">
        <v>3132</v>
      </c>
      <c r="K4265" s="6" t="str">
        <f>"3.636,00"</f>
        <v>3.636,00</v>
      </c>
      <c r="L4265" s="6" t="str">
        <f>"909,00"</f>
        <v>909,00</v>
      </c>
      <c r="M4265" s="6" t="str">
        <f>"4.545,00"</f>
        <v>4.545,00</v>
      </c>
      <c r="N4265" s="8" t="s">
        <v>272</v>
      </c>
      <c r="O4265" s="7"/>
      <c r="P4265" s="2" t="s">
        <v>7917</v>
      </c>
      <c r="Q4265" s="7"/>
      <c r="R4265" s="1"/>
      <c r="S4265" s="1" t="str">
        <f>"J-UN-2022-821"</f>
        <v>J-UN-2022-821</v>
      </c>
      <c r="T4265" s="1" t="s">
        <v>32</v>
      </c>
    </row>
    <row r="4266" spans="1:20" ht="76.5" x14ac:dyDescent="0.25">
      <c r="A4266" s="6">
        <v>4260</v>
      </c>
      <c r="B4266" s="1" t="str">
        <f>"2022-1434"</f>
        <v>2022-1434</v>
      </c>
      <c r="C4266" s="1" t="s">
        <v>2558</v>
      </c>
      <c r="D4266" s="1" t="s">
        <v>860</v>
      </c>
      <c r="E4266" s="1" t="str">
        <f>""</f>
        <v/>
      </c>
      <c r="F4266" s="1" t="s">
        <v>1860</v>
      </c>
      <c r="G4266" s="1" t="str">
        <f>CONCATENATE(" SPECIJALNA ZAVARIVANJA ČUKMAN D.O.O.,"," JEŽDOVEČKA ULICA 1C,"," 10250 LUČKO,"," OIB: 14195538193")</f>
        <v xml:space="preserve"> SPECIJALNA ZAVARIVANJA ČUKMAN D.O.O., JEŽDOVEČKA ULICA 1C, 10250 LUČKO, OIB: 14195538193</v>
      </c>
      <c r="H4266" s="7"/>
      <c r="I4266" s="8" t="s">
        <v>224</v>
      </c>
      <c r="J4266" s="8" t="s">
        <v>3132</v>
      </c>
      <c r="K4266" s="6" t="str">
        <f>"8.000,00"</f>
        <v>8.000,00</v>
      </c>
      <c r="L4266" s="6" t="str">
        <f>"2.000,00"</f>
        <v>2.000,00</v>
      </c>
      <c r="M4266" s="6" t="str">
        <f>"10.000,00"</f>
        <v>10.000,00</v>
      </c>
      <c r="N4266" s="8" t="s">
        <v>442</v>
      </c>
      <c r="O4266" s="7"/>
      <c r="P4266" s="2" t="s">
        <v>5881</v>
      </c>
      <c r="Q4266" s="7"/>
      <c r="R4266" s="1"/>
      <c r="S4266" s="1" t="str">
        <f>"J-UN-2022-822"</f>
        <v>J-UN-2022-822</v>
      </c>
      <c r="T4266" s="1" t="s">
        <v>32</v>
      </c>
    </row>
    <row r="4267" spans="1:20" ht="51" x14ac:dyDescent="0.25">
      <c r="A4267" s="6">
        <v>4261</v>
      </c>
      <c r="B4267" s="1" t="str">
        <f>"2022-984"</f>
        <v>2022-984</v>
      </c>
      <c r="C4267" s="1" t="s">
        <v>2638</v>
      </c>
      <c r="D4267" s="1" t="s">
        <v>1458</v>
      </c>
      <c r="E4267" s="1" t="str">
        <f>""</f>
        <v/>
      </c>
      <c r="F4267" s="1" t="s">
        <v>1860</v>
      </c>
      <c r="G4267" s="1" t="str">
        <f>CONCATENATE(" BIJUK HPC D.O.O.,"," VRBOVEC 1/A,"," 10430 SAMOBOR,"," OIB: 61373622132")</f>
        <v xml:space="preserve"> BIJUK HPC D.O.O., VRBOVEC 1/A, 10430 SAMOBOR, OIB: 61373622132</v>
      </c>
      <c r="H4267" s="7"/>
      <c r="I4267" s="8" t="s">
        <v>224</v>
      </c>
      <c r="J4267" s="8" t="s">
        <v>3132</v>
      </c>
      <c r="K4267" s="6" t="str">
        <f>"11.113,81"</f>
        <v>11.113,81</v>
      </c>
      <c r="L4267" s="6" t="str">
        <f>"2.778,45"</f>
        <v>2.778,45</v>
      </c>
      <c r="M4267" s="6" t="str">
        <f>"13.892,26"</f>
        <v>13.892,26</v>
      </c>
      <c r="N4267" s="8" t="s">
        <v>124</v>
      </c>
      <c r="O4267" s="7"/>
      <c r="P4267" s="2" t="s">
        <v>5614</v>
      </c>
      <c r="Q4267" s="7"/>
      <c r="R4267" s="1"/>
      <c r="S4267" s="1" t="str">
        <f>"J-UN-2022-823"</f>
        <v>J-UN-2022-823</v>
      </c>
      <c r="T4267" s="1" t="s">
        <v>32</v>
      </c>
    </row>
    <row r="4268" spans="1:20" ht="63.75" x14ac:dyDescent="0.25">
      <c r="A4268" s="6">
        <v>4262</v>
      </c>
      <c r="B4268" s="1" t="str">
        <f>"2022-1416"</f>
        <v>2022-1416</v>
      </c>
      <c r="C4268" s="1" t="s">
        <v>2991</v>
      </c>
      <c r="D4268" s="1" t="s">
        <v>2992</v>
      </c>
      <c r="E4268" s="1" t="str">
        <f>""</f>
        <v/>
      </c>
      <c r="F4268" s="1" t="s">
        <v>1860</v>
      </c>
      <c r="G4268" s="1" t="str">
        <f t="shared" ref="G4268:G4273" si="226">CONCATENATE(" LANIŠTE D.O.O.,"," ALEXANDERA VON HUMBOLDTA 4B,"," 10000 ZAGREB,"," OIB: 3755384865")</f>
        <v xml:space="preserve"> LANIŠTE D.O.O., ALEXANDERA VON HUMBOLDTA 4B, 10000 ZAGREB, OIB: 3755384865</v>
      </c>
      <c r="H4268" s="7"/>
      <c r="I4268" s="8" t="s">
        <v>224</v>
      </c>
      <c r="J4268" s="8" t="s">
        <v>3132</v>
      </c>
      <c r="K4268" s="6" t="str">
        <f>"3.636,00"</f>
        <v>3.636,00</v>
      </c>
      <c r="L4268" s="6" t="str">
        <f>"909,00"</f>
        <v>909,00</v>
      </c>
      <c r="M4268" s="6" t="str">
        <f>"4.545,00"</f>
        <v>4.545,00</v>
      </c>
      <c r="N4268" s="8" t="s">
        <v>272</v>
      </c>
      <c r="O4268" s="7"/>
      <c r="P4268" s="2" t="s">
        <v>7917</v>
      </c>
      <c r="Q4268" s="7"/>
      <c r="R4268" s="1"/>
      <c r="S4268" s="1" t="str">
        <f>"J-UN-2022-825"</f>
        <v>J-UN-2022-825</v>
      </c>
      <c r="T4268" s="1" t="s">
        <v>32</v>
      </c>
    </row>
    <row r="4269" spans="1:20" ht="63.75" x14ac:dyDescent="0.25">
      <c r="A4269" s="6">
        <v>4263</v>
      </c>
      <c r="B4269" s="1" t="str">
        <f>"2022-1429"</f>
        <v>2022-1429</v>
      </c>
      <c r="C4269" s="1" t="s">
        <v>2984</v>
      </c>
      <c r="D4269" s="1" t="s">
        <v>2985</v>
      </c>
      <c r="E4269" s="1" t="str">
        <f>""</f>
        <v/>
      </c>
      <c r="F4269" s="1" t="s">
        <v>1860</v>
      </c>
      <c r="G4269" s="1" t="str">
        <f t="shared" si="226"/>
        <v xml:space="preserve"> LANIŠTE D.O.O., ALEXANDERA VON HUMBOLDTA 4B, 10000 ZAGREB, OIB: 3755384865</v>
      </c>
      <c r="H4269" s="7"/>
      <c r="I4269" s="8" t="s">
        <v>224</v>
      </c>
      <c r="J4269" s="8" t="s">
        <v>3132</v>
      </c>
      <c r="K4269" s="6" t="str">
        <f>"4.032,00"</f>
        <v>4.032,00</v>
      </c>
      <c r="L4269" s="6" t="str">
        <f>"1.008,00"</f>
        <v>1.008,00</v>
      </c>
      <c r="M4269" s="6" t="str">
        <f>"5.040,00"</f>
        <v>5.040,00</v>
      </c>
      <c r="N4269" s="8" t="s">
        <v>272</v>
      </c>
      <c r="O4269" s="7"/>
      <c r="P4269" s="2" t="s">
        <v>7919</v>
      </c>
      <c r="Q4269" s="7"/>
      <c r="R4269" s="1"/>
      <c r="S4269" s="1" t="str">
        <f>"J-UN-2022-826"</f>
        <v>J-UN-2022-826</v>
      </c>
      <c r="T4269" s="1" t="s">
        <v>32</v>
      </c>
    </row>
    <row r="4270" spans="1:20" ht="63.75" x14ac:dyDescent="0.25">
      <c r="A4270" s="6">
        <v>4264</v>
      </c>
      <c r="B4270" s="1" t="str">
        <f>"2022-1430"</f>
        <v>2022-1430</v>
      </c>
      <c r="C4270" s="1" t="s">
        <v>2986</v>
      </c>
      <c r="D4270" s="1" t="s">
        <v>2985</v>
      </c>
      <c r="E4270" s="1" t="str">
        <f>""</f>
        <v/>
      </c>
      <c r="F4270" s="1" t="s">
        <v>1860</v>
      </c>
      <c r="G4270" s="1" t="str">
        <f t="shared" si="226"/>
        <v xml:space="preserve"> LANIŠTE D.O.O., ALEXANDERA VON HUMBOLDTA 4B, 10000 ZAGREB, OIB: 3755384865</v>
      </c>
      <c r="H4270" s="7"/>
      <c r="I4270" s="8" t="s">
        <v>224</v>
      </c>
      <c r="J4270" s="8" t="s">
        <v>3132</v>
      </c>
      <c r="K4270" s="6" t="str">
        <f>"4.032,00"</f>
        <v>4.032,00</v>
      </c>
      <c r="L4270" s="6" t="str">
        <f>"1.008,00"</f>
        <v>1.008,00</v>
      </c>
      <c r="M4270" s="6" t="str">
        <f>"5.040,00"</f>
        <v>5.040,00</v>
      </c>
      <c r="N4270" s="8" t="s">
        <v>272</v>
      </c>
      <c r="O4270" s="7"/>
      <c r="P4270" s="2" t="s">
        <v>7919</v>
      </c>
      <c r="Q4270" s="7"/>
      <c r="R4270" s="1"/>
      <c r="S4270" s="1" t="str">
        <f>"J-UN-2022-827"</f>
        <v>J-UN-2022-827</v>
      </c>
      <c r="T4270" s="1" t="s">
        <v>32</v>
      </c>
    </row>
    <row r="4271" spans="1:20" ht="63.75" x14ac:dyDescent="0.25">
      <c r="A4271" s="6">
        <v>4265</v>
      </c>
      <c r="B4271" s="1" t="str">
        <f>"2022-1321"</f>
        <v>2022-1321</v>
      </c>
      <c r="C4271" s="1" t="s">
        <v>2987</v>
      </c>
      <c r="D4271" s="1" t="s">
        <v>2988</v>
      </c>
      <c r="E4271" s="1" t="str">
        <f>""</f>
        <v/>
      </c>
      <c r="F4271" s="1" t="s">
        <v>1860</v>
      </c>
      <c r="G4271" s="1" t="str">
        <f t="shared" si="226"/>
        <v xml:space="preserve"> LANIŠTE D.O.O., ALEXANDERA VON HUMBOLDTA 4B, 10000 ZAGREB, OIB: 3755384865</v>
      </c>
      <c r="H4271" s="7"/>
      <c r="I4271" s="8" t="s">
        <v>224</v>
      </c>
      <c r="J4271" s="8" t="s">
        <v>3132</v>
      </c>
      <c r="K4271" s="6" t="str">
        <f>"4.032,00"</f>
        <v>4.032,00</v>
      </c>
      <c r="L4271" s="6" t="str">
        <f>"1.008,00"</f>
        <v>1.008,00</v>
      </c>
      <c r="M4271" s="6" t="str">
        <f>"5.040,00"</f>
        <v>5.040,00</v>
      </c>
      <c r="N4271" s="8" t="s">
        <v>272</v>
      </c>
      <c r="O4271" s="7"/>
      <c r="P4271" s="2" t="s">
        <v>7919</v>
      </c>
      <c r="Q4271" s="7"/>
      <c r="R4271" s="1"/>
      <c r="S4271" s="1" t="str">
        <f>"J-UN-2022-828"</f>
        <v>J-UN-2022-828</v>
      </c>
      <c r="T4271" s="1" t="s">
        <v>32</v>
      </c>
    </row>
    <row r="4272" spans="1:20" ht="63.75" x14ac:dyDescent="0.25">
      <c r="A4272" s="6">
        <v>4266</v>
      </c>
      <c r="B4272" s="1" t="str">
        <f>"2022-1289"</f>
        <v>2022-1289</v>
      </c>
      <c r="C4272" s="1" t="s">
        <v>2993</v>
      </c>
      <c r="D4272" s="1" t="s">
        <v>2994</v>
      </c>
      <c r="E4272" s="1" t="str">
        <f>""</f>
        <v/>
      </c>
      <c r="F4272" s="1" t="s">
        <v>1860</v>
      </c>
      <c r="G4272" s="1" t="str">
        <f t="shared" si="226"/>
        <v xml:space="preserve"> LANIŠTE D.O.O., ALEXANDERA VON HUMBOLDTA 4B, 10000 ZAGREB, OIB: 3755384865</v>
      </c>
      <c r="H4272" s="7"/>
      <c r="I4272" s="8" t="s">
        <v>224</v>
      </c>
      <c r="J4272" s="8" t="s">
        <v>3132</v>
      </c>
      <c r="K4272" s="6" t="str">
        <f>"3.632,00"</f>
        <v>3.632,00</v>
      </c>
      <c r="L4272" s="6" t="str">
        <f>"908,00"</f>
        <v>908,00</v>
      </c>
      <c r="M4272" s="6" t="str">
        <f>"4.540,00"</f>
        <v>4.540,00</v>
      </c>
      <c r="N4272" s="8" t="s">
        <v>272</v>
      </c>
      <c r="O4272" s="7"/>
      <c r="P4272" s="2" t="s">
        <v>7918</v>
      </c>
      <c r="Q4272" s="7"/>
      <c r="R4272" s="1"/>
      <c r="S4272" s="1" t="str">
        <f>"J-UN-2022-829"</f>
        <v>J-UN-2022-829</v>
      </c>
      <c r="T4272" s="1" t="s">
        <v>32</v>
      </c>
    </row>
    <row r="4273" spans="1:20" ht="63.75" x14ac:dyDescent="0.25">
      <c r="A4273" s="6">
        <v>4267</v>
      </c>
      <c r="B4273" s="1" t="str">
        <f>"2022-1291"</f>
        <v>2022-1291</v>
      </c>
      <c r="C4273" s="1" t="s">
        <v>2989</v>
      </c>
      <c r="D4273" s="1" t="s">
        <v>2990</v>
      </c>
      <c r="E4273" s="1" t="str">
        <f>""</f>
        <v/>
      </c>
      <c r="F4273" s="1" t="s">
        <v>1860</v>
      </c>
      <c r="G4273" s="1" t="str">
        <f t="shared" si="226"/>
        <v xml:space="preserve"> LANIŠTE D.O.O., ALEXANDERA VON HUMBOLDTA 4B, 10000 ZAGREB, OIB: 3755384865</v>
      </c>
      <c r="H4273" s="7"/>
      <c r="I4273" s="8" t="s">
        <v>224</v>
      </c>
      <c r="J4273" s="8" t="s">
        <v>3132</v>
      </c>
      <c r="K4273" s="6" t="str">
        <f>"3.636,00"</f>
        <v>3.636,00</v>
      </c>
      <c r="L4273" s="6" t="str">
        <f>"909,00"</f>
        <v>909,00</v>
      </c>
      <c r="M4273" s="6" t="str">
        <f>"4.545,00"</f>
        <v>4.545,00</v>
      </c>
      <c r="N4273" s="8" t="s">
        <v>272</v>
      </c>
      <c r="O4273" s="7"/>
      <c r="P4273" s="2" t="s">
        <v>7917</v>
      </c>
      <c r="Q4273" s="7"/>
      <c r="R4273" s="1"/>
      <c r="S4273" s="1" t="str">
        <f>"J-UN-2022-830"</f>
        <v>J-UN-2022-830</v>
      </c>
      <c r="T4273" s="1" t="s">
        <v>32</v>
      </c>
    </row>
    <row r="4274" spans="1:20" ht="51" x14ac:dyDescent="0.25">
      <c r="A4274" s="6">
        <v>4268</v>
      </c>
      <c r="B4274" s="1" t="str">
        <f>"2022-817"</f>
        <v>2022-817</v>
      </c>
      <c r="C4274" s="1" t="s">
        <v>2839</v>
      </c>
      <c r="D4274" s="1" t="s">
        <v>2716</v>
      </c>
      <c r="E4274" s="1" t="str">
        <f>""</f>
        <v/>
      </c>
      <c r="F4274" s="1" t="s">
        <v>1860</v>
      </c>
      <c r="G4274" s="1" t="str">
        <f>CONCATENATE(" TORBARINA D.O.O.,"," NOVA CESTA 3,"," 10412 DONJA LOMNICA,"," OIB: 02603292627")</f>
        <v xml:space="preserve"> TORBARINA D.O.O., NOVA CESTA 3, 10412 DONJA LOMNICA, OIB: 02603292627</v>
      </c>
      <c r="H4274" s="7"/>
      <c r="I4274" s="8" t="s">
        <v>224</v>
      </c>
      <c r="J4274" s="8" t="s">
        <v>3132</v>
      </c>
      <c r="K4274" s="6" t="str">
        <f>"15.311,16"</f>
        <v>15.311,16</v>
      </c>
      <c r="L4274" s="6" t="str">
        <f>"3.827,79"</f>
        <v>3.827,79</v>
      </c>
      <c r="M4274" s="6" t="str">
        <f>"19.138,95"</f>
        <v>19.138,95</v>
      </c>
      <c r="N4274" s="8" t="s">
        <v>401</v>
      </c>
      <c r="O4274" s="7"/>
      <c r="P4274" s="2" t="s">
        <v>8164</v>
      </c>
      <c r="Q4274" s="7"/>
      <c r="R4274" s="1"/>
      <c r="S4274" s="1" t="str">
        <f>"J-UN-2022-831"</f>
        <v>J-UN-2022-831</v>
      </c>
      <c r="T4274" s="1" t="s">
        <v>32</v>
      </c>
    </row>
    <row r="4275" spans="1:20" ht="51" x14ac:dyDescent="0.25">
      <c r="A4275" s="6">
        <v>4269</v>
      </c>
      <c r="B4275" s="1" t="str">
        <f>"2022-837"</f>
        <v>2022-837</v>
      </c>
      <c r="C4275" s="1" t="s">
        <v>3136</v>
      </c>
      <c r="D4275" s="1" t="s">
        <v>21</v>
      </c>
      <c r="E4275" s="1" t="str">
        <f>""</f>
        <v/>
      </c>
      <c r="F4275" s="1" t="s">
        <v>1860</v>
      </c>
      <c r="G4275" s="1" t="str">
        <f>CONCATENATE(" D.R. AUTO D.O.O.,"," SELSKA CESTA 34,"," 10000 ZAGREB,"," OIB: 07523847158")</f>
        <v xml:space="preserve"> D.R. AUTO D.O.O., SELSKA CESTA 34, 10000 ZAGREB, OIB: 07523847158</v>
      </c>
      <c r="H4275" s="7"/>
      <c r="I4275" s="8" t="s">
        <v>224</v>
      </c>
      <c r="J4275" s="8" t="s">
        <v>3132</v>
      </c>
      <c r="K4275" s="6" t="str">
        <f>"8.380,00"</f>
        <v>8.380,00</v>
      </c>
      <c r="L4275" s="6" t="str">
        <f>"2.095,00"</f>
        <v>2.095,00</v>
      </c>
      <c r="M4275" s="6" t="str">
        <f>"10.475,00"</f>
        <v>10.475,00</v>
      </c>
      <c r="N4275" s="8" t="s">
        <v>124</v>
      </c>
      <c r="O4275" s="7"/>
      <c r="P4275" s="2" t="s">
        <v>8165</v>
      </c>
      <c r="Q4275" s="7"/>
      <c r="R4275" s="1"/>
      <c r="S4275" s="1" t="str">
        <f>"J-UN-2022-832"</f>
        <v>J-UN-2022-832</v>
      </c>
      <c r="T4275" s="1" t="s">
        <v>32</v>
      </c>
    </row>
    <row r="4276" spans="1:20" ht="63.75" x14ac:dyDescent="0.25">
      <c r="A4276" s="6">
        <v>4270</v>
      </c>
      <c r="B4276" s="1" t="str">
        <f>"2022-370"</f>
        <v>2022-370</v>
      </c>
      <c r="C4276" s="1" t="s">
        <v>2624</v>
      </c>
      <c r="D4276" s="1" t="s">
        <v>1334</v>
      </c>
      <c r="E4276" s="1" t="str">
        <f>""</f>
        <v/>
      </c>
      <c r="F4276" s="1" t="s">
        <v>1860</v>
      </c>
      <c r="G4276" s="1" t="str">
        <f>CONCATENATE(" POLJOOPSKRBA-TEHNO D.D.,"," SAMOBORSKA 96,"," 10000 ZAGREB,"," OIB: 5372167324")</f>
        <v xml:space="preserve"> POLJOOPSKRBA-TEHNO D.D., SAMOBORSKA 96, 10000 ZAGREB, OIB: 5372167324</v>
      </c>
      <c r="H4276" s="7"/>
      <c r="I4276" s="8" t="s">
        <v>898</v>
      </c>
      <c r="J4276" s="8" t="s">
        <v>2526</v>
      </c>
      <c r="K4276" s="6" t="str">
        <f>"11.880,00"</f>
        <v>11.880,00</v>
      </c>
      <c r="L4276" s="6" t="str">
        <f>"2.970,00"</f>
        <v>2.970,00</v>
      </c>
      <c r="M4276" s="6" t="str">
        <f>"14.850,00"</f>
        <v>14.850,00</v>
      </c>
      <c r="N4276" s="8" t="s">
        <v>124</v>
      </c>
      <c r="O4276" s="7"/>
      <c r="P4276" s="2" t="s">
        <v>5614</v>
      </c>
      <c r="Q4276" s="7"/>
      <c r="R4276" s="1"/>
      <c r="S4276" s="1" t="str">
        <f>"J-UN-2022-835"</f>
        <v>J-UN-2022-835</v>
      </c>
      <c r="T4276" s="1" t="s">
        <v>32</v>
      </c>
    </row>
    <row r="4277" spans="1:20" ht="38.25" x14ac:dyDescent="0.25">
      <c r="A4277" s="6">
        <v>4271</v>
      </c>
      <c r="B4277" s="1" t="str">
        <f>"2022-1816"</f>
        <v>2022-1816</v>
      </c>
      <c r="C4277" s="1" t="s">
        <v>3137</v>
      </c>
      <c r="D4277" s="1" t="s">
        <v>3138</v>
      </c>
      <c r="E4277" s="1" t="str">
        <f>""</f>
        <v/>
      </c>
      <c r="F4277" s="1" t="s">
        <v>1860</v>
      </c>
      <c r="G4277" s="1" t="str">
        <f>CONCATENATE(" PHOENIX ARTS EUROPE SLU,"," MAS D`EN COLOM 19,"," 25300 TARREG")</f>
        <v xml:space="preserve"> PHOENIX ARTS EUROPE SLU, MAS D`EN COLOM 19, 25300 TARREG</v>
      </c>
      <c r="H4277" s="7"/>
      <c r="I4277" s="8" t="s">
        <v>224</v>
      </c>
      <c r="J4277" s="8" t="s">
        <v>3132</v>
      </c>
      <c r="K4277" s="6" t="str">
        <f>"4.090,30"</f>
        <v>4.090,30</v>
      </c>
      <c r="L4277" s="6" t="str">
        <f>"1.022,58"</f>
        <v>1.022,58</v>
      </c>
      <c r="M4277" s="6" t="str">
        <f>"5.112,88"</f>
        <v>5.112,88</v>
      </c>
      <c r="N4277" s="8" t="s">
        <v>124</v>
      </c>
      <c r="O4277" s="7"/>
      <c r="P4277" s="2" t="s">
        <v>5614</v>
      </c>
      <c r="Q4277" s="7"/>
      <c r="R4277" s="1"/>
      <c r="S4277" s="1" t="str">
        <f>"J-UN-2022-836"</f>
        <v>J-UN-2022-836</v>
      </c>
      <c r="T4277" s="1" t="s">
        <v>32</v>
      </c>
    </row>
    <row r="4278" spans="1:20" ht="63.75" x14ac:dyDescent="0.25">
      <c r="A4278" s="6">
        <v>4272</v>
      </c>
      <c r="B4278" s="1" t="str">
        <f>"2022-1407"</f>
        <v>2022-1407</v>
      </c>
      <c r="C4278" s="1" t="s">
        <v>2923</v>
      </c>
      <c r="D4278" s="1" t="s">
        <v>2924</v>
      </c>
      <c r="E4278" s="1" t="str">
        <f>""</f>
        <v/>
      </c>
      <c r="F4278" s="1" t="s">
        <v>1860</v>
      </c>
      <c r="G4278" s="1" t="str">
        <f>CONCATENATE(" VODOOPSKRBA I ODVODNJA D.O.O.,"," FOLNEGOVIĆEVA 1B,"," 10000 ZAGREB,"," OIB: 83416546499")</f>
        <v xml:space="preserve"> VODOOPSKRBA I ODVODNJA D.O.O., FOLNEGOVIĆEVA 1B, 10000 ZAGREB, OIB: 83416546499</v>
      </c>
      <c r="H4278" s="7"/>
      <c r="I4278" s="8" t="s">
        <v>224</v>
      </c>
      <c r="J4278" s="8" t="s">
        <v>3132</v>
      </c>
      <c r="K4278" s="6" t="str">
        <f>"25.215,00"</f>
        <v>25.215,00</v>
      </c>
      <c r="L4278" s="6" t="str">
        <f>"6.303,75"</f>
        <v>6.303,75</v>
      </c>
      <c r="M4278" s="6" t="str">
        <f>"31.518,75"</f>
        <v>31.518,75</v>
      </c>
      <c r="N4278" s="8" t="s">
        <v>124</v>
      </c>
      <c r="O4278" s="7"/>
      <c r="P4278" s="2" t="s">
        <v>5614</v>
      </c>
      <c r="Q4278" s="7"/>
      <c r="R4278" s="1"/>
      <c r="S4278" s="1" t="str">
        <f>"J-UN-2022-838"</f>
        <v>J-UN-2022-838</v>
      </c>
      <c r="T4278" s="1" t="s">
        <v>32</v>
      </c>
    </row>
    <row r="4279" spans="1:20" ht="63.75" x14ac:dyDescent="0.25">
      <c r="A4279" s="6">
        <v>4273</v>
      </c>
      <c r="B4279" s="1" t="str">
        <f>"2022-825"</f>
        <v>2022-825</v>
      </c>
      <c r="C4279" s="1" t="s">
        <v>2492</v>
      </c>
      <c r="D4279" s="1" t="s">
        <v>2493</v>
      </c>
      <c r="E4279" s="1" t="str">
        <f>""</f>
        <v/>
      </c>
      <c r="F4279" s="1" t="s">
        <v>1860</v>
      </c>
      <c r="G4279" s="1" t="str">
        <f>CONCATENATE(" TOKIĆ D.O.O.,"," ULICA 144. BRIGADE HRVATSKE VOJSKE 1A,"," 10360 SESVETE,"," OIB: 7486748762")</f>
        <v xml:space="preserve"> TOKIĆ D.O.O., ULICA 144. BRIGADE HRVATSKE VOJSKE 1A, 10360 SESVETE, OIB: 7486748762</v>
      </c>
      <c r="H4279" s="7"/>
      <c r="I4279" s="8" t="s">
        <v>424</v>
      </c>
      <c r="J4279" s="8" t="s">
        <v>3139</v>
      </c>
      <c r="K4279" s="6" t="str">
        <f>"4.050,00"</f>
        <v>4.050,00</v>
      </c>
      <c r="L4279" s="6" t="str">
        <f>"1.012,50"</f>
        <v>1.012,50</v>
      </c>
      <c r="M4279" s="6" t="str">
        <f>"5.062,50"</f>
        <v>5.062,50</v>
      </c>
      <c r="N4279" s="8" t="s">
        <v>469</v>
      </c>
      <c r="O4279" s="7"/>
      <c r="P4279" s="2" t="s">
        <v>7283</v>
      </c>
      <c r="Q4279" s="7"/>
      <c r="R4279" s="1"/>
      <c r="S4279" s="1" t="str">
        <f>"J-UN-2022-839"</f>
        <v>J-UN-2022-839</v>
      </c>
      <c r="T4279" s="1" t="s">
        <v>32</v>
      </c>
    </row>
    <row r="4280" spans="1:20" ht="38.25" x14ac:dyDescent="0.25">
      <c r="A4280" s="6">
        <v>4274</v>
      </c>
      <c r="B4280" s="1" t="str">
        <f>"2022-825"</f>
        <v>2022-825</v>
      </c>
      <c r="C4280" s="1" t="s">
        <v>2492</v>
      </c>
      <c r="D4280" s="1" t="s">
        <v>2493</v>
      </c>
      <c r="E4280" s="1" t="str">
        <f>""</f>
        <v/>
      </c>
      <c r="F4280" s="1" t="s">
        <v>1860</v>
      </c>
      <c r="G4280" s="1" t="str">
        <f>CONCATENATE(" O-K-TEH d.o.o.,"," VUČAK 16A,"," 10000 ZAGREB,"," OIB: 37322381288")</f>
        <v xml:space="preserve"> O-K-TEH d.o.o., VUČAK 16A, 10000 ZAGREB, OIB: 37322381288</v>
      </c>
      <c r="H4280" s="7"/>
      <c r="I4280" s="8" t="s">
        <v>350</v>
      </c>
      <c r="J4280" s="8" t="s">
        <v>2209</v>
      </c>
      <c r="K4280" s="6" t="str">
        <f>"22.191,00"</f>
        <v>22.191,00</v>
      </c>
      <c r="L4280" s="6" t="str">
        <f>"5.547,75"</f>
        <v>5.547,75</v>
      </c>
      <c r="M4280" s="6" t="str">
        <f>"27.738,75"</f>
        <v>27.738,75</v>
      </c>
      <c r="N4280" s="8" t="s">
        <v>425</v>
      </c>
      <c r="O4280" s="7"/>
      <c r="P4280" s="2" t="s">
        <v>8166</v>
      </c>
      <c r="Q4280" s="7"/>
      <c r="R4280" s="1"/>
      <c r="S4280" s="1" t="str">
        <f>"J-UN-2022-840"</f>
        <v>J-UN-2022-840</v>
      </c>
      <c r="T4280" s="1" t="s">
        <v>32</v>
      </c>
    </row>
    <row r="4281" spans="1:20" ht="51" x14ac:dyDescent="0.25">
      <c r="A4281" s="6">
        <v>4275</v>
      </c>
      <c r="B4281" s="1" t="str">
        <f>"2022-453"</f>
        <v>2022-453</v>
      </c>
      <c r="C4281" s="1" t="s">
        <v>2829</v>
      </c>
      <c r="D4281" s="1" t="s">
        <v>2830</v>
      </c>
      <c r="E4281" s="1" t="str">
        <f>""</f>
        <v/>
      </c>
      <c r="F4281" s="1" t="s">
        <v>1860</v>
      </c>
      <c r="G4281" s="1" t="str">
        <f>CONCATENATE(" TRIDION D.O.O.,"," ZAPADNA LOZICA 10,"," 10000 ZAGREB,"," OIB: 79247590666")</f>
        <v xml:space="preserve"> TRIDION D.O.O., ZAPADNA LOZICA 10, 10000 ZAGREB, OIB: 79247590666</v>
      </c>
      <c r="H4281" s="7"/>
      <c r="I4281" s="8" t="s">
        <v>224</v>
      </c>
      <c r="J4281" s="8" t="s">
        <v>3132</v>
      </c>
      <c r="K4281" s="6" t="str">
        <f>"8.505,19"</f>
        <v>8.505,19</v>
      </c>
      <c r="L4281" s="6" t="str">
        <f>"2.126,30"</f>
        <v>2.126,30</v>
      </c>
      <c r="M4281" s="6" t="str">
        <f>"10.631,49"</f>
        <v>10.631,49</v>
      </c>
      <c r="N4281" s="8" t="s">
        <v>172</v>
      </c>
      <c r="O4281" s="7"/>
      <c r="P4281" s="2" t="s">
        <v>8167</v>
      </c>
      <c r="Q4281" s="7"/>
      <c r="R4281" s="1"/>
      <c r="S4281" s="1" t="str">
        <f>"J-UN-2022-841"</f>
        <v>J-UN-2022-841</v>
      </c>
      <c r="T4281" s="1" t="s">
        <v>32</v>
      </c>
    </row>
    <row r="4282" spans="1:20" ht="63.75" x14ac:dyDescent="0.25">
      <c r="A4282" s="6">
        <v>4276</v>
      </c>
      <c r="B4282" s="1" t="str">
        <f>"2022-1416"</f>
        <v>2022-1416</v>
      </c>
      <c r="C4282" s="1" t="s">
        <v>2991</v>
      </c>
      <c r="D4282" s="1" t="s">
        <v>2992</v>
      </c>
      <c r="E4282" s="1" t="str">
        <f>""</f>
        <v/>
      </c>
      <c r="F4282" s="1" t="s">
        <v>1860</v>
      </c>
      <c r="G4282" s="1" t="str">
        <f>CONCATENATE(" LANIŠTE D.O.O.,"," ALEXANDERA VON HUMBOLDTA 4B,"," 10000 ZAGREB,"," OIB: 3755384865")</f>
        <v xml:space="preserve"> LANIŠTE D.O.O., ALEXANDERA VON HUMBOLDTA 4B, 10000 ZAGREB, OIB: 3755384865</v>
      </c>
      <c r="H4282" s="7"/>
      <c r="I4282" s="8" t="s">
        <v>224</v>
      </c>
      <c r="J4282" s="8" t="s">
        <v>3132</v>
      </c>
      <c r="K4282" s="6" t="str">
        <f>"3.636,00"</f>
        <v>3.636,00</v>
      </c>
      <c r="L4282" s="6" t="str">
        <f>"909,00"</f>
        <v>909,00</v>
      </c>
      <c r="M4282" s="6" t="str">
        <f>"4.545,00"</f>
        <v>4.545,00</v>
      </c>
      <c r="N4282" s="8" t="s">
        <v>272</v>
      </c>
      <c r="O4282" s="7"/>
      <c r="P4282" s="2" t="s">
        <v>7917</v>
      </c>
      <c r="Q4282" s="7"/>
      <c r="R4282" s="1"/>
      <c r="S4282" s="1" t="str">
        <f>"J-UN-2022-844"</f>
        <v>J-UN-2022-844</v>
      </c>
      <c r="T4282" s="1" t="s">
        <v>32</v>
      </c>
    </row>
    <row r="4283" spans="1:20" ht="63.75" x14ac:dyDescent="0.25">
      <c r="A4283" s="6">
        <v>4277</v>
      </c>
      <c r="B4283" s="1" t="str">
        <f>"2022-1429"</f>
        <v>2022-1429</v>
      </c>
      <c r="C4283" s="1" t="s">
        <v>2984</v>
      </c>
      <c r="D4283" s="1" t="s">
        <v>2985</v>
      </c>
      <c r="E4283" s="1" t="str">
        <f>""</f>
        <v/>
      </c>
      <c r="F4283" s="1" t="s">
        <v>1860</v>
      </c>
      <c r="G4283" s="1" t="str">
        <f>CONCATENATE(" LANIŠTE D.O.O.,"," ALEXANDERA VON HUMBOLDTA 4B,"," 10000 ZAGREB,"," OIB: 3755384865")</f>
        <v xml:space="preserve"> LANIŠTE D.O.O., ALEXANDERA VON HUMBOLDTA 4B, 10000 ZAGREB, OIB: 3755384865</v>
      </c>
      <c r="H4283" s="7"/>
      <c r="I4283" s="8" t="s">
        <v>224</v>
      </c>
      <c r="J4283" s="8" t="s">
        <v>3132</v>
      </c>
      <c r="K4283" s="6" t="str">
        <f>"4.032,00"</f>
        <v>4.032,00</v>
      </c>
      <c r="L4283" s="6" t="str">
        <f>"1.008,00"</f>
        <v>1.008,00</v>
      </c>
      <c r="M4283" s="6" t="str">
        <f>"5.040,00"</f>
        <v>5.040,00</v>
      </c>
      <c r="N4283" s="8" t="s">
        <v>272</v>
      </c>
      <c r="O4283" s="7"/>
      <c r="P4283" s="2" t="s">
        <v>7919</v>
      </c>
      <c r="Q4283" s="7"/>
      <c r="R4283" s="1"/>
      <c r="S4283" s="1" t="str">
        <f>"J-UN-2022-845"</f>
        <v>J-UN-2022-845</v>
      </c>
      <c r="T4283" s="1" t="s">
        <v>32</v>
      </c>
    </row>
    <row r="4284" spans="1:20" ht="76.5" x14ac:dyDescent="0.25">
      <c r="A4284" s="6">
        <v>4278</v>
      </c>
      <c r="B4284" s="1" t="str">
        <f>"2022-1381"</f>
        <v>2022-1381</v>
      </c>
      <c r="C4284" s="1" t="s">
        <v>2405</v>
      </c>
      <c r="D4284" s="1" t="s">
        <v>880</v>
      </c>
      <c r="E4284" s="1" t="str">
        <f>""</f>
        <v/>
      </c>
      <c r="F4284" s="1" t="s">
        <v>1860</v>
      </c>
      <c r="G4284" s="1" t="str">
        <f>CONCATENATE(" USTANOVA ZA ZDRAVSTVENU SKRB VAŠ PREGLED,"," TRPINJSKA 5A,"," 10000 ZAGREB,"," OIB: 83321839235")</f>
        <v xml:space="preserve"> USTANOVA ZA ZDRAVSTVENU SKRB VAŠ PREGLED, TRPINJSKA 5A, 10000 ZAGREB, OIB: 83321839235</v>
      </c>
      <c r="H4284" s="7"/>
      <c r="I4284" s="8" t="s">
        <v>224</v>
      </c>
      <c r="J4284" s="8" t="s">
        <v>3132</v>
      </c>
      <c r="K4284" s="6" t="str">
        <f>"225,00"</f>
        <v>225,00</v>
      </c>
      <c r="L4284" s="6" t="str">
        <f>"56,25"</f>
        <v>56,25</v>
      </c>
      <c r="M4284" s="6" t="str">
        <f>"281,25"</f>
        <v>281,25</v>
      </c>
      <c r="N4284" s="8" t="s">
        <v>53</v>
      </c>
      <c r="O4284" s="7"/>
      <c r="P4284" s="2" t="s">
        <v>8168</v>
      </c>
      <c r="Q4284" s="7"/>
      <c r="R4284" s="1"/>
      <c r="S4284" s="1" t="str">
        <f>"J-UN-2022-851"</f>
        <v>J-UN-2022-851</v>
      </c>
      <c r="T4284" s="1" t="s">
        <v>32</v>
      </c>
    </row>
    <row r="4285" spans="1:20" ht="51" x14ac:dyDescent="0.25">
      <c r="A4285" s="6">
        <v>4279</v>
      </c>
      <c r="B4285" s="1" t="str">
        <f>"2022-1123"</f>
        <v>2022-1123</v>
      </c>
      <c r="C4285" s="1" t="s">
        <v>2779</v>
      </c>
      <c r="D4285" s="1" t="s">
        <v>2780</v>
      </c>
      <c r="E4285" s="1" t="str">
        <f>""</f>
        <v/>
      </c>
      <c r="F4285" s="1" t="s">
        <v>1860</v>
      </c>
      <c r="G4285" s="1" t="str">
        <f>CONCATENATE(" EL KONCEPT D.O.O.,"," ULICA JULIJA KNIFER 2,"," 10000 ZAGREB,"," OIB: 96533691227")</f>
        <v xml:space="preserve"> EL KONCEPT D.O.O., ULICA JULIJA KNIFER 2, 10000 ZAGREB, OIB: 96533691227</v>
      </c>
      <c r="H4285" s="7"/>
      <c r="I4285" s="8" t="s">
        <v>224</v>
      </c>
      <c r="J4285" s="8" t="s">
        <v>3132</v>
      </c>
      <c r="K4285" s="6" t="str">
        <f>"14.600,00"</f>
        <v>14.600,00</v>
      </c>
      <c r="L4285" s="6" t="str">
        <f>"3.650,00"</f>
        <v>3.650,00</v>
      </c>
      <c r="M4285" s="6" t="str">
        <f>"18.250,00"</f>
        <v>18.250,00</v>
      </c>
      <c r="N4285" s="8" t="s">
        <v>635</v>
      </c>
      <c r="O4285" s="7"/>
      <c r="P4285" s="2" t="s">
        <v>8169</v>
      </c>
      <c r="Q4285" s="7"/>
      <c r="R4285" s="1"/>
      <c r="S4285" s="1" t="str">
        <f>"J-UN-2022-852"</f>
        <v>J-UN-2022-852</v>
      </c>
      <c r="T4285" s="1" t="s">
        <v>32</v>
      </c>
    </row>
    <row r="4286" spans="1:20" ht="51" x14ac:dyDescent="0.25">
      <c r="A4286" s="6">
        <v>4280</v>
      </c>
      <c r="B4286" s="1" t="str">
        <f>"2022-348"</f>
        <v>2022-348</v>
      </c>
      <c r="C4286" s="1" t="s">
        <v>2616</v>
      </c>
      <c r="D4286" s="1" t="s">
        <v>2617</v>
      </c>
      <c r="E4286" s="1" t="str">
        <f>""</f>
        <v/>
      </c>
      <c r="F4286" s="1" t="s">
        <v>1860</v>
      </c>
      <c r="G4286" s="1" t="str">
        <f>CONCATENATE(" PRO-TEHNA D.O.O.,"," MAKSIMIRSKA 64,"," 10000 ZAGREB,"," OIB: 88951687357")</f>
        <v xml:space="preserve"> PRO-TEHNA D.O.O., MAKSIMIRSKA 64, 10000 ZAGREB, OIB: 88951687357</v>
      </c>
      <c r="H4286" s="7"/>
      <c r="I4286" s="8" t="s">
        <v>898</v>
      </c>
      <c r="J4286" s="8" t="s">
        <v>2526</v>
      </c>
      <c r="K4286" s="6" t="str">
        <f>"12.896,00"</f>
        <v>12.896,00</v>
      </c>
      <c r="L4286" s="6" t="str">
        <f>"3.224,00"</f>
        <v>3.224,00</v>
      </c>
      <c r="M4286" s="6" t="str">
        <f>"16.120,00"</f>
        <v>16.120,00</v>
      </c>
      <c r="N4286" s="8" t="s">
        <v>272</v>
      </c>
      <c r="O4286" s="7"/>
      <c r="P4286" s="2" t="s">
        <v>8170</v>
      </c>
      <c r="Q4286" s="7"/>
      <c r="R4286" s="1"/>
      <c r="S4286" s="1" t="str">
        <f>"J-UN-2022-855"</f>
        <v>J-UN-2022-855</v>
      </c>
      <c r="T4286" s="1" t="s">
        <v>32</v>
      </c>
    </row>
    <row r="4287" spans="1:20" ht="51" x14ac:dyDescent="0.25">
      <c r="A4287" s="6">
        <v>4281</v>
      </c>
      <c r="B4287" s="1" t="str">
        <f>"2022-222"</f>
        <v>2022-222</v>
      </c>
      <c r="C4287" s="1" t="s">
        <v>2841</v>
      </c>
      <c r="D4287" s="1" t="s">
        <v>2842</v>
      </c>
      <c r="E4287" s="1" t="str">
        <f>""</f>
        <v/>
      </c>
      <c r="F4287" s="1" t="s">
        <v>1860</v>
      </c>
      <c r="G4287" s="1" t="str">
        <f>CONCATENATE(" BERST D.O.O.,"," ZLATKA ŠULENTIĆA 8,"," 10000 ZAGREB,"," OIB: 49285823308")</f>
        <v xml:space="preserve"> BERST D.O.O., ZLATKA ŠULENTIĆA 8, 10000 ZAGREB, OIB: 49285823308</v>
      </c>
      <c r="H4287" s="7"/>
      <c r="I4287" s="8" t="s">
        <v>898</v>
      </c>
      <c r="J4287" s="8" t="s">
        <v>2526</v>
      </c>
      <c r="K4287" s="6" t="str">
        <f>"8.400,00"</f>
        <v>8.400,00</v>
      </c>
      <c r="L4287" s="6" t="str">
        <f>"2.100,00"</f>
        <v>2.100,00</v>
      </c>
      <c r="M4287" s="6" t="str">
        <f>"10.500,00"</f>
        <v>10.500,00</v>
      </c>
      <c r="N4287" s="8" t="s">
        <v>57</v>
      </c>
      <c r="O4287" s="7"/>
      <c r="P4287" s="2" t="s">
        <v>7674</v>
      </c>
      <c r="Q4287" s="7"/>
      <c r="R4287" s="1"/>
      <c r="S4287" s="1" t="str">
        <f>"J-UN-2022-856"</f>
        <v>J-UN-2022-856</v>
      </c>
      <c r="T4287" s="1" t="s">
        <v>32</v>
      </c>
    </row>
    <row r="4288" spans="1:20" ht="63.75" x14ac:dyDescent="0.25">
      <c r="A4288" s="6">
        <v>4282</v>
      </c>
      <c r="B4288" s="1" t="str">
        <f>"2022-712"</f>
        <v>2022-712</v>
      </c>
      <c r="C4288" s="1" t="s">
        <v>2828</v>
      </c>
      <c r="D4288" s="1" t="s">
        <v>914</v>
      </c>
      <c r="E4288" s="1" t="str">
        <f>""</f>
        <v/>
      </c>
      <c r="F4288" s="1" t="s">
        <v>1860</v>
      </c>
      <c r="G4288" s="1" t="str">
        <f>CONCATENATE(" TOKIĆ D.O.O.,"," ULICA 144. BRIGADE HRVATSKE VOJSKE 1A,"," 10360 SESVETE,"," OIB: 7486748762")</f>
        <v xml:space="preserve"> TOKIĆ D.O.O., ULICA 144. BRIGADE HRVATSKE VOJSKE 1A, 10360 SESVETE, OIB: 7486748762</v>
      </c>
      <c r="H4288" s="7"/>
      <c r="I4288" s="8" t="s">
        <v>350</v>
      </c>
      <c r="J4288" s="8" t="s">
        <v>2209</v>
      </c>
      <c r="K4288" s="6" t="str">
        <f>"364,00"</f>
        <v>364,00</v>
      </c>
      <c r="L4288" s="6" t="str">
        <f>"91,00"</f>
        <v>91,00</v>
      </c>
      <c r="M4288" s="6" t="str">
        <f>"455,00"</f>
        <v>455,00</v>
      </c>
      <c r="N4288" s="8" t="s">
        <v>877</v>
      </c>
      <c r="O4288" s="7"/>
      <c r="P4288" s="2" t="s">
        <v>8171</v>
      </c>
      <c r="Q4288" s="7"/>
      <c r="R4288" s="1"/>
      <c r="S4288" s="1" t="str">
        <f>"J-UN-2022-858"</f>
        <v>J-UN-2022-858</v>
      </c>
      <c r="T4288" s="1" t="s">
        <v>32</v>
      </c>
    </row>
    <row r="4289" spans="1:20" ht="63.75" x14ac:dyDescent="0.25">
      <c r="A4289" s="6">
        <v>4283</v>
      </c>
      <c r="B4289" s="1" t="str">
        <f>"2022-427"</f>
        <v>2022-427</v>
      </c>
      <c r="C4289" s="1" t="s">
        <v>3082</v>
      </c>
      <c r="D4289" s="1" t="s">
        <v>2577</v>
      </c>
      <c r="E4289" s="1" t="str">
        <f>""</f>
        <v/>
      </c>
      <c r="F4289" s="1" t="s">
        <v>1860</v>
      </c>
      <c r="G4289" s="1" t="str">
        <f>CONCATENATE(" GRA-PO D.O.O.,"," GOSPODARSKA 5B,"," 10255 ZAGREB - STUPNIK,"," OIB: 05364995085")</f>
        <v xml:space="preserve"> GRA-PO D.O.O., GOSPODARSKA 5B, 10255 ZAGREB - STUPNIK, OIB: 05364995085</v>
      </c>
      <c r="H4289" s="7"/>
      <c r="I4289" s="8" t="s">
        <v>224</v>
      </c>
      <c r="J4289" s="8" t="s">
        <v>3132</v>
      </c>
      <c r="K4289" s="6" t="str">
        <f>"29.055,00"</f>
        <v>29.055,00</v>
      </c>
      <c r="L4289" s="6" t="str">
        <f>"7.263,75"</f>
        <v>7.263,75</v>
      </c>
      <c r="M4289" s="6" t="str">
        <f>"36.318,75"</f>
        <v>36.318,75</v>
      </c>
      <c r="N4289" s="8" t="s">
        <v>1073</v>
      </c>
      <c r="O4289" s="7"/>
      <c r="P4289" s="2" t="s">
        <v>8172</v>
      </c>
      <c r="Q4289" s="7"/>
      <c r="R4289" s="1"/>
      <c r="S4289" s="1" t="str">
        <f>"J-UN-2022-859"</f>
        <v>J-UN-2022-859</v>
      </c>
      <c r="T4289" s="1" t="s">
        <v>32</v>
      </c>
    </row>
    <row r="4290" spans="1:20" ht="63.75" x14ac:dyDescent="0.25">
      <c r="A4290" s="6">
        <v>4284</v>
      </c>
      <c r="B4290" s="1" t="str">
        <f>"2022-1847"</f>
        <v>2022-1847</v>
      </c>
      <c r="C4290" s="1" t="s">
        <v>3140</v>
      </c>
      <c r="D4290" s="1" t="s">
        <v>1619</v>
      </c>
      <c r="E4290" s="1" t="str">
        <f>""</f>
        <v/>
      </c>
      <c r="F4290" s="1" t="s">
        <v>1860</v>
      </c>
      <c r="G4290" s="1" t="str">
        <f>CONCATENATE(" GRA-PO D.O.O.,"," GOSPODARSKA 5B,"," 10255 ZAGREB - STUPNIK,"," OIB: 05364995085")</f>
        <v xml:space="preserve"> GRA-PO D.O.O., GOSPODARSKA 5B, 10255 ZAGREB - STUPNIK, OIB: 05364995085</v>
      </c>
      <c r="H4290" s="7"/>
      <c r="I4290" s="8" t="s">
        <v>224</v>
      </c>
      <c r="J4290" s="8" t="s">
        <v>3132</v>
      </c>
      <c r="K4290" s="6" t="str">
        <f>"43.580,00"</f>
        <v>43.580,00</v>
      </c>
      <c r="L4290" s="6" t="str">
        <f>"10.895,00"</f>
        <v>10.895,00</v>
      </c>
      <c r="M4290" s="6" t="str">
        <f>"54.475,00"</f>
        <v>54.475,00</v>
      </c>
      <c r="N4290" s="8" t="s">
        <v>1073</v>
      </c>
      <c r="O4290" s="7"/>
      <c r="P4290" s="2" t="s">
        <v>8173</v>
      </c>
      <c r="Q4290" s="7"/>
      <c r="R4290" s="1"/>
      <c r="S4290" s="1" t="str">
        <f>"J-UN-2022-860"</f>
        <v>J-UN-2022-860</v>
      </c>
      <c r="T4290" s="1" t="s">
        <v>32</v>
      </c>
    </row>
    <row r="4291" spans="1:20" ht="63.75" x14ac:dyDescent="0.25">
      <c r="A4291" s="6">
        <v>4285</v>
      </c>
      <c r="B4291" s="1" t="str">
        <f>"2022-1815"</f>
        <v>2022-1815</v>
      </c>
      <c r="C4291" s="1" t="s">
        <v>3141</v>
      </c>
      <c r="D4291" s="1" t="s">
        <v>854</v>
      </c>
      <c r="E4291" s="1" t="str">
        <f>""</f>
        <v/>
      </c>
      <c r="F4291" s="1" t="s">
        <v>1860</v>
      </c>
      <c r="G4291" s="1" t="str">
        <f>CONCATENATE(" NARODNE NOVINE D.D.,"," SAVSKI GAJ XIII. PUT br. 6,"," 10000 ZAGREB,"," OIB: 64546066176")</f>
        <v xml:space="preserve"> NARODNE NOVINE D.D., SAVSKI GAJ XIII. PUT br. 6, 10000 ZAGREB, OIB: 64546066176</v>
      </c>
      <c r="H4291" s="7"/>
      <c r="I4291" s="8" t="s">
        <v>424</v>
      </c>
      <c r="J4291" s="8" t="s">
        <v>3139</v>
      </c>
      <c r="K4291" s="6" t="str">
        <f>"1.400,00"</f>
        <v>1.400,00</v>
      </c>
      <c r="L4291" s="6" t="str">
        <f>"350,00"</f>
        <v>350,00</v>
      </c>
      <c r="M4291" s="6" t="str">
        <f>"1.750,00"</f>
        <v>1.750,00</v>
      </c>
      <c r="N4291" s="8" t="s">
        <v>124</v>
      </c>
      <c r="O4291" s="7"/>
      <c r="P4291" s="2" t="s">
        <v>5614</v>
      </c>
      <c r="Q4291" s="7"/>
      <c r="R4291" s="1"/>
      <c r="S4291" s="1" t="str">
        <f>"J-UN-2022-861"</f>
        <v>J-UN-2022-861</v>
      </c>
      <c r="T4291" s="1" t="s">
        <v>32</v>
      </c>
    </row>
    <row r="4292" spans="1:20" ht="51" x14ac:dyDescent="0.25">
      <c r="A4292" s="6">
        <v>4286</v>
      </c>
      <c r="B4292" s="1" t="str">
        <f>"2022-93"</f>
        <v>2022-93</v>
      </c>
      <c r="C4292" s="1" t="s">
        <v>2711</v>
      </c>
      <c r="D4292" s="1" t="s">
        <v>1914</v>
      </c>
      <c r="E4292" s="1" t="str">
        <f>""</f>
        <v/>
      </c>
      <c r="F4292" s="1" t="s">
        <v>1860</v>
      </c>
      <c r="G4292" s="1" t="str">
        <f>CONCATENATE(" ELEKTRO MERKUR D.O.O.,"," OSJEČKA 41/A,"," 51000 RIJEKA,"," OIB: 68062120488")</f>
        <v xml:space="preserve"> ELEKTRO MERKUR D.O.O., OSJEČKA 41/A, 51000 RIJEKA, OIB: 68062120488</v>
      </c>
      <c r="H4292" s="7"/>
      <c r="I4292" s="8" t="s">
        <v>224</v>
      </c>
      <c r="J4292" s="8" t="s">
        <v>3132</v>
      </c>
      <c r="K4292" s="6" t="str">
        <f>"10.399,83"</f>
        <v>10.399,83</v>
      </c>
      <c r="L4292" s="6" t="str">
        <f>"2.599,96"</f>
        <v>2.599,96</v>
      </c>
      <c r="M4292" s="6" t="str">
        <f>"12.999,79"</f>
        <v>12.999,79</v>
      </c>
      <c r="N4292" s="8" t="s">
        <v>57</v>
      </c>
      <c r="O4292" s="7"/>
      <c r="P4292" s="2" t="s">
        <v>8174</v>
      </c>
      <c r="Q4292" s="7"/>
      <c r="R4292" s="1"/>
      <c r="S4292" s="1" t="str">
        <f>"J-UN-2022-862"</f>
        <v>J-UN-2022-862</v>
      </c>
      <c r="T4292" s="1" t="s">
        <v>32</v>
      </c>
    </row>
    <row r="4293" spans="1:20" ht="51" x14ac:dyDescent="0.25">
      <c r="A4293" s="6">
        <v>4287</v>
      </c>
      <c r="B4293" s="1" t="str">
        <f>"2022-92"</f>
        <v>2022-92</v>
      </c>
      <c r="C4293" s="1" t="s">
        <v>3114</v>
      </c>
      <c r="D4293" s="1" t="s">
        <v>1438</v>
      </c>
      <c r="E4293" s="1" t="str">
        <f>""</f>
        <v/>
      </c>
      <c r="F4293" s="1" t="s">
        <v>1860</v>
      </c>
      <c r="G4293" s="1" t="str">
        <f>CONCATENATE(" TEŽAK D.O.O.,"," BRUTIJA 16,"," 52470 UMAG (UMAGO),"," OIB: 733523924")</f>
        <v xml:space="preserve"> TEŽAK D.O.O., BRUTIJA 16, 52470 UMAG (UMAGO), OIB: 733523924</v>
      </c>
      <c r="H4293" s="7"/>
      <c r="I4293" s="8" t="s">
        <v>521</v>
      </c>
      <c r="J4293" s="8" t="s">
        <v>1917</v>
      </c>
      <c r="K4293" s="6" t="str">
        <f>"47.000,00"</f>
        <v>47.000,00</v>
      </c>
      <c r="L4293" s="6" t="str">
        <f>"11.750,00"</f>
        <v>11.750,00</v>
      </c>
      <c r="M4293" s="6" t="str">
        <f>"58.750,00"</f>
        <v>58.750,00</v>
      </c>
      <c r="N4293" s="8" t="s">
        <v>160</v>
      </c>
      <c r="O4293" s="7"/>
      <c r="P4293" s="2" t="s">
        <v>7196</v>
      </c>
      <c r="Q4293" s="7"/>
      <c r="R4293" s="1"/>
      <c r="S4293" s="1" t="str">
        <f>"J-UN-2022-863"</f>
        <v>J-UN-2022-863</v>
      </c>
      <c r="T4293" s="1" t="s">
        <v>32</v>
      </c>
    </row>
    <row r="4294" spans="1:20" ht="51" x14ac:dyDescent="0.25">
      <c r="A4294" s="6">
        <v>4288</v>
      </c>
      <c r="B4294" s="1" t="str">
        <f>"2022-1451"</f>
        <v>2022-1451</v>
      </c>
      <c r="C4294" s="1" t="s">
        <v>3048</v>
      </c>
      <c r="D4294" s="1" t="s">
        <v>2241</v>
      </c>
      <c r="E4294" s="1" t="str">
        <f>""</f>
        <v/>
      </c>
      <c r="F4294" s="1" t="s">
        <v>1860</v>
      </c>
      <c r="G4294" s="1" t="str">
        <f>CONCATENATE(" VIATOR D.O.O.,"," KRALJA DRŽISLAVA 6,"," 21000 SPLIT,"," OIB: 6473171712")</f>
        <v xml:space="preserve"> VIATOR D.O.O., KRALJA DRŽISLAVA 6, 21000 SPLIT, OIB: 6473171712</v>
      </c>
      <c r="H4294" s="7"/>
      <c r="I4294" s="8" t="s">
        <v>635</v>
      </c>
      <c r="J4294" s="8" t="s">
        <v>2385</v>
      </c>
      <c r="K4294" s="6" t="str">
        <f>"8.800,00"</f>
        <v>8.800,00</v>
      </c>
      <c r="L4294" s="6" t="str">
        <f>"2.200,00"</f>
        <v>2.200,00</v>
      </c>
      <c r="M4294" s="6" t="str">
        <f>"11.000,00"</f>
        <v>11.000,00</v>
      </c>
      <c r="N4294" s="8" t="s">
        <v>898</v>
      </c>
      <c r="O4294" s="7"/>
      <c r="P4294" s="2" t="s">
        <v>8175</v>
      </c>
      <c r="Q4294" s="1" t="s">
        <v>1017</v>
      </c>
      <c r="R4294" s="1"/>
      <c r="S4294" s="1" t="str">
        <f>"J-UN-2022-865"</f>
        <v>J-UN-2022-865</v>
      </c>
      <c r="T4294" s="1" t="s">
        <v>32</v>
      </c>
    </row>
    <row r="4295" spans="1:20" ht="51" x14ac:dyDescent="0.25">
      <c r="A4295" s="6">
        <v>4289</v>
      </c>
      <c r="B4295" s="1" t="str">
        <f>"2022-1868"</f>
        <v>2022-1868</v>
      </c>
      <c r="C4295" s="1" t="s">
        <v>2532</v>
      </c>
      <c r="D4295" s="1" t="s">
        <v>2241</v>
      </c>
      <c r="E4295" s="1" t="str">
        <f>""</f>
        <v/>
      </c>
      <c r="F4295" s="1" t="s">
        <v>1860</v>
      </c>
      <c r="G4295" s="1" t="str">
        <f>CONCATENATE(" VIATOR D.O.O.,"," KRALJA DRŽISLAVA 6,"," 21000 SPLIT,"," OIB: 6473171712")</f>
        <v xml:space="preserve"> VIATOR D.O.O., KRALJA DRŽISLAVA 6, 21000 SPLIT, OIB: 6473171712</v>
      </c>
      <c r="H4295" s="7"/>
      <c r="I4295" s="8" t="s">
        <v>350</v>
      </c>
      <c r="J4295" s="8" t="s">
        <v>2209</v>
      </c>
      <c r="K4295" s="6" t="str">
        <f>"63.000,00"</f>
        <v>63.000,00</v>
      </c>
      <c r="L4295" s="6" t="str">
        <f>"15.750,00"</f>
        <v>15.750,00</v>
      </c>
      <c r="M4295" s="6" t="str">
        <f>"78.750,00"</f>
        <v>78.750,00</v>
      </c>
      <c r="N4295" s="8" t="s">
        <v>124</v>
      </c>
      <c r="O4295" s="7"/>
      <c r="P4295" s="2" t="s">
        <v>8176</v>
      </c>
      <c r="Q4295" s="7"/>
      <c r="R4295" s="1"/>
      <c r="S4295" s="1" t="str">
        <f>"J-UN-2022-866"</f>
        <v>J-UN-2022-866</v>
      </c>
      <c r="T4295" s="1" t="s">
        <v>32</v>
      </c>
    </row>
    <row r="4296" spans="1:20" ht="63.75" x14ac:dyDescent="0.25">
      <c r="A4296" s="6">
        <v>4290</v>
      </c>
      <c r="B4296" s="1" t="str">
        <f>"2022-852"</f>
        <v>2022-852</v>
      </c>
      <c r="C4296" s="1" t="s">
        <v>2469</v>
      </c>
      <c r="D4296" s="1" t="s">
        <v>2287</v>
      </c>
      <c r="E4296" s="1" t="str">
        <f>""</f>
        <v/>
      </c>
      <c r="F4296" s="1" t="s">
        <v>1860</v>
      </c>
      <c r="G4296" s="1" t="str">
        <f>CONCATENATE(" INFO-KOD d.o.o.,"," DINARSKI PUT 1B,"," 10090 ZAGREB-SUSEDGRAD,"," OIB: 87565323632")</f>
        <v xml:space="preserve"> INFO-KOD d.o.o., DINARSKI PUT 1B, 10090 ZAGREB-SUSEDGRAD, OIB: 87565323632</v>
      </c>
      <c r="H4296" s="7"/>
      <c r="I4296" s="8" t="s">
        <v>350</v>
      </c>
      <c r="J4296" s="8" t="s">
        <v>2209</v>
      </c>
      <c r="K4296" s="6" t="str">
        <f>"1.718,00"</f>
        <v>1.718,00</v>
      </c>
      <c r="L4296" s="6" t="str">
        <f>"429,50"</f>
        <v>429,50</v>
      </c>
      <c r="M4296" s="6" t="str">
        <f>"2.147,50"</f>
        <v>2.147,50</v>
      </c>
      <c r="N4296" s="8" t="s">
        <v>424</v>
      </c>
      <c r="O4296" s="7"/>
      <c r="P4296" s="2" t="s">
        <v>8177</v>
      </c>
      <c r="Q4296" s="7"/>
      <c r="R4296" s="1"/>
      <c r="S4296" s="1" t="str">
        <f>"J-UN-2022-867"</f>
        <v>J-UN-2022-867</v>
      </c>
      <c r="T4296" s="1" t="s">
        <v>43</v>
      </c>
    </row>
    <row r="4297" spans="1:20" ht="89.25" x14ac:dyDescent="0.25">
      <c r="A4297" s="6">
        <v>4291</v>
      </c>
      <c r="B4297" s="1" t="str">
        <f>"2022-1880"</f>
        <v>2022-1880</v>
      </c>
      <c r="C4297" s="1" t="s">
        <v>3142</v>
      </c>
      <c r="D4297" s="1" t="s">
        <v>3143</v>
      </c>
      <c r="E4297" s="1" t="str">
        <f>""</f>
        <v/>
      </c>
      <c r="F4297" s="1" t="s">
        <v>1860</v>
      </c>
      <c r="G4297" s="1" t="str">
        <f>CONCATENATE(" PODRUČNA VATROGASNA ZAJEDNICA UMAG,"," ZEMLJORADNIČKA 10,"," 52470 UMAG (UMAGO),"," OIB: 16219814274")</f>
        <v xml:space="preserve"> PODRUČNA VATROGASNA ZAJEDNICA UMAG, ZEMLJORADNIČKA 10, 52470 UMAG (UMAGO), OIB: 16219814274</v>
      </c>
      <c r="H4297" s="7"/>
      <c r="I4297" s="8" t="s">
        <v>635</v>
      </c>
      <c r="J4297" s="8" t="s">
        <v>2385</v>
      </c>
      <c r="K4297" s="6" t="str">
        <f>"198.007,20"</f>
        <v>198.007,20</v>
      </c>
      <c r="L4297" s="6" t="str">
        <f>"49.501,80"</f>
        <v>49.501,80</v>
      </c>
      <c r="M4297" s="6" t="str">
        <f>"247.509,00"</f>
        <v>247.509,00</v>
      </c>
      <c r="N4297" s="8" t="s">
        <v>124</v>
      </c>
      <c r="O4297" s="7"/>
      <c r="P4297" s="2" t="s">
        <v>8178</v>
      </c>
      <c r="Q4297" s="7"/>
      <c r="R4297" s="1"/>
      <c r="S4297" s="1" t="str">
        <f>"J-UN-2022-868"</f>
        <v>J-UN-2022-868</v>
      </c>
      <c r="T4297" s="1" t="s">
        <v>32</v>
      </c>
    </row>
    <row r="4298" spans="1:20" ht="51" x14ac:dyDescent="0.25">
      <c r="A4298" s="6">
        <v>4292</v>
      </c>
      <c r="B4298" s="1" t="str">
        <f>"2022-505"</f>
        <v>2022-505</v>
      </c>
      <c r="C4298" s="1" t="s">
        <v>2694</v>
      </c>
      <c r="D4298" s="1" t="s">
        <v>1888</v>
      </c>
      <c r="E4298" s="1" t="str">
        <f>""</f>
        <v/>
      </c>
      <c r="F4298" s="1" t="s">
        <v>1860</v>
      </c>
      <c r="G4298" s="1" t="str">
        <f>CONCATENATE(" ELEKTRO PAVIKO D.O.O.,"," BAŠTIJANOVA 1A,"," 10000 ZAGREB,"," OIB: 49100698114")</f>
        <v xml:space="preserve"> ELEKTRO PAVIKO D.O.O., BAŠTIJANOVA 1A, 10000 ZAGREB, OIB: 49100698114</v>
      </c>
      <c r="H4298" s="7"/>
      <c r="I4298" s="8" t="s">
        <v>487</v>
      </c>
      <c r="J4298" s="8" t="s">
        <v>2178</v>
      </c>
      <c r="K4298" s="6" t="str">
        <f>"4.734,00"</f>
        <v>4.734,00</v>
      </c>
      <c r="L4298" s="6" t="str">
        <f>"1.183,50"</f>
        <v>1.183,50</v>
      </c>
      <c r="M4298" s="6" t="str">
        <f>"5.917,50"</f>
        <v>5.917,50</v>
      </c>
      <c r="N4298" s="8" t="s">
        <v>192</v>
      </c>
      <c r="O4298" s="7"/>
      <c r="P4298" s="2" t="s">
        <v>8179</v>
      </c>
      <c r="Q4298" s="7"/>
      <c r="R4298" s="1"/>
      <c r="S4298" s="1" t="str">
        <f>"J-UN-2022-889"</f>
        <v>J-UN-2022-889</v>
      </c>
      <c r="T4298" s="1" t="s">
        <v>32</v>
      </c>
    </row>
    <row r="4299" spans="1:20" ht="51" x14ac:dyDescent="0.25">
      <c r="A4299" s="6">
        <v>4293</v>
      </c>
      <c r="B4299" s="1" t="str">
        <f>"2022-272"</f>
        <v>2022-272</v>
      </c>
      <c r="C4299" s="1" t="s">
        <v>3084</v>
      </c>
      <c r="D4299" s="1" t="s">
        <v>1808</v>
      </c>
      <c r="E4299" s="1" t="str">
        <f>""</f>
        <v/>
      </c>
      <c r="F4299" s="1" t="s">
        <v>1860</v>
      </c>
      <c r="G4299" s="1" t="str">
        <f>CONCATENATE(" VODOSKOK D.D.,"," ČULINEČKA CESTA 221/C,"," 10040 ZAGREB,"," OIB: 34134218058")</f>
        <v xml:space="preserve"> VODOSKOK D.D., ČULINEČKA CESTA 221/C, 10040 ZAGREB, OIB: 34134218058</v>
      </c>
      <c r="H4299" s="7"/>
      <c r="I4299" s="8" t="s">
        <v>898</v>
      </c>
      <c r="J4299" s="8" t="s">
        <v>2526</v>
      </c>
      <c r="K4299" s="6" t="str">
        <f>"18.264,00"</f>
        <v>18.264,00</v>
      </c>
      <c r="L4299" s="6" t="str">
        <f>"4.566,00"</f>
        <v>4.566,00</v>
      </c>
      <c r="M4299" s="6" t="str">
        <f>"22.830,00"</f>
        <v>22.830,00</v>
      </c>
      <c r="N4299" s="8" t="s">
        <v>124</v>
      </c>
      <c r="O4299" s="7"/>
      <c r="P4299" s="2" t="s">
        <v>5614</v>
      </c>
      <c r="Q4299" s="7"/>
      <c r="R4299" s="1"/>
      <c r="S4299" s="1" t="str">
        <f>"J-UN-2022-892"</f>
        <v>J-UN-2022-892</v>
      </c>
      <c r="T4299" s="1" t="s">
        <v>32</v>
      </c>
    </row>
    <row r="4300" spans="1:20" ht="51" x14ac:dyDescent="0.25">
      <c r="A4300" s="6">
        <v>4294</v>
      </c>
      <c r="B4300" s="1" t="str">
        <f>"2022-391"</f>
        <v>2022-391</v>
      </c>
      <c r="C4300" s="1" t="s">
        <v>2516</v>
      </c>
      <c r="D4300" s="1" t="s">
        <v>537</v>
      </c>
      <c r="E4300" s="1" t="str">
        <f>""</f>
        <v/>
      </c>
      <c r="F4300" s="1" t="s">
        <v>1860</v>
      </c>
      <c r="G4300" s="1" t="str">
        <f>CONCATENATE(" BETON-LUČKO RBG D.O.O.,"," PUŠKARIĆEVA 1B,"," 10250 LUČKO,"," OIB: 3801245143")</f>
        <v xml:space="preserve"> BETON-LUČKO RBG D.O.O., PUŠKARIĆEVA 1B, 10250 LUČKO, OIB: 3801245143</v>
      </c>
      <c r="H4300" s="7"/>
      <c r="I4300" s="8" t="s">
        <v>898</v>
      </c>
      <c r="J4300" s="8" t="s">
        <v>2526</v>
      </c>
      <c r="K4300" s="6" t="str">
        <f>"45.000,00"</f>
        <v>45.000,00</v>
      </c>
      <c r="L4300" s="6" t="str">
        <f>"11.250,00"</f>
        <v>11.250,00</v>
      </c>
      <c r="M4300" s="6" t="str">
        <f>"56.250,00"</f>
        <v>56.250,00</v>
      </c>
      <c r="N4300" s="8" t="s">
        <v>124</v>
      </c>
      <c r="O4300" s="7"/>
      <c r="P4300" s="2" t="s">
        <v>5614</v>
      </c>
      <c r="Q4300" s="7"/>
      <c r="R4300" s="1"/>
      <c r="S4300" s="1" t="str">
        <f>"J-UN-2022-893"</f>
        <v>J-UN-2022-893</v>
      </c>
      <c r="T4300" s="1" t="s">
        <v>32</v>
      </c>
    </row>
    <row r="4301" spans="1:20" ht="63.75" x14ac:dyDescent="0.25">
      <c r="A4301" s="6">
        <v>4295</v>
      </c>
      <c r="B4301" s="1" t="str">
        <f>"2022-391"</f>
        <v>2022-391</v>
      </c>
      <c r="C4301" s="1" t="s">
        <v>2516</v>
      </c>
      <c r="D4301" s="1" t="s">
        <v>537</v>
      </c>
      <c r="E4301" s="1" t="str">
        <f>""</f>
        <v/>
      </c>
      <c r="F4301" s="1" t="s">
        <v>1860</v>
      </c>
      <c r="G4301" s="1" t="str">
        <f>CONCATENATE(" FUČKAN D.O.O.,"," BLAŽEVDOL,"," FUČKANI 5,"," 10380 SVETI IVAN ZELINA,"," OIB: 63851106916")</f>
        <v xml:space="preserve"> FUČKAN D.O.O., BLAŽEVDOL, FUČKANI 5, 10380 SVETI IVAN ZELINA, OIB: 63851106916</v>
      </c>
      <c r="H4301" s="7"/>
      <c r="I4301" s="8" t="s">
        <v>862</v>
      </c>
      <c r="J4301" s="8" t="s">
        <v>873</v>
      </c>
      <c r="K4301" s="6" t="str">
        <f>"34.693,60"</f>
        <v>34.693,60</v>
      </c>
      <c r="L4301" s="6" t="str">
        <f>"8.673,40"</f>
        <v>8.673,40</v>
      </c>
      <c r="M4301" s="6" t="str">
        <f>"43.367,00"</f>
        <v>43.367,00</v>
      </c>
      <c r="N4301" s="8" t="s">
        <v>522</v>
      </c>
      <c r="O4301" s="7"/>
      <c r="P4301" s="2" t="s">
        <v>8180</v>
      </c>
      <c r="Q4301" s="7"/>
      <c r="R4301" s="1"/>
      <c r="S4301" s="1" t="str">
        <f>"J-UN-2022-894"</f>
        <v>J-UN-2022-894</v>
      </c>
      <c r="T4301" s="1" t="s">
        <v>32</v>
      </c>
    </row>
    <row r="4302" spans="1:20" ht="63.75" x14ac:dyDescent="0.25">
      <c r="A4302" s="6">
        <v>4296</v>
      </c>
      <c r="B4302" s="1" t="str">
        <f>"2022-1305"</f>
        <v>2022-1305</v>
      </c>
      <c r="C4302" s="1" t="s">
        <v>3032</v>
      </c>
      <c r="D4302" s="1" t="s">
        <v>244</v>
      </c>
      <c r="E4302" s="1" t="str">
        <f>""</f>
        <v/>
      </c>
      <c r="F4302" s="1" t="s">
        <v>1860</v>
      </c>
      <c r="G4302" s="1" t="str">
        <f>CONCATENATE(" FOREMAN GROUP D.O.O.,"," ULICA GRADA VUKOVARA 20,"," 10000 ZAGREB,"," OIB: 04807307105")</f>
        <v xml:space="preserve"> FOREMAN GROUP D.O.O., ULICA GRADA VUKOVARA 20, 10000 ZAGREB, OIB: 04807307105</v>
      </c>
      <c r="H4302" s="7"/>
      <c r="I4302" s="8" t="s">
        <v>877</v>
      </c>
      <c r="J4302" s="8" t="s">
        <v>123</v>
      </c>
      <c r="K4302" s="6" t="str">
        <f>"68.501,39"</f>
        <v>68.501,39</v>
      </c>
      <c r="L4302" s="6" t="str">
        <f>"17.125,35"</f>
        <v>17.125,35</v>
      </c>
      <c r="M4302" s="6" t="str">
        <f>"85.626,74"</f>
        <v>85.626,74</v>
      </c>
      <c r="N4302" s="8" t="s">
        <v>124</v>
      </c>
      <c r="O4302" s="7"/>
      <c r="P4302" s="2" t="s">
        <v>8181</v>
      </c>
      <c r="Q4302" s="7"/>
      <c r="R4302" s="1"/>
      <c r="S4302" s="1" t="str">
        <f>"J-UN-2022-898"</f>
        <v>J-UN-2022-898</v>
      </c>
      <c r="T4302" s="1" t="s">
        <v>43</v>
      </c>
    </row>
    <row r="4303" spans="1:20" ht="51" x14ac:dyDescent="0.25">
      <c r="A4303" s="6">
        <v>4297</v>
      </c>
      <c r="B4303" s="1" t="str">
        <f>"2022-1042"</f>
        <v>2022-1042</v>
      </c>
      <c r="C4303" s="1" t="s">
        <v>2728</v>
      </c>
      <c r="D4303" s="1" t="s">
        <v>2729</v>
      </c>
      <c r="E4303" s="1" t="str">
        <f>""</f>
        <v/>
      </c>
      <c r="F4303" s="1" t="s">
        <v>1860</v>
      </c>
      <c r="G4303" s="1" t="str">
        <f>CONCATENATE(" SGS ADRIATICA D.O.O.,"," KARLOVAČKA CESTA 41,"," 10020 ZAGREB,"," OIB: 69359376226")</f>
        <v xml:space="preserve"> SGS ADRIATICA D.O.O., KARLOVAČKA CESTA 41, 10020 ZAGREB, OIB: 69359376226</v>
      </c>
      <c r="H4303" s="7"/>
      <c r="I4303" s="8" t="s">
        <v>487</v>
      </c>
      <c r="J4303" s="8" t="s">
        <v>2178</v>
      </c>
      <c r="K4303" s="6" t="str">
        <f>"15.980,00"</f>
        <v>15.980,00</v>
      </c>
      <c r="L4303" s="6" t="str">
        <f>"3.995,00"</f>
        <v>3.995,00</v>
      </c>
      <c r="M4303" s="6" t="str">
        <f>"19.975,00"</f>
        <v>19.975,00</v>
      </c>
      <c r="N4303" s="8" t="s">
        <v>102</v>
      </c>
      <c r="O4303" s="7"/>
      <c r="P4303" s="2" t="s">
        <v>8182</v>
      </c>
      <c r="Q4303" s="7"/>
      <c r="R4303" s="1"/>
      <c r="S4303" s="1" t="str">
        <f>"J-UN-2022-900"</f>
        <v>J-UN-2022-900</v>
      </c>
      <c r="T4303" s="1" t="s">
        <v>43</v>
      </c>
    </row>
    <row r="4304" spans="1:20" ht="51" x14ac:dyDescent="0.25">
      <c r="A4304" s="6">
        <v>4298</v>
      </c>
      <c r="B4304" s="1" t="str">
        <f>"2022-1834"</f>
        <v>2022-1834</v>
      </c>
      <c r="C4304" s="1" t="s">
        <v>3144</v>
      </c>
      <c r="D4304" s="1" t="s">
        <v>2107</v>
      </c>
      <c r="E4304" s="1" t="str">
        <f>""</f>
        <v/>
      </c>
      <c r="F4304" s="1" t="s">
        <v>1860</v>
      </c>
      <c r="G4304" s="1" t="str">
        <f>CONCATENATE(" ETS FARAGO D.O.O.,"," KORNATSKA 1/F,"," 10000 ZAGREB,"," OIB: 7742119408")</f>
        <v xml:space="preserve"> ETS FARAGO D.O.O., KORNATSKA 1/F, 10000 ZAGREB, OIB: 7742119408</v>
      </c>
      <c r="H4304" s="7"/>
      <c r="I4304" s="8" t="s">
        <v>57</v>
      </c>
      <c r="J4304" s="8" t="s">
        <v>417</v>
      </c>
      <c r="K4304" s="6" t="str">
        <f>"19.010,00"</f>
        <v>19.010,00</v>
      </c>
      <c r="L4304" s="6" t="str">
        <f>"4.752,50"</f>
        <v>4.752,50</v>
      </c>
      <c r="M4304" s="6" t="str">
        <f>"23.762,50"</f>
        <v>23.762,50</v>
      </c>
      <c r="N4304" s="8" t="s">
        <v>1399</v>
      </c>
      <c r="O4304" s="7"/>
      <c r="P4304" s="2" t="s">
        <v>8183</v>
      </c>
      <c r="Q4304" s="7"/>
      <c r="R4304" s="1"/>
      <c r="S4304" s="1" t="str">
        <f>"J-UN-2022-901"</f>
        <v>J-UN-2022-901</v>
      </c>
      <c r="T4304" s="1" t="s">
        <v>32</v>
      </c>
    </row>
    <row r="4305" spans="1:20" ht="51" x14ac:dyDescent="0.25">
      <c r="A4305" s="6">
        <v>4299</v>
      </c>
      <c r="B4305" s="1" t="str">
        <f>"2022-852"</f>
        <v>2022-852</v>
      </c>
      <c r="C4305" s="1" t="s">
        <v>2469</v>
      </c>
      <c r="D4305" s="1" t="s">
        <v>2287</v>
      </c>
      <c r="E4305" s="1" t="str">
        <f>""</f>
        <v/>
      </c>
      <c r="F4305" s="1" t="s">
        <v>1860</v>
      </c>
      <c r="G4305" s="1" t="str">
        <f>CONCATENATE(" PROTEKTA D.O.O.,"," IVANA ŠIBLA 9,"," 10000 ZAGREB,"," OIB: 25210761537")</f>
        <v xml:space="preserve"> PROTEKTA D.O.O., IVANA ŠIBLA 9, 10000 ZAGREB, OIB: 25210761537</v>
      </c>
      <c r="H4305" s="7"/>
      <c r="I4305" s="8" t="s">
        <v>521</v>
      </c>
      <c r="J4305" s="8" t="s">
        <v>1917</v>
      </c>
      <c r="K4305" s="6" t="str">
        <f>"20.000,00"</f>
        <v>20.000,00</v>
      </c>
      <c r="L4305" s="6" t="str">
        <f>"5.000,00"</f>
        <v>5.000,00</v>
      </c>
      <c r="M4305" s="6" t="str">
        <f>"25.000,00"</f>
        <v>25.000,00</v>
      </c>
      <c r="N4305" s="8" t="s">
        <v>525</v>
      </c>
      <c r="O4305" s="7"/>
      <c r="P4305" s="2" t="s">
        <v>6468</v>
      </c>
      <c r="Q4305" s="7"/>
      <c r="R4305" s="1"/>
      <c r="S4305" s="1" t="str">
        <f>"J-UN-2022-904"</f>
        <v>J-UN-2022-904</v>
      </c>
      <c r="T4305" s="1" t="s">
        <v>32</v>
      </c>
    </row>
    <row r="4306" spans="1:20" ht="63.75" x14ac:dyDescent="0.25">
      <c r="A4306" s="6">
        <v>4300</v>
      </c>
      <c r="B4306" s="1" t="str">
        <f>"2022-925"</f>
        <v>2022-925</v>
      </c>
      <c r="C4306" s="1" t="s">
        <v>2889</v>
      </c>
      <c r="D4306" s="1" t="s">
        <v>1007</v>
      </c>
      <c r="E4306" s="1" t="str">
        <f>""</f>
        <v/>
      </c>
      <c r="F4306" s="1" t="s">
        <v>1860</v>
      </c>
      <c r="G4306" s="1" t="str">
        <f>CONCATENATE(" TELE-SAT D.O.O.,"," BARŠIĆI 14,"," 10040 ZAGREB,"," OIB: 9373792428")</f>
        <v xml:space="preserve"> TELE-SAT D.O.O., BARŠIĆI 14, 10040 ZAGREB, OIB: 9373792428</v>
      </c>
      <c r="H4306" s="7"/>
      <c r="I4306" s="8" t="s">
        <v>521</v>
      </c>
      <c r="J4306" s="8" t="s">
        <v>1917</v>
      </c>
      <c r="K4306" s="6" t="str">
        <f>"30.700,00"</f>
        <v>30.700,00</v>
      </c>
      <c r="L4306" s="6" t="str">
        <f>"7.675,00"</f>
        <v>7.675,00</v>
      </c>
      <c r="M4306" s="6" t="str">
        <f>"38.375,00"</f>
        <v>38.375,00</v>
      </c>
      <c r="N4306" s="8" t="s">
        <v>124</v>
      </c>
      <c r="O4306" s="7"/>
      <c r="P4306" s="2" t="s">
        <v>5614</v>
      </c>
      <c r="Q4306" s="7"/>
      <c r="R4306" s="1"/>
      <c r="S4306" s="1" t="str">
        <f>"J-UN-2022-905"</f>
        <v>J-UN-2022-905</v>
      </c>
      <c r="T4306" s="1" t="s">
        <v>32</v>
      </c>
    </row>
    <row r="4307" spans="1:20" ht="51" x14ac:dyDescent="0.25">
      <c r="A4307" s="6">
        <v>4301</v>
      </c>
      <c r="B4307" s="1" t="str">
        <f>"2022-1847"</f>
        <v>2022-1847</v>
      </c>
      <c r="C4307" s="1" t="s">
        <v>3140</v>
      </c>
      <c r="D4307" s="1" t="s">
        <v>1619</v>
      </c>
      <c r="E4307" s="1" t="str">
        <f>""</f>
        <v/>
      </c>
      <c r="F4307" s="1" t="s">
        <v>1860</v>
      </c>
      <c r="G4307" s="1" t="str">
        <f>CONCATENATE(" VITIS D.O.O.,"," KUSTOŠIJSKI VENEC 48,"," 10090 ZAGREB,"," OIB: 96887244333")</f>
        <v xml:space="preserve"> VITIS D.O.O., KUSTOŠIJSKI VENEC 48, 10090 ZAGREB, OIB: 96887244333</v>
      </c>
      <c r="H4307" s="7"/>
      <c r="I4307" s="8" t="s">
        <v>57</v>
      </c>
      <c r="J4307" s="8" t="s">
        <v>417</v>
      </c>
      <c r="K4307" s="6" t="str">
        <f>"145.025,75"</f>
        <v>145.025,75</v>
      </c>
      <c r="L4307" s="6" t="str">
        <f>"36.256,44"</f>
        <v>36.256,44</v>
      </c>
      <c r="M4307" s="6" t="str">
        <f>"181.282,19"</f>
        <v>181.282,19</v>
      </c>
      <c r="N4307" s="8" t="s">
        <v>278</v>
      </c>
      <c r="O4307" s="7"/>
      <c r="P4307" s="2" t="s">
        <v>8184</v>
      </c>
      <c r="Q4307" s="7"/>
      <c r="R4307" s="1"/>
      <c r="S4307" s="1" t="str">
        <f>"J-UN-2022-906"</f>
        <v>J-UN-2022-906</v>
      </c>
      <c r="T4307" s="1" t="s">
        <v>32</v>
      </c>
    </row>
    <row r="4308" spans="1:20" ht="51" x14ac:dyDescent="0.25">
      <c r="A4308" s="6">
        <v>4302</v>
      </c>
      <c r="B4308" s="1" t="str">
        <f>"2022-1031"</f>
        <v>2022-1031</v>
      </c>
      <c r="C4308" s="1" t="s">
        <v>2412</v>
      </c>
      <c r="D4308" s="1" t="s">
        <v>2413</v>
      </c>
      <c r="E4308" s="1" t="str">
        <f>""</f>
        <v/>
      </c>
      <c r="F4308" s="1" t="s">
        <v>1860</v>
      </c>
      <c r="G4308" s="1" t="str">
        <f>CONCATENATE(" FINA,"," ULICA GRADA VUKOVARA 70,"," 10000 ZAGREB,"," OIB: 85821130368")</f>
        <v xml:space="preserve"> FINA, ULICA GRADA VUKOVARA 70, 10000 ZAGREB, OIB: 85821130368</v>
      </c>
      <c r="H4308" s="7"/>
      <c r="I4308" s="8" t="s">
        <v>57</v>
      </c>
      <c r="J4308" s="8" t="s">
        <v>417</v>
      </c>
      <c r="K4308" s="6" t="str">
        <f>"8.800,00"</f>
        <v>8.800,00</v>
      </c>
      <c r="L4308" s="6" t="str">
        <f>"2.200,00"</f>
        <v>2.200,00</v>
      </c>
      <c r="M4308" s="6" t="str">
        <f>"11.000,00"</f>
        <v>11.000,00</v>
      </c>
      <c r="N4308" s="8" t="s">
        <v>124</v>
      </c>
      <c r="O4308" s="7"/>
      <c r="P4308" s="2" t="s">
        <v>8185</v>
      </c>
      <c r="Q4308" s="7"/>
      <c r="R4308" s="1"/>
      <c r="S4308" s="1" t="str">
        <f>"J-UN-2022-907"</f>
        <v>J-UN-2022-907</v>
      </c>
      <c r="T4308" s="1" t="s">
        <v>32</v>
      </c>
    </row>
    <row r="4309" spans="1:20" ht="63.75" x14ac:dyDescent="0.25">
      <c r="A4309" s="6">
        <v>4303</v>
      </c>
      <c r="B4309" s="1" t="str">
        <f>"2022-925"</f>
        <v>2022-925</v>
      </c>
      <c r="C4309" s="1" t="s">
        <v>2889</v>
      </c>
      <c r="D4309" s="1" t="s">
        <v>1007</v>
      </c>
      <c r="E4309" s="1" t="str">
        <f>""</f>
        <v/>
      </c>
      <c r="F4309" s="1" t="s">
        <v>1860</v>
      </c>
      <c r="G4309" s="1" t="str">
        <f>CONCATENATE(" MIKLEC UPRAVLJANJE NEKRETNINAMA D.O.O.,"," SINBUK 23,"," 10000 ZAGREB,"," OIB: 40504688204")</f>
        <v xml:space="preserve"> MIKLEC UPRAVLJANJE NEKRETNINAMA D.O.O., SINBUK 23, 10000 ZAGREB, OIB: 40504688204</v>
      </c>
      <c r="H4309" s="7"/>
      <c r="I4309" s="8" t="s">
        <v>521</v>
      </c>
      <c r="J4309" s="8" t="s">
        <v>1917</v>
      </c>
      <c r="K4309" s="6" t="str">
        <f>"7.095,00"</f>
        <v>7.095,00</v>
      </c>
      <c r="L4309" s="6" t="str">
        <f>"1.773,75"</f>
        <v>1.773,75</v>
      </c>
      <c r="M4309" s="6" t="str">
        <f>"8.868,75"</f>
        <v>8.868,75</v>
      </c>
      <c r="N4309" s="8" t="s">
        <v>124</v>
      </c>
      <c r="O4309" s="7"/>
      <c r="P4309" s="2" t="s">
        <v>5614</v>
      </c>
      <c r="Q4309" s="7"/>
      <c r="R4309" s="1"/>
      <c r="S4309" s="1" t="str">
        <f>"J-UN-2022-908"</f>
        <v>J-UN-2022-908</v>
      </c>
      <c r="T4309" s="1" t="s">
        <v>32</v>
      </c>
    </row>
    <row r="4310" spans="1:20" ht="51" x14ac:dyDescent="0.25">
      <c r="A4310" s="6">
        <v>4304</v>
      </c>
      <c r="B4310" s="1" t="str">
        <f>"2022-758"</f>
        <v>2022-758</v>
      </c>
      <c r="C4310" s="1" t="s">
        <v>3145</v>
      </c>
      <c r="D4310" s="1" t="s">
        <v>2691</v>
      </c>
      <c r="E4310" s="1" t="str">
        <f>""</f>
        <v/>
      </c>
      <c r="F4310" s="1" t="s">
        <v>1860</v>
      </c>
      <c r="G4310" s="1" t="str">
        <f>CONCATENATE(" BLUEMONT D.O.O.,"," VINCEKOV BREG 20,"," 10000 ZAGREB,"," OIB: 54895392358")</f>
        <v xml:space="preserve"> BLUEMONT D.O.O., VINCEKOV BREG 20, 10000 ZAGREB, OIB: 54895392358</v>
      </c>
      <c r="H4310" s="7"/>
      <c r="I4310" s="8" t="s">
        <v>505</v>
      </c>
      <c r="J4310" s="8" t="s">
        <v>3146</v>
      </c>
      <c r="K4310" s="6" t="str">
        <f>"47.447,00"</f>
        <v>47.447,00</v>
      </c>
      <c r="L4310" s="6" t="str">
        <f>"11.861,75"</f>
        <v>11.861,75</v>
      </c>
      <c r="M4310" s="6" t="str">
        <f>"59.308,75"</f>
        <v>59.308,75</v>
      </c>
      <c r="N4310" s="8" t="s">
        <v>272</v>
      </c>
      <c r="O4310" s="7"/>
      <c r="P4310" s="2" t="s">
        <v>8186</v>
      </c>
      <c r="Q4310" s="7"/>
      <c r="R4310" s="1"/>
      <c r="S4310" s="1" t="str">
        <f>"J-UN-2022-909"</f>
        <v>J-UN-2022-909</v>
      </c>
      <c r="T4310" s="1" t="s">
        <v>32</v>
      </c>
    </row>
    <row r="4311" spans="1:20" ht="38.25" x14ac:dyDescent="0.25">
      <c r="A4311" s="6">
        <v>4305</v>
      </c>
      <c r="B4311" s="1" t="str">
        <f>"2022-1814"</f>
        <v>2022-1814</v>
      </c>
      <c r="C4311" s="1" t="s">
        <v>3147</v>
      </c>
      <c r="D4311" s="1" t="s">
        <v>3148</v>
      </c>
      <c r="E4311" s="1" t="str">
        <f>""</f>
        <v/>
      </c>
      <c r="F4311" s="1" t="s">
        <v>1860</v>
      </c>
      <c r="G4311" s="1" t="str">
        <f>CONCATENATE(" PHOENIX ARTS EUROPE SLU,"," MAS D`EN COLOM 19,"," 25300 TARREG")</f>
        <v xml:space="preserve"> PHOENIX ARTS EUROPE SLU, MAS D`EN COLOM 19, 25300 TARREG</v>
      </c>
      <c r="H4311" s="7"/>
      <c r="I4311" s="8" t="s">
        <v>424</v>
      </c>
      <c r="J4311" s="8" t="s">
        <v>3139</v>
      </c>
      <c r="K4311" s="6" t="str">
        <f>"13.318,91"</f>
        <v>13.318,91</v>
      </c>
      <c r="L4311" s="6" t="str">
        <f>"3.329,73"</f>
        <v>3.329,73</v>
      </c>
      <c r="M4311" s="6" t="str">
        <f>"16.648,63"</f>
        <v>16.648,63</v>
      </c>
      <c r="N4311" s="8" t="s">
        <v>124</v>
      </c>
      <c r="O4311" s="7"/>
      <c r="P4311" s="2" t="s">
        <v>5614</v>
      </c>
      <c r="Q4311" s="7"/>
      <c r="R4311" s="1"/>
      <c r="S4311" s="1" t="str">
        <f>"J-UN-2022-936"</f>
        <v>J-UN-2022-936</v>
      </c>
      <c r="T4311" s="1" t="s">
        <v>32</v>
      </c>
    </row>
    <row r="4312" spans="1:20" ht="51" x14ac:dyDescent="0.25">
      <c r="A4312" s="6">
        <v>4306</v>
      </c>
      <c r="B4312" s="1" t="str">
        <f>"2022-1042"</f>
        <v>2022-1042</v>
      </c>
      <c r="C4312" s="1" t="s">
        <v>2728</v>
      </c>
      <c r="D4312" s="1" t="s">
        <v>2729</v>
      </c>
      <c r="E4312" s="1" t="str">
        <f>""</f>
        <v/>
      </c>
      <c r="F4312" s="1" t="s">
        <v>1860</v>
      </c>
      <c r="G4312" s="1" t="str">
        <f>CONCATENATE(" DARDU KONZULTACIJE D.O.O.,"," SIGET 11,"," 10000 ZAGREB,"," OIB: 23321061295")</f>
        <v xml:space="preserve"> DARDU KONZULTACIJE D.O.O., SIGET 11, 10000 ZAGREB, OIB: 23321061295</v>
      </c>
      <c r="H4312" s="7"/>
      <c r="I4312" s="8" t="s">
        <v>57</v>
      </c>
      <c r="J4312" s="8" t="s">
        <v>417</v>
      </c>
      <c r="K4312" s="6" t="str">
        <f>"10.000,00"</f>
        <v>10.000,00</v>
      </c>
      <c r="L4312" s="6" t="str">
        <f>"2.500,00"</f>
        <v>2.500,00</v>
      </c>
      <c r="M4312" s="6" t="str">
        <f>"12.500,00"</f>
        <v>12.500,00</v>
      </c>
      <c r="N4312" s="8" t="s">
        <v>567</v>
      </c>
      <c r="O4312" s="7"/>
      <c r="P4312" s="2" t="s">
        <v>7194</v>
      </c>
      <c r="Q4312" s="7"/>
      <c r="R4312" s="1"/>
      <c r="S4312" s="1" t="str">
        <f>"J-UN-2022-942"</f>
        <v>J-UN-2022-942</v>
      </c>
      <c r="T4312" s="1" t="s">
        <v>43</v>
      </c>
    </row>
    <row r="4313" spans="1:20" ht="51" x14ac:dyDescent="0.25">
      <c r="A4313" s="6">
        <v>4307</v>
      </c>
      <c r="B4313" s="1" t="str">
        <f>"2022-257"</f>
        <v>2022-257</v>
      </c>
      <c r="C4313" s="1" t="s">
        <v>2712</v>
      </c>
      <c r="D4313" s="1" t="s">
        <v>2713</v>
      </c>
      <c r="E4313" s="1" t="str">
        <f>""</f>
        <v/>
      </c>
      <c r="F4313" s="1" t="s">
        <v>1860</v>
      </c>
      <c r="G4313" s="1" t="str">
        <f>CONCATENATE(" C.I.A.K. D.O.O.,"," SAVSKA OPATOVINA 36,"," 10090 ZAGREB-SUSEDGRAD,"," OIB: 47428597158")</f>
        <v xml:space="preserve"> C.I.A.K. D.O.O., SAVSKA OPATOVINA 36, 10090 ZAGREB-SUSEDGRAD, OIB: 47428597158</v>
      </c>
      <c r="H4313" s="7"/>
      <c r="I4313" s="8" t="s">
        <v>372</v>
      </c>
      <c r="J4313" s="8" t="s">
        <v>2390</v>
      </c>
      <c r="K4313" s="6" t="str">
        <f>"59.500,00"</f>
        <v>59.500,00</v>
      </c>
      <c r="L4313" s="6" t="str">
        <f>"14.875,00"</f>
        <v>14.875,00</v>
      </c>
      <c r="M4313" s="6" t="str">
        <f>"74.375,00"</f>
        <v>74.375,00</v>
      </c>
      <c r="N4313" s="8" t="s">
        <v>124</v>
      </c>
      <c r="O4313" s="7"/>
      <c r="P4313" s="2" t="s">
        <v>8187</v>
      </c>
      <c r="Q4313" s="7"/>
      <c r="R4313" s="1"/>
      <c r="S4313" s="1" t="str">
        <f>"J-UN-2022-943"</f>
        <v>J-UN-2022-943</v>
      </c>
      <c r="T4313" s="1" t="s">
        <v>32</v>
      </c>
    </row>
    <row r="4314" spans="1:20" ht="89.25" x14ac:dyDescent="0.25">
      <c r="A4314" s="6">
        <v>4308</v>
      </c>
      <c r="B4314" s="1" t="str">
        <f>"2022-234"</f>
        <v>2022-234</v>
      </c>
      <c r="C4314" s="1" t="s">
        <v>3059</v>
      </c>
      <c r="D4314" s="1" t="s">
        <v>3060</v>
      </c>
      <c r="E4314" s="1" t="str">
        <f>""</f>
        <v/>
      </c>
      <c r="F4314" s="1" t="s">
        <v>1860</v>
      </c>
      <c r="G4314" s="1" t="str">
        <f>CONCATENATE(" EFEKTIVNI MIKROORGANIZMI ORIGINALNA TEHNOLOGIJA RIJEKA D.O.O.,"," F. ČANDEKA 33,"," 51000 RIJEKA,"," OIB: 5176600402")</f>
        <v xml:space="preserve"> EFEKTIVNI MIKROORGANIZMI ORIGINALNA TEHNOLOGIJA RIJEKA D.O.O., F. ČANDEKA 33, 51000 RIJEKA, OIB: 5176600402</v>
      </c>
      <c r="H4314" s="7"/>
      <c r="I4314" s="8" t="s">
        <v>372</v>
      </c>
      <c r="J4314" s="8" t="s">
        <v>2390</v>
      </c>
      <c r="K4314" s="6" t="str">
        <f>"102.000,00"</f>
        <v>102.000,00</v>
      </c>
      <c r="L4314" s="6" t="str">
        <f>"25.500,00"</f>
        <v>25.500,00</v>
      </c>
      <c r="M4314" s="6" t="str">
        <f>"127.500,00"</f>
        <v>127.500,00</v>
      </c>
      <c r="N4314" s="8" t="s">
        <v>124</v>
      </c>
      <c r="O4314" s="7"/>
      <c r="P4314" s="2" t="s">
        <v>8188</v>
      </c>
      <c r="Q4314" s="7"/>
      <c r="R4314" s="1"/>
      <c r="S4314" s="1" t="str">
        <f>"J-UN-2022-944"</f>
        <v>J-UN-2022-944</v>
      </c>
      <c r="T4314" s="1" t="s">
        <v>32</v>
      </c>
    </row>
    <row r="4315" spans="1:20" ht="51" x14ac:dyDescent="0.25">
      <c r="A4315" s="6">
        <v>4309</v>
      </c>
      <c r="B4315" s="1" t="str">
        <f>"2022-377"</f>
        <v>2022-377</v>
      </c>
      <c r="C4315" s="1" t="s">
        <v>2608</v>
      </c>
      <c r="D4315" s="1" t="s">
        <v>1203</v>
      </c>
      <c r="E4315" s="1" t="str">
        <f>""</f>
        <v/>
      </c>
      <c r="F4315" s="1" t="s">
        <v>1860</v>
      </c>
      <c r="G4315" s="1" t="str">
        <f>CONCATENATE(" COMET D.O.O.,"," VARAŽDINSKA 40/C,"," 42220 NOVI MAROF,"," OIB: 48249084626")</f>
        <v xml:space="preserve"> COMET D.O.O., VARAŽDINSKA 40/C, 42220 NOVI MAROF, OIB: 48249084626</v>
      </c>
      <c r="H4315" s="7"/>
      <c r="I4315" s="8" t="s">
        <v>372</v>
      </c>
      <c r="J4315" s="8" t="s">
        <v>2390</v>
      </c>
      <c r="K4315" s="6" t="str">
        <f>"5.806,50"</f>
        <v>5.806,50</v>
      </c>
      <c r="L4315" s="6" t="str">
        <f>"1.451,63"</f>
        <v>1.451,63</v>
      </c>
      <c r="M4315" s="6" t="str">
        <f>"7.258,13"</f>
        <v>7.258,13</v>
      </c>
      <c r="N4315" s="8" t="s">
        <v>905</v>
      </c>
      <c r="O4315" s="7"/>
      <c r="P4315" s="2" t="s">
        <v>8189</v>
      </c>
      <c r="Q4315" s="7"/>
      <c r="R4315" s="1"/>
      <c r="S4315" s="1" t="str">
        <f>"J-UN-2022-945"</f>
        <v>J-UN-2022-945</v>
      </c>
      <c r="T4315" s="1" t="s">
        <v>32</v>
      </c>
    </row>
    <row r="4316" spans="1:20" ht="76.5" x14ac:dyDescent="0.25">
      <c r="A4316" s="6">
        <v>4310</v>
      </c>
      <c r="B4316" s="1" t="str">
        <f>"2022-295"</f>
        <v>2022-295</v>
      </c>
      <c r="C4316" s="1" t="s">
        <v>2836</v>
      </c>
      <c r="D4316" s="1" t="s">
        <v>689</v>
      </c>
      <c r="E4316" s="1" t="str">
        <f>""</f>
        <v/>
      </c>
      <c r="F4316" s="1" t="s">
        <v>1860</v>
      </c>
      <c r="G4316" s="1" t="str">
        <f>CONCATENATE(" SMIT-COMMERCE D.O.O.,"," GORNJOSTUPNIČKA 9B,"," 10255 GORNJI STUPNIK,"," OIB: 9524348214")</f>
        <v xml:space="preserve"> SMIT-COMMERCE D.O.O., GORNJOSTUPNIČKA 9B, 10255 GORNJI STUPNIK, OIB: 9524348214</v>
      </c>
      <c r="H4316" s="7"/>
      <c r="I4316" s="8" t="s">
        <v>372</v>
      </c>
      <c r="J4316" s="8" t="s">
        <v>2390</v>
      </c>
      <c r="K4316" s="6" t="str">
        <f>"1.040,00"</f>
        <v>1.040,00</v>
      </c>
      <c r="L4316" s="6" t="str">
        <f>"260,00"</f>
        <v>260,00</v>
      </c>
      <c r="M4316" s="6" t="str">
        <f>"1.300,00"</f>
        <v>1.300,00</v>
      </c>
      <c r="N4316" s="8" t="s">
        <v>124</v>
      </c>
      <c r="O4316" s="7"/>
      <c r="P4316" s="2" t="s">
        <v>5614</v>
      </c>
      <c r="Q4316" s="7"/>
      <c r="R4316" s="1"/>
      <c r="S4316" s="1" t="str">
        <f>"J-UN-2022-946"</f>
        <v>J-UN-2022-946</v>
      </c>
      <c r="T4316" s="1" t="s">
        <v>32</v>
      </c>
    </row>
    <row r="4317" spans="1:20" ht="63.75" x14ac:dyDescent="0.25">
      <c r="A4317" s="6">
        <v>4311</v>
      </c>
      <c r="B4317" s="1" t="str">
        <f>"2022-459"</f>
        <v>2022-459</v>
      </c>
      <c r="C4317" s="1" t="s">
        <v>2795</v>
      </c>
      <c r="D4317" s="1" t="s">
        <v>1619</v>
      </c>
      <c r="E4317" s="1" t="str">
        <f>""</f>
        <v/>
      </c>
      <c r="F4317" s="1" t="s">
        <v>1860</v>
      </c>
      <c r="G4317" s="1" t="str">
        <f>CONCATENATE(" GRA-PO D.O.O.,"," GOSPODARSKA 5B,"," 10255 ZAGREB - STUPNIK,"," OIB: 05364995085")</f>
        <v xml:space="preserve"> GRA-PO D.O.O., GOSPODARSKA 5B, 10255 ZAGREB - STUPNIK, OIB: 05364995085</v>
      </c>
      <c r="H4317" s="7"/>
      <c r="I4317" s="8" t="s">
        <v>57</v>
      </c>
      <c r="J4317" s="8" t="s">
        <v>417</v>
      </c>
      <c r="K4317" s="6" t="str">
        <f>"31.716,00"</f>
        <v>31.716,00</v>
      </c>
      <c r="L4317" s="6" t="str">
        <f>"7.929,00"</f>
        <v>7.929,00</v>
      </c>
      <c r="M4317" s="6" t="str">
        <f>"39.645,00"</f>
        <v>39.645,00</v>
      </c>
      <c r="N4317" s="8" t="s">
        <v>124</v>
      </c>
      <c r="O4317" s="7"/>
      <c r="P4317" s="2" t="s">
        <v>8190</v>
      </c>
      <c r="Q4317" s="7"/>
      <c r="R4317" s="1"/>
      <c r="S4317" s="1" t="str">
        <f>"J-UN-2022-948"</f>
        <v>J-UN-2022-948</v>
      </c>
      <c r="T4317" s="1" t="s">
        <v>32</v>
      </c>
    </row>
    <row r="4318" spans="1:20" ht="51" x14ac:dyDescent="0.25">
      <c r="A4318" s="6">
        <v>4312</v>
      </c>
      <c r="B4318" s="1" t="str">
        <f>"2022-189"</f>
        <v>2022-189</v>
      </c>
      <c r="C4318" s="1" t="s">
        <v>2612</v>
      </c>
      <c r="D4318" s="1" t="s">
        <v>2613</v>
      </c>
      <c r="E4318" s="1" t="str">
        <f>""</f>
        <v/>
      </c>
      <c r="F4318" s="1" t="s">
        <v>1860</v>
      </c>
      <c r="G4318" s="1" t="str">
        <f>CONCATENATE(" ELCON D.O.O.,"," MEĐIMURSKA 2,"," 42000 VARAŽDIN,"," OIB: 69554624078")</f>
        <v xml:space="preserve"> ELCON D.O.O., MEĐIMURSKA 2, 42000 VARAŽDIN, OIB: 69554624078</v>
      </c>
      <c r="H4318" s="7"/>
      <c r="I4318" s="8" t="s">
        <v>57</v>
      </c>
      <c r="J4318" s="8" t="s">
        <v>417</v>
      </c>
      <c r="K4318" s="6" t="str">
        <f>"452,25"</f>
        <v>452,25</v>
      </c>
      <c r="L4318" s="6" t="str">
        <f>"113,06"</f>
        <v>113,06</v>
      </c>
      <c r="M4318" s="6" t="str">
        <f>"565,31"</f>
        <v>565,31</v>
      </c>
      <c r="N4318" s="8" t="s">
        <v>506</v>
      </c>
      <c r="O4318" s="7"/>
      <c r="P4318" s="2" t="s">
        <v>8191</v>
      </c>
      <c r="Q4318" s="7"/>
      <c r="R4318" s="1"/>
      <c r="S4318" s="1" t="str">
        <f>"J-UN-2022-949"</f>
        <v>J-UN-2022-949</v>
      </c>
      <c r="T4318" s="1" t="s">
        <v>32</v>
      </c>
    </row>
    <row r="4319" spans="1:20" ht="63.75" x14ac:dyDescent="0.25">
      <c r="A4319" s="6">
        <v>4313</v>
      </c>
      <c r="B4319" s="1" t="str">
        <f>"2022-710"</f>
        <v>2022-710</v>
      </c>
      <c r="C4319" s="1" t="s">
        <v>2782</v>
      </c>
      <c r="D4319" s="1" t="s">
        <v>815</v>
      </c>
      <c r="E4319" s="1" t="str">
        <f>""</f>
        <v/>
      </c>
      <c r="F4319" s="1" t="s">
        <v>1860</v>
      </c>
      <c r="G4319" s="1" t="str">
        <f>CONCATENATE(" LAUS INTERNATIONAL D.O.O.,"," DR. FRANJE TUĐMANA 16B,"," 10431 SVETA NEDELJA,"," OIB: 93039509752")</f>
        <v xml:space="preserve"> LAUS INTERNATIONAL D.O.O., DR. FRANJE TUĐMANA 16B, 10431 SVETA NEDELJA, OIB: 93039509752</v>
      </c>
      <c r="H4319" s="7"/>
      <c r="I4319" s="8" t="s">
        <v>57</v>
      </c>
      <c r="J4319" s="8" t="s">
        <v>417</v>
      </c>
      <c r="K4319" s="6" t="str">
        <f>"1.005,30"</f>
        <v>1.005,30</v>
      </c>
      <c r="L4319" s="6" t="str">
        <f>"251,33"</f>
        <v>251,33</v>
      </c>
      <c r="M4319" s="6" t="str">
        <f>"1.256,63"</f>
        <v>1.256,63</v>
      </c>
      <c r="N4319" s="8" t="s">
        <v>124</v>
      </c>
      <c r="O4319" s="7"/>
      <c r="P4319" s="2" t="s">
        <v>5614</v>
      </c>
      <c r="Q4319" s="7"/>
      <c r="R4319" s="1"/>
      <c r="S4319" s="1" t="str">
        <f>"J-UN-2022-950"</f>
        <v>J-UN-2022-950</v>
      </c>
      <c r="T4319" s="1" t="s">
        <v>32</v>
      </c>
    </row>
    <row r="4320" spans="1:20" ht="51" x14ac:dyDescent="0.25">
      <c r="A4320" s="6">
        <v>4314</v>
      </c>
      <c r="B4320" s="1" t="str">
        <f>"2022-459"</f>
        <v>2022-459</v>
      </c>
      <c r="C4320" s="1" t="s">
        <v>2795</v>
      </c>
      <c r="D4320" s="1" t="s">
        <v>1619</v>
      </c>
      <c r="E4320" s="1" t="str">
        <f>""</f>
        <v/>
      </c>
      <c r="F4320" s="1" t="s">
        <v>1860</v>
      </c>
      <c r="G4320" s="1" t="str">
        <f>CONCATENATE(" DREZGA D.O.O.,"," OBRTNIČKA 2,"," 10437 BESTOVJE,"," OIB: 46535283602")</f>
        <v xml:space="preserve"> DREZGA D.O.O., OBRTNIČKA 2, 10437 BESTOVJE, OIB: 46535283602</v>
      </c>
      <c r="H4320" s="7"/>
      <c r="I4320" s="8" t="s">
        <v>57</v>
      </c>
      <c r="J4320" s="8" t="s">
        <v>417</v>
      </c>
      <c r="K4320" s="6" t="str">
        <f>"12.214,40"</f>
        <v>12.214,40</v>
      </c>
      <c r="L4320" s="6" t="str">
        <f>"3.053,60"</f>
        <v>3.053,60</v>
      </c>
      <c r="M4320" s="6" t="str">
        <f>"15.268,00"</f>
        <v>15.268,00</v>
      </c>
      <c r="N4320" s="8" t="s">
        <v>124</v>
      </c>
      <c r="O4320" s="7"/>
      <c r="P4320" s="2" t="s">
        <v>5614</v>
      </c>
      <c r="Q4320" s="7"/>
      <c r="R4320" s="1"/>
      <c r="S4320" s="1" t="str">
        <f>"J-UN-2022-951"</f>
        <v>J-UN-2022-951</v>
      </c>
      <c r="T4320" s="1" t="s">
        <v>32</v>
      </c>
    </row>
    <row r="4321" spans="1:20" ht="63.75" x14ac:dyDescent="0.25">
      <c r="A4321" s="6">
        <v>4315</v>
      </c>
      <c r="B4321" s="1" t="str">
        <f>"2022-855"</f>
        <v>2022-855</v>
      </c>
      <c r="C4321" s="1" t="s">
        <v>3149</v>
      </c>
      <c r="D4321" s="1" t="s">
        <v>837</v>
      </c>
      <c r="E4321" s="1" t="str">
        <f>""</f>
        <v/>
      </c>
      <c r="F4321" s="1" t="s">
        <v>1860</v>
      </c>
      <c r="G4321" s="1" t="str">
        <f>CONCATENATE(" AROMA CRIKVENICA D.O.O.,"," BRAĆE BROZIČEVIĆ BB,"," 51260 CRIKVENICA,"," OIB: 82528833405")</f>
        <v xml:space="preserve"> AROMA CRIKVENICA D.O.O., BRAĆE BROZIČEVIĆ BB, 51260 CRIKVENICA, OIB: 82528833405</v>
      </c>
      <c r="H4321" s="7"/>
      <c r="I4321" s="8" t="s">
        <v>57</v>
      </c>
      <c r="J4321" s="8" t="s">
        <v>417</v>
      </c>
      <c r="K4321" s="6" t="str">
        <f>"58.280,00"</f>
        <v>58.280,00</v>
      </c>
      <c r="L4321" s="6" t="str">
        <f>"14.570,00"</f>
        <v>14.570,00</v>
      </c>
      <c r="M4321" s="6" t="str">
        <f>"72.850,00"</f>
        <v>72.850,00</v>
      </c>
      <c r="N4321" s="8" t="s">
        <v>124</v>
      </c>
      <c r="O4321" s="7"/>
      <c r="P4321" s="2" t="s">
        <v>5614</v>
      </c>
      <c r="Q4321" s="7"/>
      <c r="R4321" s="1"/>
      <c r="S4321" s="1" t="str">
        <f>"J-UN-2022-952"</f>
        <v>J-UN-2022-952</v>
      </c>
      <c r="T4321" s="1" t="s">
        <v>32</v>
      </c>
    </row>
    <row r="4322" spans="1:20" ht="51" x14ac:dyDescent="0.25">
      <c r="A4322" s="6">
        <v>4316</v>
      </c>
      <c r="B4322" s="1" t="str">
        <f>"2022-714"</f>
        <v>2022-714</v>
      </c>
      <c r="C4322" s="1" t="s">
        <v>2710</v>
      </c>
      <c r="D4322" s="1" t="s">
        <v>815</v>
      </c>
      <c r="E4322" s="1" t="str">
        <f>""</f>
        <v/>
      </c>
      <c r="F4322" s="1" t="s">
        <v>1860</v>
      </c>
      <c r="G4322" s="1" t="str">
        <f>CONCATENATE(" SELEKTA PRIMA D.O.O.,"," I. TRNAVA 49,"," 10000 ZAGREB,"," OIB: 68651120977")</f>
        <v xml:space="preserve"> SELEKTA PRIMA D.O.O., I. TRNAVA 49, 10000 ZAGREB, OIB: 68651120977</v>
      </c>
      <c r="H4322" s="7"/>
      <c r="I4322" s="8" t="s">
        <v>372</v>
      </c>
      <c r="J4322" s="8" t="s">
        <v>2390</v>
      </c>
      <c r="K4322" s="6" t="str">
        <f>"18.888,00"</f>
        <v>18.888,00</v>
      </c>
      <c r="L4322" s="6" t="str">
        <f>"4.722,00"</f>
        <v>4.722,00</v>
      </c>
      <c r="M4322" s="6" t="str">
        <f>"23.610,00"</f>
        <v>23.610,00</v>
      </c>
      <c r="N4322" s="8" t="s">
        <v>208</v>
      </c>
      <c r="O4322" s="7"/>
      <c r="P4322" s="2" t="s">
        <v>8192</v>
      </c>
      <c r="Q4322" s="7"/>
      <c r="R4322" s="1"/>
      <c r="S4322" s="1" t="str">
        <f>"J-UN-2022-953"</f>
        <v>J-UN-2022-953</v>
      </c>
      <c r="T4322" s="1" t="s">
        <v>32</v>
      </c>
    </row>
    <row r="4323" spans="1:20" ht="51" x14ac:dyDescent="0.25">
      <c r="A4323" s="6">
        <v>4317</v>
      </c>
      <c r="B4323" s="1" t="str">
        <f>"2022-823"</f>
        <v>2022-823</v>
      </c>
      <c r="C4323" s="1" t="s">
        <v>2675</v>
      </c>
      <c r="D4323" s="1" t="s">
        <v>2676</v>
      </c>
      <c r="E4323" s="1" t="str">
        <f>""</f>
        <v/>
      </c>
      <c r="F4323" s="1" t="s">
        <v>1860</v>
      </c>
      <c r="G4323" s="1" t="str">
        <f>CONCATENATE(" AUTOBUS D.O.O.,"," I. RESNIK 178,"," 10040 ZAGREB,"," OIB: 77383886713")</f>
        <v xml:space="preserve"> AUTOBUS D.O.O., I. RESNIK 178, 10040 ZAGREB, OIB: 77383886713</v>
      </c>
      <c r="H4323" s="7"/>
      <c r="I4323" s="8" t="s">
        <v>424</v>
      </c>
      <c r="J4323" s="8" t="s">
        <v>3139</v>
      </c>
      <c r="K4323" s="6" t="str">
        <f>"3.190,63"</f>
        <v>3.190,63</v>
      </c>
      <c r="L4323" s="6" t="str">
        <f>"797,66"</f>
        <v>797,66</v>
      </c>
      <c r="M4323" s="6" t="str">
        <f>"3.988,29"</f>
        <v>3.988,29</v>
      </c>
      <c r="N4323" s="8" t="s">
        <v>57</v>
      </c>
      <c r="O4323" s="7"/>
      <c r="P4323" s="2" t="s">
        <v>8193</v>
      </c>
      <c r="Q4323" s="7"/>
      <c r="R4323" s="1"/>
      <c r="S4323" s="1" t="str">
        <f>"J-UN-2022-956"</f>
        <v>J-UN-2022-956</v>
      </c>
      <c r="T4323" s="1" t="s">
        <v>32</v>
      </c>
    </row>
    <row r="4324" spans="1:20" ht="51" x14ac:dyDescent="0.25">
      <c r="A4324" s="6">
        <v>4318</v>
      </c>
      <c r="B4324" s="1" t="str">
        <f>"2022-186"</f>
        <v>2022-186</v>
      </c>
      <c r="C4324" s="1" t="s">
        <v>2534</v>
      </c>
      <c r="D4324" s="1" t="s">
        <v>2535</v>
      </c>
      <c r="E4324" s="1" t="str">
        <f>""</f>
        <v/>
      </c>
      <c r="F4324" s="1" t="s">
        <v>1860</v>
      </c>
      <c r="G4324" s="1" t="str">
        <f>CONCATENATE(" ROTO DINAMIC D.O.O.,"," ULICA GRADA WIRGESA 14,"," 10430 SAMOBOR,"," OIB: 24723122482")</f>
        <v xml:space="preserve"> ROTO DINAMIC D.O.O., ULICA GRADA WIRGESA 14, 10430 SAMOBOR, OIB: 24723122482</v>
      </c>
      <c r="H4324" s="7"/>
      <c r="I4324" s="8" t="s">
        <v>424</v>
      </c>
      <c r="J4324" s="8" t="s">
        <v>424</v>
      </c>
      <c r="K4324" s="6" t="str">
        <f>"847,95"</f>
        <v>847,95</v>
      </c>
      <c r="L4324" s="6" t="str">
        <f>"211,99"</f>
        <v>211,99</v>
      </c>
      <c r="M4324" s="6" t="str">
        <f>"1.059,94"</f>
        <v>1.059,94</v>
      </c>
      <c r="N4324" s="8" t="s">
        <v>160</v>
      </c>
      <c r="O4324" s="7"/>
      <c r="P4324" s="2" t="s">
        <v>8194</v>
      </c>
      <c r="Q4324" s="7"/>
      <c r="R4324" s="1"/>
      <c r="S4324" s="1" t="str">
        <f>"J-UN-2022-957"</f>
        <v>J-UN-2022-957</v>
      </c>
      <c r="T4324" s="1" t="s">
        <v>32</v>
      </c>
    </row>
    <row r="4325" spans="1:20" ht="63.75" x14ac:dyDescent="0.25">
      <c r="A4325" s="6">
        <v>4319</v>
      </c>
      <c r="B4325" s="1" t="str">
        <f>"2022-244"</f>
        <v>2022-244</v>
      </c>
      <c r="C4325" s="1" t="s">
        <v>2677</v>
      </c>
      <c r="D4325" s="1" t="s">
        <v>2678</v>
      </c>
      <c r="E4325" s="1" t="str">
        <f>""</f>
        <v/>
      </c>
      <c r="F4325" s="1" t="s">
        <v>1860</v>
      </c>
      <c r="G4325" s="1" t="str">
        <f>CONCATENATE(" GRADSKA LJEKARNA ZAGREB,"," KRALJA DRŽISLAVA 6,"," 10000 ZAGREB,"," OIB: 37268254106")</f>
        <v xml:space="preserve"> GRADSKA LJEKARNA ZAGREB, KRALJA DRŽISLAVA 6, 10000 ZAGREB, OIB: 37268254106</v>
      </c>
      <c r="H4325" s="7"/>
      <c r="I4325" s="8" t="s">
        <v>160</v>
      </c>
      <c r="J4325" s="8" t="s">
        <v>3150</v>
      </c>
      <c r="K4325" s="6" t="str">
        <f>"3.892,62"</f>
        <v>3.892,62</v>
      </c>
      <c r="L4325" s="6" t="str">
        <f>"973,16"</f>
        <v>973,16</v>
      </c>
      <c r="M4325" s="6" t="str">
        <f>"4.865,78"</f>
        <v>4.865,78</v>
      </c>
      <c r="N4325" s="8" t="s">
        <v>124</v>
      </c>
      <c r="O4325" s="7"/>
      <c r="P4325" s="2" t="s">
        <v>5614</v>
      </c>
      <c r="Q4325" s="7"/>
      <c r="R4325" s="1"/>
      <c r="S4325" s="1" t="str">
        <f>"J-UN-2022-958"</f>
        <v>J-UN-2022-958</v>
      </c>
      <c r="T4325" s="1" t="s">
        <v>32</v>
      </c>
    </row>
    <row r="4326" spans="1:20" ht="63.75" x14ac:dyDescent="0.25">
      <c r="A4326" s="6">
        <v>4320</v>
      </c>
      <c r="B4326" s="1" t="str">
        <f>"2022-225"</f>
        <v>2022-225</v>
      </c>
      <c r="C4326" s="1" t="s">
        <v>2865</v>
      </c>
      <c r="D4326" s="1" t="s">
        <v>766</v>
      </c>
      <c r="E4326" s="1" t="str">
        <f>""</f>
        <v/>
      </c>
      <c r="F4326" s="1" t="s">
        <v>1860</v>
      </c>
      <c r="G4326" s="1" t="str">
        <f>CONCATENATE(" POLJOOPSKRBA-TEHNO D.D.,"," SAMOBORSKA 96,"," 10000 ZAGREB,"," OIB: 5372167324")</f>
        <v xml:space="preserve"> POLJOOPSKRBA-TEHNO D.D., SAMOBORSKA 96, 10000 ZAGREB, OIB: 5372167324</v>
      </c>
      <c r="H4326" s="7"/>
      <c r="I4326" s="8" t="s">
        <v>1073</v>
      </c>
      <c r="J4326" s="8" t="s">
        <v>2185</v>
      </c>
      <c r="K4326" s="6" t="str">
        <f>"2.100,00"</f>
        <v>2.100,00</v>
      </c>
      <c r="L4326" s="6" t="str">
        <f>"525,00"</f>
        <v>525,00</v>
      </c>
      <c r="M4326" s="6" t="str">
        <f>"2.625,00"</f>
        <v>2.625,00</v>
      </c>
      <c r="N4326" s="8" t="s">
        <v>562</v>
      </c>
      <c r="O4326" s="7"/>
      <c r="P4326" s="2" t="s">
        <v>6498</v>
      </c>
      <c r="Q4326" s="7"/>
      <c r="R4326" s="1"/>
      <c r="S4326" s="1" t="str">
        <f>"J-UN-2022-961"</f>
        <v>J-UN-2022-961</v>
      </c>
      <c r="T4326" s="1" t="s">
        <v>32</v>
      </c>
    </row>
    <row r="4327" spans="1:20" ht="89.25" x14ac:dyDescent="0.25">
      <c r="A4327" s="6">
        <v>4321</v>
      </c>
      <c r="B4327" s="1" t="str">
        <f>"2022-715"</f>
        <v>2022-715</v>
      </c>
      <c r="C4327" s="1" t="s">
        <v>2733</v>
      </c>
      <c r="D4327" s="1" t="s">
        <v>914</v>
      </c>
      <c r="E4327" s="1" t="str">
        <f>""</f>
        <v/>
      </c>
      <c r="F4327" s="1" t="s">
        <v>1860</v>
      </c>
      <c r="G4327" s="1" t="str">
        <f>CONCATENATE(" AUTO HRVATSKA PRODAJNO SERVISNI CENTRI D.O.O.,"," ZASTAVNICE 25/C,"," 10251 HRVATSKI LESKOVAC,"," OIB: 87682591133")</f>
        <v xml:space="preserve"> AUTO HRVATSKA PRODAJNO SERVISNI CENTRI D.O.O., ZASTAVNICE 25/C, 10251 HRVATSKI LESKOVAC, OIB: 87682591133</v>
      </c>
      <c r="H4327" s="7"/>
      <c r="I4327" s="8" t="s">
        <v>160</v>
      </c>
      <c r="J4327" s="8" t="s">
        <v>3150</v>
      </c>
      <c r="K4327" s="6" t="str">
        <f>"3.600,00"</f>
        <v>3.600,00</v>
      </c>
      <c r="L4327" s="6" t="str">
        <f>"900,00"</f>
        <v>900,00</v>
      </c>
      <c r="M4327" s="6" t="str">
        <f>"4.500,00"</f>
        <v>4.500,00</v>
      </c>
      <c r="N4327" s="8" t="s">
        <v>160</v>
      </c>
      <c r="O4327" s="7"/>
      <c r="P4327" s="2" t="s">
        <v>5730</v>
      </c>
      <c r="Q4327" s="7"/>
      <c r="R4327" s="1"/>
      <c r="S4327" s="1" t="str">
        <f>"J-UN-2022-963"</f>
        <v>J-UN-2022-963</v>
      </c>
      <c r="T4327" s="1" t="s">
        <v>32</v>
      </c>
    </row>
    <row r="4328" spans="1:20" ht="51" x14ac:dyDescent="0.25">
      <c r="A4328" s="6">
        <v>4322</v>
      </c>
      <c r="B4328" s="1" t="str">
        <f>"2022-535"</f>
        <v>2022-535</v>
      </c>
      <c r="C4328" s="1" t="s">
        <v>2561</v>
      </c>
      <c r="D4328" s="1" t="s">
        <v>2156</v>
      </c>
      <c r="E4328" s="1" t="str">
        <f>""</f>
        <v/>
      </c>
      <c r="F4328" s="1" t="s">
        <v>1860</v>
      </c>
      <c r="G4328" s="1" t="str">
        <f>CONCATENATE(" TIP - ZAGREB D.O.O.,"," VINOGRADSKA 34,"," 10431 SVETA NEDELJA,"," OIB: 36198195227")</f>
        <v xml:space="preserve"> TIP - ZAGREB D.O.O., VINOGRADSKA 34, 10431 SVETA NEDELJA, OIB: 36198195227</v>
      </c>
      <c r="H4328" s="7"/>
      <c r="I4328" s="8" t="s">
        <v>1073</v>
      </c>
      <c r="J4328" s="8" t="s">
        <v>2185</v>
      </c>
      <c r="K4328" s="6" t="str">
        <f>"21.281,00"</f>
        <v>21.281,00</v>
      </c>
      <c r="L4328" s="6" t="str">
        <f>"5.320,25"</f>
        <v>5.320,25</v>
      </c>
      <c r="M4328" s="6" t="str">
        <f>"26.601,25"</f>
        <v>26.601,25</v>
      </c>
      <c r="N4328" s="8" t="s">
        <v>506</v>
      </c>
      <c r="O4328" s="7"/>
      <c r="P4328" s="2" t="s">
        <v>8195</v>
      </c>
      <c r="Q4328" s="7"/>
      <c r="R4328" s="1"/>
      <c r="S4328" s="1" t="str">
        <f>"J-UN-2022-964"</f>
        <v>J-UN-2022-964</v>
      </c>
      <c r="T4328" s="1" t="s">
        <v>32</v>
      </c>
    </row>
    <row r="4329" spans="1:20" ht="76.5" x14ac:dyDescent="0.25">
      <c r="A4329" s="6">
        <v>4323</v>
      </c>
      <c r="B4329" s="1" t="str">
        <f>"2022-592"</f>
        <v>2022-592</v>
      </c>
      <c r="C4329" s="1" t="s">
        <v>2683</v>
      </c>
      <c r="D4329" s="1" t="s">
        <v>2684</v>
      </c>
      <c r="E4329" s="1" t="str">
        <f>""</f>
        <v/>
      </c>
      <c r="F4329" s="1" t="s">
        <v>1860</v>
      </c>
      <c r="G4329" s="1" t="str">
        <f>CONCATENATE(" SMIT-COMMERCE D.O.O.,"," GORNJOSTUPNIČKA 9B,"," 10255 GORNJI STUPNIK,"," OIB: 9524348214")</f>
        <v xml:space="preserve"> SMIT-COMMERCE D.O.O., GORNJOSTUPNIČKA 9B, 10255 GORNJI STUPNIK, OIB: 9524348214</v>
      </c>
      <c r="H4329" s="7"/>
      <c r="I4329" s="8" t="s">
        <v>897</v>
      </c>
      <c r="J4329" s="8" t="s">
        <v>2336</v>
      </c>
      <c r="K4329" s="6" t="str">
        <f>"323,61"</f>
        <v>323,61</v>
      </c>
      <c r="L4329" s="6" t="str">
        <f>"80,90"</f>
        <v>80,90</v>
      </c>
      <c r="M4329" s="6" t="str">
        <f>"404,51"</f>
        <v>404,51</v>
      </c>
      <c r="N4329" s="8" t="s">
        <v>1121</v>
      </c>
      <c r="O4329" s="7"/>
      <c r="P4329" s="2" t="s">
        <v>8196</v>
      </c>
      <c r="Q4329" s="7"/>
      <c r="R4329" s="1"/>
      <c r="S4329" s="1" t="str">
        <f>"J-UN-2022-965"</f>
        <v>J-UN-2022-965</v>
      </c>
      <c r="T4329" s="1" t="s">
        <v>32</v>
      </c>
    </row>
    <row r="4330" spans="1:20" ht="63.75" x14ac:dyDescent="0.25">
      <c r="A4330" s="6">
        <v>4324</v>
      </c>
      <c r="B4330" s="1" t="str">
        <f>"2022-240"</f>
        <v>2022-240</v>
      </c>
      <c r="C4330" s="1" t="s">
        <v>2866</v>
      </c>
      <c r="D4330" s="1" t="s">
        <v>2867</v>
      </c>
      <c r="E4330" s="1" t="str">
        <f>""</f>
        <v/>
      </c>
      <c r="F4330" s="1" t="s">
        <v>1860</v>
      </c>
      <c r="G4330" s="1" t="str">
        <f>CONCATENATE(" AGROTUROPOLJE D.O.O.,"," VELIKOGORIČKA 43,"," 10415 NOVO ČIČE,"," OIB: 66493270332")</f>
        <v xml:space="preserve"> AGROTUROPOLJE D.O.O., VELIKOGORIČKA 43, 10415 NOVO ČIČE, OIB: 66493270332</v>
      </c>
      <c r="H4330" s="7"/>
      <c r="I4330" s="8" t="s">
        <v>897</v>
      </c>
      <c r="J4330" s="8" t="s">
        <v>2336</v>
      </c>
      <c r="K4330" s="6" t="str">
        <f>"146.870,00"</f>
        <v>146.870,00</v>
      </c>
      <c r="L4330" s="6" t="str">
        <f>"36.717,50"</f>
        <v>36.717,50</v>
      </c>
      <c r="M4330" s="6" t="str">
        <f>"183.587,50"</f>
        <v>183.587,50</v>
      </c>
      <c r="N4330" s="8" t="s">
        <v>124</v>
      </c>
      <c r="O4330" s="7"/>
      <c r="P4330" s="2" t="s">
        <v>8197</v>
      </c>
      <c r="Q4330" s="7"/>
      <c r="R4330" s="1"/>
      <c r="S4330" s="1" t="str">
        <f>"J-UN-2022-966"</f>
        <v>J-UN-2022-966</v>
      </c>
      <c r="T4330" s="1" t="s">
        <v>32</v>
      </c>
    </row>
    <row r="4331" spans="1:20" ht="63.75" x14ac:dyDescent="0.25">
      <c r="A4331" s="6">
        <v>4325</v>
      </c>
      <c r="B4331" s="1" t="str">
        <f>"2022-833"</f>
        <v>2022-833</v>
      </c>
      <c r="C4331" s="1" t="s">
        <v>2995</v>
      </c>
      <c r="D4331" s="1" t="s">
        <v>794</v>
      </c>
      <c r="E4331" s="1" t="str">
        <f>""</f>
        <v/>
      </c>
      <c r="F4331" s="1" t="s">
        <v>1860</v>
      </c>
      <c r="G4331" s="1" t="str">
        <f>CONCATENATE(" COMMUNITER AD DECUS D.O.O.,"," JURJA VES 62A,"," 10000 ZAGREB,"," OIB: 02319061049")</f>
        <v xml:space="preserve"> COMMUNITER AD DECUS D.O.O., JURJA VES 62A, 10000 ZAGREB, OIB: 02319061049</v>
      </c>
      <c r="H4331" s="7"/>
      <c r="I4331" s="8" t="s">
        <v>897</v>
      </c>
      <c r="J4331" s="8" t="s">
        <v>2336</v>
      </c>
      <c r="K4331" s="6" t="str">
        <f>"65.600,00"</f>
        <v>65.600,00</v>
      </c>
      <c r="L4331" s="6" t="str">
        <f>"16.400,00"</f>
        <v>16.400,00</v>
      </c>
      <c r="M4331" s="6" t="str">
        <f>"82.000,00"</f>
        <v>82.000,00</v>
      </c>
      <c r="N4331" s="8" t="s">
        <v>442</v>
      </c>
      <c r="O4331" s="7"/>
      <c r="P4331" s="2" t="s">
        <v>8198</v>
      </c>
      <c r="Q4331" s="7"/>
      <c r="R4331" s="1"/>
      <c r="S4331" s="1" t="str">
        <f>"J-UN-2022-967"</f>
        <v>J-UN-2022-967</v>
      </c>
      <c r="T4331" s="1" t="s">
        <v>32</v>
      </c>
    </row>
    <row r="4332" spans="1:20" ht="51" x14ac:dyDescent="0.25">
      <c r="A4332" s="6">
        <v>4326</v>
      </c>
      <c r="B4332" s="1" t="str">
        <f>"2022-323"</f>
        <v>2022-323</v>
      </c>
      <c r="C4332" s="1" t="s">
        <v>2687</v>
      </c>
      <c r="D4332" s="1" t="s">
        <v>2688</v>
      </c>
      <c r="E4332" s="1" t="str">
        <f>""</f>
        <v/>
      </c>
      <c r="F4332" s="1" t="s">
        <v>1860</v>
      </c>
      <c r="G4332" s="1" t="str">
        <f>CONCATENATE(" STROJOPROMET D.O.O.,"," ZAGREBAČKA 6,"," 10292 ŠENKOVEC,"," OIB: 97994010225")</f>
        <v xml:space="preserve"> STROJOPROMET D.O.O., ZAGREBAČKA 6, 10292 ŠENKOVEC, OIB: 97994010225</v>
      </c>
      <c r="H4332" s="7"/>
      <c r="I4332" s="8" t="s">
        <v>897</v>
      </c>
      <c r="J4332" s="8" t="s">
        <v>2336</v>
      </c>
      <c r="K4332" s="6" t="str">
        <f>"18.946,66"</f>
        <v>18.946,66</v>
      </c>
      <c r="L4332" s="6" t="str">
        <f>"4.736,67"</f>
        <v>4.736,67</v>
      </c>
      <c r="M4332" s="6" t="str">
        <f>"23.683,33"</f>
        <v>23.683,33</v>
      </c>
      <c r="N4332" s="8" t="s">
        <v>773</v>
      </c>
      <c r="O4332" s="7"/>
      <c r="P4332" s="2" t="s">
        <v>8199</v>
      </c>
      <c r="Q4332" s="1" t="s">
        <v>1177</v>
      </c>
      <c r="R4332" s="1"/>
      <c r="S4332" s="1" t="str">
        <f>"J-UN-2022-969"</f>
        <v>J-UN-2022-969</v>
      </c>
      <c r="T4332" s="1" t="s">
        <v>32</v>
      </c>
    </row>
    <row r="4333" spans="1:20" ht="51" x14ac:dyDescent="0.25">
      <c r="A4333" s="6">
        <v>4327</v>
      </c>
      <c r="B4333" s="1" t="str">
        <f>"2022-970"</f>
        <v>2022-970</v>
      </c>
      <c r="C4333" s="1" t="s">
        <v>2857</v>
      </c>
      <c r="D4333" s="1" t="s">
        <v>1373</v>
      </c>
      <c r="E4333" s="1" t="str">
        <f>""</f>
        <v/>
      </c>
      <c r="F4333" s="1" t="s">
        <v>1860</v>
      </c>
      <c r="G4333" s="1" t="str">
        <f>CONCATENATE(" BAZENI.HR D.O.O.,"," PETRA PRERADOVIĆA 3,"," 10410 VELIKA GORICA,"," OIB: 72767284497")</f>
        <v xml:space="preserve"> BAZENI.HR D.O.O., PETRA PRERADOVIĆA 3, 10410 VELIKA GORICA, OIB: 72767284497</v>
      </c>
      <c r="H4333" s="7"/>
      <c r="I4333" s="8" t="s">
        <v>160</v>
      </c>
      <c r="J4333" s="8" t="s">
        <v>3150</v>
      </c>
      <c r="K4333" s="6" t="str">
        <f>"3.370,00"</f>
        <v>3.370,00</v>
      </c>
      <c r="L4333" s="6" t="str">
        <f>"842,50"</f>
        <v>842,50</v>
      </c>
      <c r="M4333" s="6" t="str">
        <f>"4.212,50"</f>
        <v>4.212,50</v>
      </c>
      <c r="N4333" s="8" t="s">
        <v>30</v>
      </c>
      <c r="O4333" s="7"/>
      <c r="P4333" s="2" t="s">
        <v>8200</v>
      </c>
      <c r="Q4333" s="7"/>
      <c r="R4333" s="1"/>
      <c r="S4333" s="1" t="str">
        <f>"J-UN-2022-970"</f>
        <v>J-UN-2022-970</v>
      </c>
      <c r="T4333" s="1" t="s">
        <v>32</v>
      </c>
    </row>
    <row r="4334" spans="1:20" ht="63.75" x14ac:dyDescent="0.25">
      <c r="A4334" s="6">
        <v>4328</v>
      </c>
      <c r="B4334" s="1" t="str">
        <f>"2022-913"</f>
        <v>2022-913</v>
      </c>
      <c r="C4334" s="1" t="s">
        <v>2879</v>
      </c>
      <c r="D4334" s="1" t="s">
        <v>1007</v>
      </c>
      <c r="E4334" s="1" t="str">
        <f>""</f>
        <v/>
      </c>
      <c r="F4334" s="1" t="s">
        <v>1860</v>
      </c>
      <c r="G4334" s="1" t="str">
        <f>CONCATENATE(" CENTAR ZA ISPITIVANJE I UMJERAVANJA D.O.O.,"," SAVICA I. 141,"," 10000 ZAGREB,"," OIB: 98551756049")</f>
        <v xml:space="preserve"> CENTAR ZA ISPITIVANJE I UMJERAVANJA D.O.O., SAVICA I. 141, 10000 ZAGREB, OIB: 98551756049</v>
      </c>
      <c r="H4334" s="7"/>
      <c r="I4334" s="8" t="s">
        <v>160</v>
      </c>
      <c r="J4334" s="8" t="s">
        <v>3150</v>
      </c>
      <c r="K4334" s="6" t="str">
        <f>"2.220,00"</f>
        <v>2.220,00</v>
      </c>
      <c r="L4334" s="6" t="str">
        <f>"555,00"</f>
        <v>555,00</v>
      </c>
      <c r="M4334" s="6" t="str">
        <f>"2.775,00"</f>
        <v>2.775,00</v>
      </c>
      <c r="N4334" s="8" t="s">
        <v>124</v>
      </c>
      <c r="O4334" s="7"/>
      <c r="P4334" s="2" t="s">
        <v>5614</v>
      </c>
      <c r="Q4334" s="7"/>
      <c r="R4334" s="1"/>
      <c r="S4334" s="1" t="str">
        <f>"J-UN-2022-971"</f>
        <v>J-UN-2022-971</v>
      </c>
      <c r="T4334" s="1" t="s">
        <v>32</v>
      </c>
    </row>
    <row r="4335" spans="1:20" ht="63.75" x14ac:dyDescent="0.25">
      <c r="A4335" s="6">
        <v>4329</v>
      </c>
      <c r="B4335" s="1" t="str">
        <f>"2022-600"</f>
        <v>2022-600</v>
      </c>
      <c r="C4335" s="1" t="s">
        <v>2817</v>
      </c>
      <c r="D4335" s="1" t="s">
        <v>2818</v>
      </c>
      <c r="E4335" s="1" t="str">
        <f>""</f>
        <v/>
      </c>
      <c r="F4335" s="1" t="s">
        <v>1860</v>
      </c>
      <c r="G4335" s="1" t="str">
        <f>CONCATENATE(" TOKIĆ D.O.O.,"," ULICA 144. BRIGADE HRVATSKE VOJSKE 1A,"," 10360 SESVETE,"," OIB: 7486748762")</f>
        <v xml:space="preserve"> TOKIĆ D.O.O., ULICA 144. BRIGADE HRVATSKE VOJSKE 1A, 10360 SESVETE, OIB: 7486748762</v>
      </c>
      <c r="H4335" s="7"/>
      <c r="I4335" s="8" t="s">
        <v>897</v>
      </c>
      <c r="J4335" s="8" t="s">
        <v>2336</v>
      </c>
      <c r="K4335" s="6" t="str">
        <f>"2.880,00"</f>
        <v>2.880,00</v>
      </c>
      <c r="L4335" s="6" t="str">
        <f>"720,00"</f>
        <v>720,00</v>
      </c>
      <c r="M4335" s="6" t="str">
        <f>"3.600,00"</f>
        <v>3.600,00</v>
      </c>
      <c r="N4335" s="8" t="s">
        <v>442</v>
      </c>
      <c r="O4335" s="7"/>
      <c r="P4335" s="2" t="s">
        <v>6268</v>
      </c>
      <c r="Q4335" s="7"/>
      <c r="R4335" s="1"/>
      <c r="S4335" s="1" t="str">
        <f>"J-UN-2022-972"</f>
        <v>J-UN-2022-972</v>
      </c>
      <c r="T4335" s="1" t="s">
        <v>32</v>
      </c>
    </row>
    <row r="4336" spans="1:20" ht="63.75" x14ac:dyDescent="0.25">
      <c r="A4336" s="6">
        <v>4330</v>
      </c>
      <c r="B4336" s="1" t="str">
        <f>"2022-186"</f>
        <v>2022-186</v>
      </c>
      <c r="C4336" s="1" t="s">
        <v>2534</v>
      </c>
      <c r="D4336" s="1" t="s">
        <v>2535</v>
      </c>
      <c r="E4336" s="1" t="str">
        <f>""</f>
        <v/>
      </c>
      <c r="F4336" s="1" t="s">
        <v>1860</v>
      </c>
      <c r="G4336" s="1" t="str">
        <f>CONCATENATE(" JULIUS MEINL BONFANTI D.O.O.,"," LJUBLJANSKA ULICA 4,"," 10431 SVETA NEDELJA,"," OIB: 39546130894")</f>
        <v xml:space="preserve"> JULIUS MEINL BONFANTI D.O.O., LJUBLJANSKA ULICA 4, 10431 SVETA NEDELJA, OIB: 39546130894</v>
      </c>
      <c r="H4336" s="7"/>
      <c r="I4336" s="8" t="s">
        <v>1073</v>
      </c>
      <c r="J4336" s="8" t="s">
        <v>2185</v>
      </c>
      <c r="K4336" s="6" t="str">
        <f>"3.720,00"</f>
        <v>3.720,00</v>
      </c>
      <c r="L4336" s="6" t="str">
        <f>"930,00"</f>
        <v>930,00</v>
      </c>
      <c r="M4336" s="6" t="str">
        <f>"4.650,00"</f>
        <v>4.650,00</v>
      </c>
      <c r="N4336" s="8" t="s">
        <v>124</v>
      </c>
      <c r="O4336" s="7"/>
      <c r="P4336" s="2" t="s">
        <v>5614</v>
      </c>
      <c r="Q4336" s="7"/>
      <c r="R4336" s="1"/>
      <c r="S4336" s="1" t="str">
        <f>"J-UN-2022-973"</f>
        <v>J-UN-2022-973</v>
      </c>
      <c r="T4336" s="1" t="s">
        <v>32</v>
      </c>
    </row>
    <row r="4337" spans="1:20" ht="51" x14ac:dyDescent="0.25">
      <c r="A4337" s="6">
        <v>4331</v>
      </c>
      <c r="B4337" s="1" t="str">
        <f>"2022-825"</f>
        <v>2022-825</v>
      </c>
      <c r="C4337" s="1" t="s">
        <v>2492</v>
      </c>
      <c r="D4337" s="1" t="s">
        <v>2493</v>
      </c>
      <c r="E4337" s="1" t="str">
        <f>""</f>
        <v/>
      </c>
      <c r="F4337" s="1" t="s">
        <v>1860</v>
      </c>
      <c r="G4337" s="1" t="str">
        <f>CONCATENATE(" GRADATIN D.O.O.,"," LIVADARSKI PUT 19,"," 10360 SESVETE,"," OIB: 79147056526")</f>
        <v xml:space="preserve"> GRADATIN D.O.O., LIVADARSKI PUT 19, 10360 SESVETE, OIB: 79147056526</v>
      </c>
      <c r="H4337" s="7"/>
      <c r="I4337" s="8" t="s">
        <v>897</v>
      </c>
      <c r="J4337" s="8" t="s">
        <v>2336</v>
      </c>
      <c r="K4337" s="6" t="str">
        <f>"1.726,00"</f>
        <v>1.726,00</v>
      </c>
      <c r="L4337" s="6" t="str">
        <f>"431,50"</f>
        <v>431,50</v>
      </c>
      <c r="M4337" s="6" t="str">
        <f>"2.157,50"</f>
        <v>2.157,50</v>
      </c>
      <c r="N4337" s="8" t="s">
        <v>562</v>
      </c>
      <c r="O4337" s="7"/>
      <c r="P4337" s="2" t="s">
        <v>8201</v>
      </c>
      <c r="Q4337" s="7"/>
      <c r="R4337" s="1"/>
      <c r="S4337" s="1" t="str">
        <f>"J-UN-2022-974"</f>
        <v>J-UN-2022-974</v>
      </c>
      <c r="T4337" s="1" t="s">
        <v>32</v>
      </c>
    </row>
    <row r="4338" spans="1:20" ht="51" x14ac:dyDescent="0.25">
      <c r="A4338" s="6">
        <v>4332</v>
      </c>
      <c r="B4338" s="1" t="str">
        <f>"2022-306"</f>
        <v>2022-306</v>
      </c>
      <c r="C4338" s="1" t="s">
        <v>2692</v>
      </c>
      <c r="D4338" s="1" t="s">
        <v>2693</v>
      </c>
      <c r="E4338" s="1" t="str">
        <f>""</f>
        <v/>
      </c>
      <c r="F4338" s="1" t="s">
        <v>1860</v>
      </c>
      <c r="G4338" s="1" t="str">
        <f>CONCATENATE(" DIATEH D.O.O.,"," HRASTOVIČKA ULICA 33,"," 10250 LUČKO,"," OIB: 36086299082")</f>
        <v xml:space="preserve"> DIATEH D.O.O., HRASTOVIČKA ULICA 33, 10250 LUČKO, OIB: 36086299082</v>
      </c>
      <c r="H4338" s="7"/>
      <c r="I4338" s="8" t="s">
        <v>1073</v>
      </c>
      <c r="J4338" s="8" t="s">
        <v>2185</v>
      </c>
      <c r="K4338" s="6" t="str">
        <f>"12.196,48"</f>
        <v>12.196,48</v>
      </c>
      <c r="L4338" s="6" t="str">
        <f>"3.049,12"</f>
        <v>3.049,12</v>
      </c>
      <c r="M4338" s="6" t="str">
        <f>"15.245,60"</f>
        <v>15.245,60</v>
      </c>
      <c r="N4338" s="8" t="s">
        <v>427</v>
      </c>
      <c r="O4338" s="7"/>
      <c r="P4338" s="2" t="s">
        <v>8202</v>
      </c>
      <c r="Q4338" s="7"/>
      <c r="R4338" s="1"/>
      <c r="S4338" s="1" t="str">
        <f>"J-UN-2022-975"</f>
        <v>J-UN-2022-975</v>
      </c>
      <c r="T4338" s="1" t="s">
        <v>32</v>
      </c>
    </row>
    <row r="4339" spans="1:20" ht="63.75" x14ac:dyDescent="0.25">
      <c r="A4339" s="6">
        <v>4333</v>
      </c>
      <c r="B4339" s="1" t="str">
        <f>"2022-276"</f>
        <v>2022-276</v>
      </c>
      <c r="C4339" s="1" t="s">
        <v>2726</v>
      </c>
      <c r="D4339" s="1" t="s">
        <v>689</v>
      </c>
      <c r="E4339" s="1" t="str">
        <f>""</f>
        <v/>
      </c>
      <c r="F4339" s="1" t="s">
        <v>1860</v>
      </c>
      <c r="G4339" s="1" t="str">
        <f>CONCATENATE(" KEMOBOJA-DUBRAVA D.O.O.,"," AVENIJA DUBRAVA 37,"," 10000 ZAGREB,"," OIB: 6402157427")</f>
        <v xml:space="preserve"> KEMOBOJA-DUBRAVA D.O.O., AVENIJA DUBRAVA 37, 10000 ZAGREB, OIB: 6402157427</v>
      </c>
      <c r="H4339" s="7"/>
      <c r="I4339" s="8" t="s">
        <v>1073</v>
      </c>
      <c r="J4339" s="8" t="s">
        <v>2185</v>
      </c>
      <c r="K4339" s="6" t="str">
        <f>"1.120,00"</f>
        <v>1.120,00</v>
      </c>
      <c r="L4339" s="6" t="str">
        <f>"280,00"</f>
        <v>280,00</v>
      </c>
      <c r="M4339" s="6" t="str">
        <f>"1.400,00"</f>
        <v>1.400,00</v>
      </c>
      <c r="N4339" s="8" t="s">
        <v>124</v>
      </c>
      <c r="O4339" s="7"/>
      <c r="P4339" s="2" t="s">
        <v>5614</v>
      </c>
      <c r="Q4339" s="7"/>
      <c r="R4339" s="1"/>
      <c r="S4339" s="1" t="str">
        <f>"J-UN-2022-976"</f>
        <v>J-UN-2022-976</v>
      </c>
      <c r="T4339" s="1" t="s">
        <v>32</v>
      </c>
    </row>
    <row r="4340" spans="1:20" ht="51" x14ac:dyDescent="0.25">
      <c r="A4340" s="6">
        <v>4334</v>
      </c>
      <c r="B4340" s="1" t="str">
        <f>"2022-452"</f>
        <v>2022-452</v>
      </c>
      <c r="C4340" s="1" t="s">
        <v>2881</v>
      </c>
      <c r="D4340" s="1" t="s">
        <v>2882</v>
      </c>
      <c r="E4340" s="1" t="str">
        <f>""</f>
        <v/>
      </c>
      <c r="F4340" s="1" t="s">
        <v>1860</v>
      </c>
      <c r="G4340" s="1" t="str">
        <f>CONCATENATE(" DEBENC PLUS D. O. O.,"," OSJEČKA 39,"," 51000 RIJEKA,"," OIB: 82510351433")</f>
        <v xml:space="preserve"> DEBENC PLUS D. O. O., OSJEČKA 39, 51000 RIJEKA, OIB: 82510351433</v>
      </c>
      <c r="H4340" s="7"/>
      <c r="I4340" s="8" t="s">
        <v>160</v>
      </c>
      <c r="J4340" s="8" t="s">
        <v>3150</v>
      </c>
      <c r="K4340" s="6" t="str">
        <f>"15.346,00"</f>
        <v>15.346,00</v>
      </c>
      <c r="L4340" s="6" t="str">
        <f>"3.836,50"</f>
        <v>3.836,50</v>
      </c>
      <c r="M4340" s="6" t="str">
        <f>"19.182,50"</f>
        <v>19.182,50</v>
      </c>
      <c r="N4340" s="8" t="s">
        <v>124</v>
      </c>
      <c r="O4340" s="7"/>
      <c r="P4340" s="2" t="s">
        <v>5614</v>
      </c>
      <c r="Q4340" s="7"/>
      <c r="R4340" s="1"/>
      <c r="S4340" s="1" t="str">
        <f>"J-UN-2022-977"</f>
        <v>J-UN-2022-977</v>
      </c>
      <c r="T4340" s="1" t="s">
        <v>32</v>
      </c>
    </row>
    <row r="4341" spans="1:20" ht="63.75" x14ac:dyDescent="0.25">
      <c r="A4341" s="6">
        <v>4335</v>
      </c>
      <c r="B4341" s="1" t="str">
        <f>"2022-600"</f>
        <v>2022-600</v>
      </c>
      <c r="C4341" s="1" t="s">
        <v>2817</v>
      </c>
      <c r="D4341" s="1" t="s">
        <v>2818</v>
      </c>
      <c r="E4341" s="1" t="str">
        <f>""</f>
        <v/>
      </c>
      <c r="F4341" s="1" t="s">
        <v>1860</v>
      </c>
      <c r="G4341" s="1" t="str">
        <f>CONCATENATE(" TOKIĆ D.O.O.,"," ULICA 144. BRIGADE HRVATSKE VOJSKE 1A,"," 10360 SESVETE,"," OIB: 7486748762")</f>
        <v xml:space="preserve"> TOKIĆ D.O.O., ULICA 144. BRIGADE HRVATSKE VOJSKE 1A, 10360 SESVETE, OIB: 7486748762</v>
      </c>
      <c r="H4341" s="7"/>
      <c r="I4341" s="8" t="s">
        <v>1073</v>
      </c>
      <c r="J4341" s="8" t="s">
        <v>2185</v>
      </c>
      <c r="K4341" s="6" t="str">
        <f>"585,00"</f>
        <v>585,00</v>
      </c>
      <c r="L4341" s="6" t="str">
        <f>"146,25"</f>
        <v>146,25</v>
      </c>
      <c r="M4341" s="6" t="str">
        <f>"731,25"</f>
        <v>731,25</v>
      </c>
      <c r="N4341" s="8" t="s">
        <v>773</v>
      </c>
      <c r="O4341" s="7"/>
      <c r="P4341" s="2" t="s">
        <v>8203</v>
      </c>
      <c r="Q4341" s="7"/>
      <c r="R4341" s="1"/>
      <c r="S4341" s="1" t="str">
        <f>"J-UN-2022-979"</f>
        <v>J-UN-2022-979</v>
      </c>
      <c r="T4341" s="1" t="s">
        <v>32</v>
      </c>
    </row>
    <row r="4342" spans="1:20" ht="63.75" x14ac:dyDescent="0.25">
      <c r="A4342" s="6">
        <v>4336</v>
      </c>
      <c r="B4342" s="1" t="str">
        <f>"2022-590"</f>
        <v>2022-590</v>
      </c>
      <c r="C4342" s="1" t="s">
        <v>2898</v>
      </c>
      <c r="D4342" s="1" t="s">
        <v>2899</v>
      </c>
      <c r="E4342" s="1" t="str">
        <f>""</f>
        <v/>
      </c>
      <c r="F4342" s="1" t="s">
        <v>1860</v>
      </c>
      <c r="G4342" s="1" t="str">
        <f>CONCATENATE(" ELEKTRO-KOMUNIKACIJE D.O.O.,"," 14. PODBREŽJE 4,"," 10000 ZAGREB,"," OIB: 76412373309")</f>
        <v xml:space="preserve"> ELEKTRO-KOMUNIKACIJE D.O.O., 14. PODBREŽJE 4, 10000 ZAGREB, OIB: 76412373309</v>
      </c>
      <c r="H4342" s="7"/>
      <c r="I4342" s="8" t="s">
        <v>897</v>
      </c>
      <c r="J4342" s="8" t="s">
        <v>2336</v>
      </c>
      <c r="K4342" s="6" t="str">
        <f>"1.375,00"</f>
        <v>1.375,00</v>
      </c>
      <c r="L4342" s="6" t="str">
        <f>"343,75"</f>
        <v>343,75</v>
      </c>
      <c r="M4342" s="6" t="str">
        <f>"1.718,75"</f>
        <v>1.718,75</v>
      </c>
      <c r="N4342" s="8" t="s">
        <v>124</v>
      </c>
      <c r="O4342" s="7"/>
      <c r="P4342" s="2" t="s">
        <v>5614</v>
      </c>
      <c r="Q4342" s="7"/>
      <c r="R4342" s="1"/>
      <c r="S4342" s="1" t="str">
        <f>"J-UN-2022-980"</f>
        <v>J-UN-2022-980</v>
      </c>
      <c r="T4342" s="1" t="s">
        <v>32</v>
      </c>
    </row>
    <row r="4343" spans="1:20" ht="51" x14ac:dyDescent="0.25">
      <c r="A4343" s="6">
        <v>4337</v>
      </c>
      <c r="B4343" s="1" t="str">
        <f>"2022-1346"</f>
        <v>2022-1346</v>
      </c>
      <c r="C4343" s="1" t="s">
        <v>2811</v>
      </c>
      <c r="D4343" s="1" t="s">
        <v>1859</v>
      </c>
      <c r="E4343" s="1" t="str">
        <f>""</f>
        <v/>
      </c>
      <c r="F4343" s="1" t="s">
        <v>1860</v>
      </c>
      <c r="G4343" s="1" t="str">
        <f>CONCATENATE(" ZITEL EURO CONTROL,"," D.O.O. ZA USLUGE,"," ,"," OIB: 8252587483")</f>
        <v xml:space="preserve"> ZITEL EURO CONTROL, D.O.O. ZA USLUGE, , OIB: 8252587483</v>
      </c>
      <c r="H4343" s="7"/>
      <c r="I4343" s="8" t="s">
        <v>897</v>
      </c>
      <c r="J4343" s="8" t="s">
        <v>2336</v>
      </c>
      <c r="K4343" s="6" t="str">
        <f>"11.850,00"</f>
        <v>11.850,00</v>
      </c>
      <c r="L4343" s="6" t="str">
        <f>"2.962,50"</f>
        <v>2.962,50</v>
      </c>
      <c r="M4343" s="6" t="str">
        <f>"14.812,50"</f>
        <v>14.812,50</v>
      </c>
      <c r="N4343" s="8" t="s">
        <v>124</v>
      </c>
      <c r="O4343" s="7"/>
      <c r="P4343" s="2" t="s">
        <v>5614</v>
      </c>
      <c r="Q4343" s="7"/>
      <c r="R4343" s="1"/>
      <c r="S4343" s="1" t="str">
        <f>"J-UN-2022-981"</f>
        <v>J-UN-2022-981</v>
      </c>
      <c r="T4343" s="1" t="s">
        <v>32</v>
      </c>
    </row>
    <row r="4344" spans="1:20" ht="63.75" x14ac:dyDescent="0.25">
      <c r="A4344" s="6">
        <v>4338</v>
      </c>
      <c r="B4344" s="1" t="str">
        <f>"2022-283"</f>
        <v>2022-283</v>
      </c>
      <c r="C4344" s="1" t="s">
        <v>2722</v>
      </c>
      <c r="D4344" s="1" t="s">
        <v>689</v>
      </c>
      <c r="E4344" s="1" t="str">
        <f>""</f>
        <v/>
      </c>
      <c r="F4344" s="1" t="s">
        <v>1860</v>
      </c>
      <c r="G4344" s="1" t="str">
        <f>CONCATENATE(" NARODNE NOVINE D.D.,"," SAVSKI GAJ XIII. PUT br. 6,"," 10000 ZAGREB,"," OIB: 64546066176")</f>
        <v xml:space="preserve"> NARODNE NOVINE D.D., SAVSKI GAJ XIII. PUT br. 6, 10000 ZAGREB, OIB: 64546066176</v>
      </c>
      <c r="H4344" s="7"/>
      <c r="I4344" s="8" t="s">
        <v>897</v>
      </c>
      <c r="J4344" s="8" t="s">
        <v>2336</v>
      </c>
      <c r="K4344" s="6" t="str">
        <f>"8.000,00"</f>
        <v>8.000,00</v>
      </c>
      <c r="L4344" s="6" t="str">
        <f>"2.000,00"</f>
        <v>2.000,00</v>
      </c>
      <c r="M4344" s="6" t="str">
        <f>"10.000,00"</f>
        <v>10.000,00</v>
      </c>
      <c r="N4344" s="8" t="s">
        <v>1433</v>
      </c>
      <c r="O4344" s="7"/>
      <c r="P4344" s="2" t="s">
        <v>5881</v>
      </c>
      <c r="Q4344" s="7"/>
      <c r="R4344" s="1"/>
      <c r="S4344" s="1" t="str">
        <f>"J-UN-2022-983"</f>
        <v>J-UN-2022-983</v>
      </c>
      <c r="T4344" s="1" t="s">
        <v>32</v>
      </c>
    </row>
    <row r="4345" spans="1:20" ht="51" x14ac:dyDescent="0.25">
      <c r="A4345" s="6">
        <v>4339</v>
      </c>
      <c r="B4345" s="1" t="str">
        <f>"2022-426"</f>
        <v>2022-426</v>
      </c>
      <c r="C4345" s="1" t="s">
        <v>2833</v>
      </c>
      <c r="D4345" s="1" t="s">
        <v>1962</v>
      </c>
      <c r="E4345" s="1" t="str">
        <f>""</f>
        <v/>
      </c>
      <c r="F4345" s="1" t="s">
        <v>1860</v>
      </c>
      <c r="G4345" s="1" t="str">
        <f>CONCATENATE(" DREZGA D.O.O.,"," OBRTNIČKA 2,"," 10437 BESTOVJE,"," OIB: 46535283602")</f>
        <v xml:space="preserve"> DREZGA D.O.O., OBRTNIČKA 2, 10437 BESTOVJE, OIB: 46535283602</v>
      </c>
      <c r="H4345" s="7"/>
      <c r="I4345" s="8" t="s">
        <v>160</v>
      </c>
      <c r="J4345" s="8" t="s">
        <v>3150</v>
      </c>
      <c r="K4345" s="6" t="str">
        <f>"593,60"</f>
        <v>593,60</v>
      </c>
      <c r="L4345" s="6" t="str">
        <f>"148,40"</f>
        <v>148,40</v>
      </c>
      <c r="M4345" s="6" t="str">
        <f>"742,00"</f>
        <v>742,00</v>
      </c>
      <c r="N4345" s="8" t="s">
        <v>287</v>
      </c>
      <c r="O4345" s="7"/>
      <c r="P4345" s="2" t="s">
        <v>8204</v>
      </c>
      <c r="Q4345" s="7"/>
      <c r="R4345" s="1"/>
      <c r="S4345" s="1" t="str">
        <f>"J-UN-2022-984"</f>
        <v>J-UN-2022-984</v>
      </c>
      <c r="T4345" s="1" t="s">
        <v>32</v>
      </c>
    </row>
    <row r="4346" spans="1:20" ht="63.75" x14ac:dyDescent="0.25">
      <c r="A4346" s="6">
        <v>4340</v>
      </c>
      <c r="B4346" s="1" t="str">
        <f>"2022-460"</f>
        <v>2022-460</v>
      </c>
      <c r="C4346" s="1" t="s">
        <v>2793</v>
      </c>
      <c r="D4346" s="1" t="s">
        <v>1619</v>
      </c>
      <c r="E4346" s="1" t="str">
        <f>""</f>
        <v/>
      </c>
      <c r="F4346" s="1" t="s">
        <v>1860</v>
      </c>
      <c r="G4346" s="1" t="str">
        <f>CONCATENATE(" BRILIANT D.O.O. VINKOVCI,"," DILJEVA ULICA 10,"," 32100 VINKOVCI,"," OIB: 26250338198")</f>
        <v xml:space="preserve"> BRILIANT D.O.O. VINKOVCI, DILJEVA ULICA 10, 32100 VINKOVCI, OIB: 26250338198</v>
      </c>
      <c r="H4346" s="7"/>
      <c r="I4346" s="8" t="s">
        <v>1073</v>
      </c>
      <c r="J4346" s="8" t="s">
        <v>2185</v>
      </c>
      <c r="K4346" s="6" t="str">
        <f>"12.085,00"</f>
        <v>12.085,00</v>
      </c>
      <c r="L4346" s="6" t="str">
        <f>"3.021,25"</f>
        <v>3.021,25</v>
      </c>
      <c r="M4346" s="6" t="str">
        <f>"15.106,25"</f>
        <v>15.106,25</v>
      </c>
      <c r="N4346" s="8" t="s">
        <v>564</v>
      </c>
      <c r="O4346" s="7"/>
      <c r="P4346" s="2" t="s">
        <v>8205</v>
      </c>
      <c r="Q4346" s="7"/>
      <c r="R4346" s="1"/>
      <c r="S4346" s="1" t="str">
        <f>"J-UN-2022-986"</f>
        <v>J-UN-2022-986</v>
      </c>
      <c r="T4346" s="1" t="s">
        <v>32</v>
      </c>
    </row>
    <row r="4347" spans="1:20" ht="51" x14ac:dyDescent="0.25">
      <c r="A4347" s="6">
        <v>4341</v>
      </c>
      <c r="B4347" s="1" t="str">
        <f>"2022-1815"</f>
        <v>2022-1815</v>
      </c>
      <c r="C4347" s="1" t="s">
        <v>3141</v>
      </c>
      <c r="D4347" s="1" t="s">
        <v>854</v>
      </c>
      <c r="E4347" s="1" t="str">
        <f>""</f>
        <v/>
      </c>
      <c r="F4347" s="1" t="s">
        <v>1860</v>
      </c>
      <c r="G4347" s="1" t="str">
        <f>CONCATENATE(" JOBING D.O.O.,"," PALISINA 51,"," 52100 PULA,"," OIB: 2062027618")</f>
        <v xml:space="preserve"> JOBING D.O.O., PALISINA 51, 52100 PULA, OIB: 2062027618</v>
      </c>
      <c r="H4347" s="7"/>
      <c r="I4347" s="8" t="s">
        <v>372</v>
      </c>
      <c r="J4347" s="8" t="s">
        <v>2390</v>
      </c>
      <c r="K4347" s="6" t="str">
        <f>"6.170,13"</f>
        <v>6.170,13</v>
      </c>
      <c r="L4347" s="6" t="str">
        <f>"1.542,53"</f>
        <v>1.542,53</v>
      </c>
      <c r="M4347" s="6" t="str">
        <f>"7.712,66"</f>
        <v>7.712,66</v>
      </c>
      <c r="N4347" s="8" t="s">
        <v>124</v>
      </c>
      <c r="O4347" s="7"/>
      <c r="P4347" s="2" t="s">
        <v>5614</v>
      </c>
      <c r="Q4347" s="7"/>
      <c r="R4347" s="1"/>
      <c r="S4347" s="1" t="str">
        <f>"J-UN-2022-988"</f>
        <v>J-UN-2022-988</v>
      </c>
      <c r="T4347" s="1" t="s">
        <v>32</v>
      </c>
    </row>
    <row r="4348" spans="1:20" ht="51" x14ac:dyDescent="0.25">
      <c r="A4348" s="6">
        <v>4342</v>
      </c>
      <c r="B4348" s="1" t="str">
        <f>"2022-257"</f>
        <v>2022-257</v>
      </c>
      <c r="C4348" s="1" t="s">
        <v>2712</v>
      </c>
      <c r="D4348" s="1" t="s">
        <v>2713</v>
      </c>
      <c r="E4348" s="1" t="str">
        <f>""</f>
        <v/>
      </c>
      <c r="F4348" s="1" t="s">
        <v>1860</v>
      </c>
      <c r="G4348" s="1" t="str">
        <f>CONCATENATE(" VODOSKOK D.D.,"," ČULINEČKA CESTA 221/C,"," 10040 ZAGREB,"," OIB: 34134218058")</f>
        <v xml:space="preserve"> VODOSKOK D.D., ČULINEČKA CESTA 221/C, 10040 ZAGREB, OIB: 34134218058</v>
      </c>
      <c r="H4348" s="7"/>
      <c r="I4348" s="8" t="s">
        <v>897</v>
      </c>
      <c r="J4348" s="8" t="s">
        <v>2336</v>
      </c>
      <c r="K4348" s="6" t="str">
        <f>"470,00"</f>
        <v>470,00</v>
      </c>
      <c r="L4348" s="6" t="str">
        <f>"117,50"</f>
        <v>117,50</v>
      </c>
      <c r="M4348" s="6" t="str">
        <f>"587,50"</f>
        <v>587,50</v>
      </c>
      <c r="N4348" s="8" t="s">
        <v>442</v>
      </c>
      <c r="O4348" s="7"/>
      <c r="P4348" s="2" t="s">
        <v>8206</v>
      </c>
      <c r="Q4348" s="7"/>
      <c r="R4348" s="1"/>
      <c r="S4348" s="1" t="str">
        <f>"J-UN-2022-989"</f>
        <v>J-UN-2022-989</v>
      </c>
      <c r="T4348" s="1" t="s">
        <v>32</v>
      </c>
    </row>
    <row r="4349" spans="1:20" ht="51" x14ac:dyDescent="0.25">
      <c r="A4349" s="6">
        <v>4343</v>
      </c>
      <c r="B4349" s="1" t="str">
        <f>"2022-363"</f>
        <v>2022-363</v>
      </c>
      <c r="C4349" s="1" t="s">
        <v>2609</v>
      </c>
      <c r="D4349" s="1" t="s">
        <v>2610</v>
      </c>
      <c r="E4349" s="1" t="str">
        <f>""</f>
        <v/>
      </c>
      <c r="F4349" s="1" t="s">
        <v>1860</v>
      </c>
      <c r="G4349" s="1" t="str">
        <f>CONCATENATE(" SAFIR D.O.O.,"," HORVAĆANSKA 17,"," 10000 ZAGREB,"," OIB: 33548604975")</f>
        <v xml:space="preserve"> SAFIR D.O.O., HORVAĆANSKA 17, 10000 ZAGREB, OIB: 33548604975</v>
      </c>
      <c r="H4349" s="7"/>
      <c r="I4349" s="8" t="s">
        <v>897</v>
      </c>
      <c r="J4349" s="8" t="s">
        <v>2336</v>
      </c>
      <c r="K4349" s="6" t="str">
        <f>"320,00"</f>
        <v>320,00</v>
      </c>
      <c r="L4349" s="6" t="str">
        <f>"80,00"</f>
        <v>80,00</v>
      </c>
      <c r="M4349" s="6" t="str">
        <f>"400,00"</f>
        <v>400,00</v>
      </c>
      <c r="N4349" s="8" t="s">
        <v>469</v>
      </c>
      <c r="O4349" s="7"/>
      <c r="P4349" s="2" t="s">
        <v>7973</v>
      </c>
      <c r="Q4349" s="7"/>
      <c r="R4349" s="1"/>
      <c r="S4349" s="1" t="str">
        <f>"J-UN-2022-990"</f>
        <v>J-UN-2022-990</v>
      </c>
      <c r="T4349" s="1" t="s">
        <v>32</v>
      </c>
    </row>
    <row r="4350" spans="1:20" ht="51" x14ac:dyDescent="0.25">
      <c r="A4350" s="6">
        <v>4344</v>
      </c>
      <c r="B4350" s="1" t="str">
        <f>"2022-709"</f>
        <v>2022-709</v>
      </c>
      <c r="C4350" s="1" t="s">
        <v>2798</v>
      </c>
      <c r="D4350" s="1" t="s">
        <v>914</v>
      </c>
      <c r="E4350" s="1" t="str">
        <f>""</f>
        <v/>
      </c>
      <c r="F4350" s="1" t="s">
        <v>1860</v>
      </c>
      <c r="G4350" s="1" t="str">
        <f>CONCATENATE(" D.R. AUTO D.O.O.,"," SELSKA CESTA 34,"," 10000 ZAGREB,"," OIB: 07523847158")</f>
        <v xml:space="preserve"> D.R. AUTO D.O.O., SELSKA CESTA 34, 10000 ZAGREB, OIB: 07523847158</v>
      </c>
      <c r="H4350" s="7"/>
      <c r="I4350" s="8" t="s">
        <v>160</v>
      </c>
      <c r="J4350" s="8" t="s">
        <v>3150</v>
      </c>
      <c r="K4350" s="6" t="str">
        <f>"2.911,81"</f>
        <v>2.911,81</v>
      </c>
      <c r="L4350" s="6" t="str">
        <f>"727,95"</f>
        <v>727,95</v>
      </c>
      <c r="M4350" s="6" t="str">
        <f>"3.639,76"</f>
        <v>3.639,76</v>
      </c>
      <c r="N4350" s="8" t="s">
        <v>124</v>
      </c>
      <c r="O4350" s="7"/>
      <c r="P4350" s="2" t="s">
        <v>8207</v>
      </c>
      <c r="Q4350" s="7"/>
      <c r="R4350" s="1"/>
      <c r="S4350" s="1" t="str">
        <f>"J-UN-2022-992"</f>
        <v>J-UN-2022-992</v>
      </c>
      <c r="T4350" s="1" t="s">
        <v>32</v>
      </c>
    </row>
    <row r="4351" spans="1:20" ht="51" x14ac:dyDescent="0.25">
      <c r="A4351" s="6">
        <v>4345</v>
      </c>
      <c r="B4351" s="1" t="str">
        <f>"2022-716"</f>
        <v>2022-716</v>
      </c>
      <c r="C4351" s="1" t="s">
        <v>2563</v>
      </c>
      <c r="D4351" s="1" t="s">
        <v>914</v>
      </c>
      <c r="E4351" s="1" t="str">
        <f>""</f>
        <v/>
      </c>
      <c r="F4351" s="1" t="s">
        <v>1860</v>
      </c>
      <c r="G4351" s="1" t="str">
        <f>CONCATENATE(" D.R. AUTO D.O.O.,"," SELSKA CESTA 34,"," 10000 ZAGREB,"," OIB: 07523847158")</f>
        <v xml:space="preserve"> D.R. AUTO D.O.O., SELSKA CESTA 34, 10000 ZAGREB, OIB: 07523847158</v>
      </c>
      <c r="H4351" s="7"/>
      <c r="I4351" s="8" t="s">
        <v>372</v>
      </c>
      <c r="J4351" s="8" t="s">
        <v>2390</v>
      </c>
      <c r="K4351" s="6" t="str">
        <f>"5.073,60"</f>
        <v>5.073,60</v>
      </c>
      <c r="L4351" s="6" t="str">
        <f>"1.268,40"</f>
        <v>1.268,40</v>
      </c>
      <c r="M4351" s="6" t="str">
        <f>"6.342,00"</f>
        <v>6.342,00</v>
      </c>
      <c r="N4351" s="8" t="s">
        <v>124</v>
      </c>
      <c r="O4351" s="7"/>
      <c r="P4351" s="2" t="s">
        <v>5614</v>
      </c>
      <c r="Q4351" s="7"/>
      <c r="R4351" s="1"/>
      <c r="S4351" s="1" t="str">
        <f>"J-UN-2022-993"</f>
        <v>J-UN-2022-993</v>
      </c>
      <c r="T4351" s="1" t="s">
        <v>32</v>
      </c>
    </row>
    <row r="4352" spans="1:20" ht="51" x14ac:dyDescent="0.25">
      <c r="A4352" s="6">
        <v>4346</v>
      </c>
      <c r="B4352" s="1" t="str">
        <f>"2022-1099"</f>
        <v>2022-1099</v>
      </c>
      <c r="C4352" s="1" t="s">
        <v>2996</v>
      </c>
      <c r="D4352" s="1" t="s">
        <v>74</v>
      </c>
      <c r="E4352" s="1" t="str">
        <f>""</f>
        <v/>
      </c>
      <c r="F4352" s="1" t="s">
        <v>1860</v>
      </c>
      <c r="G4352" s="1" t="str">
        <f>CONCATENATE(" PAKOM D. O. O.,"," WOLFFOVA ULICA 6,"," 52100 PULA,"," OIB: 67442775703")</f>
        <v xml:space="preserve"> PAKOM D. O. O., WOLFFOVA ULICA 6, 52100 PULA, OIB: 67442775703</v>
      </c>
      <c r="H4352" s="7"/>
      <c r="I4352" s="8" t="s">
        <v>160</v>
      </c>
      <c r="J4352" s="8" t="s">
        <v>3150</v>
      </c>
      <c r="K4352" s="6" t="str">
        <f>"100.000,00"</f>
        <v>100.000,00</v>
      </c>
      <c r="L4352" s="6" t="str">
        <f>"25.000,00"</f>
        <v>25.000,00</v>
      </c>
      <c r="M4352" s="6" t="str">
        <f>"125.000,00"</f>
        <v>125.000,00</v>
      </c>
      <c r="N4352" s="8" t="s">
        <v>124</v>
      </c>
      <c r="O4352" s="7"/>
      <c r="P4352" s="2" t="s">
        <v>8208</v>
      </c>
      <c r="Q4352" s="1"/>
      <c r="R4352" s="1"/>
      <c r="S4352" s="1" t="str">
        <f>"J-UN-2022-994"</f>
        <v>J-UN-2022-994</v>
      </c>
      <c r="T4352" s="1" t="s">
        <v>32</v>
      </c>
    </row>
    <row r="4353" spans="1:20" ht="51" x14ac:dyDescent="0.25">
      <c r="A4353" s="6">
        <v>4347</v>
      </c>
      <c r="B4353" s="1" t="str">
        <f>"2022-180"</f>
        <v>2022-180</v>
      </c>
      <c r="C4353" s="1" t="s">
        <v>2743</v>
      </c>
      <c r="D4353" s="1" t="s">
        <v>2744</v>
      </c>
      <c r="E4353" s="1" t="str">
        <f>""</f>
        <v/>
      </c>
      <c r="F4353" s="1" t="s">
        <v>1860</v>
      </c>
      <c r="G4353" s="1" t="str">
        <f>CONCATENATE(" VODOSKOK D.D.,"," ČULINEČKA CESTA 221/C,"," 10040 ZAGREB,"," OIB: 34134218058")</f>
        <v xml:space="preserve"> VODOSKOK D.D., ČULINEČKA CESTA 221/C, 10040 ZAGREB, OIB: 34134218058</v>
      </c>
      <c r="H4353" s="7"/>
      <c r="I4353" s="8" t="s">
        <v>1073</v>
      </c>
      <c r="J4353" s="8" t="s">
        <v>2185</v>
      </c>
      <c r="K4353" s="6" t="str">
        <f>"15.500,00"</f>
        <v>15.500,00</v>
      </c>
      <c r="L4353" s="6" t="str">
        <f>"3.875,00"</f>
        <v>3.875,00</v>
      </c>
      <c r="M4353" s="6" t="str">
        <f>"19.375,00"</f>
        <v>19.375,00</v>
      </c>
      <c r="N4353" s="8" t="s">
        <v>723</v>
      </c>
      <c r="O4353" s="7"/>
      <c r="P4353" s="2" t="s">
        <v>8209</v>
      </c>
      <c r="Q4353" s="7"/>
      <c r="R4353" s="1"/>
      <c r="S4353" s="1" t="str">
        <f>"J-UN-2022-996"</f>
        <v>J-UN-2022-996</v>
      </c>
      <c r="T4353" s="1" t="s">
        <v>32</v>
      </c>
    </row>
    <row r="4354" spans="1:20" ht="51" x14ac:dyDescent="0.25">
      <c r="A4354" s="6">
        <v>4348</v>
      </c>
      <c r="B4354" s="1" t="str">
        <f>"2022-377"</f>
        <v>2022-377</v>
      </c>
      <c r="C4354" s="1" t="s">
        <v>2608</v>
      </c>
      <c r="D4354" s="1" t="s">
        <v>1203</v>
      </c>
      <c r="E4354" s="1" t="str">
        <f>""</f>
        <v/>
      </c>
      <c r="F4354" s="1" t="s">
        <v>1860</v>
      </c>
      <c r="G4354" s="1" t="str">
        <f>CONCATENATE(" COMET D.O.O.,"," VARAŽDINSKA 40/C,"," 42220 NOVI MAROF,"," OIB: 48249084626")</f>
        <v xml:space="preserve"> COMET D.O.O., VARAŽDINSKA 40/C, 42220 NOVI MAROF, OIB: 48249084626</v>
      </c>
      <c r="H4354" s="7"/>
      <c r="I4354" s="8" t="s">
        <v>897</v>
      </c>
      <c r="J4354" s="8" t="s">
        <v>2336</v>
      </c>
      <c r="K4354" s="6" t="str">
        <f>"1.874,00"</f>
        <v>1.874,00</v>
      </c>
      <c r="L4354" s="6" t="str">
        <f>"468,50"</f>
        <v>468,50</v>
      </c>
      <c r="M4354" s="6" t="str">
        <f>"2.342,50"</f>
        <v>2.342,50</v>
      </c>
      <c r="N4354" s="8" t="s">
        <v>203</v>
      </c>
      <c r="O4354" s="7"/>
      <c r="P4354" s="2" t="s">
        <v>8210</v>
      </c>
      <c r="Q4354" s="7"/>
      <c r="R4354" s="1"/>
      <c r="S4354" s="1" t="str">
        <f>"J-UN-2022-997"</f>
        <v>J-UN-2022-997</v>
      </c>
      <c r="T4354" s="1" t="s">
        <v>32</v>
      </c>
    </row>
    <row r="4355" spans="1:20" ht="51" x14ac:dyDescent="0.25">
      <c r="A4355" s="6">
        <v>4349</v>
      </c>
      <c r="B4355" s="1" t="str">
        <f>"2022-813"</f>
        <v>2022-813</v>
      </c>
      <c r="C4355" s="1" t="s">
        <v>2844</v>
      </c>
      <c r="D4355" s="1" t="s">
        <v>2716</v>
      </c>
      <c r="E4355" s="1" t="str">
        <f>""</f>
        <v/>
      </c>
      <c r="F4355" s="1" t="s">
        <v>1860</v>
      </c>
      <c r="G4355" s="1" t="str">
        <f>CONCATENATE(" LAGER BAŠIĆ D.O.O.,"," TRGOVAČKA 3,"," 10255 DONJI STUPNIK,"," OIB: 49617677906")</f>
        <v xml:space="preserve"> LAGER BAŠIĆ D.O.O., TRGOVAČKA 3, 10255 DONJI STUPNIK, OIB: 49617677906</v>
      </c>
      <c r="H4355" s="7"/>
      <c r="I4355" s="8" t="s">
        <v>372</v>
      </c>
      <c r="J4355" s="8" t="s">
        <v>2390</v>
      </c>
      <c r="K4355" s="6" t="str">
        <f>"4.126,50"</f>
        <v>4.126,50</v>
      </c>
      <c r="L4355" s="6" t="str">
        <f>"1.031,63"</f>
        <v>1.031,63</v>
      </c>
      <c r="M4355" s="6" t="str">
        <f>"5.158,13"</f>
        <v>5.158,13</v>
      </c>
      <c r="N4355" s="8" t="s">
        <v>124</v>
      </c>
      <c r="O4355" s="7"/>
      <c r="P4355" s="2" t="s">
        <v>5614</v>
      </c>
      <c r="Q4355" s="7"/>
      <c r="R4355" s="1"/>
      <c r="S4355" s="1" t="str">
        <f>"J-UN-2022-998"</f>
        <v>J-UN-2022-998</v>
      </c>
      <c r="T4355" s="1" t="s">
        <v>32</v>
      </c>
    </row>
    <row r="4356" spans="1:20" ht="51" x14ac:dyDescent="0.25">
      <c r="A4356" s="6">
        <v>4350</v>
      </c>
      <c r="B4356" s="1" t="str">
        <f>"2022-427"</f>
        <v>2022-427</v>
      </c>
      <c r="C4356" s="1" t="s">
        <v>3082</v>
      </c>
      <c r="D4356" s="1" t="s">
        <v>2577</v>
      </c>
      <c r="E4356" s="1" t="str">
        <f>""</f>
        <v/>
      </c>
      <c r="F4356" s="1" t="s">
        <v>1860</v>
      </c>
      <c r="G4356" s="1" t="str">
        <f>CONCATENATE(" TPZ D.O.O.,"," NOVOSELSKA 25,"," 10000 ZAGREB,"," OIB: 68119083236")</f>
        <v xml:space="preserve"> TPZ D.O.O., NOVOSELSKA 25, 10000 ZAGREB, OIB: 68119083236</v>
      </c>
      <c r="H4356" s="7"/>
      <c r="I4356" s="8" t="s">
        <v>160</v>
      </c>
      <c r="J4356" s="8" t="s">
        <v>3150</v>
      </c>
      <c r="K4356" s="6" t="str">
        <f>"6.709,84"</f>
        <v>6.709,84</v>
      </c>
      <c r="L4356" s="6" t="str">
        <f>"1.677,46"</f>
        <v>1.677,46</v>
      </c>
      <c r="M4356" s="6" t="str">
        <f>"8.387,30"</f>
        <v>8.387,30</v>
      </c>
      <c r="N4356" s="8" t="s">
        <v>124</v>
      </c>
      <c r="O4356" s="7"/>
      <c r="P4356" s="2" t="s">
        <v>5614</v>
      </c>
      <c r="Q4356" s="7"/>
      <c r="R4356" s="1"/>
      <c r="S4356" s="1" t="str">
        <f>"J-UN-2022-999"</f>
        <v>J-UN-2022-999</v>
      </c>
      <c r="T4356" s="1" t="s">
        <v>32</v>
      </c>
    </row>
    <row r="4357" spans="1:20" ht="63.75" x14ac:dyDescent="0.25">
      <c r="A4357" s="6">
        <v>4351</v>
      </c>
      <c r="B4357" s="1" t="str">
        <f>"2022-262"</f>
        <v>2022-262</v>
      </c>
      <c r="C4357" s="1" t="s">
        <v>2620</v>
      </c>
      <c r="D4357" s="1" t="s">
        <v>665</v>
      </c>
      <c r="E4357" s="1" t="str">
        <f>""</f>
        <v/>
      </c>
      <c r="F4357" s="1" t="s">
        <v>1860</v>
      </c>
      <c r="G4357" s="1" t="str">
        <f>CONCATENATE(" ELEKTRO-KOMUNIKACIJE D.O.O.,"," 14. PODBREŽJE 4,"," 10000 ZAGREB,"," OIB: 76412373309")</f>
        <v xml:space="preserve"> ELEKTRO-KOMUNIKACIJE D.O.O., 14. PODBREŽJE 4, 10000 ZAGREB, OIB: 76412373309</v>
      </c>
      <c r="H4357" s="7"/>
      <c r="I4357" s="8" t="s">
        <v>1073</v>
      </c>
      <c r="J4357" s="8" t="s">
        <v>2185</v>
      </c>
      <c r="K4357" s="6" t="str">
        <f>"7.966,00"</f>
        <v>7.966,00</v>
      </c>
      <c r="L4357" s="6" t="str">
        <f>"1.991,50"</f>
        <v>1.991,50</v>
      </c>
      <c r="M4357" s="6" t="str">
        <f>"9.957,50"</f>
        <v>9.957,50</v>
      </c>
      <c r="N4357" s="8" t="s">
        <v>124</v>
      </c>
      <c r="O4357" s="7"/>
      <c r="P4357" s="2" t="s">
        <v>5614</v>
      </c>
      <c r="Q4357" s="7"/>
      <c r="R4357" s="1"/>
      <c r="S4357" s="1" t="str">
        <f>"J-UN-2022-1000"</f>
        <v>J-UN-2022-1000</v>
      </c>
      <c r="T4357" s="1" t="s">
        <v>32</v>
      </c>
    </row>
    <row r="4358" spans="1:20" ht="63.75" x14ac:dyDescent="0.25">
      <c r="A4358" s="6">
        <v>4352</v>
      </c>
      <c r="B4358" s="1" t="str">
        <f>"2022-1815"</f>
        <v>2022-1815</v>
      </c>
      <c r="C4358" s="1" t="s">
        <v>3141</v>
      </c>
      <c r="D4358" s="1" t="s">
        <v>854</v>
      </c>
      <c r="E4358" s="1" t="str">
        <f>""</f>
        <v/>
      </c>
      <c r="F4358" s="1" t="s">
        <v>1860</v>
      </c>
      <c r="G4358" s="1" t="str">
        <f>CONCATENATE(" EUROCOM D.O.O.,"," POD BREGOM,"," DONJI STUPNIK 8,"," 10255 GORNJI STUPNIK,"," OIB: 61781931283")</f>
        <v xml:space="preserve"> EUROCOM D.O.O., POD BREGOM, DONJI STUPNIK 8, 10255 GORNJI STUPNIK, OIB: 61781931283</v>
      </c>
      <c r="H4358" s="7"/>
      <c r="I4358" s="8" t="s">
        <v>1073</v>
      </c>
      <c r="J4358" s="8" t="s">
        <v>2185</v>
      </c>
      <c r="K4358" s="6" t="str">
        <f>"65.518,60"</f>
        <v>65.518,60</v>
      </c>
      <c r="L4358" s="6" t="str">
        <f>"16.379,65"</f>
        <v>16.379,65</v>
      </c>
      <c r="M4358" s="6" t="str">
        <f>"81.898,25"</f>
        <v>81.898,25</v>
      </c>
      <c r="N4358" s="8" t="s">
        <v>124</v>
      </c>
      <c r="O4358" s="7"/>
      <c r="P4358" s="2" t="s">
        <v>5614</v>
      </c>
      <c r="Q4358" s="7"/>
      <c r="R4358" s="1"/>
      <c r="S4358" s="1" t="str">
        <f>"J-UN-2022-1001"</f>
        <v>J-UN-2022-1001</v>
      </c>
      <c r="T4358" s="1" t="s">
        <v>32</v>
      </c>
    </row>
    <row r="4359" spans="1:20" ht="51" x14ac:dyDescent="0.25">
      <c r="A4359" s="6">
        <v>4353</v>
      </c>
      <c r="B4359" s="1" t="str">
        <f>"2022-159"</f>
        <v>2022-159</v>
      </c>
      <c r="C4359" s="1" t="s">
        <v>2887</v>
      </c>
      <c r="D4359" s="1" t="s">
        <v>1322</v>
      </c>
      <c r="E4359" s="1" t="str">
        <f>""</f>
        <v/>
      </c>
      <c r="F4359" s="1" t="s">
        <v>1860</v>
      </c>
      <c r="G4359" s="1" t="str">
        <f>CONCATENATE(" CONFESTIM D.O.O.,"," FRANJE WOLFA 4,"," 10000 ZAGREB,"," OIB: 08953264659")</f>
        <v xml:space="preserve"> CONFESTIM D.O.O., FRANJE WOLFA 4, 10000 ZAGREB, OIB: 08953264659</v>
      </c>
      <c r="H4359" s="7"/>
      <c r="I4359" s="8" t="s">
        <v>1073</v>
      </c>
      <c r="J4359" s="8" t="s">
        <v>2185</v>
      </c>
      <c r="K4359" s="6" t="str">
        <f>"18.600,00"</f>
        <v>18.600,00</v>
      </c>
      <c r="L4359" s="6" t="str">
        <f>"4.650,00"</f>
        <v>4.650,00</v>
      </c>
      <c r="M4359" s="6" t="str">
        <f>"23.250,00"</f>
        <v>23.250,00</v>
      </c>
      <c r="N4359" s="8" t="s">
        <v>124</v>
      </c>
      <c r="O4359" s="7"/>
      <c r="P4359" s="2" t="s">
        <v>5614</v>
      </c>
      <c r="Q4359" s="7"/>
      <c r="R4359" s="1"/>
      <c r="S4359" s="1" t="str">
        <f>"J-UN-2022-1003"</f>
        <v>J-UN-2022-1003</v>
      </c>
      <c r="T4359" s="1" t="s">
        <v>32</v>
      </c>
    </row>
    <row r="4360" spans="1:20" ht="76.5" x14ac:dyDescent="0.25">
      <c r="A4360" s="6">
        <v>4354</v>
      </c>
      <c r="B4360" s="1" t="str">
        <f>"2022-928"</f>
        <v>2022-928</v>
      </c>
      <c r="C4360" s="1" t="s">
        <v>3073</v>
      </c>
      <c r="D4360" s="1" t="s">
        <v>3074</v>
      </c>
      <c r="E4360" s="1" t="str">
        <f>""</f>
        <v/>
      </c>
      <c r="F4360" s="1" t="s">
        <v>1860</v>
      </c>
      <c r="G4360" s="1" t="str">
        <f>CONCATENATE(" URARSKO - TRGOVAČKI OBRT,"," VL. DALIBOR LEBAROVIĆ,"," MAKSIMIRSKA 52A,"," 10000 ZAGREB,"," OIB: 6718351375")</f>
        <v xml:space="preserve"> URARSKO - TRGOVAČKI OBRT, VL. DALIBOR LEBAROVIĆ, MAKSIMIRSKA 52A, 10000 ZAGREB, OIB: 6718351375</v>
      </c>
      <c r="H4360" s="7"/>
      <c r="I4360" s="8" t="s">
        <v>160</v>
      </c>
      <c r="J4360" s="8" t="s">
        <v>3150</v>
      </c>
      <c r="K4360" s="6" t="str">
        <f>"396,00"</f>
        <v>396,00</v>
      </c>
      <c r="L4360" s="6" t="str">
        <f>"99,00"</f>
        <v>99,00</v>
      </c>
      <c r="M4360" s="6" t="str">
        <f>"495,00"</f>
        <v>495,00</v>
      </c>
      <c r="N4360" s="8" t="s">
        <v>124</v>
      </c>
      <c r="O4360" s="7"/>
      <c r="P4360" s="2" t="s">
        <v>5614</v>
      </c>
      <c r="Q4360" s="7"/>
      <c r="R4360" s="1"/>
      <c r="S4360" s="1" t="str">
        <f>"J-UN-2022-1004"</f>
        <v>J-UN-2022-1004</v>
      </c>
      <c r="T4360" s="1" t="s">
        <v>32</v>
      </c>
    </row>
    <row r="4361" spans="1:20" ht="51" x14ac:dyDescent="0.25">
      <c r="A4361" s="6">
        <v>4355</v>
      </c>
      <c r="B4361" s="1" t="str">
        <f>"2022-491"</f>
        <v>2022-491</v>
      </c>
      <c r="C4361" s="1" t="s">
        <v>2626</v>
      </c>
      <c r="D4361" s="1" t="s">
        <v>2627</v>
      </c>
      <c r="E4361" s="1" t="str">
        <f>""</f>
        <v/>
      </c>
      <c r="F4361" s="1" t="s">
        <v>1860</v>
      </c>
      <c r="G4361" s="1" t="str">
        <f>CONCATENATE(" E-ELMES D.O.O.,"," MATIJE MESIĆA 29A,"," 10370 DUGO SELO,"," OIB: 89958947498")</f>
        <v xml:space="preserve"> E-ELMES D.O.O., MATIJE MESIĆA 29A, 10370 DUGO SELO, OIB: 89958947498</v>
      </c>
      <c r="H4361" s="7"/>
      <c r="I4361" s="8" t="s">
        <v>160</v>
      </c>
      <c r="J4361" s="8" t="s">
        <v>3150</v>
      </c>
      <c r="K4361" s="6" t="str">
        <f>"680,00"</f>
        <v>680,00</v>
      </c>
      <c r="L4361" s="6" t="str">
        <f>"170,00"</f>
        <v>170,00</v>
      </c>
      <c r="M4361" s="6" t="str">
        <f>"850,00"</f>
        <v>850,00</v>
      </c>
      <c r="N4361" s="8" t="s">
        <v>522</v>
      </c>
      <c r="O4361" s="7"/>
      <c r="P4361" s="2" t="s">
        <v>7133</v>
      </c>
      <c r="Q4361" s="7"/>
      <c r="R4361" s="1"/>
      <c r="S4361" s="1" t="str">
        <f>"J-UN-2022-1006"</f>
        <v>J-UN-2022-1006</v>
      </c>
      <c r="T4361" s="1" t="s">
        <v>32</v>
      </c>
    </row>
    <row r="4362" spans="1:20" ht="89.25" x14ac:dyDescent="0.25">
      <c r="A4362" s="6">
        <v>4356</v>
      </c>
      <c r="B4362" s="1" t="str">
        <f>"2022-1381"</f>
        <v>2022-1381</v>
      </c>
      <c r="C4362" s="1" t="s">
        <v>2405</v>
      </c>
      <c r="D4362" s="1" t="s">
        <v>880</v>
      </c>
      <c r="E4362" s="1" t="str">
        <f>""</f>
        <v/>
      </c>
      <c r="F4362" s="1" t="s">
        <v>1860</v>
      </c>
      <c r="G4362" s="1" t="str">
        <f>CONCATENATE(" NASTAVNI ZAVOD ZA JAVNO ZDRAVSTVO PRIMORSKO - GORANSKE ŽUPANIJE,"," KREŠIMIROVA 52/A,"," 51000 RIJEKA,"," OIB: 45613787772")</f>
        <v xml:space="preserve"> NASTAVNI ZAVOD ZA JAVNO ZDRAVSTVO PRIMORSKO - GORANSKE ŽUPANIJE, KREŠIMIROVA 52/A, 51000 RIJEKA, OIB: 45613787772</v>
      </c>
      <c r="H4362" s="7"/>
      <c r="I4362" s="8" t="s">
        <v>160</v>
      </c>
      <c r="J4362" s="8" t="s">
        <v>3150</v>
      </c>
      <c r="K4362" s="6" t="str">
        <f>"1.980,00"</f>
        <v>1.980,00</v>
      </c>
      <c r="L4362" s="6" t="str">
        <f>"495,00"</f>
        <v>495,00</v>
      </c>
      <c r="M4362" s="6" t="str">
        <f>"2.475,00"</f>
        <v>2.475,00</v>
      </c>
      <c r="N4362" s="8" t="s">
        <v>124</v>
      </c>
      <c r="O4362" s="7"/>
      <c r="P4362" s="2" t="s">
        <v>5614</v>
      </c>
      <c r="Q4362" s="7"/>
      <c r="R4362" s="1"/>
      <c r="S4362" s="1" t="str">
        <f>"J-UN-2022-1007"</f>
        <v>J-UN-2022-1007</v>
      </c>
      <c r="T4362" s="1" t="s">
        <v>32</v>
      </c>
    </row>
    <row r="4363" spans="1:20" ht="51" x14ac:dyDescent="0.25">
      <c r="A4363" s="6">
        <v>4357</v>
      </c>
      <c r="B4363" s="1" t="str">
        <f>"2022-222"</f>
        <v>2022-222</v>
      </c>
      <c r="C4363" s="1" t="s">
        <v>2841</v>
      </c>
      <c r="D4363" s="1" t="s">
        <v>2842</v>
      </c>
      <c r="E4363" s="1" t="str">
        <f>""</f>
        <v/>
      </c>
      <c r="F4363" s="1" t="s">
        <v>1860</v>
      </c>
      <c r="G4363" s="1" t="str">
        <f>CONCATENATE(" DIGITALNI TAHOGRAF D.O.O.,"," VENTILATORSKA 8A,"," 10250 LUČKO,"," OIB: 56290033854")</f>
        <v xml:space="preserve"> DIGITALNI TAHOGRAF D.O.O., VENTILATORSKA 8A, 10250 LUČKO, OIB: 56290033854</v>
      </c>
      <c r="H4363" s="7"/>
      <c r="I4363" s="8" t="s">
        <v>897</v>
      </c>
      <c r="J4363" s="8" t="s">
        <v>2336</v>
      </c>
      <c r="K4363" s="6" t="str">
        <f>"1.142,50"</f>
        <v>1.142,50</v>
      </c>
      <c r="L4363" s="6" t="str">
        <f>"285,63"</f>
        <v>285,63</v>
      </c>
      <c r="M4363" s="6" t="str">
        <f>"1.428,13"</f>
        <v>1.428,13</v>
      </c>
      <c r="N4363" s="8" t="s">
        <v>124</v>
      </c>
      <c r="O4363" s="7"/>
      <c r="P4363" s="2" t="s">
        <v>5614</v>
      </c>
      <c r="Q4363" s="7"/>
      <c r="R4363" s="1"/>
      <c r="S4363" s="1" t="str">
        <f>"J-UN-2022-1008"</f>
        <v>J-UN-2022-1008</v>
      </c>
      <c r="T4363" s="1" t="s">
        <v>32</v>
      </c>
    </row>
    <row r="4364" spans="1:20" ht="51" x14ac:dyDescent="0.25">
      <c r="A4364" s="6">
        <v>4358</v>
      </c>
      <c r="B4364" s="1" t="str">
        <f>"2022-855"</f>
        <v>2022-855</v>
      </c>
      <c r="C4364" s="1" t="s">
        <v>3149</v>
      </c>
      <c r="D4364" s="1" t="s">
        <v>837</v>
      </c>
      <c r="E4364" s="1" t="str">
        <f>""</f>
        <v/>
      </c>
      <c r="F4364" s="1" t="s">
        <v>1860</v>
      </c>
      <c r="G4364" s="1" t="str">
        <f>CONCATENATE(" MLINAR D.D.,"," RADNIČKA CESTA 228 C,"," 10000 ZAGREB,"," OIB: 62296711978")</f>
        <v xml:space="preserve"> MLINAR D.D., RADNIČKA CESTA 228 C, 10000 ZAGREB, OIB: 62296711978</v>
      </c>
      <c r="H4364" s="7"/>
      <c r="I4364" s="8" t="s">
        <v>160</v>
      </c>
      <c r="J4364" s="8" t="s">
        <v>3150</v>
      </c>
      <c r="K4364" s="6" t="str">
        <f>"48.485,00"</f>
        <v>48.485,00</v>
      </c>
      <c r="L4364" s="6" t="str">
        <f>"12.121,25"</f>
        <v>12.121,25</v>
      </c>
      <c r="M4364" s="6" t="str">
        <f>"60.606,25"</f>
        <v>60.606,25</v>
      </c>
      <c r="N4364" s="8" t="s">
        <v>124</v>
      </c>
      <c r="O4364" s="7"/>
      <c r="P4364" s="2" t="s">
        <v>8211</v>
      </c>
      <c r="Q4364" s="7"/>
      <c r="R4364" s="1"/>
      <c r="S4364" s="1" t="str">
        <f>"J-UN-2022-1010"</f>
        <v>J-UN-2022-1010</v>
      </c>
      <c r="T4364" s="1" t="s">
        <v>32</v>
      </c>
    </row>
    <row r="4365" spans="1:20" ht="51" x14ac:dyDescent="0.25">
      <c r="A4365" s="6">
        <v>4359</v>
      </c>
      <c r="B4365" s="1" t="str">
        <f>"2022-1448"</f>
        <v>2022-1448</v>
      </c>
      <c r="C4365" s="1" t="s">
        <v>3049</v>
      </c>
      <c r="D4365" s="1" t="s">
        <v>2241</v>
      </c>
      <c r="E4365" s="1" t="str">
        <f>""</f>
        <v/>
      </c>
      <c r="F4365" s="1" t="s">
        <v>1860</v>
      </c>
      <c r="G4365" s="1" t="str">
        <f>CONCATENATE(" AUTO BENUSSI D.O.O.,"," INDUSTRIJSKA 2D,"," 52100 PULA,"," OIB: 96262119913")</f>
        <v xml:space="preserve"> AUTO BENUSSI D.O.O., INDUSTRIJSKA 2D, 52100 PULA, OIB: 96262119913</v>
      </c>
      <c r="H4365" s="7"/>
      <c r="I4365" s="8" t="s">
        <v>160</v>
      </c>
      <c r="J4365" s="8" t="s">
        <v>3150</v>
      </c>
      <c r="K4365" s="6" t="str">
        <f>"39.600,00"</f>
        <v>39.600,00</v>
      </c>
      <c r="L4365" s="6" t="str">
        <f>"9.900,00"</f>
        <v>9.900,00</v>
      </c>
      <c r="M4365" s="6" t="str">
        <f>"49.500,00"</f>
        <v>49.500,00</v>
      </c>
      <c r="N4365" s="8" t="s">
        <v>124</v>
      </c>
      <c r="O4365" s="7"/>
      <c r="P4365" s="2" t="s">
        <v>6691</v>
      </c>
      <c r="Q4365" s="7"/>
      <c r="R4365" s="1"/>
      <c r="S4365" s="1" t="str">
        <f>"J-UN-2022-1012"</f>
        <v>J-UN-2022-1012</v>
      </c>
      <c r="T4365" s="1" t="s">
        <v>32</v>
      </c>
    </row>
    <row r="4366" spans="1:20" ht="51" x14ac:dyDescent="0.25">
      <c r="A4366" s="6">
        <v>4360</v>
      </c>
      <c r="B4366" s="1" t="str">
        <f>"2022-535"</f>
        <v>2022-535</v>
      </c>
      <c r="C4366" s="1" t="s">
        <v>2561</v>
      </c>
      <c r="D4366" s="1" t="s">
        <v>2156</v>
      </c>
      <c r="E4366" s="1" t="str">
        <f>""</f>
        <v/>
      </c>
      <c r="F4366" s="1" t="s">
        <v>1860</v>
      </c>
      <c r="G4366" s="1" t="str">
        <f>CONCATENATE(" LIMES PLUS D.O.O.,"," KAMENARKA 29,"," 10000 ZAGREB,"," OIB: 57560191883")</f>
        <v xml:space="preserve"> LIMES PLUS D.O.O., KAMENARKA 29, 10000 ZAGREB, OIB: 57560191883</v>
      </c>
      <c r="H4366" s="7"/>
      <c r="I4366" s="8" t="s">
        <v>160</v>
      </c>
      <c r="J4366" s="8" t="s">
        <v>3150</v>
      </c>
      <c r="K4366" s="6" t="str">
        <f>"812,00"</f>
        <v>812,00</v>
      </c>
      <c r="L4366" s="6" t="str">
        <f>"203,00"</f>
        <v>203,00</v>
      </c>
      <c r="M4366" s="6" t="str">
        <f>"1.015,00"</f>
        <v>1.015,00</v>
      </c>
      <c r="N4366" s="8" t="s">
        <v>272</v>
      </c>
      <c r="O4366" s="7"/>
      <c r="P4366" s="2" t="s">
        <v>8212</v>
      </c>
      <c r="Q4366" s="7"/>
      <c r="R4366" s="1"/>
      <c r="S4366" s="1" t="str">
        <f>"J-UN-2022-1021"</f>
        <v>J-UN-2022-1021</v>
      </c>
      <c r="T4366" s="1" t="s">
        <v>32</v>
      </c>
    </row>
    <row r="4367" spans="1:20" ht="63.75" x14ac:dyDescent="0.25">
      <c r="A4367" s="6">
        <v>4361</v>
      </c>
      <c r="B4367" s="1" t="str">
        <f>"2022-104"</f>
        <v>2022-104</v>
      </c>
      <c r="C4367" s="1" t="s">
        <v>2786</v>
      </c>
      <c r="D4367" s="1" t="s">
        <v>476</v>
      </c>
      <c r="E4367" s="1" t="str">
        <f>""</f>
        <v/>
      </c>
      <c r="F4367" s="1" t="s">
        <v>1860</v>
      </c>
      <c r="G4367" s="1" t="str">
        <f>CONCATENATE(" HGSPOT GRUPA D.O.O.,"," AVENIJA DUBROVNIK 46,"," 10000 ZAGREB,"," OIB: 655538795")</f>
        <v xml:space="preserve"> HGSPOT GRUPA D.O.O., AVENIJA DUBROVNIK 46, 10000 ZAGREB, OIB: 655538795</v>
      </c>
      <c r="H4367" s="7"/>
      <c r="I4367" s="8" t="s">
        <v>160</v>
      </c>
      <c r="J4367" s="8" t="s">
        <v>3150</v>
      </c>
      <c r="K4367" s="6" t="str">
        <f>"5.176,06"</f>
        <v>5.176,06</v>
      </c>
      <c r="L4367" s="6" t="str">
        <f>"1.294,02"</f>
        <v>1.294,02</v>
      </c>
      <c r="M4367" s="6" t="str">
        <f>"6.470,08"</f>
        <v>6.470,08</v>
      </c>
      <c r="N4367" s="8" t="s">
        <v>897</v>
      </c>
      <c r="O4367" s="7"/>
      <c r="P4367" s="2" t="s">
        <v>8213</v>
      </c>
      <c r="Q4367" s="7"/>
      <c r="R4367" s="1"/>
      <c r="S4367" s="1" t="str">
        <f>"J-UN-2022-1022"</f>
        <v>J-UN-2022-1022</v>
      </c>
      <c r="T4367" s="1" t="s">
        <v>32</v>
      </c>
    </row>
    <row r="4368" spans="1:20" ht="63.75" x14ac:dyDescent="0.25">
      <c r="A4368" s="6">
        <v>4362</v>
      </c>
      <c r="B4368" s="1" t="str">
        <f>"2022-1938"</f>
        <v>2022-1938</v>
      </c>
      <c r="C4368" s="1" t="s">
        <v>3151</v>
      </c>
      <c r="D4368" s="1" t="s">
        <v>3152</v>
      </c>
      <c r="E4368" s="1" t="str">
        <f>""</f>
        <v/>
      </c>
      <c r="F4368" s="1" t="s">
        <v>1860</v>
      </c>
      <c r="G4368" s="1" t="str">
        <f>CONCATENATE(" N.O.K.O. D.O.O.,"," JABLANSKA 38,"," 10000 ZAGREB,"," OIB: 3925967868")</f>
        <v xml:space="preserve"> N.O.K.O. D.O.O., JABLANSKA 38, 10000 ZAGREB, OIB: 3925967868</v>
      </c>
      <c r="H4368" s="7"/>
      <c r="I4368" s="8" t="s">
        <v>897</v>
      </c>
      <c r="J4368" s="8" t="s">
        <v>2336</v>
      </c>
      <c r="K4368" s="6" t="str">
        <f>"44.520,00"</f>
        <v>44.520,00</v>
      </c>
      <c r="L4368" s="6" t="str">
        <f>"11.130,00"</f>
        <v>11.130,00</v>
      </c>
      <c r="M4368" s="6" t="str">
        <f>"55.650,00"</f>
        <v>55.650,00</v>
      </c>
      <c r="N4368" s="8" t="s">
        <v>124</v>
      </c>
      <c r="O4368" s="7"/>
      <c r="P4368" s="2" t="s">
        <v>5614</v>
      </c>
      <c r="Q4368" s="7"/>
      <c r="R4368" s="1"/>
      <c r="S4368" s="1" t="str">
        <f>"J-UN-2022-1026"</f>
        <v>J-UN-2022-1026</v>
      </c>
      <c r="T4368" s="1" t="s">
        <v>32</v>
      </c>
    </row>
    <row r="4369" spans="1:20" ht="63.75" x14ac:dyDescent="0.25">
      <c r="A4369" s="6">
        <v>4363</v>
      </c>
      <c r="B4369" s="1" t="str">
        <f>"2022-777"</f>
        <v>2022-777</v>
      </c>
      <c r="C4369" s="1" t="s">
        <v>2796</v>
      </c>
      <c r="D4369" s="1" t="s">
        <v>2797</v>
      </c>
      <c r="E4369" s="1" t="str">
        <f>""</f>
        <v/>
      </c>
      <c r="F4369" s="1" t="s">
        <v>1860</v>
      </c>
      <c r="G4369" s="1" t="str">
        <f>CONCATENATE(" HIDROMEHANIKA D.O.O.,"," SLAVONSKA AVENIJA 26/10,"," 10000 ZAGREB,"," OIB: 9178029895")</f>
        <v xml:space="preserve"> HIDROMEHANIKA D.O.O., SLAVONSKA AVENIJA 26/10, 10000 ZAGREB, OIB: 9178029895</v>
      </c>
      <c r="H4369" s="7"/>
      <c r="I4369" s="8" t="s">
        <v>426</v>
      </c>
      <c r="J4369" s="8" t="s">
        <v>3153</v>
      </c>
      <c r="K4369" s="6" t="str">
        <f>"18.905,00"</f>
        <v>18.905,00</v>
      </c>
      <c r="L4369" s="6" t="str">
        <f>"4.726,25"</f>
        <v>4.726,25</v>
      </c>
      <c r="M4369" s="6" t="str">
        <f>"23.631,25"</f>
        <v>23.631,25</v>
      </c>
      <c r="N4369" s="8" t="s">
        <v>124</v>
      </c>
      <c r="O4369" s="7"/>
      <c r="P4369" s="2" t="s">
        <v>5614</v>
      </c>
      <c r="Q4369" s="7"/>
      <c r="R4369" s="1"/>
      <c r="S4369" s="1" t="str">
        <f>"J-UN-2022-1034"</f>
        <v>J-UN-2022-1034</v>
      </c>
      <c r="T4369" s="1" t="s">
        <v>32</v>
      </c>
    </row>
    <row r="4370" spans="1:20" ht="51" x14ac:dyDescent="0.25">
      <c r="A4370" s="6">
        <v>4364</v>
      </c>
      <c r="B4370" s="1" t="str">
        <f>"2022-1346"</f>
        <v>2022-1346</v>
      </c>
      <c r="C4370" s="1" t="s">
        <v>2811</v>
      </c>
      <c r="D4370" s="1" t="s">
        <v>1859</v>
      </c>
      <c r="E4370" s="1" t="str">
        <f>""</f>
        <v/>
      </c>
      <c r="F4370" s="1" t="s">
        <v>1860</v>
      </c>
      <c r="G4370" s="1" t="str">
        <f>CONCATENATE(" ZIRS UČILIŠTE,"," ULICA GRADA VUKOVARA 68,"," 10000 ZAGREB,"," OIB: 22228764473")</f>
        <v xml:space="preserve"> ZIRS UČILIŠTE, ULICA GRADA VUKOVARA 68, 10000 ZAGREB, OIB: 22228764473</v>
      </c>
      <c r="H4370" s="7"/>
      <c r="I4370" s="8" t="s">
        <v>905</v>
      </c>
      <c r="J4370" s="8" t="s">
        <v>3154</v>
      </c>
      <c r="K4370" s="6" t="str">
        <f>"8.521,00"</f>
        <v>8.521,00</v>
      </c>
      <c r="L4370" s="6" t="str">
        <f>"2.130,25"</f>
        <v>2.130,25</v>
      </c>
      <c r="M4370" s="6" t="str">
        <f>"10.651,25"</f>
        <v>10.651,25</v>
      </c>
      <c r="N4370" s="8" t="s">
        <v>124</v>
      </c>
      <c r="O4370" s="7"/>
      <c r="P4370" s="2" t="s">
        <v>5614</v>
      </c>
      <c r="Q4370" s="7"/>
      <c r="R4370" s="1"/>
      <c r="S4370" s="1" t="str">
        <f>"J-UN-2022-1036"</f>
        <v>J-UN-2022-1036</v>
      </c>
      <c r="T4370" s="1" t="s">
        <v>32</v>
      </c>
    </row>
    <row r="4371" spans="1:20" ht="76.5" x14ac:dyDescent="0.25">
      <c r="A4371" s="6">
        <v>4365</v>
      </c>
      <c r="B4371" s="1" t="str">
        <f>"2022-1814"</f>
        <v>2022-1814</v>
      </c>
      <c r="C4371" s="1" t="s">
        <v>3147</v>
      </c>
      <c r="D4371" s="1" t="s">
        <v>3148</v>
      </c>
      <c r="E4371" s="1" t="str">
        <f>""</f>
        <v/>
      </c>
      <c r="F4371" s="1" t="s">
        <v>1860</v>
      </c>
      <c r="G4371" s="1" t="str">
        <f>CONCATENATE(" EUROTRADE D. O. O.,"," GOSPODARSKA ZONA GRIPOLE-SPINE bb,"," 52210 ROVINJ (ROVIGNO),"," OIB: 31138585832")</f>
        <v xml:space="preserve"> EUROTRADE D. O. O., GOSPODARSKA ZONA GRIPOLE-SPINE bb, 52210 ROVINJ (ROVIGNO), OIB: 31138585832</v>
      </c>
      <c r="H4371" s="7"/>
      <c r="I4371" s="8" t="s">
        <v>406</v>
      </c>
      <c r="J4371" s="8" t="s">
        <v>3155</v>
      </c>
      <c r="K4371" s="6" t="str">
        <f>"26.447,19"</f>
        <v>26.447,19</v>
      </c>
      <c r="L4371" s="6" t="str">
        <f>"6.611,80"</f>
        <v>6.611,80</v>
      </c>
      <c r="M4371" s="6" t="str">
        <f>"33.058,99"</f>
        <v>33.058,99</v>
      </c>
      <c r="N4371" s="8" t="s">
        <v>402</v>
      </c>
      <c r="O4371" s="7"/>
      <c r="P4371" s="2" t="s">
        <v>8214</v>
      </c>
      <c r="Q4371" s="7"/>
      <c r="R4371" s="1"/>
      <c r="S4371" s="1" t="str">
        <f>"J-UN-2022-1037"</f>
        <v>J-UN-2022-1037</v>
      </c>
      <c r="T4371" s="1" t="s">
        <v>32</v>
      </c>
    </row>
    <row r="4372" spans="1:20" ht="63.75" x14ac:dyDescent="0.25">
      <c r="A4372" s="6">
        <v>4366</v>
      </c>
      <c r="B4372" s="1" t="str">
        <f>"2022-243"</f>
        <v>2022-243</v>
      </c>
      <c r="C4372" s="1" t="s">
        <v>2621</v>
      </c>
      <c r="D4372" s="1" t="s">
        <v>2622</v>
      </c>
      <c r="E4372" s="1" t="str">
        <f>""</f>
        <v/>
      </c>
      <c r="F4372" s="1" t="s">
        <v>1860</v>
      </c>
      <c r="G4372" s="1" t="str">
        <f>CONCATENATE(" TOKIĆ D.O.O.,"," ULICA 144. BRIGADE HRVATSKE VOJSKE 1A,"," 10360 SESVETE,"," OIB: 7486748762")</f>
        <v xml:space="preserve"> TOKIĆ D.O.O., ULICA 144. BRIGADE HRVATSKE VOJSKE 1A, 10360 SESVETE, OIB: 7486748762</v>
      </c>
      <c r="H4372" s="7"/>
      <c r="I4372" s="8" t="s">
        <v>426</v>
      </c>
      <c r="J4372" s="8" t="s">
        <v>3153</v>
      </c>
      <c r="K4372" s="6" t="str">
        <f>"890,00"</f>
        <v>890,00</v>
      </c>
      <c r="L4372" s="6" t="str">
        <f>"222,50"</f>
        <v>222,50</v>
      </c>
      <c r="M4372" s="6" t="str">
        <f>"1.112,50"</f>
        <v>1.112,50</v>
      </c>
      <c r="N4372" s="8" t="s">
        <v>773</v>
      </c>
      <c r="O4372" s="7"/>
      <c r="P4372" s="2" t="s">
        <v>8215</v>
      </c>
      <c r="Q4372" s="7"/>
      <c r="R4372" s="1"/>
      <c r="S4372" s="1" t="str">
        <f>"J-UN-2022-1038"</f>
        <v>J-UN-2022-1038</v>
      </c>
      <c r="T4372" s="1" t="s">
        <v>32</v>
      </c>
    </row>
    <row r="4373" spans="1:20" ht="63.75" x14ac:dyDescent="0.25">
      <c r="A4373" s="6">
        <v>4367</v>
      </c>
      <c r="B4373" s="1" t="str">
        <f>"2022-484"</f>
        <v>2022-484</v>
      </c>
      <c r="C4373" s="1" t="s">
        <v>3156</v>
      </c>
      <c r="D4373" s="1" t="s">
        <v>619</v>
      </c>
      <c r="E4373" s="1" t="str">
        <f>""</f>
        <v/>
      </c>
      <c r="F4373" s="1" t="s">
        <v>1860</v>
      </c>
      <c r="G4373" s="1" t="str">
        <f>CONCATENATE(" TERRA JASKA D.O.O.,"," ULICA KRALJA TOMISLAVA 20,"," 10434 STRMEC SAMOBORSKI,"," OIB: 8118447057")</f>
        <v xml:space="preserve"> TERRA JASKA D.O.O., ULICA KRALJA TOMISLAVA 20, 10434 STRMEC SAMOBORSKI, OIB: 8118447057</v>
      </c>
      <c r="H4373" s="7"/>
      <c r="I4373" s="8" t="s">
        <v>426</v>
      </c>
      <c r="J4373" s="8" t="s">
        <v>3153</v>
      </c>
      <c r="K4373" s="6" t="str">
        <f>"2.505,89"</f>
        <v>2.505,89</v>
      </c>
      <c r="L4373" s="6" t="str">
        <f>"626,47"</f>
        <v>626,47</v>
      </c>
      <c r="M4373" s="6" t="str">
        <f>"3.132,36"</f>
        <v>3.132,36</v>
      </c>
      <c r="N4373" s="8" t="s">
        <v>773</v>
      </c>
      <c r="O4373" s="7"/>
      <c r="P4373" s="2" t="s">
        <v>8216</v>
      </c>
      <c r="Q4373" s="7"/>
      <c r="R4373" s="1"/>
      <c r="S4373" s="1" t="str">
        <f>"J-UN-2022-1040"</f>
        <v>J-UN-2022-1040</v>
      </c>
      <c r="T4373" s="1" t="s">
        <v>32</v>
      </c>
    </row>
    <row r="4374" spans="1:20" ht="63.75" x14ac:dyDescent="0.25">
      <c r="A4374" s="6">
        <v>4368</v>
      </c>
      <c r="B4374" s="1" t="str">
        <f>"2022-602"</f>
        <v>2022-602</v>
      </c>
      <c r="C4374" s="1" t="s">
        <v>2642</v>
      </c>
      <c r="D4374" s="1" t="s">
        <v>1236</v>
      </c>
      <c r="E4374" s="1" t="str">
        <f>""</f>
        <v/>
      </c>
      <c r="F4374" s="1" t="s">
        <v>1860</v>
      </c>
      <c r="G4374" s="1" t="str">
        <f>CONCATENATE(" SECURITAS HRVATSKA D.O.O.,"," ZAGREBAČKA CESTA 145A,"," 10000 ZAGREB,"," OIB: 33679708526")</f>
        <v xml:space="preserve"> SECURITAS HRVATSKA D.O.O., ZAGREBAČKA CESTA 145A, 10000 ZAGREB, OIB: 33679708526</v>
      </c>
      <c r="H4374" s="7"/>
      <c r="I4374" s="8" t="s">
        <v>897</v>
      </c>
      <c r="J4374" s="8" t="s">
        <v>2336</v>
      </c>
      <c r="K4374" s="6" t="str">
        <f>"15.985,00"</f>
        <v>15.985,00</v>
      </c>
      <c r="L4374" s="6" t="str">
        <f>"3.996,25"</f>
        <v>3.996,25</v>
      </c>
      <c r="M4374" s="6" t="str">
        <f>"19.981,25"</f>
        <v>19.981,25</v>
      </c>
      <c r="N4374" s="8" t="s">
        <v>124</v>
      </c>
      <c r="O4374" s="7"/>
      <c r="P4374" s="2" t="s">
        <v>5614</v>
      </c>
      <c r="Q4374" s="7"/>
      <c r="R4374" s="1"/>
      <c r="S4374" s="1" t="str">
        <f>"J-UN-2022-1041"</f>
        <v>J-UN-2022-1041</v>
      </c>
      <c r="T4374" s="1" t="s">
        <v>32</v>
      </c>
    </row>
    <row r="4375" spans="1:20" ht="51" x14ac:dyDescent="0.25">
      <c r="A4375" s="6">
        <v>4369</v>
      </c>
      <c r="B4375" s="1" t="str">
        <f>"2022-993"</f>
        <v>2022-993</v>
      </c>
      <c r="C4375" s="1" t="s">
        <v>2850</v>
      </c>
      <c r="D4375" s="1" t="s">
        <v>229</v>
      </c>
      <c r="E4375" s="1" t="str">
        <f>""</f>
        <v/>
      </c>
      <c r="F4375" s="1" t="s">
        <v>1860</v>
      </c>
      <c r="G4375" s="1" t="str">
        <f>CONCATENATE(" ENERGONOVA D.O.O.,"," NOVAČKA 333,"," 10040 ZAGREB-DUBRAVA,"," OIB: 13653098314")</f>
        <v xml:space="preserve"> ENERGONOVA D.O.O., NOVAČKA 333, 10040 ZAGREB-DUBRAVA, OIB: 13653098314</v>
      </c>
      <c r="H4375" s="7"/>
      <c r="I4375" s="8" t="s">
        <v>1073</v>
      </c>
      <c r="J4375" s="8" t="s">
        <v>2185</v>
      </c>
      <c r="K4375" s="6" t="str">
        <f>"7.120,00"</f>
        <v>7.120,00</v>
      </c>
      <c r="L4375" s="6" t="str">
        <f>"1.780,00"</f>
        <v>1.780,00</v>
      </c>
      <c r="M4375" s="6" t="str">
        <f>"8.900,00"</f>
        <v>8.900,00</v>
      </c>
      <c r="N4375" s="8" t="s">
        <v>1155</v>
      </c>
      <c r="O4375" s="7"/>
      <c r="P4375" s="2" t="s">
        <v>8217</v>
      </c>
      <c r="Q4375" s="7"/>
      <c r="R4375" s="1"/>
      <c r="S4375" s="1" t="str">
        <f>"J-UN-2022-1042"</f>
        <v>J-UN-2022-1042</v>
      </c>
      <c r="T4375" s="1" t="s">
        <v>32</v>
      </c>
    </row>
    <row r="4376" spans="1:20" ht="51" x14ac:dyDescent="0.25">
      <c r="A4376" s="6">
        <v>4370</v>
      </c>
      <c r="B4376" s="1" t="str">
        <f>"2022-1238"</f>
        <v>2022-1238</v>
      </c>
      <c r="C4376" s="1" t="s">
        <v>3102</v>
      </c>
      <c r="D4376" s="1" t="s">
        <v>2631</v>
      </c>
      <c r="E4376" s="1" t="str">
        <f>""</f>
        <v/>
      </c>
      <c r="F4376" s="1" t="s">
        <v>1860</v>
      </c>
      <c r="G4376" s="1" t="str">
        <f>CONCATENATE(" INVENTA D.O.O.,"," ULICA GRADA VUKOVARA 284,"," 10000 ZAGREB,"," OIB: 99213847706")</f>
        <v xml:space="preserve"> INVENTA D.O.O., ULICA GRADA VUKOVARA 284, 10000 ZAGREB, OIB: 99213847706</v>
      </c>
      <c r="H4376" s="7"/>
      <c r="I4376" s="8" t="s">
        <v>897</v>
      </c>
      <c r="J4376" s="8" t="s">
        <v>2336</v>
      </c>
      <c r="K4376" s="6" t="str">
        <f>"6.750,00"</f>
        <v>6.750,00</v>
      </c>
      <c r="L4376" s="6" t="str">
        <f>"1.687,50"</f>
        <v>1.687,50</v>
      </c>
      <c r="M4376" s="6" t="str">
        <f>"8.437,50"</f>
        <v>8.437,50</v>
      </c>
      <c r="N4376" s="8" t="s">
        <v>57</v>
      </c>
      <c r="O4376" s="7"/>
      <c r="P4376" s="2" t="s">
        <v>8218</v>
      </c>
      <c r="Q4376" s="7"/>
      <c r="R4376" s="1"/>
      <c r="S4376" s="1" t="str">
        <f>"J-UN-2022-1043"</f>
        <v>J-UN-2022-1043</v>
      </c>
      <c r="T4376" s="1" t="s">
        <v>32</v>
      </c>
    </row>
    <row r="4377" spans="1:20" ht="63.75" x14ac:dyDescent="0.25">
      <c r="A4377" s="6">
        <v>4371</v>
      </c>
      <c r="B4377" s="1" t="str">
        <f>"2022-900"</f>
        <v>2022-900</v>
      </c>
      <c r="C4377" s="1" t="s">
        <v>2702</v>
      </c>
      <c r="D4377" s="1" t="s">
        <v>1209</v>
      </c>
      <c r="E4377" s="1" t="str">
        <f>""</f>
        <v/>
      </c>
      <c r="F4377" s="1" t="s">
        <v>1860</v>
      </c>
      <c r="G4377" s="1" t="str">
        <f>CONCATENATE(" DRÄGER SAFETY D.O.O.,"," AVENIJA VEĆESLAVA HOLJEVCA 40,"," 10010 ZAGREB,"," OIB: 32874587842")</f>
        <v xml:space="preserve"> DRÄGER SAFETY D.O.O., AVENIJA VEĆESLAVA HOLJEVCA 40, 10010 ZAGREB, OIB: 32874587842</v>
      </c>
      <c r="H4377" s="7"/>
      <c r="I4377" s="8" t="s">
        <v>1073</v>
      </c>
      <c r="J4377" s="8" t="s">
        <v>2185</v>
      </c>
      <c r="K4377" s="6" t="str">
        <f>"963,00"</f>
        <v>963,00</v>
      </c>
      <c r="L4377" s="6" t="str">
        <f>"240,75"</f>
        <v>240,75</v>
      </c>
      <c r="M4377" s="6" t="str">
        <f>"1.203,75"</f>
        <v>1.203,75</v>
      </c>
      <c r="N4377" s="8" t="s">
        <v>124</v>
      </c>
      <c r="O4377" s="7"/>
      <c r="P4377" s="2" t="s">
        <v>5614</v>
      </c>
      <c r="Q4377" s="7"/>
      <c r="R4377" s="1"/>
      <c r="S4377" s="1" t="str">
        <f>"J-UN-2022-1044"</f>
        <v>J-UN-2022-1044</v>
      </c>
      <c r="T4377" s="1" t="s">
        <v>32</v>
      </c>
    </row>
    <row r="4378" spans="1:20" ht="76.5" x14ac:dyDescent="0.25">
      <c r="A4378" s="6">
        <v>4372</v>
      </c>
      <c r="B4378" s="1" t="str">
        <f>"2022-54"</f>
        <v>2022-54</v>
      </c>
      <c r="C4378" s="1" t="s">
        <v>3111</v>
      </c>
      <c r="D4378" s="1" t="s">
        <v>3112</v>
      </c>
      <c r="E4378" s="1" t="str">
        <f>""</f>
        <v/>
      </c>
      <c r="F4378" s="1" t="s">
        <v>1860</v>
      </c>
      <c r="G4378" s="1" t="str">
        <f>CONCATENATE(" SMIT-COMMERCE D.O.O.,"," GORNJOSTUPNIČKA 9B,"," 10255 GORNJI STUPNIK,"," OIB: 9524348214")</f>
        <v xml:space="preserve"> SMIT-COMMERCE D.O.O., GORNJOSTUPNIČKA 9B, 10255 GORNJI STUPNIK, OIB: 9524348214</v>
      </c>
      <c r="H4378" s="7"/>
      <c r="I4378" s="8" t="s">
        <v>426</v>
      </c>
      <c r="J4378" s="8" t="s">
        <v>3153</v>
      </c>
      <c r="K4378" s="6" t="str">
        <f>"117.500,00"</f>
        <v>117.500,00</v>
      </c>
      <c r="L4378" s="6" t="str">
        <f>"29.375,00"</f>
        <v>29.375,00</v>
      </c>
      <c r="M4378" s="6" t="str">
        <f>"146.875,00"</f>
        <v>146.875,00</v>
      </c>
      <c r="N4378" s="8" t="s">
        <v>124</v>
      </c>
      <c r="O4378" s="7"/>
      <c r="P4378" s="2" t="s">
        <v>5614</v>
      </c>
      <c r="Q4378" s="7"/>
      <c r="R4378" s="1"/>
      <c r="S4378" s="1" t="str">
        <f>"J-UN-2022-1046"</f>
        <v>J-UN-2022-1046</v>
      </c>
      <c r="T4378" s="1" t="s">
        <v>32</v>
      </c>
    </row>
    <row r="4379" spans="1:20" ht="51" x14ac:dyDescent="0.25">
      <c r="A4379" s="6">
        <v>4373</v>
      </c>
      <c r="B4379" s="1" t="str">
        <f>"2022-1101"</f>
        <v>2022-1101</v>
      </c>
      <c r="C4379" s="1" t="s">
        <v>2908</v>
      </c>
      <c r="D4379" s="1" t="s">
        <v>74</v>
      </c>
      <c r="E4379" s="1" t="str">
        <f>""</f>
        <v/>
      </c>
      <c r="F4379" s="1" t="s">
        <v>1860</v>
      </c>
      <c r="G4379" s="1" t="str">
        <f>CONCATENATE("  SMARTNET D.O.O.,"," STINICE 12,"," 21000 SPLIT,"," OIB: 2337997359")</f>
        <v>  SMARTNET D.O.O., STINICE 12, 21000 SPLIT, OIB: 2337997359</v>
      </c>
      <c r="H4379" s="7"/>
      <c r="I4379" s="8" t="s">
        <v>1073</v>
      </c>
      <c r="J4379" s="8" t="s">
        <v>2185</v>
      </c>
      <c r="K4379" s="6" t="str">
        <f>"16.000,00"</f>
        <v>16.000,00</v>
      </c>
      <c r="L4379" s="6" t="str">
        <f>"4.000,00"</f>
        <v>4.000,00</v>
      </c>
      <c r="M4379" s="6" t="str">
        <f>"20.000,00"</f>
        <v>20.000,00</v>
      </c>
      <c r="N4379" s="8" t="s">
        <v>287</v>
      </c>
      <c r="O4379" s="7"/>
      <c r="P4379" s="2" t="s">
        <v>7541</v>
      </c>
      <c r="Q4379" s="7"/>
      <c r="R4379" s="1"/>
      <c r="S4379" s="1" t="str">
        <f>"J-UN-2022-1047"</f>
        <v>J-UN-2022-1047</v>
      </c>
      <c r="T4379" s="1" t="s">
        <v>32</v>
      </c>
    </row>
    <row r="4380" spans="1:20" ht="51" x14ac:dyDescent="0.25">
      <c r="A4380" s="6">
        <v>4374</v>
      </c>
      <c r="B4380" s="1" t="str">
        <f>"2022-1101"</f>
        <v>2022-1101</v>
      </c>
      <c r="C4380" s="1" t="s">
        <v>2908</v>
      </c>
      <c r="D4380" s="1" t="s">
        <v>74</v>
      </c>
      <c r="E4380" s="1" t="str">
        <f>""</f>
        <v/>
      </c>
      <c r="F4380" s="1" t="s">
        <v>1860</v>
      </c>
      <c r="G4380" s="1" t="str">
        <f>CONCATENATE("  SMARTNET D.O.O.,"," STINICE 12,"," 21000 SPLIT,"," OIB: 2337997359")</f>
        <v>  SMARTNET D.O.O., STINICE 12, 21000 SPLIT, OIB: 2337997359</v>
      </c>
      <c r="H4380" s="7"/>
      <c r="I4380" s="8" t="s">
        <v>1073</v>
      </c>
      <c r="J4380" s="8" t="s">
        <v>2185</v>
      </c>
      <c r="K4380" s="6" t="str">
        <f>"8.000,00"</f>
        <v>8.000,00</v>
      </c>
      <c r="L4380" s="6" t="str">
        <f>"2.000,00"</f>
        <v>2.000,00</v>
      </c>
      <c r="M4380" s="6" t="str">
        <f>"10.000,00"</f>
        <v>10.000,00</v>
      </c>
      <c r="N4380" s="8" t="s">
        <v>287</v>
      </c>
      <c r="O4380" s="7"/>
      <c r="P4380" s="2" t="s">
        <v>5881</v>
      </c>
      <c r="Q4380" s="7"/>
      <c r="R4380" s="1"/>
      <c r="S4380" s="1" t="str">
        <f>"J-UN-2022-1048"</f>
        <v>J-UN-2022-1048</v>
      </c>
      <c r="T4380" s="1" t="s">
        <v>32</v>
      </c>
    </row>
    <row r="4381" spans="1:20" ht="63.75" x14ac:dyDescent="0.25">
      <c r="A4381" s="6">
        <v>4375</v>
      </c>
      <c r="B4381" s="1" t="str">
        <f>"2022-1389"</f>
        <v>2022-1389</v>
      </c>
      <c r="C4381" s="1" t="s">
        <v>2891</v>
      </c>
      <c r="D4381" s="1" t="s">
        <v>165</v>
      </c>
      <c r="E4381" s="1" t="str">
        <f>""</f>
        <v/>
      </c>
      <c r="F4381" s="1" t="s">
        <v>1860</v>
      </c>
      <c r="G4381" s="1" t="str">
        <f>CONCATENATE(" EKO BLIC VL. DEJAN ŽIVODER,"," MOSLAVAČKA 35A,"," 44317 POPOVAČA,"," OIB: 98138500552")</f>
        <v xml:space="preserve"> EKO BLIC VL. DEJAN ŽIVODER, MOSLAVAČKA 35A, 44317 POPOVAČA, OIB: 98138500552</v>
      </c>
      <c r="H4381" s="7"/>
      <c r="I4381" s="8" t="s">
        <v>905</v>
      </c>
      <c r="J4381" s="8" t="s">
        <v>3154</v>
      </c>
      <c r="K4381" s="6" t="str">
        <f>"4.900,00"</f>
        <v>4.900,00</v>
      </c>
      <c r="L4381" s="6" t="str">
        <f>"1.225,00"</f>
        <v>1.225,00</v>
      </c>
      <c r="M4381" s="6" t="str">
        <f>"6.125,00"</f>
        <v>6.125,00</v>
      </c>
      <c r="N4381" s="8" t="s">
        <v>723</v>
      </c>
      <c r="O4381" s="7"/>
      <c r="P4381" s="2" t="s">
        <v>6312</v>
      </c>
      <c r="Q4381" s="7"/>
      <c r="R4381" s="1"/>
      <c r="S4381" s="1" t="str">
        <f>"J-UN-2022-1050"</f>
        <v>J-UN-2022-1050</v>
      </c>
      <c r="T4381" s="1" t="s">
        <v>32</v>
      </c>
    </row>
    <row r="4382" spans="1:20" ht="76.5" x14ac:dyDescent="0.25">
      <c r="A4382" s="6">
        <v>4376</v>
      </c>
      <c r="B4382" s="1" t="str">
        <f>"2022-757"</f>
        <v>2022-757</v>
      </c>
      <c r="C4382" s="1" t="s">
        <v>2690</v>
      </c>
      <c r="D4382" s="1" t="s">
        <v>2691</v>
      </c>
      <c r="E4382" s="1" t="str">
        <f>""</f>
        <v/>
      </c>
      <c r="F4382" s="1" t="s">
        <v>1860</v>
      </c>
      <c r="G4382" s="1" t="str">
        <f>CONCATENATE(" SMIT-COMMERCE D.O.O.,"," GORNJOSTUPNIČKA 9B,"," 10255 GORNJI STUPNIK,"," OIB: 9524348214")</f>
        <v xml:space="preserve"> SMIT-COMMERCE D.O.O., GORNJOSTUPNIČKA 9B, 10255 GORNJI STUPNIK, OIB: 9524348214</v>
      </c>
      <c r="H4382" s="7"/>
      <c r="I4382" s="8" t="s">
        <v>905</v>
      </c>
      <c r="J4382" s="8" t="s">
        <v>3154</v>
      </c>
      <c r="K4382" s="6" t="str">
        <f>"723,78"</f>
        <v>723,78</v>
      </c>
      <c r="L4382" s="6" t="str">
        <f>"180,95"</f>
        <v>180,95</v>
      </c>
      <c r="M4382" s="6" t="str">
        <f>"904,73"</f>
        <v>904,73</v>
      </c>
      <c r="N4382" s="8" t="s">
        <v>252</v>
      </c>
      <c r="O4382" s="7"/>
      <c r="P4382" s="2" t="s">
        <v>8219</v>
      </c>
      <c r="Q4382" s="7"/>
      <c r="R4382" s="1"/>
      <c r="S4382" s="1" t="str">
        <f>"J-UN-2022-1051"</f>
        <v>J-UN-2022-1051</v>
      </c>
      <c r="T4382" s="1" t="s">
        <v>32</v>
      </c>
    </row>
    <row r="4383" spans="1:20" ht="51" x14ac:dyDescent="0.25">
      <c r="A4383" s="6">
        <v>4377</v>
      </c>
      <c r="B4383" s="1" t="str">
        <f>"2022-93"</f>
        <v>2022-93</v>
      </c>
      <c r="C4383" s="1" t="s">
        <v>2711</v>
      </c>
      <c r="D4383" s="1" t="s">
        <v>1914</v>
      </c>
      <c r="E4383" s="1" t="str">
        <f>""</f>
        <v/>
      </c>
      <c r="F4383" s="1" t="s">
        <v>1860</v>
      </c>
      <c r="G4383" s="1" t="str">
        <f>CONCATENATE(" ŠKOLJIĆ PLIN D.O.O.,"," PUŠĆA 131,"," 51513 OMIŠALJ,"," OIB: 33596394529")</f>
        <v xml:space="preserve"> ŠKOLJIĆ PLIN D.O.O., PUŠĆA 131, 51513 OMIŠALJ, OIB: 33596394529</v>
      </c>
      <c r="H4383" s="7"/>
      <c r="I4383" s="8" t="s">
        <v>1073</v>
      </c>
      <c r="J4383" s="8" t="s">
        <v>2185</v>
      </c>
      <c r="K4383" s="6" t="str">
        <f>"4.166,40"</f>
        <v>4.166,40</v>
      </c>
      <c r="L4383" s="6" t="str">
        <f>"1.041,60"</f>
        <v>1.041,60</v>
      </c>
      <c r="M4383" s="6" t="str">
        <f>"5.208,00"</f>
        <v>5.208,00</v>
      </c>
      <c r="N4383" s="8" t="s">
        <v>124</v>
      </c>
      <c r="O4383" s="7"/>
      <c r="P4383" s="2" t="s">
        <v>5614</v>
      </c>
      <c r="Q4383" s="7"/>
      <c r="R4383" s="1"/>
      <c r="S4383" s="1" t="str">
        <f>"J-UN-2022-1052"</f>
        <v>J-UN-2022-1052</v>
      </c>
      <c r="T4383" s="1" t="s">
        <v>32</v>
      </c>
    </row>
    <row r="4384" spans="1:20" ht="76.5" x14ac:dyDescent="0.25">
      <c r="A4384" s="6">
        <v>4378</v>
      </c>
      <c r="B4384" s="1" t="str">
        <f>"2022-95"</f>
        <v>2022-95</v>
      </c>
      <c r="C4384" s="1" t="s">
        <v>2761</v>
      </c>
      <c r="D4384" s="1" t="s">
        <v>2762</v>
      </c>
      <c r="E4384" s="1" t="str">
        <f>""</f>
        <v/>
      </c>
      <c r="F4384" s="1" t="s">
        <v>1860</v>
      </c>
      <c r="G4384" s="1" t="str">
        <f>CONCATENATE(" INSTALACIJE M. BOROŠ J.D.O.O.,"," ULICA CANDIDA TRAVAGINA 3,"," 52466 NOVIGRAD (CITTANOVA),"," OIB: 95308253038")</f>
        <v xml:space="preserve"> INSTALACIJE M. BOROŠ J.D.O.O., ULICA CANDIDA TRAVAGINA 3, 52466 NOVIGRAD (CITTANOVA), OIB: 95308253038</v>
      </c>
      <c r="H4384" s="7"/>
      <c r="I4384" s="8" t="s">
        <v>469</v>
      </c>
      <c r="J4384" s="8" t="s">
        <v>3157</v>
      </c>
      <c r="K4384" s="6" t="str">
        <f>"8.000,00"</f>
        <v>8.000,00</v>
      </c>
      <c r="L4384" s="6" t="str">
        <f>"2.000,00"</f>
        <v>2.000,00</v>
      </c>
      <c r="M4384" s="6" t="str">
        <f>"10.000,00"</f>
        <v>10.000,00</v>
      </c>
      <c r="N4384" s="8" t="s">
        <v>124</v>
      </c>
      <c r="O4384" s="7"/>
      <c r="P4384" s="2" t="s">
        <v>5614</v>
      </c>
      <c r="Q4384" s="7"/>
      <c r="R4384" s="1"/>
      <c r="S4384" s="1" t="str">
        <f>"J-UN-2022-1058"</f>
        <v>J-UN-2022-1058</v>
      </c>
      <c r="T4384" s="1" t="s">
        <v>32</v>
      </c>
    </row>
    <row r="4385" spans="1:20" ht="63.75" x14ac:dyDescent="0.25">
      <c r="A4385" s="6">
        <v>4379</v>
      </c>
      <c r="B4385" s="1" t="str">
        <f>"2022-244"</f>
        <v>2022-244</v>
      </c>
      <c r="C4385" s="1" t="s">
        <v>2677</v>
      </c>
      <c r="D4385" s="1" t="s">
        <v>2678</v>
      </c>
      <c r="E4385" s="1" t="str">
        <f>""</f>
        <v/>
      </c>
      <c r="F4385" s="1" t="s">
        <v>1860</v>
      </c>
      <c r="G4385" s="1" t="str">
        <f>CONCATENATE(" GRADSKA LJEKARNA ZAGREB,"," KRALJA DRŽISLAVA 6,"," 10000 ZAGREB,"," OIB: 37268254106")</f>
        <v xml:space="preserve"> GRADSKA LJEKARNA ZAGREB, KRALJA DRŽISLAVA 6, 10000 ZAGREB, OIB: 37268254106</v>
      </c>
      <c r="H4385" s="7"/>
      <c r="I4385" s="8" t="s">
        <v>426</v>
      </c>
      <c r="J4385" s="8" t="s">
        <v>3153</v>
      </c>
      <c r="K4385" s="6" t="str">
        <f>"385,52"</f>
        <v>385,52</v>
      </c>
      <c r="L4385" s="6" t="str">
        <f>"96,38"</f>
        <v>96,38</v>
      </c>
      <c r="M4385" s="6" t="str">
        <f>"481,90"</f>
        <v>481,90</v>
      </c>
      <c r="N4385" s="8" t="s">
        <v>773</v>
      </c>
      <c r="O4385" s="7"/>
      <c r="P4385" s="2" t="s">
        <v>8220</v>
      </c>
      <c r="Q4385" s="7"/>
      <c r="R4385" s="1"/>
      <c r="S4385" s="1" t="str">
        <f>"J-UN-2022-1059"</f>
        <v>J-UN-2022-1059</v>
      </c>
      <c r="T4385" s="1" t="s">
        <v>32</v>
      </c>
    </row>
    <row r="4386" spans="1:20" ht="76.5" x14ac:dyDescent="0.25">
      <c r="A4386" s="6">
        <v>4380</v>
      </c>
      <c r="B4386" s="1" t="str">
        <f>"2022-1381"</f>
        <v>2022-1381</v>
      </c>
      <c r="C4386" s="1" t="s">
        <v>2405</v>
      </c>
      <c r="D4386" s="1" t="s">
        <v>880</v>
      </c>
      <c r="E4386" s="1" t="str">
        <f>""</f>
        <v/>
      </c>
      <c r="F4386" s="1" t="s">
        <v>1860</v>
      </c>
      <c r="G4386" s="1" t="str">
        <f>CONCATENATE(" NASTAVNI ZAVOD ZA JAVNO ZDRAVSTVO DR. ANDRIJA ŠTAMPAR,"," MIROGOJSKA CESTA 16,"," 10000 ZAGREB,"," OIB: 3339200596")</f>
        <v xml:space="preserve"> NASTAVNI ZAVOD ZA JAVNO ZDRAVSTVO DR. ANDRIJA ŠTAMPAR, MIROGOJSKA CESTA 16, 10000 ZAGREB, OIB: 3339200596</v>
      </c>
      <c r="H4386" s="7"/>
      <c r="I4386" s="8" t="s">
        <v>426</v>
      </c>
      <c r="J4386" s="8" t="s">
        <v>3153</v>
      </c>
      <c r="K4386" s="6" t="str">
        <f>"6.600,00"</f>
        <v>6.600,00</v>
      </c>
      <c r="L4386" s="6" t="str">
        <f>"1.650,00"</f>
        <v>1.650,00</v>
      </c>
      <c r="M4386" s="6" t="str">
        <f>"8.250,00"</f>
        <v>8.250,00</v>
      </c>
      <c r="N4386" s="8" t="s">
        <v>124</v>
      </c>
      <c r="O4386" s="7"/>
      <c r="P4386" s="2" t="s">
        <v>6479</v>
      </c>
      <c r="Q4386" s="7"/>
      <c r="R4386" s="1"/>
      <c r="S4386" s="1" t="str">
        <f>"J-UN-2022-1060"</f>
        <v>J-UN-2022-1060</v>
      </c>
      <c r="T4386" s="1" t="s">
        <v>32</v>
      </c>
    </row>
    <row r="4387" spans="1:20" ht="51" x14ac:dyDescent="0.25">
      <c r="A4387" s="6">
        <v>4381</v>
      </c>
      <c r="B4387" s="1" t="str">
        <f>"2022-725"</f>
        <v>2022-725</v>
      </c>
      <c r="C4387" s="1" t="s">
        <v>2802</v>
      </c>
      <c r="D4387" s="1" t="s">
        <v>2803</v>
      </c>
      <c r="E4387" s="1" t="str">
        <f>""</f>
        <v/>
      </c>
      <c r="F4387" s="1" t="s">
        <v>1860</v>
      </c>
      <c r="G4387" s="1" t="str">
        <f>CONCATENATE(" VULKAL D.O.O.,"," SAMOBORSKA CESTA 310,"," 10000 ZAGREB,"," OIB: 9043969613")</f>
        <v xml:space="preserve"> VULKAL D.O.O., SAMOBORSKA CESTA 310, 10000 ZAGREB, OIB: 9043969613</v>
      </c>
      <c r="H4387" s="7"/>
      <c r="I4387" s="8" t="s">
        <v>1433</v>
      </c>
      <c r="J4387" s="8" t="s">
        <v>3158</v>
      </c>
      <c r="K4387" s="6" t="str">
        <f>"29.803,80"</f>
        <v>29.803,80</v>
      </c>
      <c r="L4387" s="6" t="str">
        <f>"7.450,95"</f>
        <v>7.450,95</v>
      </c>
      <c r="M4387" s="6" t="str">
        <f>"37.254,75"</f>
        <v>37.254,75</v>
      </c>
      <c r="N4387" s="8" t="s">
        <v>1399</v>
      </c>
      <c r="O4387" s="7"/>
      <c r="P4387" s="2" t="s">
        <v>8221</v>
      </c>
      <c r="Q4387" s="7"/>
      <c r="R4387" s="1"/>
      <c r="S4387" s="1" t="str">
        <f>"J-UN-2022-1085"</f>
        <v>J-UN-2022-1085</v>
      </c>
      <c r="T4387" s="1" t="s">
        <v>32</v>
      </c>
    </row>
    <row r="4388" spans="1:20" ht="76.5" x14ac:dyDescent="0.25">
      <c r="A4388" s="6">
        <v>4382</v>
      </c>
      <c r="B4388" s="1" t="str">
        <f>"2022-593"</f>
        <v>2022-593</v>
      </c>
      <c r="C4388" s="1" t="s">
        <v>2834</v>
      </c>
      <c r="D4388" s="1" t="s">
        <v>2835</v>
      </c>
      <c r="E4388" s="1" t="str">
        <f>""</f>
        <v/>
      </c>
      <c r="F4388" s="1" t="s">
        <v>1860</v>
      </c>
      <c r="G4388" s="1" t="str">
        <f>CONCATENATE(" SMIT-COMMERCE D.O.O.,"," GORNJOSTUPNIČKA 9B,"," 10255 GORNJI STUPNIK,"," OIB: 9524348214")</f>
        <v xml:space="preserve"> SMIT-COMMERCE D.O.O., GORNJOSTUPNIČKA 9B, 10255 GORNJI STUPNIK, OIB: 9524348214</v>
      </c>
      <c r="H4388" s="7"/>
      <c r="I4388" s="8" t="s">
        <v>562</v>
      </c>
      <c r="J4388" s="8" t="s">
        <v>3159</v>
      </c>
      <c r="K4388" s="6" t="str">
        <f>"2.284,24"</f>
        <v>2.284,24</v>
      </c>
      <c r="L4388" s="6" t="str">
        <f>"571,06"</f>
        <v>571,06</v>
      </c>
      <c r="M4388" s="6" t="str">
        <f>"2.855,30"</f>
        <v>2.855,30</v>
      </c>
      <c r="N4388" s="8" t="s">
        <v>1121</v>
      </c>
      <c r="O4388" s="7"/>
      <c r="P4388" s="2" t="s">
        <v>8222</v>
      </c>
      <c r="Q4388" s="7"/>
      <c r="R4388" s="1"/>
      <c r="S4388" s="1" t="str">
        <f>"J-UN-2022-1086"</f>
        <v>J-UN-2022-1086</v>
      </c>
      <c r="T4388" s="1" t="s">
        <v>32</v>
      </c>
    </row>
    <row r="4389" spans="1:20" ht="51" x14ac:dyDescent="0.25">
      <c r="A4389" s="6">
        <v>4383</v>
      </c>
      <c r="B4389" s="1" t="str">
        <f>"2022-535"</f>
        <v>2022-535</v>
      </c>
      <c r="C4389" s="1" t="s">
        <v>2561</v>
      </c>
      <c r="D4389" s="1" t="s">
        <v>2156</v>
      </c>
      <c r="E4389" s="1" t="str">
        <f>""</f>
        <v/>
      </c>
      <c r="F4389" s="1" t="s">
        <v>1860</v>
      </c>
      <c r="G4389" s="1" t="str">
        <f>CONCATENATE(" EBC-SISTEMI D.O.O.,"," ZVONIMIRA ROGOZA 20,"," 10000 ZAGREB,"," OIB: 34583734418")</f>
        <v xml:space="preserve"> EBC-SISTEMI D.O.O., ZVONIMIRA ROGOZA 20, 10000 ZAGREB, OIB: 34583734418</v>
      </c>
      <c r="H4389" s="7"/>
      <c r="I4389" s="8" t="s">
        <v>562</v>
      </c>
      <c r="J4389" s="8" t="s">
        <v>3159</v>
      </c>
      <c r="K4389" s="6" t="str">
        <f>"4.000,00"</f>
        <v>4.000,00</v>
      </c>
      <c r="L4389" s="6" t="str">
        <f>"1.000,00"</f>
        <v>1.000,00</v>
      </c>
      <c r="M4389" s="6" t="str">
        <f>"5.000,00"</f>
        <v>5.000,00</v>
      </c>
      <c r="N4389" s="8" t="s">
        <v>963</v>
      </c>
      <c r="O4389" s="7"/>
      <c r="P4389" s="2" t="s">
        <v>6367</v>
      </c>
      <c r="Q4389" s="7"/>
      <c r="R4389" s="1"/>
      <c r="S4389" s="1" t="str">
        <f>"J-UN-2022-1087"</f>
        <v>J-UN-2022-1087</v>
      </c>
      <c r="T4389" s="1" t="s">
        <v>32</v>
      </c>
    </row>
    <row r="4390" spans="1:20" ht="51" x14ac:dyDescent="0.25">
      <c r="A4390" s="6">
        <v>4384</v>
      </c>
      <c r="B4390" s="1" t="str">
        <f>"2022-426"</f>
        <v>2022-426</v>
      </c>
      <c r="C4390" s="1" t="s">
        <v>2833</v>
      </c>
      <c r="D4390" s="1" t="s">
        <v>1962</v>
      </c>
      <c r="E4390" s="1" t="str">
        <f>""</f>
        <v/>
      </c>
      <c r="F4390" s="1" t="s">
        <v>1860</v>
      </c>
      <c r="G4390" s="1" t="str">
        <f>CONCATENATE(" SAFIR D.O.O.,"," HORVAĆANSKA 17,"," 10000 ZAGREB,"," OIB: 33548604975")</f>
        <v xml:space="preserve"> SAFIR D.O.O., HORVAĆANSKA 17, 10000 ZAGREB, OIB: 33548604975</v>
      </c>
      <c r="H4390" s="7"/>
      <c r="I4390" s="8" t="s">
        <v>905</v>
      </c>
      <c r="J4390" s="8" t="s">
        <v>3154</v>
      </c>
      <c r="K4390" s="6" t="str">
        <f>"28.923,00"</f>
        <v>28.923,00</v>
      </c>
      <c r="L4390" s="6" t="str">
        <f>"7.230,75"</f>
        <v>7.230,75</v>
      </c>
      <c r="M4390" s="6" t="str">
        <f>"36.153,75"</f>
        <v>36.153,75</v>
      </c>
      <c r="N4390" s="8" t="s">
        <v>895</v>
      </c>
      <c r="O4390" s="7"/>
      <c r="P4390" s="2" t="s">
        <v>8223</v>
      </c>
      <c r="Q4390" s="7"/>
      <c r="R4390" s="1"/>
      <c r="S4390" s="1" t="str">
        <f>"J-UN-2022-1092"</f>
        <v>J-UN-2022-1092</v>
      </c>
      <c r="T4390" s="1" t="s">
        <v>32</v>
      </c>
    </row>
    <row r="4391" spans="1:20" ht="51" x14ac:dyDescent="0.25">
      <c r="A4391" s="6">
        <v>4385</v>
      </c>
      <c r="B4391" s="1" t="str">
        <f>"2022-1816"</f>
        <v>2022-1816</v>
      </c>
      <c r="C4391" s="1" t="s">
        <v>3137</v>
      </c>
      <c r="D4391" s="1" t="s">
        <v>3138</v>
      </c>
      <c r="E4391" s="1" t="str">
        <f>""</f>
        <v/>
      </c>
      <c r="F4391" s="1" t="s">
        <v>1860</v>
      </c>
      <c r="G4391" s="1" t="str">
        <f>CONCATENATE(" FOKUS D.O.O. ZAGREB,"," KOLEDOVČINA 4,"," 10000 ZAGREB,"," OIB: 59082812808")</f>
        <v xml:space="preserve"> FOKUS D.O.O. ZAGREB, KOLEDOVČINA 4, 10000 ZAGREB, OIB: 59082812808</v>
      </c>
      <c r="H4391" s="7"/>
      <c r="I4391" s="8" t="s">
        <v>905</v>
      </c>
      <c r="J4391" s="8" t="s">
        <v>3155</v>
      </c>
      <c r="K4391" s="6" t="str">
        <f>"6.117,76"</f>
        <v>6.117,76</v>
      </c>
      <c r="L4391" s="6" t="str">
        <f>"1.529,44"</f>
        <v>1.529,44</v>
      </c>
      <c r="M4391" s="6" t="str">
        <f>"7.647,20"</f>
        <v>7.647,20</v>
      </c>
      <c r="N4391" s="8" t="s">
        <v>124</v>
      </c>
      <c r="O4391" s="7"/>
      <c r="P4391" s="2" t="s">
        <v>5614</v>
      </c>
      <c r="Q4391" s="7"/>
      <c r="R4391" s="1"/>
      <c r="S4391" s="1" t="str">
        <f>"J-UN-2022-1093"</f>
        <v>J-UN-2022-1093</v>
      </c>
      <c r="T4391" s="1" t="s">
        <v>32</v>
      </c>
    </row>
    <row r="4392" spans="1:20" ht="51" x14ac:dyDescent="0.25">
      <c r="A4392" s="6">
        <v>4386</v>
      </c>
      <c r="B4392" s="1" t="str">
        <f>"2022-1814"</f>
        <v>2022-1814</v>
      </c>
      <c r="C4392" s="1" t="s">
        <v>3147</v>
      </c>
      <c r="D4392" s="1" t="s">
        <v>3148</v>
      </c>
      <c r="E4392" s="1" t="str">
        <f>""</f>
        <v/>
      </c>
      <c r="F4392" s="1" t="s">
        <v>1860</v>
      </c>
      <c r="G4392" s="1" t="str">
        <f>CONCATENATE(" JOBING D.O.O.,"," PALISINA 51,"," 52100 PULA,"," OIB: 2062027618")</f>
        <v xml:space="preserve"> JOBING D.O.O., PALISINA 51, 52100 PULA, OIB: 2062027618</v>
      </c>
      <c r="H4392" s="7"/>
      <c r="I4392" s="8" t="s">
        <v>426</v>
      </c>
      <c r="J4392" s="8" t="s">
        <v>3153</v>
      </c>
      <c r="K4392" s="6" t="str">
        <f>"19.924,45"</f>
        <v>19.924,45</v>
      </c>
      <c r="L4392" s="6" t="str">
        <f>"4.981,11"</f>
        <v>4.981,11</v>
      </c>
      <c r="M4392" s="6" t="str">
        <f>"24.905,56"</f>
        <v>24.905,56</v>
      </c>
      <c r="N4392" s="8" t="s">
        <v>124</v>
      </c>
      <c r="O4392" s="7"/>
      <c r="P4392" s="2" t="s">
        <v>5614</v>
      </c>
      <c r="Q4392" s="7"/>
      <c r="R4392" s="1"/>
      <c r="S4392" s="1" t="str">
        <f>"J-UN-2022-1094"</f>
        <v>J-UN-2022-1094</v>
      </c>
      <c r="T4392" s="1" t="s">
        <v>32</v>
      </c>
    </row>
    <row r="4393" spans="1:20" ht="51" x14ac:dyDescent="0.25">
      <c r="A4393" s="6">
        <v>4387</v>
      </c>
      <c r="B4393" s="1" t="str">
        <f>"2022-452"</f>
        <v>2022-452</v>
      </c>
      <c r="C4393" s="1" t="s">
        <v>2881</v>
      </c>
      <c r="D4393" s="1" t="s">
        <v>2882</v>
      </c>
      <c r="E4393" s="1" t="str">
        <f>""</f>
        <v/>
      </c>
      <c r="F4393" s="1" t="s">
        <v>1860</v>
      </c>
      <c r="G4393" s="1" t="str">
        <f>CONCATENATE(" BRIŠAR SERVIS D.O.O.,"," PRELČEVA 21D,"," 10360 SESVETE,"," OIB: 58933898865")</f>
        <v xml:space="preserve"> BRIŠAR SERVIS D.O.O., PRELČEVA 21D, 10360 SESVETE, OIB: 58933898865</v>
      </c>
      <c r="H4393" s="7"/>
      <c r="I4393" s="8" t="s">
        <v>562</v>
      </c>
      <c r="J4393" s="8" t="s">
        <v>3159</v>
      </c>
      <c r="K4393" s="6" t="str">
        <f>"4.509,86"</f>
        <v>4.509,86</v>
      </c>
      <c r="L4393" s="6" t="str">
        <f>"1.127,47"</f>
        <v>1.127,47</v>
      </c>
      <c r="M4393" s="6" t="str">
        <f>"5.637,33"</f>
        <v>5.637,33</v>
      </c>
      <c r="N4393" s="8" t="s">
        <v>431</v>
      </c>
      <c r="O4393" s="7"/>
      <c r="P4393" s="2" t="s">
        <v>8224</v>
      </c>
      <c r="Q4393" s="7"/>
      <c r="R4393" s="1"/>
      <c r="S4393" s="1" t="str">
        <f>"J-UN-2022-1096"</f>
        <v>J-UN-2022-1096</v>
      </c>
      <c r="T4393" s="1" t="s">
        <v>32</v>
      </c>
    </row>
    <row r="4394" spans="1:20" ht="63.75" x14ac:dyDescent="0.25">
      <c r="A4394" s="6">
        <v>4388</v>
      </c>
      <c r="B4394" s="1" t="str">
        <f>"2022-289"</f>
        <v>2022-289</v>
      </c>
      <c r="C4394" s="1" t="s">
        <v>3160</v>
      </c>
      <c r="D4394" s="1" t="s">
        <v>3161</v>
      </c>
      <c r="E4394" s="1" t="str">
        <f>""</f>
        <v/>
      </c>
      <c r="F4394" s="1" t="s">
        <v>1860</v>
      </c>
      <c r="G4394" s="1" t="str">
        <f>CONCATENATE(" GRA-PO D.O.O.,"," GOSPODARSKA 5B,"," 10255 ZAGREB - STUPNIK,"," OIB: 05364995085")</f>
        <v xml:space="preserve"> GRA-PO D.O.O., GOSPODARSKA 5B, 10255 ZAGREB - STUPNIK, OIB: 05364995085</v>
      </c>
      <c r="H4394" s="7"/>
      <c r="I4394" s="8" t="s">
        <v>562</v>
      </c>
      <c r="J4394" s="8" t="s">
        <v>3159</v>
      </c>
      <c r="K4394" s="6" t="str">
        <f>"5.550,00"</f>
        <v>5.550,00</v>
      </c>
      <c r="L4394" s="6" t="str">
        <f>"1.387,50"</f>
        <v>1.387,50</v>
      </c>
      <c r="M4394" s="6" t="str">
        <f>"6.937,50"</f>
        <v>6.937,50</v>
      </c>
      <c r="N4394" s="8" t="s">
        <v>169</v>
      </c>
      <c r="O4394" s="7"/>
      <c r="P4394" s="2" t="s">
        <v>8225</v>
      </c>
      <c r="Q4394" s="7"/>
      <c r="R4394" s="1"/>
      <c r="S4394" s="1" t="str">
        <f>"J-UN-2022-1097"</f>
        <v>J-UN-2022-1097</v>
      </c>
      <c r="T4394" s="1" t="s">
        <v>32</v>
      </c>
    </row>
    <row r="4395" spans="1:20" ht="63.75" x14ac:dyDescent="0.25">
      <c r="A4395" s="6">
        <v>4389</v>
      </c>
      <c r="B4395" s="1" t="str">
        <f>"2022-240"</f>
        <v>2022-240</v>
      </c>
      <c r="C4395" s="1" t="s">
        <v>2866</v>
      </c>
      <c r="D4395" s="1" t="s">
        <v>2867</v>
      </c>
      <c r="E4395" s="1" t="str">
        <f>""</f>
        <v/>
      </c>
      <c r="F4395" s="1" t="s">
        <v>1860</v>
      </c>
      <c r="G4395" s="1" t="str">
        <f>CONCATENATE(" POLJOOPSKRBA-TEHNO D.D.,"," SAMOBORSKA 96,"," 10000 ZAGREB,"," OIB: 5372167324")</f>
        <v xml:space="preserve"> POLJOOPSKRBA-TEHNO D.D., SAMOBORSKA 96, 10000 ZAGREB, OIB: 5372167324</v>
      </c>
      <c r="H4395" s="7"/>
      <c r="I4395" s="8" t="s">
        <v>562</v>
      </c>
      <c r="J4395" s="8" t="s">
        <v>3159</v>
      </c>
      <c r="K4395" s="6" t="str">
        <f>"1.428,60"</f>
        <v>1.428,60</v>
      </c>
      <c r="L4395" s="6" t="str">
        <f>"357,15"</f>
        <v>357,15</v>
      </c>
      <c r="M4395" s="6" t="str">
        <f>"1.785,75"</f>
        <v>1.785,75</v>
      </c>
      <c r="N4395" s="8" t="s">
        <v>1155</v>
      </c>
      <c r="O4395" s="7"/>
      <c r="P4395" s="2" t="s">
        <v>8226</v>
      </c>
      <c r="Q4395" s="7"/>
      <c r="R4395" s="1"/>
      <c r="S4395" s="1" t="str">
        <f>"J-UN-2022-1098"</f>
        <v>J-UN-2022-1098</v>
      </c>
      <c r="T4395" s="1" t="s">
        <v>32</v>
      </c>
    </row>
    <row r="4396" spans="1:20" ht="63.75" x14ac:dyDescent="0.25">
      <c r="A4396" s="6">
        <v>4390</v>
      </c>
      <c r="B4396" s="1" t="str">
        <f>"2022-959"</f>
        <v>2022-959</v>
      </c>
      <c r="C4396" s="1" t="s">
        <v>2784</v>
      </c>
      <c r="D4396" s="1" t="s">
        <v>2785</v>
      </c>
      <c r="E4396" s="1" t="str">
        <f>""</f>
        <v/>
      </c>
      <c r="F4396" s="1" t="s">
        <v>1860</v>
      </c>
      <c r="G4396" s="1" t="str">
        <f>CONCATENATE(" KUM TRADE ENGINEERING D.O.O.,"," SAVSKI GAJ XIII PUT 2,"," 10000 ZAGREB,"," OIB: 15856331916")</f>
        <v xml:space="preserve"> KUM TRADE ENGINEERING D.O.O., SAVSKI GAJ XIII PUT 2, 10000 ZAGREB, OIB: 15856331916</v>
      </c>
      <c r="H4396" s="7"/>
      <c r="I4396" s="8" t="s">
        <v>562</v>
      </c>
      <c r="J4396" s="8" t="s">
        <v>3159</v>
      </c>
      <c r="K4396" s="6" t="str">
        <f>"18.033,00"</f>
        <v>18.033,00</v>
      </c>
      <c r="L4396" s="6" t="str">
        <f>"4.508,25"</f>
        <v>4.508,25</v>
      </c>
      <c r="M4396" s="6" t="str">
        <f>"22.541,25"</f>
        <v>22.541,25</v>
      </c>
      <c r="N4396" s="8" t="s">
        <v>402</v>
      </c>
      <c r="O4396" s="7"/>
      <c r="P4396" s="2" t="s">
        <v>8227</v>
      </c>
      <c r="Q4396" s="7"/>
      <c r="R4396" s="1"/>
      <c r="S4396" s="1" t="str">
        <f>"J-UN-2022-1099"</f>
        <v>J-UN-2022-1099</v>
      </c>
      <c r="T4396" s="1" t="s">
        <v>32</v>
      </c>
    </row>
    <row r="4397" spans="1:20" ht="51" x14ac:dyDescent="0.25">
      <c r="A4397" s="6">
        <v>4391</v>
      </c>
      <c r="B4397" s="1" t="str">
        <f>"2022-757"</f>
        <v>2022-757</v>
      </c>
      <c r="C4397" s="1" t="s">
        <v>2690</v>
      </c>
      <c r="D4397" s="1" t="s">
        <v>2691</v>
      </c>
      <c r="E4397" s="1" t="str">
        <f>""</f>
        <v/>
      </c>
      <c r="F4397" s="1" t="s">
        <v>1860</v>
      </c>
      <c r="G4397" s="1" t="str">
        <f>CONCATENATE(" VODOSKOK D.D.,"," ČULINEČKA CESTA 221/C,"," 10040 ZAGREB,"," OIB: 34134218058")</f>
        <v xml:space="preserve"> VODOSKOK D.D., ČULINEČKA CESTA 221/C, 10040 ZAGREB, OIB: 34134218058</v>
      </c>
      <c r="H4397" s="7"/>
      <c r="I4397" s="8" t="s">
        <v>562</v>
      </c>
      <c r="J4397" s="8" t="s">
        <v>3159</v>
      </c>
      <c r="K4397" s="6" t="str">
        <f>"1.137,00"</f>
        <v>1.137,00</v>
      </c>
      <c r="L4397" s="6" t="str">
        <f>"284,25"</f>
        <v>284,25</v>
      </c>
      <c r="M4397" s="6" t="str">
        <f>"1.421,25"</f>
        <v>1.421,25</v>
      </c>
      <c r="N4397" s="8" t="s">
        <v>124</v>
      </c>
      <c r="O4397" s="7"/>
      <c r="P4397" s="2" t="s">
        <v>5614</v>
      </c>
      <c r="Q4397" s="7"/>
      <c r="R4397" s="1"/>
      <c r="S4397" s="1" t="str">
        <f>"J-UN-2022-1101"</f>
        <v>J-UN-2022-1101</v>
      </c>
      <c r="T4397" s="1" t="s">
        <v>32</v>
      </c>
    </row>
    <row r="4398" spans="1:20" ht="51" x14ac:dyDescent="0.25">
      <c r="A4398" s="6">
        <v>4392</v>
      </c>
      <c r="B4398" s="1" t="str">
        <f>"2022-1807"</f>
        <v>2022-1807</v>
      </c>
      <c r="C4398" s="1" t="s">
        <v>3162</v>
      </c>
      <c r="D4398" s="1" t="s">
        <v>1558</v>
      </c>
      <c r="E4398" s="1" t="str">
        <f>""</f>
        <v/>
      </c>
      <c r="F4398" s="1" t="s">
        <v>1860</v>
      </c>
      <c r="G4398" s="1" t="str">
        <f>CONCATENATE(" VACO D.O.O.,"," ŠANDORA PETEFIJA 64,"," 31328 LUG,"," OIB: 66990555259")</f>
        <v xml:space="preserve"> VACO D.O.O., ŠANDORA PETEFIJA 64, 31328 LUG, OIB: 66990555259</v>
      </c>
      <c r="H4398" s="7"/>
      <c r="I4398" s="8" t="s">
        <v>562</v>
      </c>
      <c r="J4398" s="8" t="s">
        <v>3159</v>
      </c>
      <c r="K4398" s="6" t="str">
        <f>"54.000,00"</f>
        <v>54.000,00</v>
      </c>
      <c r="L4398" s="6" t="str">
        <f>"13.500,00"</f>
        <v>13.500,00</v>
      </c>
      <c r="M4398" s="6" t="str">
        <f>"67.500,00"</f>
        <v>67.500,00</v>
      </c>
      <c r="N4398" s="8" t="s">
        <v>124</v>
      </c>
      <c r="O4398" s="7"/>
      <c r="P4398" s="2" t="s">
        <v>8228</v>
      </c>
      <c r="Q4398" s="7"/>
      <c r="R4398" s="1"/>
      <c r="S4398" s="1" t="str">
        <f>"J-UN-2022-1102"</f>
        <v>J-UN-2022-1102</v>
      </c>
      <c r="T4398" s="1" t="s">
        <v>43</v>
      </c>
    </row>
    <row r="4399" spans="1:20" ht="51" x14ac:dyDescent="0.25">
      <c r="A4399" s="6">
        <v>4393</v>
      </c>
      <c r="B4399" s="1" t="str">
        <f>"2022-966"</f>
        <v>2022-966</v>
      </c>
      <c r="C4399" s="1" t="s">
        <v>2815</v>
      </c>
      <c r="D4399" s="1" t="s">
        <v>1373</v>
      </c>
      <c r="E4399" s="1" t="str">
        <f>""</f>
        <v/>
      </c>
      <c r="F4399" s="1" t="s">
        <v>1860</v>
      </c>
      <c r="G4399" s="1" t="str">
        <f>CONCATENATE(" E. K. ENERGIJA D.O.O.,"," KUKULJANOVO 385,"," 51227 KUKULJANOVO,"," OIB: 63606595933")</f>
        <v xml:space="preserve"> E. K. ENERGIJA D.O.O., KUKULJANOVO 385, 51227 KUKULJANOVO, OIB: 63606595933</v>
      </c>
      <c r="H4399" s="7"/>
      <c r="I4399" s="8" t="s">
        <v>905</v>
      </c>
      <c r="J4399" s="8" t="s">
        <v>3154</v>
      </c>
      <c r="K4399" s="6" t="str">
        <f>"5.670,00"</f>
        <v>5.670,00</v>
      </c>
      <c r="L4399" s="6" t="str">
        <f>"1.417,50"</f>
        <v>1.417,50</v>
      </c>
      <c r="M4399" s="6" t="str">
        <f>"7.087,50"</f>
        <v>7.087,50</v>
      </c>
      <c r="N4399" s="8" t="s">
        <v>124</v>
      </c>
      <c r="O4399" s="7"/>
      <c r="P4399" s="2" t="s">
        <v>5614</v>
      </c>
      <c r="Q4399" s="7"/>
      <c r="R4399" s="1"/>
      <c r="S4399" s="1" t="str">
        <f>"J-UN-2022-1103"</f>
        <v>J-UN-2022-1103</v>
      </c>
      <c r="T4399" s="1" t="s">
        <v>32</v>
      </c>
    </row>
    <row r="4400" spans="1:20" ht="63.75" x14ac:dyDescent="0.25">
      <c r="A4400" s="6">
        <v>4394</v>
      </c>
      <c r="B4400" s="1" t="str">
        <f>"2022-1416"</f>
        <v>2022-1416</v>
      </c>
      <c r="C4400" s="1" t="s">
        <v>2991</v>
      </c>
      <c r="D4400" s="1" t="s">
        <v>2992</v>
      </c>
      <c r="E4400" s="1" t="str">
        <f>""</f>
        <v/>
      </c>
      <c r="F4400" s="1" t="s">
        <v>1860</v>
      </c>
      <c r="G4400" s="1" t="str">
        <f>CONCATENATE(" LANIŠTE D.O.O.,"," ALEXANDERA VON HUMBOLDTA 4B,"," 10000 ZAGREB,"," OIB: 3755384865")</f>
        <v xml:space="preserve"> LANIŠTE D.O.O., ALEXANDERA VON HUMBOLDTA 4B, 10000 ZAGREB, OIB: 3755384865</v>
      </c>
      <c r="H4400" s="7"/>
      <c r="I4400" s="8" t="s">
        <v>905</v>
      </c>
      <c r="J4400" s="8" t="s">
        <v>3154</v>
      </c>
      <c r="K4400" s="6" t="str">
        <f>"3.636,00"</f>
        <v>3.636,00</v>
      </c>
      <c r="L4400" s="6" t="str">
        <f>"909,00"</f>
        <v>909,00</v>
      </c>
      <c r="M4400" s="6" t="str">
        <f>"4.545,00"</f>
        <v>4.545,00</v>
      </c>
      <c r="N4400" s="8" t="s">
        <v>955</v>
      </c>
      <c r="O4400" s="7"/>
      <c r="P4400" s="2" t="s">
        <v>7917</v>
      </c>
      <c r="Q4400" s="7"/>
      <c r="R4400" s="1"/>
      <c r="S4400" s="1" t="str">
        <f>"J-UN-2022-1109"</f>
        <v>J-UN-2022-1109</v>
      </c>
      <c r="T4400" s="1" t="s">
        <v>32</v>
      </c>
    </row>
    <row r="4401" spans="1:20" ht="63.75" x14ac:dyDescent="0.25">
      <c r="A4401" s="6">
        <v>4395</v>
      </c>
      <c r="B4401" s="1" t="str">
        <f>"2022-1429"</f>
        <v>2022-1429</v>
      </c>
      <c r="C4401" s="1" t="s">
        <v>2984</v>
      </c>
      <c r="D4401" s="1" t="s">
        <v>2985</v>
      </c>
      <c r="E4401" s="1" t="str">
        <f>""</f>
        <v/>
      </c>
      <c r="F4401" s="1" t="s">
        <v>1860</v>
      </c>
      <c r="G4401" s="1" t="str">
        <f>CONCATENATE(" LANIŠTE D.O.O.,"," ALEXANDERA VON HUMBOLDTA 4B,"," 10000 ZAGREB,"," OIB: 3755384865")</f>
        <v xml:space="preserve"> LANIŠTE D.O.O., ALEXANDERA VON HUMBOLDTA 4B, 10000 ZAGREB, OIB: 3755384865</v>
      </c>
      <c r="H4401" s="7"/>
      <c r="I4401" s="8" t="s">
        <v>905</v>
      </c>
      <c r="J4401" s="8" t="s">
        <v>3154</v>
      </c>
      <c r="K4401" s="6" t="str">
        <f>"4.032,00"</f>
        <v>4.032,00</v>
      </c>
      <c r="L4401" s="6" t="str">
        <f>"1.008,00"</f>
        <v>1.008,00</v>
      </c>
      <c r="M4401" s="6" t="str">
        <f>"5.040,00"</f>
        <v>5.040,00</v>
      </c>
      <c r="N4401" s="8" t="s">
        <v>955</v>
      </c>
      <c r="O4401" s="7"/>
      <c r="P4401" s="2" t="s">
        <v>7919</v>
      </c>
      <c r="Q4401" s="7"/>
      <c r="R4401" s="1"/>
      <c r="S4401" s="1" t="str">
        <f>"J-UN-2022-1110"</f>
        <v>J-UN-2022-1110</v>
      </c>
      <c r="T4401" s="1" t="s">
        <v>32</v>
      </c>
    </row>
    <row r="4402" spans="1:20" ht="63.75" x14ac:dyDescent="0.25">
      <c r="A4402" s="6">
        <v>4396</v>
      </c>
      <c r="B4402" s="1" t="str">
        <f>"2022-1430"</f>
        <v>2022-1430</v>
      </c>
      <c r="C4402" s="1" t="s">
        <v>2986</v>
      </c>
      <c r="D4402" s="1" t="s">
        <v>2985</v>
      </c>
      <c r="E4402" s="1" t="str">
        <f>""</f>
        <v/>
      </c>
      <c r="F4402" s="1" t="s">
        <v>1860</v>
      </c>
      <c r="G4402" s="1" t="str">
        <f>CONCATENATE(" LANIŠTE D.O.O.,"," ALEXANDERA VON HUMBOLDTA 4B,"," 10000 ZAGREB,"," OIB: 3755384865")</f>
        <v xml:space="preserve"> LANIŠTE D.O.O., ALEXANDERA VON HUMBOLDTA 4B, 10000 ZAGREB, OIB: 3755384865</v>
      </c>
      <c r="H4402" s="7"/>
      <c r="I4402" s="8" t="s">
        <v>905</v>
      </c>
      <c r="J4402" s="8" t="s">
        <v>3154</v>
      </c>
      <c r="K4402" s="6" t="str">
        <f>"4.032,00"</f>
        <v>4.032,00</v>
      </c>
      <c r="L4402" s="6" t="str">
        <f>"1.008,00"</f>
        <v>1.008,00</v>
      </c>
      <c r="M4402" s="6" t="str">
        <f>"5.040,00"</f>
        <v>5.040,00</v>
      </c>
      <c r="N4402" s="8" t="s">
        <v>955</v>
      </c>
      <c r="O4402" s="7"/>
      <c r="P4402" s="2" t="s">
        <v>7919</v>
      </c>
      <c r="Q4402" s="7"/>
      <c r="R4402" s="1"/>
      <c r="S4402" s="1" t="str">
        <f>"J-UN-2022-1111"</f>
        <v>J-UN-2022-1111</v>
      </c>
      <c r="T4402" s="1" t="s">
        <v>32</v>
      </c>
    </row>
    <row r="4403" spans="1:20" ht="63.75" x14ac:dyDescent="0.25">
      <c r="A4403" s="6">
        <v>4397</v>
      </c>
      <c r="B4403" s="1" t="str">
        <f>"2022-1289"</f>
        <v>2022-1289</v>
      </c>
      <c r="C4403" s="1" t="s">
        <v>2993</v>
      </c>
      <c r="D4403" s="1" t="s">
        <v>2994</v>
      </c>
      <c r="E4403" s="1" t="str">
        <f>""</f>
        <v/>
      </c>
      <c r="F4403" s="1" t="s">
        <v>1860</v>
      </c>
      <c r="G4403" s="1" t="str">
        <f>CONCATENATE(" LANIŠTE D.O.O.,"," ALEXANDERA VON HUMBOLDTA 4B,"," 10000 ZAGREB,"," OIB: 3755384865")</f>
        <v xml:space="preserve"> LANIŠTE D.O.O., ALEXANDERA VON HUMBOLDTA 4B, 10000 ZAGREB, OIB: 3755384865</v>
      </c>
      <c r="H4403" s="7"/>
      <c r="I4403" s="8" t="s">
        <v>905</v>
      </c>
      <c r="J4403" s="8" t="s">
        <v>3154</v>
      </c>
      <c r="K4403" s="6" t="str">
        <f>"3.632,00"</f>
        <v>3.632,00</v>
      </c>
      <c r="L4403" s="6" t="str">
        <f>"908,00"</f>
        <v>908,00</v>
      </c>
      <c r="M4403" s="6" t="str">
        <f>"4.540,00"</f>
        <v>4.540,00</v>
      </c>
      <c r="N4403" s="8" t="s">
        <v>955</v>
      </c>
      <c r="O4403" s="7"/>
      <c r="P4403" s="2" t="s">
        <v>7918</v>
      </c>
      <c r="Q4403" s="7"/>
      <c r="R4403" s="1"/>
      <c r="S4403" s="1" t="str">
        <f>"J-UN-2022-1112"</f>
        <v>J-UN-2022-1112</v>
      </c>
      <c r="T4403" s="1" t="s">
        <v>32</v>
      </c>
    </row>
    <row r="4404" spans="1:20" ht="63.75" x14ac:dyDescent="0.25">
      <c r="A4404" s="6">
        <v>4398</v>
      </c>
      <c r="B4404" s="1" t="str">
        <f>"2022-1291"</f>
        <v>2022-1291</v>
      </c>
      <c r="C4404" s="1" t="s">
        <v>2989</v>
      </c>
      <c r="D4404" s="1" t="s">
        <v>2990</v>
      </c>
      <c r="E4404" s="1" t="str">
        <f>""</f>
        <v/>
      </c>
      <c r="F4404" s="1" t="s">
        <v>1860</v>
      </c>
      <c r="G4404" s="1" t="str">
        <f>CONCATENATE(" LANIŠTE D.O.O.,"," ALEXANDERA VON HUMBOLDTA 4B,"," 10000 ZAGREB,"," OIB: 3755384865")</f>
        <v xml:space="preserve"> LANIŠTE D.O.O., ALEXANDERA VON HUMBOLDTA 4B, 10000 ZAGREB, OIB: 3755384865</v>
      </c>
      <c r="H4404" s="7"/>
      <c r="I4404" s="8" t="s">
        <v>905</v>
      </c>
      <c r="J4404" s="8" t="s">
        <v>3154</v>
      </c>
      <c r="K4404" s="6" t="str">
        <f>"3.636,00"</f>
        <v>3.636,00</v>
      </c>
      <c r="L4404" s="6" t="str">
        <f>"909,00"</f>
        <v>909,00</v>
      </c>
      <c r="M4404" s="6" t="str">
        <f>"4.545,00"</f>
        <v>4.545,00</v>
      </c>
      <c r="N4404" s="8" t="s">
        <v>955</v>
      </c>
      <c r="O4404" s="7"/>
      <c r="P4404" s="2" t="s">
        <v>7917</v>
      </c>
      <c r="Q4404" s="7"/>
      <c r="R4404" s="1"/>
      <c r="S4404" s="1" t="str">
        <f>"J-UN-2022-1113"</f>
        <v>J-UN-2022-1113</v>
      </c>
      <c r="T4404" s="1" t="s">
        <v>32</v>
      </c>
    </row>
    <row r="4405" spans="1:20" ht="76.5" x14ac:dyDescent="0.25">
      <c r="A4405" s="6">
        <v>4399</v>
      </c>
      <c r="B4405" s="1" t="str">
        <f>"2022-384"</f>
        <v>2022-384</v>
      </c>
      <c r="C4405" s="1" t="s">
        <v>3062</v>
      </c>
      <c r="D4405" s="1" t="s">
        <v>3063</v>
      </c>
      <c r="E4405" s="1" t="str">
        <f>""</f>
        <v/>
      </c>
      <c r="F4405" s="1" t="s">
        <v>1860</v>
      </c>
      <c r="G4405" s="1" t="str">
        <f>CONCATENATE(" SMIT-COMMERCE D.O.O.,"," GORNJOSTUPNIČKA 9B,"," 10255 GORNJI STUPNIK,"," OIB: 9524348214")</f>
        <v xml:space="preserve"> SMIT-COMMERCE D.O.O., GORNJOSTUPNIČKA 9B, 10255 GORNJI STUPNIK, OIB: 9524348214</v>
      </c>
      <c r="H4405" s="7"/>
      <c r="I4405" s="8" t="s">
        <v>1433</v>
      </c>
      <c r="J4405" s="8" t="s">
        <v>3158</v>
      </c>
      <c r="K4405" s="6" t="str">
        <f>"2.283,04"</f>
        <v>2.283,04</v>
      </c>
      <c r="L4405" s="6" t="str">
        <f>"570,76"</f>
        <v>570,76</v>
      </c>
      <c r="M4405" s="6" t="str">
        <f>"2.853,80"</f>
        <v>2.853,80</v>
      </c>
      <c r="N4405" s="8" t="s">
        <v>402</v>
      </c>
      <c r="O4405" s="7"/>
      <c r="P4405" s="2" t="s">
        <v>8229</v>
      </c>
      <c r="Q4405" s="7"/>
      <c r="R4405" s="1"/>
      <c r="S4405" s="1" t="str">
        <f>"J-UN-2022-1114"</f>
        <v>J-UN-2022-1114</v>
      </c>
      <c r="T4405" s="1" t="s">
        <v>32</v>
      </c>
    </row>
    <row r="4406" spans="1:20" ht="89.25" x14ac:dyDescent="0.25">
      <c r="A4406" s="6">
        <v>4400</v>
      </c>
      <c r="B4406" s="1" t="str">
        <f>"2022-1410"</f>
        <v>2022-1410</v>
      </c>
      <c r="C4406" s="1" t="s">
        <v>2757</v>
      </c>
      <c r="D4406" s="1" t="s">
        <v>2724</v>
      </c>
      <c r="E4406" s="1" t="str">
        <f>""</f>
        <v/>
      </c>
      <c r="F4406" s="1" t="s">
        <v>1860</v>
      </c>
      <c r="G4406" s="1" t="str">
        <f>CONCATENATE(" ZAVOD ZA ISTRAŽIVANJE I RAZVOJ SIGURNOSTI D.O.O.,"," ULICA GRADA VUKOVARA 68,"," 10000 ZAGREB,"," OIB: 05494093403")</f>
        <v xml:space="preserve"> ZAVOD ZA ISTRAŽIVANJE I RAZVOJ SIGURNOSTI D.O.O., ULICA GRADA VUKOVARA 68, 10000 ZAGREB, OIB: 05494093403</v>
      </c>
      <c r="H4406" s="7"/>
      <c r="I4406" s="8" t="s">
        <v>1433</v>
      </c>
      <c r="J4406" s="8" t="s">
        <v>3158</v>
      </c>
      <c r="K4406" s="6" t="str">
        <f>"1.200,00"</f>
        <v>1.200,00</v>
      </c>
      <c r="L4406" s="6" t="str">
        <f>"300,00"</f>
        <v>300,00</v>
      </c>
      <c r="M4406" s="6" t="str">
        <f>"1.500,00"</f>
        <v>1.500,00</v>
      </c>
      <c r="N4406" s="8" t="s">
        <v>124</v>
      </c>
      <c r="O4406" s="7"/>
      <c r="P4406" s="2" t="s">
        <v>5614</v>
      </c>
      <c r="Q4406" s="7"/>
      <c r="R4406" s="1"/>
      <c r="S4406" s="1" t="str">
        <f>"J-UN-2022-1116"</f>
        <v>J-UN-2022-1116</v>
      </c>
      <c r="T4406" s="1" t="s">
        <v>32</v>
      </c>
    </row>
    <row r="4407" spans="1:20" ht="63.75" x14ac:dyDescent="0.25">
      <c r="A4407" s="6">
        <v>4401</v>
      </c>
      <c r="B4407" s="1" t="str">
        <f>"2022-710"</f>
        <v>2022-710</v>
      </c>
      <c r="C4407" s="1" t="s">
        <v>2782</v>
      </c>
      <c r="D4407" s="1" t="s">
        <v>815</v>
      </c>
      <c r="E4407" s="1" t="str">
        <f>""</f>
        <v/>
      </c>
      <c r="F4407" s="1" t="s">
        <v>1860</v>
      </c>
      <c r="G4407" s="1" t="str">
        <f>CONCATENATE(" LAUS INTERNATIONAL D.O.O.,"," DR. FRANJE TUĐMANA 16B,"," 10431 SVETA NEDELJA,"," OIB: 93039509752")</f>
        <v xml:space="preserve"> LAUS INTERNATIONAL D.O.O., DR. FRANJE TUĐMANA 16B, 10431 SVETA NEDELJA, OIB: 93039509752</v>
      </c>
      <c r="H4407" s="7"/>
      <c r="I4407" s="8" t="s">
        <v>905</v>
      </c>
      <c r="J4407" s="8" t="s">
        <v>3154</v>
      </c>
      <c r="K4407" s="6" t="str">
        <f>"1.999,06"</f>
        <v>1.999,06</v>
      </c>
      <c r="L4407" s="6" t="str">
        <f>"499,77"</f>
        <v>499,77</v>
      </c>
      <c r="M4407" s="6" t="str">
        <f>"2.498,83"</f>
        <v>2.498,83</v>
      </c>
      <c r="N4407" s="8" t="s">
        <v>124</v>
      </c>
      <c r="O4407" s="7"/>
      <c r="P4407" s="2" t="s">
        <v>5614</v>
      </c>
      <c r="Q4407" s="7"/>
      <c r="R4407" s="1"/>
      <c r="S4407" s="1" t="str">
        <f>"J-UN-2022-1118"</f>
        <v>J-UN-2022-1118</v>
      </c>
      <c r="T4407" s="1" t="s">
        <v>32</v>
      </c>
    </row>
    <row r="4408" spans="1:20" ht="51" x14ac:dyDescent="0.25">
      <c r="A4408" s="6">
        <v>4402</v>
      </c>
      <c r="B4408" s="1" t="str">
        <f>"2022-1797"</f>
        <v>2022-1797</v>
      </c>
      <c r="C4408" s="1" t="s">
        <v>3163</v>
      </c>
      <c r="D4408" s="1" t="s">
        <v>1641</v>
      </c>
      <c r="E4408" s="1" t="str">
        <f>""</f>
        <v/>
      </c>
      <c r="F4408" s="1" t="s">
        <v>1860</v>
      </c>
      <c r="G4408" s="1" t="str">
        <f>CONCATENATE(" GIM GRAĐENJE D.O.O.,"," VIKTORA KOVAČIĆA 3,"," 10000 ZAGREB,"," OIB: 96743361297")</f>
        <v xml:space="preserve"> GIM GRAĐENJE D.O.O., VIKTORA KOVAČIĆA 3, 10000 ZAGREB, OIB: 96743361297</v>
      </c>
      <c r="H4408" s="7"/>
      <c r="I4408" s="8" t="s">
        <v>1433</v>
      </c>
      <c r="J4408" s="8" t="s">
        <v>3158</v>
      </c>
      <c r="K4408" s="6" t="str">
        <f>"13.700,00"</f>
        <v>13.700,00</v>
      </c>
      <c r="L4408" s="6" t="str">
        <f>"3.425,00"</f>
        <v>3.425,00</v>
      </c>
      <c r="M4408" s="6" t="str">
        <f>"17.125,00"</f>
        <v>17.125,00</v>
      </c>
      <c r="N4408" s="8" t="s">
        <v>458</v>
      </c>
      <c r="O4408" s="7"/>
      <c r="P4408" s="2" t="s">
        <v>8230</v>
      </c>
      <c r="Q4408" s="7"/>
      <c r="R4408" s="1"/>
      <c r="S4408" s="1" t="str">
        <f>"J-UN-2022-1120"</f>
        <v>J-UN-2022-1120</v>
      </c>
      <c r="T4408" s="1" t="s">
        <v>32</v>
      </c>
    </row>
    <row r="4409" spans="1:20" ht="76.5" x14ac:dyDescent="0.25">
      <c r="A4409" s="6">
        <v>4403</v>
      </c>
      <c r="B4409" s="1" t="str">
        <f>"2022-1943"</f>
        <v>2022-1943</v>
      </c>
      <c r="C4409" s="1" t="s">
        <v>3164</v>
      </c>
      <c r="D4409" s="1" t="s">
        <v>2248</v>
      </c>
      <c r="E4409" s="1" t="str">
        <f>""</f>
        <v/>
      </c>
      <c r="F4409" s="1" t="s">
        <v>1860</v>
      </c>
      <c r="G4409" s="1" t="str">
        <f>CONCATENATE(" EKSPERT D.O.O.,"," SELSKA CESTA 126,"," 10000 ZAGREB,"," OIB: 5054290785")</f>
        <v xml:space="preserve"> EKSPERT D.O.O., SELSKA CESTA 126, 10000 ZAGREB, OIB: 5054290785</v>
      </c>
      <c r="H4409" s="7"/>
      <c r="I4409" s="8" t="s">
        <v>905</v>
      </c>
      <c r="J4409" s="8" t="s">
        <v>3154</v>
      </c>
      <c r="K4409" s="6" t="str">
        <f>"38.400,00"</f>
        <v>38.400,00</v>
      </c>
      <c r="L4409" s="6" t="str">
        <f>"9.600,00"</f>
        <v>9.600,00</v>
      </c>
      <c r="M4409" s="6" t="str">
        <f>"48.000,00"</f>
        <v>48.000,00</v>
      </c>
      <c r="N4409" s="8" t="s">
        <v>124</v>
      </c>
      <c r="O4409" s="7"/>
      <c r="P4409" s="2" t="s">
        <v>5614</v>
      </c>
      <c r="Q4409" s="7"/>
      <c r="R4409" s="1"/>
      <c r="S4409" s="1" t="str">
        <f>"J-UN-2022-1121"</f>
        <v>J-UN-2022-1121</v>
      </c>
      <c r="T4409" s="1" t="s">
        <v>32</v>
      </c>
    </row>
    <row r="4410" spans="1:20" ht="63.75" x14ac:dyDescent="0.25">
      <c r="A4410" s="6">
        <v>4404</v>
      </c>
      <c r="B4410" s="1" t="str">
        <f>"2022-1939"</f>
        <v>2022-1939</v>
      </c>
      <c r="C4410" s="1" t="s">
        <v>3165</v>
      </c>
      <c r="D4410" s="1" t="s">
        <v>1914</v>
      </c>
      <c r="E4410" s="1" t="str">
        <f>""</f>
        <v/>
      </c>
      <c r="F4410" s="1" t="s">
        <v>1860</v>
      </c>
      <c r="G4410" s="1" t="str">
        <f>CONCATENATE(" LINKS D.O.O.,"," LJUBLJANSKA ULICA 2A,"," 10431 SVETA NEDJELJA,"," OIB: 32614011568")</f>
        <v xml:space="preserve"> LINKS D.O.O., LJUBLJANSKA ULICA 2A, 10431 SVETA NEDJELJA, OIB: 32614011568</v>
      </c>
      <c r="H4410" s="7"/>
      <c r="I4410" s="8" t="s">
        <v>1433</v>
      </c>
      <c r="J4410" s="8" t="s">
        <v>3158</v>
      </c>
      <c r="K4410" s="6" t="str">
        <f>"4.672,17"</f>
        <v>4.672,17</v>
      </c>
      <c r="L4410" s="6" t="str">
        <f>"1.168,04"</f>
        <v>1.168,04</v>
      </c>
      <c r="M4410" s="6" t="str">
        <f>"5.840,21"</f>
        <v>5.840,21</v>
      </c>
      <c r="N4410" s="8" t="s">
        <v>124</v>
      </c>
      <c r="O4410" s="7"/>
      <c r="P4410" s="2" t="s">
        <v>5614</v>
      </c>
      <c r="Q4410" s="7"/>
      <c r="R4410" s="1"/>
      <c r="S4410" s="1" t="str">
        <f>"J-UN-2022-1122"</f>
        <v>J-UN-2022-1122</v>
      </c>
      <c r="T4410" s="1" t="s">
        <v>32</v>
      </c>
    </row>
    <row r="4411" spans="1:20" ht="51" x14ac:dyDescent="0.25">
      <c r="A4411" s="6">
        <v>4405</v>
      </c>
      <c r="B4411" s="1" t="str">
        <f>"2022-40"</f>
        <v>2022-40</v>
      </c>
      <c r="C4411" s="1" t="s">
        <v>2317</v>
      </c>
      <c r="D4411" s="1" t="s">
        <v>837</v>
      </c>
      <c r="E4411" s="1" t="str">
        <f>""</f>
        <v/>
      </c>
      <c r="F4411" s="1" t="s">
        <v>1860</v>
      </c>
      <c r="G4411" s="1" t="str">
        <f>CONCATENATE(" ROTO DINAMIC D.O.O.,"," ULICA GRADA WIRGESA 14,"," 10430 SAMOBOR,"," OIB: 24723122482")</f>
        <v xml:space="preserve"> ROTO DINAMIC D.O.O., ULICA GRADA WIRGESA 14, 10430 SAMOBOR, OIB: 24723122482</v>
      </c>
      <c r="H4411" s="7"/>
      <c r="I4411" s="8" t="s">
        <v>406</v>
      </c>
      <c r="J4411" s="8" t="s">
        <v>3155</v>
      </c>
      <c r="K4411" s="6" t="str">
        <f>"4.137,85"</f>
        <v>4.137,85</v>
      </c>
      <c r="L4411" s="6" t="str">
        <f>"1.034,46"</f>
        <v>1.034,46</v>
      </c>
      <c r="M4411" s="6" t="str">
        <f>"5.172,31"</f>
        <v>5.172,31</v>
      </c>
      <c r="N4411" s="8" t="s">
        <v>124</v>
      </c>
      <c r="O4411" s="7"/>
      <c r="P4411" s="2" t="s">
        <v>5614</v>
      </c>
      <c r="Q4411" s="7"/>
      <c r="R4411" s="1"/>
      <c r="S4411" s="1" t="str">
        <f>"J-UN-2022-1124"</f>
        <v>J-UN-2022-1124</v>
      </c>
      <c r="T4411" s="1" t="s">
        <v>32</v>
      </c>
    </row>
    <row r="4412" spans="1:20" ht="63.75" x14ac:dyDescent="0.25">
      <c r="A4412" s="6">
        <v>4406</v>
      </c>
      <c r="B4412" s="1" t="str">
        <f>"2022-104"</f>
        <v>2022-104</v>
      </c>
      <c r="C4412" s="1" t="s">
        <v>2786</v>
      </c>
      <c r="D4412" s="1" t="s">
        <v>476</v>
      </c>
      <c r="E4412" s="1" t="str">
        <f>""</f>
        <v/>
      </c>
      <c r="F4412" s="1" t="s">
        <v>1860</v>
      </c>
      <c r="G4412" s="1" t="str">
        <f>CONCATENATE(" INFODATA,"," VL. DRŽISLAV DLESK,"," CMP SAVICA ŠANCI 111,"," 10000 ZAGREB,"," OIB: 5950645445")</f>
        <v xml:space="preserve"> INFODATA, VL. DRŽISLAV DLESK, CMP SAVICA ŠANCI 111, 10000 ZAGREB, OIB: 5950645445</v>
      </c>
      <c r="H4412" s="7"/>
      <c r="I4412" s="8" t="s">
        <v>406</v>
      </c>
      <c r="J4412" s="8" t="s">
        <v>3155</v>
      </c>
      <c r="K4412" s="6" t="str">
        <f>"550,00"</f>
        <v>550,00</v>
      </c>
      <c r="L4412" s="6" t="str">
        <f>"137,50"</f>
        <v>137,50</v>
      </c>
      <c r="M4412" s="6" t="str">
        <f>"687,50"</f>
        <v>687,50</v>
      </c>
      <c r="N4412" s="8" t="s">
        <v>124</v>
      </c>
      <c r="O4412" s="7"/>
      <c r="P4412" s="2" t="s">
        <v>5614</v>
      </c>
      <c r="Q4412" s="7"/>
      <c r="R4412" s="1"/>
      <c r="S4412" s="1" t="str">
        <f>"J-UN-2022-1138"</f>
        <v>J-UN-2022-1138</v>
      </c>
      <c r="T4412" s="1" t="s">
        <v>32</v>
      </c>
    </row>
    <row r="4413" spans="1:20" ht="63.75" x14ac:dyDescent="0.25">
      <c r="A4413" s="6">
        <v>4407</v>
      </c>
      <c r="B4413" s="1" t="str">
        <f>"2022-1815"</f>
        <v>2022-1815</v>
      </c>
      <c r="C4413" s="1" t="s">
        <v>3141</v>
      </c>
      <c r="D4413" s="1" t="s">
        <v>854</v>
      </c>
      <c r="E4413" s="1" t="str">
        <f>""</f>
        <v/>
      </c>
      <c r="F4413" s="1" t="s">
        <v>1860</v>
      </c>
      <c r="G4413" s="1" t="str">
        <f>CONCATENATE(" EUROCOM D.O.O.,"," POD BREGOM,"," DONJI STUPNIK 8,"," 10255 GORNJI STUPNIK,"," OIB: 61781931283")</f>
        <v xml:space="preserve"> EUROCOM D.O.O., POD BREGOM, DONJI STUPNIK 8, 10255 GORNJI STUPNIK, OIB: 61781931283</v>
      </c>
      <c r="H4413" s="7"/>
      <c r="I4413" s="8" t="s">
        <v>406</v>
      </c>
      <c r="J4413" s="8" t="s">
        <v>3155</v>
      </c>
      <c r="K4413" s="6" t="str">
        <f>"4.606,22"</f>
        <v>4.606,22</v>
      </c>
      <c r="L4413" s="6" t="str">
        <f>"1.151,56"</f>
        <v>1.151,56</v>
      </c>
      <c r="M4413" s="6" t="str">
        <f>"5.757,78"</f>
        <v>5.757,78</v>
      </c>
      <c r="N4413" s="8" t="s">
        <v>124</v>
      </c>
      <c r="O4413" s="7"/>
      <c r="P4413" s="2" t="s">
        <v>5614</v>
      </c>
      <c r="Q4413" s="7"/>
      <c r="R4413" s="1"/>
      <c r="S4413" s="1" t="str">
        <f>"J-UN-2022-1139"</f>
        <v>J-UN-2022-1139</v>
      </c>
      <c r="T4413" s="1" t="s">
        <v>32</v>
      </c>
    </row>
    <row r="4414" spans="1:20" ht="51" x14ac:dyDescent="0.25">
      <c r="A4414" s="6">
        <v>4408</v>
      </c>
      <c r="B4414" s="1" t="str">
        <f>"2022-1781"</f>
        <v>2022-1781</v>
      </c>
      <c r="C4414" s="1" t="s">
        <v>3166</v>
      </c>
      <c r="D4414" s="1" t="s">
        <v>3167</v>
      </c>
      <c r="E4414" s="1" t="str">
        <f>""</f>
        <v/>
      </c>
      <c r="F4414" s="1" t="s">
        <v>1860</v>
      </c>
      <c r="G4414" s="1" t="str">
        <f>CONCATENATE(" KING ICT D.O.O.,"," BUZINSKI PRILAZ 10,"," 10010 ZAGREB,"," OIB: 67001695549")</f>
        <v xml:space="preserve"> KING ICT D.O.O., BUZINSKI PRILAZ 10, 10010 ZAGREB, OIB: 67001695549</v>
      </c>
      <c r="H4414" s="7"/>
      <c r="I4414" s="8" t="s">
        <v>1155</v>
      </c>
      <c r="J4414" s="8" t="s">
        <v>3168</v>
      </c>
      <c r="K4414" s="6" t="str">
        <f>"28.432,93"</f>
        <v>28.432,93</v>
      </c>
      <c r="L4414" s="6" t="str">
        <f>"7.108,23"</f>
        <v>7.108,23</v>
      </c>
      <c r="M4414" s="6" t="str">
        <f>"35.541,16"</f>
        <v>35.541,16</v>
      </c>
      <c r="N4414" s="8" t="s">
        <v>124</v>
      </c>
      <c r="O4414" s="7"/>
      <c r="P4414" s="2" t="s">
        <v>5614</v>
      </c>
      <c r="Q4414" s="7"/>
      <c r="R4414" s="1"/>
      <c r="S4414" s="1" t="str">
        <f>"J-UN-2022-1151"</f>
        <v>J-UN-2022-1151</v>
      </c>
      <c r="T4414" s="1" t="s">
        <v>32</v>
      </c>
    </row>
    <row r="4415" spans="1:20" ht="51" x14ac:dyDescent="0.25">
      <c r="A4415" s="6">
        <v>4409</v>
      </c>
      <c r="B4415" s="1" t="str">
        <f>"2022-488"</f>
        <v>2022-488</v>
      </c>
      <c r="C4415" s="1" t="s">
        <v>2714</v>
      </c>
      <c r="D4415" s="1" t="s">
        <v>619</v>
      </c>
      <c r="E4415" s="1" t="str">
        <f>""</f>
        <v/>
      </c>
      <c r="F4415" s="1" t="s">
        <v>1860</v>
      </c>
      <c r="G4415" s="1" t="str">
        <f>CONCATENATE(" NIACO D.O.O.,"," IVANA KAMENARIĆA 9,"," 10380 SVETI IVAN ZELINA,"," OIB: 61876916009")</f>
        <v xml:space="preserve"> NIACO D.O.O., IVANA KAMENARIĆA 9, 10380 SVETI IVAN ZELINA, OIB: 61876916009</v>
      </c>
      <c r="H4415" s="7"/>
      <c r="I4415" s="8" t="s">
        <v>523</v>
      </c>
      <c r="J4415" s="8" t="s">
        <v>2408</v>
      </c>
      <c r="K4415" s="6" t="str">
        <f>"5.444,00"</f>
        <v>5.444,00</v>
      </c>
      <c r="L4415" s="6" t="str">
        <f>"1.361,00"</f>
        <v>1.361,00</v>
      </c>
      <c r="M4415" s="6" t="str">
        <f>"6.805,00"</f>
        <v>6.805,00</v>
      </c>
      <c r="N4415" s="8" t="s">
        <v>287</v>
      </c>
      <c r="O4415" s="7"/>
      <c r="P4415" s="2" t="s">
        <v>8231</v>
      </c>
      <c r="Q4415" s="7"/>
      <c r="R4415" s="1"/>
      <c r="S4415" s="1" t="str">
        <f>"J-UN-2022-1153"</f>
        <v>J-UN-2022-1153</v>
      </c>
      <c r="T4415" s="1" t="s">
        <v>32</v>
      </c>
    </row>
    <row r="4416" spans="1:20" ht="51" x14ac:dyDescent="0.25">
      <c r="A4416" s="6">
        <v>4410</v>
      </c>
      <c r="B4416" s="1" t="str">
        <f>"2022-950"</f>
        <v>2022-950</v>
      </c>
      <c r="C4416" s="1" t="s">
        <v>2854</v>
      </c>
      <c r="D4416" s="1" t="s">
        <v>2855</v>
      </c>
      <c r="E4416" s="1" t="str">
        <f>""</f>
        <v/>
      </c>
      <c r="F4416" s="1" t="s">
        <v>1860</v>
      </c>
      <c r="G4416" s="1" t="str">
        <f>CONCATENATE(" TEHNO-HIDRAULIK D.O.O.,"," SAVIŠĆE 2,"," 10000 ZAGREB,"," OIB: 09925328419")</f>
        <v xml:space="preserve"> TEHNO-HIDRAULIK D.O.O., SAVIŠĆE 2, 10000 ZAGREB, OIB: 09925328419</v>
      </c>
      <c r="H4416" s="7"/>
      <c r="I4416" s="8" t="s">
        <v>773</v>
      </c>
      <c r="J4416" s="8" t="s">
        <v>3169</v>
      </c>
      <c r="K4416" s="6" t="str">
        <f>"16.115,60"</f>
        <v>16.115,60</v>
      </c>
      <c r="L4416" s="6" t="str">
        <f>"4.028,90"</f>
        <v>4.028,90</v>
      </c>
      <c r="M4416" s="6" t="str">
        <f>"20.144,50"</f>
        <v>20.144,50</v>
      </c>
      <c r="N4416" s="8" t="s">
        <v>102</v>
      </c>
      <c r="O4416" s="7"/>
      <c r="P4416" s="2" t="s">
        <v>8232</v>
      </c>
      <c r="Q4416" s="7"/>
      <c r="R4416" s="1"/>
      <c r="S4416" s="1" t="str">
        <f>"J-UN-2022-1154"</f>
        <v>J-UN-2022-1154</v>
      </c>
      <c r="T4416" s="1" t="s">
        <v>32</v>
      </c>
    </row>
    <row r="4417" spans="1:20" ht="51" x14ac:dyDescent="0.25">
      <c r="A4417" s="6">
        <v>4411</v>
      </c>
      <c r="B4417" s="1" t="str">
        <f>"2022-913"</f>
        <v>2022-913</v>
      </c>
      <c r="C4417" s="1" t="s">
        <v>2879</v>
      </c>
      <c r="D4417" s="1" t="s">
        <v>1007</v>
      </c>
      <c r="E4417" s="1" t="str">
        <f>""</f>
        <v/>
      </c>
      <c r="F4417" s="1" t="s">
        <v>1860</v>
      </c>
      <c r="G4417" s="1" t="str">
        <f>CONCATENATE(" EUROPLAMEN D.O.O.,"," RUDOLFOV BREG 6,"," 10430 SAMOBOR,"," OIB: 69942917335")</f>
        <v xml:space="preserve"> EUROPLAMEN D.O.O., RUDOLFOV BREG 6, 10430 SAMOBOR, OIB: 69942917335</v>
      </c>
      <c r="H4417" s="7"/>
      <c r="I4417" s="8" t="s">
        <v>773</v>
      </c>
      <c r="J4417" s="8" t="s">
        <v>3169</v>
      </c>
      <c r="K4417" s="6" t="str">
        <f>"4.800,00"</f>
        <v>4.800,00</v>
      </c>
      <c r="L4417" s="6" t="str">
        <f>"1.200,00"</f>
        <v>1.200,00</v>
      </c>
      <c r="M4417" s="6" t="str">
        <f>"6.000,00"</f>
        <v>6.000,00</v>
      </c>
      <c r="N4417" s="8" t="s">
        <v>438</v>
      </c>
      <c r="O4417" s="7"/>
      <c r="P4417" s="2" t="s">
        <v>6850</v>
      </c>
      <c r="Q4417" s="7"/>
      <c r="R4417" s="1"/>
      <c r="S4417" s="1" t="str">
        <f>"J-UN-2022-1155"</f>
        <v>J-UN-2022-1155</v>
      </c>
      <c r="T4417" s="1" t="s">
        <v>32</v>
      </c>
    </row>
    <row r="4418" spans="1:20" ht="51" x14ac:dyDescent="0.25">
      <c r="A4418" s="6">
        <v>4412</v>
      </c>
      <c r="B4418" s="1" t="str">
        <f>"2022-1085"</f>
        <v>2022-1085</v>
      </c>
      <c r="C4418" s="1" t="s">
        <v>2957</v>
      </c>
      <c r="D4418" s="1" t="s">
        <v>74</v>
      </c>
      <c r="E4418" s="1" t="str">
        <f>""</f>
        <v/>
      </c>
      <c r="F4418" s="1" t="s">
        <v>1860</v>
      </c>
      <c r="G4418" s="1" t="str">
        <f>CONCATENATE(" MEGA MONT D.O.O.,"," POPOVIĆEV PUT 2/D,"," 51211 MATULJI,"," OIB: 64536314217")</f>
        <v xml:space="preserve"> MEGA MONT D.O.O., POPOVIĆEV PUT 2/D, 51211 MATULJI, OIB: 64536314217</v>
      </c>
      <c r="H4418" s="7"/>
      <c r="I4418" s="8" t="s">
        <v>773</v>
      </c>
      <c r="J4418" s="8" t="s">
        <v>123</v>
      </c>
      <c r="K4418" s="6" t="str">
        <f>"39.900,00"</f>
        <v>39.900,00</v>
      </c>
      <c r="L4418" s="6" t="str">
        <f>"9.975,00"</f>
        <v>9.975,00</v>
      </c>
      <c r="M4418" s="6" t="str">
        <f>"49.875,00"</f>
        <v>49.875,00</v>
      </c>
      <c r="N4418" s="8" t="s">
        <v>431</v>
      </c>
      <c r="O4418" s="7"/>
      <c r="P4418" s="2" t="s">
        <v>7160</v>
      </c>
      <c r="Q4418" s="7"/>
      <c r="R4418" s="1"/>
      <c r="S4418" s="1" t="str">
        <f>"J-UN-2022-1156"</f>
        <v>J-UN-2022-1156</v>
      </c>
      <c r="T4418" s="1" t="s">
        <v>32</v>
      </c>
    </row>
    <row r="4419" spans="1:20" ht="63.75" x14ac:dyDescent="0.25">
      <c r="A4419" s="6">
        <v>4413</v>
      </c>
      <c r="B4419" s="1" t="str">
        <f>"2022-244"</f>
        <v>2022-244</v>
      </c>
      <c r="C4419" s="1" t="s">
        <v>2677</v>
      </c>
      <c r="D4419" s="1" t="s">
        <v>2678</v>
      </c>
      <c r="E4419" s="1" t="str">
        <f>""</f>
        <v/>
      </c>
      <c r="F4419" s="1" t="s">
        <v>1860</v>
      </c>
      <c r="G4419" s="1" t="str">
        <f>CONCATENATE(" GRADSKA LJEKARNA ZAGREB,"," KRALJA DRŽISLAVA 6,"," 10000 ZAGREB,"," OIB: 37268254106")</f>
        <v xml:space="preserve"> GRADSKA LJEKARNA ZAGREB, KRALJA DRŽISLAVA 6, 10000 ZAGREB, OIB: 37268254106</v>
      </c>
      <c r="H4419" s="7"/>
      <c r="I4419" s="8" t="s">
        <v>723</v>
      </c>
      <c r="J4419" s="8" t="s">
        <v>3170</v>
      </c>
      <c r="K4419" s="6" t="str">
        <f>"5.729,60"</f>
        <v>5.729,60</v>
      </c>
      <c r="L4419" s="6" t="str">
        <f>"1.432,40"</f>
        <v>1.432,40</v>
      </c>
      <c r="M4419" s="6" t="str">
        <f>"7.162,00"</f>
        <v>7.162,00</v>
      </c>
      <c r="N4419" s="8" t="s">
        <v>524</v>
      </c>
      <c r="O4419" s="7"/>
      <c r="P4419" s="2" t="s">
        <v>8233</v>
      </c>
      <c r="Q4419" s="7"/>
      <c r="R4419" s="1"/>
      <c r="S4419" s="1" t="str">
        <f>"J-UN-2022-1157"</f>
        <v>J-UN-2022-1157</v>
      </c>
      <c r="T4419" s="1" t="s">
        <v>32</v>
      </c>
    </row>
    <row r="4420" spans="1:20" ht="51" x14ac:dyDescent="0.25">
      <c r="A4420" s="6">
        <v>4414</v>
      </c>
      <c r="B4420" s="1" t="str">
        <f>"2022-734"</f>
        <v>2022-734</v>
      </c>
      <c r="C4420" s="1" t="s">
        <v>2707</v>
      </c>
      <c r="D4420" s="1" t="s">
        <v>2708</v>
      </c>
      <c r="E4420" s="1" t="str">
        <f>""</f>
        <v/>
      </c>
      <c r="F4420" s="1" t="s">
        <v>1860</v>
      </c>
      <c r="G4420" s="1" t="str">
        <f>CONCATENATE(" NAVIS MARINE D.O.O.,"," TRG ŽRTAVA FAŠIZMA 5,"," 10000 ZAGREB,"," OIB: 3367383336")</f>
        <v xml:space="preserve"> NAVIS MARINE D.O.O., TRG ŽRTAVA FAŠIZMA 5, 10000 ZAGREB, OIB: 3367383336</v>
      </c>
      <c r="H4420" s="7"/>
      <c r="I4420" s="8" t="s">
        <v>773</v>
      </c>
      <c r="J4420" s="8" t="s">
        <v>3169</v>
      </c>
      <c r="K4420" s="6" t="str">
        <f>"504,00"</f>
        <v>504,00</v>
      </c>
      <c r="L4420" s="6" t="str">
        <f>"126,00"</f>
        <v>126,00</v>
      </c>
      <c r="M4420" s="6" t="str">
        <f>"630,00"</f>
        <v>630,00</v>
      </c>
      <c r="N4420" s="8" t="s">
        <v>3171</v>
      </c>
      <c r="O4420" s="7"/>
      <c r="P4420" s="2" t="s">
        <v>8234</v>
      </c>
      <c r="Q4420" s="7"/>
      <c r="R4420" s="1"/>
      <c r="S4420" s="1" t="str">
        <f>"J-UN-2022-1158"</f>
        <v>J-UN-2022-1158</v>
      </c>
      <c r="T4420" s="1" t="s">
        <v>32</v>
      </c>
    </row>
    <row r="4421" spans="1:20" ht="51" x14ac:dyDescent="0.25">
      <c r="A4421" s="6">
        <v>4415</v>
      </c>
      <c r="B4421" s="1" t="str">
        <f>"2022-222"</f>
        <v>2022-222</v>
      </c>
      <c r="C4421" s="1" t="s">
        <v>2841</v>
      </c>
      <c r="D4421" s="1" t="s">
        <v>2842</v>
      </c>
      <c r="E4421" s="1" t="str">
        <f>""</f>
        <v/>
      </c>
      <c r="F4421" s="1" t="s">
        <v>1860</v>
      </c>
      <c r="G4421" s="1" t="str">
        <f>CONCATENATE(" TAHOGRAF D.O.O.,"," DR. FRANJE TUĐMANA 24,"," 10431 SVETA NEDELJA,"," OIB: 73777060562")</f>
        <v xml:space="preserve"> TAHOGRAF D.O.O., DR. FRANJE TUĐMANA 24, 10431 SVETA NEDELJA, OIB: 73777060562</v>
      </c>
      <c r="H4421" s="7"/>
      <c r="I4421" s="8" t="s">
        <v>723</v>
      </c>
      <c r="J4421" s="8" t="s">
        <v>3170</v>
      </c>
      <c r="K4421" s="6" t="str">
        <f>"657,00"</f>
        <v>657,00</v>
      </c>
      <c r="L4421" s="6" t="str">
        <f>"164,25"</f>
        <v>164,25</v>
      </c>
      <c r="M4421" s="6" t="str">
        <f>"821,25"</f>
        <v>821,25</v>
      </c>
      <c r="N4421" s="8" t="s">
        <v>523</v>
      </c>
      <c r="O4421" s="7"/>
      <c r="P4421" s="2" t="s">
        <v>8026</v>
      </c>
      <c r="Q4421" s="7"/>
      <c r="R4421" s="1"/>
      <c r="S4421" s="1" t="str">
        <f>"J-UN-2022-1159"</f>
        <v>J-UN-2022-1159</v>
      </c>
      <c r="T4421" s="1" t="s">
        <v>32</v>
      </c>
    </row>
    <row r="4422" spans="1:20" ht="63.75" x14ac:dyDescent="0.25">
      <c r="A4422" s="6">
        <v>4416</v>
      </c>
      <c r="B4422" s="1" t="str">
        <f>"2022-710"</f>
        <v>2022-710</v>
      </c>
      <c r="C4422" s="1" t="s">
        <v>2782</v>
      </c>
      <c r="D4422" s="1" t="s">
        <v>815</v>
      </c>
      <c r="E4422" s="1" t="str">
        <f>""</f>
        <v/>
      </c>
      <c r="F4422" s="1" t="s">
        <v>1860</v>
      </c>
      <c r="G4422" s="1" t="str">
        <f>CONCATENATE(" LAUS INTERNATIONAL D.O.O.,"," DR. FRANJE TUĐMANA 16B,"," 10431 SVETA NEDELJA,"," OIB: 93039509752")</f>
        <v xml:space="preserve"> LAUS INTERNATIONAL D.O.O., DR. FRANJE TUĐMANA 16B, 10431 SVETA NEDELJA, OIB: 93039509752</v>
      </c>
      <c r="H4422" s="7"/>
      <c r="I4422" s="8" t="s">
        <v>773</v>
      </c>
      <c r="J4422" s="8" t="s">
        <v>3169</v>
      </c>
      <c r="K4422" s="6" t="str">
        <f>"1.911,06"</f>
        <v>1.911,06</v>
      </c>
      <c r="L4422" s="6" t="str">
        <f>"477,77"</f>
        <v>477,77</v>
      </c>
      <c r="M4422" s="6" t="str">
        <f>"2.388,83"</f>
        <v>2.388,83</v>
      </c>
      <c r="N4422" s="8" t="s">
        <v>404</v>
      </c>
      <c r="O4422" s="7"/>
      <c r="P4422" s="2" t="s">
        <v>8235</v>
      </c>
      <c r="Q4422" s="7"/>
      <c r="R4422" s="1"/>
      <c r="S4422" s="1" t="str">
        <f>"J-UN-2022-1160"</f>
        <v>J-UN-2022-1160</v>
      </c>
      <c r="T4422" s="1" t="s">
        <v>32</v>
      </c>
    </row>
    <row r="4423" spans="1:20" ht="51" x14ac:dyDescent="0.25">
      <c r="A4423" s="6">
        <v>4417</v>
      </c>
      <c r="B4423" s="1" t="str">
        <f>"2022-715"</f>
        <v>2022-715</v>
      </c>
      <c r="C4423" s="1" t="s">
        <v>2733</v>
      </c>
      <c r="D4423" s="1" t="s">
        <v>914</v>
      </c>
      <c r="E4423" s="1" t="str">
        <f>""</f>
        <v/>
      </c>
      <c r="F4423" s="1" t="s">
        <v>1860</v>
      </c>
      <c r="G4423" s="1" t="str">
        <f>CONCATENATE(" AUTO HOLETIĆ D.O.O.,"," SISAČKA 47,"," 10410 VELIKA GORICA,"," OIB: 78653954953")</f>
        <v xml:space="preserve"> AUTO HOLETIĆ D.O.O., SISAČKA 47, 10410 VELIKA GORICA, OIB: 78653954953</v>
      </c>
      <c r="H4423" s="7"/>
      <c r="I4423" s="8" t="s">
        <v>773</v>
      </c>
      <c r="J4423" s="8" t="s">
        <v>3169</v>
      </c>
      <c r="K4423" s="6" t="str">
        <f>"1.459,00"</f>
        <v>1.459,00</v>
      </c>
      <c r="L4423" s="6" t="str">
        <f>"364,75"</f>
        <v>364,75</v>
      </c>
      <c r="M4423" s="6" t="str">
        <f>"1.823,75"</f>
        <v>1.823,75</v>
      </c>
      <c r="N4423" s="8" t="s">
        <v>124</v>
      </c>
      <c r="O4423" s="7"/>
      <c r="P4423" s="2" t="s">
        <v>5614</v>
      </c>
      <c r="Q4423" s="7"/>
      <c r="R4423" s="1"/>
      <c r="S4423" s="1" t="str">
        <f>"J-UN-2022-1161"</f>
        <v>J-UN-2022-1161</v>
      </c>
      <c r="T4423" s="1" t="s">
        <v>32</v>
      </c>
    </row>
    <row r="4424" spans="1:20" ht="51" x14ac:dyDescent="0.25">
      <c r="A4424" s="6">
        <v>4418</v>
      </c>
      <c r="B4424" s="1" t="str">
        <f>"2022-1451"</f>
        <v>2022-1451</v>
      </c>
      <c r="C4424" s="1" t="s">
        <v>3048</v>
      </c>
      <c r="D4424" s="1" t="s">
        <v>2241</v>
      </c>
      <c r="E4424" s="1" t="str">
        <f>""</f>
        <v/>
      </c>
      <c r="F4424" s="1" t="s">
        <v>1860</v>
      </c>
      <c r="G4424" s="1" t="str">
        <f>CONCATENATE(" VIATOR D.O.O.,"," KRALJA DRŽISLAVA 6,"," 21000 SPLIT,"," OIB: 6473171712")</f>
        <v xml:space="preserve"> VIATOR D.O.O., KRALJA DRŽISLAVA 6, 21000 SPLIT, OIB: 6473171712</v>
      </c>
      <c r="H4424" s="7"/>
      <c r="I4424" s="8" t="s">
        <v>773</v>
      </c>
      <c r="J4424" s="8" t="s">
        <v>3169</v>
      </c>
      <c r="K4424" s="6" t="str">
        <f>"78.240,00"</f>
        <v>78.240,00</v>
      </c>
      <c r="L4424" s="6" t="str">
        <f>"19.560,00"</f>
        <v>19.560,00</v>
      </c>
      <c r="M4424" s="6" t="str">
        <f>"97.800,00"</f>
        <v>97.800,00</v>
      </c>
      <c r="N4424" s="8" t="s">
        <v>124</v>
      </c>
      <c r="O4424" s="7"/>
      <c r="P4424" s="2" t="s">
        <v>5614</v>
      </c>
      <c r="Q4424" s="7"/>
      <c r="R4424" s="1"/>
      <c r="S4424" s="1" t="str">
        <f>"J-UN-2022-1162"</f>
        <v>J-UN-2022-1162</v>
      </c>
      <c r="T4424" s="1" t="s">
        <v>32</v>
      </c>
    </row>
    <row r="4425" spans="1:20" ht="63.75" x14ac:dyDescent="0.25">
      <c r="A4425" s="6">
        <v>4419</v>
      </c>
      <c r="B4425" s="1" t="str">
        <f>"2022-186"</f>
        <v>2022-186</v>
      </c>
      <c r="C4425" s="1" t="s">
        <v>2534</v>
      </c>
      <c r="D4425" s="1" t="s">
        <v>2535</v>
      </c>
      <c r="E4425" s="1" t="str">
        <f>""</f>
        <v/>
      </c>
      <c r="F4425" s="1" t="s">
        <v>1860</v>
      </c>
      <c r="G4425" s="1" t="str">
        <f>CONCATENATE(" JULIUS MEINL BONFANTI D.O.O.,"," LJUBLJANSKA ULICA 4,"," 10431 SVETA NEDELJA,"," OIB: 39546130894")</f>
        <v xml:space="preserve"> JULIUS MEINL BONFANTI D.O.O., LJUBLJANSKA ULICA 4, 10431 SVETA NEDELJA, OIB: 39546130894</v>
      </c>
      <c r="H4425" s="7"/>
      <c r="I4425" s="8" t="s">
        <v>773</v>
      </c>
      <c r="J4425" s="8" t="s">
        <v>3169</v>
      </c>
      <c r="K4425" s="6" t="str">
        <f>"12.960,00"</f>
        <v>12.960,00</v>
      </c>
      <c r="L4425" s="6" t="str">
        <f>"3.240,00"</f>
        <v>3.240,00</v>
      </c>
      <c r="M4425" s="6" t="str">
        <f>"16.200,00"</f>
        <v>16.200,00</v>
      </c>
      <c r="N4425" s="8" t="s">
        <v>723</v>
      </c>
      <c r="O4425" s="7"/>
      <c r="P4425" s="2" t="s">
        <v>8236</v>
      </c>
      <c r="Q4425" s="7"/>
      <c r="R4425" s="1"/>
      <c r="S4425" s="1" t="str">
        <f>"J-UN-2022-1166"</f>
        <v>J-UN-2022-1166</v>
      </c>
      <c r="T4425" s="1" t="s">
        <v>32</v>
      </c>
    </row>
    <row r="4426" spans="1:20" ht="51" x14ac:dyDescent="0.25">
      <c r="A4426" s="6">
        <v>4420</v>
      </c>
      <c r="B4426" s="1" t="str">
        <f>"2022-511"</f>
        <v>2022-511</v>
      </c>
      <c r="C4426" s="1" t="s">
        <v>2572</v>
      </c>
      <c r="D4426" s="1" t="s">
        <v>2573</v>
      </c>
      <c r="E4426" s="1" t="str">
        <f>""</f>
        <v/>
      </c>
      <c r="F4426" s="1" t="s">
        <v>1860</v>
      </c>
      <c r="G4426" s="1" t="str">
        <f>CONCATENATE(" ECCOS-INŽENJERING D.O.O.,"," BANI 110,"," 10000 ZAGREB,"," OIB: 71629027685")</f>
        <v xml:space="preserve"> ECCOS-INŽENJERING D.O.O., BANI 110, 10000 ZAGREB, OIB: 71629027685</v>
      </c>
      <c r="H4426" s="7"/>
      <c r="I4426" s="8" t="s">
        <v>773</v>
      </c>
      <c r="J4426" s="8" t="s">
        <v>3169</v>
      </c>
      <c r="K4426" s="6" t="str">
        <f>"7.750,00"</f>
        <v>7.750,00</v>
      </c>
      <c r="L4426" s="6" t="str">
        <f>"1.937,50"</f>
        <v>1.937,50</v>
      </c>
      <c r="M4426" s="6" t="str">
        <f>"9.687,50"</f>
        <v>9.687,50</v>
      </c>
      <c r="N4426" s="8" t="s">
        <v>252</v>
      </c>
      <c r="O4426" s="7"/>
      <c r="P4426" s="2" t="s">
        <v>8237</v>
      </c>
      <c r="Q4426" s="7"/>
      <c r="R4426" s="1"/>
      <c r="S4426" s="1" t="str">
        <f>"J-UN-2022-1167"</f>
        <v>J-UN-2022-1167</v>
      </c>
      <c r="T4426" s="1" t="s">
        <v>32</v>
      </c>
    </row>
    <row r="4427" spans="1:20" ht="51" x14ac:dyDescent="0.25">
      <c r="A4427" s="6">
        <v>4421</v>
      </c>
      <c r="B4427" s="1" t="str">
        <f>"2022-216"</f>
        <v>2022-216</v>
      </c>
      <c r="C4427" s="1" t="s">
        <v>2595</v>
      </c>
      <c r="D4427" s="1" t="s">
        <v>2596</v>
      </c>
      <c r="E4427" s="1" t="str">
        <f>""</f>
        <v/>
      </c>
      <c r="F4427" s="1" t="s">
        <v>1860</v>
      </c>
      <c r="G4427" s="1" t="str">
        <f>CONCATENATE(" I.T.-GRAF D.O.O.,"," KOVINSKA 11/A,"," 10090 ZAGREB-SUSEDGRAD,"," OIB: 663786429")</f>
        <v xml:space="preserve"> I.T.-GRAF D.O.O., KOVINSKA 11/A, 10090 ZAGREB-SUSEDGRAD, OIB: 663786429</v>
      </c>
      <c r="H4427" s="7"/>
      <c r="I4427" s="8" t="s">
        <v>773</v>
      </c>
      <c r="J4427" s="8" t="s">
        <v>3169</v>
      </c>
      <c r="K4427" s="6" t="str">
        <f>"1.920,00"</f>
        <v>1.920,00</v>
      </c>
      <c r="L4427" s="6" t="str">
        <f>"480,00"</f>
        <v>480,00</v>
      </c>
      <c r="M4427" s="6" t="str">
        <f>"2.400,00"</f>
        <v>2.400,00</v>
      </c>
      <c r="N4427" s="8" t="s">
        <v>723</v>
      </c>
      <c r="O4427" s="7"/>
      <c r="P4427" s="2" t="s">
        <v>8238</v>
      </c>
      <c r="Q4427" s="7"/>
      <c r="R4427" s="1"/>
      <c r="S4427" s="1" t="str">
        <f>"J-UN-2022-1168"</f>
        <v>J-UN-2022-1168</v>
      </c>
      <c r="T4427" s="1" t="s">
        <v>32</v>
      </c>
    </row>
    <row r="4428" spans="1:20" ht="51" x14ac:dyDescent="0.25">
      <c r="A4428" s="6">
        <v>4422</v>
      </c>
      <c r="B4428" s="1" t="str">
        <f>"2022-1948"</f>
        <v>2022-1948</v>
      </c>
      <c r="C4428" s="1" t="s">
        <v>3172</v>
      </c>
      <c r="D4428" s="1" t="s">
        <v>837</v>
      </c>
      <c r="E4428" s="1" t="str">
        <f>""</f>
        <v/>
      </c>
      <c r="F4428" s="1" t="s">
        <v>1860</v>
      </c>
      <c r="G4428" s="1" t="str">
        <f>CONCATENATE(" KONZUM PLUS D.O.O.,"," MARIJANA ČAVIĆA 1,"," 10000 ZAGREB,"," OIB: 62226620908")</f>
        <v xml:space="preserve"> KONZUM PLUS D.O.O., MARIJANA ČAVIĆA 1, 10000 ZAGREB, OIB: 62226620908</v>
      </c>
      <c r="H4428" s="7"/>
      <c r="I4428" s="8" t="s">
        <v>240</v>
      </c>
      <c r="J4428" s="8" t="s">
        <v>2196</v>
      </c>
      <c r="K4428" s="6" t="str">
        <f>"58.525,00"</f>
        <v>58.525,00</v>
      </c>
      <c r="L4428" s="6" t="str">
        <f>"14.631,25"</f>
        <v>14.631,25</v>
      </c>
      <c r="M4428" s="6" t="str">
        <f>"73.156,25"</f>
        <v>73.156,25</v>
      </c>
      <c r="N4428" s="8" t="s">
        <v>124</v>
      </c>
      <c r="O4428" s="7"/>
      <c r="P4428" s="2" t="s">
        <v>8239</v>
      </c>
      <c r="Q4428" s="7"/>
      <c r="R4428" s="1"/>
      <c r="S4428" s="1" t="str">
        <f>"J-UN-2022-1169"</f>
        <v>J-UN-2022-1169</v>
      </c>
      <c r="T4428" s="1" t="s">
        <v>32</v>
      </c>
    </row>
    <row r="4429" spans="1:20" ht="63.75" x14ac:dyDescent="0.25">
      <c r="A4429" s="6">
        <v>4423</v>
      </c>
      <c r="B4429" s="1" t="str">
        <f>"2022-1950"</f>
        <v>2022-1950</v>
      </c>
      <c r="C4429" s="1" t="s">
        <v>3173</v>
      </c>
      <c r="D4429" s="1" t="s">
        <v>3174</v>
      </c>
      <c r="E4429" s="1" t="str">
        <f>""</f>
        <v/>
      </c>
      <c r="F4429" s="1" t="s">
        <v>1860</v>
      </c>
      <c r="G4429" s="1" t="str">
        <f>CONCATENATE(" PANGEO PROJEKT D.O.O.,"," MARIJANA HABERLEA 6,"," 10000 ZAGREB,"," OIB: 9804769948")</f>
        <v xml:space="preserve"> PANGEO PROJEKT D.O.O., MARIJANA HABERLEA 6, 10000 ZAGREB, OIB: 9804769948</v>
      </c>
      <c r="H4429" s="7"/>
      <c r="I4429" s="8" t="s">
        <v>963</v>
      </c>
      <c r="J4429" s="8" t="s">
        <v>3175</v>
      </c>
      <c r="K4429" s="6" t="str">
        <f>"13.000,00"</f>
        <v>13.000,00</v>
      </c>
      <c r="L4429" s="6" t="str">
        <f>"3.250,00"</f>
        <v>3.250,00</v>
      </c>
      <c r="M4429" s="6" t="str">
        <f>"16.250,00"</f>
        <v>16.250,00</v>
      </c>
      <c r="N4429" s="8" t="s">
        <v>124</v>
      </c>
      <c r="O4429" s="7"/>
      <c r="P4429" s="2" t="s">
        <v>5614</v>
      </c>
      <c r="Q4429" s="7"/>
      <c r="R4429" s="1"/>
      <c r="S4429" s="1" t="str">
        <f>"J-UN-2022-1172"</f>
        <v>J-UN-2022-1172</v>
      </c>
      <c r="T4429" s="1" t="s">
        <v>32</v>
      </c>
    </row>
    <row r="4430" spans="1:20" ht="51" x14ac:dyDescent="0.25">
      <c r="A4430" s="6">
        <v>4424</v>
      </c>
      <c r="B4430" s="1" t="str">
        <f>"2022-40"</f>
        <v>2022-40</v>
      </c>
      <c r="C4430" s="1" t="s">
        <v>2317</v>
      </c>
      <c r="D4430" s="1" t="s">
        <v>837</v>
      </c>
      <c r="E4430" s="1" t="str">
        <f>""</f>
        <v/>
      </c>
      <c r="F4430" s="1" t="s">
        <v>1860</v>
      </c>
      <c r="G4430" s="1" t="str">
        <f>CONCATENATE(" KONZUM PLUS D.O.O.,"," MARIJANA ČAVIĆA 1,"," 10000 ZAGREB,"," OIB: 62226620908")</f>
        <v xml:space="preserve"> KONZUM PLUS D.O.O., MARIJANA ČAVIĆA 1, 10000 ZAGREB, OIB: 62226620908</v>
      </c>
      <c r="H4430" s="7"/>
      <c r="I4430" s="8" t="s">
        <v>1399</v>
      </c>
      <c r="J4430" s="8" t="s">
        <v>1875</v>
      </c>
      <c r="K4430" s="6" t="str">
        <f>"1.747,05"</f>
        <v>1.747,05</v>
      </c>
      <c r="L4430" s="6" t="str">
        <f>"436,76"</f>
        <v>436,76</v>
      </c>
      <c r="M4430" s="6" t="str">
        <f>"2.183,81"</f>
        <v>2.183,81</v>
      </c>
      <c r="N4430" s="8" t="s">
        <v>124</v>
      </c>
      <c r="O4430" s="7"/>
      <c r="P4430" s="2" t="s">
        <v>8240</v>
      </c>
      <c r="Q4430" s="7"/>
      <c r="R4430" s="1"/>
      <c r="S4430" s="1" t="str">
        <f>"J-UN-2022-1177"</f>
        <v>J-UN-2022-1177</v>
      </c>
      <c r="T4430" s="1" t="s">
        <v>32</v>
      </c>
    </row>
    <row r="4431" spans="1:20" ht="51" x14ac:dyDescent="0.25">
      <c r="A4431" s="6">
        <v>4425</v>
      </c>
      <c r="B4431" s="1" t="str">
        <f>"2022-1945"</f>
        <v>2022-1945</v>
      </c>
      <c r="C4431" s="1" t="s">
        <v>3176</v>
      </c>
      <c r="D4431" s="1" t="s">
        <v>1859</v>
      </c>
      <c r="E4431" s="1" t="str">
        <f>""</f>
        <v/>
      </c>
      <c r="F4431" s="1" t="s">
        <v>1860</v>
      </c>
      <c r="G4431" s="1" t="str">
        <f>CONCATENATE(" TÜV NORD ADRIATIC D.O.O.,"," BANI 110,"," 10010 BUZIN,"," OIB: 64520989853")</f>
        <v xml:space="preserve"> TÜV NORD ADRIATIC D.O.O., BANI 110, 10010 BUZIN, OIB: 64520989853</v>
      </c>
      <c r="H4431" s="7"/>
      <c r="I4431" s="8" t="s">
        <v>523</v>
      </c>
      <c r="J4431" s="8" t="s">
        <v>2408</v>
      </c>
      <c r="K4431" s="6" t="str">
        <f>"87.800,00"</f>
        <v>87.800,00</v>
      </c>
      <c r="L4431" s="6" t="str">
        <f>"21.950,00"</f>
        <v>21.950,00</v>
      </c>
      <c r="M4431" s="6" t="str">
        <f>"109.750,00"</f>
        <v>109.750,00</v>
      </c>
      <c r="N4431" s="8" t="s">
        <v>124</v>
      </c>
      <c r="O4431" s="7"/>
      <c r="P4431" s="2" t="s">
        <v>5614</v>
      </c>
      <c r="Q4431" s="7"/>
      <c r="R4431" s="1"/>
      <c r="S4431" s="1" t="str">
        <f>"J-UN-2022-1183"</f>
        <v>J-UN-2022-1183</v>
      </c>
      <c r="T4431" s="1" t="s">
        <v>32</v>
      </c>
    </row>
    <row r="4432" spans="1:20" ht="63.75" x14ac:dyDescent="0.25">
      <c r="A4432" s="6">
        <v>4426</v>
      </c>
      <c r="B4432" s="1" t="str">
        <f>"2022-1949"</f>
        <v>2022-1949</v>
      </c>
      <c r="C4432" s="1" t="s">
        <v>3177</v>
      </c>
      <c r="D4432" s="1" t="s">
        <v>3178</v>
      </c>
      <c r="E4432" s="1" t="str">
        <f>""</f>
        <v/>
      </c>
      <c r="F4432" s="1" t="s">
        <v>1860</v>
      </c>
      <c r="G4432" s="1" t="str">
        <f>CONCATENATE(" BRILIANT D.O.O. VINKOVCI,"," DILJEVA ULICA 10,"," 32100 VINKOVCI,"," OIB: 26250338198")</f>
        <v xml:space="preserve"> BRILIANT D.O.O. VINKOVCI, DILJEVA ULICA 10, 32100 VINKOVCI, OIB: 26250338198</v>
      </c>
      <c r="H4432" s="7"/>
      <c r="I4432" s="8" t="s">
        <v>507</v>
      </c>
      <c r="J4432" s="8" t="s">
        <v>1768</v>
      </c>
      <c r="K4432" s="6" t="str">
        <f>"180.000,00"</f>
        <v>180.000,00</v>
      </c>
      <c r="L4432" s="6" t="str">
        <f>"45.000,00"</f>
        <v>45.000,00</v>
      </c>
      <c r="M4432" s="6" t="str">
        <f>"225.000,00"</f>
        <v>225.000,00</v>
      </c>
      <c r="N4432" s="8" t="s">
        <v>208</v>
      </c>
      <c r="O4432" s="7"/>
      <c r="P4432" s="2" t="s">
        <v>8241</v>
      </c>
      <c r="Q4432" s="7"/>
      <c r="R4432" s="1"/>
      <c r="S4432" s="1" t="str">
        <f>"J-UN-2022-1184"</f>
        <v>J-UN-2022-1184</v>
      </c>
      <c r="T4432" s="1" t="s">
        <v>32</v>
      </c>
    </row>
    <row r="4433" spans="1:20" ht="51" x14ac:dyDescent="0.25">
      <c r="A4433" s="6">
        <v>4427</v>
      </c>
      <c r="B4433" s="1" t="str">
        <f>"2022-1951"</f>
        <v>2022-1951</v>
      </c>
      <c r="C4433" s="1" t="s">
        <v>3179</v>
      </c>
      <c r="D4433" s="1" t="s">
        <v>3180</v>
      </c>
      <c r="E4433" s="1" t="str">
        <f>""</f>
        <v/>
      </c>
      <c r="F4433" s="1" t="s">
        <v>1860</v>
      </c>
      <c r="G4433" s="1" t="str">
        <f>CONCATENATE(" TEB-INŽENJERING D.D.,"," VONČININA 2,"," 10000 ZAGREB,"," OIB: 66553518863")</f>
        <v xml:space="preserve"> TEB-INŽENJERING D.D., VONČININA 2, 10000 ZAGREB, OIB: 66553518863</v>
      </c>
      <c r="H4433" s="7"/>
      <c r="I4433" s="8" t="s">
        <v>427</v>
      </c>
      <c r="J4433" s="8" t="s">
        <v>1480</v>
      </c>
      <c r="K4433" s="6" t="str">
        <f>"121.000,00"</f>
        <v>121.000,00</v>
      </c>
      <c r="L4433" s="6" t="str">
        <f>"30.250,00"</f>
        <v>30.250,00</v>
      </c>
      <c r="M4433" s="6" t="str">
        <f>"151.250,00"</f>
        <v>151.250,00</v>
      </c>
      <c r="N4433" s="8" t="s">
        <v>875</v>
      </c>
      <c r="O4433" s="7"/>
      <c r="P4433" s="2" t="s">
        <v>8242</v>
      </c>
      <c r="Q4433" s="7"/>
      <c r="R4433" s="1"/>
      <c r="S4433" s="1" t="str">
        <f>"J-UN-2022-1185"</f>
        <v>J-UN-2022-1185</v>
      </c>
      <c r="T4433" s="1" t="s">
        <v>32</v>
      </c>
    </row>
    <row r="4434" spans="1:20" ht="63.75" x14ac:dyDescent="0.25">
      <c r="A4434" s="6">
        <v>4428</v>
      </c>
      <c r="B4434" s="1" t="str">
        <f>"2022-1865"</f>
        <v>2022-1865</v>
      </c>
      <c r="C4434" s="1" t="s">
        <v>3181</v>
      </c>
      <c r="D4434" s="1" t="s">
        <v>1619</v>
      </c>
      <c r="E4434" s="1" t="str">
        <f>""</f>
        <v/>
      </c>
      <c r="F4434" s="1" t="s">
        <v>1860</v>
      </c>
      <c r="G4434" s="1" t="str">
        <f>CONCATENATE(" BRILIANT D.O.O. VINKOVCI,"," DILJEVA ULICA 10,"," 32100 VINKOVCI,"," OIB: 26250338198")</f>
        <v xml:space="preserve"> BRILIANT D.O.O. VINKOVCI, DILJEVA ULICA 10, 32100 VINKOVCI, OIB: 26250338198</v>
      </c>
      <c r="H4434" s="7"/>
      <c r="I4434" s="8" t="s">
        <v>203</v>
      </c>
      <c r="J4434" s="8" t="s">
        <v>3182</v>
      </c>
      <c r="K4434" s="6" t="str">
        <f>"134.861,71"</f>
        <v>134.861,71</v>
      </c>
      <c r="L4434" s="6" t="str">
        <f>"33.715,43"</f>
        <v>33.715,43</v>
      </c>
      <c r="M4434" s="6" t="str">
        <f>"168.577,14"</f>
        <v>168.577,14</v>
      </c>
      <c r="N4434" s="8" t="s">
        <v>124</v>
      </c>
      <c r="O4434" s="7"/>
      <c r="P4434" s="2" t="s">
        <v>8243</v>
      </c>
      <c r="Q4434" s="7"/>
      <c r="R4434" s="1"/>
      <c r="S4434" s="1" t="str">
        <f>"J-UN-2022-1186"</f>
        <v>J-UN-2022-1186</v>
      </c>
      <c r="T4434" s="1" t="s">
        <v>32</v>
      </c>
    </row>
    <row r="4435" spans="1:20" ht="63.75" x14ac:dyDescent="0.25">
      <c r="A4435" s="6">
        <v>4429</v>
      </c>
      <c r="B4435" s="1" t="str">
        <f>"2022-449"</f>
        <v>2022-449</v>
      </c>
      <c r="C4435" s="1" t="s">
        <v>3183</v>
      </c>
      <c r="D4435" s="1" t="s">
        <v>3184</v>
      </c>
      <c r="E4435" s="1" t="str">
        <f>""</f>
        <v/>
      </c>
      <c r="F4435" s="1" t="s">
        <v>1860</v>
      </c>
      <c r="G4435" s="1" t="str">
        <f>CONCATENATE(" ELEKTRO-KOMUNIKACIJE D.O.O.,"," 14. PODBREŽJE 4,"," 10000 ZAGREB,"," OIB: 76412373309")</f>
        <v xml:space="preserve"> ELEKTRO-KOMUNIKACIJE D.O.O., 14. PODBREŽJE 4, 10000 ZAGREB, OIB: 76412373309</v>
      </c>
      <c r="H4435" s="7"/>
      <c r="I4435" s="8" t="s">
        <v>507</v>
      </c>
      <c r="J4435" s="8" t="s">
        <v>1768</v>
      </c>
      <c r="K4435" s="6" t="str">
        <f>"20.700,00"</f>
        <v>20.700,00</v>
      </c>
      <c r="L4435" s="6" t="str">
        <f>"5.175,00"</f>
        <v>5.175,00</v>
      </c>
      <c r="M4435" s="6" t="str">
        <f>"25.875,00"</f>
        <v>25.875,00</v>
      </c>
      <c r="N4435" s="8" t="s">
        <v>310</v>
      </c>
      <c r="O4435" s="7"/>
      <c r="P4435" s="2" t="s">
        <v>8244</v>
      </c>
      <c r="Q4435" s="7"/>
      <c r="R4435" s="1"/>
      <c r="S4435" s="1" t="str">
        <f>"J-UN-2022-1187"</f>
        <v>J-UN-2022-1187</v>
      </c>
      <c r="T4435" s="1" t="s">
        <v>32</v>
      </c>
    </row>
    <row r="4436" spans="1:20" ht="63.75" x14ac:dyDescent="0.25">
      <c r="A4436" s="6">
        <v>4430</v>
      </c>
      <c r="B4436" s="1" t="str">
        <f>"2022-1782"</f>
        <v>2022-1782</v>
      </c>
      <c r="C4436" s="1" t="s">
        <v>2330</v>
      </c>
      <c r="D4436" s="1" t="s">
        <v>2331</v>
      </c>
      <c r="E4436" s="1" t="str">
        <f>""</f>
        <v/>
      </c>
      <c r="F4436" s="1" t="s">
        <v>1860</v>
      </c>
      <c r="G4436" s="1" t="str">
        <f>CONCATENATE(" LEONARDO MEDIA D.O.O.,"," GJURE SZABA 4/2,"," 10000 ZAGREB,"," OIB: 90240160025")</f>
        <v xml:space="preserve"> LEONARDO MEDIA D.O.O., GJURE SZABA 4/2, 10000 ZAGREB, OIB: 90240160025</v>
      </c>
      <c r="H4436" s="7"/>
      <c r="I4436" s="8" t="s">
        <v>203</v>
      </c>
      <c r="J4436" s="8" t="s">
        <v>3182</v>
      </c>
      <c r="K4436" s="6" t="str">
        <f>"24.600,00"</f>
        <v>24.600,00</v>
      </c>
      <c r="L4436" s="6" t="str">
        <f>"6.150,00"</f>
        <v>6.150,00</v>
      </c>
      <c r="M4436" s="6" t="str">
        <f>"30.750,00"</f>
        <v>30.750,00</v>
      </c>
      <c r="N4436" s="8" t="s">
        <v>124</v>
      </c>
      <c r="O4436" s="7"/>
      <c r="P4436" s="2" t="s">
        <v>5614</v>
      </c>
      <c r="Q4436" s="7"/>
      <c r="R4436" s="1"/>
      <c r="S4436" s="1" t="str">
        <f>"J-UN-2022-1189"</f>
        <v>J-UN-2022-1189</v>
      </c>
      <c r="T4436" s="1" t="s">
        <v>32</v>
      </c>
    </row>
    <row r="4437" spans="1:20" ht="51" x14ac:dyDescent="0.25">
      <c r="A4437" s="6">
        <v>4431</v>
      </c>
      <c r="B4437" s="1" t="str">
        <f>"2022-1338"</f>
        <v>2022-1338</v>
      </c>
      <c r="C4437" s="1" t="s">
        <v>2753</v>
      </c>
      <c r="D4437" s="1" t="s">
        <v>2331</v>
      </c>
      <c r="E4437" s="1" t="str">
        <f>""</f>
        <v/>
      </c>
      <c r="F4437" s="1" t="s">
        <v>1860</v>
      </c>
      <c r="G4437" s="1" t="str">
        <f>CONCATENATE(" KERSCHOFFSET D.O.O.,"," JEŽDOVEČKA 112,"," 10250 LUČKO,"," OIB: 84934386922")</f>
        <v xml:space="preserve"> KERSCHOFFSET D.O.O., JEŽDOVEČKA 112, 10250 LUČKO, OIB: 84934386922</v>
      </c>
      <c r="H4437" s="7"/>
      <c r="I4437" s="8" t="s">
        <v>203</v>
      </c>
      <c r="J4437" s="8" t="s">
        <v>3182</v>
      </c>
      <c r="K4437" s="6" t="str">
        <f>"69.150,00"</f>
        <v>69.150,00</v>
      </c>
      <c r="L4437" s="6" t="str">
        <f>"17.287,50"</f>
        <v>17.287,50</v>
      </c>
      <c r="M4437" s="6" t="str">
        <f>"86.437,50"</f>
        <v>86.437,50</v>
      </c>
      <c r="N4437" s="8" t="s">
        <v>124</v>
      </c>
      <c r="O4437" s="7"/>
      <c r="P4437" s="2" t="s">
        <v>8245</v>
      </c>
      <c r="Q4437" s="7"/>
      <c r="R4437" s="1"/>
      <c r="S4437" s="1" t="str">
        <f>"J-UN-2022-1190"</f>
        <v>J-UN-2022-1190</v>
      </c>
      <c r="T4437" s="1" t="s">
        <v>32</v>
      </c>
    </row>
    <row r="4438" spans="1:20" ht="51" x14ac:dyDescent="0.25">
      <c r="A4438" s="6">
        <v>4432</v>
      </c>
      <c r="B4438" s="1" t="str">
        <f>"2022-1338"</f>
        <v>2022-1338</v>
      </c>
      <c r="C4438" s="1" t="s">
        <v>2753</v>
      </c>
      <c r="D4438" s="1" t="s">
        <v>2331</v>
      </c>
      <c r="E4438" s="1" t="str">
        <f>""</f>
        <v/>
      </c>
      <c r="F4438" s="1" t="s">
        <v>1860</v>
      </c>
      <c r="G4438" s="1" t="str">
        <f>CONCATENATE(" KERSCHOFFSET D.O.O.,"," JEŽDOVEČKA 112,"," 10250 LUČKO,"," OIB: 84934386922")</f>
        <v xml:space="preserve"> KERSCHOFFSET D.O.O., JEŽDOVEČKA 112, 10250 LUČKO, OIB: 84934386922</v>
      </c>
      <c r="H4438" s="7"/>
      <c r="I4438" s="8" t="s">
        <v>1612</v>
      </c>
      <c r="J4438" s="8" t="s">
        <v>3182</v>
      </c>
      <c r="K4438" s="6" t="str">
        <f>"6.900,00"</f>
        <v>6.900,00</v>
      </c>
      <c r="L4438" s="6" t="str">
        <f>"1.725,00"</f>
        <v>1.725,00</v>
      </c>
      <c r="M4438" s="6" t="str">
        <f>"8.625,00"</f>
        <v>8.625,00</v>
      </c>
      <c r="N4438" s="8" t="s">
        <v>124</v>
      </c>
      <c r="O4438" s="7"/>
      <c r="P4438" s="2" t="s">
        <v>5614</v>
      </c>
      <c r="Q4438" s="7"/>
      <c r="R4438" s="1"/>
      <c r="S4438" s="1" t="str">
        <f>"J-UN-2022-1190#1"</f>
        <v>J-UN-2022-1190#1</v>
      </c>
      <c r="T4438" s="1" t="s">
        <v>32</v>
      </c>
    </row>
    <row r="4439" spans="1:20" ht="51" x14ac:dyDescent="0.25">
      <c r="A4439" s="6">
        <v>4433</v>
      </c>
      <c r="B4439" s="1" t="str">
        <f>"2022-452"</f>
        <v>2022-452</v>
      </c>
      <c r="C4439" s="1" t="s">
        <v>2881</v>
      </c>
      <c r="D4439" s="1" t="s">
        <v>2882</v>
      </c>
      <c r="E4439" s="1" t="str">
        <f>""</f>
        <v/>
      </c>
      <c r="F4439" s="1" t="s">
        <v>1860</v>
      </c>
      <c r="G4439" s="1" t="str">
        <f>CONCATENATE(" SERVIS KOŠIĆ D.O.O.,"," BJELOVARSKA 7,"," 48260 KRIŽEVCI,"," OIB: 49900173834")</f>
        <v xml:space="preserve"> SERVIS KOŠIĆ D.O.O., BJELOVARSKA 7, 48260 KRIŽEVCI, OIB: 49900173834</v>
      </c>
      <c r="H4439" s="7"/>
      <c r="I4439" s="8" t="s">
        <v>203</v>
      </c>
      <c r="J4439" s="8" t="s">
        <v>3182</v>
      </c>
      <c r="K4439" s="6" t="str">
        <f>"3.496,80"</f>
        <v>3.496,80</v>
      </c>
      <c r="L4439" s="6" t="str">
        <f>"874,20"</f>
        <v>874,20</v>
      </c>
      <c r="M4439" s="6" t="str">
        <f>"4.371,00"</f>
        <v>4.371,00</v>
      </c>
      <c r="N4439" s="8" t="s">
        <v>124</v>
      </c>
      <c r="O4439" s="7"/>
      <c r="P4439" s="2" t="s">
        <v>5614</v>
      </c>
      <c r="Q4439" s="7"/>
      <c r="R4439" s="1"/>
      <c r="S4439" s="1" t="str">
        <f>"J-UN-2022-1191"</f>
        <v>J-UN-2022-1191</v>
      </c>
      <c r="T4439" s="1" t="s">
        <v>32</v>
      </c>
    </row>
    <row r="4440" spans="1:20" ht="25.5" x14ac:dyDescent="0.25">
      <c r="A4440" s="6">
        <v>4434</v>
      </c>
      <c r="B4440" s="1" t="str">
        <f>"2022-422"</f>
        <v>2022-422</v>
      </c>
      <c r="C4440" s="1" t="s">
        <v>2810</v>
      </c>
      <c r="D4440" s="1" t="s">
        <v>2577</v>
      </c>
      <c r="E4440" s="1" t="str">
        <f>""</f>
        <v/>
      </c>
      <c r="F4440" s="1" t="s">
        <v>1860</v>
      </c>
      <c r="G4440" s="1" t="str">
        <f>CONCATENATE(" R-PIM D.O.O.,"," ,"," OIB: 38514700472")</f>
        <v xml:space="preserve"> R-PIM D.O.O., , OIB: 38514700472</v>
      </c>
      <c r="H4440" s="7"/>
      <c r="I4440" s="8" t="s">
        <v>192</v>
      </c>
      <c r="J4440" s="8" t="s">
        <v>3185</v>
      </c>
      <c r="K4440" s="6" t="str">
        <f>"19.840,00"</f>
        <v>19.840,00</v>
      </c>
      <c r="L4440" s="6" t="str">
        <f>"4.960,00"</f>
        <v>4.960,00</v>
      </c>
      <c r="M4440" s="6" t="str">
        <f>"24.800,00"</f>
        <v>24.800,00</v>
      </c>
      <c r="N4440" s="8" t="s">
        <v>893</v>
      </c>
      <c r="O4440" s="7"/>
      <c r="P4440" s="2" t="s">
        <v>6630</v>
      </c>
      <c r="Q4440" s="7"/>
      <c r="R4440" s="1"/>
      <c r="S4440" s="1" t="str">
        <f>"J-UN-2022-1192"</f>
        <v>J-UN-2022-1192</v>
      </c>
      <c r="T4440" s="1" t="s">
        <v>32</v>
      </c>
    </row>
    <row r="4441" spans="1:20" ht="51" x14ac:dyDescent="0.25">
      <c r="A4441" s="6">
        <v>4435</v>
      </c>
      <c r="B4441" s="1" t="str">
        <f>"2022-709"</f>
        <v>2022-709</v>
      </c>
      <c r="C4441" s="1" t="s">
        <v>2798</v>
      </c>
      <c r="D4441" s="1" t="s">
        <v>914</v>
      </c>
      <c r="E4441" s="1" t="str">
        <f>""</f>
        <v/>
      </c>
      <c r="F4441" s="1" t="s">
        <v>1860</v>
      </c>
      <c r="G4441" s="1" t="str">
        <f>CONCATENATE(" DROBILEC D.O.O.,"," MATUNOVA 14,"," 10000 ZAGREB,"," OIB: 87772955929")</f>
        <v xml:space="preserve"> DROBILEC D.O.O., MATUNOVA 14, 10000 ZAGREB, OIB: 87772955929</v>
      </c>
      <c r="H4441" s="7"/>
      <c r="I4441" s="8" t="s">
        <v>922</v>
      </c>
      <c r="J4441" s="8" t="s">
        <v>3186</v>
      </c>
      <c r="K4441" s="6" t="str">
        <f>"3.970,00"</f>
        <v>3.970,00</v>
      </c>
      <c r="L4441" s="6" t="str">
        <f>"992,50"</f>
        <v>992,50</v>
      </c>
      <c r="M4441" s="6" t="str">
        <f>"4.962,50"</f>
        <v>4.962,50</v>
      </c>
      <c r="N4441" s="8" t="s">
        <v>124</v>
      </c>
      <c r="O4441" s="7"/>
      <c r="P4441" s="2" t="s">
        <v>5614</v>
      </c>
      <c r="Q4441" s="7"/>
      <c r="R4441" s="1"/>
      <c r="S4441" s="1" t="str">
        <f>"J-UN-2022-1193"</f>
        <v>J-UN-2022-1193</v>
      </c>
      <c r="T4441" s="1" t="s">
        <v>32</v>
      </c>
    </row>
    <row r="4442" spans="1:20" ht="51" x14ac:dyDescent="0.25">
      <c r="A4442" s="6">
        <v>4436</v>
      </c>
      <c r="B4442" s="1" t="str">
        <f>"2022-825"</f>
        <v>2022-825</v>
      </c>
      <c r="C4442" s="1" t="s">
        <v>2492</v>
      </c>
      <c r="D4442" s="1" t="s">
        <v>2493</v>
      </c>
      <c r="E4442" s="1" t="str">
        <f>""</f>
        <v/>
      </c>
      <c r="F4442" s="1" t="s">
        <v>1860</v>
      </c>
      <c r="G4442" s="1" t="str">
        <f>CONCATENATE(" RASCO D.O.O.,"," KOLODVORSKA 120B,"," 48361 KALINOVAC,"," OIB: 12710048305")</f>
        <v xml:space="preserve"> RASCO D.O.O., KOLODVORSKA 120B, 48361 KALINOVAC, OIB: 12710048305</v>
      </c>
      <c r="H4442" s="7"/>
      <c r="I4442" s="8" t="s">
        <v>922</v>
      </c>
      <c r="J4442" s="8" t="s">
        <v>3186</v>
      </c>
      <c r="K4442" s="6" t="str">
        <f>"4.205,78"</f>
        <v>4.205,78</v>
      </c>
      <c r="L4442" s="6" t="str">
        <f>"1.051,45"</f>
        <v>1.051,45</v>
      </c>
      <c r="M4442" s="6" t="str">
        <f>"5.257,23"</f>
        <v>5.257,23</v>
      </c>
      <c r="N4442" s="8" t="s">
        <v>524</v>
      </c>
      <c r="O4442" s="7"/>
      <c r="P4442" s="2" t="s">
        <v>8246</v>
      </c>
      <c r="Q4442" s="7"/>
      <c r="R4442" s="1"/>
      <c r="S4442" s="1" t="str">
        <f>"J-UN-2022-1194"</f>
        <v>J-UN-2022-1194</v>
      </c>
      <c r="T4442" s="1" t="s">
        <v>32</v>
      </c>
    </row>
    <row r="4443" spans="1:20" ht="63.75" x14ac:dyDescent="0.25">
      <c r="A4443" s="6">
        <v>4437</v>
      </c>
      <c r="B4443" s="1" t="str">
        <f>"2022-559"</f>
        <v>2022-559</v>
      </c>
      <c r="C4443" s="1" t="s">
        <v>2877</v>
      </c>
      <c r="D4443" s="1" t="s">
        <v>794</v>
      </c>
      <c r="E4443" s="1" t="str">
        <f>""</f>
        <v/>
      </c>
      <c r="F4443" s="1" t="s">
        <v>1860</v>
      </c>
      <c r="G4443" s="1" t="str">
        <f>CONCATENATE(" TOKIĆ D.O.O.,"," ULICA 144. BRIGADE HRVATSKE VOJSKE 1A,"," 10360 SESVETE,"," OIB: 7486748762")</f>
        <v xml:space="preserve"> TOKIĆ D.O.O., ULICA 144. BRIGADE HRVATSKE VOJSKE 1A, 10360 SESVETE, OIB: 7486748762</v>
      </c>
      <c r="H4443" s="7"/>
      <c r="I4443" s="8" t="s">
        <v>192</v>
      </c>
      <c r="J4443" s="8" t="s">
        <v>3185</v>
      </c>
      <c r="K4443" s="6" t="str">
        <f>"26.694,72"</f>
        <v>26.694,72</v>
      </c>
      <c r="L4443" s="6" t="str">
        <f>"6.673,68"</f>
        <v>6.673,68</v>
      </c>
      <c r="M4443" s="6" t="str">
        <f>"33.368,40"</f>
        <v>33.368,40</v>
      </c>
      <c r="N4443" s="8" t="s">
        <v>893</v>
      </c>
      <c r="O4443" s="7"/>
      <c r="P4443" s="2" t="s">
        <v>8247</v>
      </c>
      <c r="Q4443" s="7"/>
      <c r="R4443" s="1"/>
      <c r="S4443" s="1" t="str">
        <f>"J-UN-2022-1195"</f>
        <v>J-UN-2022-1195</v>
      </c>
      <c r="T4443" s="1" t="s">
        <v>32</v>
      </c>
    </row>
    <row r="4444" spans="1:20" ht="63.75" x14ac:dyDescent="0.25">
      <c r="A4444" s="6">
        <v>4438</v>
      </c>
      <c r="B4444" s="1" t="str">
        <f>"2022-559"</f>
        <v>2022-559</v>
      </c>
      <c r="C4444" s="1" t="s">
        <v>2877</v>
      </c>
      <c r="D4444" s="1" t="s">
        <v>794</v>
      </c>
      <c r="E4444" s="1" t="str">
        <f>""</f>
        <v/>
      </c>
      <c r="F4444" s="1" t="s">
        <v>1860</v>
      </c>
      <c r="G4444" s="1" t="str">
        <f>CONCATENATE(" TOKIĆ D.O.O.,"," ULICA 144. BRIGADE HRVATSKE VOJSKE 1A,"," 10360 SESVETE,"," OIB: 7486748762")</f>
        <v xml:space="preserve"> TOKIĆ D.O.O., ULICA 144. BRIGADE HRVATSKE VOJSKE 1A, 10360 SESVETE, OIB: 7486748762</v>
      </c>
      <c r="H4444" s="7"/>
      <c r="I4444" s="8" t="s">
        <v>192</v>
      </c>
      <c r="J4444" s="8" t="s">
        <v>3185</v>
      </c>
      <c r="K4444" s="6" t="str">
        <f>"5.544,16"</f>
        <v>5.544,16</v>
      </c>
      <c r="L4444" s="6" t="str">
        <f>"1.386,04"</f>
        <v>1.386,04</v>
      </c>
      <c r="M4444" s="6" t="str">
        <f>"6.930,20"</f>
        <v>6.930,20</v>
      </c>
      <c r="N4444" s="8" t="s">
        <v>893</v>
      </c>
      <c r="O4444" s="7"/>
      <c r="P4444" s="2" t="s">
        <v>8248</v>
      </c>
      <c r="Q4444" s="7"/>
      <c r="R4444" s="1"/>
      <c r="S4444" s="1" t="str">
        <f>"J-UN-2022-1196"</f>
        <v>J-UN-2022-1196</v>
      </c>
      <c r="T4444" s="1" t="s">
        <v>32</v>
      </c>
    </row>
    <row r="4445" spans="1:20" ht="51" x14ac:dyDescent="0.25">
      <c r="A4445" s="6">
        <v>4439</v>
      </c>
      <c r="B4445" s="1" t="str">
        <f>"2022-1224"</f>
        <v>2022-1224</v>
      </c>
      <c r="C4445" s="1" t="s">
        <v>2697</v>
      </c>
      <c r="D4445" s="1" t="s">
        <v>2698</v>
      </c>
      <c r="E4445" s="1" t="str">
        <f>""</f>
        <v/>
      </c>
      <c r="F4445" s="1" t="s">
        <v>1860</v>
      </c>
      <c r="G4445" s="1" t="str">
        <f>CONCATENATE(" TÜV NORD ADRIATIC D.O.O.,"," BANI 110,"," 10010 BUZIN,"," OIB: 64520989853")</f>
        <v xml:space="preserve"> TÜV NORD ADRIATIC D.O.O., BANI 110, 10010 BUZIN, OIB: 64520989853</v>
      </c>
      <c r="H4445" s="7"/>
      <c r="I4445" s="8" t="s">
        <v>192</v>
      </c>
      <c r="J4445" s="8" t="s">
        <v>3185</v>
      </c>
      <c r="K4445" s="6" t="str">
        <f>"11.450,00"</f>
        <v>11.450,00</v>
      </c>
      <c r="L4445" s="6" t="str">
        <f>"2.862,50"</f>
        <v>2.862,50</v>
      </c>
      <c r="M4445" s="6" t="str">
        <f>"14.312,50"</f>
        <v>14.312,50</v>
      </c>
      <c r="N4445" s="8" t="s">
        <v>124</v>
      </c>
      <c r="O4445" s="7"/>
      <c r="P4445" s="2" t="s">
        <v>5614</v>
      </c>
      <c r="Q4445" s="7"/>
      <c r="R4445" s="1"/>
      <c r="S4445" s="1" t="str">
        <f>"J-UN-2022-1197"</f>
        <v>J-UN-2022-1197</v>
      </c>
      <c r="T4445" s="1" t="s">
        <v>32</v>
      </c>
    </row>
    <row r="4446" spans="1:20" ht="76.5" x14ac:dyDescent="0.25">
      <c r="A4446" s="6">
        <v>4440</v>
      </c>
      <c r="B4446" s="1" t="str">
        <f>"2022-959"</f>
        <v>2022-959</v>
      </c>
      <c r="C4446" s="1" t="s">
        <v>2784</v>
      </c>
      <c r="D4446" s="1" t="s">
        <v>2785</v>
      </c>
      <c r="E4446" s="1" t="str">
        <f>""</f>
        <v/>
      </c>
      <c r="F4446" s="1" t="s">
        <v>1860</v>
      </c>
      <c r="G4446" s="1" t="str">
        <f>CONCATENATE(" SMIT-COMMERCE D.O.O.,"," GORNJOSTUPNIČKA 9B,"," 10255 GORNJI STUPNIK,"," OIB: 9524348214")</f>
        <v xml:space="preserve"> SMIT-COMMERCE D.O.O., GORNJOSTUPNIČKA 9B, 10255 GORNJI STUPNIK, OIB: 9524348214</v>
      </c>
      <c r="H4446" s="7"/>
      <c r="I4446" s="8" t="s">
        <v>192</v>
      </c>
      <c r="J4446" s="8" t="s">
        <v>3185</v>
      </c>
      <c r="K4446" s="6" t="str">
        <f>"931,56"</f>
        <v>931,56</v>
      </c>
      <c r="L4446" s="6" t="str">
        <f>"232,89"</f>
        <v>232,89</v>
      </c>
      <c r="M4446" s="6" t="str">
        <f>"1.164,45"</f>
        <v>1.164,45</v>
      </c>
      <c r="N4446" s="8" t="s">
        <v>124</v>
      </c>
      <c r="O4446" s="7"/>
      <c r="P4446" s="2" t="s">
        <v>8249</v>
      </c>
      <c r="Q4446" s="7"/>
      <c r="R4446" s="1"/>
      <c r="S4446" s="1" t="str">
        <f>"J-UN-2022-1198"</f>
        <v>J-UN-2022-1198</v>
      </c>
      <c r="T4446" s="1" t="s">
        <v>32</v>
      </c>
    </row>
    <row r="4447" spans="1:20" ht="51" x14ac:dyDescent="0.25">
      <c r="A4447" s="6">
        <v>4441</v>
      </c>
      <c r="B4447" s="1" t="str">
        <f>"2022-409"</f>
        <v>2022-409</v>
      </c>
      <c r="C4447" s="1" t="s">
        <v>2901</v>
      </c>
      <c r="D4447" s="1" t="s">
        <v>1242</v>
      </c>
      <c r="E4447" s="1" t="str">
        <f>""</f>
        <v/>
      </c>
      <c r="F4447" s="1" t="s">
        <v>1860</v>
      </c>
      <c r="G4447" s="1" t="str">
        <f>CONCATENATE(" FRIGOMOTORS D.O.O.,"," DUGOPOLJSKA 35,"," 21204 DUGOPOLJE,"," OIB: 09191580513")</f>
        <v xml:space="preserve"> FRIGOMOTORS D.O.O., DUGOPOLJSKA 35, 21204 DUGOPOLJE, OIB: 09191580513</v>
      </c>
      <c r="H4447" s="7"/>
      <c r="I4447" s="8" t="s">
        <v>192</v>
      </c>
      <c r="J4447" s="8" t="s">
        <v>3185</v>
      </c>
      <c r="K4447" s="6" t="str">
        <f>"199.221,80"</f>
        <v>199.221,80</v>
      </c>
      <c r="L4447" s="6" t="str">
        <f>"49.805,45"</f>
        <v>49.805,45</v>
      </c>
      <c r="M4447" s="6" t="str">
        <f>"249.027,25"</f>
        <v>249.027,25</v>
      </c>
      <c r="N4447" s="8" t="s">
        <v>124</v>
      </c>
      <c r="O4447" s="7"/>
      <c r="P4447" s="2" t="s">
        <v>5614</v>
      </c>
      <c r="Q4447" s="7"/>
      <c r="R4447" s="1"/>
      <c r="S4447" s="1" t="str">
        <f>"J-UN-2022-1200"</f>
        <v>J-UN-2022-1200</v>
      </c>
      <c r="T4447" s="1" t="s">
        <v>32</v>
      </c>
    </row>
    <row r="4448" spans="1:20" ht="51" x14ac:dyDescent="0.25">
      <c r="A4448" s="6">
        <v>4442</v>
      </c>
      <c r="B4448" s="1" t="str">
        <f>"2022-1191"</f>
        <v>2022-1191</v>
      </c>
      <c r="C4448" s="1" t="s">
        <v>2641</v>
      </c>
      <c r="D4448" s="1" t="s">
        <v>515</v>
      </c>
      <c r="E4448" s="1" t="str">
        <f>""</f>
        <v/>
      </c>
      <c r="F4448" s="1" t="s">
        <v>1860</v>
      </c>
      <c r="G4448" s="1" t="str">
        <f>CONCATENATE(" INSTITUT IGH D.D.,"," JANKA RAKUŠE 1,"," 10000 ZAGREB,"," OIB: 79766124714")</f>
        <v xml:space="preserve"> INSTITUT IGH D.D., JANKA RAKUŠE 1, 10000 ZAGREB, OIB: 79766124714</v>
      </c>
      <c r="H4448" s="7"/>
      <c r="I4448" s="8" t="s">
        <v>192</v>
      </c>
      <c r="J4448" s="8" t="s">
        <v>3185</v>
      </c>
      <c r="K4448" s="6" t="str">
        <f>"67.500,00"</f>
        <v>67.500,00</v>
      </c>
      <c r="L4448" s="6" t="str">
        <f>"16.875,00"</f>
        <v>16.875,00</v>
      </c>
      <c r="M4448" s="6" t="str">
        <f>"84.375,00"</f>
        <v>84.375,00</v>
      </c>
      <c r="N4448" s="8" t="s">
        <v>875</v>
      </c>
      <c r="O4448" s="7"/>
      <c r="P4448" s="2" t="s">
        <v>8250</v>
      </c>
      <c r="Q4448" s="7"/>
      <c r="R4448" s="1"/>
      <c r="S4448" s="1" t="str">
        <f>"J-UN-2022-1201"</f>
        <v>J-UN-2022-1201</v>
      </c>
      <c r="T4448" s="1" t="s">
        <v>32</v>
      </c>
    </row>
    <row r="4449" spans="1:20" ht="63.75" x14ac:dyDescent="0.25">
      <c r="A4449" s="6">
        <v>4443</v>
      </c>
      <c r="B4449" s="1" t="str">
        <f>"2022-925"</f>
        <v>2022-925</v>
      </c>
      <c r="C4449" s="1" t="s">
        <v>2889</v>
      </c>
      <c r="D4449" s="1" t="s">
        <v>1007</v>
      </c>
      <c r="E4449" s="1" t="str">
        <f>""</f>
        <v/>
      </c>
      <c r="F4449" s="1" t="s">
        <v>1860</v>
      </c>
      <c r="G4449" s="1" t="str">
        <f>CONCATENATE(" HUST D.O.O.,"," MARIJANA STILINOVIĆA 53,"," 10431 SVETA NEDJELJA,"," OIB: 53951737793")</f>
        <v xml:space="preserve"> HUST D.O.O., MARIJANA STILINOVIĆA 53, 10431 SVETA NEDJELJA, OIB: 53951737793</v>
      </c>
      <c r="H4449" s="7"/>
      <c r="I4449" s="8" t="s">
        <v>240</v>
      </c>
      <c r="J4449" s="8" t="s">
        <v>2196</v>
      </c>
      <c r="K4449" s="6" t="str">
        <f>"1.250,00"</f>
        <v>1.250,00</v>
      </c>
      <c r="L4449" s="6" t="str">
        <f>"312,50"</f>
        <v>312,50</v>
      </c>
      <c r="M4449" s="6" t="str">
        <f>"1.562,50"</f>
        <v>1.562,50</v>
      </c>
      <c r="N4449" s="8" t="s">
        <v>124</v>
      </c>
      <c r="O4449" s="7"/>
      <c r="P4449" s="2" t="s">
        <v>5614</v>
      </c>
      <c r="Q4449" s="7"/>
      <c r="R4449" s="1"/>
      <c r="S4449" s="1" t="str">
        <f>"J-UN-2022-1203"</f>
        <v>J-UN-2022-1203</v>
      </c>
      <c r="T4449" s="1" t="s">
        <v>32</v>
      </c>
    </row>
    <row r="4450" spans="1:20" ht="76.5" x14ac:dyDescent="0.25">
      <c r="A4450" s="6">
        <v>4444</v>
      </c>
      <c r="B4450" s="1" t="str">
        <f>"2022-192"</f>
        <v>2022-192</v>
      </c>
      <c r="C4450" s="1" t="s">
        <v>2790</v>
      </c>
      <c r="D4450" s="1" t="s">
        <v>2791</v>
      </c>
      <c r="E4450" s="1" t="str">
        <f>""</f>
        <v/>
      </c>
      <c r="F4450" s="1" t="s">
        <v>1860</v>
      </c>
      <c r="G4450" s="1" t="str">
        <f>CONCATENATE(" SMIT-COMMERCE D.O.O.,"," GORNJOSTUPNIČKA 9B,"," 10255 GORNJI STUPNIK,"," OIB: 9524348214")</f>
        <v xml:space="preserve"> SMIT-COMMERCE D.O.O., GORNJOSTUPNIČKA 9B, 10255 GORNJI STUPNIK, OIB: 9524348214</v>
      </c>
      <c r="H4450" s="7"/>
      <c r="I4450" s="8" t="s">
        <v>192</v>
      </c>
      <c r="J4450" s="8" t="s">
        <v>3185</v>
      </c>
      <c r="K4450" s="6" t="str">
        <f>"1.200,00"</f>
        <v>1.200,00</v>
      </c>
      <c r="L4450" s="6" t="str">
        <f>"300,00"</f>
        <v>300,00</v>
      </c>
      <c r="M4450" s="6" t="str">
        <f>"1.500,00"</f>
        <v>1.500,00</v>
      </c>
      <c r="N4450" s="8" t="s">
        <v>1121</v>
      </c>
      <c r="O4450" s="7"/>
      <c r="P4450" s="2" t="s">
        <v>6384</v>
      </c>
      <c r="Q4450" s="7"/>
      <c r="R4450" s="1"/>
      <c r="S4450" s="1" t="str">
        <f>"J-UN-2022-1204"</f>
        <v>J-UN-2022-1204</v>
      </c>
      <c r="T4450" s="1" t="s">
        <v>32</v>
      </c>
    </row>
    <row r="4451" spans="1:20" ht="51" x14ac:dyDescent="0.25">
      <c r="A4451" s="6">
        <v>4445</v>
      </c>
      <c r="B4451" s="1" t="str">
        <f>"2022-602"</f>
        <v>2022-602</v>
      </c>
      <c r="C4451" s="1" t="s">
        <v>2642</v>
      </c>
      <c r="D4451" s="1" t="s">
        <v>1236</v>
      </c>
      <c r="E4451" s="1" t="str">
        <f>""</f>
        <v/>
      </c>
      <c r="F4451" s="1" t="s">
        <v>1860</v>
      </c>
      <c r="G4451" s="1" t="str">
        <f>CONCATENATE(" TEKLA VRATA D.O.O.,"," KRSTE HEGEDUŠIĆA 34C,"," 10360 SESVETE,"," OIB: 041350502")</f>
        <v xml:space="preserve"> TEKLA VRATA D.O.O., KRSTE HEGEDUŠIĆA 34C, 10360 SESVETE, OIB: 041350502</v>
      </c>
      <c r="H4451" s="7"/>
      <c r="I4451" s="8" t="s">
        <v>922</v>
      </c>
      <c r="J4451" s="8" t="s">
        <v>3186</v>
      </c>
      <c r="K4451" s="6" t="str">
        <f>"2.425,00"</f>
        <v>2.425,00</v>
      </c>
      <c r="L4451" s="6" t="str">
        <f>"606,25"</f>
        <v>606,25</v>
      </c>
      <c r="M4451" s="6" t="str">
        <f>"3.031,25"</f>
        <v>3.031,25</v>
      </c>
      <c r="N4451" s="8" t="s">
        <v>124</v>
      </c>
      <c r="O4451" s="7"/>
      <c r="P4451" s="2" t="s">
        <v>5614</v>
      </c>
      <c r="Q4451" s="7"/>
      <c r="R4451" s="1"/>
      <c r="S4451" s="1" t="str">
        <f>"J-UN-2022-1205"</f>
        <v>J-UN-2022-1205</v>
      </c>
      <c r="T4451" s="1" t="s">
        <v>32</v>
      </c>
    </row>
    <row r="4452" spans="1:20" ht="63.75" x14ac:dyDescent="0.25">
      <c r="A4452" s="6">
        <v>4446</v>
      </c>
      <c r="B4452" s="1" t="str">
        <f>"2022-1942"</f>
        <v>2022-1942</v>
      </c>
      <c r="C4452" s="1" t="s">
        <v>3187</v>
      </c>
      <c r="D4452" s="1" t="s">
        <v>34</v>
      </c>
      <c r="E4452" s="1" t="str">
        <f>""</f>
        <v/>
      </c>
      <c r="F4452" s="1" t="s">
        <v>1860</v>
      </c>
      <c r="G4452" s="1" t="str">
        <f>CONCATENATE(" NARODNE NOVINE D.D.,"," SAVSKI GAJ XIII. PUT br. 6,"," 10000 ZAGREB,"," OIB: 64546066176")</f>
        <v xml:space="preserve"> NARODNE NOVINE D.D., SAVSKI GAJ XIII. PUT br. 6, 10000 ZAGREB, OIB: 64546066176</v>
      </c>
      <c r="H4452" s="7"/>
      <c r="I4452" s="8" t="s">
        <v>955</v>
      </c>
      <c r="J4452" s="8" t="s">
        <v>3188</v>
      </c>
      <c r="K4452" s="6" t="str">
        <f>"145.068,00"</f>
        <v>145.068,00</v>
      </c>
      <c r="L4452" s="6" t="str">
        <f>"36.267,00"</f>
        <v>36.267,00</v>
      </c>
      <c r="M4452" s="6" t="str">
        <f>"181.335,00"</f>
        <v>181.335,00</v>
      </c>
      <c r="N4452" s="8" t="s">
        <v>124</v>
      </c>
      <c r="O4452" s="7"/>
      <c r="P4452" s="2" t="s">
        <v>8251</v>
      </c>
      <c r="Q4452" s="7"/>
      <c r="R4452" s="1"/>
      <c r="S4452" s="1" t="str">
        <f>"J-UN-2022-1206"</f>
        <v>J-UN-2022-1206</v>
      </c>
      <c r="T4452" s="1" t="s">
        <v>43</v>
      </c>
    </row>
    <row r="4453" spans="1:20" ht="51" x14ac:dyDescent="0.25">
      <c r="A4453" s="6">
        <v>4447</v>
      </c>
      <c r="B4453" s="1" t="str">
        <f>"2022-813"</f>
        <v>2022-813</v>
      </c>
      <c r="C4453" s="1" t="s">
        <v>2844</v>
      </c>
      <c r="D4453" s="1" t="s">
        <v>2716</v>
      </c>
      <c r="E4453" s="1" t="str">
        <f>""</f>
        <v/>
      </c>
      <c r="F4453" s="1" t="s">
        <v>1860</v>
      </c>
      <c r="G4453" s="1" t="str">
        <f>CONCATENATE(" LAGER BAŠIĆ D.O.O.,"," TRGOVAČKA 3,"," 10255 DONJI STUPNIK,"," OIB: 49617677906")</f>
        <v xml:space="preserve"> LAGER BAŠIĆ D.O.O., TRGOVAČKA 3, 10255 DONJI STUPNIK, OIB: 49617677906</v>
      </c>
      <c r="H4453" s="7"/>
      <c r="I4453" s="8" t="s">
        <v>922</v>
      </c>
      <c r="J4453" s="8" t="s">
        <v>3186</v>
      </c>
      <c r="K4453" s="6" t="str">
        <f>"27.383,50"</f>
        <v>27.383,50</v>
      </c>
      <c r="L4453" s="6" t="str">
        <f>"6.845,88"</f>
        <v>6.845,88</v>
      </c>
      <c r="M4453" s="6" t="str">
        <f>"34.229,38"</f>
        <v>34.229,38</v>
      </c>
      <c r="N4453" s="8" t="s">
        <v>124</v>
      </c>
      <c r="O4453" s="7"/>
      <c r="P4453" s="2" t="s">
        <v>8252</v>
      </c>
      <c r="Q4453" s="7"/>
      <c r="R4453" s="1"/>
      <c r="S4453" s="1" t="str">
        <f>"J-UN-2022-1208"</f>
        <v>J-UN-2022-1208</v>
      </c>
      <c r="T4453" s="1" t="s">
        <v>32</v>
      </c>
    </row>
    <row r="4454" spans="1:20" ht="51" x14ac:dyDescent="0.25">
      <c r="A4454" s="6">
        <v>4448</v>
      </c>
      <c r="B4454" s="1" t="str">
        <f>"2022-1435"</f>
        <v>2022-1435</v>
      </c>
      <c r="C4454" s="1" t="s">
        <v>2756</v>
      </c>
      <c r="D4454" s="1" t="s">
        <v>860</v>
      </c>
      <c r="E4454" s="1" t="str">
        <f>""</f>
        <v/>
      </c>
      <c r="F4454" s="1" t="s">
        <v>1860</v>
      </c>
      <c r="G4454" s="1" t="str">
        <f>CONCATENATE(" METAL-REZ D.O.O.,"," BASAROVIĆEVA 20,"," 10408 VELIKA MLAKA,"," OIB: 69123890176")</f>
        <v xml:space="preserve"> METAL-REZ D.O.O., BASAROVIĆEVA 20, 10408 VELIKA MLAKA, OIB: 69123890176</v>
      </c>
      <c r="H4454" s="7"/>
      <c r="I4454" s="8" t="s">
        <v>922</v>
      </c>
      <c r="J4454" s="8" t="s">
        <v>3186</v>
      </c>
      <c r="K4454" s="6" t="str">
        <f>"3.600,00"</f>
        <v>3.600,00</v>
      </c>
      <c r="L4454" s="6" t="str">
        <f>"900,00"</f>
        <v>900,00</v>
      </c>
      <c r="M4454" s="6" t="str">
        <f>"4.500,00"</f>
        <v>4.500,00</v>
      </c>
      <c r="N4454" s="8" t="s">
        <v>124</v>
      </c>
      <c r="O4454" s="7"/>
      <c r="P4454" s="2" t="s">
        <v>5614</v>
      </c>
      <c r="Q4454" s="7"/>
      <c r="R4454" s="1"/>
      <c r="S4454" s="1" t="str">
        <f>"J-UN-2022-1209"</f>
        <v>J-UN-2022-1209</v>
      </c>
      <c r="T4454" s="1" t="s">
        <v>32</v>
      </c>
    </row>
    <row r="4455" spans="1:20" ht="63.75" x14ac:dyDescent="0.25">
      <c r="A4455" s="6">
        <v>4449</v>
      </c>
      <c r="B4455" s="1" t="str">
        <f>"2022-209"</f>
        <v>2022-209</v>
      </c>
      <c r="C4455" s="1" t="s">
        <v>2859</v>
      </c>
      <c r="D4455" s="1" t="s">
        <v>2860</v>
      </c>
      <c r="E4455" s="1" t="str">
        <f>""</f>
        <v/>
      </c>
      <c r="F4455" s="1" t="s">
        <v>1860</v>
      </c>
      <c r="G4455" s="1" t="str">
        <f>CONCATENATE(" NARODNE NOVINE D.D.,"," SAVSKI GAJ XIII. PUT br. 6,"," 10000 ZAGREB,"," OIB: 64546066176")</f>
        <v xml:space="preserve"> NARODNE NOVINE D.D., SAVSKI GAJ XIII. PUT br. 6, 10000 ZAGREB, OIB: 64546066176</v>
      </c>
      <c r="H4455" s="7"/>
      <c r="I4455" s="8" t="s">
        <v>427</v>
      </c>
      <c r="J4455" s="8" t="s">
        <v>1480</v>
      </c>
      <c r="K4455" s="6" t="str">
        <f>"10.094,00"</f>
        <v>10.094,00</v>
      </c>
      <c r="L4455" s="6" t="str">
        <f>"2.523,50"</f>
        <v>2.523,50</v>
      </c>
      <c r="M4455" s="6" t="str">
        <f>"12.617,50"</f>
        <v>12.617,50</v>
      </c>
      <c r="N4455" s="8" t="s">
        <v>124</v>
      </c>
      <c r="O4455" s="7"/>
      <c r="P4455" s="2" t="s">
        <v>5614</v>
      </c>
      <c r="Q4455" s="7"/>
      <c r="R4455" s="1"/>
      <c r="S4455" s="1" t="str">
        <f>"J-UN-2022-1210"</f>
        <v>J-UN-2022-1210</v>
      </c>
      <c r="T4455" s="1" t="s">
        <v>32</v>
      </c>
    </row>
    <row r="4456" spans="1:20" ht="63.75" x14ac:dyDescent="0.25">
      <c r="A4456" s="6">
        <v>4450</v>
      </c>
      <c r="B4456" s="1" t="str">
        <f>"2022-193"</f>
        <v>2022-193</v>
      </c>
      <c r="C4456" s="1" t="s">
        <v>2731</v>
      </c>
      <c r="D4456" s="1" t="s">
        <v>2732</v>
      </c>
      <c r="E4456" s="1" t="str">
        <f>""</f>
        <v/>
      </c>
      <c r="F4456" s="1" t="s">
        <v>1860</v>
      </c>
      <c r="G4456" s="1" t="str">
        <f>CONCATENATE(" TOKIĆ D.O.O.,"," ULICA 144. BRIGADE HRVATSKE VOJSKE 1A,"," 10360 SESVETE,"," OIB: 7486748762")</f>
        <v xml:space="preserve"> TOKIĆ D.O.O., ULICA 144. BRIGADE HRVATSKE VOJSKE 1A, 10360 SESVETE, OIB: 7486748762</v>
      </c>
      <c r="H4456" s="7"/>
      <c r="I4456" s="8" t="s">
        <v>427</v>
      </c>
      <c r="J4456" s="8" t="s">
        <v>1480</v>
      </c>
      <c r="K4456" s="6" t="str">
        <f>"2.600,00"</f>
        <v>2.600,00</v>
      </c>
      <c r="L4456" s="6" t="str">
        <f>"650,00"</f>
        <v>650,00</v>
      </c>
      <c r="M4456" s="6" t="str">
        <f>"3.250,00"</f>
        <v>3.250,00</v>
      </c>
      <c r="N4456" s="8" t="s">
        <v>955</v>
      </c>
      <c r="O4456" s="7"/>
      <c r="P4456" s="2" t="s">
        <v>8253</v>
      </c>
      <c r="Q4456" s="7"/>
      <c r="R4456" s="1"/>
      <c r="S4456" s="1" t="str">
        <f>"J-UN-2022-1212"</f>
        <v>J-UN-2022-1212</v>
      </c>
      <c r="T4456" s="1" t="s">
        <v>32</v>
      </c>
    </row>
    <row r="4457" spans="1:20" ht="63.75" x14ac:dyDescent="0.25">
      <c r="A4457" s="6">
        <v>4451</v>
      </c>
      <c r="B4457" s="1" t="str">
        <f>"2022-506"</f>
        <v>2022-506</v>
      </c>
      <c r="C4457" s="1" t="s">
        <v>3119</v>
      </c>
      <c r="D4457" s="1" t="s">
        <v>750</v>
      </c>
      <c r="E4457" s="1" t="str">
        <f>""</f>
        <v/>
      </c>
      <c r="F4457" s="1" t="s">
        <v>1860</v>
      </c>
      <c r="G4457" s="1" t="str">
        <f>CONCATENATE(" PISMORAD D.O.O.,"," INDUSTRIJSKA 5,"," 10431 SVETA NEDELJA-NOVAKI,"," OIB: 33260306505")</f>
        <v xml:space="preserve"> PISMORAD D.O.O., INDUSTRIJSKA 5, 10431 SVETA NEDELJA-NOVAKI, OIB: 33260306505</v>
      </c>
      <c r="H4457" s="7"/>
      <c r="I4457" s="8" t="s">
        <v>438</v>
      </c>
      <c r="J4457" s="8" t="s">
        <v>3189</v>
      </c>
      <c r="K4457" s="6" t="str">
        <f>"105.270,00"</f>
        <v>105.270,00</v>
      </c>
      <c r="L4457" s="6" t="str">
        <f>"26.317,50"</f>
        <v>26.317,50</v>
      </c>
      <c r="M4457" s="6" t="str">
        <f>"131.587,50"</f>
        <v>131.587,50</v>
      </c>
      <c r="N4457" s="8" t="s">
        <v>287</v>
      </c>
      <c r="O4457" s="7"/>
      <c r="P4457" s="2" t="s">
        <v>8254</v>
      </c>
      <c r="Q4457" s="7"/>
      <c r="R4457" s="1"/>
      <c r="S4457" s="1" t="str">
        <f>"J-UN-2022-1214"</f>
        <v>J-UN-2022-1214</v>
      </c>
      <c r="T4457" s="1" t="s">
        <v>32</v>
      </c>
    </row>
    <row r="4458" spans="1:20" ht="63.75" x14ac:dyDescent="0.25">
      <c r="A4458" s="6">
        <v>4452</v>
      </c>
      <c r="B4458" s="1" t="str">
        <f>"2022-243"</f>
        <v>2022-243</v>
      </c>
      <c r="C4458" s="1" t="s">
        <v>2621</v>
      </c>
      <c r="D4458" s="1" t="s">
        <v>2622</v>
      </c>
      <c r="E4458" s="1" t="str">
        <f>""</f>
        <v/>
      </c>
      <c r="F4458" s="1" t="s">
        <v>1860</v>
      </c>
      <c r="G4458" s="1" t="str">
        <f>CONCATENATE(" ELEKTRO-KOMUNIKACIJE D.O.O.,"," 14. PODBREŽJE 4,"," 10000 ZAGREB,"," OIB: 76412373309")</f>
        <v xml:space="preserve"> ELEKTRO-KOMUNIKACIJE D.O.O., 14. PODBREŽJE 4, 10000 ZAGREB, OIB: 76412373309</v>
      </c>
      <c r="H4458" s="7"/>
      <c r="I4458" s="8" t="s">
        <v>252</v>
      </c>
      <c r="J4458" s="8" t="s">
        <v>1439</v>
      </c>
      <c r="K4458" s="6" t="str">
        <f>"2.726,60"</f>
        <v>2.726,60</v>
      </c>
      <c r="L4458" s="6" t="str">
        <f>"681,65"</f>
        <v>681,65</v>
      </c>
      <c r="M4458" s="6" t="str">
        <f>"3.408,25"</f>
        <v>3.408,25</v>
      </c>
      <c r="N4458" s="8" t="s">
        <v>124</v>
      </c>
      <c r="O4458" s="7"/>
      <c r="P4458" s="2" t="s">
        <v>5614</v>
      </c>
      <c r="Q4458" s="7"/>
      <c r="R4458" s="1"/>
      <c r="S4458" s="1" t="str">
        <f>"J-UN-2022-1215"</f>
        <v>J-UN-2022-1215</v>
      </c>
      <c r="T4458" s="1" t="s">
        <v>32</v>
      </c>
    </row>
    <row r="4459" spans="1:20" ht="63.75" x14ac:dyDescent="0.25">
      <c r="A4459" s="6">
        <v>4453</v>
      </c>
      <c r="B4459" s="1" t="str">
        <f>"2022-488"</f>
        <v>2022-488</v>
      </c>
      <c r="C4459" s="1" t="s">
        <v>2714</v>
      </c>
      <c r="D4459" s="1" t="s">
        <v>619</v>
      </c>
      <c r="E4459" s="1" t="str">
        <f>""</f>
        <v/>
      </c>
      <c r="F4459" s="1" t="s">
        <v>1860</v>
      </c>
      <c r="G4459" s="1" t="str">
        <f>CONCATENATE(" POLJOOPSKRBA-TEHNO D.D.,"," SAMOBORSKA 96,"," 10000 ZAGREB,"," OIB: 5372167324")</f>
        <v xml:space="preserve"> POLJOOPSKRBA-TEHNO D.D., SAMOBORSKA 96, 10000 ZAGREB, OIB: 5372167324</v>
      </c>
      <c r="H4459" s="7"/>
      <c r="I4459" s="8" t="s">
        <v>438</v>
      </c>
      <c r="J4459" s="8" t="s">
        <v>3189</v>
      </c>
      <c r="K4459" s="6" t="str">
        <f>"988,00"</f>
        <v>988,00</v>
      </c>
      <c r="L4459" s="6" t="str">
        <f>"247,00"</f>
        <v>247,00</v>
      </c>
      <c r="M4459" s="6" t="str">
        <f>"1.235,00"</f>
        <v>1.235,00</v>
      </c>
      <c r="N4459" s="8" t="s">
        <v>429</v>
      </c>
      <c r="O4459" s="7"/>
      <c r="P4459" s="2" t="s">
        <v>8255</v>
      </c>
      <c r="Q4459" s="7"/>
      <c r="R4459" s="1"/>
      <c r="S4459" s="1" t="str">
        <f>"J-UN-2022-1217"</f>
        <v>J-UN-2022-1217</v>
      </c>
      <c r="T4459" s="1" t="s">
        <v>32</v>
      </c>
    </row>
    <row r="4460" spans="1:20" ht="63.75" x14ac:dyDescent="0.25">
      <c r="A4460" s="6">
        <v>4454</v>
      </c>
      <c r="B4460" s="1" t="str">
        <f>"2022-716"</f>
        <v>2022-716</v>
      </c>
      <c r="C4460" s="1" t="s">
        <v>2563</v>
      </c>
      <c r="D4460" s="1" t="s">
        <v>914</v>
      </c>
      <c r="E4460" s="1" t="str">
        <f>""</f>
        <v/>
      </c>
      <c r="F4460" s="1" t="s">
        <v>1860</v>
      </c>
      <c r="G4460" s="1" t="str">
        <f>CONCATENATE(" M.C.JAKOVIĆ D.O.O.,"," SISAČKA CESTA II ODVOJAK BR. 34,"," 10020 ZAGREB,"," OIB: 7033479049")</f>
        <v xml:space="preserve"> M.C.JAKOVIĆ D.O.O., SISAČKA CESTA II ODVOJAK BR. 34, 10020 ZAGREB, OIB: 7033479049</v>
      </c>
      <c r="H4460" s="7"/>
      <c r="I4460" s="8" t="s">
        <v>922</v>
      </c>
      <c r="J4460" s="8" t="s">
        <v>3186</v>
      </c>
      <c r="K4460" s="6" t="str">
        <f>"1.220,14"</f>
        <v>1.220,14</v>
      </c>
      <c r="L4460" s="6" t="str">
        <f>"305,04"</f>
        <v>305,04</v>
      </c>
      <c r="M4460" s="6" t="str">
        <f>"1.525,18"</f>
        <v>1.525,18</v>
      </c>
      <c r="N4460" s="8" t="s">
        <v>427</v>
      </c>
      <c r="O4460" s="7"/>
      <c r="P4460" s="2" t="s">
        <v>8256</v>
      </c>
      <c r="Q4460" s="7"/>
      <c r="R4460" s="1"/>
      <c r="S4460" s="1" t="str">
        <f>"J-UN-2022-1218"</f>
        <v>J-UN-2022-1218</v>
      </c>
      <c r="T4460" s="1" t="s">
        <v>32</v>
      </c>
    </row>
    <row r="4461" spans="1:20" ht="76.5" x14ac:dyDescent="0.25">
      <c r="A4461" s="6">
        <v>4455</v>
      </c>
      <c r="B4461" s="1" t="str">
        <f>"2022-384"</f>
        <v>2022-384</v>
      </c>
      <c r="C4461" s="1" t="s">
        <v>3062</v>
      </c>
      <c r="D4461" s="1" t="s">
        <v>3063</v>
      </c>
      <c r="E4461" s="1" t="str">
        <f>""</f>
        <v/>
      </c>
      <c r="F4461" s="1" t="s">
        <v>1860</v>
      </c>
      <c r="G4461" s="1" t="str">
        <f>CONCATENATE(" SMIT-COMMERCE D.O.O.,"," GORNJOSTUPNIČKA 9B,"," 10255 GORNJI STUPNIK,"," OIB: 9524348214")</f>
        <v xml:space="preserve"> SMIT-COMMERCE D.O.O., GORNJOSTUPNIČKA 9B, 10255 GORNJI STUPNIK, OIB: 9524348214</v>
      </c>
      <c r="H4461" s="7"/>
      <c r="I4461" s="8" t="s">
        <v>438</v>
      </c>
      <c r="J4461" s="8" t="s">
        <v>3189</v>
      </c>
      <c r="K4461" s="6" t="str">
        <f>"3.590,50"</f>
        <v>3.590,50</v>
      </c>
      <c r="L4461" s="6" t="str">
        <f>"897,63"</f>
        <v>897,63</v>
      </c>
      <c r="M4461" s="6" t="str">
        <f>"4.488,13"</f>
        <v>4.488,13</v>
      </c>
      <c r="N4461" s="8" t="s">
        <v>910</v>
      </c>
      <c r="O4461" s="7"/>
      <c r="P4461" s="2" t="s">
        <v>8257</v>
      </c>
      <c r="Q4461" s="7"/>
      <c r="R4461" s="1"/>
      <c r="S4461" s="1" t="str">
        <f>"J-UN-2022-1219"</f>
        <v>J-UN-2022-1219</v>
      </c>
      <c r="T4461" s="1" t="s">
        <v>32</v>
      </c>
    </row>
    <row r="4462" spans="1:20" ht="51" x14ac:dyDescent="0.25">
      <c r="A4462" s="6">
        <v>4456</v>
      </c>
      <c r="B4462" s="1" t="str">
        <f>"2022-1389"</f>
        <v>2022-1389</v>
      </c>
      <c r="C4462" s="1" t="s">
        <v>2891</v>
      </c>
      <c r="D4462" s="1" t="s">
        <v>165</v>
      </c>
      <c r="E4462" s="1" t="str">
        <f>""</f>
        <v/>
      </c>
      <c r="F4462" s="1" t="s">
        <v>1860</v>
      </c>
      <c r="G4462" s="1" t="str">
        <f>CONCATENATE(" METIS D.D.,"," KUKULJANOVO 414,"," 51227 KUKULJANOVO,"," OIB: 19158233033")</f>
        <v xml:space="preserve"> METIS D.D., KUKULJANOVO 414, 51227 KUKULJANOVO, OIB: 19158233033</v>
      </c>
      <c r="H4462" s="7"/>
      <c r="I4462" s="8" t="s">
        <v>252</v>
      </c>
      <c r="J4462" s="8" t="s">
        <v>1439</v>
      </c>
      <c r="K4462" s="6" t="str">
        <f>"5.700,00"</f>
        <v>5.700,00</v>
      </c>
      <c r="L4462" s="6" t="str">
        <f>"1.425,00"</f>
        <v>1.425,00</v>
      </c>
      <c r="M4462" s="6" t="str">
        <f>"7.125,00"</f>
        <v>7.125,00</v>
      </c>
      <c r="N4462" s="8" t="s">
        <v>408</v>
      </c>
      <c r="O4462" s="7"/>
      <c r="P4462" s="2" t="s">
        <v>6716</v>
      </c>
      <c r="Q4462" s="7"/>
      <c r="R4462" s="1"/>
      <c r="S4462" s="1" t="str">
        <f>"J-UN-2022-1220"</f>
        <v>J-UN-2022-1220</v>
      </c>
      <c r="T4462" s="1" t="s">
        <v>32</v>
      </c>
    </row>
    <row r="4463" spans="1:20" ht="63.75" x14ac:dyDescent="0.25">
      <c r="A4463" s="6">
        <v>4457</v>
      </c>
      <c r="B4463" s="1" t="str">
        <f>"2022-535"</f>
        <v>2022-535</v>
      </c>
      <c r="C4463" s="1" t="s">
        <v>2561</v>
      </c>
      <c r="D4463" s="1" t="s">
        <v>2156</v>
      </c>
      <c r="E4463" s="1" t="str">
        <f>""</f>
        <v/>
      </c>
      <c r="F4463" s="1" t="s">
        <v>1860</v>
      </c>
      <c r="G4463" s="1" t="str">
        <f>CONCATENATE(" MAKROMIKRO GRUPA D.O.O.,"," VUKOMERIČKA ULICA 6,"," 10410 VELIKA GORICA,"," OIB: 5046797487")</f>
        <v xml:space="preserve"> MAKROMIKRO GRUPA D.O.O., VUKOMERIČKA ULICA 6, 10410 VELIKA GORICA, OIB: 5046797487</v>
      </c>
      <c r="H4463" s="7"/>
      <c r="I4463" s="8" t="s">
        <v>507</v>
      </c>
      <c r="J4463" s="8" t="s">
        <v>1768</v>
      </c>
      <c r="K4463" s="6" t="str">
        <f>"1.640,00"</f>
        <v>1.640,00</v>
      </c>
      <c r="L4463" s="6" t="str">
        <f>"410,00"</f>
        <v>410,00</v>
      </c>
      <c r="M4463" s="6" t="str">
        <f>"2.050,00"</f>
        <v>2.050,00</v>
      </c>
      <c r="N4463" s="8" t="s">
        <v>939</v>
      </c>
      <c r="O4463" s="7"/>
      <c r="P4463" s="2" t="s">
        <v>8258</v>
      </c>
      <c r="Q4463" s="7"/>
      <c r="R4463" s="1"/>
      <c r="S4463" s="1" t="str">
        <f>"J-UN-2022-1221"</f>
        <v>J-UN-2022-1221</v>
      </c>
      <c r="T4463" s="1" t="s">
        <v>32</v>
      </c>
    </row>
    <row r="4464" spans="1:20" ht="63.75" x14ac:dyDescent="0.25">
      <c r="A4464" s="6">
        <v>4458</v>
      </c>
      <c r="B4464" s="1" t="str">
        <f>"2022-1201"</f>
        <v>2022-1201</v>
      </c>
      <c r="C4464" s="1" t="s">
        <v>3190</v>
      </c>
      <c r="D4464" s="1" t="s">
        <v>2724</v>
      </c>
      <c r="E4464" s="1" t="str">
        <f>""</f>
        <v/>
      </c>
      <c r="F4464" s="1" t="s">
        <v>1860</v>
      </c>
      <c r="G4464" s="1" t="str">
        <f>CONCATENATE(" DVOKUT - ECRO D.O.O.,"," TRNJANSKA CESTA 37,"," 10000 ZAGREB,"," OIB: 29880496238")</f>
        <v xml:space="preserve"> DVOKUT - ECRO D.O.O., TRNJANSKA CESTA 37, 10000 ZAGREB, OIB: 29880496238</v>
      </c>
      <c r="H4464" s="7"/>
      <c r="I4464" s="8" t="s">
        <v>438</v>
      </c>
      <c r="J4464" s="8" t="s">
        <v>3189</v>
      </c>
      <c r="K4464" s="6" t="str">
        <f>"6.600,00"</f>
        <v>6.600,00</v>
      </c>
      <c r="L4464" s="6" t="str">
        <f>"1.650,00"</f>
        <v>1.650,00</v>
      </c>
      <c r="M4464" s="6" t="str">
        <f>"8.250,00"</f>
        <v>8.250,00</v>
      </c>
      <c r="N4464" s="8" t="s">
        <v>124</v>
      </c>
      <c r="O4464" s="7"/>
      <c r="P4464" s="2" t="s">
        <v>7315</v>
      </c>
      <c r="Q4464" s="7"/>
      <c r="R4464" s="1"/>
      <c r="S4464" s="1" t="str">
        <f>"J-UN-2022-1223"</f>
        <v>J-UN-2022-1223</v>
      </c>
      <c r="T4464" s="1" t="s">
        <v>32</v>
      </c>
    </row>
    <row r="4465" spans="1:20" ht="63.75" x14ac:dyDescent="0.25">
      <c r="A4465" s="6">
        <v>4459</v>
      </c>
      <c r="B4465" s="1" t="str">
        <f>"2022-194"</f>
        <v>2022-194</v>
      </c>
      <c r="C4465" s="1" t="s">
        <v>3037</v>
      </c>
      <c r="D4465" s="1" t="s">
        <v>3038</v>
      </c>
      <c r="E4465" s="1" t="str">
        <f>""</f>
        <v/>
      </c>
      <c r="F4465" s="1" t="s">
        <v>1860</v>
      </c>
      <c r="G4465" s="1" t="str">
        <f>CONCATENATE(" AGROTUROPOLJE D.O.O.,"," VELIKOGORIČKA 43,"," 10415 NOVO ČIČE,"," OIB: 66493270332")</f>
        <v xml:space="preserve"> AGROTUROPOLJE D.O.O., VELIKOGORIČKA 43, 10415 NOVO ČIČE, OIB: 66493270332</v>
      </c>
      <c r="H4465" s="7"/>
      <c r="I4465" s="8" t="s">
        <v>438</v>
      </c>
      <c r="J4465" s="8" t="s">
        <v>3189</v>
      </c>
      <c r="K4465" s="6" t="str">
        <f>"5.000,00"</f>
        <v>5.000,00</v>
      </c>
      <c r="L4465" s="6" t="str">
        <f>"1.250,00"</f>
        <v>1.250,00</v>
      </c>
      <c r="M4465" s="6" t="str">
        <f>"6.250,00"</f>
        <v>6.250,00</v>
      </c>
      <c r="N4465" s="8" t="s">
        <v>1551</v>
      </c>
      <c r="O4465" s="7"/>
      <c r="P4465" s="2" t="s">
        <v>6736</v>
      </c>
      <c r="Q4465" s="7"/>
      <c r="R4465" s="1"/>
      <c r="S4465" s="1" t="str">
        <f>"J-UN-2022-1225"</f>
        <v>J-UN-2022-1225</v>
      </c>
      <c r="T4465" s="1" t="s">
        <v>32</v>
      </c>
    </row>
    <row r="4466" spans="1:20" ht="63.75" x14ac:dyDescent="0.25">
      <c r="A4466" s="6">
        <v>4460</v>
      </c>
      <c r="B4466" s="1" t="str">
        <f>"2022-715"</f>
        <v>2022-715</v>
      </c>
      <c r="C4466" s="1" t="s">
        <v>2733</v>
      </c>
      <c r="D4466" s="1" t="s">
        <v>914</v>
      </c>
      <c r="E4466" s="1" t="str">
        <f>""</f>
        <v/>
      </c>
      <c r="F4466" s="1" t="s">
        <v>1860</v>
      </c>
      <c r="G4466" s="1" t="str">
        <f>CONCATENATE(" TOKIĆ D.O.O.,"," ULICA 144. BRIGADE HRVATSKE VOJSKE 1A,"," 10360 SESVETE,"," OIB: 7486748762")</f>
        <v xml:space="preserve"> TOKIĆ D.O.O., ULICA 144. BRIGADE HRVATSKE VOJSKE 1A, 10360 SESVETE, OIB: 7486748762</v>
      </c>
      <c r="H4466" s="7"/>
      <c r="I4466" s="8" t="s">
        <v>402</v>
      </c>
      <c r="J4466" s="8" t="s">
        <v>3191</v>
      </c>
      <c r="K4466" s="6" t="str">
        <f>"986,00"</f>
        <v>986,00</v>
      </c>
      <c r="L4466" s="6" t="str">
        <f>"246,50"</f>
        <v>246,50</v>
      </c>
      <c r="M4466" s="6" t="str">
        <f>"1.232,50"</f>
        <v>1.232,50</v>
      </c>
      <c r="N4466" s="8" t="s">
        <v>923</v>
      </c>
      <c r="O4466" s="7"/>
      <c r="P4466" s="2" t="s">
        <v>8259</v>
      </c>
      <c r="Q4466" s="7"/>
      <c r="R4466" s="1"/>
      <c r="S4466" s="1" t="str">
        <f>"J-UN-2022-1226"</f>
        <v>J-UN-2022-1226</v>
      </c>
      <c r="T4466" s="1" t="s">
        <v>32</v>
      </c>
    </row>
    <row r="4467" spans="1:20" ht="38.25" x14ac:dyDescent="0.25">
      <c r="A4467" s="6">
        <v>4461</v>
      </c>
      <c r="B4467" s="1" t="str">
        <f>"2022-698"</f>
        <v>2022-698</v>
      </c>
      <c r="C4467" s="1" t="s">
        <v>2565</v>
      </c>
      <c r="D4467" s="1" t="s">
        <v>1833</v>
      </c>
      <c r="E4467" s="1" t="str">
        <f>""</f>
        <v/>
      </c>
      <c r="F4467" s="1" t="s">
        <v>1860</v>
      </c>
      <c r="G4467" s="1" t="str">
        <f>CONCATENATE(" R-PIM D.O.O.,"," ,"," OIB: 38514700472")</f>
        <v xml:space="preserve"> R-PIM D.O.O., , OIB: 38514700472</v>
      </c>
      <c r="H4467" s="7"/>
      <c r="I4467" s="8" t="s">
        <v>438</v>
      </c>
      <c r="J4467" s="8" t="s">
        <v>3189</v>
      </c>
      <c r="K4467" s="6" t="str">
        <f>"9.546,00"</f>
        <v>9.546,00</v>
      </c>
      <c r="L4467" s="6" t="str">
        <f>"2.386,50"</f>
        <v>2.386,50</v>
      </c>
      <c r="M4467" s="6" t="str">
        <f>"11.932,50"</f>
        <v>11.932,50</v>
      </c>
      <c r="N4467" s="8" t="s">
        <v>893</v>
      </c>
      <c r="O4467" s="7"/>
      <c r="P4467" s="2" t="s">
        <v>8260</v>
      </c>
      <c r="Q4467" s="7"/>
      <c r="R4467" s="1"/>
      <c r="S4467" s="1" t="str">
        <f>"J-UN-2022-1227"</f>
        <v>J-UN-2022-1227</v>
      </c>
      <c r="T4467" s="1" t="s">
        <v>32</v>
      </c>
    </row>
    <row r="4468" spans="1:20" ht="63.75" x14ac:dyDescent="0.25">
      <c r="A4468" s="6">
        <v>4462</v>
      </c>
      <c r="B4468" s="1" t="str">
        <f>"2022-1805"</f>
        <v>2022-1805</v>
      </c>
      <c r="C4468" s="1" t="s">
        <v>3113</v>
      </c>
      <c r="D4468" s="1" t="s">
        <v>34</v>
      </c>
      <c r="E4468" s="1" t="str">
        <f>""</f>
        <v/>
      </c>
      <c r="F4468" s="1" t="s">
        <v>1860</v>
      </c>
      <c r="G4468" s="1" t="str">
        <f>CONCATENATE(" URIHO - ZAGREB,"," AVENIJA MARINA DRŽIĆA 1,"," 10000 ZAGREB,"," OIB: 77931216562")</f>
        <v xml:space="preserve"> URIHO - ZAGREB, AVENIJA MARINA DRŽIĆA 1, 10000 ZAGREB, OIB: 77931216562</v>
      </c>
      <c r="H4468" s="7"/>
      <c r="I4468" s="8" t="s">
        <v>524</v>
      </c>
      <c r="J4468" s="8" t="s">
        <v>894</v>
      </c>
      <c r="K4468" s="6" t="str">
        <f>"57.405,00"</f>
        <v>57.405,00</v>
      </c>
      <c r="L4468" s="6" t="str">
        <f>"14.351,25"</f>
        <v>14.351,25</v>
      </c>
      <c r="M4468" s="6" t="str">
        <f>"71.756,25"</f>
        <v>71.756,25</v>
      </c>
      <c r="N4468" s="8" t="s">
        <v>169</v>
      </c>
      <c r="O4468" s="7"/>
      <c r="P4468" s="2" t="s">
        <v>8261</v>
      </c>
      <c r="Q4468" s="7"/>
      <c r="R4468" s="1"/>
      <c r="S4468" s="1" t="str">
        <f>"J-UN-2022-1228"</f>
        <v>J-UN-2022-1228</v>
      </c>
      <c r="T4468" s="1" t="s">
        <v>43</v>
      </c>
    </row>
    <row r="4469" spans="1:20" ht="51" x14ac:dyDescent="0.25">
      <c r="A4469" s="6">
        <v>4463</v>
      </c>
      <c r="B4469" s="1" t="str">
        <f>"2022-1389"</f>
        <v>2022-1389</v>
      </c>
      <c r="C4469" s="1" t="s">
        <v>2891</v>
      </c>
      <c r="D4469" s="1" t="s">
        <v>165</v>
      </c>
      <c r="E4469" s="1" t="str">
        <f>""</f>
        <v/>
      </c>
      <c r="F4469" s="1" t="s">
        <v>1860</v>
      </c>
      <c r="G4469" s="1" t="str">
        <f>CONCATENATE(" RIJEKATANK D. O. O.,"," BARTOLA KAŠIĆA,"," 51000 RIJEKA,"," OIB: 9446593785")</f>
        <v xml:space="preserve"> RIJEKATANK D. O. O., BARTOLA KAŠIĆA, 51000 RIJEKA, OIB: 9446593785</v>
      </c>
      <c r="H4469" s="7"/>
      <c r="I4469" s="8" t="s">
        <v>922</v>
      </c>
      <c r="J4469" s="8" t="s">
        <v>3186</v>
      </c>
      <c r="K4469" s="6" t="str">
        <f>"3.425,00"</f>
        <v>3.425,00</v>
      </c>
      <c r="L4469" s="6" t="str">
        <f>"856,25"</f>
        <v>856,25</v>
      </c>
      <c r="M4469" s="6" t="str">
        <f>"4.281,25"</f>
        <v>4.281,25</v>
      </c>
      <c r="N4469" s="8" t="s">
        <v>524</v>
      </c>
      <c r="O4469" s="7"/>
      <c r="P4469" s="2" t="s">
        <v>8262</v>
      </c>
      <c r="Q4469" s="7"/>
      <c r="R4469" s="1"/>
      <c r="S4469" s="1" t="str">
        <f>"J-UN-2022-1230"</f>
        <v>J-UN-2022-1230</v>
      </c>
      <c r="T4469" s="1" t="s">
        <v>32</v>
      </c>
    </row>
    <row r="4470" spans="1:20" ht="51" x14ac:dyDescent="0.25">
      <c r="A4470" s="6">
        <v>4464</v>
      </c>
      <c r="B4470" s="1" t="str">
        <f>"2022-104"</f>
        <v>2022-104</v>
      </c>
      <c r="C4470" s="1" t="s">
        <v>2786</v>
      </c>
      <c r="D4470" s="1" t="s">
        <v>476</v>
      </c>
      <c r="E4470" s="1" t="str">
        <f>""</f>
        <v/>
      </c>
      <c r="F4470" s="1" t="s">
        <v>1860</v>
      </c>
      <c r="G4470" s="1" t="str">
        <f>CONCATENATE(" TECOMTRADE D.O.O.,"," HRVATSKOG PROLJEĆA 22,"," 10000 ZAGREB,"," OIB: 1057225603")</f>
        <v xml:space="preserve"> TECOMTRADE D.O.O., HRVATSKOG PROLJEĆA 22, 10000 ZAGREB, OIB: 1057225603</v>
      </c>
      <c r="H4470" s="7"/>
      <c r="I4470" s="8" t="s">
        <v>240</v>
      </c>
      <c r="J4470" s="8" t="s">
        <v>2196</v>
      </c>
      <c r="K4470" s="6" t="str">
        <f>"1.399,00"</f>
        <v>1.399,00</v>
      </c>
      <c r="L4470" s="6" t="str">
        <f>"349,75"</f>
        <v>349,75</v>
      </c>
      <c r="M4470" s="6" t="str">
        <f>"1.748,75"</f>
        <v>1.748,75</v>
      </c>
      <c r="N4470" s="8" t="s">
        <v>563</v>
      </c>
      <c r="O4470" s="7"/>
      <c r="P4470" s="2" t="s">
        <v>8110</v>
      </c>
      <c r="Q4470" s="7"/>
      <c r="R4470" s="1"/>
      <c r="S4470" s="1" t="str">
        <f>"J-UN-2022-1231"</f>
        <v>J-UN-2022-1231</v>
      </c>
      <c r="T4470" s="1" t="s">
        <v>32</v>
      </c>
    </row>
    <row r="4471" spans="1:20" ht="63.75" x14ac:dyDescent="0.25">
      <c r="A4471" s="6">
        <v>4465</v>
      </c>
      <c r="B4471" s="1" t="str">
        <f>"2022-382"</f>
        <v>2022-382</v>
      </c>
      <c r="C4471" s="1" t="s">
        <v>2700</v>
      </c>
      <c r="D4471" s="1" t="s">
        <v>2701</v>
      </c>
      <c r="E4471" s="1" t="str">
        <f>""</f>
        <v/>
      </c>
      <c r="F4471" s="1" t="s">
        <v>1860</v>
      </c>
      <c r="G4471" s="1" t="str">
        <f>CONCATENATE(" ELEKTRO-KOMUNIKACIJE D.O.O.,"," 14. PODBREŽJE 4,"," 10000 ZAGREB,"," OIB: 76412373309")</f>
        <v xml:space="preserve"> ELEKTRO-KOMUNIKACIJE D.O.O., 14. PODBREŽJE 4, 10000 ZAGREB, OIB: 76412373309</v>
      </c>
      <c r="H4471" s="7"/>
      <c r="I4471" s="8" t="s">
        <v>192</v>
      </c>
      <c r="J4471" s="8" t="s">
        <v>3185</v>
      </c>
      <c r="K4471" s="6" t="str">
        <f>"7.620,00"</f>
        <v>7.620,00</v>
      </c>
      <c r="L4471" s="6" t="str">
        <f>"1.905,00"</f>
        <v>1.905,00</v>
      </c>
      <c r="M4471" s="6" t="str">
        <f>"9.525,00"</f>
        <v>9.525,00</v>
      </c>
      <c r="N4471" s="8" t="s">
        <v>124</v>
      </c>
      <c r="O4471" s="7"/>
      <c r="P4471" s="2" t="s">
        <v>5614</v>
      </c>
      <c r="Q4471" s="7"/>
      <c r="R4471" s="1"/>
      <c r="S4471" s="1" t="str">
        <f>"J-UN-2022-1232"</f>
        <v>J-UN-2022-1232</v>
      </c>
      <c r="T4471" s="1" t="s">
        <v>32</v>
      </c>
    </row>
    <row r="4472" spans="1:20" ht="63.75" x14ac:dyDescent="0.25">
      <c r="A4472" s="6">
        <v>4466</v>
      </c>
      <c r="B4472" s="1" t="str">
        <f>"2022-413"</f>
        <v>2022-413</v>
      </c>
      <c r="C4472" s="1" t="s">
        <v>2773</v>
      </c>
      <c r="D4472" s="1" t="s">
        <v>2774</v>
      </c>
      <c r="E4472" s="1" t="str">
        <f>""</f>
        <v/>
      </c>
      <c r="F4472" s="1" t="s">
        <v>1860</v>
      </c>
      <c r="G4472" s="1" t="str">
        <f>CONCATENATE(" ELEKTRO-KOMUNIKACIJE D.O.O.,"," 14. PODBREŽJE 4,"," 10000 ZAGREB,"," OIB: 76412373309")</f>
        <v xml:space="preserve"> ELEKTRO-KOMUNIKACIJE D.O.O., 14. PODBREŽJE 4, 10000 ZAGREB, OIB: 76412373309</v>
      </c>
      <c r="H4472" s="7"/>
      <c r="I4472" s="8" t="s">
        <v>192</v>
      </c>
      <c r="J4472" s="8" t="s">
        <v>3185</v>
      </c>
      <c r="K4472" s="6" t="str">
        <f>"19.965,00"</f>
        <v>19.965,00</v>
      </c>
      <c r="L4472" s="6" t="str">
        <f>"4.991,25"</f>
        <v>4.991,25</v>
      </c>
      <c r="M4472" s="6" t="str">
        <f>"24.956,25"</f>
        <v>24.956,25</v>
      </c>
      <c r="N4472" s="8" t="s">
        <v>124</v>
      </c>
      <c r="O4472" s="7"/>
      <c r="P4472" s="2" t="s">
        <v>5614</v>
      </c>
      <c r="Q4472" s="7"/>
      <c r="R4472" s="1"/>
      <c r="S4472" s="1" t="str">
        <f>"J-UN-2022-1233"</f>
        <v>J-UN-2022-1233</v>
      </c>
      <c r="T4472" s="1" t="s">
        <v>32</v>
      </c>
    </row>
    <row r="4473" spans="1:20" ht="63.75" x14ac:dyDescent="0.25">
      <c r="A4473" s="6">
        <v>4467</v>
      </c>
      <c r="B4473" s="1" t="str">
        <f>"2022-499"</f>
        <v>2022-499</v>
      </c>
      <c r="C4473" s="1" t="s">
        <v>2788</v>
      </c>
      <c r="D4473" s="1" t="s">
        <v>2789</v>
      </c>
      <c r="E4473" s="1" t="str">
        <f>""</f>
        <v/>
      </c>
      <c r="F4473" s="1" t="s">
        <v>1860</v>
      </c>
      <c r="G4473" s="1" t="str">
        <f>CONCATENATE(" ELEKTRO-KOMUNIKACIJE D.O.O.,"," 14. PODBREŽJE 4,"," 10000 ZAGREB,"," OIB: 76412373309")</f>
        <v xml:space="preserve"> ELEKTRO-KOMUNIKACIJE D.O.O., 14. PODBREŽJE 4, 10000 ZAGREB, OIB: 76412373309</v>
      </c>
      <c r="H4473" s="7"/>
      <c r="I4473" s="8" t="s">
        <v>192</v>
      </c>
      <c r="J4473" s="8" t="s">
        <v>3185</v>
      </c>
      <c r="K4473" s="6" t="str">
        <f>"3.615,00"</f>
        <v>3.615,00</v>
      </c>
      <c r="L4473" s="6" t="str">
        <f>"903,75"</f>
        <v>903,75</v>
      </c>
      <c r="M4473" s="6" t="str">
        <f>"4.518,75"</f>
        <v>4.518,75</v>
      </c>
      <c r="N4473" s="8" t="s">
        <v>124</v>
      </c>
      <c r="O4473" s="7"/>
      <c r="P4473" s="2" t="s">
        <v>5614</v>
      </c>
      <c r="Q4473" s="7"/>
      <c r="R4473" s="1"/>
      <c r="S4473" s="1" t="str">
        <f>"J-UN-2022-1235"</f>
        <v>J-UN-2022-1235</v>
      </c>
      <c r="T4473" s="1" t="s">
        <v>32</v>
      </c>
    </row>
    <row r="4474" spans="1:20" ht="63.75" x14ac:dyDescent="0.25">
      <c r="A4474" s="6">
        <v>4468</v>
      </c>
      <c r="B4474" s="1" t="str">
        <f>"2022-1358"</f>
        <v>2022-1358</v>
      </c>
      <c r="C4474" s="1" t="s">
        <v>2643</v>
      </c>
      <c r="D4474" s="1" t="s">
        <v>1859</v>
      </c>
      <c r="E4474" s="1" t="str">
        <f>""</f>
        <v/>
      </c>
      <c r="F4474" s="1" t="s">
        <v>1860</v>
      </c>
      <c r="G4474" s="1" t="str">
        <f>CONCATENATE(" ELEKTROTEHNIČKO DRUŠTVO ZAGREB,"," BERISLAVIĆEVA 6,"," 10000 ZAGREB,"," OIB: 42522821718")</f>
        <v xml:space="preserve"> ELEKTROTEHNIČKO DRUŠTVO ZAGREB, BERISLAVIĆEVA 6, 10000 ZAGREB, OIB: 42522821718</v>
      </c>
      <c r="H4474" s="7"/>
      <c r="I4474" s="8" t="s">
        <v>240</v>
      </c>
      <c r="J4474" s="8" t="s">
        <v>2196</v>
      </c>
      <c r="K4474" s="6" t="str">
        <f>"1.120,00"</f>
        <v>1.120,00</v>
      </c>
      <c r="L4474" s="6" t="str">
        <f>"280,00"</f>
        <v>280,00</v>
      </c>
      <c r="M4474" s="6" t="str">
        <f>"1.400,00"</f>
        <v>1.400,00</v>
      </c>
      <c r="N4474" s="8" t="s">
        <v>124</v>
      </c>
      <c r="O4474" s="7"/>
      <c r="P4474" s="2" t="s">
        <v>5614</v>
      </c>
      <c r="Q4474" s="7"/>
      <c r="R4474" s="1"/>
      <c r="S4474" s="1" t="str">
        <f>"J-UN-2022-1237"</f>
        <v>J-UN-2022-1237</v>
      </c>
      <c r="T4474" s="1" t="s">
        <v>32</v>
      </c>
    </row>
    <row r="4475" spans="1:20" ht="51" x14ac:dyDescent="0.25">
      <c r="A4475" s="6">
        <v>4469</v>
      </c>
      <c r="B4475" s="1" t="str">
        <f>"2022-1398"</f>
        <v>2022-1398</v>
      </c>
      <c r="C4475" s="1" t="s">
        <v>3192</v>
      </c>
      <c r="D4475" s="1" t="s">
        <v>2682</v>
      </c>
      <c r="E4475" s="1" t="str">
        <f>""</f>
        <v/>
      </c>
      <c r="F4475" s="1" t="s">
        <v>1860</v>
      </c>
      <c r="G4475" s="1" t="str">
        <f>CONCATENATE(" C.I.A.K. D.O.O.,"," SAVSKA OPATOVINA 36,"," 10090 ZAGREB-SUSEDGRAD,"," OIB: 47428597158")</f>
        <v xml:space="preserve"> C.I.A.K. D.O.O., SAVSKA OPATOVINA 36, 10090 ZAGREB-SUSEDGRAD, OIB: 47428597158</v>
      </c>
      <c r="H4475" s="7"/>
      <c r="I4475" s="8" t="s">
        <v>192</v>
      </c>
      <c r="J4475" s="8" t="s">
        <v>3185</v>
      </c>
      <c r="K4475" s="6" t="str">
        <f>"19.835,00"</f>
        <v>19.835,00</v>
      </c>
      <c r="L4475" s="6" t="str">
        <f>"4.958,75"</f>
        <v>4.958,75</v>
      </c>
      <c r="M4475" s="6" t="str">
        <f>"24.793,75"</f>
        <v>24.793,75</v>
      </c>
      <c r="N4475" s="8" t="s">
        <v>124</v>
      </c>
      <c r="O4475" s="7"/>
      <c r="P4475" s="2" t="s">
        <v>8263</v>
      </c>
      <c r="Q4475" s="7"/>
      <c r="R4475" s="1"/>
      <c r="S4475" s="1" t="str">
        <f>"J-UN-2022-1238"</f>
        <v>J-UN-2022-1238</v>
      </c>
      <c r="T4475" s="1" t="s">
        <v>32</v>
      </c>
    </row>
    <row r="4476" spans="1:20" ht="63.75" x14ac:dyDescent="0.25">
      <c r="A4476" s="6">
        <v>4470</v>
      </c>
      <c r="B4476" s="1" t="str">
        <f>"2022-900"</f>
        <v>2022-900</v>
      </c>
      <c r="C4476" s="1" t="s">
        <v>2702</v>
      </c>
      <c r="D4476" s="1" t="s">
        <v>1209</v>
      </c>
      <c r="E4476" s="1" t="str">
        <f>""</f>
        <v/>
      </c>
      <c r="F4476" s="1" t="s">
        <v>1860</v>
      </c>
      <c r="G4476" s="1" t="str">
        <f>CONCATENATE(" DRÄGER SAFETY D.O.O.,"," AVENIJA VEĆESLAVA HOLJEVCA 40,"," 10010 ZAGREB,"," OIB: 32874587842")</f>
        <v xml:space="preserve"> DRÄGER SAFETY D.O.O., AVENIJA VEĆESLAVA HOLJEVCA 40, 10010 ZAGREB, OIB: 32874587842</v>
      </c>
      <c r="H4476" s="7"/>
      <c r="I4476" s="8" t="s">
        <v>240</v>
      </c>
      <c r="J4476" s="8" t="s">
        <v>2196</v>
      </c>
      <c r="K4476" s="6" t="str">
        <f>"1.926,00"</f>
        <v>1.926,00</v>
      </c>
      <c r="L4476" s="6" t="str">
        <f>"481,50"</f>
        <v>481,50</v>
      </c>
      <c r="M4476" s="6" t="str">
        <f>"2.407,50"</f>
        <v>2.407,50</v>
      </c>
      <c r="N4476" s="8" t="s">
        <v>402</v>
      </c>
      <c r="O4476" s="7"/>
      <c r="P4476" s="2" t="s">
        <v>8264</v>
      </c>
      <c r="Q4476" s="7"/>
      <c r="R4476" s="1"/>
      <c r="S4476" s="1" t="str">
        <f>"J-UN-2022-1239"</f>
        <v>J-UN-2022-1239</v>
      </c>
      <c r="T4476" s="1" t="s">
        <v>32</v>
      </c>
    </row>
    <row r="4477" spans="1:20" ht="63.75" x14ac:dyDescent="0.25">
      <c r="A4477" s="6">
        <v>4471</v>
      </c>
      <c r="B4477" s="1" t="str">
        <f>"2022-1032"</f>
        <v>2022-1032</v>
      </c>
      <c r="C4477" s="1" t="s">
        <v>2332</v>
      </c>
      <c r="D4477" s="1" t="s">
        <v>2333</v>
      </c>
      <c r="E4477" s="1" t="str">
        <f>""</f>
        <v/>
      </c>
      <c r="F4477" s="1" t="s">
        <v>1860</v>
      </c>
      <c r="G4477" s="1" t="str">
        <f>CONCATENATE(" POSLOVNA INTELIGENCIJA D.O.O.,"," STUBIČKA 50B,"," 10000 ZAGREB,"," OIB: 65570189449")</f>
        <v xml:space="preserve"> POSLOVNA INTELIGENCIJA D.O.O., STUBIČKA 50B, 10000 ZAGREB, OIB: 65570189449</v>
      </c>
      <c r="H4477" s="7"/>
      <c r="I4477" s="8" t="s">
        <v>240</v>
      </c>
      <c r="J4477" s="8" t="s">
        <v>2196</v>
      </c>
      <c r="K4477" s="6" t="str">
        <f>"39.700,00"</f>
        <v>39.700,00</v>
      </c>
      <c r="L4477" s="6" t="str">
        <f>"9.925,00"</f>
        <v>9.925,00</v>
      </c>
      <c r="M4477" s="6" t="str">
        <f>"49.625,00"</f>
        <v>49.625,00</v>
      </c>
      <c r="N4477" s="8" t="s">
        <v>124</v>
      </c>
      <c r="O4477" s="7"/>
      <c r="P4477" s="2" t="s">
        <v>5614</v>
      </c>
      <c r="Q4477" s="7"/>
      <c r="R4477" s="1"/>
      <c r="S4477" s="1" t="str">
        <f>"J-UN-2022-1241"</f>
        <v>J-UN-2022-1241</v>
      </c>
      <c r="T4477" s="1" t="s">
        <v>32</v>
      </c>
    </row>
    <row r="4478" spans="1:20" ht="51" x14ac:dyDescent="0.25">
      <c r="A4478" s="6">
        <v>4472</v>
      </c>
      <c r="B4478" s="1" t="str">
        <f>"2022-970"</f>
        <v>2022-970</v>
      </c>
      <c r="C4478" s="1" t="s">
        <v>2857</v>
      </c>
      <c r="D4478" s="1" t="s">
        <v>1373</v>
      </c>
      <c r="E4478" s="1" t="str">
        <f>""</f>
        <v/>
      </c>
      <c r="F4478" s="1" t="s">
        <v>1860</v>
      </c>
      <c r="G4478" s="1" t="str">
        <f>CONCATENATE(" NIVETO D.O.O.,"," DRAGUTINA MANDLA 1,"," 10000 ZAGREB,"," OIB: 46572491389")</f>
        <v xml:space="preserve"> NIVETO D.O.O., DRAGUTINA MANDLA 1, 10000 ZAGREB, OIB: 46572491389</v>
      </c>
      <c r="H4478" s="7"/>
      <c r="I4478" s="8" t="s">
        <v>1155</v>
      </c>
      <c r="J4478" s="8" t="s">
        <v>3168</v>
      </c>
      <c r="K4478" s="6" t="str">
        <f>"80.457,00"</f>
        <v>80.457,00</v>
      </c>
      <c r="L4478" s="6" t="str">
        <f>"20.114,25"</f>
        <v>20.114,25</v>
      </c>
      <c r="M4478" s="6" t="str">
        <f>"100.571,25"</f>
        <v>100.571,25</v>
      </c>
      <c r="N4478" s="8" t="s">
        <v>124</v>
      </c>
      <c r="O4478" s="7"/>
      <c r="P4478" s="2" t="s">
        <v>8265</v>
      </c>
      <c r="Q4478" s="7"/>
      <c r="R4478" s="1"/>
      <c r="S4478" s="1" t="str">
        <f>"J-UN-2022-1242"</f>
        <v>J-UN-2022-1242</v>
      </c>
      <c r="T4478" s="1" t="s">
        <v>32</v>
      </c>
    </row>
    <row r="4479" spans="1:20" ht="76.5" x14ac:dyDescent="0.25">
      <c r="A4479" s="6">
        <v>4473</v>
      </c>
      <c r="B4479" s="1" t="str">
        <f>"2022-1247"</f>
        <v>2022-1247</v>
      </c>
      <c r="C4479" s="1" t="s">
        <v>3107</v>
      </c>
      <c r="D4479" s="1" t="s">
        <v>3108</v>
      </c>
      <c r="E4479" s="1" t="str">
        <f>""</f>
        <v/>
      </c>
      <c r="F4479" s="1" t="s">
        <v>1860</v>
      </c>
      <c r="G4479" s="1" t="str">
        <f>CONCATENATE(" NI-NA DIGITAL SOLUTIONS D.O.O.,"," ULICA HERMANA BUŽANA 10B,"," 10000 ZAGREB,"," OIB: 83778913358")</f>
        <v xml:space="preserve"> NI-NA DIGITAL SOLUTIONS D.O.O., ULICA HERMANA BUŽANA 10B, 10000 ZAGREB, OIB: 83778913358</v>
      </c>
      <c r="H4479" s="7"/>
      <c r="I4479" s="8" t="s">
        <v>524</v>
      </c>
      <c r="J4479" s="8" t="s">
        <v>894</v>
      </c>
      <c r="K4479" s="6" t="str">
        <f>"144.150,00"</f>
        <v>144.150,00</v>
      </c>
      <c r="L4479" s="6" t="str">
        <f>"36.037,50"</f>
        <v>36.037,50</v>
      </c>
      <c r="M4479" s="6" t="str">
        <f>"180.187,50"</f>
        <v>180.187,50</v>
      </c>
      <c r="N4479" s="8" t="s">
        <v>124</v>
      </c>
      <c r="O4479" s="7"/>
      <c r="P4479" s="2" t="s">
        <v>5614</v>
      </c>
      <c r="Q4479" s="7"/>
      <c r="R4479" s="1"/>
      <c r="S4479" s="1" t="str">
        <f>"J-UN-2022-1254"</f>
        <v>J-UN-2022-1254</v>
      </c>
      <c r="T4479" s="1" t="s">
        <v>32</v>
      </c>
    </row>
    <row r="4480" spans="1:20" ht="51" x14ac:dyDescent="0.25">
      <c r="A4480" s="6">
        <v>4474</v>
      </c>
      <c r="B4480" s="1" t="str">
        <f>"2022-40"</f>
        <v>2022-40</v>
      </c>
      <c r="C4480" s="1" t="s">
        <v>2317</v>
      </c>
      <c r="D4480" s="1" t="s">
        <v>837</v>
      </c>
      <c r="E4480" s="1" t="str">
        <f>""</f>
        <v/>
      </c>
      <c r="F4480" s="1" t="s">
        <v>1860</v>
      </c>
      <c r="G4480" s="1" t="str">
        <f>CONCATENATE(" VRUTAK D.O.O.,"," VODOVODNA 20A,"," 10000 ZAGREB,"," OIB: 9509288893")</f>
        <v xml:space="preserve"> VRUTAK D.O.O., VODOVODNA 20A, 10000 ZAGREB, OIB: 9509288893</v>
      </c>
      <c r="H4480" s="7"/>
      <c r="I4480" s="8" t="s">
        <v>524</v>
      </c>
      <c r="J4480" s="8" t="s">
        <v>894</v>
      </c>
      <c r="K4480" s="6" t="str">
        <f>"2.541,96"</f>
        <v>2.541,96</v>
      </c>
      <c r="L4480" s="6" t="str">
        <f>"635,49"</f>
        <v>635,49</v>
      </c>
      <c r="M4480" s="6" t="str">
        <f>"3.177,45"</f>
        <v>3.177,45</v>
      </c>
      <c r="N4480" s="8" t="s">
        <v>124</v>
      </c>
      <c r="O4480" s="7"/>
      <c r="P4480" s="2" t="s">
        <v>5614</v>
      </c>
      <c r="Q4480" s="7"/>
      <c r="R4480" s="1"/>
      <c r="S4480" s="1" t="str">
        <f>"J-UN-2022-1257"</f>
        <v>J-UN-2022-1257</v>
      </c>
      <c r="T4480" s="1" t="s">
        <v>32</v>
      </c>
    </row>
    <row r="4481" spans="1:20" ht="51" x14ac:dyDescent="0.25">
      <c r="A4481" s="6">
        <v>4475</v>
      </c>
      <c r="B4481" s="1" t="str">
        <f>"2022-535"</f>
        <v>2022-535</v>
      </c>
      <c r="C4481" s="1" t="s">
        <v>2561</v>
      </c>
      <c r="D4481" s="1" t="s">
        <v>2156</v>
      </c>
      <c r="E4481" s="1" t="str">
        <f>""</f>
        <v/>
      </c>
      <c r="F4481" s="1" t="s">
        <v>1860</v>
      </c>
      <c r="G4481" s="1" t="str">
        <f>CONCATENATE(" LINKS D.O.O.,"," LJUBLJANSKA ULICA 2A,"," 10431 SVETA NEDJELJA,"," OIB: 32614011568")</f>
        <v xml:space="preserve"> LINKS D.O.O., LJUBLJANSKA ULICA 2A, 10431 SVETA NEDJELJA, OIB: 32614011568</v>
      </c>
      <c r="H4481" s="7"/>
      <c r="I4481" s="8" t="s">
        <v>524</v>
      </c>
      <c r="J4481" s="8" t="s">
        <v>894</v>
      </c>
      <c r="K4481" s="6" t="str">
        <f>"2.361,44"</f>
        <v>2.361,44</v>
      </c>
      <c r="L4481" s="6" t="str">
        <f>"590,36"</f>
        <v>590,36</v>
      </c>
      <c r="M4481" s="6" t="str">
        <f>"2.951,80"</f>
        <v>2.951,80</v>
      </c>
      <c r="N4481" s="8" t="s">
        <v>124</v>
      </c>
      <c r="O4481" s="7"/>
      <c r="P4481" s="2" t="s">
        <v>5614</v>
      </c>
      <c r="Q4481" s="7"/>
      <c r="R4481" s="1"/>
      <c r="S4481" s="1" t="str">
        <f>"J-UN-2022-1260"</f>
        <v>J-UN-2022-1260</v>
      </c>
      <c r="T4481" s="1" t="s">
        <v>32</v>
      </c>
    </row>
    <row r="4482" spans="1:20" ht="51" x14ac:dyDescent="0.25">
      <c r="A4482" s="6">
        <v>4476</v>
      </c>
      <c r="B4482" s="1" t="str">
        <f>"2022-213"</f>
        <v>2022-213</v>
      </c>
      <c r="C4482" s="1" t="s">
        <v>2672</v>
      </c>
      <c r="D4482" s="1" t="s">
        <v>2673</v>
      </c>
      <c r="E4482" s="1" t="str">
        <f>""</f>
        <v/>
      </c>
      <c r="F4482" s="1" t="s">
        <v>1860</v>
      </c>
      <c r="G4482" s="1" t="str">
        <f>CONCATENATE(" LIBERTIN NAKLADA D.O.O.,"," FRANA SUPILA 11,"," 51000 RIJEKA,"," OIB: 9473793778")</f>
        <v xml:space="preserve"> LIBERTIN NAKLADA D.O.O., FRANA SUPILA 11, 51000 RIJEKA, OIB: 9473793778</v>
      </c>
      <c r="H4482" s="7"/>
      <c r="I4482" s="8" t="s">
        <v>524</v>
      </c>
      <c r="J4482" s="8" t="s">
        <v>894</v>
      </c>
      <c r="K4482" s="6" t="str">
        <f>"1.814,40"</f>
        <v>1.814,40</v>
      </c>
      <c r="L4482" s="6" t="str">
        <f>"453,60"</f>
        <v>453,60</v>
      </c>
      <c r="M4482" s="6" t="str">
        <f>"2.268,00"</f>
        <v>2.268,00</v>
      </c>
      <c r="N4482" s="8" t="s">
        <v>402</v>
      </c>
      <c r="O4482" s="7"/>
      <c r="P4482" s="2" t="s">
        <v>8266</v>
      </c>
      <c r="Q4482" s="7"/>
      <c r="R4482" s="1"/>
      <c r="S4482" s="1" t="str">
        <f>"J-UN-2022-1261"</f>
        <v>J-UN-2022-1261</v>
      </c>
      <c r="T4482" s="1" t="s">
        <v>32</v>
      </c>
    </row>
    <row r="4483" spans="1:20" ht="51" x14ac:dyDescent="0.25">
      <c r="A4483" s="6">
        <v>4477</v>
      </c>
      <c r="B4483" s="1" t="str">
        <f>"2022-1816"</f>
        <v>2022-1816</v>
      </c>
      <c r="C4483" s="1" t="s">
        <v>3137</v>
      </c>
      <c r="D4483" s="1" t="s">
        <v>3138</v>
      </c>
      <c r="E4483" s="1" t="str">
        <f>""</f>
        <v/>
      </c>
      <c r="F4483" s="1" t="s">
        <v>1860</v>
      </c>
      <c r="G4483" s="1" t="str">
        <f>CONCATENATE(" ART MATERIJAL D.O.O.,"," TRAKOŠČANSKA 17,"," 10000 ZAGREB,"," OIB: 637011536")</f>
        <v xml:space="preserve"> ART MATERIJAL D.O.O., TRAKOŠČANSKA 17, 10000 ZAGREB, OIB: 637011536</v>
      </c>
      <c r="H4483" s="7"/>
      <c r="I4483" s="8" t="s">
        <v>939</v>
      </c>
      <c r="J4483" s="8" t="s">
        <v>1813</v>
      </c>
      <c r="K4483" s="6" t="str">
        <f>"55.455,24"</f>
        <v>55.455,24</v>
      </c>
      <c r="L4483" s="6" t="str">
        <f>"13.863,81"</f>
        <v>13.863,81</v>
      </c>
      <c r="M4483" s="6" t="str">
        <f>"69.319,05"</f>
        <v>69.319,05</v>
      </c>
      <c r="N4483" s="8" t="s">
        <v>208</v>
      </c>
      <c r="O4483" s="7"/>
      <c r="P4483" s="2" t="s">
        <v>8267</v>
      </c>
      <c r="Q4483" s="7"/>
      <c r="R4483" s="1"/>
      <c r="S4483" s="1" t="str">
        <f>"J-UN-2022-1282"</f>
        <v>J-UN-2022-1282</v>
      </c>
      <c r="T4483" s="1" t="s">
        <v>32</v>
      </c>
    </row>
    <row r="4484" spans="1:20" ht="38.25" x14ac:dyDescent="0.25">
      <c r="A4484" s="6">
        <v>4478</v>
      </c>
      <c r="B4484" s="1" t="str">
        <f>"2022-698"</f>
        <v>2022-698</v>
      </c>
      <c r="C4484" s="1" t="s">
        <v>2565</v>
      </c>
      <c r="D4484" s="1" t="s">
        <v>1833</v>
      </c>
      <c r="E4484" s="1" t="str">
        <f>""</f>
        <v/>
      </c>
      <c r="F4484" s="1" t="s">
        <v>1860</v>
      </c>
      <c r="G4484" s="1" t="str">
        <f>CONCATENATE(" R-PIM D.O.O.,"," ,"," OIB: 38514700472")</f>
        <v xml:space="preserve"> R-PIM D.O.O., , OIB: 38514700472</v>
      </c>
      <c r="H4484" s="7"/>
      <c r="I4484" s="8" t="s">
        <v>955</v>
      </c>
      <c r="J4484" s="8" t="s">
        <v>3188</v>
      </c>
      <c r="K4484" s="6" t="str">
        <f>"1.340,00"</f>
        <v>1.340,00</v>
      </c>
      <c r="L4484" s="6" t="str">
        <f>"335,00"</f>
        <v>335,00</v>
      </c>
      <c r="M4484" s="6" t="str">
        <f>"1.675,00"</f>
        <v>1.675,00</v>
      </c>
      <c r="N4484" s="8" t="s">
        <v>428</v>
      </c>
      <c r="O4484" s="7"/>
      <c r="P4484" s="2" t="s">
        <v>7675</v>
      </c>
      <c r="Q4484" s="7"/>
      <c r="R4484" s="1"/>
      <c r="S4484" s="1" t="str">
        <f>"J-UN-2022-1283"</f>
        <v>J-UN-2022-1283</v>
      </c>
      <c r="T4484" s="1" t="s">
        <v>32</v>
      </c>
    </row>
    <row r="4485" spans="1:20" ht="38.25" x14ac:dyDescent="0.25">
      <c r="A4485" s="6">
        <v>4479</v>
      </c>
      <c r="B4485" s="1" t="str">
        <f>"2022-486"</f>
        <v>2022-486</v>
      </c>
      <c r="C4485" s="1" t="s">
        <v>3193</v>
      </c>
      <c r="D4485" s="1" t="s">
        <v>619</v>
      </c>
      <c r="E4485" s="1" t="str">
        <f>""</f>
        <v/>
      </c>
      <c r="F4485" s="1" t="s">
        <v>1860</v>
      </c>
      <c r="G4485" s="1" t="str">
        <f>CONCATENATE(" R-PIM D.O.O.,"," ,"," OIB: 38514700472")</f>
        <v xml:space="preserve"> R-PIM D.O.O., , OIB: 38514700472</v>
      </c>
      <c r="H4485" s="7"/>
      <c r="I4485" s="8" t="s">
        <v>955</v>
      </c>
      <c r="J4485" s="8" t="s">
        <v>3188</v>
      </c>
      <c r="K4485" s="6" t="str">
        <f>"2.582,00"</f>
        <v>2.582,00</v>
      </c>
      <c r="L4485" s="6" t="str">
        <f>"645,50"</f>
        <v>645,50</v>
      </c>
      <c r="M4485" s="6" t="str">
        <f>"3.227,50"</f>
        <v>3.227,50</v>
      </c>
      <c r="N4485" s="8" t="s">
        <v>428</v>
      </c>
      <c r="O4485" s="7"/>
      <c r="P4485" s="2" t="s">
        <v>8268</v>
      </c>
      <c r="Q4485" s="7"/>
      <c r="R4485" s="1"/>
      <c r="S4485" s="1" t="str">
        <f>"J-UN-2022-1284"</f>
        <v>J-UN-2022-1284</v>
      </c>
      <c r="T4485" s="1" t="s">
        <v>32</v>
      </c>
    </row>
    <row r="4486" spans="1:20" ht="63.75" x14ac:dyDescent="0.25">
      <c r="A4486" s="6">
        <v>4480</v>
      </c>
      <c r="B4486" s="1" t="str">
        <f>"2022-1321"</f>
        <v>2022-1321</v>
      </c>
      <c r="C4486" s="1" t="s">
        <v>2987</v>
      </c>
      <c r="D4486" s="1" t="s">
        <v>2988</v>
      </c>
      <c r="E4486" s="1" t="str">
        <f>""</f>
        <v/>
      </c>
      <c r="F4486" s="1" t="s">
        <v>1860</v>
      </c>
      <c r="G4486" s="1" t="str">
        <f t="shared" ref="G4486:G4492" si="227">CONCATENATE(" LANIŠTE D.O.O.,"," ALEXANDERA VON HUMBOLDTA 4B,"," 10000 ZAGREB,"," OIB: 3755384865")</f>
        <v xml:space="preserve"> LANIŠTE D.O.O., ALEXANDERA VON HUMBOLDTA 4B, 10000 ZAGREB, OIB: 3755384865</v>
      </c>
      <c r="H4486" s="7"/>
      <c r="I4486" s="8" t="s">
        <v>955</v>
      </c>
      <c r="J4486" s="8" t="s">
        <v>3188</v>
      </c>
      <c r="K4486" s="6" t="str">
        <f>"4.032,00"</f>
        <v>4.032,00</v>
      </c>
      <c r="L4486" s="6" t="str">
        <f>"1.008,00"</f>
        <v>1.008,00</v>
      </c>
      <c r="M4486" s="6" t="str">
        <f>"5.040,00"</f>
        <v>5.040,00</v>
      </c>
      <c r="N4486" s="8" t="s">
        <v>955</v>
      </c>
      <c r="O4486" s="7"/>
      <c r="P4486" s="2" t="s">
        <v>7919</v>
      </c>
      <c r="Q4486" s="7"/>
      <c r="R4486" s="1"/>
      <c r="S4486" s="1" t="str">
        <f>"J-UN-2022-1285"</f>
        <v>J-UN-2022-1285</v>
      </c>
      <c r="T4486" s="1" t="s">
        <v>32</v>
      </c>
    </row>
    <row r="4487" spans="1:20" ht="63.75" x14ac:dyDescent="0.25">
      <c r="A4487" s="6">
        <v>4481</v>
      </c>
      <c r="B4487" s="1" t="str">
        <f>"2022-1416"</f>
        <v>2022-1416</v>
      </c>
      <c r="C4487" s="1" t="s">
        <v>2991</v>
      </c>
      <c r="D4487" s="1" t="s">
        <v>2992</v>
      </c>
      <c r="E4487" s="1" t="str">
        <f>""</f>
        <v/>
      </c>
      <c r="F4487" s="1" t="s">
        <v>1860</v>
      </c>
      <c r="G4487" s="1" t="str">
        <f t="shared" si="227"/>
        <v xml:space="preserve"> LANIŠTE D.O.O., ALEXANDERA VON HUMBOLDTA 4B, 10000 ZAGREB, OIB: 3755384865</v>
      </c>
      <c r="H4487" s="7"/>
      <c r="I4487" s="8" t="s">
        <v>955</v>
      </c>
      <c r="J4487" s="8" t="s">
        <v>3188</v>
      </c>
      <c r="K4487" s="6" t="str">
        <f>"3.636,00"</f>
        <v>3.636,00</v>
      </c>
      <c r="L4487" s="6" t="str">
        <f>"909,00"</f>
        <v>909,00</v>
      </c>
      <c r="M4487" s="6" t="str">
        <f>"4.545,00"</f>
        <v>4.545,00</v>
      </c>
      <c r="N4487" s="8" t="s">
        <v>955</v>
      </c>
      <c r="O4487" s="7"/>
      <c r="P4487" s="2" t="s">
        <v>7917</v>
      </c>
      <c r="Q4487" s="7"/>
      <c r="R4487" s="1"/>
      <c r="S4487" s="1" t="str">
        <f>"J-UN-2022-1286"</f>
        <v>J-UN-2022-1286</v>
      </c>
      <c r="T4487" s="1" t="s">
        <v>32</v>
      </c>
    </row>
    <row r="4488" spans="1:20" ht="63.75" x14ac:dyDescent="0.25">
      <c r="A4488" s="6">
        <v>4482</v>
      </c>
      <c r="B4488" s="1" t="str">
        <f>"2022-1429"</f>
        <v>2022-1429</v>
      </c>
      <c r="C4488" s="1" t="s">
        <v>2984</v>
      </c>
      <c r="D4488" s="1" t="s">
        <v>2985</v>
      </c>
      <c r="E4488" s="1" t="str">
        <f>""</f>
        <v/>
      </c>
      <c r="F4488" s="1" t="s">
        <v>1860</v>
      </c>
      <c r="G4488" s="1" t="str">
        <f t="shared" si="227"/>
        <v xml:space="preserve"> LANIŠTE D.O.O., ALEXANDERA VON HUMBOLDTA 4B, 10000 ZAGREB, OIB: 3755384865</v>
      </c>
      <c r="H4488" s="7"/>
      <c r="I4488" s="8" t="s">
        <v>955</v>
      </c>
      <c r="J4488" s="8" t="s">
        <v>3188</v>
      </c>
      <c r="K4488" s="6" t="str">
        <f>"4.032,00"</f>
        <v>4.032,00</v>
      </c>
      <c r="L4488" s="6" t="str">
        <f>"1.008,00"</f>
        <v>1.008,00</v>
      </c>
      <c r="M4488" s="6" t="str">
        <f>"5.040,00"</f>
        <v>5.040,00</v>
      </c>
      <c r="N4488" s="8" t="s">
        <v>955</v>
      </c>
      <c r="O4488" s="7"/>
      <c r="P4488" s="2" t="s">
        <v>7919</v>
      </c>
      <c r="Q4488" s="7"/>
      <c r="R4488" s="1"/>
      <c r="S4488" s="1" t="str">
        <f>"J-UN-2022-1287"</f>
        <v>J-UN-2022-1287</v>
      </c>
      <c r="T4488" s="1" t="s">
        <v>32</v>
      </c>
    </row>
    <row r="4489" spans="1:20" ht="63.75" x14ac:dyDescent="0.25">
      <c r="A4489" s="6">
        <v>4483</v>
      </c>
      <c r="B4489" s="1" t="str">
        <f>"2022-1430"</f>
        <v>2022-1430</v>
      </c>
      <c r="C4489" s="1" t="s">
        <v>2986</v>
      </c>
      <c r="D4489" s="1" t="s">
        <v>2985</v>
      </c>
      <c r="E4489" s="1" t="str">
        <f>""</f>
        <v/>
      </c>
      <c r="F4489" s="1" t="s">
        <v>1860</v>
      </c>
      <c r="G4489" s="1" t="str">
        <f t="shared" si="227"/>
        <v xml:space="preserve"> LANIŠTE D.O.O., ALEXANDERA VON HUMBOLDTA 4B, 10000 ZAGREB, OIB: 3755384865</v>
      </c>
      <c r="H4489" s="7"/>
      <c r="I4489" s="8" t="s">
        <v>955</v>
      </c>
      <c r="J4489" s="8" t="s">
        <v>3188</v>
      </c>
      <c r="K4489" s="6" t="str">
        <f>"4.032,00"</f>
        <v>4.032,00</v>
      </c>
      <c r="L4489" s="6" t="str">
        <f>"1.008,00"</f>
        <v>1.008,00</v>
      </c>
      <c r="M4489" s="6" t="str">
        <f>"5.040,00"</f>
        <v>5.040,00</v>
      </c>
      <c r="N4489" s="8" t="s">
        <v>955</v>
      </c>
      <c r="O4489" s="7"/>
      <c r="P4489" s="2" t="s">
        <v>7919</v>
      </c>
      <c r="Q4489" s="7"/>
      <c r="R4489" s="1"/>
      <c r="S4489" s="1" t="str">
        <f>"J-UN-2022-1288"</f>
        <v>J-UN-2022-1288</v>
      </c>
      <c r="T4489" s="1" t="s">
        <v>32</v>
      </c>
    </row>
    <row r="4490" spans="1:20" ht="63.75" x14ac:dyDescent="0.25">
      <c r="A4490" s="6">
        <v>4484</v>
      </c>
      <c r="B4490" s="1" t="str">
        <f>"2022-1321"</f>
        <v>2022-1321</v>
      </c>
      <c r="C4490" s="1" t="s">
        <v>2987</v>
      </c>
      <c r="D4490" s="1" t="s">
        <v>2988</v>
      </c>
      <c r="E4490" s="1" t="str">
        <f>""</f>
        <v/>
      </c>
      <c r="F4490" s="1" t="s">
        <v>1860</v>
      </c>
      <c r="G4490" s="1" t="str">
        <f t="shared" si="227"/>
        <v xml:space="preserve"> LANIŠTE D.O.O., ALEXANDERA VON HUMBOLDTA 4B, 10000 ZAGREB, OIB: 3755384865</v>
      </c>
      <c r="H4490" s="7"/>
      <c r="I4490" s="8" t="s">
        <v>955</v>
      </c>
      <c r="J4490" s="8" t="s">
        <v>3188</v>
      </c>
      <c r="K4490" s="6" t="str">
        <f>"4.032,00"</f>
        <v>4.032,00</v>
      </c>
      <c r="L4490" s="6" t="str">
        <f>"1.008,00"</f>
        <v>1.008,00</v>
      </c>
      <c r="M4490" s="6" t="str">
        <f>"5.040,00"</f>
        <v>5.040,00</v>
      </c>
      <c r="N4490" s="8" t="s">
        <v>955</v>
      </c>
      <c r="O4490" s="7"/>
      <c r="P4490" s="2" t="s">
        <v>7919</v>
      </c>
      <c r="Q4490" s="7"/>
      <c r="R4490" s="1"/>
      <c r="S4490" s="1" t="str">
        <f>"J-UN-2022-1289"</f>
        <v>J-UN-2022-1289</v>
      </c>
      <c r="T4490" s="1" t="s">
        <v>32</v>
      </c>
    </row>
    <row r="4491" spans="1:20" ht="63.75" x14ac:dyDescent="0.25">
      <c r="A4491" s="6">
        <v>4485</v>
      </c>
      <c r="B4491" s="1" t="str">
        <f>"2022-1289"</f>
        <v>2022-1289</v>
      </c>
      <c r="C4491" s="1" t="s">
        <v>2993</v>
      </c>
      <c r="D4491" s="1" t="s">
        <v>2994</v>
      </c>
      <c r="E4491" s="1" t="str">
        <f>""</f>
        <v/>
      </c>
      <c r="F4491" s="1" t="s">
        <v>1860</v>
      </c>
      <c r="G4491" s="1" t="str">
        <f t="shared" si="227"/>
        <v xml:space="preserve"> LANIŠTE D.O.O., ALEXANDERA VON HUMBOLDTA 4B, 10000 ZAGREB, OIB: 3755384865</v>
      </c>
      <c r="H4491" s="7"/>
      <c r="I4491" s="8" t="s">
        <v>955</v>
      </c>
      <c r="J4491" s="8" t="s">
        <v>3188</v>
      </c>
      <c r="K4491" s="6" t="str">
        <f>"3.632,00"</f>
        <v>3.632,00</v>
      </c>
      <c r="L4491" s="6" t="str">
        <f>"908,00"</f>
        <v>908,00</v>
      </c>
      <c r="M4491" s="6" t="str">
        <f>"4.540,00"</f>
        <v>4.540,00</v>
      </c>
      <c r="N4491" s="8" t="s">
        <v>955</v>
      </c>
      <c r="O4491" s="7"/>
      <c r="P4491" s="2" t="s">
        <v>7918</v>
      </c>
      <c r="Q4491" s="7"/>
      <c r="R4491" s="1"/>
      <c r="S4491" s="1" t="str">
        <f>"J-UN-2022-1290"</f>
        <v>J-UN-2022-1290</v>
      </c>
      <c r="T4491" s="1" t="s">
        <v>32</v>
      </c>
    </row>
    <row r="4492" spans="1:20" ht="63.75" x14ac:dyDescent="0.25">
      <c r="A4492" s="6">
        <v>4486</v>
      </c>
      <c r="B4492" s="1" t="str">
        <f>"2022-1291"</f>
        <v>2022-1291</v>
      </c>
      <c r="C4492" s="1" t="s">
        <v>2989</v>
      </c>
      <c r="D4492" s="1" t="s">
        <v>2990</v>
      </c>
      <c r="E4492" s="1" t="str">
        <f>""</f>
        <v/>
      </c>
      <c r="F4492" s="1" t="s">
        <v>1860</v>
      </c>
      <c r="G4492" s="1" t="str">
        <f t="shared" si="227"/>
        <v xml:space="preserve"> LANIŠTE D.O.O., ALEXANDERA VON HUMBOLDTA 4B, 10000 ZAGREB, OIB: 3755384865</v>
      </c>
      <c r="H4492" s="7"/>
      <c r="I4492" s="8" t="s">
        <v>939</v>
      </c>
      <c r="J4492" s="8" t="s">
        <v>1813</v>
      </c>
      <c r="K4492" s="6" t="str">
        <f>"3.636,00"</f>
        <v>3.636,00</v>
      </c>
      <c r="L4492" s="6" t="str">
        <f>"909,00"</f>
        <v>909,00</v>
      </c>
      <c r="M4492" s="6" t="str">
        <f>"4.545,00"</f>
        <v>4.545,00</v>
      </c>
      <c r="N4492" s="8" t="s">
        <v>955</v>
      </c>
      <c r="O4492" s="7"/>
      <c r="P4492" s="2" t="s">
        <v>7917</v>
      </c>
      <c r="Q4492" s="7"/>
      <c r="R4492" s="1"/>
      <c r="S4492" s="1" t="str">
        <f>"J-UN-2022-1291"</f>
        <v>J-UN-2022-1291</v>
      </c>
      <c r="T4492" s="1" t="s">
        <v>32</v>
      </c>
    </row>
    <row r="4493" spans="1:20" ht="51" x14ac:dyDescent="0.25">
      <c r="A4493" s="6">
        <v>4487</v>
      </c>
      <c r="B4493" s="1" t="str">
        <f>"2022-966"</f>
        <v>2022-966</v>
      </c>
      <c r="C4493" s="1" t="s">
        <v>2815</v>
      </c>
      <c r="D4493" s="1" t="s">
        <v>1373</v>
      </c>
      <c r="E4493" s="1" t="str">
        <f>""</f>
        <v/>
      </c>
      <c r="F4493" s="1" t="s">
        <v>1860</v>
      </c>
      <c r="G4493" s="1" t="str">
        <f>CONCATENATE(" E. K. ENERGIJA D.O.O.,"," KUKULJANOVO 385,"," 51227 KUKULJANOVO,"," OIB: 63606595933")</f>
        <v xml:space="preserve"> E. K. ENERGIJA D.O.O., KUKULJANOVO 385, 51227 KUKULJANOVO, OIB: 63606595933</v>
      </c>
      <c r="H4493" s="7"/>
      <c r="I4493" s="8" t="s">
        <v>939</v>
      </c>
      <c r="J4493" s="8" t="s">
        <v>1813</v>
      </c>
      <c r="K4493" s="6" t="str">
        <f>"4.786,00"</f>
        <v>4.786,00</v>
      </c>
      <c r="L4493" s="6" t="str">
        <f>"1.196,50"</f>
        <v>1.196,50</v>
      </c>
      <c r="M4493" s="6" t="str">
        <f>"5.982,50"</f>
        <v>5.982,50</v>
      </c>
      <c r="N4493" s="8" t="s">
        <v>124</v>
      </c>
      <c r="O4493" s="7"/>
      <c r="P4493" s="2" t="s">
        <v>7302</v>
      </c>
      <c r="Q4493" s="7"/>
      <c r="R4493" s="1"/>
      <c r="S4493" s="1" t="str">
        <f>"J-UN-2022-1293"</f>
        <v>J-UN-2022-1293</v>
      </c>
      <c r="T4493" s="1" t="s">
        <v>32</v>
      </c>
    </row>
    <row r="4494" spans="1:20" ht="63.75" x14ac:dyDescent="0.25">
      <c r="A4494" s="6">
        <v>4488</v>
      </c>
      <c r="B4494" s="1" t="str">
        <f>"2022-1416"</f>
        <v>2022-1416</v>
      </c>
      <c r="C4494" s="1" t="s">
        <v>2991</v>
      </c>
      <c r="D4494" s="1" t="s">
        <v>2992</v>
      </c>
      <c r="E4494" s="1" t="str">
        <f>""</f>
        <v/>
      </c>
      <c r="F4494" s="1" t="s">
        <v>1860</v>
      </c>
      <c r="G4494" s="1" t="str">
        <f t="shared" ref="G4494:G4499" si="228">CONCATENATE(" LANIŠTE D.O.O.,"," ALEXANDERA VON HUMBOLDTA 4B,"," 10000 ZAGREB,"," OIB: 3755384865")</f>
        <v xml:space="preserve"> LANIŠTE D.O.O., ALEXANDERA VON HUMBOLDTA 4B, 10000 ZAGREB, OIB: 3755384865</v>
      </c>
      <c r="H4494" s="7"/>
      <c r="I4494" s="8" t="s">
        <v>939</v>
      </c>
      <c r="J4494" s="8" t="s">
        <v>1813</v>
      </c>
      <c r="K4494" s="6" t="str">
        <f>"3.636,00"</f>
        <v>3.636,00</v>
      </c>
      <c r="L4494" s="6" t="str">
        <f>"909,00"</f>
        <v>909,00</v>
      </c>
      <c r="M4494" s="6" t="str">
        <f>"4.545,00"</f>
        <v>4.545,00</v>
      </c>
      <c r="N4494" s="8" t="s">
        <v>955</v>
      </c>
      <c r="O4494" s="7"/>
      <c r="P4494" s="2" t="s">
        <v>7917</v>
      </c>
      <c r="Q4494" s="7"/>
      <c r="R4494" s="1"/>
      <c r="S4494" s="1" t="str">
        <f>"J-UN-2022-1294"</f>
        <v>J-UN-2022-1294</v>
      </c>
      <c r="T4494" s="1" t="s">
        <v>32</v>
      </c>
    </row>
    <row r="4495" spans="1:20" ht="63.75" x14ac:dyDescent="0.25">
      <c r="A4495" s="6">
        <v>4489</v>
      </c>
      <c r="B4495" s="1" t="str">
        <f>"2022-1429"</f>
        <v>2022-1429</v>
      </c>
      <c r="C4495" s="1" t="s">
        <v>2984</v>
      </c>
      <c r="D4495" s="1" t="s">
        <v>2985</v>
      </c>
      <c r="E4495" s="1" t="str">
        <f>""</f>
        <v/>
      </c>
      <c r="F4495" s="1" t="s">
        <v>1860</v>
      </c>
      <c r="G4495" s="1" t="str">
        <f t="shared" si="228"/>
        <v xml:space="preserve"> LANIŠTE D.O.O., ALEXANDERA VON HUMBOLDTA 4B, 10000 ZAGREB, OIB: 3755384865</v>
      </c>
      <c r="H4495" s="7"/>
      <c r="I4495" s="8" t="s">
        <v>939</v>
      </c>
      <c r="J4495" s="8" t="s">
        <v>1813</v>
      </c>
      <c r="K4495" s="6" t="str">
        <f>"4.032,00"</f>
        <v>4.032,00</v>
      </c>
      <c r="L4495" s="6" t="str">
        <f>"1.008,00"</f>
        <v>1.008,00</v>
      </c>
      <c r="M4495" s="6" t="str">
        <f>"5.040,00"</f>
        <v>5.040,00</v>
      </c>
      <c r="N4495" s="8" t="s">
        <v>955</v>
      </c>
      <c r="O4495" s="7"/>
      <c r="P4495" s="2" t="s">
        <v>7919</v>
      </c>
      <c r="Q4495" s="7"/>
      <c r="R4495" s="1"/>
      <c r="S4495" s="1" t="str">
        <f>"J-UN-2022-1295"</f>
        <v>J-UN-2022-1295</v>
      </c>
      <c r="T4495" s="1" t="s">
        <v>32</v>
      </c>
    </row>
    <row r="4496" spans="1:20" ht="63.75" x14ac:dyDescent="0.25">
      <c r="A4496" s="6">
        <v>4490</v>
      </c>
      <c r="B4496" s="1" t="str">
        <f>"2022-1430"</f>
        <v>2022-1430</v>
      </c>
      <c r="C4496" s="1" t="s">
        <v>2986</v>
      </c>
      <c r="D4496" s="1" t="s">
        <v>2985</v>
      </c>
      <c r="E4496" s="1" t="str">
        <f>""</f>
        <v/>
      </c>
      <c r="F4496" s="1" t="s">
        <v>1860</v>
      </c>
      <c r="G4496" s="1" t="str">
        <f t="shared" si="228"/>
        <v xml:space="preserve"> LANIŠTE D.O.O., ALEXANDERA VON HUMBOLDTA 4B, 10000 ZAGREB, OIB: 3755384865</v>
      </c>
      <c r="H4496" s="7"/>
      <c r="I4496" s="8" t="s">
        <v>939</v>
      </c>
      <c r="J4496" s="8" t="s">
        <v>1813</v>
      </c>
      <c r="K4496" s="6" t="str">
        <f>"4.032,00"</f>
        <v>4.032,00</v>
      </c>
      <c r="L4496" s="6" t="str">
        <f>"1.008,00"</f>
        <v>1.008,00</v>
      </c>
      <c r="M4496" s="6" t="str">
        <f>"5.040,00"</f>
        <v>5.040,00</v>
      </c>
      <c r="N4496" s="8" t="s">
        <v>955</v>
      </c>
      <c r="O4496" s="7"/>
      <c r="P4496" s="2" t="s">
        <v>7919</v>
      </c>
      <c r="Q4496" s="7"/>
      <c r="R4496" s="1"/>
      <c r="S4496" s="1" t="str">
        <f>"J-UN-2022-1296"</f>
        <v>J-UN-2022-1296</v>
      </c>
      <c r="T4496" s="1" t="s">
        <v>32</v>
      </c>
    </row>
    <row r="4497" spans="1:20" ht="63.75" x14ac:dyDescent="0.25">
      <c r="A4497" s="6">
        <v>4491</v>
      </c>
      <c r="B4497" s="1" t="str">
        <f>"2022-1321"</f>
        <v>2022-1321</v>
      </c>
      <c r="C4497" s="1" t="s">
        <v>2987</v>
      </c>
      <c r="D4497" s="1" t="s">
        <v>2988</v>
      </c>
      <c r="E4497" s="1" t="str">
        <f>""</f>
        <v/>
      </c>
      <c r="F4497" s="1" t="s">
        <v>1860</v>
      </c>
      <c r="G4497" s="1" t="str">
        <f t="shared" si="228"/>
        <v xml:space="preserve"> LANIŠTE D.O.O., ALEXANDERA VON HUMBOLDTA 4B, 10000 ZAGREB, OIB: 3755384865</v>
      </c>
      <c r="H4497" s="7"/>
      <c r="I4497" s="8" t="s">
        <v>939</v>
      </c>
      <c r="J4497" s="8" t="s">
        <v>1813</v>
      </c>
      <c r="K4497" s="6" t="str">
        <f>"4.032,00"</f>
        <v>4.032,00</v>
      </c>
      <c r="L4497" s="6" t="str">
        <f>"1.008,00"</f>
        <v>1.008,00</v>
      </c>
      <c r="M4497" s="6" t="str">
        <f>"5.040,00"</f>
        <v>5.040,00</v>
      </c>
      <c r="N4497" s="8" t="s">
        <v>955</v>
      </c>
      <c r="O4497" s="7"/>
      <c r="P4497" s="2" t="s">
        <v>7919</v>
      </c>
      <c r="Q4497" s="7"/>
      <c r="R4497" s="1"/>
      <c r="S4497" s="1" t="str">
        <f>"J-UN-2022-1297"</f>
        <v>J-UN-2022-1297</v>
      </c>
      <c r="T4497" s="1" t="s">
        <v>32</v>
      </c>
    </row>
    <row r="4498" spans="1:20" ht="63.75" x14ac:dyDescent="0.25">
      <c r="A4498" s="6">
        <v>4492</v>
      </c>
      <c r="B4498" s="1" t="str">
        <f>"2022-1289"</f>
        <v>2022-1289</v>
      </c>
      <c r="C4498" s="1" t="s">
        <v>2993</v>
      </c>
      <c r="D4498" s="1" t="s">
        <v>2994</v>
      </c>
      <c r="E4498" s="1" t="str">
        <f>""</f>
        <v/>
      </c>
      <c r="F4498" s="1" t="s">
        <v>1860</v>
      </c>
      <c r="G4498" s="1" t="str">
        <f t="shared" si="228"/>
        <v xml:space="preserve"> LANIŠTE D.O.O., ALEXANDERA VON HUMBOLDTA 4B, 10000 ZAGREB, OIB: 3755384865</v>
      </c>
      <c r="H4498" s="7"/>
      <c r="I4498" s="8" t="s">
        <v>939</v>
      </c>
      <c r="J4498" s="8" t="s">
        <v>1813</v>
      </c>
      <c r="K4498" s="6" t="str">
        <f>"3.632,00"</f>
        <v>3.632,00</v>
      </c>
      <c r="L4498" s="6" t="str">
        <f>"908,00"</f>
        <v>908,00</v>
      </c>
      <c r="M4498" s="6" t="str">
        <f>"4.540,00"</f>
        <v>4.540,00</v>
      </c>
      <c r="N4498" s="8" t="s">
        <v>955</v>
      </c>
      <c r="O4498" s="7"/>
      <c r="P4498" s="2" t="s">
        <v>7918</v>
      </c>
      <c r="Q4498" s="7"/>
      <c r="R4498" s="1"/>
      <c r="S4498" s="1" t="str">
        <f>"J-UN-2022-1298"</f>
        <v>J-UN-2022-1298</v>
      </c>
      <c r="T4498" s="1" t="s">
        <v>32</v>
      </c>
    </row>
    <row r="4499" spans="1:20" ht="63.75" x14ac:dyDescent="0.25">
      <c r="A4499" s="6">
        <v>4493</v>
      </c>
      <c r="B4499" s="1" t="str">
        <f>"2022-1291"</f>
        <v>2022-1291</v>
      </c>
      <c r="C4499" s="1" t="s">
        <v>2989</v>
      </c>
      <c r="D4499" s="1" t="s">
        <v>2990</v>
      </c>
      <c r="E4499" s="1" t="str">
        <f>""</f>
        <v/>
      </c>
      <c r="F4499" s="1" t="s">
        <v>1860</v>
      </c>
      <c r="G4499" s="1" t="str">
        <f t="shared" si="228"/>
        <v xml:space="preserve"> LANIŠTE D.O.O., ALEXANDERA VON HUMBOLDTA 4B, 10000 ZAGREB, OIB: 3755384865</v>
      </c>
      <c r="H4499" s="7"/>
      <c r="I4499" s="8" t="s">
        <v>955</v>
      </c>
      <c r="J4499" s="8" t="s">
        <v>3188</v>
      </c>
      <c r="K4499" s="6" t="str">
        <f>"3.636,00"</f>
        <v>3.636,00</v>
      </c>
      <c r="L4499" s="6" t="str">
        <f>"909,00"</f>
        <v>909,00</v>
      </c>
      <c r="M4499" s="6" t="str">
        <f>"4.545,00"</f>
        <v>4.545,00</v>
      </c>
      <c r="N4499" s="8" t="s">
        <v>955</v>
      </c>
      <c r="O4499" s="7"/>
      <c r="P4499" s="2" t="s">
        <v>7917</v>
      </c>
      <c r="Q4499" s="7"/>
      <c r="R4499" s="1"/>
      <c r="S4499" s="1" t="str">
        <f>"J-UN-2022-1299"</f>
        <v>J-UN-2022-1299</v>
      </c>
      <c r="T4499" s="1" t="s">
        <v>32</v>
      </c>
    </row>
    <row r="4500" spans="1:20" ht="51" x14ac:dyDescent="0.25">
      <c r="A4500" s="6">
        <v>4494</v>
      </c>
      <c r="B4500" s="1" t="str">
        <f>"2022-913"</f>
        <v>2022-913</v>
      </c>
      <c r="C4500" s="1" t="s">
        <v>2879</v>
      </c>
      <c r="D4500" s="1" t="s">
        <v>1007</v>
      </c>
      <c r="E4500" s="1" t="str">
        <f>""</f>
        <v/>
      </c>
      <c r="F4500" s="1" t="s">
        <v>1860</v>
      </c>
      <c r="G4500" s="1" t="str">
        <f>CONCATENATE(" TEHNOPLAM D.O.O.,"," USKOČKA 29,"," 10000 ZAGREB,"," OIB: 95347519849")</f>
        <v xml:space="preserve"> TEHNOPLAM D.O.O., USKOČKA 29, 10000 ZAGREB, OIB: 95347519849</v>
      </c>
      <c r="H4500" s="7"/>
      <c r="I4500" s="8" t="s">
        <v>600</v>
      </c>
      <c r="J4500" s="8" t="s">
        <v>2183</v>
      </c>
      <c r="K4500" s="6" t="str">
        <f>"14.600,00"</f>
        <v>14.600,00</v>
      </c>
      <c r="L4500" s="6" t="str">
        <f>"3.650,00"</f>
        <v>3.650,00</v>
      </c>
      <c r="M4500" s="6" t="str">
        <f>"18.250,00"</f>
        <v>18.250,00</v>
      </c>
      <c r="N4500" s="8" t="s">
        <v>124</v>
      </c>
      <c r="O4500" s="7"/>
      <c r="P4500" s="2" t="s">
        <v>5614</v>
      </c>
      <c r="Q4500" s="7"/>
      <c r="R4500" s="1"/>
      <c r="S4500" s="1" t="str">
        <f>"J-UN-2022-1300"</f>
        <v>J-UN-2022-1300</v>
      </c>
      <c r="T4500" s="1" t="s">
        <v>32</v>
      </c>
    </row>
    <row r="4501" spans="1:20" ht="51" x14ac:dyDescent="0.25">
      <c r="A4501" s="6">
        <v>4495</v>
      </c>
      <c r="B4501" s="1" t="str">
        <f>"2022-602"</f>
        <v>2022-602</v>
      </c>
      <c r="C4501" s="1" t="s">
        <v>2642</v>
      </c>
      <c r="D4501" s="1" t="s">
        <v>1236</v>
      </c>
      <c r="E4501" s="1" t="str">
        <f>""</f>
        <v/>
      </c>
      <c r="F4501" s="1" t="s">
        <v>1860</v>
      </c>
      <c r="G4501" s="1" t="str">
        <f>CONCATENATE(" MEGA MONT D.O.O.,"," POPOVIĆEV PUT 2/D,"," 51211 MATULJI,"," OIB: 64536314217")</f>
        <v xml:space="preserve"> MEGA MONT D.O.O., POPOVIĆEV PUT 2/D, 51211 MATULJI, OIB: 64536314217</v>
      </c>
      <c r="H4501" s="7"/>
      <c r="I4501" s="8" t="s">
        <v>535</v>
      </c>
      <c r="J4501" s="8" t="s">
        <v>1895</v>
      </c>
      <c r="K4501" s="6" t="str">
        <f>"12.016,54"</f>
        <v>12.016,54</v>
      </c>
      <c r="L4501" s="6" t="str">
        <f>"3.004,14"</f>
        <v>3.004,14</v>
      </c>
      <c r="M4501" s="6" t="str">
        <f>"15.020,68"</f>
        <v>15.020,68</v>
      </c>
      <c r="N4501" s="8" t="s">
        <v>124</v>
      </c>
      <c r="O4501" s="7"/>
      <c r="P4501" s="2" t="s">
        <v>5614</v>
      </c>
      <c r="Q4501" s="7"/>
      <c r="R4501" s="1"/>
      <c r="S4501" s="1" t="str">
        <f>"J-UN-2022-1301"</f>
        <v>J-UN-2022-1301</v>
      </c>
      <c r="T4501" s="1" t="s">
        <v>32</v>
      </c>
    </row>
    <row r="4502" spans="1:20" ht="63.75" x14ac:dyDescent="0.25">
      <c r="A4502" s="6">
        <v>4496</v>
      </c>
      <c r="B4502" s="1" t="str">
        <f>"2022-363"</f>
        <v>2022-363</v>
      </c>
      <c r="C4502" s="1" t="s">
        <v>2609</v>
      </c>
      <c r="D4502" s="1" t="s">
        <v>2610</v>
      </c>
      <c r="E4502" s="1" t="str">
        <f>""</f>
        <v/>
      </c>
      <c r="F4502" s="1" t="s">
        <v>1860</v>
      </c>
      <c r="G4502" s="1" t="str">
        <f>CONCATENATE(" HENNLICH D.O.O.,"," STUPNIČKOOBREŠKA 17,"," 10255 GORNJI STUPNIK,"," OIB: 44725135398")</f>
        <v xml:space="preserve"> HENNLICH D.O.O., STUPNIČKOOBREŠKA 17, 10255 GORNJI STUPNIK, OIB: 44725135398</v>
      </c>
      <c r="H4502" s="7"/>
      <c r="I4502" s="8" t="s">
        <v>281</v>
      </c>
      <c r="J4502" s="8" t="s">
        <v>2411</v>
      </c>
      <c r="K4502" s="6" t="str">
        <f>"1.359,62"</f>
        <v>1.359,62</v>
      </c>
      <c r="L4502" s="6" t="str">
        <f>"339,91"</f>
        <v>339,91</v>
      </c>
      <c r="M4502" s="6" t="str">
        <f>"1.699,53"</f>
        <v>1.699,53</v>
      </c>
      <c r="N4502" s="8" t="s">
        <v>124</v>
      </c>
      <c r="O4502" s="7"/>
      <c r="P4502" s="2" t="s">
        <v>5614</v>
      </c>
      <c r="Q4502" s="7"/>
      <c r="R4502" s="1"/>
      <c r="S4502" s="1" t="str">
        <f>"J-UN-2022-1302"</f>
        <v>J-UN-2022-1302</v>
      </c>
      <c r="T4502" s="1" t="s">
        <v>32</v>
      </c>
    </row>
    <row r="4503" spans="1:20" ht="51" x14ac:dyDescent="0.25">
      <c r="A4503" s="6">
        <v>4497</v>
      </c>
      <c r="B4503" s="1" t="str">
        <f>"2022-284"</f>
        <v>2022-284</v>
      </c>
      <c r="C4503" s="1" t="s">
        <v>2862</v>
      </c>
      <c r="D4503" s="1" t="s">
        <v>689</v>
      </c>
      <c r="E4503" s="1" t="str">
        <f>""</f>
        <v/>
      </c>
      <c r="F4503" s="1" t="s">
        <v>1860</v>
      </c>
      <c r="G4503" s="1" t="str">
        <f>CONCATENATE(" DOBRO RJEŠENJE D.O.O.,"," ZAVRTNICA 3,"," 10000 ZAGREB,"," OIB: 33104804103")</f>
        <v xml:space="preserve"> DOBRO RJEŠENJE D.O.O., ZAVRTNICA 3, 10000 ZAGREB, OIB: 33104804103</v>
      </c>
      <c r="H4503" s="7"/>
      <c r="I4503" s="8" t="s">
        <v>923</v>
      </c>
      <c r="J4503" s="8" t="s">
        <v>3194</v>
      </c>
      <c r="K4503" s="6" t="str">
        <f>"107.450,00"</f>
        <v>107.450,00</v>
      </c>
      <c r="L4503" s="6" t="str">
        <f>"26.862,50"</f>
        <v>26.862,50</v>
      </c>
      <c r="M4503" s="6" t="str">
        <f>"134.312,50"</f>
        <v>134.312,50</v>
      </c>
      <c r="N4503" s="8" t="s">
        <v>124</v>
      </c>
      <c r="O4503" s="7"/>
      <c r="P4503" s="2" t="s">
        <v>8269</v>
      </c>
      <c r="Q4503" s="7"/>
      <c r="R4503" s="1"/>
      <c r="S4503" s="1" t="str">
        <f>"J-UN-2022-1303"</f>
        <v>J-UN-2022-1303</v>
      </c>
      <c r="T4503" s="1" t="s">
        <v>32</v>
      </c>
    </row>
    <row r="4504" spans="1:20" ht="51" x14ac:dyDescent="0.25">
      <c r="A4504" s="6">
        <v>4498</v>
      </c>
      <c r="B4504" s="1" t="str">
        <f>"2022-1358"</f>
        <v>2022-1358</v>
      </c>
      <c r="C4504" s="1" t="s">
        <v>2643</v>
      </c>
      <c r="D4504" s="1" t="s">
        <v>1859</v>
      </c>
      <c r="E4504" s="1" t="str">
        <f>""</f>
        <v/>
      </c>
      <c r="F4504" s="1" t="s">
        <v>1860</v>
      </c>
      <c r="G4504" s="1" t="str">
        <f>CONCATENATE(" ZIRS UČILIŠTE,"," ULICA GRADA VUKOVARA 68,"," 10000 ZAGREB,"," OIB: 22228764473")</f>
        <v xml:space="preserve"> ZIRS UČILIŠTE, ULICA GRADA VUKOVARA 68, 10000 ZAGREB, OIB: 22228764473</v>
      </c>
      <c r="H4504" s="7"/>
      <c r="I4504" s="8" t="s">
        <v>563</v>
      </c>
      <c r="J4504" s="8" t="s">
        <v>2345</v>
      </c>
      <c r="K4504" s="6" t="str">
        <f>"4.200,00"</f>
        <v>4.200,00</v>
      </c>
      <c r="L4504" s="6" t="str">
        <f>"1.050,00"</f>
        <v>1.050,00</v>
      </c>
      <c r="M4504" s="6" t="str">
        <f>"5.250,00"</f>
        <v>5.250,00</v>
      </c>
      <c r="N4504" s="8" t="s">
        <v>124</v>
      </c>
      <c r="O4504" s="7"/>
      <c r="P4504" s="2" t="s">
        <v>5614</v>
      </c>
      <c r="Q4504" s="7"/>
      <c r="R4504" s="1"/>
      <c r="S4504" s="1" t="str">
        <f>"J-UN-2022-1304"</f>
        <v>J-UN-2022-1304</v>
      </c>
      <c r="T4504" s="1" t="s">
        <v>32</v>
      </c>
    </row>
    <row r="4505" spans="1:20" ht="63.75" x14ac:dyDescent="0.25">
      <c r="A4505" s="6">
        <v>4499</v>
      </c>
      <c r="B4505" s="1" t="str">
        <f>"2022-825"</f>
        <v>2022-825</v>
      </c>
      <c r="C4505" s="1" t="s">
        <v>2492</v>
      </c>
      <c r="D4505" s="1" t="s">
        <v>2493</v>
      </c>
      <c r="E4505" s="1" t="str">
        <f>""</f>
        <v/>
      </c>
      <c r="F4505" s="1" t="s">
        <v>1860</v>
      </c>
      <c r="G4505" s="1" t="str">
        <f>CONCATENATE(" TOKIĆ D.O.O.,"," ULICA 144. BRIGADE HRVATSKE VOJSKE 1A,"," 10360 SESVETE,"," OIB: 7486748762")</f>
        <v xml:space="preserve"> TOKIĆ D.O.O., ULICA 144. BRIGADE HRVATSKE VOJSKE 1A, 10360 SESVETE, OIB: 7486748762</v>
      </c>
      <c r="H4505" s="7"/>
      <c r="I4505" s="8" t="s">
        <v>281</v>
      </c>
      <c r="J4505" s="8" t="s">
        <v>2411</v>
      </c>
      <c r="K4505" s="6" t="str">
        <f>"6.270,80"</f>
        <v>6.270,80</v>
      </c>
      <c r="L4505" s="6" t="str">
        <f>"1.567,70"</f>
        <v>1.567,70</v>
      </c>
      <c r="M4505" s="6" t="str">
        <f>"7.838,50"</f>
        <v>7.838,50</v>
      </c>
      <c r="N4505" s="8" t="s">
        <v>430</v>
      </c>
      <c r="O4505" s="7"/>
      <c r="P4505" s="2" t="s">
        <v>8270</v>
      </c>
      <c r="Q4505" s="7"/>
      <c r="R4505" s="1"/>
      <c r="S4505" s="1" t="str">
        <f>"J-UN-2022-1305"</f>
        <v>J-UN-2022-1305</v>
      </c>
      <c r="T4505" s="1" t="s">
        <v>32</v>
      </c>
    </row>
    <row r="4506" spans="1:20" ht="63.75" x14ac:dyDescent="0.25">
      <c r="A4506" s="6">
        <v>4500</v>
      </c>
      <c r="B4506" s="1" t="str">
        <f>"2022-715"</f>
        <v>2022-715</v>
      </c>
      <c r="C4506" s="1" t="s">
        <v>2733</v>
      </c>
      <c r="D4506" s="1" t="s">
        <v>914</v>
      </c>
      <c r="E4506" s="1" t="str">
        <f>""</f>
        <v/>
      </c>
      <c r="F4506" s="1" t="s">
        <v>1860</v>
      </c>
      <c r="G4506" s="1" t="str">
        <f>CONCATENATE(" TOKIĆ D.O.O.,"," ULICA 144. BRIGADE HRVATSKE VOJSKE 1A,"," 10360 SESVETE,"," OIB: 7486748762")</f>
        <v xml:space="preserve"> TOKIĆ D.O.O., ULICA 144. BRIGADE HRVATSKE VOJSKE 1A, 10360 SESVETE, OIB: 7486748762</v>
      </c>
      <c r="H4506" s="7"/>
      <c r="I4506" s="8" t="s">
        <v>1025</v>
      </c>
      <c r="J4506" s="8" t="s">
        <v>1866</v>
      </c>
      <c r="K4506" s="6" t="str">
        <f>"1.365,00"</f>
        <v>1.365,00</v>
      </c>
      <c r="L4506" s="6" t="str">
        <f>"341,25"</f>
        <v>341,25</v>
      </c>
      <c r="M4506" s="6" t="str">
        <f>"1.706,25"</f>
        <v>1.706,25</v>
      </c>
      <c r="N4506" s="8" t="s">
        <v>1314</v>
      </c>
      <c r="O4506" s="7"/>
      <c r="P4506" s="2" t="s">
        <v>8271</v>
      </c>
      <c r="Q4506" s="7"/>
      <c r="R4506" s="1"/>
      <c r="S4506" s="1" t="str">
        <f>"J-UN-2022-1306"</f>
        <v>J-UN-2022-1306</v>
      </c>
      <c r="T4506" s="1" t="s">
        <v>32</v>
      </c>
    </row>
    <row r="4507" spans="1:20" ht="63.75" x14ac:dyDescent="0.25">
      <c r="A4507" s="6">
        <v>4501</v>
      </c>
      <c r="B4507" s="1" t="str">
        <f>"2022-712"</f>
        <v>2022-712</v>
      </c>
      <c r="C4507" s="1" t="s">
        <v>2828</v>
      </c>
      <c r="D4507" s="1" t="s">
        <v>914</v>
      </c>
      <c r="E4507" s="1" t="str">
        <f>""</f>
        <v/>
      </c>
      <c r="F4507" s="1" t="s">
        <v>1860</v>
      </c>
      <c r="G4507" s="1" t="str">
        <f>CONCATENATE(" TOKIĆ D.O.O.,"," ULICA 144. BRIGADE HRVATSKE VOJSKE 1A,"," 10360 SESVETE,"," OIB: 7486748762")</f>
        <v xml:space="preserve"> TOKIĆ D.O.O., ULICA 144. BRIGADE HRVATSKE VOJSKE 1A, 10360 SESVETE, OIB: 7486748762</v>
      </c>
      <c r="H4507" s="7"/>
      <c r="I4507" s="8" t="s">
        <v>1025</v>
      </c>
      <c r="J4507" s="8" t="s">
        <v>1866</v>
      </c>
      <c r="K4507" s="6" t="str">
        <f>"759,00"</f>
        <v>759,00</v>
      </c>
      <c r="L4507" s="6" t="str">
        <f>"189,75"</f>
        <v>189,75</v>
      </c>
      <c r="M4507" s="6" t="str">
        <f>"948,75"</f>
        <v>948,75</v>
      </c>
      <c r="N4507" s="8" t="s">
        <v>429</v>
      </c>
      <c r="O4507" s="7"/>
      <c r="P4507" s="2" t="s">
        <v>8272</v>
      </c>
      <c r="Q4507" s="7"/>
      <c r="R4507" s="1"/>
      <c r="S4507" s="1" t="str">
        <f>"J-UN-2022-1307"</f>
        <v>J-UN-2022-1307</v>
      </c>
      <c r="T4507" s="1" t="s">
        <v>32</v>
      </c>
    </row>
    <row r="4508" spans="1:20" ht="51" x14ac:dyDescent="0.25">
      <c r="A4508" s="6">
        <v>4502</v>
      </c>
      <c r="B4508" s="1" t="str">
        <f>"2022-488"</f>
        <v>2022-488</v>
      </c>
      <c r="C4508" s="1" t="s">
        <v>2714</v>
      </c>
      <c r="D4508" s="1" t="s">
        <v>619</v>
      </c>
      <c r="E4508" s="1" t="str">
        <f>""</f>
        <v/>
      </c>
      <c r="F4508" s="1" t="s">
        <v>1860</v>
      </c>
      <c r="G4508" s="1" t="str">
        <f>CONCATENATE(" NIACO D.O.O.,"," IVANA KAMENARIĆA 9,"," 10380 SVETI IVAN ZELINA,"," OIB: 61876916009")</f>
        <v xml:space="preserve"> NIACO D.O.O., IVANA KAMENARIĆA 9, 10380 SVETI IVAN ZELINA, OIB: 61876916009</v>
      </c>
      <c r="H4508" s="7"/>
      <c r="I4508" s="8" t="s">
        <v>1025</v>
      </c>
      <c r="J4508" s="8" t="s">
        <v>1866</v>
      </c>
      <c r="K4508" s="6" t="str">
        <f>"11.690,00"</f>
        <v>11.690,00</v>
      </c>
      <c r="L4508" s="6" t="str">
        <f>"2.922,50"</f>
        <v>2.922,50</v>
      </c>
      <c r="M4508" s="6" t="str">
        <f>"14.612,50"</f>
        <v>14.612,50</v>
      </c>
      <c r="N4508" s="8" t="s">
        <v>214</v>
      </c>
      <c r="O4508" s="7"/>
      <c r="P4508" s="2" t="s">
        <v>8273</v>
      </c>
      <c r="Q4508" s="7"/>
      <c r="R4508" s="1"/>
      <c r="S4508" s="1" t="str">
        <f>"J-UN-2022-1308"</f>
        <v>J-UN-2022-1308</v>
      </c>
      <c r="T4508" s="1" t="s">
        <v>32</v>
      </c>
    </row>
    <row r="4509" spans="1:20" ht="51" x14ac:dyDescent="0.25">
      <c r="A4509" s="6">
        <v>4503</v>
      </c>
      <c r="B4509" s="1" t="str">
        <f>"2022-460"</f>
        <v>2022-460</v>
      </c>
      <c r="C4509" s="1" t="s">
        <v>2793</v>
      </c>
      <c r="D4509" s="1" t="s">
        <v>1619</v>
      </c>
      <c r="E4509" s="1" t="str">
        <f>""</f>
        <v/>
      </c>
      <c r="F4509" s="1" t="s">
        <v>1860</v>
      </c>
      <c r="G4509" s="1" t="str">
        <f>CONCATENATE(" MESSIS D.O.O.,"," FROUDEOVA 7,"," 10000 ZAGREB,"," OIB: 32087382809")</f>
        <v xml:space="preserve"> MESSIS D.O.O., FROUDEOVA 7, 10000 ZAGREB, OIB: 32087382809</v>
      </c>
      <c r="H4509" s="7"/>
      <c r="I4509" s="8" t="s">
        <v>1025</v>
      </c>
      <c r="J4509" s="8" t="s">
        <v>1866</v>
      </c>
      <c r="K4509" s="6" t="str">
        <f>"6.480,00"</f>
        <v>6.480,00</v>
      </c>
      <c r="L4509" s="6" t="str">
        <f>"1.620,00"</f>
        <v>1.620,00</v>
      </c>
      <c r="M4509" s="6" t="str">
        <f>"8.100,00"</f>
        <v>8.100,00</v>
      </c>
      <c r="N4509" s="8" t="s">
        <v>916</v>
      </c>
      <c r="O4509" s="7"/>
      <c r="P4509" s="2" t="s">
        <v>8274</v>
      </c>
      <c r="Q4509" s="7"/>
      <c r="R4509" s="1"/>
      <c r="S4509" s="1" t="str">
        <f>"J-UN-2022-1309"</f>
        <v>J-UN-2022-1309</v>
      </c>
      <c r="T4509" s="1" t="s">
        <v>32</v>
      </c>
    </row>
    <row r="4510" spans="1:20" ht="63.75" x14ac:dyDescent="0.25">
      <c r="A4510" s="6">
        <v>4504</v>
      </c>
      <c r="B4510" s="1" t="str">
        <f>"2022-1338"</f>
        <v>2022-1338</v>
      </c>
      <c r="C4510" s="1" t="s">
        <v>2753</v>
      </c>
      <c r="D4510" s="1" t="s">
        <v>2331</v>
      </c>
      <c r="E4510" s="1" t="str">
        <f>""</f>
        <v/>
      </c>
      <c r="F4510" s="1" t="s">
        <v>1860</v>
      </c>
      <c r="G4510" s="1" t="str">
        <f>CONCATENATE(" PISMORAD D.O.O.,"," INDUSTRIJSKA 5,"," 10431 SVETA NEDELJA-NOVAKI,"," OIB: 33260306505")</f>
        <v xml:space="preserve"> PISMORAD D.O.O., INDUSTRIJSKA 5, 10431 SVETA NEDELJA-NOVAKI, OIB: 33260306505</v>
      </c>
      <c r="H4510" s="7"/>
      <c r="I4510" s="8" t="s">
        <v>923</v>
      </c>
      <c r="J4510" s="8" t="s">
        <v>3194</v>
      </c>
      <c r="K4510" s="6" t="str">
        <f>"35.960,00"</f>
        <v>35.960,00</v>
      </c>
      <c r="L4510" s="6" t="str">
        <f>"8.990,00"</f>
        <v>8.990,00</v>
      </c>
      <c r="M4510" s="6" t="str">
        <f>"44.950,00"</f>
        <v>44.950,00</v>
      </c>
      <c r="N4510" s="8" t="s">
        <v>564</v>
      </c>
      <c r="O4510" s="7"/>
      <c r="P4510" s="2" t="s">
        <v>8275</v>
      </c>
      <c r="Q4510" s="7"/>
      <c r="R4510" s="1"/>
      <c r="S4510" s="1" t="str">
        <f>"J-UN-2022-1312"</f>
        <v>J-UN-2022-1312</v>
      </c>
      <c r="T4510" s="1" t="s">
        <v>32</v>
      </c>
    </row>
    <row r="4511" spans="1:20" ht="51" x14ac:dyDescent="0.25">
      <c r="A4511" s="6">
        <v>4505</v>
      </c>
      <c r="B4511" s="1" t="str">
        <f>"2022-853"</f>
        <v>2022-853</v>
      </c>
      <c r="C4511" s="1" t="s">
        <v>2286</v>
      </c>
      <c r="D4511" s="1" t="s">
        <v>2287</v>
      </c>
      <c r="E4511" s="1" t="str">
        <f>""</f>
        <v/>
      </c>
      <c r="F4511" s="1" t="s">
        <v>1860</v>
      </c>
      <c r="G4511" s="1" t="str">
        <f>CONCATENATE(" STORM COMPUTERS D.O.O.,"," SAVICA I. 127,"," 10000 ZAGREB,"," OIB: 20142998436")</f>
        <v xml:space="preserve"> STORM COMPUTERS D.O.O., SAVICA I. 127, 10000 ZAGREB, OIB: 20142998436</v>
      </c>
      <c r="H4511" s="7"/>
      <c r="I4511" s="8" t="s">
        <v>955</v>
      </c>
      <c r="J4511" s="8" t="s">
        <v>3188</v>
      </c>
      <c r="K4511" s="6" t="str">
        <f>"65.000,00"</f>
        <v>65.000,00</v>
      </c>
      <c r="L4511" s="6" t="str">
        <f>"16.250,00"</f>
        <v>16.250,00</v>
      </c>
      <c r="M4511" s="6" t="str">
        <f>"81.250,00"</f>
        <v>81.250,00</v>
      </c>
      <c r="N4511" s="8" t="s">
        <v>124</v>
      </c>
      <c r="O4511" s="7"/>
      <c r="P4511" s="2" t="s">
        <v>6271</v>
      </c>
      <c r="Q4511" s="7"/>
      <c r="R4511" s="1"/>
      <c r="S4511" s="1" t="str">
        <f>"J-UN-2022-1313"</f>
        <v>J-UN-2022-1313</v>
      </c>
      <c r="T4511" s="1" t="s">
        <v>32</v>
      </c>
    </row>
    <row r="4512" spans="1:20" ht="76.5" x14ac:dyDescent="0.25">
      <c r="A4512" s="6">
        <v>4506</v>
      </c>
      <c r="B4512" s="1" t="str">
        <f>"2022-1962"</f>
        <v>2022-1962</v>
      </c>
      <c r="C4512" s="1" t="s">
        <v>3195</v>
      </c>
      <c r="D4512" s="1" t="s">
        <v>3196</v>
      </c>
      <c r="E4512" s="1" t="str">
        <f>""</f>
        <v/>
      </c>
      <c r="F4512" s="1" t="s">
        <v>1860</v>
      </c>
      <c r="G4512" s="1" t="str">
        <f>CONCATENATE(" BLUEROCK INTERNATIONAL D.O.O.,"," ULICA GRADA VUKOVARA 224,"," 10000 ZAGREB,"," OIB: 60474394064")</f>
        <v xml:space="preserve"> BLUEROCK INTERNATIONAL D.O.O., ULICA GRADA VUKOVARA 224, 10000 ZAGREB, OIB: 60474394064</v>
      </c>
      <c r="H4512" s="7"/>
      <c r="I4512" s="8" t="s">
        <v>1025</v>
      </c>
      <c r="J4512" s="8" t="s">
        <v>1866</v>
      </c>
      <c r="K4512" s="6" t="str">
        <f>"75.345,00"</f>
        <v>75.345,00</v>
      </c>
      <c r="L4512" s="6" t="str">
        <f>"18.836,25"</f>
        <v>18.836,25</v>
      </c>
      <c r="M4512" s="6" t="str">
        <f>"94.181,25"</f>
        <v>94.181,25</v>
      </c>
      <c r="N4512" s="8" t="s">
        <v>124</v>
      </c>
      <c r="O4512" s="7"/>
      <c r="P4512" s="2" t="s">
        <v>5614</v>
      </c>
      <c r="Q4512" s="7"/>
      <c r="R4512" s="1"/>
      <c r="S4512" s="1" t="str">
        <f>"J-UN-2022-1314"</f>
        <v>J-UN-2022-1314</v>
      </c>
      <c r="T4512" s="1" t="s">
        <v>32</v>
      </c>
    </row>
    <row r="4513" spans="1:20" ht="76.5" x14ac:dyDescent="0.25">
      <c r="A4513" s="6">
        <v>4507</v>
      </c>
      <c r="B4513" s="1" t="str">
        <f>"2022-1961"</f>
        <v>2022-1961</v>
      </c>
      <c r="C4513" s="1" t="s">
        <v>3197</v>
      </c>
      <c r="D4513" s="1" t="s">
        <v>3196</v>
      </c>
      <c r="E4513" s="1" t="str">
        <f>""</f>
        <v/>
      </c>
      <c r="F4513" s="1" t="s">
        <v>1860</v>
      </c>
      <c r="G4513" s="1" t="str">
        <f>CONCATENATE(" DELOITTE SAVJETODAVNE USLUGE D.O.O.,"," RADNIČKA CESTA 80,"," 10000 ZAGREB,"," OIB: 69797026382")</f>
        <v xml:space="preserve"> DELOITTE SAVJETODAVNE USLUGE D.O.O., RADNIČKA CESTA 80, 10000 ZAGREB, OIB: 69797026382</v>
      </c>
      <c r="H4513" s="7"/>
      <c r="I4513" s="8" t="s">
        <v>1025</v>
      </c>
      <c r="J4513" s="8" t="s">
        <v>1866</v>
      </c>
      <c r="K4513" s="6" t="str">
        <f>"189.000,00"</f>
        <v>189.000,00</v>
      </c>
      <c r="L4513" s="6" t="str">
        <f>"47.250,00"</f>
        <v>47.250,00</v>
      </c>
      <c r="M4513" s="6" t="str">
        <f>"236.250,00"</f>
        <v>236.250,00</v>
      </c>
      <c r="N4513" s="8" t="s">
        <v>124</v>
      </c>
      <c r="O4513" s="7"/>
      <c r="P4513" s="2" t="s">
        <v>5614</v>
      </c>
      <c r="Q4513" s="7"/>
      <c r="R4513" s="1"/>
      <c r="S4513" s="1" t="str">
        <f>"J-UN-2022-1315"</f>
        <v>J-UN-2022-1315</v>
      </c>
      <c r="T4513" s="1" t="s">
        <v>32</v>
      </c>
    </row>
    <row r="4514" spans="1:20" ht="63.75" x14ac:dyDescent="0.25">
      <c r="A4514" s="6">
        <v>4508</v>
      </c>
      <c r="B4514" s="1" t="str">
        <f>"2022-1960"</f>
        <v>2022-1960</v>
      </c>
      <c r="C4514" s="1" t="s">
        <v>3198</v>
      </c>
      <c r="D4514" s="1" t="s">
        <v>3196</v>
      </c>
      <c r="E4514" s="1" t="str">
        <f>""</f>
        <v/>
      </c>
      <c r="F4514" s="1" t="s">
        <v>1860</v>
      </c>
      <c r="G4514" s="1" t="str">
        <f>CONCATENATE(" SERDARUŠIĆ D.O.O.,"," ULICA STJEPANA BENCEKOVIĆA 29A,"," 10000 ZAGREB,"," OIB: 80848331512")</f>
        <v xml:space="preserve"> SERDARUŠIĆ D.O.O., ULICA STJEPANA BENCEKOVIĆA 29A, 10000 ZAGREB, OIB: 80848331512</v>
      </c>
      <c r="H4514" s="7"/>
      <c r="I4514" s="8" t="s">
        <v>1025</v>
      </c>
      <c r="J4514" s="8" t="s">
        <v>1866</v>
      </c>
      <c r="K4514" s="6" t="str">
        <f>"150.000,00"</f>
        <v>150.000,00</v>
      </c>
      <c r="L4514" s="6" t="str">
        <f>"37.500,00"</f>
        <v>37.500,00</v>
      </c>
      <c r="M4514" s="6" t="str">
        <f>"187.500,00"</f>
        <v>187.500,00</v>
      </c>
      <c r="N4514" s="8" t="s">
        <v>124</v>
      </c>
      <c r="O4514" s="7"/>
      <c r="P4514" s="2" t="s">
        <v>5614</v>
      </c>
      <c r="Q4514" s="7"/>
      <c r="R4514" s="1"/>
      <c r="S4514" s="1" t="str">
        <f>"J-UN-2022-1316"</f>
        <v>J-UN-2022-1316</v>
      </c>
      <c r="T4514" s="1" t="s">
        <v>32</v>
      </c>
    </row>
    <row r="4515" spans="1:20" ht="38.25" x14ac:dyDescent="0.25">
      <c r="A4515" s="6">
        <v>4509</v>
      </c>
      <c r="B4515" s="1" t="str">
        <f>"2022-729"</f>
        <v>2022-729</v>
      </c>
      <c r="C4515" s="1" t="s">
        <v>3199</v>
      </c>
      <c r="D4515" s="1" t="s">
        <v>914</v>
      </c>
      <c r="E4515" s="1" t="str">
        <f>""</f>
        <v/>
      </c>
      <c r="F4515" s="1" t="s">
        <v>1860</v>
      </c>
      <c r="G4515" s="1" t="str">
        <f>CONCATENATE(" O-K-TEH d.o.o.,"," VUČAK 16A,"," 10000 ZAGREB,"," OIB: 37322381288")</f>
        <v xml:space="preserve"> O-K-TEH d.o.o., VUČAK 16A, 10000 ZAGREB, OIB: 37322381288</v>
      </c>
      <c r="H4515" s="7"/>
      <c r="I4515" s="8" t="s">
        <v>939</v>
      </c>
      <c r="J4515" s="8" t="s">
        <v>1813</v>
      </c>
      <c r="K4515" s="6" t="str">
        <f>"1.750,00"</f>
        <v>1.750,00</v>
      </c>
      <c r="L4515" s="6" t="str">
        <f>"437,50"</f>
        <v>437,50</v>
      </c>
      <c r="M4515" s="6" t="str">
        <f>"2.187,50"</f>
        <v>2.187,50</v>
      </c>
      <c r="N4515" s="8" t="s">
        <v>563</v>
      </c>
      <c r="O4515" s="7"/>
      <c r="P4515" s="2" t="s">
        <v>5739</v>
      </c>
      <c r="Q4515" s="7"/>
      <c r="R4515" s="1"/>
      <c r="S4515" s="1" t="str">
        <f>"J-UN-2022-1317"</f>
        <v>J-UN-2022-1317</v>
      </c>
      <c r="T4515" s="1" t="s">
        <v>32</v>
      </c>
    </row>
    <row r="4516" spans="1:20" ht="63.75" x14ac:dyDescent="0.25">
      <c r="A4516" s="6">
        <v>4510</v>
      </c>
      <c r="B4516" s="1" t="str">
        <f>"2022-602"</f>
        <v>2022-602</v>
      </c>
      <c r="C4516" s="1" t="s">
        <v>2642</v>
      </c>
      <c r="D4516" s="1" t="s">
        <v>1236</v>
      </c>
      <c r="E4516" s="1" t="str">
        <f>""</f>
        <v/>
      </c>
      <c r="F4516" s="1" t="s">
        <v>1860</v>
      </c>
      <c r="G4516" s="1" t="str">
        <f>CONCATENATE(" SECURITAS HRVATSKA D.O.O.,"," ZAGREBAČKA CESTA 145A,"," 10000 ZAGREB,"," OIB: 33679708526")</f>
        <v xml:space="preserve"> SECURITAS HRVATSKA D.O.O., ZAGREBAČKA CESTA 145A, 10000 ZAGREB, OIB: 33679708526</v>
      </c>
      <c r="H4516" s="7"/>
      <c r="I4516" s="8" t="s">
        <v>939</v>
      </c>
      <c r="J4516" s="8" t="s">
        <v>1813</v>
      </c>
      <c r="K4516" s="6" t="str">
        <f>"4.195,00"</f>
        <v>4.195,00</v>
      </c>
      <c r="L4516" s="6" t="str">
        <f>"1.048,75"</f>
        <v>1.048,75</v>
      </c>
      <c r="M4516" s="6" t="str">
        <f>"5.243,75"</f>
        <v>5.243,75</v>
      </c>
      <c r="N4516" s="8" t="s">
        <v>124</v>
      </c>
      <c r="O4516" s="7"/>
      <c r="P4516" s="2" t="s">
        <v>5614</v>
      </c>
      <c r="Q4516" s="7"/>
      <c r="R4516" s="1"/>
      <c r="S4516" s="1" t="str">
        <f>"J-UN-2022-1318"</f>
        <v>J-UN-2022-1318</v>
      </c>
      <c r="T4516" s="1" t="s">
        <v>32</v>
      </c>
    </row>
    <row r="4517" spans="1:20" ht="63.75" x14ac:dyDescent="0.25">
      <c r="A4517" s="6">
        <v>4511</v>
      </c>
      <c r="B4517" s="1" t="str">
        <f>"2022-1435"</f>
        <v>2022-1435</v>
      </c>
      <c r="C4517" s="1" t="s">
        <v>2756</v>
      </c>
      <c r="D4517" s="1" t="s">
        <v>860</v>
      </c>
      <c r="E4517" s="1" t="str">
        <f>""</f>
        <v/>
      </c>
      <c r="F4517" s="1" t="s">
        <v>1860</v>
      </c>
      <c r="G4517" s="1" t="str">
        <f>CONCATENATE(" BRUMAR D.O.O.,"," MARKUŠEVEČKE NJIVICE 6,"," 10000 ZAGREB,"," OIB: 83485438514")</f>
        <v xml:space="preserve"> BRUMAR D.O.O., MARKUŠEVEČKE NJIVICE 6, 10000 ZAGREB, OIB: 83485438514</v>
      </c>
      <c r="H4517" s="7"/>
      <c r="I4517" s="8" t="s">
        <v>939</v>
      </c>
      <c r="J4517" s="8" t="s">
        <v>1813</v>
      </c>
      <c r="K4517" s="6" t="str">
        <f>"2.200,00"</f>
        <v>2.200,00</v>
      </c>
      <c r="L4517" s="6" t="str">
        <f>"550,00"</f>
        <v>550,00</v>
      </c>
      <c r="M4517" s="6" t="str">
        <f>"2.750,00"</f>
        <v>2.750,00</v>
      </c>
      <c r="N4517" s="8" t="s">
        <v>124</v>
      </c>
      <c r="O4517" s="7"/>
      <c r="P4517" s="2" t="s">
        <v>5614</v>
      </c>
      <c r="Q4517" s="7"/>
      <c r="R4517" s="1"/>
      <c r="S4517" s="1" t="str">
        <f>"J-UN-2022-1319"</f>
        <v>J-UN-2022-1319</v>
      </c>
      <c r="T4517" s="1" t="s">
        <v>32</v>
      </c>
    </row>
    <row r="4518" spans="1:20" ht="63.75" x14ac:dyDescent="0.25">
      <c r="A4518" s="6">
        <v>4512</v>
      </c>
      <c r="B4518" s="1" t="str">
        <f>"2022-413"</f>
        <v>2022-413</v>
      </c>
      <c r="C4518" s="1" t="s">
        <v>2773</v>
      </c>
      <c r="D4518" s="1" t="s">
        <v>2774</v>
      </c>
      <c r="E4518" s="1" t="str">
        <f>""</f>
        <v/>
      </c>
      <c r="F4518" s="1" t="s">
        <v>1860</v>
      </c>
      <c r="G4518" s="1" t="str">
        <f>CONCATENATE(" POLJOOPSKRBA-TEHNO D.D.,"," SAMOBORSKA 96,"," 10000 ZAGREB,"," OIB: 5372167324")</f>
        <v xml:space="preserve"> POLJOOPSKRBA-TEHNO D.D., SAMOBORSKA 96, 10000 ZAGREB, OIB: 5372167324</v>
      </c>
      <c r="H4518" s="7"/>
      <c r="I4518" s="8" t="s">
        <v>939</v>
      </c>
      <c r="J4518" s="8" t="s">
        <v>1813</v>
      </c>
      <c r="K4518" s="6" t="str">
        <f>"1.932,00"</f>
        <v>1.932,00</v>
      </c>
      <c r="L4518" s="6" t="str">
        <f>"483,00"</f>
        <v>483,00</v>
      </c>
      <c r="M4518" s="6" t="str">
        <f>"2.415,00"</f>
        <v>2.415,00</v>
      </c>
      <c r="N4518" s="8" t="s">
        <v>429</v>
      </c>
      <c r="O4518" s="7"/>
      <c r="P4518" s="2" t="s">
        <v>8276</v>
      </c>
      <c r="Q4518" s="7"/>
      <c r="R4518" s="1"/>
      <c r="S4518" s="1" t="str">
        <f>"J-UN-2022-1320"</f>
        <v>J-UN-2022-1320</v>
      </c>
      <c r="T4518" s="1" t="s">
        <v>32</v>
      </c>
    </row>
    <row r="4519" spans="1:20" ht="51" x14ac:dyDescent="0.25">
      <c r="A4519" s="6">
        <v>4513</v>
      </c>
      <c r="B4519" s="1" t="str">
        <f>"2022-1864"</f>
        <v>2022-1864</v>
      </c>
      <c r="C4519" s="1" t="s">
        <v>3200</v>
      </c>
      <c r="D4519" s="1" t="s">
        <v>3201</v>
      </c>
      <c r="E4519" s="1" t="str">
        <f>""</f>
        <v/>
      </c>
      <c r="F4519" s="1" t="s">
        <v>1860</v>
      </c>
      <c r="G4519" s="1" t="str">
        <f>CONCATENATE(" DOBRO RJEŠENJE D.O.O.,"," ZAVRTNICA 3,"," 10000 ZAGREB,"," OIB: 33104804103")</f>
        <v xml:space="preserve"> DOBRO RJEŠENJE D.O.O., ZAVRTNICA 3, 10000 ZAGREB, OIB: 33104804103</v>
      </c>
      <c r="H4519" s="7"/>
      <c r="I4519" s="8" t="s">
        <v>563</v>
      </c>
      <c r="J4519" s="8" t="s">
        <v>2345</v>
      </c>
      <c r="K4519" s="6" t="str">
        <f>"188.235,00"</f>
        <v>188.235,00</v>
      </c>
      <c r="L4519" s="6" t="str">
        <f>"47.058,75"</f>
        <v>47.058,75</v>
      </c>
      <c r="M4519" s="6" t="str">
        <f>"235.293,75"</f>
        <v>235.293,75</v>
      </c>
      <c r="N4519" s="8" t="s">
        <v>124</v>
      </c>
      <c r="O4519" s="7"/>
      <c r="P4519" s="2" t="s">
        <v>8277</v>
      </c>
      <c r="Q4519" s="7"/>
      <c r="R4519" s="1"/>
      <c r="S4519" s="1" t="str">
        <f>"J-UN-2022-1321"</f>
        <v>J-UN-2022-1321</v>
      </c>
      <c r="T4519" s="1" t="s">
        <v>32</v>
      </c>
    </row>
    <row r="4520" spans="1:20" ht="51" x14ac:dyDescent="0.25">
      <c r="A4520" s="6">
        <v>4514</v>
      </c>
      <c r="B4520" s="1" t="str">
        <f>"2022-825"</f>
        <v>2022-825</v>
      </c>
      <c r="C4520" s="1" t="s">
        <v>2492</v>
      </c>
      <c r="D4520" s="1" t="s">
        <v>2493</v>
      </c>
      <c r="E4520" s="1" t="str">
        <f>""</f>
        <v/>
      </c>
      <c r="F4520" s="1" t="s">
        <v>1860</v>
      </c>
      <c r="G4520" s="1" t="str">
        <f>CONCATENATE(" TPZ D.O.O.,"," NOVOSELSKA 25,"," 10000 ZAGREB,"," OIB: 68119083236")</f>
        <v xml:space="preserve"> TPZ D.O.O., NOVOSELSKA 25, 10000 ZAGREB, OIB: 68119083236</v>
      </c>
      <c r="H4520" s="7"/>
      <c r="I4520" s="8" t="s">
        <v>428</v>
      </c>
      <c r="J4520" s="8" t="s">
        <v>3202</v>
      </c>
      <c r="K4520" s="6" t="str">
        <f>"32.538,56"</f>
        <v>32.538,56</v>
      </c>
      <c r="L4520" s="6" t="str">
        <f>"8.134,64"</f>
        <v>8.134,64</v>
      </c>
      <c r="M4520" s="6" t="str">
        <f>"40.673,20"</f>
        <v>40.673,20</v>
      </c>
      <c r="N4520" s="8" t="s">
        <v>208</v>
      </c>
      <c r="O4520" s="7"/>
      <c r="P4520" s="2" t="s">
        <v>8278</v>
      </c>
      <c r="Q4520" s="7"/>
      <c r="R4520" s="1"/>
      <c r="S4520" s="1" t="str">
        <f>"J-UN-2022-1322"</f>
        <v>J-UN-2022-1322</v>
      </c>
      <c r="T4520" s="1" t="s">
        <v>32</v>
      </c>
    </row>
    <row r="4521" spans="1:20" ht="63.75" x14ac:dyDescent="0.25">
      <c r="A4521" s="6">
        <v>4515</v>
      </c>
      <c r="B4521" s="1" t="str">
        <f>"2022-375"</f>
        <v>2022-375</v>
      </c>
      <c r="C4521" s="1" t="s">
        <v>2747</v>
      </c>
      <c r="D4521" s="1" t="s">
        <v>1334</v>
      </c>
      <c r="E4521" s="1" t="str">
        <f>""</f>
        <v/>
      </c>
      <c r="F4521" s="1" t="s">
        <v>1860</v>
      </c>
      <c r="G4521" s="1" t="str">
        <f>CONCATENATE(" BAČELIĆ D.O.O.,"," AVENIJA VEĆESLAVA HOLJEVCA 54,"," 10000 ZAGREB,"," OIB: 6296953584")</f>
        <v xml:space="preserve"> BAČELIĆ D.O.O., AVENIJA VEĆESLAVA HOLJEVCA 54, 10000 ZAGREB, OIB: 6296953584</v>
      </c>
      <c r="H4521" s="7"/>
      <c r="I4521" s="8" t="s">
        <v>563</v>
      </c>
      <c r="J4521" s="8" t="s">
        <v>2345</v>
      </c>
      <c r="K4521" s="6" t="str">
        <f>"1.775,80"</f>
        <v>1.775,80</v>
      </c>
      <c r="L4521" s="6" t="str">
        <f>"443,95"</f>
        <v>443,95</v>
      </c>
      <c r="M4521" s="6" t="str">
        <f>"2.219,75"</f>
        <v>2.219,75</v>
      </c>
      <c r="N4521" s="8" t="s">
        <v>124</v>
      </c>
      <c r="O4521" s="7"/>
      <c r="P4521" s="2" t="s">
        <v>5614</v>
      </c>
      <c r="Q4521" s="7"/>
      <c r="R4521" s="1"/>
      <c r="S4521" s="1" t="str">
        <f>"J-UN-2022-1324"</f>
        <v>J-UN-2022-1324</v>
      </c>
      <c r="T4521" s="1" t="s">
        <v>32</v>
      </c>
    </row>
    <row r="4522" spans="1:20" ht="63.75" x14ac:dyDescent="0.25">
      <c r="A4522" s="6">
        <v>4516</v>
      </c>
      <c r="B4522" s="1" t="str">
        <f>"2022-710"</f>
        <v>2022-710</v>
      </c>
      <c r="C4522" s="1" t="s">
        <v>2782</v>
      </c>
      <c r="D4522" s="1" t="s">
        <v>815</v>
      </c>
      <c r="E4522" s="1" t="str">
        <f>""</f>
        <v/>
      </c>
      <c r="F4522" s="1" t="s">
        <v>1860</v>
      </c>
      <c r="G4522" s="1" t="str">
        <f>CONCATENATE(" LAUS INTERNATIONAL D.O.O.,"," DR. FRANJE TUĐMANA 16B,"," 10431 SVETA NEDELJA,"," OIB: 93039509752")</f>
        <v xml:space="preserve"> LAUS INTERNATIONAL D.O.O., DR. FRANJE TUĐMANA 16B, 10431 SVETA NEDELJA, OIB: 93039509752</v>
      </c>
      <c r="H4522" s="7"/>
      <c r="I4522" s="8" t="s">
        <v>600</v>
      </c>
      <c r="J4522" s="8" t="s">
        <v>2183</v>
      </c>
      <c r="K4522" s="6" t="str">
        <f>"877,65"</f>
        <v>877,65</v>
      </c>
      <c r="L4522" s="6" t="str">
        <f>"219,41"</f>
        <v>219,41</v>
      </c>
      <c r="M4522" s="6" t="str">
        <f>"1.097,06"</f>
        <v>1.097,06</v>
      </c>
      <c r="N4522" s="8" t="s">
        <v>124</v>
      </c>
      <c r="O4522" s="7"/>
      <c r="P4522" s="2" t="s">
        <v>5614</v>
      </c>
      <c r="Q4522" s="7"/>
      <c r="R4522" s="1"/>
      <c r="S4522" s="1" t="str">
        <f>"J-UN-2022-1326"</f>
        <v>J-UN-2022-1326</v>
      </c>
      <c r="T4522" s="1" t="s">
        <v>32</v>
      </c>
    </row>
    <row r="4523" spans="1:20" ht="89.25" x14ac:dyDescent="0.25">
      <c r="A4523" s="6">
        <v>4517</v>
      </c>
      <c r="B4523" s="1" t="str">
        <f>"2022-825"</f>
        <v>2022-825</v>
      </c>
      <c r="C4523" s="1" t="s">
        <v>2492</v>
      </c>
      <c r="D4523" s="1" t="s">
        <v>2493</v>
      </c>
      <c r="E4523" s="1" t="str">
        <f>""</f>
        <v/>
      </c>
      <c r="F4523" s="1" t="s">
        <v>1860</v>
      </c>
      <c r="G4523" s="1" t="str">
        <f>CONCATENATE(" AUTO HRVATSKA PRODAJNO SERVISNI CENTRI D.O.O.,"," ZASTAVNICE 25/C,"," 10251 HRVATSKI LESKOVAC,"," OIB: 87682591133")</f>
        <v xml:space="preserve"> AUTO HRVATSKA PRODAJNO SERVISNI CENTRI D.O.O., ZASTAVNICE 25/C, 10251 HRVATSKI LESKOVAC, OIB: 87682591133</v>
      </c>
      <c r="H4523" s="7"/>
      <c r="I4523" s="8" t="s">
        <v>600</v>
      </c>
      <c r="J4523" s="8" t="s">
        <v>2183</v>
      </c>
      <c r="K4523" s="6" t="str">
        <f>"1.348,00"</f>
        <v>1.348,00</v>
      </c>
      <c r="L4523" s="6" t="str">
        <f>"337,00"</f>
        <v>337,00</v>
      </c>
      <c r="M4523" s="6" t="str">
        <f>"1.685,00"</f>
        <v>1.685,00</v>
      </c>
      <c r="N4523" s="8" t="s">
        <v>124</v>
      </c>
      <c r="O4523" s="7"/>
      <c r="P4523" s="2" t="s">
        <v>5614</v>
      </c>
      <c r="Q4523" s="7"/>
      <c r="R4523" s="1"/>
      <c r="S4523" s="1" t="str">
        <f>"J-UN-2022-1327"</f>
        <v>J-UN-2022-1327</v>
      </c>
      <c r="T4523" s="1" t="s">
        <v>32</v>
      </c>
    </row>
    <row r="4524" spans="1:20" ht="76.5" x14ac:dyDescent="0.25">
      <c r="A4524" s="6">
        <v>4518</v>
      </c>
      <c r="B4524" s="1" t="str">
        <f>"2022-592"</f>
        <v>2022-592</v>
      </c>
      <c r="C4524" s="1" t="s">
        <v>2683</v>
      </c>
      <c r="D4524" s="1" t="s">
        <v>2684</v>
      </c>
      <c r="E4524" s="1" t="str">
        <f>""</f>
        <v/>
      </c>
      <c r="F4524" s="1" t="s">
        <v>1860</v>
      </c>
      <c r="G4524" s="1" t="str">
        <f>CONCATENATE(" SMIT-COMMERCE D.O.O.,"," GORNJOSTUPNIČKA 9B,"," 10255 GORNJI STUPNIK,"," OIB: 9524348214")</f>
        <v xml:space="preserve"> SMIT-COMMERCE D.O.O., GORNJOSTUPNIČKA 9B, 10255 GORNJI STUPNIK, OIB: 9524348214</v>
      </c>
      <c r="H4524" s="7"/>
      <c r="I4524" s="8" t="s">
        <v>535</v>
      </c>
      <c r="J4524" s="8" t="s">
        <v>1895</v>
      </c>
      <c r="K4524" s="6" t="str">
        <f>"13.712,00"</f>
        <v>13.712,00</v>
      </c>
      <c r="L4524" s="6" t="str">
        <f>"3.428,00"</f>
        <v>3.428,00</v>
      </c>
      <c r="M4524" s="6" t="str">
        <f>"17.140,00"</f>
        <v>17.140,00</v>
      </c>
      <c r="N4524" s="8" t="s">
        <v>124</v>
      </c>
      <c r="O4524" s="7"/>
      <c r="P4524" s="2" t="s">
        <v>5614</v>
      </c>
      <c r="Q4524" s="7"/>
      <c r="R4524" s="1"/>
      <c r="S4524" s="1" t="str">
        <f>"J-UN-2022-1328"</f>
        <v>J-UN-2022-1328</v>
      </c>
      <c r="T4524" s="1" t="s">
        <v>32</v>
      </c>
    </row>
    <row r="4525" spans="1:20" ht="51" x14ac:dyDescent="0.25">
      <c r="A4525" s="6">
        <v>4519</v>
      </c>
      <c r="B4525" s="1" t="str">
        <f>"2022-427"</f>
        <v>2022-427</v>
      </c>
      <c r="C4525" s="1" t="s">
        <v>3082</v>
      </c>
      <c r="D4525" s="1" t="s">
        <v>2577</v>
      </c>
      <c r="E4525" s="1" t="str">
        <f>""</f>
        <v/>
      </c>
      <c r="F4525" s="1" t="s">
        <v>1860</v>
      </c>
      <c r="G4525" s="1" t="str">
        <f>CONCATENATE(" ULTRA TEH D.O.O.,"," PETROVA 16,"," 10000 ZAGREB,"," OIB: 20399041584")</f>
        <v xml:space="preserve"> ULTRA TEH D.O.O., PETROVA 16, 10000 ZAGREB, OIB: 20399041584</v>
      </c>
      <c r="H4525" s="7"/>
      <c r="I4525" s="8" t="s">
        <v>955</v>
      </c>
      <c r="J4525" s="8" t="s">
        <v>3188</v>
      </c>
      <c r="K4525" s="6" t="str">
        <f>"78.640,00"</f>
        <v>78.640,00</v>
      </c>
      <c r="L4525" s="6" t="str">
        <f>"19.660,00"</f>
        <v>19.660,00</v>
      </c>
      <c r="M4525" s="6" t="str">
        <f>"98.300,00"</f>
        <v>98.300,00</v>
      </c>
      <c r="N4525" s="8" t="s">
        <v>124</v>
      </c>
      <c r="O4525" s="7"/>
      <c r="P4525" s="2" t="s">
        <v>5614</v>
      </c>
      <c r="Q4525" s="7"/>
      <c r="R4525" s="1"/>
      <c r="S4525" s="1" t="str">
        <f>"J-UN-2022-1329"</f>
        <v>J-UN-2022-1329</v>
      </c>
      <c r="T4525" s="1" t="s">
        <v>32</v>
      </c>
    </row>
    <row r="4526" spans="1:20" ht="51" x14ac:dyDescent="0.25">
      <c r="A4526" s="6">
        <v>4520</v>
      </c>
      <c r="B4526" s="1" t="str">
        <f>"2022-1123"</f>
        <v>2022-1123</v>
      </c>
      <c r="C4526" s="1" t="s">
        <v>2779</v>
      </c>
      <c r="D4526" s="1" t="s">
        <v>2780</v>
      </c>
      <c r="E4526" s="1" t="str">
        <f>""</f>
        <v/>
      </c>
      <c r="F4526" s="1" t="s">
        <v>1860</v>
      </c>
      <c r="G4526" s="1" t="str">
        <f>CONCATENATE(" LEXPERA D.O.O.,"," TUŠKANOVA 37,"," 10000 ZAGREB,"," OIB: 79506290597")</f>
        <v xml:space="preserve"> LEXPERA D.O.O., TUŠKANOVA 37, 10000 ZAGREB, OIB: 79506290597</v>
      </c>
      <c r="H4526" s="7"/>
      <c r="I4526" s="8" t="s">
        <v>939</v>
      </c>
      <c r="J4526" s="8" t="s">
        <v>1813</v>
      </c>
      <c r="K4526" s="6" t="str">
        <f>"3.312,00"</f>
        <v>3.312,00</v>
      </c>
      <c r="L4526" s="6" t="str">
        <f>"828,00"</f>
        <v>828,00</v>
      </c>
      <c r="M4526" s="6" t="str">
        <f>"4.140,00"</f>
        <v>4.140,00</v>
      </c>
      <c r="N4526" s="8" t="s">
        <v>923</v>
      </c>
      <c r="O4526" s="7"/>
      <c r="P4526" s="2" t="s">
        <v>7254</v>
      </c>
      <c r="Q4526" s="7"/>
      <c r="R4526" s="1"/>
      <c r="S4526" s="1" t="str">
        <f>"J-UN-2022-1330"</f>
        <v>J-UN-2022-1330</v>
      </c>
      <c r="T4526" s="1" t="s">
        <v>32</v>
      </c>
    </row>
    <row r="4527" spans="1:20" ht="51" x14ac:dyDescent="0.25">
      <c r="A4527" s="6">
        <v>4521</v>
      </c>
      <c r="B4527" s="1" t="str">
        <f>"2022-1346"</f>
        <v>2022-1346</v>
      </c>
      <c r="C4527" s="1" t="s">
        <v>2811</v>
      </c>
      <c r="D4527" s="1" t="s">
        <v>1859</v>
      </c>
      <c r="E4527" s="1" t="str">
        <f>""</f>
        <v/>
      </c>
      <c r="F4527" s="1" t="s">
        <v>1860</v>
      </c>
      <c r="G4527" s="1" t="str">
        <f>CONCATENATE(" ZIRS UČILIŠTE,"," ULICA GRADA VUKOVARA 68,"," 10000 ZAGREB,"," OIB: 22228764473")</f>
        <v xml:space="preserve"> ZIRS UČILIŠTE, ULICA GRADA VUKOVARA 68, 10000 ZAGREB, OIB: 22228764473</v>
      </c>
      <c r="H4527" s="7"/>
      <c r="I4527" s="8" t="s">
        <v>563</v>
      </c>
      <c r="J4527" s="8" t="s">
        <v>2345</v>
      </c>
      <c r="K4527" s="6" t="str">
        <f>"16.215,00"</f>
        <v>16.215,00</v>
      </c>
      <c r="L4527" s="6" t="str">
        <f>"4.053,75"</f>
        <v>4.053,75</v>
      </c>
      <c r="M4527" s="6" t="str">
        <f>"20.268,75"</f>
        <v>20.268,75</v>
      </c>
      <c r="N4527" s="8" t="s">
        <v>124</v>
      </c>
      <c r="O4527" s="7"/>
      <c r="P4527" s="2" t="s">
        <v>5614</v>
      </c>
      <c r="Q4527" s="7"/>
      <c r="R4527" s="1"/>
      <c r="S4527" s="1" t="str">
        <f>"J-UN-2022-1331"</f>
        <v>J-UN-2022-1331</v>
      </c>
      <c r="T4527" s="1" t="s">
        <v>32</v>
      </c>
    </row>
    <row r="4528" spans="1:20" ht="63.75" x14ac:dyDescent="0.25">
      <c r="A4528" s="6">
        <v>4522</v>
      </c>
      <c r="B4528" s="1" t="str">
        <f>"2022-240"</f>
        <v>2022-240</v>
      </c>
      <c r="C4528" s="1" t="s">
        <v>2866</v>
      </c>
      <c r="D4528" s="1" t="s">
        <v>2867</v>
      </c>
      <c r="E4528" s="1" t="str">
        <f>""</f>
        <v/>
      </c>
      <c r="F4528" s="1" t="s">
        <v>1860</v>
      </c>
      <c r="G4528" s="1" t="str">
        <f>CONCATENATE(" AGROTUROPOLJE D.O.O.,"," VELIKOGORIČKA 43,"," 10415 NOVO ČIČE,"," OIB: 66493270332")</f>
        <v xml:space="preserve"> AGROTUROPOLJE D.O.O., VELIKOGORIČKA 43, 10415 NOVO ČIČE, OIB: 66493270332</v>
      </c>
      <c r="H4528" s="7"/>
      <c r="I4528" s="8" t="s">
        <v>428</v>
      </c>
      <c r="J4528" s="8" t="s">
        <v>3202</v>
      </c>
      <c r="K4528" s="6" t="str">
        <f>"19.640,00"</f>
        <v>19.640,00</v>
      </c>
      <c r="L4528" s="6" t="str">
        <f>"4.910,00"</f>
        <v>4.910,00</v>
      </c>
      <c r="M4528" s="6" t="str">
        <f>"24.550,00"</f>
        <v>24.550,00</v>
      </c>
      <c r="N4528" s="8" t="s">
        <v>600</v>
      </c>
      <c r="O4528" s="7"/>
      <c r="P4528" s="2" t="s">
        <v>8279</v>
      </c>
      <c r="Q4528" s="7"/>
      <c r="R4528" s="1"/>
      <c r="S4528" s="1" t="str">
        <f>"J-UN-2022-1332"</f>
        <v>J-UN-2022-1332</v>
      </c>
      <c r="T4528" s="1" t="s">
        <v>32</v>
      </c>
    </row>
    <row r="4529" spans="1:20" ht="76.5" x14ac:dyDescent="0.25">
      <c r="A4529" s="6">
        <v>4523</v>
      </c>
      <c r="B4529" s="1" t="str">
        <f>"2022-460"</f>
        <v>2022-460</v>
      </c>
      <c r="C4529" s="1" t="s">
        <v>2793</v>
      </c>
      <c r="D4529" s="1" t="s">
        <v>1619</v>
      </c>
      <c r="E4529" s="1" t="str">
        <f>""</f>
        <v/>
      </c>
      <c r="F4529" s="1" t="s">
        <v>1860</v>
      </c>
      <c r="G4529" s="1" t="str">
        <f>CONCATENATE(" TOP AGRO D.O.O.,"," ULICA SVETOG LEOPOLDA BOGDANA MANDIĆA 111,"," 31000 OSIJEK,"," OIB: 94870891904")</f>
        <v xml:space="preserve"> TOP AGRO D.O.O., ULICA SVETOG LEOPOLDA BOGDANA MANDIĆA 111, 31000 OSIJEK, OIB: 94870891904</v>
      </c>
      <c r="H4529" s="7"/>
      <c r="I4529" s="8" t="s">
        <v>428</v>
      </c>
      <c r="J4529" s="8" t="s">
        <v>3202</v>
      </c>
      <c r="K4529" s="6" t="str">
        <f>"7.174,58"</f>
        <v>7.174,58</v>
      </c>
      <c r="L4529" s="6" t="str">
        <f>"1.793,65"</f>
        <v>1.793,65</v>
      </c>
      <c r="M4529" s="6" t="str">
        <f>"8.968,23"</f>
        <v>8.968,23</v>
      </c>
      <c r="N4529" s="8" t="s">
        <v>124</v>
      </c>
      <c r="O4529" s="7"/>
      <c r="P4529" s="2" t="s">
        <v>5614</v>
      </c>
      <c r="Q4529" s="7"/>
      <c r="R4529" s="1"/>
      <c r="S4529" s="1" t="str">
        <f>"J-UN-2022-1333"</f>
        <v>J-UN-2022-1333</v>
      </c>
      <c r="T4529" s="1" t="s">
        <v>32</v>
      </c>
    </row>
    <row r="4530" spans="1:20" ht="63.75" x14ac:dyDescent="0.25">
      <c r="A4530" s="6">
        <v>4524</v>
      </c>
      <c r="B4530" s="1" t="str">
        <f>"2022-1967"</f>
        <v>2022-1967</v>
      </c>
      <c r="C4530" s="1" t="s">
        <v>3203</v>
      </c>
      <c r="D4530" s="1" t="s">
        <v>537</v>
      </c>
      <c r="E4530" s="1" t="str">
        <f>""</f>
        <v/>
      </c>
      <c r="F4530" s="1" t="s">
        <v>1860</v>
      </c>
      <c r="G4530" s="1" t="str">
        <f>CONCATENATE(" MALI GRM D.O.O.,"," GRANČARSKA ULICA II. ODVOJAK 4,"," 10000 ZAGREB,"," OIB: 91276298719")</f>
        <v xml:space="preserve"> MALI GRM D.O.O., GRANČARSKA ULICA II. ODVOJAK 4, 10000 ZAGREB, OIB: 91276298719</v>
      </c>
      <c r="H4530" s="7"/>
      <c r="I4530" s="8" t="s">
        <v>923</v>
      </c>
      <c r="J4530" s="8" t="s">
        <v>3194</v>
      </c>
      <c r="K4530" s="6" t="str">
        <f>"188.980,00"</f>
        <v>188.980,00</v>
      </c>
      <c r="L4530" s="6" t="str">
        <f>"47.245,00"</f>
        <v>47.245,00</v>
      </c>
      <c r="M4530" s="6" t="str">
        <f>"236.225,00"</f>
        <v>236.225,00</v>
      </c>
      <c r="N4530" s="8" t="s">
        <v>124</v>
      </c>
      <c r="O4530" s="7"/>
      <c r="P4530" s="2" t="s">
        <v>8280</v>
      </c>
      <c r="Q4530" s="7"/>
      <c r="R4530" s="1"/>
      <c r="S4530" s="1" t="str">
        <f>"J-UN-2022-1335"</f>
        <v>J-UN-2022-1335</v>
      </c>
      <c r="T4530" s="1" t="s">
        <v>32</v>
      </c>
    </row>
    <row r="4531" spans="1:20" ht="63.75" x14ac:dyDescent="0.25">
      <c r="A4531" s="6">
        <v>4525</v>
      </c>
      <c r="B4531" s="1" t="str">
        <f>"2022-1966"</f>
        <v>2022-1966</v>
      </c>
      <c r="C4531" s="1" t="s">
        <v>3204</v>
      </c>
      <c r="D4531" s="1" t="s">
        <v>537</v>
      </c>
      <c r="E4531" s="1" t="str">
        <f>""</f>
        <v/>
      </c>
      <c r="F4531" s="1" t="s">
        <v>1860</v>
      </c>
      <c r="G4531" s="1" t="str">
        <f>CONCATENATE(" MALI GRM D.O.O.,"," GRANČARSKA ULICA II. ODVOJAK 4,"," 10000 ZAGREB,"," OIB: 91276298719")</f>
        <v xml:space="preserve"> MALI GRM D.O.O., GRANČARSKA ULICA II. ODVOJAK 4, 10000 ZAGREB, OIB: 91276298719</v>
      </c>
      <c r="H4531" s="7"/>
      <c r="I4531" s="8" t="s">
        <v>923</v>
      </c>
      <c r="J4531" s="8" t="s">
        <v>3194</v>
      </c>
      <c r="K4531" s="6" t="str">
        <f>"188.980,00"</f>
        <v>188.980,00</v>
      </c>
      <c r="L4531" s="6" t="str">
        <f>"47.245,00"</f>
        <v>47.245,00</v>
      </c>
      <c r="M4531" s="6" t="str">
        <f>"236.225,00"</f>
        <v>236.225,00</v>
      </c>
      <c r="N4531" s="8" t="s">
        <v>124</v>
      </c>
      <c r="O4531" s="7"/>
      <c r="P4531" s="2" t="s">
        <v>8281</v>
      </c>
      <c r="Q4531" s="7"/>
      <c r="R4531" s="1"/>
      <c r="S4531" s="1" t="str">
        <f>"J-UN-2022-1336"</f>
        <v>J-UN-2022-1336</v>
      </c>
      <c r="T4531" s="1" t="s">
        <v>32</v>
      </c>
    </row>
    <row r="4532" spans="1:20" ht="63.75" x14ac:dyDescent="0.25">
      <c r="A4532" s="6">
        <v>4526</v>
      </c>
      <c r="B4532" s="1" t="str">
        <f>"2022-1965"</f>
        <v>2022-1965</v>
      </c>
      <c r="C4532" s="1" t="s">
        <v>3205</v>
      </c>
      <c r="D4532" s="1" t="s">
        <v>537</v>
      </c>
      <c r="E4532" s="1" t="str">
        <f>""</f>
        <v/>
      </c>
      <c r="F4532" s="1" t="s">
        <v>1860</v>
      </c>
      <c r="G4532" s="1" t="str">
        <f>CONCATENATE(" MALI GRM D.O.O.,"," GRANČARSKA ULICA II. ODVOJAK 4,"," 10000 ZAGREB,"," OIB: 91276298719")</f>
        <v xml:space="preserve"> MALI GRM D.O.O., GRANČARSKA ULICA II. ODVOJAK 4, 10000 ZAGREB, OIB: 91276298719</v>
      </c>
      <c r="H4532" s="7"/>
      <c r="I4532" s="8" t="s">
        <v>923</v>
      </c>
      <c r="J4532" s="8" t="s">
        <v>3194</v>
      </c>
      <c r="K4532" s="6" t="str">
        <f>"188.980,00"</f>
        <v>188.980,00</v>
      </c>
      <c r="L4532" s="6" t="str">
        <f>"47.245,00"</f>
        <v>47.245,00</v>
      </c>
      <c r="M4532" s="6" t="str">
        <f>"236.225,00"</f>
        <v>236.225,00</v>
      </c>
      <c r="N4532" s="8" t="s">
        <v>124</v>
      </c>
      <c r="O4532" s="7"/>
      <c r="P4532" s="2" t="s">
        <v>8282</v>
      </c>
      <c r="Q4532" s="7"/>
      <c r="R4532" s="1"/>
      <c r="S4532" s="1" t="str">
        <f>"J-UN-2022-1337"</f>
        <v>J-UN-2022-1337</v>
      </c>
      <c r="T4532" s="1" t="s">
        <v>32</v>
      </c>
    </row>
    <row r="4533" spans="1:20" ht="76.5" x14ac:dyDescent="0.25">
      <c r="A4533" s="6">
        <v>4527</v>
      </c>
      <c r="B4533" s="1" t="str">
        <f>"2022-1969"</f>
        <v>2022-1969</v>
      </c>
      <c r="C4533" s="1" t="s">
        <v>3206</v>
      </c>
      <c r="D4533" s="1" t="s">
        <v>537</v>
      </c>
      <c r="E4533" s="1" t="str">
        <f>""</f>
        <v/>
      </c>
      <c r="F4533" s="1" t="s">
        <v>1860</v>
      </c>
      <c r="G4533" s="1" t="str">
        <f>CONCATENATE(" TBG BETON D.O.O.,"," ULICA IVANA LUČIĆA 2A,"," 10000 ZAGREB,"," OIB: 13818779193")</f>
        <v xml:space="preserve"> TBG BETON D.O.O., ULICA IVANA LUČIĆA 2A, 10000 ZAGREB, OIB: 13818779193</v>
      </c>
      <c r="H4533" s="7"/>
      <c r="I4533" s="8" t="s">
        <v>923</v>
      </c>
      <c r="J4533" s="8" t="s">
        <v>3194</v>
      </c>
      <c r="K4533" s="6" t="str">
        <f>"174.780,00"</f>
        <v>174.780,00</v>
      </c>
      <c r="L4533" s="6" t="str">
        <f>"43.695,00"</f>
        <v>43.695,00</v>
      </c>
      <c r="M4533" s="6" t="str">
        <f>"218.475,00"</f>
        <v>218.475,00</v>
      </c>
      <c r="N4533" s="8" t="s">
        <v>124</v>
      </c>
      <c r="O4533" s="7"/>
      <c r="P4533" s="2" t="s">
        <v>8283</v>
      </c>
      <c r="Q4533" s="7"/>
      <c r="R4533" s="1"/>
      <c r="S4533" s="1" t="str">
        <f>"J-UN-2022-1338"</f>
        <v>J-UN-2022-1338</v>
      </c>
      <c r="T4533" s="1" t="s">
        <v>32</v>
      </c>
    </row>
    <row r="4534" spans="1:20" ht="76.5" x14ac:dyDescent="0.25">
      <c r="A4534" s="6">
        <v>4528</v>
      </c>
      <c r="B4534" s="1" t="str">
        <f>"2022-1968"</f>
        <v>2022-1968</v>
      </c>
      <c r="C4534" s="1" t="s">
        <v>3207</v>
      </c>
      <c r="D4534" s="1" t="s">
        <v>537</v>
      </c>
      <c r="E4534" s="1" t="str">
        <f>""</f>
        <v/>
      </c>
      <c r="F4534" s="1" t="s">
        <v>1860</v>
      </c>
      <c r="G4534" s="1" t="str">
        <f>CONCATENATE(" TBG BETON D.O.O.,"," ULICA IVANA LUČIĆA 2A,"," 10000 ZAGREB,"," OIB: 13818779193")</f>
        <v xml:space="preserve"> TBG BETON D.O.O., ULICA IVANA LUČIĆA 2A, 10000 ZAGREB, OIB: 13818779193</v>
      </c>
      <c r="H4534" s="7"/>
      <c r="I4534" s="8" t="s">
        <v>923</v>
      </c>
      <c r="J4534" s="8" t="s">
        <v>3194</v>
      </c>
      <c r="K4534" s="6" t="str">
        <f>"174.750,00"</f>
        <v>174.750,00</v>
      </c>
      <c r="L4534" s="6" t="str">
        <f>"43.687,50"</f>
        <v>43.687,50</v>
      </c>
      <c r="M4534" s="6" t="str">
        <f>"218.437,50"</f>
        <v>218.437,50</v>
      </c>
      <c r="N4534" s="8" t="s">
        <v>124</v>
      </c>
      <c r="O4534" s="7"/>
      <c r="P4534" s="2" t="s">
        <v>8284</v>
      </c>
      <c r="Q4534" s="7"/>
      <c r="R4534" s="1"/>
      <c r="S4534" s="1" t="str">
        <f>"J-UN-2022-1339"</f>
        <v>J-UN-2022-1339</v>
      </c>
      <c r="T4534" s="1" t="s">
        <v>32</v>
      </c>
    </row>
    <row r="4535" spans="1:20" ht="51" x14ac:dyDescent="0.25">
      <c r="A4535" s="6">
        <v>4529</v>
      </c>
      <c r="B4535" s="1" t="str">
        <f>"2022-382"</f>
        <v>2022-382</v>
      </c>
      <c r="C4535" s="1" t="s">
        <v>2700</v>
      </c>
      <c r="D4535" s="1" t="s">
        <v>2701</v>
      </c>
      <c r="E4535" s="1" t="str">
        <f>""</f>
        <v/>
      </c>
      <c r="F4535" s="1" t="s">
        <v>1860</v>
      </c>
      <c r="G4535" s="1" t="str">
        <f>CONCATENATE(" OSOR PROMET D.O.O.,"," DOBRI DOL 56,"," 10000 ZAGREB,"," OIB: 53848806583")</f>
        <v xml:space="preserve"> OSOR PROMET D.O.O., DOBRI DOL 56, 10000 ZAGREB, OIB: 53848806583</v>
      </c>
      <c r="H4535" s="7"/>
      <c r="I4535" s="8" t="s">
        <v>428</v>
      </c>
      <c r="J4535" s="8" t="s">
        <v>3202</v>
      </c>
      <c r="K4535" s="6" t="str">
        <f>"3.072,00"</f>
        <v>3.072,00</v>
      </c>
      <c r="L4535" s="6" t="str">
        <f>"768,00"</f>
        <v>768,00</v>
      </c>
      <c r="M4535" s="6" t="str">
        <f>"3.840,00"</f>
        <v>3.840,00</v>
      </c>
      <c r="N4535" s="8" t="s">
        <v>124</v>
      </c>
      <c r="O4535" s="7"/>
      <c r="P4535" s="2" t="s">
        <v>5614</v>
      </c>
      <c r="Q4535" s="7"/>
      <c r="R4535" s="1"/>
      <c r="S4535" s="1" t="str">
        <f>"J-UN-2022-1342"</f>
        <v>J-UN-2022-1342</v>
      </c>
      <c r="T4535" s="1" t="s">
        <v>32</v>
      </c>
    </row>
    <row r="4536" spans="1:20" ht="51" x14ac:dyDescent="0.25">
      <c r="A4536" s="6">
        <v>4530</v>
      </c>
      <c r="B4536" s="1" t="str">
        <f>"2022-801"</f>
        <v>2022-801</v>
      </c>
      <c r="C4536" s="1" t="s">
        <v>2771</v>
      </c>
      <c r="D4536" s="1" t="s">
        <v>2772</v>
      </c>
      <c r="E4536" s="1" t="str">
        <f>""</f>
        <v/>
      </c>
      <c r="F4536" s="1" t="s">
        <v>1860</v>
      </c>
      <c r="G4536" s="1" t="str">
        <f>CONCATENATE(" DOMEL D.O.O.,"," AVENIJA DUBROVNIK 15,"," 10020 ZAGREB,"," OIB: 642488577")</f>
        <v xml:space="preserve"> DOMEL D.O.O., AVENIJA DUBROVNIK 15, 10020 ZAGREB, OIB: 642488577</v>
      </c>
      <c r="H4536" s="7"/>
      <c r="I4536" s="8" t="s">
        <v>600</v>
      </c>
      <c r="J4536" s="8" t="s">
        <v>2183</v>
      </c>
      <c r="K4536" s="6" t="str">
        <f>"69.938,00"</f>
        <v>69.938,00</v>
      </c>
      <c r="L4536" s="6" t="str">
        <f>"17.484,50"</f>
        <v>17.484,50</v>
      </c>
      <c r="M4536" s="6" t="str">
        <f>"87.422,50"</f>
        <v>87.422,50</v>
      </c>
      <c r="N4536" s="8" t="s">
        <v>281</v>
      </c>
      <c r="O4536" s="7"/>
      <c r="P4536" s="2" t="s">
        <v>8285</v>
      </c>
      <c r="Q4536" s="7"/>
      <c r="R4536" s="1"/>
      <c r="S4536" s="1" t="str">
        <f>"J-UN-2022-1343"</f>
        <v>J-UN-2022-1343</v>
      </c>
      <c r="T4536" s="1" t="s">
        <v>32</v>
      </c>
    </row>
    <row r="4537" spans="1:20" ht="63.75" x14ac:dyDescent="0.25">
      <c r="A4537" s="6">
        <v>4531</v>
      </c>
      <c r="B4537" s="1" t="str">
        <f>"2022-1970"</f>
        <v>2022-1970</v>
      </c>
      <c r="C4537" s="1" t="s">
        <v>3208</v>
      </c>
      <c r="D4537" s="1" t="s">
        <v>741</v>
      </c>
      <c r="E4537" s="1" t="str">
        <f>""</f>
        <v/>
      </c>
      <c r="F4537" s="1" t="s">
        <v>1860</v>
      </c>
      <c r="G4537" s="1" t="str">
        <f>CONCATENATE(" CHROMOS-SVJETLOST D.O.O.,"," MIJATA STOJANOVIĆA 13,"," 35257 LUŽANI,"," OIB: 72579903288")</f>
        <v xml:space="preserve"> CHROMOS-SVJETLOST D.O.O., MIJATA STOJANOVIĆA 13, 35257 LUŽANI, OIB: 72579903288</v>
      </c>
      <c r="H4537" s="7"/>
      <c r="I4537" s="8" t="s">
        <v>208</v>
      </c>
      <c r="J4537" s="8" t="s">
        <v>2421</v>
      </c>
      <c r="K4537" s="6" t="str">
        <f>"181.403,20"</f>
        <v>181.403,20</v>
      </c>
      <c r="L4537" s="6" t="str">
        <f>"45.350,80"</f>
        <v>45.350,80</v>
      </c>
      <c r="M4537" s="6" t="str">
        <f>"226.754,00"</f>
        <v>226.754,00</v>
      </c>
      <c r="N4537" s="8" t="s">
        <v>910</v>
      </c>
      <c r="O4537" s="7"/>
      <c r="P4537" s="2" t="s">
        <v>8286</v>
      </c>
      <c r="Q4537" s="7"/>
      <c r="R4537" s="1"/>
      <c r="S4537" s="1" t="str">
        <f>"J-UN-2022-1345"</f>
        <v>J-UN-2022-1345</v>
      </c>
      <c r="T4537" s="1" t="s">
        <v>32</v>
      </c>
    </row>
    <row r="4538" spans="1:20" ht="63.75" x14ac:dyDescent="0.25">
      <c r="A4538" s="6">
        <v>4532</v>
      </c>
      <c r="B4538" s="1" t="str">
        <f>"2022-1963"</f>
        <v>2022-1963</v>
      </c>
      <c r="C4538" s="1" t="s">
        <v>3209</v>
      </c>
      <c r="D4538" s="1" t="s">
        <v>741</v>
      </c>
      <c r="E4538" s="1" t="str">
        <f>""</f>
        <v/>
      </c>
      <c r="F4538" s="1" t="s">
        <v>1860</v>
      </c>
      <c r="G4538" s="1" t="str">
        <f>CONCATENATE(" CHROMOS-SVJETLOST D.O.O.,"," MIJATA STOJANOVIĆA 13,"," 35257 LUŽANI,"," OIB: 72579903288")</f>
        <v xml:space="preserve"> CHROMOS-SVJETLOST D.O.O., MIJATA STOJANOVIĆA 13, 35257 LUŽANI, OIB: 72579903288</v>
      </c>
      <c r="H4538" s="7"/>
      <c r="I4538" s="8" t="s">
        <v>208</v>
      </c>
      <c r="J4538" s="8" t="s">
        <v>2421</v>
      </c>
      <c r="K4538" s="6" t="str">
        <f>"182.101,20"</f>
        <v>182.101,20</v>
      </c>
      <c r="L4538" s="6" t="str">
        <f>"45.525,30"</f>
        <v>45.525,30</v>
      </c>
      <c r="M4538" s="6" t="str">
        <f>"227.626,50"</f>
        <v>227.626,50</v>
      </c>
      <c r="N4538" s="8" t="s">
        <v>1157</v>
      </c>
      <c r="O4538" s="7"/>
      <c r="P4538" s="2" t="s">
        <v>8287</v>
      </c>
      <c r="Q4538" s="7"/>
      <c r="R4538" s="1"/>
      <c r="S4538" s="1" t="str">
        <f>"J-UN-2022-1346"</f>
        <v>J-UN-2022-1346</v>
      </c>
      <c r="T4538" s="1" t="s">
        <v>32</v>
      </c>
    </row>
    <row r="4539" spans="1:20" ht="63.75" x14ac:dyDescent="0.25">
      <c r="A4539" s="6">
        <v>4533</v>
      </c>
      <c r="B4539" s="1" t="str">
        <f>"2022-1971"</f>
        <v>2022-1971</v>
      </c>
      <c r="C4539" s="1" t="s">
        <v>3210</v>
      </c>
      <c r="D4539" s="1" t="s">
        <v>741</v>
      </c>
      <c r="E4539" s="1" t="str">
        <f>""</f>
        <v/>
      </c>
      <c r="F4539" s="1" t="s">
        <v>1860</v>
      </c>
      <c r="G4539" s="1" t="str">
        <f>CONCATENATE(" CHROMOS-SVJETLOST D.O.O.,"," MIJATA STOJANOVIĆA 13,"," 35257 LUŽANI,"," OIB: 72579903288")</f>
        <v xml:space="preserve"> CHROMOS-SVJETLOST D.O.O., MIJATA STOJANOVIĆA 13, 35257 LUŽANI, OIB: 72579903288</v>
      </c>
      <c r="H4539" s="7"/>
      <c r="I4539" s="8" t="s">
        <v>208</v>
      </c>
      <c r="J4539" s="8" t="s">
        <v>2421</v>
      </c>
      <c r="K4539" s="6" t="str">
        <f>"181.193,60"</f>
        <v>181.193,60</v>
      </c>
      <c r="L4539" s="6" t="str">
        <f>"45.298,40"</f>
        <v>45.298,40</v>
      </c>
      <c r="M4539" s="6" t="str">
        <f>"226.492,00"</f>
        <v>226.492,00</v>
      </c>
      <c r="N4539" s="8" t="s">
        <v>1157</v>
      </c>
      <c r="O4539" s="7"/>
      <c r="P4539" s="2" t="s">
        <v>8288</v>
      </c>
      <c r="Q4539" s="7"/>
      <c r="R4539" s="1"/>
      <c r="S4539" s="1" t="str">
        <f>"J-UN-2022-1347"</f>
        <v>J-UN-2022-1347</v>
      </c>
      <c r="T4539" s="1" t="s">
        <v>32</v>
      </c>
    </row>
    <row r="4540" spans="1:20" ht="63.75" x14ac:dyDescent="0.25">
      <c r="A4540" s="6">
        <v>4534</v>
      </c>
      <c r="B4540" s="1" t="str">
        <f>"2022-319"</f>
        <v>2022-319</v>
      </c>
      <c r="C4540" s="1" t="s">
        <v>2745</v>
      </c>
      <c r="D4540" s="1" t="s">
        <v>700</v>
      </c>
      <c r="E4540" s="1" t="str">
        <f>""</f>
        <v/>
      </c>
      <c r="F4540" s="1" t="s">
        <v>1860</v>
      </c>
      <c r="G4540" s="1" t="str">
        <f>CONCATENATE(" BRČIĆ PROIZVODNJA D.O.O.,"," SAMOBORSKA CESTA 107A,"," 10090 ZAGREB-SUSEDGRAD,"," OIB: 66878084788")</f>
        <v xml:space="preserve"> BRČIĆ PROIZVODNJA D.O.O., SAMOBORSKA CESTA 107A, 10090 ZAGREB-SUSEDGRAD, OIB: 66878084788</v>
      </c>
      <c r="H4540" s="7"/>
      <c r="I4540" s="8" t="s">
        <v>563</v>
      </c>
      <c r="J4540" s="8" t="s">
        <v>2345</v>
      </c>
      <c r="K4540" s="6" t="str">
        <f>"1.060,00"</f>
        <v>1.060,00</v>
      </c>
      <c r="L4540" s="6" t="str">
        <f>"265,00"</f>
        <v>265,00</v>
      </c>
      <c r="M4540" s="6" t="str">
        <f>"1.325,00"</f>
        <v>1.325,00</v>
      </c>
      <c r="N4540" s="8" t="s">
        <v>124</v>
      </c>
      <c r="O4540" s="7"/>
      <c r="P4540" s="2" t="s">
        <v>5614</v>
      </c>
      <c r="Q4540" s="7"/>
      <c r="R4540" s="1"/>
      <c r="S4540" s="1" t="str">
        <f>"J-UN-2022-1349"</f>
        <v>J-UN-2022-1349</v>
      </c>
      <c r="T4540" s="1" t="s">
        <v>32</v>
      </c>
    </row>
    <row r="4541" spans="1:20" ht="51" x14ac:dyDescent="0.25">
      <c r="A4541" s="6">
        <v>4535</v>
      </c>
      <c r="B4541" s="1" t="str">
        <f>"2022-732"</f>
        <v>2022-732</v>
      </c>
      <c r="C4541" s="1" t="s">
        <v>2806</v>
      </c>
      <c r="D4541" s="1" t="s">
        <v>914</v>
      </c>
      <c r="E4541" s="1" t="str">
        <f>""</f>
        <v/>
      </c>
      <c r="F4541" s="1" t="s">
        <v>1860</v>
      </c>
      <c r="G4541" s="1" t="str">
        <f>CONCATENATE(" TRIDION D.O.O.,"," ZAPADNA LOZICA 10,"," 10000 ZAGREB,"," OIB: 79247590666")</f>
        <v xml:space="preserve"> TRIDION D.O.O., ZAPADNA LOZICA 10, 10000 ZAGREB, OIB: 79247590666</v>
      </c>
      <c r="H4541" s="7"/>
      <c r="I4541" s="8" t="s">
        <v>429</v>
      </c>
      <c r="J4541" s="8" t="s">
        <v>3211</v>
      </c>
      <c r="K4541" s="6" t="str">
        <f>"37.370,00"</f>
        <v>37.370,00</v>
      </c>
      <c r="L4541" s="6" t="str">
        <f>"9.342,50"</f>
        <v>9.342,50</v>
      </c>
      <c r="M4541" s="6" t="str">
        <f>"46.712,50"</f>
        <v>46.712,50</v>
      </c>
      <c r="N4541" s="8" t="s">
        <v>892</v>
      </c>
      <c r="O4541" s="7"/>
      <c r="P4541" s="2" t="s">
        <v>8289</v>
      </c>
      <c r="Q4541" s="7"/>
      <c r="R4541" s="1"/>
      <c r="S4541" s="1" t="str">
        <f>"J-UN-2022-1351"</f>
        <v>J-UN-2022-1351</v>
      </c>
      <c r="T4541" s="1" t="s">
        <v>32</v>
      </c>
    </row>
    <row r="4542" spans="1:20" ht="51" x14ac:dyDescent="0.25">
      <c r="A4542" s="6">
        <v>4536</v>
      </c>
      <c r="B4542" s="1" t="str">
        <f>"2022-393"</f>
        <v>2022-393</v>
      </c>
      <c r="C4542" s="1" t="s">
        <v>2695</v>
      </c>
      <c r="D4542" s="1" t="s">
        <v>2502</v>
      </c>
      <c r="E4542" s="1" t="str">
        <f>""</f>
        <v/>
      </c>
      <c r="F4542" s="1" t="s">
        <v>1860</v>
      </c>
      <c r="G4542" s="1" t="str">
        <f>CONCATENATE(" VODOSKOK D.D.,"," ČULINEČKA CESTA 221/C,"," 10040 ZAGREB,"," OIB: 34134218058")</f>
        <v xml:space="preserve"> VODOSKOK D.D., ČULINEČKA CESTA 221/C, 10040 ZAGREB, OIB: 34134218058</v>
      </c>
      <c r="H4542" s="7"/>
      <c r="I4542" s="8" t="s">
        <v>429</v>
      </c>
      <c r="J4542" s="8" t="s">
        <v>3211</v>
      </c>
      <c r="K4542" s="6" t="str">
        <f>"8.974,99"</f>
        <v>8.974,99</v>
      </c>
      <c r="L4542" s="6" t="str">
        <f>"2.243,75"</f>
        <v>2.243,75</v>
      </c>
      <c r="M4542" s="6" t="str">
        <f>"11.218,74"</f>
        <v>11.218,74</v>
      </c>
      <c r="N4542" s="8" t="s">
        <v>124</v>
      </c>
      <c r="O4542" s="7"/>
      <c r="P4542" s="2" t="s">
        <v>5614</v>
      </c>
      <c r="Q4542" s="7"/>
      <c r="R4542" s="1"/>
      <c r="S4542" s="1" t="str">
        <f>"J-UN-2022-1352"</f>
        <v>J-UN-2022-1352</v>
      </c>
      <c r="T4542" s="1" t="s">
        <v>32</v>
      </c>
    </row>
    <row r="4543" spans="1:20" ht="76.5" x14ac:dyDescent="0.25">
      <c r="A4543" s="6">
        <v>4537</v>
      </c>
      <c r="B4543" s="1" t="str">
        <f>"2022-499"</f>
        <v>2022-499</v>
      </c>
      <c r="C4543" s="1" t="s">
        <v>2788</v>
      </c>
      <c r="D4543" s="1" t="s">
        <v>2789</v>
      </c>
      <c r="E4543" s="1" t="str">
        <f>""</f>
        <v/>
      </c>
      <c r="F4543" s="1" t="s">
        <v>1860</v>
      </c>
      <c r="G4543" s="1" t="str">
        <f>CONCATENATE(" SMIT-COMMERCE D.O.O.,"," GORNJOSTUPNIČKA 9B,"," 10255 GORNJI STUPNIK,"," OIB: 9524348214")</f>
        <v xml:space="preserve"> SMIT-COMMERCE D.O.O., GORNJOSTUPNIČKA 9B, 10255 GORNJI STUPNIK, OIB: 9524348214</v>
      </c>
      <c r="H4543" s="7"/>
      <c r="I4543" s="8" t="s">
        <v>429</v>
      </c>
      <c r="J4543" s="8" t="s">
        <v>3211</v>
      </c>
      <c r="K4543" s="6" t="str">
        <f>"4.047,36"</f>
        <v>4.047,36</v>
      </c>
      <c r="L4543" s="6" t="str">
        <f>"1.011,84"</f>
        <v>1.011,84</v>
      </c>
      <c r="M4543" s="6" t="str">
        <f>"5.059,20"</f>
        <v>5.059,20</v>
      </c>
      <c r="N4543" s="8" t="s">
        <v>124</v>
      </c>
      <c r="O4543" s="7"/>
      <c r="P4543" s="2" t="s">
        <v>5614</v>
      </c>
      <c r="Q4543" s="7"/>
      <c r="R4543" s="1"/>
      <c r="S4543" s="1" t="str">
        <f>"J-UN-2022-1353"</f>
        <v>J-UN-2022-1353</v>
      </c>
      <c r="T4543" s="1" t="s">
        <v>32</v>
      </c>
    </row>
    <row r="4544" spans="1:20" ht="51" x14ac:dyDescent="0.25">
      <c r="A4544" s="6">
        <v>4538</v>
      </c>
      <c r="B4544" s="1" t="str">
        <f>"2022-845"</f>
        <v>2022-845</v>
      </c>
      <c r="C4544" s="1" t="s">
        <v>2804</v>
      </c>
      <c r="D4544" s="1" t="s">
        <v>2805</v>
      </c>
      <c r="E4544" s="1" t="str">
        <f>""</f>
        <v/>
      </c>
      <c r="F4544" s="1" t="s">
        <v>1860</v>
      </c>
      <c r="G4544" s="1" t="str">
        <f>CONCATENATE(" RUNOGRAD D.O.O.,"," MIJE SILOBOD BOLŠIĆA 2,"," 10000 ZAGREB,"," OIB: 7831042879")</f>
        <v xml:space="preserve"> RUNOGRAD D.O.O., MIJE SILOBOD BOLŠIĆA 2, 10000 ZAGREB, OIB: 7831042879</v>
      </c>
      <c r="H4544" s="7"/>
      <c r="I4544" s="8" t="s">
        <v>222</v>
      </c>
      <c r="J4544" s="8" t="s">
        <v>1822</v>
      </c>
      <c r="K4544" s="6" t="str">
        <f>"39.550,00"</f>
        <v>39.550,00</v>
      </c>
      <c r="L4544" s="6" t="str">
        <f>"9.887,50"</f>
        <v>9.887,50</v>
      </c>
      <c r="M4544" s="6" t="str">
        <f>"49.437,50"</f>
        <v>49.437,50</v>
      </c>
      <c r="N4544" s="8" t="s">
        <v>124</v>
      </c>
      <c r="O4544" s="7"/>
      <c r="P4544" s="2" t="s">
        <v>5614</v>
      </c>
      <c r="Q4544" s="7"/>
      <c r="R4544" s="1"/>
      <c r="S4544" s="1" t="str">
        <f>"J-UN-2022-1354"</f>
        <v>J-UN-2022-1354</v>
      </c>
      <c r="T4544" s="1" t="s">
        <v>32</v>
      </c>
    </row>
    <row r="4545" spans="1:20" ht="51" x14ac:dyDescent="0.25">
      <c r="A4545" s="6">
        <v>4539</v>
      </c>
      <c r="B4545" s="1" t="str">
        <f>"2022-825"</f>
        <v>2022-825</v>
      </c>
      <c r="C4545" s="1" t="s">
        <v>2492</v>
      </c>
      <c r="D4545" s="1" t="s">
        <v>2493</v>
      </c>
      <c r="E4545" s="1" t="str">
        <f>""</f>
        <v/>
      </c>
      <c r="F4545" s="1" t="s">
        <v>1860</v>
      </c>
      <c r="G4545" s="1" t="str">
        <f>CONCATENATE(" AUTOBUS D.O.O.,"," I. RESNIK 178,"," 10040 ZAGREB,"," OIB: 77383886713")</f>
        <v xml:space="preserve"> AUTOBUS D.O.O., I. RESNIK 178, 10040 ZAGREB, OIB: 77383886713</v>
      </c>
      <c r="H4545" s="7"/>
      <c r="I4545" s="8" t="s">
        <v>429</v>
      </c>
      <c r="J4545" s="8" t="s">
        <v>3211</v>
      </c>
      <c r="K4545" s="6" t="str">
        <f>"1.585,65"</f>
        <v>1.585,65</v>
      </c>
      <c r="L4545" s="6" t="str">
        <f>"396,41"</f>
        <v>396,41</v>
      </c>
      <c r="M4545" s="6" t="str">
        <f>"1.982,06"</f>
        <v>1.982,06</v>
      </c>
      <c r="N4545" s="8" t="s">
        <v>430</v>
      </c>
      <c r="O4545" s="7"/>
      <c r="P4545" s="2" t="s">
        <v>8290</v>
      </c>
      <c r="Q4545" s="7"/>
      <c r="R4545" s="1"/>
      <c r="S4545" s="1" t="str">
        <f>"J-UN-2022-1355"</f>
        <v>J-UN-2022-1355</v>
      </c>
      <c r="T4545" s="1" t="s">
        <v>32</v>
      </c>
    </row>
    <row r="4546" spans="1:20" ht="51" x14ac:dyDescent="0.25">
      <c r="A4546" s="6">
        <v>4540</v>
      </c>
      <c r="B4546" s="1" t="str">
        <f>"2022-422"</f>
        <v>2022-422</v>
      </c>
      <c r="C4546" s="1" t="s">
        <v>2810</v>
      </c>
      <c r="D4546" s="1" t="s">
        <v>2577</v>
      </c>
      <c r="E4546" s="1" t="str">
        <f>""</f>
        <v/>
      </c>
      <c r="F4546" s="1" t="s">
        <v>1860</v>
      </c>
      <c r="G4546" s="1" t="str">
        <f>CONCATENATE(" R-PIM D.O.O.,"," ZAGREBAČKA 12,"," 10437 BESTOVJE,"," OIB: 38514700472")</f>
        <v xml:space="preserve"> R-PIM D.O.O., ZAGREBAČKA 12, 10437 BESTOVJE, OIB: 38514700472</v>
      </c>
      <c r="H4546" s="7"/>
      <c r="I4546" s="8" t="s">
        <v>1314</v>
      </c>
      <c r="J4546" s="8" t="s">
        <v>2402</v>
      </c>
      <c r="K4546" s="6" t="str">
        <f>"17.900,00"</f>
        <v>17.900,00</v>
      </c>
      <c r="L4546" s="6" t="str">
        <f>"4.475,00"</f>
        <v>4.475,00</v>
      </c>
      <c r="M4546" s="6" t="str">
        <f>"22.375,00"</f>
        <v>22.375,00</v>
      </c>
      <c r="N4546" s="8" t="s">
        <v>431</v>
      </c>
      <c r="O4546" s="7"/>
      <c r="P4546" s="2" t="s">
        <v>8291</v>
      </c>
      <c r="Q4546" s="7"/>
      <c r="R4546" s="1"/>
      <c r="S4546" s="1" t="str">
        <f>"J-UN-2022-1356"</f>
        <v>J-UN-2022-1356</v>
      </c>
      <c r="T4546" s="1" t="s">
        <v>32</v>
      </c>
    </row>
    <row r="4547" spans="1:20" ht="63.75" x14ac:dyDescent="0.25">
      <c r="A4547" s="6">
        <v>4541</v>
      </c>
      <c r="B4547" s="1" t="str">
        <f>"2022-1815"</f>
        <v>2022-1815</v>
      </c>
      <c r="C4547" s="1" t="s">
        <v>3141</v>
      </c>
      <c r="D4547" s="1" t="s">
        <v>854</v>
      </c>
      <c r="E4547" s="1" t="str">
        <f>""</f>
        <v/>
      </c>
      <c r="F4547" s="1" t="s">
        <v>1860</v>
      </c>
      <c r="G4547" s="1" t="str">
        <f>CONCATENATE(" EUROCOM D.O.O.,"," POD BREGOM,"," DONJI STUPNIK 8,"," 10255 GORNJI STUPNIK,"," OIB: 61781931283")</f>
        <v xml:space="preserve"> EUROCOM D.O.O., POD BREGOM, DONJI STUPNIK 8, 10255 GORNJI STUPNIK, OIB: 61781931283</v>
      </c>
      <c r="H4547" s="7"/>
      <c r="I4547" s="8" t="s">
        <v>281</v>
      </c>
      <c r="J4547" s="8" t="s">
        <v>2411</v>
      </c>
      <c r="K4547" s="6" t="str">
        <f>"495,00"</f>
        <v>495,00</v>
      </c>
      <c r="L4547" s="6" t="str">
        <f>"123,75"</f>
        <v>123,75</v>
      </c>
      <c r="M4547" s="6" t="str">
        <f>"618,75"</f>
        <v>618,75</v>
      </c>
      <c r="N4547" s="8" t="s">
        <v>124</v>
      </c>
      <c r="O4547" s="7"/>
      <c r="P4547" s="2" t="s">
        <v>5614</v>
      </c>
      <c r="Q4547" s="7"/>
      <c r="R4547" s="1"/>
      <c r="S4547" s="1" t="str">
        <f>"J-UN-2022-1358"</f>
        <v>J-UN-2022-1358</v>
      </c>
      <c r="T4547" s="1" t="s">
        <v>32</v>
      </c>
    </row>
    <row r="4548" spans="1:20" ht="51" x14ac:dyDescent="0.25">
      <c r="A4548" s="6">
        <v>4542</v>
      </c>
      <c r="B4548" s="1" t="str">
        <f>"2022-60"</f>
        <v>2022-60</v>
      </c>
      <c r="C4548" s="1" t="s">
        <v>3042</v>
      </c>
      <c r="D4548" s="1" t="s">
        <v>1370</v>
      </c>
      <c r="E4548" s="1" t="str">
        <f>""</f>
        <v/>
      </c>
      <c r="F4548" s="1" t="s">
        <v>1860</v>
      </c>
      <c r="G4548" s="1" t="str">
        <f>CONCATENATE(" ZVIBOR D.O.O.,"," ZAVRTNICA 36,"," 10000 ZAGREB,"," OIB: 03454358063")</f>
        <v xml:space="preserve"> ZVIBOR D.O.O., ZAVRTNICA 36, 10000 ZAGREB, OIB: 03454358063</v>
      </c>
      <c r="H4548" s="7"/>
      <c r="I4548" s="8" t="s">
        <v>535</v>
      </c>
      <c r="J4548" s="8" t="s">
        <v>1895</v>
      </c>
      <c r="K4548" s="6" t="str">
        <f>"15.560,00"</f>
        <v>15.560,00</v>
      </c>
      <c r="L4548" s="6" t="str">
        <f>"3.890,00"</f>
        <v>3.890,00</v>
      </c>
      <c r="M4548" s="6" t="str">
        <f>"19.450,00"</f>
        <v>19.450,00</v>
      </c>
      <c r="N4548" s="8" t="s">
        <v>124</v>
      </c>
      <c r="O4548" s="7"/>
      <c r="P4548" s="2" t="s">
        <v>8292</v>
      </c>
      <c r="Q4548" s="7"/>
      <c r="R4548" s="1"/>
      <c r="S4548" s="1" t="str">
        <f>"J-UN-2022-1361"</f>
        <v>J-UN-2022-1361</v>
      </c>
      <c r="T4548" s="1" t="s">
        <v>43</v>
      </c>
    </row>
    <row r="4549" spans="1:20" ht="51" x14ac:dyDescent="0.25">
      <c r="A4549" s="6">
        <v>4543</v>
      </c>
      <c r="B4549" s="1" t="str">
        <f>"2022-1815"</f>
        <v>2022-1815</v>
      </c>
      <c r="C4549" s="1" t="s">
        <v>3141</v>
      </c>
      <c r="D4549" s="1" t="s">
        <v>854</v>
      </c>
      <c r="E4549" s="1" t="str">
        <f>""</f>
        <v/>
      </c>
      <c r="F4549" s="1" t="s">
        <v>1860</v>
      </c>
      <c r="G4549" s="1" t="str">
        <f>CONCATENATE(" VELJAŠ D.O.O.,"," HEINZELOVA 47,"," 10000 ZAGREB,"," OIB: 07193657714")</f>
        <v xml:space="preserve"> VELJAŠ D.O.O., HEINZELOVA 47, 10000 ZAGREB, OIB: 07193657714</v>
      </c>
      <c r="H4549" s="7"/>
      <c r="I4549" s="8" t="s">
        <v>429</v>
      </c>
      <c r="J4549" s="8" t="s">
        <v>3211</v>
      </c>
      <c r="K4549" s="6" t="str">
        <f>"6.574,99"</f>
        <v>6.574,99</v>
      </c>
      <c r="L4549" s="6" t="str">
        <f>"1.643,75"</f>
        <v>1.643,75</v>
      </c>
      <c r="M4549" s="6" t="str">
        <f>"8.218,74"</f>
        <v>8.218,74</v>
      </c>
      <c r="N4549" s="8" t="s">
        <v>124</v>
      </c>
      <c r="O4549" s="7"/>
      <c r="P4549" s="2" t="s">
        <v>5614</v>
      </c>
      <c r="Q4549" s="7"/>
      <c r="R4549" s="1"/>
      <c r="S4549" s="1" t="str">
        <f>"J-UN-2022-1368"</f>
        <v>J-UN-2022-1368</v>
      </c>
      <c r="T4549" s="1" t="s">
        <v>32</v>
      </c>
    </row>
    <row r="4550" spans="1:20" ht="51" x14ac:dyDescent="0.25">
      <c r="A4550" s="6">
        <v>4544</v>
      </c>
      <c r="B4550" s="1" t="str">
        <f>"2022-817"</f>
        <v>2022-817</v>
      </c>
      <c r="C4550" s="1" t="s">
        <v>2839</v>
      </c>
      <c r="D4550" s="1" t="s">
        <v>2716</v>
      </c>
      <c r="E4550" s="1" t="str">
        <f>""</f>
        <v/>
      </c>
      <c r="F4550" s="1" t="s">
        <v>1860</v>
      </c>
      <c r="G4550" s="1" t="str">
        <f>CONCATENATE(" TORBARINA D.O.O.,"," NOVA CESTA 3,"," 10412 DONJA LOMNICA,"," OIB: 02603292627")</f>
        <v xml:space="preserve"> TORBARINA D.O.O., NOVA CESTA 3, 10412 DONJA LOMNICA, OIB: 02603292627</v>
      </c>
      <c r="H4550" s="7"/>
      <c r="I4550" s="8" t="s">
        <v>429</v>
      </c>
      <c r="J4550" s="8" t="s">
        <v>3211</v>
      </c>
      <c r="K4550" s="6" t="str">
        <f>"76.978,41"</f>
        <v>76.978,41</v>
      </c>
      <c r="L4550" s="6" t="str">
        <f>"19.244,60"</f>
        <v>19.244,60</v>
      </c>
      <c r="M4550" s="6" t="str">
        <f>"96.223,01"</f>
        <v>96.223,01</v>
      </c>
      <c r="N4550" s="8" t="s">
        <v>1122</v>
      </c>
      <c r="O4550" s="7"/>
      <c r="P4550" s="2" t="s">
        <v>8293</v>
      </c>
      <c r="Q4550" s="7"/>
      <c r="R4550" s="1"/>
      <c r="S4550" s="1" t="str">
        <f>"J-UN-2022-1370"</f>
        <v>J-UN-2022-1370</v>
      </c>
      <c r="T4550" s="1" t="s">
        <v>32</v>
      </c>
    </row>
    <row r="4551" spans="1:20" ht="76.5" x14ac:dyDescent="0.25">
      <c r="A4551" s="6">
        <v>4545</v>
      </c>
      <c r="B4551" s="1" t="str">
        <f>"2022-257"</f>
        <v>2022-257</v>
      </c>
      <c r="C4551" s="1" t="s">
        <v>2712</v>
      </c>
      <c r="D4551" s="1" t="s">
        <v>2713</v>
      </c>
      <c r="E4551" s="1" t="str">
        <f>""</f>
        <v/>
      </c>
      <c r="F4551" s="1" t="s">
        <v>1860</v>
      </c>
      <c r="G4551" s="1" t="str">
        <f>CONCATENATE(" SMIT-COMMERCE D.O.O.,"," GORNJOSTUPNIČKA 9B,"," 10255 GORNJI STUPNIK,"," OIB: 9524348214")</f>
        <v xml:space="preserve"> SMIT-COMMERCE D.O.O., GORNJOSTUPNIČKA 9B, 10255 GORNJI STUPNIK, OIB: 9524348214</v>
      </c>
      <c r="H4551" s="7"/>
      <c r="I4551" s="8" t="s">
        <v>215</v>
      </c>
      <c r="J4551" s="8" t="s">
        <v>2423</v>
      </c>
      <c r="K4551" s="6" t="str">
        <f>"1.760,00"</f>
        <v>1.760,00</v>
      </c>
      <c r="L4551" s="6" t="str">
        <f>"440,00"</f>
        <v>440,00</v>
      </c>
      <c r="M4551" s="6" t="str">
        <f>"2.200,00"</f>
        <v>2.200,00</v>
      </c>
      <c r="N4551" s="8" t="s">
        <v>310</v>
      </c>
      <c r="O4551" s="7"/>
      <c r="P4551" s="2" t="s">
        <v>8294</v>
      </c>
      <c r="Q4551" s="7"/>
      <c r="R4551" s="1"/>
      <c r="S4551" s="1" t="str">
        <f>"J-UN-2022-1371"</f>
        <v>J-UN-2022-1371</v>
      </c>
      <c r="T4551" s="1" t="s">
        <v>32</v>
      </c>
    </row>
    <row r="4552" spans="1:20" ht="51" x14ac:dyDescent="0.25">
      <c r="A4552" s="6">
        <v>4546</v>
      </c>
      <c r="B4552" s="1" t="str">
        <f>"2022-755"</f>
        <v>2022-755</v>
      </c>
      <c r="C4552" s="1" t="s">
        <v>2615</v>
      </c>
      <c r="D4552" s="1" t="s">
        <v>999</v>
      </c>
      <c r="E4552" s="1" t="str">
        <f>""</f>
        <v/>
      </c>
      <c r="F4552" s="1" t="s">
        <v>1860</v>
      </c>
      <c r="G4552" s="1" t="str">
        <f>CONCATENATE(" INSAKO D.O.O.,"," PUŽEVA 11,"," 10000 ZAGREB,"," OIB: 39851720584")</f>
        <v xml:space="preserve"> INSAKO D.O.O., PUŽEVA 11, 10000 ZAGREB, OIB: 39851720584</v>
      </c>
      <c r="H4552" s="7"/>
      <c r="I4552" s="8" t="s">
        <v>215</v>
      </c>
      <c r="J4552" s="8" t="s">
        <v>2423</v>
      </c>
      <c r="K4552" s="6" t="str">
        <f>"3.000,00"</f>
        <v>3.000,00</v>
      </c>
      <c r="L4552" s="6" t="str">
        <f>"750,00"</f>
        <v>750,00</v>
      </c>
      <c r="M4552" s="6" t="str">
        <f>"3.750,00"</f>
        <v>3.750,00</v>
      </c>
      <c r="N4552" s="8" t="s">
        <v>970</v>
      </c>
      <c r="O4552" s="7"/>
      <c r="P4552" s="2" t="s">
        <v>7570</v>
      </c>
      <c r="Q4552" s="7"/>
      <c r="R4552" s="1"/>
      <c r="S4552" s="1" t="str">
        <f>"J-UN-2022-1372"</f>
        <v>J-UN-2022-1372</v>
      </c>
      <c r="T4552" s="1" t="s">
        <v>32</v>
      </c>
    </row>
    <row r="4553" spans="1:20" ht="51" x14ac:dyDescent="0.25">
      <c r="A4553" s="6">
        <v>4547</v>
      </c>
      <c r="B4553" s="1" t="str">
        <f>"2022-506"</f>
        <v>2022-506</v>
      </c>
      <c r="C4553" s="1" t="s">
        <v>3119</v>
      </c>
      <c r="D4553" s="1" t="s">
        <v>750</v>
      </c>
      <c r="E4553" s="1" t="str">
        <f>""</f>
        <v/>
      </c>
      <c r="F4553" s="1" t="s">
        <v>1860</v>
      </c>
      <c r="G4553" s="1" t="str">
        <f>CONCATENATE(" KOVA D.O.O.,"," BRAĆE RADIĆA 122B,"," 10410 VELIKA GORICA,"," OIB: 31948370674")</f>
        <v xml:space="preserve"> KOVA D.O.O., BRAĆE RADIĆA 122B, 10410 VELIKA GORICA, OIB: 31948370674</v>
      </c>
      <c r="H4553" s="7"/>
      <c r="I4553" s="8" t="s">
        <v>429</v>
      </c>
      <c r="J4553" s="8" t="s">
        <v>3211</v>
      </c>
      <c r="K4553" s="6" t="str">
        <f>"13.020,00"</f>
        <v>13.020,00</v>
      </c>
      <c r="L4553" s="6" t="str">
        <f>"3.255,00"</f>
        <v>3.255,00</v>
      </c>
      <c r="M4553" s="6" t="str">
        <f>"16.275,00"</f>
        <v>16.275,00</v>
      </c>
      <c r="N4553" s="8" t="s">
        <v>1159</v>
      </c>
      <c r="O4553" s="7"/>
      <c r="P4553" s="2" t="s">
        <v>8295</v>
      </c>
      <c r="Q4553" s="7"/>
      <c r="R4553" s="1"/>
      <c r="S4553" s="1" t="str">
        <f>"J-UN-2022-1374"</f>
        <v>J-UN-2022-1374</v>
      </c>
      <c r="T4553" s="1" t="s">
        <v>32</v>
      </c>
    </row>
    <row r="4554" spans="1:20" ht="63.75" x14ac:dyDescent="0.25">
      <c r="A4554" s="6">
        <v>4548</v>
      </c>
      <c r="B4554" s="1" t="str">
        <f>"2022-825"</f>
        <v>2022-825</v>
      </c>
      <c r="C4554" s="1" t="s">
        <v>2492</v>
      </c>
      <c r="D4554" s="1" t="s">
        <v>2493</v>
      </c>
      <c r="E4554" s="1" t="str">
        <f>""</f>
        <v/>
      </c>
      <c r="F4554" s="1" t="s">
        <v>1860</v>
      </c>
      <c r="G4554" s="1" t="str">
        <f>CONCATENATE(" TOKIĆ D.O.O.,"," ULICA 144. BRIGADE HRVATSKE VOJSKE 1A,"," 10360 SESVETE,"," OIB: 7486748762")</f>
        <v xml:space="preserve"> TOKIĆ D.O.O., ULICA 144. BRIGADE HRVATSKE VOJSKE 1A, 10360 SESVETE, OIB: 7486748762</v>
      </c>
      <c r="H4554" s="7"/>
      <c r="I4554" s="8" t="s">
        <v>431</v>
      </c>
      <c r="J4554" s="8" t="s">
        <v>3212</v>
      </c>
      <c r="K4554" s="6" t="str">
        <f>"758,60"</f>
        <v>758,60</v>
      </c>
      <c r="L4554" s="6" t="str">
        <f>"189,65"</f>
        <v>189,65</v>
      </c>
      <c r="M4554" s="6" t="str">
        <f>"948,25"</f>
        <v>948,25</v>
      </c>
      <c r="N4554" s="8" t="s">
        <v>374</v>
      </c>
      <c r="O4554" s="7"/>
      <c r="P4554" s="2" t="s">
        <v>8296</v>
      </c>
      <c r="Q4554" s="7"/>
      <c r="R4554" s="1"/>
      <c r="S4554" s="1" t="str">
        <f>"J-UN-2022-1375"</f>
        <v>J-UN-2022-1375</v>
      </c>
      <c r="T4554" s="1" t="s">
        <v>32</v>
      </c>
    </row>
    <row r="4555" spans="1:20" ht="51" x14ac:dyDescent="0.25">
      <c r="A4555" s="6">
        <v>4549</v>
      </c>
      <c r="B4555" s="1" t="str">
        <f>"2022-192"</f>
        <v>2022-192</v>
      </c>
      <c r="C4555" s="1" t="s">
        <v>2790</v>
      </c>
      <c r="D4555" s="1" t="s">
        <v>2791</v>
      </c>
      <c r="E4555" s="1" t="str">
        <f>""</f>
        <v/>
      </c>
      <c r="F4555" s="1" t="s">
        <v>1860</v>
      </c>
      <c r="G4555" s="1" t="str">
        <f>CONCATENATE(" ARBORI CULTURA D.O.O.,"," POKUPSKO 86,"," 10414 POKUPSKO,"," OIB: 16690651659")</f>
        <v xml:space="preserve"> ARBORI CULTURA D.O.O., POKUPSKO 86, 10414 POKUPSKO, OIB: 16690651659</v>
      </c>
      <c r="H4555" s="7"/>
      <c r="I4555" s="8" t="s">
        <v>431</v>
      </c>
      <c r="J4555" s="8" t="s">
        <v>3212</v>
      </c>
      <c r="K4555" s="6" t="str">
        <f>"98.280,00"</f>
        <v>98.280,00</v>
      </c>
      <c r="L4555" s="6" t="str">
        <f>"24.570,00"</f>
        <v>24.570,00</v>
      </c>
      <c r="M4555" s="6" t="str">
        <f>"122.850,00"</f>
        <v>122.850,00</v>
      </c>
      <c r="N4555" s="8" t="s">
        <v>124</v>
      </c>
      <c r="O4555" s="7"/>
      <c r="P4555" s="2" t="s">
        <v>5614</v>
      </c>
      <c r="Q4555" s="7"/>
      <c r="R4555" s="1"/>
      <c r="S4555" s="1" t="str">
        <f>"J-UN-2022-1376"</f>
        <v>J-UN-2022-1376</v>
      </c>
      <c r="T4555" s="1" t="s">
        <v>32</v>
      </c>
    </row>
    <row r="4556" spans="1:20" ht="76.5" x14ac:dyDescent="0.25">
      <c r="A4556" s="6">
        <v>4550</v>
      </c>
      <c r="B4556" s="1" t="str">
        <f>"2022-1815"</f>
        <v>2022-1815</v>
      </c>
      <c r="C4556" s="1" t="s">
        <v>3141</v>
      </c>
      <c r="D4556" s="1" t="s">
        <v>854</v>
      </c>
      <c r="E4556" s="1" t="str">
        <f>""</f>
        <v/>
      </c>
      <c r="F4556" s="1" t="s">
        <v>1860</v>
      </c>
      <c r="G4556" s="1" t="str">
        <f>CONCATENATE(" EUROTRADE D. O. O.,"," GOSPODARSKA ZONA GRIPOLE-SPINE bb,"," 52210 ROVINJ (ROVIGNO),"," OIB: 31138585832")</f>
        <v xml:space="preserve"> EUROTRADE D. O. O., GOSPODARSKA ZONA GRIPOLE-SPINE bb, 52210 ROVINJ (ROVIGNO), OIB: 31138585832</v>
      </c>
      <c r="H4556" s="7"/>
      <c r="I4556" s="8" t="s">
        <v>429</v>
      </c>
      <c r="J4556" s="8" t="s">
        <v>3211</v>
      </c>
      <c r="K4556" s="6" t="str">
        <f>"7.989,21"</f>
        <v>7.989,21</v>
      </c>
      <c r="L4556" s="6" t="str">
        <f>"1.997,30"</f>
        <v>1.997,30</v>
      </c>
      <c r="M4556" s="6" t="str">
        <f>"9.986,51"</f>
        <v>9.986,51</v>
      </c>
      <c r="N4556" s="8" t="s">
        <v>285</v>
      </c>
      <c r="O4556" s="7"/>
      <c r="P4556" s="2" t="s">
        <v>8297</v>
      </c>
      <c r="Q4556" s="7"/>
      <c r="R4556" s="1"/>
      <c r="S4556" s="1" t="str">
        <f>"J-UN-2022-1377"</f>
        <v>J-UN-2022-1377</v>
      </c>
      <c r="T4556" s="1" t="s">
        <v>32</v>
      </c>
    </row>
    <row r="4557" spans="1:20" ht="51" x14ac:dyDescent="0.25">
      <c r="A4557" s="6">
        <v>4551</v>
      </c>
      <c r="B4557" s="1" t="str">
        <f>"2022-1815"</f>
        <v>2022-1815</v>
      </c>
      <c r="C4557" s="1" t="s">
        <v>3141</v>
      </c>
      <c r="D4557" s="1" t="s">
        <v>854</v>
      </c>
      <c r="E4557" s="1" t="str">
        <f>""</f>
        <v/>
      </c>
      <c r="F4557" s="1" t="s">
        <v>1860</v>
      </c>
      <c r="G4557" s="1" t="str">
        <f>CONCATENATE(" FOKUS D.O.O. ZAGREB,"," KOLEDOVČINA 4,"," 10000 ZAGREB,"," OIB: 59082812808")</f>
        <v xml:space="preserve"> FOKUS D.O.O. ZAGREB, KOLEDOVČINA 4, 10000 ZAGREB, OIB: 59082812808</v>
      </c>
      <c r="H4557" s="7"/>
      <c r="I4557" s="8" t="s">
        <v>431</v>
      </c>
      <c r="J4557" s="8" t="s">
        <v>3212</v>
      </c>
      <c r="K4557" s="6" t="str">
        <f>"4.134,71"</f>
        <v>4.134,71</v>
      </c>
      <c r="L4557" s="6" t="str">
        <f>"1.033,68"</f>
        <v>1.033,68</v>
      </c>
      <c r="M4557" s="6" t="str">
        <f>"5.168,39"</f>
        <v>5.168,39</v>
      </c>
      <c r="N4557" s="8" t="s">
        <v>124</v>
      </c>
      <c r="O4557" s="7"/>
      <c r="P4557" s="2" t="s">
        <v>5614</v>
      </c>
      <c r="Q4557" s="7"/>
      <c r="R4557" s="1"/>
      <c r="S4557" s="1" t="str">
        <f>"J-UN-2022-1378"</f>
        <v>J-UN-2022-1378</v>
      </c>
      <c r="T4557" s="1" t="s">
        <v>32</v>
      </c>
    </row>
    <row r="4558" spans="1:20" ht="63.75" x14ac:dyDescent="0.25">
      <c r="A4558" s="6">
        <v>4552</v>
      </c>
      <c r="B4558" s="1" t="str">
        <f>"2022-1815"</f>
        <v>2022-1815</v>
      </c>
      <c r="C4558" s="1" t="s">
        <v>3141</v>
      </c>
      <c r="D4558" s="1" t="s">
        <v>854</v>
      </c>
      <c r="E4558" s="1" t="str">
        <f>""</f>
        <v/>
      </c>
      <c r="F4558" s="1" t="s">
        <v>1860</v>
      </c>
      <c r="G4558" s="1" t="str">
        <f>CONCATENATE(" EUROCOM D.O.O.,"," POD BREGOM,"," DONJI STUPNIK 8,"," 10255 GORNJI STUPNIK,"," OIB: 61781931283")</f>
        <v xml:space="preserve"> EUROCOM D.O.O., POD BREGOM, DONJI STUPNIK 8, 10255 GORNJI STUPNIK, OIB: 61781931283</v>
      </c>
      <c r="H4558" s="7"/>
      <c r="I4558" s="8" t="s">
        <v>916</v>
      </c>
      <c r="J4558" s="8" t="s">
        <v>2215</v>
      </c>
      <c r="K4558" s="6" t="str">
        <f>"7.784,52"</f>
        <v>7.784,52</v>
      </c>
      <c r="L4558" s="6" t="str">
        <f>"1.946,13"</f>
        <v>1.946,13</v>
      </c>
      <c r="M4558" s="6" t="str">
        <f>"9.730,65"</f>
        <v>9.730,65</v>
      </c>
      <c r="N4558" s="8" t="s">
        <v>124</v>
      </c>
      <c r="O4558" s="7"/>
      <c r="P4558" s="2" t="s">
        <v>5614</v>
      </c>
      <c r="Q4558" s="7"/>
      <c r="R4558" s="1"/>
      <c r="S4558" s="1" t="str">
        <f>"J-UN-2022-1379"</f>
        <v>J-UN-2022-1379</v>
      </c>
      <c r="T4558" s="1" t="s">
        <v>32</v>
      </c>
    </row>
    <row r="4559" spans="1:20" ht="63.75" x14ac:dyDescent="0.25">
      <c r="A4559" s="6">
        <v>4553</v>
      </c>
      <c r="B4559" s="1" t="str">
        <f>"2022-852"</f>
        <v>2022-852</v>
      </c>
      <c r="C4559" s="1" t="s">
        <v>2469</v>
      </c>
      <c r="D4559" s="1" t="s">
        <v>2287</v>
      </c>
      <c r="E4559" s="1" t="str">
        <f>""</f>
        <v/>
      </c>
      <c r="F4559" s="1" t="s">
        <v>1860</v>
      </c>
      <c r="G4559" s="1" t="str">
        <f>CONCATENATE(" INFO-KOD d.o.o.,"," DINARSKI PUT 1B,"," 10090 ZAGREB-SUSEDGRAD,"," OIB: 87565323632")</f>
        <v xml:space="preserve"> INFO-KOD d.o.o., DINARSKI PUT 1B, 10090 ZAGREB-SUSEDGRAD, OIB: 87565323632</v>
      </c>
      <c r="H4559" s="7"/>
      <c r="I4559" s="8" t="s">
        <v>431</v>
      </c>
      <c r="J4559" s="8" t="s">
        <v>3212</v>
      </c>
      <c r="K4559" s="6" t="str">
        <f>"3.573,00"</f>
        <v>3.573,00</v>
      </c>
      <c r="L4559" s="6" t="str">
        <f>"893,25"</f>
        <v>893,25</v>
      </c>
      <c r="M4559" s="6" t="str">
        <f>"4.466,25"</f>
        <v>4.466,25</v>
      </c>
      <c r="N4559" s="8" t="s">
        <v>431</v>
      </c>
      <c r="O4559" s="7"/>
      <c r="P4559" s="2" t="s">
        <v>8298</v>
      </c>
      <c r="Q4559" s="7"/>
      <c r="R4559" s="1"/>
      <c r="S4559" s="1" t="str">
        <f>"J-UN-2022-1380"</f>
        <v>J-UN-2022-1380</v>
      </c>
      <c r="T4559" s="1" t="s">
        <v>43</v>
      </c>
    </row>
    <row r="4560" spans="1:20" ht="51" x14ac:dyDescent="0.25">
      <c r="A4560" s="6">
        <v>4554</v>
      </c>
      <c r="B4560" s="1" t="str">
        <f>"2022-266"</f>
        <v>2022-266</v>
      </c>
      <c r="C4560" s="1" t="s">
        <v>2513</v>
      </c>
      <c r="D4560" s="1" t="s">
        <v>665</v>
      </c>
      <c r="E4560" s="1" t="str">
        <f>""</f>
        <v/>
      </c>
      <c r="F4560" s="1" t="s">
        <v>1860</v>
      </c>
      <c r="G4560" s="1" t="str">
        <f>CONCATENATE(" OLEUM FLEX D.O.O.,"," PUŠKARIĆEVA ULICA 11F,"," 10250 LUČKO,"," OIB: 53785632625")</f>
        <v xml:space="preserve"> OLEUM FLEX D.O.O., PUŠKARIĆEVA ULICA 11F, 10250 LUČKO, OIB: 53785632625</v>
      </c>
      <c r="H4560" s="7"/>
      <c r="I4560" s="8" t="s">
        <v>215</v>
      </c>
      <c r="J4560" s="8" t="s">
        <v>2423</v>
      </c>
      <c r="K4560" s="6" t="str">
        <f>"17.554,00"</f>
        <v>17.554,00</v>
      </c>
      <c r="L4560" s="6" t="str">
        <f>"4.388,50"</f>
        <v>4.388,50</v>
      </c>
      <c r="M4560" s="6" t="str">
        <f>"21.942,50"</f>
        <v>21.942,50</v>
      </c>
      <c r="N4560" s="8" t="s">
        <v>970</v>
      </c>
      <c r="O4560" s="7"/>
      <c r="P4560" s="2" t="s">
        <v>8299</v>
      </c>
      <c r="Q4560" s="7"/>
      <c r="R4560" s="1"/>
      <c r="S4560" s="1" t="str">
        <f>"J-UN-2022-1381"</f>
        <v>J-UN-2022-1381</v>
      </c>
      <c r="T4560" s="1" t="s">
        <v>32</v>
      </c>
    </row>
    <row r="4561" spans="1:20" ht="63.75" x14ac:dyDescent="0.25">
      <c r="A4561" s="6">
        <v>4555</v>
      </c>
      <c r="B4561" s="1" t="str">
        <f>"2022-370"</f>
        <v>2022-370</v>
      </c>
      <c r="C4561" s="1" t="s">
        <v>2624</v>
      </c>
      <c r="D4561" s="1" t="s">
        <v>1334</v>
      </c>
      <c r="E4561" s="1" t="str">
        <f>""</f>
        <v/>
      </c>
      <c r="F4561" s="1" t="s">
        <v>1860</v>
      </c>
      <c r="G4561" s="1" t="str">
        <f>CONCATENATE(" POLJOOPSKRBA-TEHNO D.D.,"," SAMOBORSKA 96,"," 10000 ZAGREB,"," OIB: 5372167324")</f>
        <v xml:space="preserve"> POLJOOPSKRBA-TEHNO D.D., SAMOBORSKA 96, 10000 ZAGREB, OIB: 5372167324</v>
      </c>
      <c r="H4561" s="7"/>
      <c r="I4561" s="8" t="s">
        <v>431</v>
      </c>
      <c r="J4561" s="8" t="s">
        <v>3212</v>
      </c>
      <c r="K4561" s="6" t="str">
        <f>"15.708,00"</f>
        <v>15.708,00</v>
      </c>
      <c r="L4561" s="6" t="str">
        <f>"3.927,00"</f>
        <v>3.927,00</v>
      </c>
      <c r="M4561" s="6" t="str">
        <f>"19.635,00"</f>
        <v>19.635,00</v>
      </c>
      <c r="N4561" s="8" t="s">
        <v>285</v>
      </c>
      <c r="O4561" s="7"/>
      <c r="P4561" s="2" t="s">
        <v>8300</v>
      </c>
      <c r="Q4561" s="7"/>
      <c r="R4561" s="1"/>
      <c r="S4561" s="1" t="str">
        <f>"J-UN-2022-1382"</f>
        <v>J-UN-2022-1382</v>
      </c>
      <c r="T4561" s="1" t="s">
        <v>32</v>
      </c>
    </row>
    <row r="4562" spans="1:20" ht="63.75" x14ac:dyDescent="0.25">
      <c r="A4562" s="6">
        <v>4556</v>
      </c>
      <c r="B4562" s="1" t="str">
        <f>"2022-818"</f>
        <v>2022-818</v>
      </c>
      <c r="C4562" s="1" t="s">
        <v>3213</v>
      </c>
      <c r="D4562" s="1" t="s">
        <v>2716</v>
      </c>
      <c r="E4562" s="1" t="str">
        <f>""</f>
        <v/>
      </c>
      <c r="F4562" s="1" t="s">
        <v>1860</v>
      </c>
      <c r="G4562" s="1" t="str">
        <f>CONCATENATE(" GRA-PO D.O.O.,"," GOSPODARSKA 5B,"," 10255 ZAGREB - STUPNIK,"," OIB: 05364995085")</f>
        <v xml:space="preserve"> GRA-PO D.O.O., GOSPODARSKA 5B, 10255 ZAGREB - STUPNIK, OIB: 05364995085</v>
      </c>
      <c r="H4562" s="7"/>
      <c r="I4562" s="8" t="s">
        <v>916</v>
      </c>
      <c r="J4562" s="8" t="s">
        <v>2215</v>
      </c>
      <c r="K4562" s="6" t="str">
        <f>"72.007,00"</f>
        <v>72.007,00</v>
      </c>
      <c r="L4562" s="6" t="str">
        <f>"18.001,75"</f>
        <v>18.001,75</v>
      </c>
      <c r="M4562" s="6" t="str">
        <f>"90.008,75"</f>
        <v>90.008,75</v>
      </c>
      <c r="N4562" s="8" t="s">
        <v>124</v>
      </c>
      <c r="O4562" s="7"/>
      <c r="P4562" s="2" t="s">
        <v>5614</v>
      </c>
      <c r="Q4562" s="7"/>
      <c r="R4562" s="1"/>
      <c r="S4562" s="1" t="str">
        <f>"J-UN-2022-1384"</f>
        <v>J-UN-2022-1384</v>
      </c>
      <c r="T4562" s="1" t="s">
        <v>32</v>
      </c>
    </row>
    <row r="4563" spans="1:20" ht="51" x14ac:dyDescent="0.25">
      <c r="A4563" s="6">
        <v>4557</v>
      </c>
      <c r="B4563" s="1" t="str">
        <f>"2022-283"</f>
        <v>2022-283</v>
      </c>
      <c r="C4563" s="1" t="s">
        <v>2722</v>
      </c>
      <c r="D4563" s="1" t="s">
        <v>689</v>
      </c>
      <c r="E4563" s="1" t="str">
        <f>""</f>
        <v/>
      </c>
      <c r="F4563" s="1" t="s">
        <v>1860</v>
      </c>
      <c r="G4563" s="1" t="str">
        <f>CONCATENATE(" BASIC MODEL D.O.O.,"," TRAVANJSKA 19,"," 10000 ZAGREB,"," OIB: 64150104602")</f>
        <v xml:space="preserve"> BASIC MODEL D.O.O., TRAVANJSKA 19, 10000 ZAGREB, OIB: 64150104602</v>
      </c>
      <c r="H4563" s="7"/>
      <c r="I4563" s="8" t="s">
        <v>430</v>
      </c>
      <c r="J4563" s="8" t="s">
        <v>3214</v>
      </c>
      <c r="K4563" s="6" t="str">
        <f>"3.150,00"</f>
        <v>3.150,00</v>
      </c>
      <c r="L4563" s="6" t="str">
        <f>"787,50"</f>
        <v>787,50</v>
      </c>
      <c r="M4563" s="6" t="str">
        <f>"3.937,50"</f>
        <v>3.937,50</v>
      </c>
      <c r="N4563" s="8" t="s">
        <v>285</v>
      </c>
      <c r="O4563" s="7"/>
      <c r="P4563" s="2" t="s">
        <v>6318</v>
      </c>
      <c r="Q4563" s="7"/>
      <c r="R4563" s="1"/>
      <c r="S4563" s="1" t="str">
        <f>"J-UN-2022-1385"</f>
        <v>J-UN-2022-1385</v>
      </c>
      <c r="T4563" s="1" t="s">
        <v>32</v>
      </c>
    </row>
    <row r="4564" spans="1:20" ht="51" x14ac:dyDescent="0.25">
      <c r="A4564" s="6">
        <v>4558</v>
      </c>
      <c r="B4564" s="1" t="str">
        <f>"2022-850"</f>
        <v>2022-850</v>
      </c>
      <c r="C4564" s="1" t="s">
        <v>3109</v>
      </c>
      <c r="D4564" s="1" t="s">
        <v>1246</v>
      </c>
      <c r="E4564" s="1" t="str">
        <f>""</f>
        <v/>
      </c>
      <c r="F4564" s="1" t="s">
        <v>1860</v>
      </c>
      <c r="G4564" s="1" t="str">
        <f>CONCATENATE(" ELICOM D.O.O.,"," ŠTEFANOVEC 138,"," 10000 ZAGREB,"," OIB: 76370234816")</f>
        <v xml:space="preserve"> ELICOM D.O.O., ŠTEFANOVEC 138, 10000 ZAGREB, OIB: 76370234816</v>
      </c>
      <c r="H4564" s="7"/>
      <c r="I4564" s="8" t="s">
        <v>916</v>
      </c>
      <c r="J4564" s="8" t="s">
        <v>2215</v>
      </c>
      <c r="K4564" s="6" t="str">
        <f>"34.589,68"</f>
        <v>34.589,68</v>
      </c>
      <c r="L4564" s="6" t="str">
        <f>"8.647,42"</f>
        <v>8.647,42</v>
      </c>
      <c r="M4564" s="6" t="str">
        <f>"43.237,10"</f>
        <v>43.237,10</v>
      </c>
      <c r="N4564" s="8" t="s">
        <v>124</v>
      </c>
      <c r="O4564" s="7"/>
      <c r="P4564" s="2" t="s">
        <v>5614</v>
      </c>
      <c r="Q4564" s="7"/>
      <c r="R4564" s="1"/>
      <c r="S4564" s="1" t="str">
        <f>"J-UN-2022-1386"</f>
        <v>J-UN-2022-1386</v>
      </c>
      <c r="T4564" s="1" t="s">
        <v>32</v>
      </c>
    </row>
    <row r="4565" spans="1:20" ht="51" x14ac:dyDescent="0.25">
      <c r="A4565" s="6">
        <v>4559</v>
      </c>
      <c r="B4565" s="1" t="str">
        <f>"2022-186"</f>
        <v>2022-186</v>
      </c>
      <c r="C4565" s="1" t="s">
        <v>2534</v>
      </c>
      <c r="D4565" s="1" t="s">
        <v>2535</v>
      </c>
      <c r="E4565" s="1" t="str">
        <f>""</f>
        <v/>
      </c>
      <c r="F4565" s="1" t="s">
        <v>1860</v>
      </c>
      <c r="G4565" s="1" t="str">
        <f>CONCATENATE(" C - M D. O. O.,"," RATARSKA 6,"," 52210 ROVINJ (ROVIGNO),"," OIB: 195509764")</f>
        <v xml:space="preserve"> C - M D. O. O., RATARSKA 6, 52210 ROVINJ (ROVIGNO), OIB: 195509764</v>
      </c>
      <c r="H4565" s="7"/>
      <c r="I4565" s="8" t="s">
        <v>430</v>
      </c>
      <c r="J4565" s="8" t="s">
        <v>3214</v>
      </c>
      <c r="K4565" s="6" t="str">
        <f>"19.641,60"</f>
        <v>19.641,60</v>
      </c>
      <c r="L4565" s="6" t="str">
        <f>"4.910,40"</f>
        <v>4.910,40</v>
      </c>
      <c r="M4565" s="6" t="str">
        <f>"24.552,00"</f>
        <v>24.552,00</v>
      </c>
      <c r="N4565" s="8" t="s">
        <v>124</v>
      </c>
      <c r="O4565" s="7"/>
      <c r="P4565" s="2" t="s">
        <v>8301</v>
      </c>
      <c r="Q4565" s="7"/>
      <c r="R4565" s="1"/>
      <c r="S4565" s="1" t="str">
        <f>"J-UN-2022-1387"</f>
        <v>J-UN-2022-1387</v>
      </c>
      <c r="T4565" s="1" t="s">
        <v>32</v>
      </c>
    </row>
    <row r="4566" spans="1:20" ht="51" x14ac:dyDescent="0.25">
      <c r="A4566" s="6">
        <v>4560</v>
      </c>
      <c r="B4566" s="1" t="str">
        <f>"2022-698"</f>
        <v>2022-698</v>
      </c>
      <c r="C4566" s="1" t="s">
        <v>2565</v>
      </c>
      <c r="D4566" s="1" t="s">
        <v>1833</v>
      </c>
      <c r="E4566" s="1" t="str">
        <f>""</f>
        <v/>
      </c>
      <c r="F4566" s="1" t="s">
        <v>1860</v>
      </c>
      <c r="G4566" s="1" t="str">
        <f>CONCATENATE(" EOL - EKOS D. O. O.,"," PERMANI 13/a,"," 51213 JURDANI,"," OIB: 95915932567")</f>
        <v xml:space="preserve"> EOL - EKOS D. O. O., PERMANI 13/a, 51213 JURDANI, OIB: 95915932567</v>
      </c>
      <c r="H4566" s="7"/>
      <c r="I4566" s="8" t="s">
        <v>430</v>
      </c>
      <c r="J4566" s="8" t="s">
        <v>3214</v>
      </c>
      <c r="K4566" s="6" t="str">
        <f>"6.100,00"</f>
        <v>6.100,00</v>
      </c>
      <c r="L4566" s="6" t="str">
        <f>"1.525,00"</f>
        <v>1.525,00</v>
      </c>
      <c r="M4566" s="6" t="str">
        <f>"7.625,00"</f>
        <v>7.625,00</v>
      </c>
      <c r="N4566" s="8" t="s">
        <v>408</v>
      </c>
      <c r="O4566" s="7"/>
      <c r="P4566" s="2" t="s">
        <v>8302</v>
      </c>
      <c r="Q4566" s="7"/>
      <c r="R4566" s="1"/>
      <c r="S4566" s="1" t="str">
        <f>"J-UN-2022-1388"</f>
        <v>J-UN-2022-1388</v>
      </c>
      <c r="T4566" s="1" t="s">
        <v>32</v>
      </c>
    </row>
    <row r="4567" spans="1:20" ht="63.75" x14ac:dyDescent="0.25">
      <c r="A4567" s="6">
        <v>4561</v>
      </c>
      <c r="B4567" s="1" t="str">
        <f>"2022-716"</f>
        <v>2022-716</v>
      </c>
      <c r="C4567" s="1" t="s">
        <v>2563</v>
      </c>
      <c r="D4567" s="1" t="s">
        <v>914</v>
      </c>
      <c r="E4567" s="1" t="str">
        <f>""</f>
        <v/>
      </c>
      <c r="F4567" s="1" t="s">
        <v>1860</v>
      </c>
      <c r="G4567" s="1" t="str">
        <f>CONCATENATE(" TOKIĆ D.O.O.,"," ULICA 144. BRIGADE HRVATSKE VOJSKE 1A,"," 10360 SESVETE,"," OIB: 7486748762")</f>
        <v xml:space="preserve"> TOKIĆ D.O.O., ULICA 144. BRIGADE HRVATSKE VOJSKE 1A, 10360 SESVETE, OIB: 7486748762</v>
      </c>
      <c r="H4567" s="7"/>
      <c r="I4567" s="8" t="s">
        <v>430</v>
      </c>
      <c r="J4567" s="8" t="s">
        <v>3214</v>
      </c>
      <c r="K4567" s="6" t="str">
        <f>"865,00"</f>
        <v>865,00</v>
      </c>
      <c r="L4567" s="6" t="str">
        <f>"216,25"</f>
        <v>216,25</v>
      </c>
      <c r="M4567" s="6" t="str">
        <f>"1.081,25"</f>
        <v>1.081,25</v>
      </c>
      <c r="N4567" s="8" t="s">
        <v>408</v>
      </c>
      <c r="O4567" s="7"/>
      <c r="P4567" s="2" t="s">
        <v>8303</v>
      </c>
      <c r="Q4567" s="7"/>
      <c r="R4567" s="1"/>
      <c r="S4567" s="1" t="str">
        <f>"J-UN-2022-1391"</f>
        <v>J-UN-2022-1391</v>
      </c>
      <c r="T4567" s="1" t="s">
        <v>32</v>
      </c>
    </row>
    <row r="4568" spans="1:20" ht="51" x14ac:dyDescent="0.25">
      <c r="A4568" s="6">
        <v>4562</v>
      </c>
      <c r="B4568" s="1" t="str">
        <f>"2022-823"</f>
        <v>2022-823</v>
      </c>
      <c r="C4568" s="1" t="s">
        <v>2675</v>
      </c>
      <c r="D4568" s="1" t="s">
        <v>2676</v>
      </c>
      <c r="E4568" s="1" t="str">
        <f>""</f>
        <v/>
      </c>
      <c r="F4568" s="1" t="s">
        <v>1860</v>
      </c>
      <c r="G4568" s="1" t="str">
        <f>CONCATENATE(" AUTOBUS D.O.O.,"," I. RESNIK 178,"," 10040 ZAGREB,"," OIB: 77383886713")</f>
        <v xml:space="preserve"> AUTOBUS D.O.O., I. RESNIK 178, 10040 ZAGREB, OIB: 77383886713</v>
      </c>
      <c r="H4568" s="7"/>
      <c r="I4568" s="8" t="s">
        <v>916</v>
      </c>
      <c r="J4568" s="8" t="s">
        <v>2215</v>
      </c>
      <c r="K4568" s="6" t="str">
        <f>"4.383,30"</f>
        <v>4.383,30</v>
      </c>
      <c r="L4568" s="6" t="str">
        <f>"1.095,83"</f>
        <v>1.095,83</v>
      </c>
      <c r="M4568" s="6" t="str">
        <f>"5.479,13"</f>
        <v>5.479,13</v>
      </c>
      <c r="N4568" s="8" t="s">
        <v>520</v>
      </c>
      <c r="O4568" s="7"/>
      <c r="P4568" s="2" t="s">
        <v>8304</v>
      </c>
      <c r="Q4568" s="7"/>
      <c r="R4568" s="1"/>
      <c r="S4568" s="1" t="str">
        <f>"J-UN-2022-1392"</f>
        <v>J-UN-2022-1392</v>
      </c>
      <c r="T4568" s="1" t="s">
        <v>32</v>
      </c>
    </row>
    <row r="4569" spans="1:20" ht="51" x14ac:dyDescent="0.25">
      <c r="A4569" s="6">
        <v>4563</v>
      </c>
      <c r="B4569" s="1" t="str">
        <f>"2022-382"</f>
        <v>2022-382</v>
      </c>
      <c r="C4569" s="1" t="s">
        <v>2700</v>
      </c>
      <c r="D4569" s="1" t="s">
        <v>2701</v>
      </c>
      <c r="E4569" s="1" t="str">
        <f>""</f>
        <v/>
      </c>
      <c r="F4569" s="1" t="s">
        <v>1860</v>
      </c>
      <c r="G4569" s="1" t="str">
        <f>CONCATENATE(" OSOR PROMET D.O.O.,"," DOBRI DOL 56,"," 10000 ZAGREB,"," OIB: 53848806583")</f>
        <v xml:space="preserve"> OSOR PROMET D.O.O., DOBRI DOL 56, 10000 ZAGREB, OIB: 53848806583</v>
      </c>
      <c r="H4569" s="7"/>
      <c r="I4569" s="8" t="s">
        <v>916</v>
      </c>
      <c r="J4569" s="8" t="s">
        <v>2215</v>
      </c>
      <c r="K4569" s="6" t="str">
        <f>"125,60"</f>
        <v>125,60</v>
      </c>
      <c r="L4569" s="6" t="str">
        <f>"31,40"</f>
        <v>31,40</v>
      </c>
      <c r="M4569" s="6" t="str">
        <f>"157,00"</f>
        <v>157,00</v>
      </c>
      <c r="N4569" s="8" t="s">
        <v>910</v>
      </c>
      <c r="O4569" s="7"/>
      <c r="P4569" s="2" t="s">
        <v>8305</v>
      </c>
      <c r="Q4569" s="7"/>
      <c r="R4569" s="1"/>
      <c r="S4569" s="1" t="str">
        <f>"J-UN-2022-1393"</f>
        <v>J-UN-2022-1393</v>
      </c>
      <c r="T4569" s="1" t="s">
        <v>32</v>
      </c>
    </row>
    <row r="4570" spans="1:20" ht="51" x14ac:dyDescent="0.25">
      <c r="A4570" s="6">
        <v>4564</v>
      </c>
      <c r="B4570" s="1" t="str">
        <f>"2022-1962"</f>
        <v>2022-1962</v>
      </c>
      <c r="C4570" s="1" t="s">
        <v>3195</v>
      </c>
      <c r="D4570" s="1" t="s">
        <v>3196</v>
      </c>
      <c r="E4570" s="1" t="str">
        <f>""</f>
        <v/>
      </c>
      <c r="F4570" s="1" t="s">
        <v>1860</v>
      </c>
      <c r="G4570" s="1" t="str">
        <f>CONCATENATE(" EKONERG D.O.O.,"," KORANSKA ULICA 5,"," 10000 ZAGREB,"," OIB: 71690188016")</f>
        <v xml:space="preserve"> EKONERG D.O.O., KORANSKA ULICA 5, 10000 ZAGREB, OIB: 71690188016</v>
      </c>
      <c r="H4570" s="7"/>
      <c r="I4570" s="8" t="s">
        <v>222</v>
      </c>
      <c r="J4570" s="8" t="s">
        <v>1822</v>
      </c>
      <c r="K4570" s="6" t="str">
        <f>"75.000,00"</f>
        <v>75.000,00</v>
      </c>
      <c r="L4570" s="6" t="str">
        <f>"18.750,00"</f>
        <v>18.750,00</v>
      </c>
      <c r="M4570" s="6" t="str">
        <f>"93.750,00"</f>
        <v>93.750,00</v>
      </c>
      <c r="N4570" s="8" t="s">
        <v>669</v>
      </c>
      <c r="O4570" s="7"/>
      <c r="P4570" s="2" t="s">
        <v>7032</v>
      </c>
      <c r="Q4570" s="7"/>
      <c r="R4570" s="1"/>
      <c r="S4570" s="1" t="str">
        <f>"J-UN-2022-1404"</f>
        <v>J-UN-2022-1404</v>
      </c>
      <c r="T4570" s="1" t="s">
        <v>32</v>
      </c>
    </row>
    <row r="4571" spans="1:20" ht="38.25" x14ac:dyDescent="0.25">
      <c r="A4571" s="6">
        <v>4565</v>
      </c>
      <c r="B4571" s="1" t="str">
        <f>"2022-34"</f>
        <v>2022-34</v>
      </c>
      <c r="C4571" s="1" t="s">
        <v>3040</v>
      </c>
      <c r="D4571" s="1" t="s">
        <v>1865</v>
      </c>
      <c r="E4571" s="1" t="str">
        <f>""</f>
        <v/>
      </c>
      <c r="F4571" s="1" t="s">
        <v>1860</v>
      </c>
      <c r="G4571" s="1" t="str">
        <f>CONCATENATE(" ZET D.O.O.,"," OZALJSKA 105,"," 10000 ZAGREB,"," OIB: 82031999604")</f>
        <v xml:space="preserve"> ZET D.O.O., OZALJSKA 105, 10000 ZAGREB, OIB: 82031999604</v>
      </c>
      <c r="H4571" s="7"/>
      <c r="I4571" s="8" t="s">
        <v>429</v>
      </c>
      <c r="J4571" s="8" t="s">
        <v>3211</v>
      </c>
      <c r="K4571" s="6" t="str">
        <f>"61.200,00"</f>
        <v>61.200,00</v>
      </c>
      <c r="L4571" s="6" t="str">
        <f>"15.300,00"</f>
        <v>15.300,00</v>
      </c>
      <c r="M4571" s="6" t="str">
        <f>"76.500,00"</f>
        <v>76.500,00</v>
      </c>
      <c r="N4571" s="8" t="s">
        <v>124</v>
      </c>
      <c r="O4571" s="7"/>
      <c r="P4571" s="2" t="s">
        <v>5614</v>
      </c>
      <c r="Q4571" s="7"/>
      <c r="R4571" s="1"/>
      <c r="S4571" s="1" t="str">
        <f>"J-UN-2022-1405"</f>
        <v>J-UN-2022-1405</v>
      </c>
      <c r="T4571" s="1" t="s">
        <v>32</v>
      </c>
    </row>
    <row r="4572" spans="1:20" ht="51" x14ac:dyDescent="0.25">
      <c r="A4572" s="6">
        <v>4566</v>
      </c>
      <c r="B4572" s="1" t="str">
        <f>"2022-915"</f>
        <v>2022-915</v>
      </c>
      <c r="C4572" s="1" t="s">
        <v>3024</v>
      </c>
      <c r="D4572" s="1" t="s">
        <v>1007</v>
      </c>
      <c r="E4572" s="1" t="str">
        <f>""</f>
        <v/>
      </c>
      <c r="F4572" s="1" t="s">
        <v>1860</v>
      </c>
      <c r="G4572" s="1" t="str">
        <f>CONCATENATE(" AUREL D.O.O.,"," BORONGAJSKA CESTA bb,"," 10000 ZAGREB,"," OIB: 62871653225")</f>
        <v xml:space="preserve"> AUREL D.O.O., BORONGAJSKA CESTA bb, 10000 ZAGREB, OIB: 62871653225</v>
      </c>
      <c r="H4572" s="7"/>
      <c r="I4572" s="8" t="s">
        <v>520</v>
      </c>
      <c r="J4572" s="8" t="s">
        <v>570</v>
      </c>
      <c r="K4572" s="6" t="str">
        <f>"900,00"</f>
        <v>900,00</v>
      </c>
      <c r="L4572" s="6" t="str">
        <f>"225,00"</f>
        <v>225,00</v>
      </c>
      <c r="M4572" s="6" t="str">
        <f>"1.125,00"</f>
        <v>1.125,00</v>
      </c>
      <c r="N4572" s="8" t="s">
        <v>875</v>
      </c>
      <c r="O4572" s="7"/>
      <c r="P4572" s="2" t="s">
        <v>7236</v>
      </c>
      <c r="Q4572" s="1" t="s">
        <v>488</v>
      </c>
      <c r="R4572" s="1"/>
      <c r="S4572" s="1" t="str">
        <f>"J-UN-2022-1410"</f>
        <v>J-UN-2022-1410</v>
      </c>
      <c r="T4572" s="1" t="s">
        <v>32</v>
      </c>
    </row>
    <row r="4573" spans="1:20" ht="51" x14ac:dyDescent="0.25">
      <c r="A4573" s="10">
        <v>4567</v>
      </c>
      <c r="B4573" s="11" t="str">
        <f>"2022-1856"</f>
        <v>2022-1856</v>
      </c>
      <c r="C4573" s="11" t="s">
        <v>3215</v>
      </c>
      <c r="D4573" s="11" t="s">
        <v>1641</v>
      </c>
      <c r="E4573" s="11" t="str">
        <f>""</f>
        <v/>
      </c>
      <c r="F4573" s="11" t="s">
        <v>1860</v>
      </c>
      <c r="G4573" s="11" t="str">
        <f>CONCATENATE(" ETS FARAGO D.O.O.,"," KORNATSKA 1/F,"," 10000 ZAGREB,"," OIB: 7742119408")</f>
        <v xml:space="preserve"> ETS FARAGO D.O.O., KORNATSKA 1/F, 10000 ZAGREB, OIB: 7742119408</v>
      </c>
      <c r="H4573" s="12"/>
      <c r="I4573" s="13" t="s">
        <v>1122</v>
      </c>
      <c r="J4573" s="13" t="s">
        <v>1834</v>
      </c>
      <c r="K4573" s="10" t="str">
        <f>"19.000,00"</f>
        <v>19.000,00</v>
      </c>
      <c r="L4573" s="10" t="str">
        <f>"4.750,00"</f>
        <v>4.750,00</v>
      </c>
      <c r="M4573" s="10" t="str">
        <f>"23.750,00"</f>
        <v>23.750,00</v>
      </c>
      <c r="N4573" s="13" t="s">
        <v>124</v>
      </c>
      <c r="O4573" s="12"/>
      <c r="P4573" s="14" t="s">
        <v>5614</v>
      </c>
      <c r="Q4573" s="12"/>
      <c r="R4573" s="11"/>
      <c r="S4573" s="11" t="str">
        <f>"J-UN-2022-1411"</f>
        <v>J-UN-2022-1411</v>
      </c>
      <c r="T4573" s="11" t="s">
        <v>32</v>
      </c>
    </row>
    <row r="4574" spans="1:20" x14ac:dyDescent="0.25">
      <c r="A4574" s="18"/>
      <c r="B4574" s="18"/>
      <c r="C4574" s="18"/>
      <c r="D4574" s="18"/>
      <c r="E4574" s="18"/>
      <c r="F4574" s="18"/>
      <c r="G4574" s="18"/>
      <c r="H4574" s="18"/>
      <c r="I4574" s="18"/>
      <c r="J4574" s="18"/>
      <c r="K4574" s="18"/>
      <c r="L4574" s="18"/>
      <c r="M4574" s="18"/>
      <c r="N4574" s="18"/>
      <c r="O4574" s="18"/>
      <c r="P4574" s="19"/>
      <c r="Q4574" s="18"/>
      <c r="R4574" s="16"/>
      <c r="S4574" s="18"/>
      <c r="T4574" s="18"/>
    </row>
    <row r="4575" spans="1:20" x14ac:dyDescent="0.25">
      <c r="A4575" s="20"/>
      <c r="B4575" s="20"/>
      <c r="C4575" s="20"/>
      <c r="D4575" s="20"/>
      <c r="E4575" s="20"/>
      <c r="F4575" s="20"/>
      <c r="G4575" s="20"/>
      <c r="H4575" s="20"/>
      <c r="I4575" s="20"/>
      <c r="J4575" s="20"/>
      <c r="K4575" s="20"/>
      <c r="L4575" s="20"/>
      <c r="M4575" s="20"/>
      <c r="N4575" s="20"/>
      <c r="O4575" s="20"/>
      <c r="P4575" s="21"/>
      <c r="Q4575" s="20"/>
      <c r="R4575" s="15"/>
      <c r="S4575" s="20"/>
      <c r="T4575" s="20"/>
    </row>
    <row r="4576" spans="1:20" ht="63.75" x14ac:dyDescent="0.25">
      <c r="A4576" s="6">
        <v>4568</v>
      </c>
      <c r="B4576" s="1" t="str">
        <f>"2022-186"</f>
        <v>2022-186</v>
      </c>
      <c r="C4576" s="1" t="s">
        <v>2534</v>
      </c>
      <c r="D4576" s="1" t="s">
        <v>2535</v>
      </c>
      <c r="E4576" s="1" t="str">
        <f>""</f>
        <v/>
      </c>
      <c r="F4576" s="1" t="s">
        <v>1860</v>
      </c>
      <c r="G4576" s="1" t="str">
        <f>CONCATENATE(" ARABUSTA DOMIC D.O.O.,"," MARJANOVIĆEV PRILAZ 9,"," 10000 ZAGREB,"," OIB: 86431702899")</f>
        <v xml:space="preserve"> ARABUSTA DOMIC D.O.O., MARJANOVIĆEV PRILAZ 9, 10000 ZAGREB, OIB: 86431702899</v>
      </c>
      <c r="H4576" s="7"/>
      <c r="I4576" s="8" t="s">
        <v>520</v>
      </c>
      <c r="J4576" s="8" t="s">
        <v>570</v>
      </c>
      <c r="K4576" s="6" t="str">
        <f>"2.528,00"</f>
        <v>2.528,00</v>
      </c>
      <c r="L4576" s="6" t="str">
        <f>"632,00"</f>
        <v>632,00</v>
      </c>
      <c r="M4576" s="6" t="str">
        <f>"3.160,00"</f>
        <v>3.160,00</v>
      </c>
      <c r="N4576" s="8" t="s">
        <v>408</v>
      </c>
      <c r="O4576" s="7"/>
      <c r="P4576" s="2" t="s">
        <v>8306</v>
      </c>
      <c r="Q4576" s="7"/>
      <c r="R4576" s="1"/>
      <c r="S4576" s="1" t="str">
        <f>"J-UN-2022-1413"</f>
        <v>J-UN-2022-1413</v>
      </c>
      <c r="T4576" s="1" t="s">
        <v>32</v>
      </c>
    </row>
    <row r="4577" spans="1:20" ht="38.25" x14ac:dyDescent="0.25">
      <c r="A4577" s="6">
        <v>4569</v>
      </c>
      <c r="B4577" s="1" t="str">
        <f>"2022-970"</f>
        <v>2022-970</v>
      </c>
      <c r="C4577" s="1" t="s">
        <v>2857</v>
      </c>
      <c r="D4577" s="1" t="s">
        <v>1373</v>
      </c>
      <c r="E4577" s="1" t="str">
        <f>""</f>
        <v/>
      </c>
      <c r="F4577" s="1" t="s">
        <v>1860</v>
      </c>
      <c r="G4577" s="1" t="str">
        <f>CONCATENATE(" MAGIS TRITON D.O.O.,"," TRVIŽ 25,"," 52000 PAZIN,"," OIB: 52949364664")</f>
        <v xml:space="preserve"> MAGIS TRITON D.O.O., TRVIŽ 25, 52000 PAZIN, OIB: 52949364664</v>
      </c>
      <c r="H4577" s="7"/>
      <c r="I4577" s="8" t="s">
        <v>222</v>
      </c>
      <c r="J4577" s="8" t="s">
        <v>1822</v>
      </c>
      <c r="K4577" s="6" t="str">
        <f>"11.782,65"</f>
        <v>11.782,65</v>
      </c>
      <c r="L4577" s="6" t="str">
        <f>"2.945,66"</f>
        <v>2.945,66</v>
      </c>
      <c r="M4577" s="6" t="str">
        <f>"14.728,31"</f>
        <v>14.728,31</v>
      </c>
      <c r="N4577" s="8" t="s">
        <v>124</v>
      </c>
      <c r="O4577" s="7"/>
      <c r="P4577" s="2" t="s">
        <v>8307</v>
      </c>
      <c r="Q4577" s="7"/>
      <c r="R4577" s="1"/>
      <c r="S4577" s="1" t="str">
        <f>"J-UN-2022-1414"</f>
        <v>J-UN-2022-1414</v>
      </c>
      <c r="T4577" s="1" t="s">
        <v>32</v>
      </c>
    </row>
    <row r="4578" spans="1:20" ht="51" x14ac:dyDescent="0.25">
      <c r="A4578" s="6">
        <v>4570</v>
      </c>
      <c r="B4578" s="1" t="str">
        <f>"2022-1338"</f>
        <v>2022-1338</v>
      </c>
      <c r="C4578" s="1" t="s">
        <v>2753</v>
      </c>
      <c r="D4578" s="1" t="s">
        <v>2331</v>
      </c>
      <c r="E4578" s="1" t="str">
        <f>""</f>
        <v/>
      </c>
      <c r="F4578" s="1" t="s">
        <v>1860</v>
      </c>
      <c r="G4578" s="1" t="str">
        <f>CONCATENATE(" TRAG DUO D.O.O.,"," NOVA CESTA 184,"," 10000 ZAGREB,"," OIB: 24169331637")</f>
        <v xml:space="preserve"> TRAG DUO D.O.O., NOVA CESTA 184, 10000 ZAGREB, OIB: 24169331637</v>
      </c>
      <c r="H4578" s="7"/>
      <c r="I4578" s="8" t="s">
        <v>430</v>
      </c>
      <c r="J4578" s="8" t="s">
        <v>3214</v>
      </c>
      <c r="K4578" s="6" t="str">
        <f>"3.350,00"</f>
        <v>3.350,00</v>
      </c>
      <c r="L4578" s="6" t="str">
        <f>"837,50"</f>
        <v>837,50</v>
      </c>
      <c r="M4578" s="6" t="str">
        <f>"4.187,50"</f>
        <v>4.187,50</v>
      </c>
      <c r="N4578" s="8" t="s">
        <v>408</v>
      </c>
      <c r="O4578" s="7"/>
      <c r="P4578" s="2" t="s">
        <v>8308</v>
      </c>
      <c r="Q4578" s="7"/>
      <c r="R4578" s="1"/>
      <c r="S4578" s="1" t="str">
        <f>"J-UN-2022-1415"</f>
        <v>J-UN-2022-1415</v>
      </c>
      <c r="T4578" s="1" t="s">
        <v>32</v>
      </c>
    </row>
    <row r="4579" spans="1:20" ht="63.75" x14ac:dyDescent="0.25">
      <c r="A4579" s="6">
        <v>4571</v>
      </c>
      <c r="B4579" s="1" t="str">
        <f>"2022-1289"</f>
        <v>2022-1289</v>
      </c>
      <c r="C4579" s="1" t="s">
        <v>2993</v>
      </c>
      <c r="D4579" s="1" t="s">
        <v>2994</v>
      </c>
      <c r="E4579" s="1" t="str">
        <f>""</f>
        <v/>
      </c>
      <c r="F4579" s="1" t="s">
        <v>1860</v>
      </c>
      <c r="G4579" s="1" t="str">
        <f>CONCATENATE(" LANIŠTE D.O.O.,"," ALEXANDERA VON HUMBOLDTA 4B,"," 10000 ZAGREB,"," OIB: 3755384865")</f>
        <v xml:space="preserve"> LANIŠTE D.O.O., ALEXANDERA VON HUMBOLDTA 4B, 10000 ZAGREB, OIB: 3755384865</v>
      </c>
      <c r="H4579" s="7"/>
      <c r="I4579" s="8" t="s">
        <v>365</v>
      </c>
      <c r="J4579" s="8" t="s">
        <v>2434</v>
      </c>
      <c r="K4579" s="6" t="str">
        <f>"6.712,00"</f>
        <v>6.712,00</v>
      </c>
      <c r="L4579" s="6" t="str">
        <f>"1.678,00"</f>
        <v>1.678,00</v>
      </c>
      <c r="M4579" s="6" t="str">
        <f>"8.390,00"</f>
        <v>8.390,00</v>
      </c>
      <c r="N4579" s="8" t="s">
        <v>124</v>
      </c>
      <c r="O4579" s="7"/>
      <c r="P4579" s="2" t="s">
        <v>5614</v>
      </c>
      <c r="Q4579" s="7"/>
      <c r="R4579" s="1"/>
      <c r="S4579" s="1" t="str">
        <f>"J-UN-2022-1425"</f>
        <v>J-UN-2022-1425</v>
      </c>
      <c r="T4579" s="1" t="s">
        <v>32</v>
      </c>
    </row>
    <row r="4580" spans="1:20" ht="51" x14ac:dyDescent="0.25">
      <c r="A4580" s="6">
        <v>4572</v>
      </c>
      <c r="B4580" s="1" t="str">
        <f>"2022-1191"</f>
        <v>2022-1191</v>
      </c>
      <c r="C4580" s="1" t="s">
        <v>2641</v>
      </c>
      <c r="D4580" s="1" t="s">
        <v>515</v>
      </c>
      <c r="E4580" s="1" t="str">
        <f>""</f>
        <v/>
      </c>
      <c r="F4580" s="1" t="s">
        <v>1860</v>
      </c>
      <c r="G4580" s="1" t="str">
        <f>CONCATENATE(" INSTITUT IGH D.D.,"," JANKA RAKUŠE 1,"," 10000 ZAGREB,"," OIB: 79766124714")</f>
        <v xml:space="preserve"> INSTITUT IGH D.D., JANKA RAKUŠE 1, 10000 ZAGREB, OIB: 79766124714</v>
      </c>
      <c r="H4580" s="7"/>
      <c r="I4580" s="8" t="s">
        <v>214</v>
      </c>
      <c r="J4580" s="8" t="s">
        <v>1026</v>
      </c>
      <c r="K4580" s="6" t="str">
        <f>"20.088,00"</f>
        <v>20.088,00</v>
      </c>
      <c r="L4580" s="6" t="str">
        <f>"5.022,00"</f>
        <v>5.022,00</v>
      </c>
      <c r="M4580" s="6" t="str">
        <f>"25.110,00"</f>
        <v>25.110,00</v>
      </c>
      <c r="N4580" s="8" t="s">
        <v>124</v>
      </c>
      <c r="O4580" s="7"/>
      <c r="P4580" s="2" t="s">
        <v>5614</v>
      </c>
      <c r="Q4580" s="7"/>
      <c r="R4580" s="1"/>
      <c r="S4580" s="1" t="str">
        <f>"J-UN-2022-1426"</f>
        <v>J-UN-2022-1426</v>
      </c>
      <c r="T4580" s="1" t="s">
        <v>32</v>
      </c>
    </row>
    <row r="4581" spans="1:20" ht="51" x14ac:dyDescent="0.25">
      <c r="A4581" s="6">
        <v>4573</v>
      </c>
      <c r="B4581" s="1" t="str">
        <f>"2022-535"</f>
        <v>2022-535</v>
      </c>
      <c r="C4581" s="1" t="s">
        <v>2561</v>
      </c>
      <c r="D4581" s="1" t="s">
        <v>2156</v>
      </c>
      <c r="E4581" s="1" t="str">
        <f>""</f>
        <v/>
      </c>
      <c r="F4581" s="1" t="s">
        <v>1860</v>
      </c>
      <c r="G4581" s="1" t="str">
        <f>CONCATENATE(" LINKS D.O.O.,"," LJUBLJANSKA ULICA 2A,"," 10431 SVETA NEDJELJA,"," OIB: 32614011568")</f>
        <v xml:space="preserve"> LINKS D.O.O., LJUBLJANSKA ULICA 2A, 10431 SVETA NEDJELJA, OIB: 32614011568</v>
      </c>
      <c r="H4581" s="7"/>
      <c r="I4581" s="8" t="s">
        <v>214</v>
      </c>
      <c r="J4581" s="8" t="s">
        <v>1026</v>
      </c>
      <c r="K4581" s="6" t="str">
        <f>"1.402,20"</f>
        <v>1.402,20</v>
      </c>
      <c r="L4581" s="6" t="str">
        <f>"350,55"</f>
        <v>350,55</v>
      </c>
      <c r="M4581" s="6" t="str">
        <f>"1.752,75"</f>
        <v>1.752,75</v>
      </c>
      <c r="N4581" s="8" t="s">
        <v>124</v>
      </c>
      <c r="O4581" s="7"/>
      <c r="P4581" s="2" t="s">
        <v>5614</v>
      </c>
      <c r="Q4581" s="7"/>
      <c r="R4581" s="1"/>
      <c r="S4581" s="1" t="str">
        <f>"J-UN-2022-1428"</f>
        <v>J-UN-2022-1428</v>
      </c>
      <c r="T4581" s="1" t="s">
        <v>32</v>
      </c>
    </row>
    <row r="4582" spans="1:20" ht="51" x14ac:dyDescent="0.25">
      <c r="A4582" s="6">
        <v>4574</v>
      </c>
      <c r="B4582" s="1" t="str">
        <f>"2022-426"</f>
        <v>2022-426</v>
      </c>
      <c r="C4582" s="1" t="s">
        <v>2833</v>
      </c>
      <c r="D4582" s="1" t="s">
        <v>1962</v>
      </c>
      <c r="E4582" s="1" t="str">
        <f>""</f>
        <v/>
      </c>
      <c r="F4582" s="1" t="s">
        <v>1860</v>
      </c>
      <c r="G4582" s="1" t="str">
        <f>CONCATENATE(" SAFIR D.O.O.,"," HORVAĆANSKA 17,"," 10000 ZAGREB,"," OIB: 33548604975")</f>
        <v xml:space="preserve"> SAFIR D.O.O., HORVAĆANSKA 17, 10000 ZAGREB, OIB: 33548604975</v>
      </c>
      <c r="H4582" s="7"/>
      <c r="I4582" s="8" t="s">
        <v>214</v>
      </c>
      <c r="J4582" s="8" t="s">
        <v>1026</v>
      </c>
      <c r="K4582" s="6" t="str">
        <f>"10.720,40"</f>
        <v>10.720,40</v>
      </c>
      <c r="L4582" s="6" t="str">
        <f>"2.680,10"</f>
        <v>2.680,10</v>
      </c>
      <c r="M4582" s="6" t="str">
        <f>"13.400,50"</f>
        <v>13.400,50</v>
      </c>
      <c r="N4582" s="8" t="s">
        <v>408</v>
      </c>
      <c r="O4582" s="7"/>
      <c r="P4582" s="2" t="s">
        <v>8309</v>
      </c>
      <c r="Q4582" s="7"/>
      <c r="R4582" s="1"/>
      <c r="S4582" s="1" t="str">
        <f>"J-UN-2022-1429"</f>
        <v>J-UN-2022-1429</v>
      </c>
      <c r="T4582" s="1" t="s">
        <v>32</v>
      </c>
    </row>
    <row r="4583" spans="1:20" ht="51" x14ac:dyDescent="0.25">
      <c r="A4583" s="6">
        <v>4575</v>
      </c>
      <c r="B4583" s="1" t="str">
        <f>"2022-709"</f>
        <v>2022-709</v>
      </c>
      <c r="C4583" s="1" t="s">
        <v>2798</v>
      </c>
      <c r="D4583" s="1" t="s">
        <v>914</v>
      </c>
      <c r="E4583" s="1" t="str">
        <f>""</f>
        <v/>
      </c>
      <c r="F4583" s="1" t="s">
        <v>1860</v>
      </c>
      <c r="G4583" s="1" t="str">
        <f>CONCATENATE(" D.R. AUTO D.O.O.,"," SELSKA CESTA 34,"," 10000 ZAGREB,"," OIB: 07523847158")</f>
        <v xml:space="preserve"> D.R. AUTO D.O.O., SELSKA CESTA 34, 10000 ZAGREB, OIB: 07523847158</v>
      </c>
      <c r="H4583" s="7"/>
      <c r="I4583" s="8" t="s">
        <v>214</v>
      </c>
      <c r="J4583" s="8" t="s">
        <v>1026</v>
      </c>
      <c r="K4583" s="6" t="str">
        <f>"2.169,60"</f>
        <v>2.169,60</v>
      </c>
      <c r="L4583" s="6" t="str">
        <f>"542,40"</f>
        <v>542,40</v>
      </c>
      <c r="M4583" s="6" t="str">
        <f>"2.712,00"</f>
        <v>2.712,00</v>
      </c>
      <c r="N4583" s="8" t="s">
        <v>124</v>
      </c>
      <c r="O4583" s="7"/>
      <c r="P4583" s="2" t="s">
        <v>5614</v>
      </c>
      <c r="Q4583" s="7"/>
      <c r="R4583" s="1"/>
      <c r="S4583" s="1" t="str">
        <f>"J-UN-2022-1430"</f>
        <v>J-UN-2022-1430</v>
      </c>
      <c r="T4583" s="1" t="s">
        <v>32</v>
      </c>
    </row>
    <row r="4584" spans="1:20" ht="63.75" x14ac:dyDescent="0.25">
      <c r="A4584" s="6">
        <v>4576</v>
      </c>
      <c r="B4584" s="1" t="str">
        <f>"2022-513"</f>
        <v>2022-513</v>
      </c>
      <c r="C4584" s="1" t="s">
        <v>2900</v>
      </c>
      <c r="D4584" s="1" t="s">
        <v>2043</v>
      </c>
      <c r="E4584" s="1" t="str">
        <f>""</f>
        <v/>
      </c>
      <c r="F4584" s="1" t="s">
        <v>1860</v>
      </c>
      <c r="G4584" s="1" t="str">
        <f>CONCATENATE(" VIZURA D.O.O.,"," ANTUNA GUSTAVA MATOŠA 8,"," 10410 VELIKA GORICA,"," OIB: 33751697377")</f>
        <v xml:space="preserve"> VIZURA D.O.O., ANTUNA GUSTAVA MATOŠA 8, 10410 VELIKA GORICA, OIB: 33751697377</v>
      </c>
      <c r="H4584" s="7"/>
      <c r="I4584" s="8" t="s">
        <v>214</v>
      </c>
      <c r="J4584" s="8" t="s">
        <v>1026</v>
      </c>
      <c r="K4584" s="6" t="str">
        <f>"9.380,00"</f>
        <v>9.380,00</v>
      </c>
      <c r="L4584" s="6" t="str">
        <f>"2.345,00"</f>
        <v>2.345,00</v>
      </c>
      <c r="M4584" s="6" t="str">
        <f>"11.725,00"</f>
        <v>11.725,00</v>
      </c>
      <c r="N4584" s="8" t="s">
        <v>124</v>
      </c>
      <c r="O4584" s="7"/>
      <c r="P4584" s="2" t="s">
        <v>5614</v>
      </c>
      <c r="Q4584" s="7"/>
      <c r="R4584" s="1"/>
      <c r="S4584" s="1" t="str">
        <f>"J-UN-2022-1431"</f>
        <v>J-UN-2022-1431</v>
      </c>
      <c r="T4584" s="1" t="s">
        <v>32</v>
      </c>
    </row>
    <row r="4585" spans="1:20" ht="63.75" x14ac:dyDescent="0.25">
      <c r="A4585" s="6">
        <v>4577</v>
      </c>
      <c r="B4585" s="1" t="str">
        <f>"2022-825"</f>
        <v>2022-825</v>
      </c>
      <c r="C4585" s="1" t="s">
        <v>2492</v>
      </c>
      <c r="D4585" s="1" t="s">
        <v>2493</v>
      </c>
      <c r="E4585" s="1" t="str">
        <f>""</f>
        <v/>
      </c>
      <c r="F4585" s="1" t="s">
        <v>1860</v>
      </c>
      <c r="G4585" s="1" t="str">
        <f>CONCATENATE(" HIDROMEHANIKA D.O.O.,"," SLAVONSKA AVENIJA 26/10,"," 10000 ZAGREB,"," OIB: 9178029895")</f>
        <v xml:space="preserve"> HIDROMEHANIKA D.O.O., SLAVONSKA AVENIJA 26/10, 10000 ZAGREB, OIB: 9178029895</v>
      </c>
      <c r="H4585" s="7"/>
      <c r="I4585" s="8" t="s">
        <v>214</v>
      </c>
      <c r="J4585" s="8" t="s">
        <v>1026</v>
      </c>
      <c r="K4585" s="6" t="str">
        <f>"4.164,00"</f>
        <v>4.164,00</v>
      </c>
      <c r="L4585" s="6" t="str">
        <f>"1.041,00"</f>
        <v>1.041,00</v>
      </c>
      <c r="M4585" s="6" t="str">
        <f>"5.205,00"</f>
        <v>5.205,00</v>
      </c>
      <c r="N4585" s="8" t="s">
        <v>124</v>
      </c>
      <c r="O4585" s="7"/>
      <c r="P4585" s="2" t="s">
        <v>5614</v>
      </c>
      <c r="Q4585" s="7"/>
      <c r="R4585" s="1"/>
      <c r="S4585" s="1" t="str">
        <f>"J-UN-2022-1432"</f>
        <v>J-UN-2022-1432</v>
      </c>
      <c r="T4585" s="1" t="s">
        <v>32</v>
      </c>
    </row>
    <row r="4586" spans="1:20" ht="63.75" x14ac:dyDescent="0.25">
      <c r="A4586" s="6">
        <v>4578</v>
      </c>
      <c r="B4586" s="1" t="str">
        <f>"2022-1321"</f>
        <v>2022-1321</v>
      </c>
      <c r="C4586" s="1" t="s">
        <v>2987</v>
      </c>
      <c r="D4586" s="1" t="s">
        <v>2988</v>
      </c>
      <c r="E4586" s="1" t="str">
        <f>""</f>
        <v/>
      </c>
      <c r="F4586" s="1" t="s">
        <v>1860</v>
      </c>
      <c r="G4586" s="1" t="str">
        <f>CONCATENATE(" LANIŠTE D.O.O.,"," ALEXANDERA VON HUMBOLDTA 4B,"," 10000 ZAGREB,"," OIB: 3755384865")</f>
        <v xml:space="preserve"> LANIŠTE D.O.O., ALEXANDERA VON HUMBOLDTA 4B, 10000 ZAGREB, OIB: 3755384865</v>
      </c>
      <c r="H4586" s="7"/>
      <c r="I4586" s="8" t="s">
        <v>214</v>
      </c>
      <c r="J4586" s="8" t="s">
        <v>1026</v>
      </c>
      <c r="K4586" s="6" t="str">
        <f>"7.452,00"</f>
        <v>7.452,00</v>
      </c>
      <c r="L4586" s="6" t="str">
        <f>"1.863,00"</f>
        <v>1.863,00</v>
      </c>
      <c r="M4586" s="6" t="str">
        <f>"9.315,00"</f>
        <v>9.315,00</v>
      </c>
      <c r="N4586" s="8" t="s">
        <v>124</v>
      </c>
      <c r="O4586" s="7"/>
      <c r="P4586" s="2" t="s">
        <v>5614</v>
      </c>
      <c r="Q4586" s="7"/>
      <c r="R4586" s="1"/>
      <c r="S4586" s="1" t="str">
        <f>"J-UN-2022-1433"</f>
        <v>J-UN-2022-1433</v>
      </c>
      <c r="T4586" s="1" t="s">
        <v>32</v>
      </c>
    </row>
    <row r="4587" spans="1:20" ht="51" x14ac:dyDescent="0.25">
      <c r="A4587" s="6">
        <v>4579</v>
      </c>
      <c r="B4587" s="1" t="str">
        <f>"2022-716"</f>
        <v>2022-716</v>
      </c>
      <c r="C4587" s="1" t="s">
        <v>2563</v>
      </c>
      <c r="D4587" s="1" t="s">
        <v>914</v>
      </c>
      <c r="E4587" s="1" t="str">
        <f>""</f>
        <v/>
      </c>
      <c r="F4587" s="1" t="s">
        <v>1860</v>
      </c>
      <c r="G4587" s="1" t="str">
        <f>CONCATENATE(" D.R. AUTO D.O.O.,"," SELSKA CESTA 34,"," 10000 ZAGREB,"," OIB: 07523847158")</f>
        <v xml:space="preserve"> D.R. AUTO D.O.O., SELSKA CESTA 34, 10000 ZAGREB, OIB: 07523847158</v>
      </c>
      <c r="H4587" s="7"/>
      <c r="I4587" s="8" t="s">
        <v>215</v>
      </c>
      <c r="J4587" s="8" t="s">
        <v>2423</v>
      </c>
      <c r="K4587" s="6" t="str">
        <f>"2.963,20"</f>
        <v>2.963,20</v>
      </c>
      <c r="L4587" s="6" t="str">
        <f>"740,80"</f>
        <v>740,80</v>
      </c>
      <c r="M4587" s="6" t="str">
        <f>"3.704,00"</f>
        <v>3.704,00</v>
      </c>
      <c r="N4587" s="8" t="s">
        <v>124</v>
      </c>
      <c r="O4587" s="7"/>
      <c r="P4587" s="2" t="s">
        <v>5614</v>
      </c>
      <c r="Q4587" s="7"/>
      <c r="R4587" s="1"/>
      <c r="S4587" s="1" t="str">
        <f>"J-UN-2022-1434"</f>
        <v>J-UN-2022-1434</v>
      </c>
      <c r="T4587" s="1" t="s">
        <v>32</v>
      </c>
    </row>
    <row r="4588" spans="1:20" ht="63.75" x14ac:dyDescent="0.25">
      <c r="A4588" s="6">
        <v>4580</v>
      </c>
      <c r="B4588" s="1" t="str">
        <f>"2022-1416"</f>
        <v>2022-1416</v>
      </c>
      <c r="C4588" s="1" t="s">
        <v>2991</v>
      </c>
      <c r="D4588" s="1" t="s">
        <v>2992</v>
      </c>
      <c r="E4588" s="1" t="str">
        <f>""</f>
        <v/>
      </c>
      <c r="F4588" s="1" t="s">
        <v>1860</v>
      </c>
      <c r="G4588" s="1" t="str">
        <f t="shared" ref="G4588:G4593" si="229">CONCATENATE(" LANIŠTE D.O.O.,"," ALEXANDERA VON HUMBOLDTA 4B,"," 10000 ZAGREB,"," OIB: 3755384865")</f>
        <v xml:space="preserve"> LANIŠTE D.O.O., ALEXANDERA VON HUMBOLDTA 4B, 10000 ZAGREB, OIB: 3755384865</v>
      </c>
      <c r="H4588" s="7"/>
      <c r="I4588" s="8" t="s">
        <v>215</v>
      </c>
      <c r="J4588" s="8" t="s">
        <v>2423</v>
      </c>
      <c r="K4588" s="6" t="str">
        <f>"3.636,00"</f>
        <v>3.636,00</v>
      </c>
      <c r="L4588" s="6" t="str">
        <f>"909,00"</f>
        <v>909,00</v>
      </c>
      <c r="M4588" s="6" t="str">
        <f>"4.545,00"</f>
        <v>4.545,00</v>
      </c>
      <c r="N4588" s="8" t="s">
        <v>124</v>
      </c>
      <c r="O4588" s="7"/>
      <c r="P4588" s="2" t="s">
        <v>5614</v>
      </c>
      <c r="Q4588" s="7"/>
      <c r="R4588" s="1"/>
      <c r="S4588" s="1" t="str">
        <f>"J-UN-2022-1435"</f>
        <v>J-UN-2022-1435</v>
      </c>
      <c r="T4588" s="1" t="s">
        <v>32</v>
      </c>
    </row>
    <row r="4589" spans="1:20" ht="63.75" x14ac:dyDescent="0.25">
      <c r="A4589" s="6">
        <v>4581</v>
      </c>
      <c r="B4589" s="1" t="str">
        <f>"2022-1429"</f>
        <v>2022-1429</v>
      </c>
      <c r="C4589" s="1" t="s">
        <v>2984</v>
      </c>
      <c r="D4589" s="1" t="s">
        <v>2985</v>
      </c>
      <c r="E4589" s="1" t="str">
        <f>""</f>
        <v/>
      </c>
      <c r="F4589" s="1" t="s">
        <v>1860</v>
      </c>
      <c r="G4589" s="1" t="str">
        <f t="shared" si="229"/>
        <v xml:space="preserve"> LANIŠTE D.O.O., ALEXANDERA VON HUMBOLDTA 4B, 10000 ZAGREB, OIB: 3755384865</v>
      </c>
      <c r="H4589" s="7"/>
      <c r="I4589" s="8" t="s">
        <v>214</v>
      </c>
      <c r="J4589" s="8" t="s">
        <v>1026</v>
      </c>
      <c r="K4589" s="6" t="str">
        <f>"4.032,00"</f>
        <v>4.032,00</v>
      </c>
      <c r="L4589" s="6" t="str">
        <f>"1.008,00"</f>
        <v>1.008,00</v>
      </c>
      <c r="M4589" s="6" t="str">
        <f>"5.040,00"</f>
        <v>5.040,00</v>
      </c>
      <c r="N4589" s="8" t="s">
        <v>124</v>
      </c>
      <c r="O4589" s="7"/>
      <c r="P4589" s="2" t="s">
        <v>5614</v>
      </c>
      <c r="Q4589" s="7"/>
      <c r="R4589" s="1"/>
      <c r="S4589" s="1" t="str">
        <f>"J-UN-2022-1436"</f>
        <v>J-UN-2022-1436</v>
      </c>
      <c r="T4589" s="1" t="s">
        <v>32</v>
      </c>
    </row>
    <row r="4590" spans="1:20" ht="63.75" x14ac:dyDescent="0.25">
      <c r="A4590" s="6">
        <v>4582</v>
      </c>
      <c r="B4590" s="1" t="str">
        <f>"2022-1430"</f>
        <v>2022-1430</v>
      </c>
      <c r="C4590" s="1" t="s">
        <v>2986</v>
      </c>
      <c r="D4590" s="1" t="s">
        <v>2985</v>
      </c>
      <c r="E4590" s="1" t="str">
        <f>""</f>
        <v/>
      </c>
      <c r="F4590" s="1" t="s">
        <v>1860</v>
      </c>
      <c r="G4590" s="1" t="str">
        <f t="shared" si="229"/>
        <v xml:space="preserve"> LANIŠTE D.O.O., ALEXANDERA VON HUMBOLDTA 4B, 10000 ZAGREB, OIB: 3755384865</v>
      </c>
      <c r="H4590" s="7"/>
      <c r="I4590" s="8" t="s">
        <v>214</v>
      </c>
      <c r="J4590" s="8" t="s">
        <v>1026</v>
      </c>
      <c r="K4590" s="6" t="str">
        <f>"4.032,00"</f>
        <v>4.032,00</v>
      </c>
      <c r="L4590" s="6" t="str">
        <f>"1.008,00"</f>
        <v>1.008,00</v>
      </c>
      <c r="M4590" s="6" t="str">
        <f>"5.040,00"</f>
        <v>5.040,00</v>
      </c>
      <c r="N4590" s="8" t="s">
        <v>124</v>
      </c>
      <c r="O4590" s="7"/>
      <c r="P4590" s="2" t="s">
        <v>5614</v>
      </c>
      <c r="Q4590" s="7"/>
      <c r="R4590" s="1"/>
      <c r="S4590" s="1" t="str">
        <f>"J-UN-2022-1437"</f>
        <v>J-UN-2022-1437</v>
      </c>
      <c r="T4590" s="1" t="s">
        <v>32</v>
      </c>
    </row>
    <row r="4591" spans="1:20" ht="63.75" x14ac:dyDescent="0.25">
      <c r="A4591" s="6">
        <v>4583</v>
      </c>
      <c r="B4591" s="1" t="str">
        <f>"2022-1321"</f>
        <v>2022-1321</v>
      </c>
      <c r="C4591" s="1" t="s">
        <v>2987</v>
      </c>
      <c r="D4591" s="1" t="s">
        <v>2988</v>
      </c>
      <c r="E4591" s="1" t="str">
        <f>""</f>
        <v/>
      </c>
      <c r="F4591" s="1" t="s">
        <v>1860</v>
      </c>
      <c r="G4591" s="1" t="str">
        <f t="shared" si="229"/>
        <v xml:space="preserve"> LANIŠTE D.O.O., ALEXANDERA VON HUMBOLDTA 4B, 10000 ZAGREB, OIB: 3755384865</v>
      </c>
      <c r="H4591" s="7"/>
      <c r="I4591" s="8" t="s">
        <v>214</v>
      </c>
      <c r="J4591" s="8" t="s">
        <v>1026</v>
      </c>
      <c r="K4591" s="6" t="str">
        <f>"4.032,00"</f>
        <v>4.032,00</v>
      </c>
      <c r="L4591" s="6" t="str">
        <f>"1.008,00"</f>
        <v>1.008,00</v>
      </c>
      <c r="M4591" s="6" t="str">
        <f>"5.040,00"</f>
        <v>5.040,00</v>
      </c>
      <c r="N4591" s="8" t="s">
        <v>124</v>
      </c>
      <c r="O4591" s="7"/>
      <c r="P4591" s="2" t="s">
        <v>5614</v>
      </c>
      <c r="Q4591" s="7"/>
      <c r="R4591" s="1"/>
      <c r="S4591" s="1" t="str">
        <f>"J-UN-2022-1438"</f>
        <v>J-UN-2022-1438</v>
      </c>
      <c r="T4591" s="1" t="s">
        <v>32</v>
      </c>
    </row>
    <row r="4592" spans="1:20" ht="63.75" x14ac:dyDescent="0.25">
      <c r="A4592" s="6">
        <v>4584</v>
      </c>
      <c r="B4592" s="1" t="str">
        <f>"2022-1289"</f>
        <v>2022-1289</v>
      </c>
      <c r="C4592" s="1" t="s">
        <v>2993</v>
      </c>
      <c r="D4592" s="1" t="s">
        <v>2994</v>
      </c>
      <c r="E4592" s="1" t="str">
        <f>""</f>
        <v/>
      </c>
      <c r="F4592" s="1" t="s">
        <v>1860</v>
      </c>
      <c r="G4592" s="1" t="str">
        <f t="shared" si="229"/>
        <v xml:space="preserve"> LANIŠTE D.O.O., ALEXANDERA VON HUMBOLDTA 4B, 10000 ZAGREB, OIB: 3755384865</v>
      </c>
      <c r="H4592" s="7"/>
      <c r="I4592" s="8" t="s">
        <v>214</v>
      </c>
      <c r="J4592" s="8" t="s">
        <v>1026</v>
      </c>
      <c r="K4592" s="6" t="str">
        <f>"3.632,00"</f>
        <v>3.632,00</v>
      </c>
      <c r="L4592" s="6" t="str">
        <f>"908,00"</f>
        <v>908,00</v>
      </c>
      <c r="M4592" s="6" t="str">
        <f>"4.540,00"</f>
        <v>4.540,00</v>
      </c>
      <c r="N4592" s="8" t="s">
        <v>124</v>
      </c>
      <c r="O4592" s="7"/>
      <c r="P4592" s="2" t="s">
        <v>5614</v>
      </c>
      <c r="Q4592" s="7"/>
      <c r="R4592" s="1"/>
      <c r="S4592" s="1" t="str">
        <f>"J-UN-2022-1439"</f>
        <v>J-UN-2022-1439</v>
      </c>
      <c r="T4592" s="1" t="s">
        <v>32</v>
      </c>
    </row>
    <row r="4593" spans="1:20" ht="63.75" x14ac:dyDescent="0.25">
      <c r="A4593" s="6">
        <v>4585</v>
      </c>
      <c r="B4593" s="1" t="str">
        <f>"2022-1291"</f>
        <v>2022-1291</v>
      </c>
      <c r="C4593" s="1" t="s">
        <v>2989</v>
      </c>
      <c r="D4593" s="1" t="s">
        <v>2990</v>
      </c>
      <c r="E4593" s="1" t="str">
        <f>""</f>
        <v/>
      </c>
      <c r="F4593" s="1" t="s">
        <v>1860</v>
      </c>
      <c r="G4593" s="1" t="str">
        <f t="shared" si="229"/>
        <v xml:space="preserve"> LANIŠTE D.O.O., ALEXANDERA VON HUMBOLDTA 4B, 10000 ZAGREB, OIB: 3755384865</v>
      </c>
      <c r="H4593" s="7"/>
      <c r="I4593" s="8" t="s">
        <v>214</v>
      </c>
      <c r="J4593" s="8" t="s">
        <v>1026</v>
      </c>
      <c r="K4593" s="6" t="str">
        <f>"3.636,00"</f>
        <v>3.636,00</v>
      </c>
      <c r="L4593" s="6" t="str">
        <f>"909,00"</f>
        <v>909,00</v>
      </c>
      <c r="M4593" s="6" t="str">
        <f>"4.545,00"</f>
        <v>4.545,00</v>
      </c>
      <c r="N4593" s="8" t="s">
        <v>124</v>
      </c>
      <c r="O4593" s="7"/>
      <c r="P4593" s="2" t="s">
        <v>5614</v>
      </c>
      <c r="Q4593" s="7"/>
      <c r="R4593" s="1"/>
      <c r="S4593" s="1" t="str">
        <f>"J-UN-2022-1440"</f>
        <v>J-UN-2022-1440</v>
      </c>
      <c r="T4593" s="1" t="s">
        <v>32</v>
      </c>
    </row>
    <row r="4594" spans="1:20" ht="51" x14ac:dyDescent="0.25">
      <c r="A4594" s="6">
        <v>4586</v>
      </c>
      <c r="B4594" s="1" t="str">
        <f>"2022-912"</f>
        <v>2022-912</v>
      </c>
      <c r="C4594" s="1" t="s">
        <v>2485</v>
      </c>
      <c r="D4594" s="1" t="s">
        <v>1007</v>
      </c>
      <c r="E4594" s="1" t="str">
        <f>""</f>
        <v/>
      </c>
      <c r="F4594" s="1" t="s">
        <v>1860</v>
      </c>
      <c r="G4594" s="1" t="str">
        <f>CONCATENATE(" AUREL D.O.O.,"," BORONGAJSKA CESTA bb,"," 10000 ZAGREB,"," OIB: 62871653225")</f>
        <v xml:space="preserve"> AUREL D.O.O., BORONGAJSKA CESTA bb, 10000 ZAGREB, OIB: 62871653225</v>
      </c>
      <c r="H4594" s="7"/>
      <c r="I4594" s="8" t="s">
        <v>214</v>
      </c>
      <c r="J4594" s="8" t="s">
        <v>1026</v>
      </c>
      <c r="K4594" s="6" t="str">
        <f>"20.825,00"</f>
        <v>20.825,00</v>
      </c>
      <c r="L4594" s="6" t="str">
        <f>"5.206,25"</f>
        <v>5.206,25</v>
      </c>
      <c r="M4594" s="6" t="str">
        <f>"26.031,25"</f>
        <v>26.031,25</v>
      </c>
      <c r="N4594" s="8" t="s">
        <v>124</v>
      </c>
      <c r="O4594" s="7"/>
      <c r="P4594" s="2" t="s">
        <v>5614</v>
      </c>
      <c r="Q4594" s="7"/>
      <c r="R4594" s="1"/>
      <c r="S4594" s="1" t="str">
        <f>"J-UN-2022-1441"</f>
        <v>J-UN-2022-1441</v>
      </c>
      <c r="T4594" s="1" t="s">
        <v>32</v>
      </c>
    </row>
    <row r="4595" spans="1:20" ht="51" x14ac:dyDescent="0.25">
      <c r="A4595" s="6">
        <v>4587</v>
      </c>
      <c r="B4595" s="1" t="str">
        <f>"2022-473"</f>
        <v>2022-473</v>
      </c>
      <c r="C4595" s="1" t="s">
        <v>2738</v>
      </c>
      <c r="D4595" s="1" t="s">
        <v>2739</v>
      </c>
      <c r="E4595" s="1" t="str">
        <f>""</f>
        <v/>
      </c>
      <c r="F4595" s="1" t="s">
        <v>1860</v>
      </c>
      <c r="G4595" s="1" t="str">
        <f>CONCATENATE(" TOPTEHNIKA J.D.O.O.,"," PILINKA 51A,"," 10251 HRVATSKI LESKOVAC,"," OIB: 40215607334")</f>
        <v xml:space="preserve"> TOPTEHNIKA J.D.O.O., PILINKA 51A, 10251 HRVATSKI LESKOVAC, OIB: 40215607334</v>
      </c>
      <c r="H4595" s="7"/>
      <c r="I4595" s="8" t="s">
        <v>214</v>
      </c>
      <c r="J4595" s="8" t="s">
        <v>1026</v>
      </c>
      <c r="K4595" s="6" t="str">
        <f>"1.134,20"</f>
        <v>1.134,20</v>
      </c>
      <c r="L4595" s="6" t="str">
        <f>"283,55"</f>
        <v>283,55</v>
      </c>
      <c r="M4595" s="6" t="str">
        <f>"1.417,75"</f>
        <v>1.417,75</v>
      </c>
      <c r="N4595" s="8" t="s">
        <v>124</v>
      </c>
      <c r="O4595" s="7"/>
      <c r="P4595" s="2" t="s">
        <v>5614</v>
      </c>
      <c r="Q4595" s="7"/>
      <c r="R4595" s="1"/>
      <c r="S4595" s="1" t="str">
        <f>"J-UN-2022-1442"</f>
        <v>J-UN-2022-1442</v>
      </c>
      <c r="T4595" s="1" t="s">
        <v>32</v>
      </c>
    </row>
    <row r="4596" spans="1:20" ht="76.5" x14ac:dyDescent="0.25">
      <c r="A4596" s="6">
        <v>4588</v>
      </c>
      <c r="B4596" s="1" t="str">
        <f>"2022-825"</f>
        <v>2022-825</v>
      </c>
      <c r="C4596" s="1" t="s">
        <v>2492</v>
      </c>
      <c r="D4596" s="1" t="s">
        <v>2493</v>
      </c>
      <c r="E4596" s="1" t="str">
        <f>""</f>
        <v/>
      </c>
      <c r="F4596" s="1" t="s">
        <v>1860</v>
      </c>
      <c r="G4596" s="1" t="str">
        <f>CONCATENATE(" WAWA D.O.O.,"," ODVOJAK INDUSTRIJSKE ULICE,"," NOVAKI 3,"," 10431 SVETA NEDJELJA,"," OIB: 59785180614")</f>
        <v xml:space="preserve"> WAWA D.O.O., ODVOJAK INDUSTRIJSKE ULICE, NOVAKI 3, 10431 SVETA NEDJELJA, OIB: 59785180614</v>
      </c>
      <c r="H4596" s="7"/>
      <c r="I4596" s="8" t="s">
        <v>215</v>
      </c>
      <c r="J4596" s="8" t="s">
        <v>2423</v>
      </c>
      <c r="K4596" s="6" t="str">
        <f>"3.112,16"</f>
        <v>3.112,16</v>
      </c>
      <c r="L4596" s="6" t="str">
        <f>"778,04"</f>
        <v>778,04</v>
      </c>
      <c r="M4596" s="6" t="str">
        <f>"3.890,20"</f>
        <v>3.890,20</v>
      </c>
      <c r="N4596" s="8" t="s">
        <v>215</v>
      </c>
      <c r="O4596" s="7"/>
      <c r="P4596" s="2" t="s">
        <v>8310</v>
      </c>
      <c r="Q4596" s="7"/>
      <c r="R4596" s="1"/>
      <c r="S4596" s="1" t="str">
        <f>"J-UN-2022-1444"</f>
        <v>J-UN-2022-1444</v>
      </c>
      <c r="T4596" s="1" t="s">
        <v>32</v>
      </c>
    </row>
    <row r="4597" spans="1:20" ht="51" x14ac:dyDescent="0.25">
      <c r="A4597" s="6">
        <v>4589</v>
      </c>
      <c r="B4597" s="1" t="str">
        <f>"2022-698"</f>
        <v>2022-698</v>
      </c>
      <c r="C4597" s="1" t="s">
        <v>2565</v>
      </c>
      <c r="D4597" s="1" t="s">
        <v>1833</v>
      </c>
      <c r="E4597" s="1" t="str">
        <f>""</f>
        <v/>
      </c>
      <c r="F4597" s="1" t="s">
        <v>1860</v>
      </c>
      <c r="G4597" s="1" t="str">
        <f>CONCATENATE(" R-PIM D.O.O.,"," ZAGREBAČKA 12,"," 10437 BESTOVJE,"," OIB: 38514700472")</f>
        <v xml:space="preserve"> R-PIM D.O.O., ZAGREBAČKA 12, 10437 BESTOVJE, OIB: 38514700472</v>
      </c>
      <c r="H4597" s="7"/>
      <c r="I4597" s="8" t="s">
        <v>970</v>
      </c>
      <c r="J4597" s="8" t="s">
        <v>3216</v>
      </c>
      <c r="K4597" s="6" t="str">
        <f>"8.520,00"</f>
        <v>8.520,00</v>
      </c>
      <c r="L4597" s="6" t="str">
        <f>"2.130,00"</f>
        <v>2.130,00</v>
      </c>
      <c r="M4597" s="6" t="str">
        <f>"10.650,00"</f>
        <v>10.650,00</v>
      </c>
      <c r="N4597" s="8" t="s">
        <v>102</v>
      </c>
      <c r="O4597" s="7"/>
      <c r="P4597" s="2" t="s">
        <v>5666</v>
      </c>
      <c r="Q4597" s="7"/>
      <c r="R4597" s="1"/>
      <c r="S4597" s="1" t="str">
        <f>"J-UN-2022-1446"</f>
        <v>J-UN-2022-1446</v>
      </c>
      <c r="T4597" s="1" t="s">
        <v>32</v>
      </c>
    </row>
    <row r="4598" spans="1:20" ht="63.75" x14ac:dyDescent="0.25">
      <c r="A4598" s="6">
        <v>4590</v>
      </c>
      <c r="B4598" s="1" t="str">
        <f>"2022-1416"</f>
        <v>2022-1416</v>
      </c>
      <c r="C4598" s="1" t="s">
        <v>2991</v>
      </c>
      <c r="D4598" s="1" t="s">
        <v>2992</v>
      </c>
      <c r="E4598" s="1" t="str">
        <f>""</f>
        <v/>
      </c>
      <c r="F4598" s="1" t="s">
        <v>1860</v>
      </c>
      <c r="G4598" s="1" t="str">
        <f t="shared" ref="G4598:G4603" si="230">CONCATENATE(" LANIŠTE D.O.O.,"," ALEXANDERA VON HUMBOLDTA 4B,"," 10000 ZAGREB,"," OIB: 3755384865")</f>
        <v xml:space="preserve"> LANIŠTE D.O.O., ALEXANDERA VON HUMBOLDTA 4B, 10000 ZAGREB, OIB: 3755384865</v>
      </c>
      <c r="H4598" s="7"/>
      <c r="I4598" s="8" t="s">
        <v>215</v>
      </c>
      <c r="J4598" s="8" t="s">
        <v>2423</v>
      </c>
      <c r="K4598" s="6" t="str">
        <f>"3.636,00"</f>
        <v>3.636,00</v>
      </c>
      <c r="L4598" s="6" t="str">
        <f>"909,00"</f>
        <v>909,00</v>
      </c>
      <c r="M4598" s="6" t="str">
        <f>"4.545,00"</f>
        <v>4.545,00</v>
      </c>
      <c r="N4598" s="8" t="s">
        <v>124</v>
      </c>
      <c r="O4598" s="7"/>
      <c r="P4598" s="2" t="s">
        <v>5614</v>
      </c>
      <c r="Q4598" s="7"/>
      <c r="R4598" s="1"/>
      <c r="S4598" s="1" t="str">
        <f>"J-UN-2022-1448"</f>
        <v>J-UN-2022-1448</v>
      </c>
      <c r="T4598" s="1" t="s">
        <v>32</v>
      </c>
    </row>
    <row r="4599" spans="1:20" ht="63.75" x14ac:dyDescent="0.25">
      <c r="A4599" s="6">
        <v>4591</v>
      </c>
      <c r="B4599" s="1" t="str">
        <f>"2022-1429"</f>
        <v>2022-1429</v>
      </c>
      <c r="C4599" s="1" t="s">
        <v>2984</v>
      </c>
      <c r="D4599" s="1" t="s">
        <v>2985</v>
      </c>
      <c r="E4599" s="1" t="str">
        <f>""</f>
        <v/>
      </c>
      <c r="F4599" s="1" t="s">
        <v>1860</v>
      </c>
      <c r="G4599" s="1" t="str">
        <f t="shared" si="230"/>
        <v xml:space="preserve"> LANIŠTE D.O.O., ALEXANDERA VON HUMBOLDTA 4B, 10000 ZAGREB, OIB: 3755384865</v>
      </c>
      <c r="H4599" s="7"/>
      <c r="I4599" s="8" t="s">
        <v>215</v>
      </c>
      <c r="J4599" s="8" t="s">
        <v>2423</v>
      </c>
      <c r="K4599" s="6" t="str">
        <f>"4.032,00"</f>
        <v>4.032,00</v>
      </c>
      <c r="L4599" s="6" t="str">
        <f>"1.008,00"</f>
        <v>1.008,00</v>
      </c>
      <c r="M4599" s="6" t="str">
        <f>"5.040,00"</f>
        <v>5.040,00</v>
      </c>
      <c r="N4599" s="8" t="s">
        <v>124</v>
      </c>
      <c r="O4599" s="7"/>
      <c r="P4599" s="2" t="s">
        <v>5614</v>
      </c>
      <c r="Q4599" s="7"/>
      <c r="R4599" s="1"/>
      <c r="S4599" s="1" t="str">
        <f>"J-UN-2022-1449"</f>
        <v>J-UN-2022-1449</v>
      </c>
      <c r="T4599" s="1" t="s">
        <v>32</v>
      </c>
    </row>
    <row r="4600" spans="1:20" ht="63.75" x14ac:dyDescent="0.25">
      <c r="A4600" s="6">
        <v>4592</v>
      </c>
      <c r="B4600" s="1" t="str">
        <f>"2022-1430"</f>
        <v>2022-1430</v>
      </c>
      <c r="C4600" s="1" t="s">
        <v>2986</v>
      </c>
      <c r="D4600" s="1" t="s">
        <v>2985</v>
      </c>
      <c r="E4600" s="1" t="str">
        <f>""</f>
        <v/>
      </c>
      <c r="F4600" s="1" t="s">
        <v>1860</v>
      </c>
      <c r="G4600" s="1" t="str">
        <f t="shared" si="230"/>
        <v xml:space="preserve"> LANIŠTE D.O.O., ALEXANDERA VON HUMBOLDTA 4B, 10000 ZAGREB, OIB: 3755384865</v>
      </c>
      <c r="H4600" s="7"/>
      <c r="I4600" s="8" t="s">
        <v>365</v>
      </c>
      <c r="J4600" s="8" t="s">
        <v>2434</v>
      </c>
      <c r="K4600" s="6" t="str">
        <f>"4.032,00"</f>
        <v>4.032,00</v>
      </c>
      <c r="L4600" s="6" t="str">
        <f>"1.008,00"</f>
        <v>1.008,00</v>
      </c>
      <c r="M4600" s="6" t="str">
        <f>"5.040,00"</f>
        <v>5.040,00</v>
      </c>
      <c r="N4600" s="8" t="s">
        <v>124</v>
      </c>
      <c r="O4600" s="7"/>
      <c r="P4600" s="2" t="s">
        <v>5614</v>
      </c>
      <c r="Q4600" s="7"/>
      <c r="R4600" s="1"/>
      <c r="S4600" s="1" t="str">
        <f>"J-UN-2022-1450"</f>
        <v>J-UN-2022-1450</v>
      </c>
      <c r="T4600" s="1" t="s">
        <v>32</v>
      </c>
    </row>
    <row r="4601" spans="1:20" ht="63.75" x14ac:dyDescent="0.25">
      <c r="A4601" s="6">
        <v>4593</v>
      </c>
      <c r="B4601" s="1" t="str">
        <f>"2022-1321"</f>
        <v>2022-1321</v>
      </c>
      <c r="C4601" s="1" t="s">
        <v>2987</v>
      </c>
      <c r="D4601" s="1" t="s">
        <v>2988</v>
      </c>
      <c r="E4601" s="1" t="str">
        <f>""</f>
        <v/>
      </c>
      <c r="F4601" s="1" t="s">
        <v>1860</v>
      </c>
      <c r="G4601" s="1" t="str">
        <f t="shared" si="230"/>
        <v xml:space="preserve"> LANIŠTE D.O.O., ALEXANDERA VON HUMBOLDTA 4B, 10000 ZAGREB, OIB: 3755384865</v>
      </c>
      <c r="H4601" s="7"/>
      <c r="I4601" s="8" t="s">
        <v>365</v>
      </c>
      <c r="J4601" s="8" t="s">
        <v>2434</v>
      </c>
      <c r="K4601" s="6" t="str">
        <f>"4.032,00"</f>
        <v>4.032,00</v>
      </c>
      <c r="L4601" s="6" t="str">
        <f>"1.008,00"</f>
        <v>1.008,00</v>
      </c>
      <c r="M4601" s="6" t="str">
        <f>"5.040,00"</f>
        <v>5.040,00</v>
      </c>
      <c r="N4601" s="8" t="s">
        <v>124</v>
      </c>
      <c r="O4601" s="7"/>
      <c r="P4601" s="2" t="s">
        <v>5614</v>
      </c>
      <c r="Q4601" s="7"/>
      <c r="R4601" s="1"/>
      <c r="S4601" s="1" t="str">
        <f>"J-UN-2022-1451"</f>
        <v>J-UN-2022-1451</v>
      </c>
      <c r="T4601" s="1" t="s">
        <v>32</v>
      </c>
    </row>
    <row r="4602" spans="1:20" ht="63.75" x14ac:dyDescent="0.25">
      <c r="A4602" s="6">
        <v>4594</v>
      </c>
      <c r="B4602" s="1" t="str">
        <f>"2022-1289"</f>
        <v>2022-1289</v>
      </c>
      <c r="C4602" s="1" t="s">
        <v>2993</v>
      </c>
      <c r="D4602" s="1" t="s">
        <v>2994</v>
      </c>
      <c r="E4602" s="1" t="str">
        <f>""</f>
        <v/>
      </c>
      <c r="F4602" s="1" t="s">
        <v>1860</v>
      </c>
      <c r="G4602" s="1" t="str">
        <f t="shared" si="230"/>
        <v xml:space="preserve"> LANIŠTE D.O.O., ALEXANDERA VON HUMBOLDTA 4B, 10000 ZAGREB, OIB: 3755384865</v>
      </c>
      <c r="H4602" s="7"/>
      <c r="I4602" s="8" t="s">
        <v>365</v>
      </c>
      <c r="J4602" s="8" t="s">
        <v>2434</v>
      </c>
      <c r="K4602" s="6" t="str">
        <f>"3.632,00"</f>
        <v>3.632,00</v>
      </c>
      <c r="L4602" s="6" t="str">
        <f>"908,00"</f>
        <v>908,00</v>
      </c>
      <c r="M4602" s="6" t="str">
        <f>"4.540,00"</f>
        <v>4.540,00</v>
      </c>
      <c r="N4602" s="8" t="s">
        <v>124</v>
      </c>
      <c r="O4602" s="7"/>
      <c r="P4602" s="2" t="s">
        <v>5614</v>
      </c>
      <c r="Q4602" s="7"/>
      <c r="R4602" s="1"/>
      <c r="S4602" s="1" t="str">
        <f>"J-UN-2022-1452"</f>
        <v>J-UN-2022-1452</v>
      </c>
      <c r="T4602" s="1" t="s">
        <v>32</v>
      </c>
    </row>
    <row r="4603" spans="1:20" ht="63.75" x14ac:dyDescent="0.25">
      <c r="A4603" s="6">
        <v>4595</v>
      </c>
      <c r="B4603" s="1" t="str">
        <f>"2022-1291"</f>
        <v>2022-1291</v>
      </c>
      <c r="C4603" s="1" t="s">
        <v>2989</v>
      </c>
      <c r="D4603" s="1" t="s">
        <v>2990</v>
      </c>
      <c r="E4603" s="1" t="str">
        <f>""</f>
        <v/>
      </c>
      <c r="F4603" s="1" t="s">
        <v>1860</v>
      </c>
      <c r="G4603" s="1" t="str">
        <f t="shared" si="230"/>
        <v xml:space="preserve"> LANIŠTE D.O.O., ALEXANDERA VON HUMBOLDTA 4B, 10000 ZAGREB, OIB: 3755384865</v>
      </c>
      <c r="H4603" s="7"/>
      <c r="I4603" s="8" t="s">
        <v>365</v>
      </c>
      <c r="J4603" s="8" t="s">
        <v>2434</v>
      </c>
      <c r="K4603" s="6" t="str">
        <f>"3.636,00"</f>
        <v>3.636,00</v>
      </c>
      <c r="L4603" s="6" t="str">
        <f>"909,00"</f>
        <v>909,00</v>
      </c>
      <c r="M4603" s="6" t="str">
        <f>"4.545,00"</f>
        <v>4.545,00</v>
      </c>
      <c r="N4603" s="8" t="s">
        <v>124</v>
      </c>
      <c r="O4603" s="7"/>
      <c r="P4603" s="2" t="s">
        <v>5614</v>
      </c>
      <c r="Q4603" s="7"/>
      <c r="R4603" s="1"/>
      <c r="S4603" s="1" t="str">
        <f>"J-UN-2022-1453"</f>
        <v>J-UN-2022-1453</v>
      </c>
      <c r="T4603" s="1" t="s">
        <v>32</v>
      </c>
    </row>
    <row r="4604" spans="1:20" ht="63.75" x14ac:dyDescent="0.25">
      <c r="A4604" s="6">
        <v>4596</v>
      </c>
      <c r="B4604" s="1" t="str">
        <f>"2022-1973"</f>
        <v>2022-1973</v>
      </c>
      <c r="C4604" s="1" t="s">
        <v>3217</v>
      </c>
      <c r="D4604" s="1" t="s">
        <v>1039</v>
      </c>
      <c r="E4604" s="1" t="str">
        <f>""</f>
        <v/>
      </c>
      <c r="F4604" s="1" t="s">
        <v>1860</v>
      </c>
      <c r="G4604" s="1" t="str">
        <f>CONCATENATE(" TOKIĆ D.O.O.,"," ULICA 144. BRIGADE HRVATSKE VOJSKE 1A,"," 10360 SESVETE,"," OIB: 7486748762")</f>
        <v xml:space="preserve"> TOKIĆ D.O.O., ULICA 144. BRIGADE HRVATSKE VOJSKE 1A, 10360 SESVETE, OIB: 7486748762</v>
      </c>
      <c r="H4604" s="7"/>
      <c r="I4604" s="8" t="s">
        <v>970</v>
      </c>
      <c r="J4604" s="8" t="s">
        <v>3216</v>
      </c>
      <c r="K4604" s="6" t="str">
        <f>"8.730,00"</f>
        <v>8.730,00</v>
      </c>
      <c r="L4604" s="6" t="str">
        <f>"2.182,50"</f>
        <v>2.182,50</v>
      </c>
      <c r="M4604" s="6" t="str">
        <f>"10.912,50"</f>
        <v>10.912,50</v>
      </c>
      <c r="N4604" s="8" t="s">
        <v>317</v>
      </c>
      <c r="O4604" s="7"/>
      <c r="P4604" s="2" t="s">
        <v>8311</v>
      </c>
      <c r="Q4604" s="7"/>
      <c r="R4604" s="1"/>
      <c r="S4604" s="1" t="str">
        <f>"J-UN-2022-1454"</f>
        <v>J-UN-2022-1454</v>
      </c>
      <c r="T4604" s="1" t="s">
        <v>32</v>
      </c>
    </row>
    <row r="4605" spans="1:20" ht="51" x14ac:dyDescent="0.25">
      <c r="A4605" s="6">
        <v>4597</v>
      </c>
      <c r="B4605" s="1" t="str">
        <f>"2022-348"</f>
        <v>2022-348</v>
      </c>
      <c r="C4605" s="1" t="s">
        <v>2616</v>
      </c>
      <c r="D4605" s="1" t="s">
        <v>2617</v>
      </c>
      <c r="E4605" s="1" t="str">
        <f>""</f>
        <v/>
      </c>
      <c r="F4605" s="1" t="s">
        <v>1860</v>
      </c>
      <c r="G4605" s="1" t="str">
        <f>CONCATENATE(" COMET D.O.O.,"," VARAŽDINSKA 40/C,"," 42220 NOVI MAROF,"," OIB: 48249084626")</f>
        <v xml:space="preserve"> COMET D.O.O., VARAŽDINSKA 40/C, 42220 NOVI MAROF, OIB: 48249084626</v>
      </c>
      <c r="H4605" s="7"/>
      <c r="I4605" s="8" t="s">
        <v>970</v>
      </c>
      <c r="J4605" s="8" t="s">
        <v>3216</v>
      </c>
      <c r="K4605" s="6" t="str">
        <f>"4.543,00"</f>
        <v>4.543,00</v>
      </c>
      <c r="L4605" s="6" t="str">
        <f>"1.135,75"</f>
        <v>1.135,75</v>
      </c>
      <c r="M4605" s="6" t="str">
        <f>"5.678,75"</f>
        <v>5.678,75</v>
      </c>
      <c r="N4605" s="8" t="s">
        <v>310</v>
      </c>
      <c r="O4605" s="7"/>
      <c r="P4605" s="2" t="s">
        <v>8312</v>
      </c>
      <c r="Q4605" s="7"/>
      <c r="R4605" s="1"/>
      <c r="S4605" s="1" t="str">
        <f>"J-UN-2022-1455"</f>
        <v>J-UN-2022-1455</v>
      </c>
      <c r="T4605" s="1" t="s">
        <v>32</v>
      </c>
    </row>
    <row r="4606" spans="1:20" ht="63.75" x14ac:dyDescent="0.25">
      <c r="A4606" s="6">
        <v>4598</v>
      </c>
      <c r="B4606" s="1" t="str">
        <f>"2022-293"</f>
        <v>2022-293</v>
      </c>
      <c r="C4606" s="1" t="s">
        <v>2302</v>
      </c>
      <c r="D4606" s="1" t="s">
        <v>689</v>
      </c>
      <c r="E4606" s="1" t="str">
        <f>""</f>
        <v/>
      </c>
      <c r="F4606" s="1" t="s">
        <v>1860</v>
      </c>
      <c r="G4606" s="1" t="str">
        <f>CONCATENATE(" URIHO - ZAGREB,"," AVENIJA MARINA DRŽIĆA 1,"," 10000 ZAGREB,"," OIB: 77931216562")</f>
        <v xml:space="preserve"> URIHO - ZAGREB, AVENIJA MARINA DRŽIĆA 1, 10000 ZAGREB, OIB: 77931216562</v>
      </c>
      <c r="H4606" s="7"/>
      <c r="I4606" s="8" t="s">
        <v>970</v>
      </c>
      <c r="J4606" s="8" t="s">
        <v>3216</v>
      </c>
      <c r="K4606" s="6" t="str">
        <f>"3.000,00"</f>
        <v>3.000,00</v>
      </c>
      <c r="L4606" s="6" t="str">
        <f>"750,00"</f>
        <v>750,00</v>
      </c>
      <c r="M4606" s="6" t="str">
        <f>"3.750,00"</f>
        <v>3.750,00</v>
      </c>
      <c r="N4606" s="8" t="s">
        <v>124</v>
      </c>
      <c r="O4606" s="7"/>
      <c r="P4606" s="2" t="s">
        <v>5614</v>
      </c>
      <c r="Q4606" s="7"/>
      <c r="R4606" s="1"/>
      <c r="S4606" s="1" t="str">
        <f>"J-UN-2022-1456"</f>
        <v>J-UN-2022-1456</v>
      </c>
      <c r="T4606" s="1" t="s">
        <v>32</v>
      </c>
    </row>
    <row r="4607" spans="1:20" ht="51" x14ac:dyDescent="0.25">
      <c r="A4607" s="6">
        <v>4599</v>
      </c>
      <c r="B4607" s="1" t="str">
        <f>"2022-823"</f>
        <v>2022-823</v>
      </c>
      <c r="C4607" s="1" t="s">
        <v>2675</v>
      </c>
      <c r="D4607" s="1" t="s">
        <v>2676</v>
      </c>
      <c r="E4607" s="1" t="str">
        <f>""</f>
        <v/>
      </c>
      <c r="F4607" s="1" t="s">
        <v>1860</v>
      </c>
      <c r="G4607" s="1" t="str">
        <f>CONCATENATE(" AUTOBUS D.O.O.,"," I. RESNIK 178,"," 10040 ZAGREB,"," OIB: 77383886713")</f>
        <v xml:space="preserve"> AUTOBUS D.O.O., I. RESNIK 178, 10040 ZAGREB, OIB: 77383886713</v>
      </c>
      <c r="H4607" s="7"/>
      <c r="I4607" s="8" t="s">
        <v>215</v>
      </c>
      <c r="J4607" s="8" t="s">
        <v>2423</v>
      </c>
      <c r="K4607" s="6" t="str">
        <f>"1.995,00"</f>
        <v>1.995,00</v>
      </c>
      <c r="L4607" s="6" t="str">
        <f>"498,75"</f>
        <v>498,75</v>
      </c>
      <c r="M4607" s="6" t="str">
        <f>"2.493,75"</f>
        <v>2.493,75</v>
      </c>
      <c r="N4607" s="8" t="s">
        <v>301</v>
      </c>
      <c r="O4607" s="7"/>
      <c r="P4607" s="2" t="s">
        <v>8313</v>
      </c>
      <c r="Q4607" s="7"/>
      <c r="R4607" s="1"/>
      <c r="S4607" s="1" t="str">
        <f>"J-UN-2022-1458"</f>
        <v>J-UN-2022-1458</v>
      </c>
      <c r="T4607" s="1" t="s">
        <v>32</v>
      </c>
    </row>
    <row r="4608" spans="1:20" ht="63.75" x14ac:dyDescent="0.25">
      <c r="A4608" s="6">
        <v>4600</v>
      </c>
      <c r="B4608" s="1" t="str">
        <f>"2022-655"</f>
        <v>2022-655</v>
      </c>
      <c r="C4608" s="1" t="s">
        <v>2775</v>
      </c>
      <c r="D4608" s="1" t="s">
        <v>2776</v>
      </c>
      <c r="E4608" s="1" t="str">
        <f>""</f>
        <v/>
      </c>
      <c r="F4608" s="1" t="s">
        <v>1860</v>
      </c>
      <c r="G4608" s="1" t="str">
        <f>CONCATENATE(" POLJOOPSKRBA-TEHNO D.D.,"," SAMOBORSKA 96,"," 10000 ZAGREB,"," OIB: 5372167324")</f>
        <v xml:space="preserve"> POLJOOPSKRBA-TEHNO D.D., SAMOBORSKA 96, 10000 ZAGREB, OIB: 5372167324</v>
      </c>
      <c r="H4608" s="7"/>
      <c r="I4608" s="8" t="s">
        <v>970</v>
      </c>
      <c r="J4608" s="8" t="s">
        <v>3216</v>
      </c>
      <c r="K4608" s="6" t="str">
        <f>"97.880,00"</f>
        <v>97.880,00</v>
      </c>
      <c r="L4608" s="6" t="str">
        <f>"24.470,00"</f>
        <v>24.470,00</v>
      </c>
      <c r="M4608" s="6" t="str">
        <f>"122.350,00"</f>
        <v>122.350,00</v>
      </c>
      <c r="N4608" s="8" t="s">
        <v>124</v>
      </c>
      <c r="O4608" s="7"/>
      <c r="P4608" s="2" t="s">
        <v>5614</v>
      </c>
      <c r="Q4608" s="7"/>
      <c r="R4608" s="1"/>
      <c r="S4608" s="1" t="str">
        <f>"J-UN-2022-1459"</f>
        <v>J-UN-2022-1459</v>
      </c>
      <c r="T4608" s="1" t="s">
        <v>32</v>
      </c>
    </row>
    <row r="4609" spans="1:20" ht="63.75" x14ac:dyDescent="0.25">
      <c r="A4609" s="6">
        <v>4601</v>
      </c>
      <c r="B4609" s="1" t="str">
        <f>"2022-1862"</f>
        <v>2022-1862</v>
      </c>
      <c r="C4609" s="1" t="s">
        <v>2089</v>
      </c>
      <c r="D4609" s="1" t="s">
        <v>1884</v>
      </c>
      <c r="E4609" s="1" t="str">
        <f>""</f>
        <v/>
      </c>
      <c r="F4609" s="1" t="s">
        <v>1860</v>
      </c>
      <c r="G4609" s="1" t="str">
        <f>CONCATENATE(" POLJOOPSKRBA-TEHNO D.D.,"," SAMOBORSKA 96,"," 10000 ZAGREB,"," OIB: 5372167324")</f>
        <v xml:space="preserve"> POLJOOPSKRBA-TEHNO D.D., SAMOBORSKA 96, 10000 ZAGREB, OIB: 5372167324</v>
      </c>
      <c r="H4609" s="7"/>
      <c r="I4609" s="8" t="s">
        <v>564</v>
      </c>
      <c r="J4609" s="8" t="s">
        <v>2227</v>
      </c>
      <c r="K4609" s="6" t="str">
        <f>"91.394,00"</f>
        <v>91.394,00</v>
      </c>
      <c r="L4609" s="6" t="str">
        <f>"22.848,50"</f>
        <v>22.848,50</v>
      </c>
      <c r="M4609" s="6" t="str">
        <f>"114.242,50"</f>
        <v>114.242,50</v>
      </c>
      <c r="N4609" s="8" t="s">
        <v>81</v>
      </c>
      <c r="O4609" s="7"/>
      <c r="P4609" s="2" t="s">
        <v>8314</v>
      </c>
      <c r="Q4609" s="7"/>
      <c r="R4609" s="1"/>
      <c r="S4609" s="1" t="str">
        <f>"J-UN-2022-1460"</f>
        <v>J-UN-2022-1460</v>
      </c>
      <c r="T4609" s="1" t="s">
        <v>32</v>
      </c>
    </row>
    <row r="4610" spans="1:20" ht="51" x14ac:dyDescent="0.25">
      <c r="A4610" s="6">
        <v>4602</v>
      </c>
      <c r="B4610" s="1" t="str">
        <f>"2022-1974"</f>
        <v>2022-1974</v>
      </c>
      <c r="C4610" s="1" t="s">
        <v>662</v>
      </c>
      <c r="D4610" s="1" t="s">
        <v>659</v>
      </c>
      <c r="E4610" s="1" t="str">
        <f>""</f>
        <v/>
      </c>
      <c r="F4610" s="1" t="s">
        <v>1860</v>
      </c>
      <c r="G4610" s="1" t="str">
        <f>CONCATENATE(" VALOTO-PROM D.O.O.,"," BENCEKOVIĆEVA 40,"," 10000 ZAGREB,"," OIB: 47550895659")</f>
        <v xml:space="preserve"> VALOTO-PROM D.O.O., BENCEKOVIĆEVA 40, 10000 ZAGREB, OIB: 47550895659</v>
      </c>
      <c r="H4610" s="7"/>
      <c r="I4610" s="8" t="s">
        <v>1157</v>
      </c>
      <c r="J4610" s="8" t="s">
        <v>1497</v>
      </c>
      <c r="K4610" s="6" t="str">
        <f>"22.180,00"</f>
        <v>22.180,00</v>
      </c>
      <c r="L4610" s="6" t="str">
        <f>"5.545,00"</f>
        <v>5.545,00</v>
      </c>
      <c r="M4610" s="6" t="str">
        <f>"27.725,00"</f>
        <v>27.725,00</v>
      </c>
      <c r="N4610" s="8" t="s">
        <v>409</v>
      </c>
      <c r="O4610" s="7"/>
      <c r="P4610" s="2" t="s">
        <v>8315</v>
      </c>
      <c r="Q4610" s="7"/>
      <c r="R4610" s="1"/>
      <c r="S4610" s="1" t="str">
        <f>"J-UN-2022-1461"</f>
        <v>J-UN-2022-1461</v>
      </c>
      <c r="T4610" s="1" t="s">
        <v>32</v>
      </c>
    </row>
    <row r="4611" spans="1:20" ht="63.75" x14ac:dyDescent="0.25">
      <c r="A4611" s="6">
        <v>4603</v>
      </c>
      <c r="B4611" s="1" t="str">
        <f>"2022-1973"</f>
        <v>2022-1973</v>
      </c>
      <c r="C4611" s="1" t="s">
        <v>3217</v>
      </c>
      <c r="D4611" s="1" t="s">
        <v>1039</v>
      </c>
      <c r="E4611" s="1" t="str">
        <f>""</f>
        <v/>
      </c>
      <c r="F4611" s="1" t="s">
        <v>1860</v>
      </c>
      <c r="G4611" s="1" t="str">
        <f>CONCATENATE(" TOKIĆ D.O.O.,"," ULICA 144. BRIGADE HRVATSKE VOJSKE 1A,"," 10360 SESVETE,"," OIB: 7486748762")</f>
        <v xml:space="preserve"> TOKIĆ D.O.O., ULICA 144. BRIGADE HRVATSKE VOJSKE 1A, 10360 SESVETE, OIB: 7486748762</v>
      </c>
      <c r="H4611" s="7"/>
      <c r="I4611" s="8" t="s">
        <v>970</v>
      </c>
      <c r="J4611" s="8" t="s">
        <v>3216</v>
      </c>
      <c r="K4611" s="6" t="str">
        <f>"23.585,00"</f>
        <v>23.585,00</v>
      </c>
      <c r="L4611" s="6" t="str">
        <f>"5.896,25"</f>
        <v>5.896,25</v>
      </c>
      <c r="M4611" s="6" t="str">
        <f>"29.481,25"</f>
        <v>29.481,25</v>
      </c>
      <c r="N4611" s="8" t="s">
        <v>310</v>
      </c>
      <c r="O4611" s="7"/>
      <c r="P4611" s="2" t="s">
        <v>8316</v>
      </c>
      <c r="Q4611" s="7"/>
      <c r="R4611" s="1"/>
      <c r="S4611" s="1" t="str">
        <f>"J-UN-2022-1463"</f>
        <v>J-UN-2022-1463</v>
      </c>
      <c r="T4611" s="1" t="s">
        <v>32</v>
      </c>
    </row>
    <row r="4612" spans="1:20" ht="51" x14ac:dyDescent="0.25">
      <c r="A4612" s="6">
        <v>4604</v>
      </c>
      <c r="B4612" s="1" t="str">
        <f>"2022-1973"</f>
        <v>2022-1973</v>
      </c>
      <c r="C4612" s="1" t="s">
        <v>3217</v>
      </c>
      <c r="D4612" s="1" t="s">
        <v>1039</v>
      </c>
      <c r="E4612" s="1" t="str">
        <f>""</f>
        <v/>
      </c>
      <c r="F4612" s="1" t="s">
        <v>1860</v>
      </c>
      <c r="G4612" s="1" t="str">
        <f>CONCATENATE(" TED D.O.O.,"," VRHOVČEV VIJENAC 84,"," 10000 ZAGREB,"," OIB: 22740118957")</f>
        <v xml:space="preserve"> TED D.O.O., VRHOVČEV VIJENAC 84, 10000 ZAGREB, OIB: 22740118957</v>
      </c>
      <c r="H4612" s="7"/>
      <c r="I4612" s="8" t="s">
        <v>564</v>
      </c>
      <c r="J4612" s="8" t="s">
        <v>2227</v>
      </c>
      <c r="K4612" s="6" t="str">
        <f>"62.400,00"</f>
        <v>62.400,00</v>
      </c>
      <c r="L4612" s="6" t="str">
        <f>"15.600,00"</f>
        <v>15.600,00</v>
      </c>
      <c r="M4612" s="6" t="str">
        <f>"78.000,00"</f>
        <v>78.000,00</v>
      </c>
      <c r="N4612" s="8" t="s">
        <v>1159</v>
      </c>
      <c r="O4612" s="7"/>
      <c r="P4612" s="2" t="s">
        <v>8317</v>
      </c>
      <c r="Q4612" s="7"/>
      <c r="R4612" s="1"/>
      <c r="S4612" s="1" t="str">
        <f>"J-UN-2022-1464"</f>
        <v>J-UN-2022-1464</v>
      </c>
      <c r="T4612" s="1" t="s">
        <v>32</v>
      </c>
    </row>
    <row r="4613" spans="1:20" ht="51" x14ac:dyDescent="0.25">
      <c r="A4613" s="6">
        <v>4605</v>
      </c>
      <c r="B4613" s="1" t="str">
        <f>"2022-852"</f>
        <v>2022-852</v>
      </c>
      <c r="C4613" s="1" t="s">
        <v>2469</v>
      </c>
      <c r="D4613" s="1" t="s">
        <v>2287</v>
      </c>
      <c r="E4613" s="1" t="str">
        <f>""</f>
        <v/>
      </c>
      <c r="F4613" s="1" t="s">
        <v>1860</v>
      </c>
      <c r="G4613" s="1" t="str">
        <f>CONCATENATE(" TEHNIČAR-COPYSERVIS D.O.O.,"," KRANJČEVIĆEVA 25,"," 10000 ZAGREB,"," OIB: 5139094509")</f>
        <v xml:space="preserve"> TEHNIČAR-COPYSERVIS D.O.O., KRANJČEVIĆEVA 25, 10000 ZAGREB, OIB: 5139094509</v>
      </c>
      <c r="H4613" s="7"/>
      <c r="I4613" s="8" t="s">
        <v>285</v>
      </c>
      <c r="J4613" s="8" t="s">
        <v>3218</v>
      </c>
      <c r="K4613" s="6" t="str">
        <f>"4.300,00"</f>
        <v>4.300,00</v>
      </c>
      <c r="L4613" s="6" t="str">
        <f>"1.075,00"</f>
        <v>1.075,00</v>
      </c>
      <c r="M4613" s="6" t="str">
        <f>"5.375,00"</f>
        <v>5.375,00</v>
      </c>
      <c r="N4613" s="8" t="s">
        <v>310</v>
      </c>
      <c r="O4613" s="7"/>
      <c r="P4613" s="2" t="s">
        <v>7844</v>
      </c>
      <c r="Q4613" s="7"/>
      <c r="R4613" s="1"/>
      <c r="S4613" s="1" t="str">
        <f>"J-UN-2022-1465"</f>
        <v>J-UN-2022-1465</v>
      </c>
      <c r="T4613" s="1" t="s">
        <v>32</v>
      </c>
    </row>
    <row r="4614" spans="1:20" ht="63.75" x14ac:dyDescent="0.25">
      <c r="A4614" s="6">
        <v>4606</v>
      </c>
      <c r="B4614" s="1" t="str">
        <f>"2022-186"</f>
        <v>2022-186</v>
      </c>
      <c r="C4614" s="1" t="s">
        <v>2534</v>
      </c>
      <c r="D4614" s="1" t="s">
        <v>2535</v>
      </c>
      <c r="E4614" s="1" t="str">
        <f>""</f>
        <v/>
      </c>
      <c r="F4614" s="1" t="s">
        <v>1860</v>
      </c>
      <c r="G4614" s="1" t="str">
        <f>CONCATENATE(" ARABUSTA DOMIC D.O.O.,"," MARJANOVIĆEV PRILAZ 9,"," 10000 ZAGREB,"," OIB: 86431702899")</f>
        <v xml:space="preserve"> ARABUSTA DOMIC D.O.O., MARJANOVIĆEV PRILAZ 9, 10000 ZAGREB, OIB: 86431702899</v>
      </c>
      <c r="H4614" s="7"/>
      <c r="I4614" s="8" t="s">
        <v>365</v>
      </c>
      <c r="J4614" s="8" t="s">
        <v>2434</v>
      </c>
      <c r="K4614" s="6" t="str">
        <f>"2.528,00"</f>
        <v>2.528,00</v>
      </c>
      <c r="L4614" s="6" t="str">
        <f>"632,00"</f>
        <v>632,00</v>
      </c>
      <c r="M4614" s="6" t="str">
        <f>"3.160,00"</f>
        <v>3.160,00</v>
      </c>
      <c r="N4614" s="8" t="s">
        <v>374</v>
      </c>
      <c r="O4614" s="7"/>
      <c r="P4614" s="2" t="s">
        <v>8306</v>
      </c>
      <c r="Q4614" s="7"/>
      <c r="R4614" s="1"/>
      <c r="S4614" s="1" t="str">
        <f>"J-UN-2022-1466"</f>
        <v>J-UN-2022-1466</v>
      </c>
      <c r="T4614" s="1" t="s">
        <v>32</v>
      </c>
    </row>
    <row r="4615" spans="1:20" ht="51" x14ac:dyDescent="0.25">
      <c r="A4615" s="6">
        <v>4607</v>
      </c>
      <c r="B4615" s="1" t="str">
        <f>"2022-1014"</f>
        <v>2022-1014</v>
      </c>
      <c r="C4615" s="1" t="s">
        <v>2767</v>
      </c>
      <c r="D4615" s="1" t="s">
        <v>2768</v>
      </c>
      <c r="E4615" s="1" t="str">
        <f>""</f>
        <v/>
      </c>
      <c r="F4615" s="1" t="s">
        <v>1860</v>
      </c>
      <c r="G4615" s="1" t="str">
        <f>CONCATENATE(" TPZ D.O.O.,"," NOVOSELSKA 25,"," 10000 ZAGREB,"," OIB: 68119083236")</f>
        <v xml:space="preserve"> TPZ D.O.O., NOVOSELSKA 25, 10000 ZAGREB, OIB: 68119083236</v>
      </c>
      <c r="H4615" s="7"/>
      <c r="I4615" s="8" t="s">
        <v>1157</v>
      </c>
      <c r="J4615" s="8" t="s">
        <v>1497</v>
      </c>
      <c r="K4615" s="6" t="str">
        <f>"69.600,00"</f>
        <v>69.600,00</v>
      </c>
      <c r="L4615" s="6" t="str">
        <f>"17.400,00"</f>
        <v>17.400,00</v>
      </c>
      <c r="M4615" s="6" t="str">
        <f>"87.000,00"</f>
        <v>87.000,00</v>
      </c>
      <c r="N4615" s="8" t="s">
        <v>124</v>
      </c>
      <c r="O4615" s="7"/>
      <c r="P4615" s="2" t="s">
        <v>5614</v>
      </c>
      <c r="Q4615" s="7"/>
      <c r="R4615" s="1"/>
      <c r="S4615" s="1" t="str">
        <f>"J-UN-2022-1485"</f>
        <v>J-UN-2022-1485</v>
      </c>
      <c r="T4615" s="1" t="s">
        <v>32</v>
      </c>
    </row>
    <row r="4616" spans="1:20" ht="51" x14ac:dyDescent="0.25">
      <c r="A4616" s="6">
        <v>4608</v>
      </c>
      <c r="B4616" s="1" t="str">
        <f>"2022-165"</f>
        <v>2022-165</v>
      </c>
      <c r="C4616" s="1" t="s">
        <v>2952</v>
      </c>
      <c r="D4616" s="1" t="s">
        <v>2953</v>
      </c>
      <c r="E4616" s="1" t="str">
        <f>""</f>
        <v/>
      </c>
      <c r="F4616" s="1" t="s">
        <v>1860</v>
      </c>
      <c r="G4616" s="1" t="str">
        <f>CONCATENATE(" HOLUS D.O.O.,"," SLAVONSKA AVENIJA 7,"," 10000 ZAGREB,"," OIB: 19957278502")</f>
        <v xml:space="preserve"> HOLUS D.O.O., SLAVONSKA AVENIJA 7, 10000 ZAGREB, OIB: 19957278502</v>
      </c>
      <c r="H4616" s="7"/>
      <c r="I4616" s="8" t="s">
        <v>1157</v>
      </c>
      <c r="J4616" s="8" t="s">
        <v>1497</v>
      </c>
      <c r="K4616" s="6" t="str">
        <f>"87.900,00"</f>
        <v>87.900,00</v>
      </c>
      <c r="L4616" s="6" t="str">
        <f>"21.975,00"</f>
        <v>21.975,00</v>
      </c>
      <c r="M4616" s="6" t="str">
        <f>"109.875,00"</f>
        <v>109.875,00</v>
      </c>
      <c r="N4616" s="8" t="s">
        <v>124</v>
      </c>
      <c r="O4616" s="7"/>
      <c r="P4616" s="2" t="s">
        <v>5614</v>
      </c>
      <c r="Q4616" s="7"/>
      <c r="R4616" s="1"/>
      <c r="S4616" s="1" t="str">
        <f>"J-UN-2022-1486"</f>
        <v>J-UN-2022-1486</v>
      </c>
      <c r="T4616" s="1" t="s">
        <v>32</v>
      </c>
    </row>
    <row r="4617" spans="1:20" ht="76.5" x14ac:dyDescent="0.25">
      <c r="A4617" s="6">
        <v>4609</v>
      </c>
      <c r="B4617" s="1" t="str">
        <f>"2022-201"</f>
        <v>2022-201</v>
      </c>
      <c r="C4617" s="1" t="s">
        <v>2651</v>
      </c>
      <c r="D4617" s="1" t="s">
        <v>2652</v>
      </c>
      <c r="E4617" s="1" t="str">
        <f>""</f>
        <v/>
      </c>
      <c r="F4617" s="1" t="s">
        <v>1860</v>
      </c>
      <c r="G4617" s="1" t="str">
        <f>CONCATENATE(" SMIT-COMMERCE D.O.O.,"," GORNJOSTUPNIČKA 9B,"," 10255 GORNJI STUPNIK,"," OIB: 9524348214")</f>
        <v xml:space="preserve"> SMIT-COMMERCE D.O.O., GORNJOSTUPNIČKA 9B, 10255 GORNJI STUPNIK, OIB: 9524348214</v>
      </c>
      <c r="H4617" s="7"/>
      <c r="I4617" s="8" t="s">
        <v>970</v>
      </c>
      <c r="J4617" s="8" t="s">
        <v>3216</v>
      </c>
      <c r="K4617" s="6" t="str">
        <f>"5.760,00"</f>
        <v>5.760,00</v>
      </c>
      <c r="L4617" s="6" t="str">
        <f>"1.440,00"</f>
        <v>1.440,00</v>
      </c>
      <c r="M4617" s="6" t="str">
        <f>"7.200,00"</f>
        <v>7.200,00</v>
      </c>
      <c r="N4617" s="8" t="s">
        <v>124</v>
      </c>
      <c r="O4617" s="7"/>
      <c r="P4617" s="2" t="s">
        <v>5614</v>
      </c>
      <c r="Q4617" s="7"/>
      <c r="R4617" s="1"/>
      <c r="S4617" s="1" t="str">
        <f>"J-UN-2022-1488"</f>
        <v>J-UN-2022-1488</v>
      </c>
      <c r="T4617" s="1" t="s">
        <v>32</v>
      </c>
    </row>
    <row r="4618" spans="1:20" ht="63.75" x14ac:dyDescent="0.25">
      <c r="A4618" s="6">
        <v>4610</v>
      </c>
      <c r="B4618" s="1" t="str">
        <f>"2022-41"</f>
        <v>2022-41</v>
      </c>
      <c r="C4618" s="1" t="s">
        <v>2323</v>
      </c>
      <c r="D4618" s="1" t="s">
        <v>2324</v>
      </c>
      <c r="E4618" s="1" t="str">
        <f>""</f>
        <v/>
      </c>
      <c r="F4618" s="1" t="s">
        <v>1860</v>
      </c>
      <c r="G4618" s="1" t="str">
        <f>CONCATENATE(" PREHRAMBENA INDUSTRIJA VINDIJA D.D.,"," MEĐIMURSKA 6,"," 42000 VARAŽDIN,"," OIB: 44138062462")</f>
        <v xml:space="preserve"> PREHRAMBENA INDUSTRIJA VINDIJA D.D., MEĐIMURSKA 6, 42000 VARAŽDIN, OIB: 44138062462</v>
      </c>
      <c r="H4618" s="7"/>
      <c r="I4618" s="8" t="s">
        <v>365</v>
      </c>
      <c r="J4618" s="8" t="s">
        <v>2434</v>
      </c>
      <c r="K4618" s="6" t="str">
        <f>"6.432,00"</f>
        <v>6.432,00</v>
      </c>
      <c r="L4618" s="6" t="str">
        <f>"1.608,00"</f>
        <v>1.608,00</v>
      </c>
      <c r="M4618" s="6" t="str">
        <f>"8.040,00"</f>
        <v>8.040,00</v>
      </c>
      <c r="N4618" s="8" t="s">
        <v>124</v>
      </c>
      <c r="O4618" s="7"/>
      <c r="P4618" s="2" t="s">
        <v>8318</v>
      </c>
      <c r="Q4618" s="7"/>
      <c r="R4618" s="1"/>
      <c r="S4618" s="1" t="str">
        <f>"J-UN-2022-1489"</f>
        <v>J-UN-2022-1489</v>
      </c>
      <c r="T4618" s="1" t="s">
        <v>32</v>
      </c>
    </row>
    <row r="4619" spans="1:20" ht="51" x14ac:dyDescent="0.25">
      <c r="A4619" s="6">
        <v>4611</v>
      </c>
      <c r="B4619" s="1" t="str">
        <f>"2022-293"</f>
        <v>2022-293</v>
      </c>
      <c r="C4619" s="1" t="s">
        <v>2302</v>
      </c>
      <c r="D4619" s="1" t="s">
        <v>689</v>
      </c>
      <c r="E4619" s="1" t="str">
        <f>""</f>
        <v/>
      </c>
      <c r="F4619" s="1" t="s">
        <v>1860</v>
      </c>
      <c r="G4619" s="1" t="str">
        <f>CONCATENATE(" ARS KOPIJA D.O.O.,"," ČETVRTE POLJANICE 2,"," 10000 ZAGREB,"," OIB: 76506138139")</f>
        <v xml:space="preserve"> ARS KOPIJA D.O.O., ČETVRTE POLJANICE 2, 10000 ZAGREB, OIB: 76506138139</v>
      </c>
      <c r="H4619" s="7"/>
      <c r="I4619" s="8" t="s">
        <v>365</v>
      </c>
      <c r="J4619" s="8" t="s">
        <v>2434</v>
      </c>
      <c r="K4619" s="6" t="str">
        <f>"10.000,00"</f>
        <v>10.000,00</v>
      </c>
      <c r="L4619" s="6" t="str">
        <f>"2.500,00"</f>
        <v>2.500,00</v>
      </c>
      <c r="M4619" s="6" t="str">
        <f>"12.500,00"</f>
        <v>12.500,00</v>
      </c>
      <c r="N4619" s="8" t="s">
        <v>1157</v>
      </c>
      <c r="O4619" s="7"/>
      <c r="P4619" s="2" t="s">
        <v>7194</v>
      </c>
      <c r="Q4619" s="7"/>
      <c r="R4619" s="1"/>
      <c r="S4619" s="1" t="str">
        <f>"J-UN-2022-1502"</f>
        <v>J-UN-2022-1502</v>
      </c>
      <c r="T4619" s="1" t="s">
        <v>32</v>
      </c>
    </row>
    <row r="4620" spans="1:20" ht="51" x14ac:dyDescent="0.25">
      <c r="A4620" s="6">
        <v>4612</v>
      </c>
      <c r="B4620" s="1" t="str">
        <f>"2022-833"</f>
        <v>2022-833</v>
      </c>
      <c r="C4620" s="1" t="s">
        <v>2995</v>
      </c>
      <c r="D4620" s="1" t="s">
        <v>794</v>
      </c>
      <c r="E4620" s="1" t="str">
        <f>""</f>
        <v/>
      </c>
      <c r="F4620" s="1" t="s">
        <v>1860</v>
      </c>
      <c r="G4620" s="1" t="str">
        <f>CONCATENATE(" PRIOR INŽENJERING D.O.O.,"," SAVSKACESTA 106,"," 10000 ZAGREB,"," OIB: 99439479072")</f>
        <v xml:space="preserve"> PRIOR INŽENJERING D.O.O., SAVSKACESTA 106, 10000 ZAGREB, OIB: 99439479072</v>
      </c>
      <c r="H4620" s="7"/>
      <c r="I4620" s="8" t="s">
        <v>565</v>
      </c>
      <c r="J4620" s="8" t="s">
        <v>3219</v>
      </c>
      <c r="K4620" s="6" t="str">
        <f>"10.626,00"</f>
        <v>10.626,00</v>
      </c>
      <c r="L4620" s="6" t="str">
        <f>"2.656,50"</f>
        <v>2.656,50</v>
      </c>
      <c r="M4620" s="6" t="str">
        <f>"13.282,50"</f>
        <v>13.282,50</v>
      </c>
      <c r="N4620" s="8" t="s">
        <v>408</v>
      </c>
      <c r="O4620" s="7"/>
      <c r="P4620" s="2" t="s">
        <v>8319</v>
      </c>
      <c r="Q4620" s="7"/>
      <c r="R4620" s="1"/>
      <c r="S4620" s="1" t="str">
        <f>"J-UN-2022-1504"</f>
        <v>J-UN-2022-1504</v>
      </c>
      <c r="T4620" s="1" t="s">
        <v>32</v>
      </c>
    </row>
    <row r="4621" spans="1:20" ht="51" x14ac:dyDescent="0.25">
      <c r="A4621" s="6">
        <v>4613</v>
      </c>
      <c r="B4621" s="1" t="str">
        <f>"2022-914"</f>
        <v>2022-914</v>
      </c>
      <c r="C4621" s="1" t="s">
        <v>2847</v>
      </c>
      <c r="D4621" s="1" t="s">
        <v>1007</v>
      </c>
      <c r="E4621" s="1" t="str">
        <f>""</f>
        <v/>
      </c>
      <c r="F4621" s="1" t="s">
        <v>1860</v>
      </c>
      <c r="G4621" s="1" t="str">
        <f>CONCATENATE(" ADC-ALARMNI CENTAR D.O.O.,"," LETOVANIČKA 22,"," 10000 ZAGREB,"," OIB: 9554213412")</f>
        <v xml:space="preserve"> ADC-ALARMNI CENTAR D.O.O., LETOVANIČKA 22, 10000 ZAGREB, OIB: 9554213412</v>
      </c>
      <c r="H4621" s="7"/>
      <c r="I4621" s="8" t="s">
        <v>285</v>
      </c>
      <c r="J4621" s="8" t="s">
        <v>3218</v>
      </c>
      <c r="K4621" s="6" t="str">
        <f>"4.440,00"</f>
        <v>4.440,00</v>
      </c>
      <c r="L4621" s="6" t="str">
        <f>"1.110,00"</f>
        <v>1.110,00</v>
      </c>
      <c r="M4621" s="6" t="str">
        <f>"5.550,00"</f>
        <v>5.550,00</v>
      </c>
      <c r="N4621" s="8" t="s">
        <v>970</v>
      </c>
      <c r="O4621" s="7"/>
      <c r="P4621" s="2" t="s">
        <v>8320</v>
      </c>
      <c r="Q4621" s="7"/>
      <c r="R4621" s="1"/>
      <c r="S4621" s="1" t="str">
        <f>"J-UN-2022-1505"</f>
        <v>J-UN-2022-1505</v>
      </c>
      <c r="T4621" s="1" t="s">
        <v>32</v>
      </c>
    </row>
    <row r="4622" spans="1:20" ht="76.5" x14ac:dyDescent="0.25">
      <c r="A4622" s="6">
        <v>4614</v>
      </c>
      <c r="B4622" s="1" t="str">
        <f>"2022-1381"</f>
        <v>2022-1381</v>
      </c>
      <c r="C4622" s="1" t="s">
        <v>2405</v>
      </c>
      <c r="D4622" s="1" t="s">
        <v>880</v>
      </c>
      <c r="E4622" s="1" t="str">
        <f>""</f>
        <v/>
      </c>
      <c r="F4622" s="1" t="s">
        <v>1860</v>
      </c>
      <c r="G4622" s="1" t="str">
        <f>CONCATENATE(" NASTAVNI ZAVOD ZA JAVNO ZDRAVSTVO DR. ANDRIJA ŠTAMPAR,"," MIROGOJSKA CESTA 16,"," 10000 ZAGREB,"," OIB: 3339200596")</f>
        <v xml:space="preserve"> NASTAVNI ZAVOD ZA JAVNO ZDRAVSTVO DR. ANDRIJA ŠTAMPAR, MIROGOJSKA CESTA 16, 10000 ZAGREB, OIB: 3339200596</v>
      </c>
      <c r="H4622" s="7"/>
      <c r="I4622" s="8" t="s">
        <v>408</v>
      </c>
      <c r="J4622" s="8" t="s">
        <v>3220</v>
      </c>
      <c r="K4622" s="6" t="str">
        <f>"345,00"</f>
        <v>345,00</v>
      </c>
      <c r="L4622" s="6" t="str">
        <f>"86,25"</f>
        <v>86,25</v>
      </c>
      <c r="M4622" s="6" t="str">
        <f>"431,25"</f>
        <v>431,25</v>
      </c>
      <c r="N4622" s="8" t="s">
        <v>124</v>
      </c>
      <c r="O4622" s="7"/>
      <c r="P4622" s="2" t="s">
        <v>5614</v>
      </c>
      <c r="Q4622" s="7"/>
      <c r="R4622" s="1"/>
      <c r="S4622" s="1" t="str">
        <f>"J-UN-2022-1506"</f>
        <v>J-UN-2022-1506</v>
      </c>
      <c r="T4622" s="1" t="s">
        <v>32</v>
      </c>
    </row>
    <row r="4623" spans="1:20" ht="51" x14ac:dyDescent="0.25">
      <c r="A4623" s="6">
        <v>4615</v>
      </c>
      <c r="B4623" s="1" t="str">
        <f>"2022-853"</f>
        <v>2022-853</v>
      </c>
      <c r="C4623" s="1" t="s">
        <v>2286</v>
      </c>
      <c r="D4623" s="1" t="s">
        <v>2287</v>
      </c>
      <c r="E4623" s="1" t="str">
        <f>""</f>
        <v/>
      </c>
      <c r="F4623" s="1" t="s">
        <v>1860</v>
      </c>
      <c r="G4623" s="1" t="str">
        <f>CONCATENATE(" STORM COMPUTERS D.O.O.,"," SAVICA I. 127,"," 10000 ZAGREB,"," OIB: 20142998436")</f>
        <v xml:space="preserve"> STORM COMPUTERS D.O.O., SAVICA I. 127, 10000 ZAGREB, OIB: 20142998436</v>
      </c>
      <c r="H4623" s="7"/>
      <c r="I4623" s="8" t="s">
        <v>565</v>
      </c>
      <c r="J4623" s="8" t="s">
        <v>3219</v>
      </c>
      <c r="K4623" s="6" t="str">
        <f>"59.258,67"</f>
        <v>59.258,67</v>
      </c>
      <c r="L4623" s="6" t="str">
        <f>"14.814,67"</f>
        <v>14.814,67</v>
      </c>
      <c r="M4623" s="6" t="str">
        <f>"74.073,34"</f>
        <v>74.073,34</v>
      </c>
      <c r="N4623" s="8" t="s">
        <v>374</v>
      </c>
      <c r="O4623" s="7"/>
      <c r="P4623" s="2" t="s">
        <v>8321</v>
      </c>
      <c r="Q4623" s="7"/>
      <c r="R4623" s="1"/>
      <c r="S4623" s="1" t="str">
        <f>"J-UN-2022-1507"</f>
        <v>J-UN-2022-1507</v>
      </c>
      <c r="T4623" s="1" t="s">
        <v>32</v>
      </c>
    </row>
    <row r="4624" spans="1:20" ht="63.75" x14ac:dyDescent="0.25">
      <c r="A4624" s="6">
        <v>4616</v>
      </c>
      <c r="B4624" s="1" t="str">
        <f>"2022-714"</f>
        <v>2022-714</v>
      </c>
      <c r="C4624" s="1" t="s">
        <v>2710</v>
      </c>
      <c r="D4624" s="1" t="s">
        <v>815</v>
      </c>
      <c r="E4624" s="1" t="str">
        <f>""</f>
        <v/>
      </c>
      <c r="F4624" s="1" t="s">
        <v>1860</v>
      </c>
      <c r="G4624" s="1" t="str">
        <f>CONCATENATE(" POLJOOPSKRBA - ŠIROKA POTROŠNJA D.O.O.,"," VARŠAVSKA 5,"," 10000 ZAGREB,"," OIB: 60648458403")</f>
        <v xml:space="preserve"> POLJOOPSKRBA - ŠIROKA POTROŠNJA D.O.O., VARŠAVSKA 5, 10000 ZAGREB, OIB: 60648458403</v>
      </c>
      <c r="H4624" s="7"/>
      <c r="I4624" s="8" t="s">
        <v>408</v>
      </c>
      <c r="J4624" s="8" t="s">
        <v>3220</v>
      </c>
      <c r="K4624" s="6" t="str">
        <f>"6.000,00"</f>
        <v>6.000,00</v>
      </c>
      <c r="L4624" s="6" t="str">
        <f>"1.500,00"</f>
        <v>1.500,00</v>
      </c>
      <c r="M4624" s="6" t="str">
        <f>"7.500,00"</f>
        <v>7.500,00</v>
      </c>
      <c r="N4624" s="8" t="s">
        <v>54</v>
      </c>
      <c r="O4624" s="7"/>
      <c r="P4624" s="2" t="s">
        <v>5806</v>
      </c>
      <c r="Q4624" s="7"/>
      <c r="R4624" s="1"/>
      <c r="S4624" s="1" t="str">
        <f>"J-UN-2022-1508"</f>
        <v>J-UN-2022-1508</v>
      </c>
      <c r="T4624" s="1" t="s">
        <v>32</v>
      </c>
    </row>
    <row r="4625" spans="1:20" ht="76.5" x14ac:dyDescent="0.25">
      <c r="A4625" s="6">
        <v>4617</v>
      </c>
      <c r="B4625" s="1" t="str">
        <f>"2022-1974"</f>
        <v>2022-1974</v>
      </c>
      <c r="C4625" s="1" t="s">
        <v>662</v>
      </c>
      <c r="D4625" s="1" t="s">
        <v>659</v>
      </c>
      <c r="E4625" s="1" t="str">
        <f>""</f>
        <v/>
      </c>
      <c r="F4625" s="1" t="s">
        <v>1860</v>
      </c>
      <c r="G4625" s="1" t="str">
        <f>CONCATENATE(" SMIT-COMMERCE D.O.O.,"," GORNJOSTUPNIČKA 9B,"," 10255 GORNJI STUPNIK,"," OIB: 9524348214")</f>
        <v xml:space="preserve"> SMIT-COMMERCE D.O.O., GORNJOSTUPNIČKA 9B, 10255 GORNJI STUPNIK, OIB: 9524348214</v>
      </c>
      <c r="H4625" s="7"/>
      <c r="I4625" s="8" t="s">
        <v>408</v>
      </c>
      <c r="J4625" s="8" t="s">
        <v>3220</v>
      </c>
      <c r="K4625" s="6" t="str">
        <f>"2.049,95"</f>
        <v>2.049,95</v>
      </c>
      <c r="L4625" s="6" t="str">
        <f>"512,49"</f>
        <v>512,49</v>
      </c>
      <c r="M4625" s="6" t="str">
        <f>"2.562,44"</f>
        <v>2.562,44</v>
      </c>
      <c r="N4625" s="8" t="s">
        <v>124</v>
      </c>
      <c r="O4625" s="7"/>
      <c r="P4625" s="2" t="s">
        <v>8322</v>
      </c>
      <c r="Q4625" s="1"/>
      <c r="R4625" s="1"/>
      <c r="S4625" s="1" t="str">
        <f>"J-UN-2022-1509"</f>
        <v>J-UN-2022-1509</v>
      </c>
      <c r="T4625" s="1" t="s">
        <v>32</v>
      </c>
    </row>
    <row r="4626" spans="1:20" ht="63.75" x14ac:dyDescent="0.25">
      <c r="A4626" s="6">
        <v>4618</v>
      </c>
      <c r="B4626" s="1" t="str">
        <f>"2022-101"</f>
        <v>2022-101</v>
      </c>
      <c r="C4626" s="1" t="s">
        <v>2914</v>
      </c>
      <c r="D4626" s="1" t="s">
        <v>2915</v>
      </c>
      <c r="E4626" s="1" t="str">
        <f>""</f>
        <v/>
      </c>
      <c r="F4626" s="1" t="s">
        <v>1860</v>
      </c>
      <c r="G4626" s="1" t="str">
        <f>CONCATENATE(" RETEX D.O.O.,"," ADAMOVEC,","D.DOMJANIĆA 101,"," 10363 BELOVAR,"," OIB: 13491775537")</f>
        <v xml:space="preserve"> RETEX D.O.O., ADAMOVEC,D.DOMJANIĆA 101, 10363 BELOVAR, OIB: 13491775537</v>
      </c>
      <c r="H4626" s="7"/>
      <c r="I4626" s="8" t="s">
        <v>408</v>
      </c>
      <c r="J4626" s="8" t="s">
        <v>3220</v>
      </c>
      <c r="K4626" s="6" t="str">
        <f>"11.000,00"</f>
        <v>11.000,00</v>
      </c>
      <c r="L4626" s="6" t="str">
        <f>"2.750,00"</f>
        <v>2.750,00</v>
      </c>
      <c r="M4626" s="6" t="str">
        <f>"13.750,00"</f>
        <v>13.750,00</v>
      </c>
      <c r="N4626" s="8" t="s">
        <v>964</v>
      </c>
      <c r="O4626" s="7"/>
      <c r="P4626" s="2" t="s">
        <v>8323</v>
      </c>
      <c r="Q4626" s="7"/>
      <c r="R4626" s="1"/>
      <c r="S4626" s="1" t="str">
        <f>"J-UN-2022-1510"</f>
        <v>J-UN-2022-1510</v>
      </c>
      <c r="T4626" s="1" t="s">
        <v>32</v>
      </c>
    </row>
    <row r="4627" spans="1:20" ht="63.75" x14ac:dyDescent="0.25">
      <c r="A4627" s="6">
        <v>4619</v>
      </c>
      <c r="B4627" s="1" t="str">
        <f>"2022-192"</f>
        <v>2022-192</v>
      </c>
      <c r="C4627" s="1" t="s">
        <v>2790</v>
      </c>
      <c r="D4627" s="1" t="s">
        <v>2791</v>
      </c>
      <c r="E4627" s="1" t="str">
        <f>""</f>
        <v/>
      </c>
      <c r="F4627" s="1" t="s">
        <v>1860</v>
      </c>
      <c r="G4627" s="1" t="str">
        <f>CONCATENATE(" POLJOOPSKRBA-TEHNO D.D.,"," SAMOBORSKA 96,"," 10000 ZAGREB,"," OIB: 5372167324")</f>
        <v xml:space="preserve"> POLJOOPSKRBA-TEHNO D.D., SAMOBORSKA 96, 10000 ZAGREB, OIB: 5372167324</v>
      </c>
      <c r="H4627" s="7"/>
      <c r="I4627" s="8" t="s">
        <v>408</v>
      </c>
      <c r="J4627" s="8" t="s">
        <v>3220</v>
      </c>
      <c r="K4627" s="6" t="str">
        <f>"5.750,00"</f>
        <v>5.750,00</v>
      </c>
      <c r="L4627" s="6" t="str">
        <f>"1.437,50"</f>
        <v>1.437,50</v>
      </c>
      <c r="M4627" s="6" t="str">
        <f>"7.187,50"</f>
        <v>7.187,50</v>
      </c>
      <c r="N4627" s="8" t="s">
        <v>1122</v>
      </c>
      <c r="O4627" s="7"/>
      <c r="P4627" s="2" t="s">
        <v>8324</v>
      </c>
      <c r="Q4627" s="7"/>
      <c r="R4627" s="1"/>
      <c r="S4627" s="1" t="str">
        <f>"J-UN-2022-1511"</f>
        <v>J-UN-2022-1511</v>
      </c>
      <c r="T4627" s="1" t="s">
        <v>32</v>
      </c>
    </row>
    <row r="4628" spans="1:20" ht="63.75" x14ac:dyDescent="0.25">
      <c r="A4628" s="6">
        <v>4620</v>
      </c>
      <c r="B4628" s="1" t="str">
        <f>"2022-880"</f>
        <v>2022-880</v>
      </c>
      <c r="C4628" s="1" t="s">
        <v>2959</v>
      </c>
      <c r="D4628" s="1" t="s">
        <v>2960</v>
      </c>
      <c r="E4628" s="1" t="str">
        <f>""</f>
        <v/>
      </c>
      <c r="F4628" s="1" t="s">
        <v>1860</v>
      </c>
      <c r="G4628" s="1" t="str">
        <f>CONCATENATE(" AUDIO VIDEO CONSULTING D.O.O.,"," HRASTOVIČKA 62,"," 10250 LUČKO,"," OIB: 62707927904")</f>
        <v xml:space="preserve"> AUDIO VIDEO CONSULTING D.O.O., HRASTOVIČKA 62, 10250 LUČKO, OIB: 62707927904</v>
      </c>
      <c r="H4628" s="7"/>
      <c r="I4628" s="8" t="s">
        <v>285</v>
      </c>
      <c r="J4628" s="8" t="s">
        <v>3218</v>
      </c>
      <c r="K4628" s="6" t="str">
        <f>"9.990,00"</f>
        <v>9.990,00</v>
      </c>
      <c r="L4628" s="6" t="str">
        <f>"2.497,50"</f>
        <v>2.497,50</v>
      </c>
      <c r="M4628" s="6" t="str">
        <f>"12.487,50"</f>
        <v>12.487,50</v>
      </c>
      <c r="N4628" s="8" t="s">
        <v>1159</v>
      </c>
      <c r="O4628" s="7"/>
      <c r="P4628" s="2" t="s">
        <v>8325</v>
      </c>
      <c r="Q4628" s="7"/>
      <c r="R4628" s="1"/>
      <c r="S4628" s="1" t="str">
        <f>"J-UN-2022-1512"</f>
        <v>J-UN-2022-1512</v>
      </c>
      <c r="T4628" s="1" t="s">
        <v>32</v>
      </c>
    </row>
    <row r="4629" spans="1:20" ht="63.75" x14ac:dyDescent="0.25">
      <c r="A4629" s="6">
        <v>4621</v>
      </c>
      <c r="B4629" s="1" t="str">
        <f>"2022-1416"</f>
        <v>2022-1416</v>
      </c>
      <c r="C4629" s="1" t="s">
        <v>2991</v>
      </c>
      <c r="D4629" s="1" t="s">
        <v>2992</v>
      </c>
      <c r="E4629" s="1" t="str">
        <f>""</f>
        <v/>
      </c>
      <c r="F4629" s="1" t="s">
        <v>1860</v>
      </c>
      <c r="G4629" s="1" t="str">
        <f>CONCATENATE(" LANIŠTE D.O.O.,"," ALEXANDERA VON HUMBOLDTA 4B,"," 10000 ZAGREB,"," OIB: 3755384865")</f>
        <v xml:space="preserve"> LANIŠTE D.O.O., ALEXANDERA VON HUMBOLDTA 4B, 10000 ZAGREB, OIB: 3755384865</v>
      </c>
      <c r="H4629" s="7"/>
      <c r="I4629" s="8" t="s">
        <v>285</v>
      </c>
      <c r="J4629" s="8" t="s">
        <v>3218</v>
      </c>
      <c r="K4629" s="6" t="str">
        <f>"3.636,00"</f>
        <v>3.636,00</v>
      </c>
      <c r="L4629" s="6" t="str">
        <f>"909,00"</f>
        <v>909,00</v>
      </c>
      <c r="M4629" s="6" t="str">
        <f>"4.545,00"</f>
        <v>4.545,00</v>
      </c>
      <c r="N4629" s="8" t="s">
        <v>124</v>
      </c>
      <c r="O4629" s="7"/>
      <c r="P4629" s="2" t="s">
        <v>5614</v>
      </c>
      <c r="Q4629" s="7"/>
      <c r="R4629" s="1"/>
      <c r="S4629" s="1" t="str">
        <f>"J-UN-2022-1513"</f>
        <v>J-UN-2022-1513</v>
      </c>
      <c r="T4629" s="1" t="s">
        <v>32</v>
      </c>
    </row>
    <row r="4630" spans="1:20" ht="76.5" x14ac:dyDescent="0.25">
      <c r="A4630" s="6">
        <v>4622</v>
      </c>
      <c r="B4630" s="1" t="str">
        <f>"2022-1986"</f>
        <v>2022-1986</v>
      </c>
      <c r="C4630" s="1" t="s">
        <v>3221</v>
      </c>
      <c r="D4630" s="1" t="s">
        <v>1304</v>
      </c>
      <c r="E4630" s="1" t="str">
        <f>""</f>
        <v/>
      </c>
      <c r="F4630" s="1" t="s">
        <v>1860</v>
      </c>
      <c r="G4630" s="1" t="str">
        <f>CONCATENATE(" SMIT-COMMERCE D.O.O.,"," GORNJOSTUPNIČKA 9B,"," 10255 GORNJI STUPNIK,"," OIB: 9524348214")</f>
        <v xml:space="preserve"> SMIT-COMMERCE D.O.O., GORNJOSTUPNIČKA 9B, 10255 GORNJI STUPNIK, OIB: 9524348214</v>
      </c>
      <c r="H4630" s="7"/>
      <c r="I4630" s="8" t="s">
        <v>374</v>
      </c>
      <c r="J4630" s="8" t="s">
        <v>1920</v>
      </c>
      <c r="K4630" s="6" t="str">
        <f>"65.595,40"</f>
        <v>65.595,40</v>
      </c>
      <c r="L4630" s="6" t="str">
        <f>"16.398,85"</f>
        <v>16.398,85</v>
      </c>
      <c r="M4630" s="6" t="str">
        <f>"81.994,25"</f>
        <v>81.994,25</v>
      </c>
      <c r="N4630" s="8" t="s">
        <v>964</v>
      </c>
      <c r="O4630" s="7"/>
      <c r="P4630" s="2" t="s">
        <v>8326</v>
      </c>
      <c r="Q4630" s="7"/>
      <c r="R4630" s="1"/>
      <c r="S4630" s="1" t="str">
        <f>"J-UN-2022-1514"</f>
        <v>J-UN-2022-1514</v>
      </c>
      <c r="T4630" s="1" t="s">
        <v>32</v>
      </c>
    </row>
    <row r="4631" spans="1:20" ht="63.75" x14ac:dyDescent="0.25">
      <c r="A4631" s="6">
        <v>4623</v>
      </c>
      <c r="B4631" s="1" t="str">
        <f>"2022-1371"</f>
        <v>2022-1371</v>
      </c>
      <c r="C4631" s="1" t="s">
        <v>2646</v>
      </c>
      <c r="D4631" s="1" t="s">
        <v>2647</v>
      </c>
      <c r="E4631" s="1" t="str">
        <f>""</f>
        <v/>
      </c>
      <c r="F4631" s="1" t="s">
        <v>1860</v>
      </c>
      <c r="G4631" s="1" t="str">
        <f>CONCATENATE(" HRVATSKI ZAVOD ZA JAVNO ZDRAVSTVO - HZJZ,"," ROCKEFELLEROVA 7,"," 10000 ZAGREB,"," OIB: 7529753204")</f>
        <v xml:space="preserve"> HRVATSKI ZAVOD ZA JAVNO ZDRAVSTVO - HZJZ, ROCKEFELLEROVA 7, 10000 ZAGREB, OIB: 7529753204</v>
      </c>
      <c r="H4631" s="7"/>
      <c r="I4631" s="8" t="s">
        <v>285</v>
      </c>
      <c r="J4631" s="8" t="s">
        <v>3218</v>
      </c>
      <c r="K4631" s="6" t="str">
        <f>"432,00"</f>
        <v>432,00</v>
      </c>
      <c r="L4631" s="6" t="str">
        <f>"108,00"</f>
        <v>108,00</v>
      </c>
      <c r="M4631" s="6" t="str">
        <f>"540,00"</f>
        <v>540,00</v>
      </c>
      <c r="N4631" s="8" t="s">
        <v>124</v>
      </c>
      <c r="O4631" s="7"/>
      <c r="P4631" s="2" t="s">
        <v>5614</v>
      </c>
      <c r="Q4631" s="7"/>
      <c r="R4631" s="1"/>
      <c r="S4631" s="1" t="str">
        <f>"J-UN-2022-1515"</f>
        <v>J-UN-2022-1515</v>
      </c>
      <c r="T4631" s="1" t="s">
        <v>32</v>
      </c>
    </row>
    <row r="4632" spans="1:20" ht="63.75" x14ac:dyDescent="0.25">
      <c r="A4632" s="6">
        <v>4624</v>
      </c>
      <c r="B4632" s="1" t="str">
        <f>"2022-1429"</f>
        <v>2022-1429</v>
      </c>
      <c r="C4632" s="1" t="s">
        <v>2984</v>
      </c>
      <c r="D4632" s="1" t="s">
        <v>2985</v>
      </c>
      <c r="E4632" s="1" t="str">
        <f>""</f>
        <v/>
      </c>
      <c r="F4632" s="1" t="s">
        <v>1860</v>
      </c>
      <c r="G4632" s="1" t="str">
        <f t="shared" ref="G4632:G4640" si="231">CONCATENATE(" LANIŠTE D.O.O.,"," ALEXANDERA VON HUMBOLDTA 4B,"," 10000 ZAGREB,"," OIB: 3755384865")</f>
        <v xml:space="preserve"> LANIŠTE D.O.O., ALEXANDERA VON HUMBOLDTA 4B, 10000 ZAGREB, OIB: 3755384865</v>
      </c>
      <c r="H4632" s="7"/>
      <c r="I4632" s="8" t="s">
        <v>285</v>
      </c>
      <c r="J4632" s="8" t="s">
        <v>3218</v>
      </c>
      <c r="K4632" s="6" t="str">
        <f>"4.032,00"</f>
        <v>4.032,00</v>
      </c>
      <c r="L4632" s="6" t="str">
        <f>"1.008,00"</f>
        <v>1.008,00</v>
      </c>
      <c r="M4632" s="6" t="str">
        <f>"5.040,00"</f>
        <v>5.040,00</v>
      </c>
      <c r="N4632" s="8" t="s">
        <v>124</v>
      </c>
      <c r="O4632" s="7"/>
      <c r="P4632" s="2" t="s">
        <v>5614</v>
      </c>
      <c r="Q4632" s="7"/>
      <c r="R4632" s="1"/>
      <c r="S4632" s="1" t="str">
        <f>"J-UN-2022-1516"</f>
        <v>J-UN-2022-1516</v>
      </c>
      <c r="T4632" s="1" t="s">
        <v>32</v>
      </c>
    </row>
    <row r="4633" spans="1:20" ht="63.75" x14ac:dyDescent="0.25">
      <c r="A4633" s="6">
        <v>4625</v>
      </c>
      <c r="B4633" s="1" t="str">
        <f>"2022-1430"</f>
        <v>2022-1430</v>
      </c>
      <c r="C4633" s="1" t="s">
        <v>2986</v>
      </c>
      <c r="D4633" s="1" t="s">
        <v>2985</v>
      </c>
      <c r="E4633" s="1" t="str">
        <f>""</f>
        <v/>
      </c>
      <c r="F4633" s="1" t="s">
        <v>1860</v>
      </c>
      <c r="G4633" s="1" t="str">
        <f t="shared" si="231"/>
        <v xml:space="preserve"> LANIŠTE D.O.O., ALEXANDERA VON HUMBOLDTA 4B, 10000 ZAGREB, OIB: 3755384865</v>
      </c>
      <c r="H4633" s="7"/>
      <c r="I4633" s="8" t="s">
        <v>285</v>
      </c>
      <c r="J4633" s="8" t="s">
        <v>3218</v>
      </c>
      <c r="K4633" s="6" t="str">
        <f>"4.032,00"</f>
        <v>4.032,00</v>
      </c>
      <c r="L4633" s="6" t="str">
        <f>"1.008,00"</f>
        <v>1.008,00</v>
      </c>
      <c r="M4633" s="6" t="str">
        <f>"5.040,00"</f>
        <v>5.040,00</v>
      </c>
      <c r="N4633" s="8" t="s">
        <v>124</v>
      </c>
      <c r="O4633" s="7"/>
      <c r="P4633" s="2" t="s">
        <v>5614</v>
      </c>
      <c r="Q4633" s="7"/>
      <c r="R4633" s="1"/>
      <c r="S4633" s="1" t="str">
        <f>"J-UN-2022-1517"</f>
        <v>J-UN-2022-1517</v>
      </c>
      <c r="T4633" s="1" t="s">
        <v>32</v>
      </c>
    </row>
    <row r="4634" spans="1:20" ht="63.75" x14ac:dyDescent="0.25">
      <c r="A4634" s="6">
        <v>4626</v>
      </c>
      <c r="B4634" s="1" t="str">
        <f>"2022-1321"</f>
        <v>2022-1321</v>
      </c>
      <c r="C4634" s="1" t="s">
        <v>2987</v>
      </c>
      <c r="D4634" s="1" t="s">
        <v>2988</v>
      </c>
      <c r="E4634" s="1" t="str">
        <f>""</f>
        <v/>
      </c>
      <c r="F4634" s="1" t="s">
        <v>1860</v>
      </c>
      <c r="G4634" s="1" t="str">
        <f t="shared" si="231"/>
        <v xml:space="preserve"> LANIŠTE D.O.O., ALEXANDERA VON HUMBOLDTA 4B, 10000 ZAGREB, OIB: 3755384865</v>
      </c>
      <c r="H4634" s="7"/>
      <c r="I4634" s="8" t="s">
        <v>285</v>
      </c>
      <c r="J4634" s="8" t="s">
        <v>3218</v>
      </c>
      <c r="K4634" s="6" t="str">
        <f>"4.032,00"</f>
        <v>4.032,00</v>
      </c>
      <c r="L4634" s="6" t="str">
        <f>"1.008,00"</f>
        <v>1.008,00</v>
      </c>
      <c r="M4634" s="6" t="str">
        <f>"5.040,00"</f>
        <v>5.040,00</v>
      </c>
      <c r="N4634" s="8" t="s">
        <v>124</v>
      </c>
      <c r="O4634" s="7"/>
      <c r="P4634" s="2" t="s">
        <v>5614</v>
      </c>
      <c r="Q4634" s="7"/>
      <c r="R4634" s="1"/>
      <c r="S4634" s="1" t="str">
        <f>"J-UN-2022-1518"</f>
        <v>J-UN-2022-1518</v>
      </c>
      <c r="T4634" s="1" t="s">
        <v>32</v>
      </c>
    </row>
    <row r="4635" spans="1:20" ht="63.75" x14ac:dyDescent="0.25">
      <c r="A4635" s="6">
        <v>4627</v>
      </c>
      <c r="B4635" s="1" t="str">
        <f>"2022-1289"</f>
        <v>2022-1289</v>
      </c>
      <c r="C4635" s="1" t="s">
        <v>2993</v>
      </c>
      <c r="D4635" s="1" t="s">
        <v>2994</v>
      </c>
      <c r="E4635" s="1" t="str">
        <f>""</f>
        <v/>
      </c>
      <c r="F4635" s="1" t="s">
        <v>1860</v>
      </c>
      <c r="G4635" s="1" t="str">
        <f t="shared" si="231"/>
        <v xml:space="preserve"> LANIŠTE D.O.O., ALEXANDERA VON HUMBOLDTA 4B, 10000 ZAGREB, OIB: 3755384865</v>
      </c>
      <c r="H4635" s="7"/>
      <c r="I4635" s="8" t="s">
        <v>285</v>
      </c>
      <c r="J4635" s="8" t="s">
        <v>3218</v>
      </c>
      <c r="K4635" s="6" t="str">
        <f>"3.632,00"</f>
        <v>3.632,00</v>
      </c>
      <c r="L4635" s="6" t="str">
        <f>"908,00"</f>
        <v>908,00</v>
      </c>
      <c r="M4635" s="6" t="str">
        <f>"4.540,00"</f>
        <v>4.540,00</v>
      </c>
      <c r="N4635" s="8" t="s">
        <v>124</v>
      </c>
      <c r="O4635" s="7"/>
      <c r="P4635" s="2" t="s">
        <v>5614</v>
      </c>
      <c r="Q4635" s="7"/>
      <c r="R4635" s="1"/>
      <c r="S4635" s="1" t="str">
        <f>"J-UN-2022-1519"</f>
        <v>J-UN-2022-1519</v>
      </c>
      <c r="T4635" s="1" t="s">
        <v>32</v>
      </c>
    </row>
    <row r="4636" spans="1:20" ht="63.75" x14ac:dyDescent="0.25">
      <c r="A4636" s="6">
        <v>4628</v>
      </c>
      <c r="B4636" s="1" t="str">
        <f>"2022-1291"</f>
        <v>2022-1291</v>
      </c>
      <c r="C4636" s="1" t="s">
        <v>2989</v>
      </c>
      <c r="D4636" s="1" t="s">
        <v>2990</v>
      </c>
      <c r="E4636" s="1" t="str">
        <f>""</f>
        <v/>
      </c>
      <c r="F4636" s="1" t="s">
        <v>1860</v>
      </c>
      <c r="G4636" s="1" t="str">
        <f t="shared" si="231"/>
        <v xml:space="preserve"> LANIŠTE D.O.O., ALEXANDERA VON HUMBOLDTA 4B, 10000 ZAGREB, OIB: 3755384865</v>
      </c>
      <c r="H4636" s="7"/>
      <c r="I4636" s="8" t="s">
        <v>285</v>
      </c>
      <c r="J4636" s="8" t="s">
        <v>3218</v>
      </c>
      <c r="K4636" s="6" t="str">
        <f>"3.636,00"</f>
        <v>3.636,00</v>
      </c>
      <c r="L4636" s="6" t="str">
        <f>"909,00"</f>
        <v>909,00</v>
      </c>
      <c r="M4636" s="6" t="str">
        <f>"4.545,00"</f>
        <v>4.545,00</v>
      </c>
      <c r="N4636" s="8" t="s">
        <v>124</v>
      </c>
      <c r="O4636" s="7"/>
      <c r="P4636" s="2" t="s">
        <v>5614</v>
      </c>
      <c r="Q4636" s="7"/>
      <c r="R4636" s="1"/>
      <c r="S4636" s="1" t="str">
        <f>"J-UN-2022-1520"</f>
        <v>J-UN-2022-1520</v>
      </c>
      <c r="T4636" s="1" t="s">
        <v>32</v>
      </c>
    </row>
    <row r="4637" spans="1:20" ht="63.75" x14ac:dyDescent="0.25">
      <c r="A4637" s="6">
        <v>4629</v>
      </c>
      <c r="B4637" s="1" t="str">
        <f>"2022-1416"</f>
        <v>2022-1416</v>
      </c>
      <c r="C4637" s="1" t="s">
        <v>2991</v>
      </c>
      <c r="D4637" s="1" t="s">
        <v>2992</v>
      </c>
      <c r="E4637" s="1" t="str">
        <f>""</f>
        <v/>
      </c>
      <c r="F4637" s="1" t="s">
        <v>1860</v>
      </c>
      <c r="G4637" s="1" t="str">
        <f t="shared" si="231"/>
        <v xml:space="preserve"> LANIŠTE D.O.O., ALEXANDERA VON HUMBOLDTA 4B, 10000 ZAGREB, OIB: 3755384865</v>
      </c>
      <c r="H4637" s="7"/>
      <c r="I4637" s="8" t="s">
        <v>285</v>
      </c>
      <c r="J4637" s="8" t="s">
        <v>3218</v>
      </c>
      <c r="K4637" s="6" t="str">
        <f>"3.636,00"</f>
        <v>3.636,00</v>
      </c>
      <c r="L4637" s="6" t="str">
        <f>"909,00"</f>
        <v>909,00</v>
      </c>
      <c r="M4637" s="6" t="str">
        <f>"4.545,00"</f>
        <v>4.545,00</v>
      </c>
      <c r="N4637" s="8" t="s">
        <v>124</v>
      </c>
      <c r="O4637" s="7"/>
      <c r="P4637" s="2" t="s">
        <v>5614</v>
      </c>
      <c r="Q4637" s="7"/>
      <c r="R4637" s="1"/>
      <c r="S4637" s="1" t="str">
        <f>"J-UN-2022-1521"</f>
        <v>J-UN-2022-1521</v>
      </c>
      <c r="T4637" s="1" t="s">
        <v>32</v>
      </c>
    </row>
    <row r="4638" spans="1:20" ht="63.75" x14ac:dyDescent="0.25">
      <c r="A4638" s="6">
        <v>4630</v>
      </c>
      <c r="B4638" s="1" t="str">
        <f>"2022-1430"</f>
        <v>2022-1430</v>
      </c>
      <c r="C4638" s="1" t="s">
        <v>2986</v>
      </c>
      <c r="D4638" s="1" t="s">
        <v>2985</v>
      </c>
      <c r="E4638" s="1" t="str">
        <f>""</f>
        <v/>
      </c>
      <c r="F4638" s="1" t="s">
        <v>1860</v>
      </c>
      <c r="G4638" s="1" t="str">
        <f t="shared" si="231"/>
        <v xml:space="preserve"> LANIŠTE D.O.O., ALEXANDERA VON HUMBOLDTA 4B, 10000 ZAGREB, OIB: 3755384865</v>
      </c>
      <c r="H4638" s="7"/>
      <c r="I4638" s="8" t="s">
        <v>285</v>
      </c>
      <c r="J4638" s="8" t="s">
        <v>3218</v>
      </c>
      <c r="K4638" s="6" t="str">
        <f>"4.032,00"</f>
        <v>4.032,00</v>
      </c>
      <c r="L4638" s="6" t="str">
        <f>"1.008,00"</f>
        <v>1.008,00</v>
      </c>
      <c r="M4638" s="6" t="str">
        <f>"5.040,00"</f>
        <v>5.040,00</v>
      </c>
      <c r="N4638" s="8" t="s">
        <v>124</v>
      </c>
      <c r="O4638" s="7"/>
      <c r="P4638" s="2" t="s">
        <v>5614</v>
      </c>
      <c r="Q4638" s="7"/>
      <c r="R4638" s="1"/>
      <c r="S4638" s="1" t="str">
        <f>"J-UN-2022-1522"</f>
        <v>J-UN-2022-1522</v>
      </c>
      <c r="T4638" s="1" t="s">
        <v>32</v>
      </c>
    </row>
    <row r="4639" spans="1:20" ht="63.75" x14ac:dyDescent="0.25">
      <c r="A4639" s="6">
        <v>4631</v>
      </c>
      <c r="B4639" s="1" t="str">
        <f>"2022-1321"</f>
        <v>2022-1321</v>
      </c>
      <c r="C4639" s="1" t="s">
        <v>2987</v>
      </c>
      <c r="D4639" s="1" t="s">
        <v>2988</v>
      </c>
      <c r="E4639" s="1" t="str">
        <f>""</f>
        <v/>
      </c>
      <c r="F4639" s="1" t="s">
        <v>1860</v>
      </c>
      <c r="G4639" s="1" t="str">
        <f t="shared" si="231"/>
        <v xml:space="preserve"> LANIŠTE D.O.O., ALEXANDERA VON HUMBOLDTA 4B, 10000 ZAGREB, OIB: 3755384865</v>
      </c>
      <c r="H4639" s="7"/>
      <c r="I4639" s="8" t="s">
        <v>285</v>
      </c>
      <c r="J4639" s="8" t="s">
        <v>3218</v>
      </c>
      <c r="K4639" s="6" t="str">
        <f>"4.032,00"</f>
        <v>4.032,00</v>
      </c>
      <c r="L4639" s="6" t="str">
        <f>"1.008,00"</f>
        <v>1.008,00</v>
      </c>
      <c r="M4639" s="6" t="str">
        <f>"5.040,00"</f>
        <v>5.040,00</v>
      </c>
      <c r="N4639" s="8" t="s">
        <v>124</v>
      </c>
      <c r="O4639" s="7"/>
      <c r="P4639" s="2" t="s">
        <v>5614</v>
      </c>
      <c r="Q4639" s="7"/>
      <c r="R4639" s="1"/>
      <c r="S4639" s="1" t="str">
        <f>"J-UN-2022-1523"</f>
        <v>J-UN-2022-1523</v>
      </c>
      <c r="T4639" s="1" t="s">
        <v>32</v>
      </c>
    </row>
    <row r="4640" spans="1:20" ht="63.75" x14ac:dyDescent="0.25">
      <c r="A4640" s="6">
        <v>4632</v>
      </c>
      <c r="B4640" s="1" t="str">
        <f>"2022-1289"</f>
        <v>2022-1289</v>
      </c>
      <c r="C4640" s="1" t="s">
        <v>2993</v>
      </c>
      <c r="D4640" s="1" t="s">
        <v>2994</v>
      </c>
      <c r="E4640" s="1" t="str">
        <f>""</f>
        <v/>
      </c>
      <c r="F4640" s="1" t="s">
        <v>1860</v>
      </c>
      <c r="G4640" s="1" t="str">
        <f t="shared" si="231"/>
        <v xml:space="preserve"> LANIŠTE D.O.O., ALEXANDERA VON HUMBOLDTA 4B, 10000 ZAGREB, OIB: 3755384865</v>
      </c>
      <c r="H4640" s="7"/>
      <c r="I4640" s="8" t="s">
        <v>285</v>
      </c>
      <c r="J4640" s="8" t="s">
        <v>3218</v>
      </c>
      <c r="K4640" s="6" t="str">
        <f>"3.632,00"</f>
        <v>3.632,00</v>
      </c>
      <c r="L4640" s="6" t="str">
        <f>"908,00"</f>
        <v>908,00</v>
      </c>
      <c r="M4640" s="6" t="str">
        <f>"4.540,00"</f>
        <v>4.540,00</v>
      </c>
      <c r="N4640" s="8" t="s">
        <v>124</v>
      </c>
      <c r="O4640" s="7"/>
      <c r="P4640" s="2" t="s">
        <v>5614</v>
      </c>
      <c r="Q4640" s="7"/>
      <c r="R4640" s="1"/>
      <c r="S4640" s="1" t="str">
        <f>"J-UN-2022-1524"</f>
        <v>J-UN-2022-1524</v>
      </c>
      <c r="T4640" s="1" t="s">
        <v>32</v>
      </c>
    </row>
    <row r="4641" spans="1:20" ht="51" x14ac:dyDescent="0.25">
      <c r="A4641" s="6">
        <v>4633</v>
      </c>
      <c r="B4641" s="1" t="str">
        <f>"2022-1042"</f>
        <v>2022-1042</v>
      </c>
      <c r="C4641" s="1" t="s">
        <v>2728</v>
      </c>
      <c r="D4641" s="1" t="s">
        <v>2729</v>
      </c>
      <c r="E4641" s="1" t="str">
        <f>""</f>
        <v/>
      </c>
      <c r="F4641" s="1" t="s">
        <v>1860</v>
      </c>
      <c r="G4641" s="1" t="str">
        <f>CONCATENATE(" ADRIA NORMA D.O.O.,"," VUKOVARSKA 284D,"," 10000 ZAGREB,"," OIB: 80109305109")</f>
        <v xml:space="preserve"> ADRIA NORMA D.O.O., VUKOVARSKA 284D, 10000 ZAGREB, OIB: 80109305109</v>
      </c>
      <c r="H4641" s="7"/>
      <c r="I4641" s="8" t="s">
        <v>285</v>
      </c>
      <c r="J4641" s="8" t="s">
        <v>3218</v>
      </c>
      <c r="K4641" s="6" t="str">
        <f>"18.000,00"</f>
        <v>18.000,00</v>
      </c>
      <c r="L4641" s="6" t="str">
        <f>"4.500,00"</f>
        <v>4.500,00</v>
      </c>
      <c r="M4641" s="6" t="str">
        <f>"22.500,00"</f>
        <v>22.500,00</v>
      </c>
      <c r="N4641" s="8" t="s">
        <v>58</v>
      </c>
      <c r="O4641" s="7"/>
      <c r="P4641" s="2" t="s">
        <v>8030</v>
      </c>
      <c r="Q4641" s="7"/>
      <c r="R4641" s="1"/>
      <c r="S4641" s="1" t="str">
        <f>"J-UN-2022-1525"</f>
        <v>J-UN-2022-1525</v>
      </c>
      <c r="T4641" s="1" t="s">
        <v>32</v>
      </c>
    </row>
    <row r="4642" spans="1:20" ht="38.25" x14ac:dyDescent="0.25">
      <c r="A4642" s="6">
        <v>4634</v>
      </c>
      <c r="B4642" s="1" t="str">
        <f>"2022-729"</f>
        <v>2022-729</v>
      </c>
      <c r="C4642" s="1" t="s">
        <v>3199</v>
      </c>
      <c r="D4642" s="1" t="s">
        <v>914</v>
      </c>
      <c r="E4642" s="1" t="str">
        <f>""</f>
        <v/>
      </c>
      <c r="F4642" s="1" t="s">
        <v>1860</v>
      </c>
      <c r="G4642" s="1" t="str">
        <f>CONCATENATE(" O-K-TEH d.o.o.,"," VUČAK 16A,"," 10000 ZAGREB,"," OIB: 37322381288")</f>
        <v xml:space="preserve"> O-K-TEH d.o.o., VUČAK 16A, 10000 ZAGREB, OIB: 37322381288</v>
      </c>
      <c r="H4642" s="7"/>
      <c r="I4642" s="8" t="s">
        <v>565</v>
      </c>
      <c r="J4642" s="8" t="s">
        <v>3219</v>
      </c>
      <c r="K4642" s="6" t="str">
        <f>"177.944,65"</f>
        <v>177.944,65</v>
      </c>
      <c r="L4642" s="6" t="str">
        <f>"44.486,16"</f>
        <v>44.486,16</v>
      </c>
      <c r="M4642" s="6" t="str">
        <f>"222.430,81"</f>
        <v>222.430,81</v>
      </c>
      <c r="N4642" s="8" t="s">
        <v>875</v>
      </c>
      <c r="O4642" s="7"/>
      <c r="P4642" s="2" t="s">
        <v>8327</v>
      </c>
      <c r="Q4642" s="7"/>
      <c r="R4642" s="1"/>
      <c r="S4642" s="1" t="str">
        <f>"J-UN-2022-1526"</f>
        <v>J-UN-2022-1526</v>
      </c>
      <c r="T4642" s="1" t="s">
        <v>32</v>
      </c>
    </row>
    <row r="4643" spans="1:20" ht="76.5" x14ac:dyDescent="0.25">
      <c r="A4643" s="6">
        <v>4635</v>
      </c>
      <c r="B4643" s="1" t="str">
        <f>"2022-348"</f>
        <v>2022-348</v>
      </c>
      <c r="C4643" s="1" t="s">
        <v>2616</v>
      </c>
      <c r="D4643" s="1" t="s">
        <v>2617</v>
      </c>
      <c r="E4643" s="1" t="str">
        <f>""</f>
        <v/>
      </c>
      <c r="F4643" s="1" t="s">
        <v>1860</v>
      </c>
      <c r="G4643" s="1" t="str">
        <f>CONCATENATE(" SMIT-COMMERCE D.O.O.,"," GORNJOSTUPNIČKA 9B,"," 10255 GORNJI STUPNIK,"," OIB: 9524348214")</f>
        <v xml:space="preserve"> SMIT-COMMERCE D.O.O., GORNJOSTUPNIČKA 9B, 10255 GORNJI STUPNIK, OIB: 9524348214</v>
      </c>
      <c r="H4643" s="7"/>
      <c r="I4643" s="8" t="s">
        <v>408</v>
      </c>
      <c r="J4643" s="8" t="s">
        <v>3220</v>
      </c>
      <c r="K4643" s="6" t="str">
        <f>"1.690,38"</f>
        <v>1.690,38</v>
      </c>
      <c r="L4643" s="6" t="str">
        <f>"422,60"</f>
        <v>422,60</v>
      </c>
      <c r="M4643" s="6" t="str">
        <f>"2.112,98"</f>
        <v>2.112,98</v>
      </c>
      <c r="N4643" s="8" t="s">
        <v>301</v>
      </c>
      <c r="O4643" s="7"/>
      <c r="P4643" s="2" t="s">
        <v>8328</v>
      </c>
      <c r="Q4643" s="7"/>
      <c r="R4643" s="1"/>
      <c r="S4643" s="1" t="str">
        <f>"J-UN-2022-1527"</f>
        <v>J-UN-2022-1527</v>
      </c>
      <c r="T4643" s="1" t="s">
        <v>32</v>
      </c>
    </row>
    <row r="4644" spans="1:20" ht="51" x14ac:dyDescent="0.25">
      <c r="A4644" s="6">
        <v>4636</v>
      </c>
      <c r="B4644" s="1" t="str">
        <f>"2022-976"</f>
        <v>2022-976</v>
      </c>
      <c r="C4644" s="1" t="s">
        <v>2936</v>
      </c>
      <c r="D4644" s="1" t="s">
        <v>1373</v>
      </c>
      <c r="E4644" s="1" t="str">
        <f>""</f>
        <v/>
      </c>
      <c r="F4644" s="1" t="s">
        <v>1860</v>
      </c>
      <c r="G4644" s="1" t="str">
        <f>CONCATENATE(" DREZGA D.O.O.,"," OBRTNIČKA 2,"," 10437 BESTOVJE,"," OIB: 46535283602")</f>
        <v xml:space="preserve"> DREZGA D.O.O., OBRTNIČKA 2, 10437 BESTOVJE, OIB: 46535283602</v>
      </c>
      <c r="H4644" s="7"/>
      <c r="I4644" s="8" t="s">
        <v>285</v>
      </c>
      <c r="J4644" s="8" t="s">
        <v>3218</v>
      </c>
      <c r="K4644" s="6" t="str">
        <f>"19.841,76"</f>
        <v>19.841,76</v>
      </c>
      <c r="L4644" s="6" t="str">
        <f>"4.960,44"</f>
        <v>4.960,44</v>
      </c>
      <c r="M4644" s="6" t="str">
        <f>"24.802,20"</f>
        <v>24.802,20</v>
      </c>
      <c r="N4644" s="8" t="s">
        <v>1122</v>
      </c>
      <c r="O4644" s="7"/>
      <c r="P4644" s="2" t="s">
        <v>8329</v>
      </c>
      <c r="Q4644" s="7"/>
      <c r="R4644" s="1"/>
      <c r="S4644" s="1" t="str">
        <f>"J-UN-2022-1529"</f>
        <v>J-UN-2022-1529</v>
      </c>
      <c r="T4644" s="1" t="s">
        <v>32</v>
      </c>
    </row>
    <row r="4645" spans="1:20" ht="63.75" x14ac:dyDescent="0.25">
      <c r="A4645" s="6">
        <v>4637</v>
      </c>
      <c r="B4645" s="1" t="str">
        <f>"2022-385"</f>
        <v>2022-385</v>
      </c>
      <c r="C4645" s="1" t="s">
        <v>2763</v>
      </c>
      <c r="D4645" s="1" t="s">
        <v>2764</v>
      </c>
      <c r="E4645" s="1" t="str">
        <f>""</f>
        <v/>
      </c>
      <c r="F4645" s="1" t="s">
        <v>1860</v>
      </c>
      <c r="G4645" s="1" t="str">
        <f>CONCATENATE(" POLJOOPSKRBA-TEHNO D.D.,"," SAMOBORSKA 96,"," 10000 ZAGREB,"," OIB: 5372167324")</f>
        <v xml:space="preserve"> POLJOOPSKRBA-TEHNO D.D., SAMOBORSKA 96, 10000 ZAGREB, OIB: 5372167324</v>
      </c>
      <c r="H4645" s="7"/>
      <c r="I4645" s="8" t="s">
        <v>1122</v>
      </c>
      <c r="J4645" s="8" t="s">
        <v>1834</v>
      </c>
      <c r="K4645" s="6" t="str">
        <f>"36.390,00"</f>
        <v>36.390,00</v>
      </c>
      <c r="L4645" s="6" t="str">
        <f>"9.097,50"</f>
        <v>9.097,50</v>
      </c>
      <c r="M4645" s="6" t="str">
        <f>"45.487,50"</f>
        <v>45.487,50</v>
      </c>
      <c r="N4645" s="8" t="s">
        <v>54</v>
      </c>
      <c r="O4645" s="7"/>
      <c r="P4645" s="2" t="s">
        <v>8330</v>
      </c>
      <c r="Q4645" s="7"/>
      <c r="R4645" s="1"/>
      <c r="S4645" s="1" t="str">
        <f>"J-UN-2022-1530"</f>
        <v>J-UN-2022-1530</v>
      </c>
      <c r="T4645" s="1" t="s">
        <v>32</v>
      </c>
    </row>
    <row r="4646" spans="1:20" ht="51" x14ac:dyDescent="0.25">
      <c r="A4646" s="6">
        <v>4638</v>
      </c>
      <c r="B4646" s="1" t="str">
        <f>"2022-1948"</f>
        <v>2022-1948</v>
      </c>
      <c r="C4646" s="1" t="s">
        <v>3172</v>
      </c>
      <c r="D4646" s="1" t="s">
        <v>837</v>
      </c>
      <c r="E4646" s="1" t="str">
        <f>""</f>
        <v/>
      </c>
      <c r="F4646" s="1" t="s">
        <v>1860</v>
      </c>
      <c r="G4646" s="1" t="str">
        <f>CONCATENATE(" KONZUM PLUS D.O.O.,"," MARIJANA ČAVIĆA 1,"," 10000 ZAGREB,"," OIB: 62226620908")</f>
        <v xml:space="preserve"> KONZUM PLUS D.O.O., MARIJANA ČAVIĆA 1, 10000 ZAGREB, OIB: 62226620908</v>
      </c>
      <c r="H4646" s="7"/>
      <c r="I4646" s="8" t="s">
        <v>408</v>
      </c>
      <c r="J4646" s="8" t="s">
        <v>3220</v>
      </c>
      <c r="K4646" s="6" t="str">
        <f>"43.245,00"</f>
        <v>43.245,00</v>
      </c>
      <c r="L4646" s="6" t="str">
        <f>"10.811,25"</f>
        <v>10.811,25</v>
      </c>
      <c r="M4646" s="6" t="str">
        <f>"54.056,25"</f>
        <v>54.056,25</v>
      </c>
      <c r="N4646" s="8" t="s">
        <v>317</v>
      </c>
      <c r="O4646" s="7"/>
      <c r="P4646" s="2" t="s">
        <v>8331</v>
      </c>
      <c r="Q4646" s="7"/>
      <c r="R4646" s="1"/>
      <c r="S4646" s="1" t="str">
        <f>"J-UN-2022-1531"</f>
        <v>J-UN-2022-1531</v>
      </c>
      <c r="T4646" s="1" t="s">
        <v>32</v>
      </c>
    </row>
    <row r="4647" spans="1:20" ht="51" x14ac:dyDescent="0.25">
      <c r="A4647" s="6">
        <v>4639</v>
      </c>
      <c r="B4647" s="1" t="str">
        <f>"2022-348"</f>
        <v>2022-348</v>
      </c>
      <c r="C4647" s="1" t="s">
        <v>2616</v>
      </c>
      <c r="D4647" s="1" t="s">
        <v>2617</v>
      </c>
      <c r="E4647" s="1" t="str">
        <f>""</f>
        <v/>
      </c>
      <c r="F4647" s="1" t="s">
        <v>1860</v>
      </c>
      <c r="G4647" s="1" t="str">
        <f>CONCATENATE(" COMET D.O.O.,"," VARAŽDINSKA 40/C,"," 42220 NOVI MAROF,"," OIB: 48249084626")</f>
        <v xml:space="preserve"> COMET D.O.O., VARAŽDINSKA 40/C, 42220 NOVI MAROF, OIB: 48249084626</v>
      </c>
      <c r="H4647" s="7"/>
      <c r="I4647" s="8" t="s">
        <v>408</v>
      </c>
      <c r="J4647" s="8" t="s">
        <v>3220</v>
      </c>
      <c r="K4647" s="6" t="str">
        <f>"2.400,00"</f>
        <v>2.400,00</v>
      </c>
      <c r="L4647" s="6" t="str">
        <f>"600,00"</f>
        <v>600,00</v>
      </c>
      <c r="M4647" s="6" t="str">
        <f>"3.000,00"</f>
        <v>3.000,00</v>
      </c>
      <c r="N4647" s="8" t="s">
        <v>124</v>
      </c>
      <c r="O4647" s="7"/>
      <c r="P4647" s="2" t="s">
        <v>7483</v>
      </c>
      <c r="Q4647" s="7"/>
      <c r="R4647" s="1"/>
      <c r="S4647" s="1" t="str">
        <f>"J-UN-2022-1532"</f>
        <v>J-UN-2022-1532</v>
      </c>
      <c r="T4647" s="1" t="s">
        <v>32</v>
      </c>
    </row>
    <row r="4648" spans="1:20" ht="51" x14ac:dyDescent="0.25">
      <c r="A4648" s="6">
        <v>4640</v>
      </c>
      <c r="B4648" s="1" t="str">
        <f>"2022-1815"</f>
        <v>2022-1815</v>
      </c>
      <c r="C4648" s="1" t="s">
        <v>3141</v>
      </c>
      <c r="D4648" s="1" t="s">
        <v>854</v>
      </c>
      <c r="E4648" s="1" t="str">
        <f>""</f>
        <v/>
      </c>
      <c r="F4648" s="1" t="s">
        <v>1860</v>
      </c>
      <c r="G4648" s="1" t="str">
        <f>CONCATENATE(" VELJAŠ D.O.O.,"," HEINZELOVA 47,"," 10000 ZAGREB,"," OIB: 07193657714")</f>
        <v xml:space="preserve"> VELJAŠ D.O.O., HEINZELOVA 47, 10000 ZAGREB, OIB: 07193657714</v>
      </c>
      <c r="H4648" s="7"/>
      <c r="I4648" s="8" t="s">
        <v>565</v>
      </c>
      <c r="J4648" s="8" t="s">
        <v>3219</v>
      </c>
      <c r="K4648" s="6" t="str">
        <f>"3.482,70"</f>
        <v>3.482,70</v>
      </c>
      <c r="L4648" s="6" t="str">
        <f>"870,68"</f>
        <v>870,68</v>
      </c>
      <c r="M4648" s="6" t="str">
        <f>"4.353,38"</f>
        <v>4.353,38</v>
      </c>
      <c r="N4648" s="8" t="s">
        <v>124</v>
      </c>
      <c r="O4648" s="7"/>
      <c r="P4648" s="2" t="s">
        <v>5614</v>
      </c>
      <c r="Q4648" s="7"/>
      <c r="R4648" s="1"/>
      <c r="S4648" s="1" t="str">
        <f>"J-UN-2022-1535"</f>
        <v>J-UN-2022-1535</v>
      </c>
      <c r="T4648" s="1" t="s">
        <v>32</v>
      </c>
    </row>
    <row r="4649" spans="1:20" ht="63.75" x14ac:dyDescent="0.25">
      <c r="A4649" s="6">
        <v>4641</v>
      </c>
      <c r="B4649" s="1" t="str">
        <f>"2022-463"</f>
        <v>2022-463</v>
      </c>
      <c r="C4649" s="1" t="s">
        <v>3222</v>
      </c>
      <c r="D4649" s="1" t="s">
        <v>3223</v>
      </c>
      <c r="E4649" s="1" t="str">
        <f>""</f>
        <v/>
      </c>
      <c r="F4649" s="1" t="s">
        <v>1860</v>
      </c>
      <c r="G4649" s="1" t="str">
        <f>CONCATENATE(" AUTO-MAG D.O.O.,"," GORNJOSTUPNIČKA 1/d,"," 10255 GORNJI STUPNIK,"," OIB: 99940897955")</f>
        <v xml:space="preserve"> AUTO-MAG D.O.O., GORNJOSTUPNIČKA 1/d, 10255 GORNJI STUPNIK, OIB: 99940897955</v>
      </c>
      <c r="H4649" s="7"/>
      <c r="I4649" s="8" t="s">
        <v>408</v>
      </c>
      <c r="J4649" s="8" t="s">
        <v>3220</v>
      </c>
      <c r="K4649" s="6" t="str">
        <f>"28.000,00"</f>
        <v>28.000,00</v>
      </c>
      <c r="L4649" s="6" t="str">
        <f>"7.000,00"</f>
        <v>7.000,00</v>
      </c>
      <c r="M4649" s="6" t="str">
        <f>"35.000,00"</f>
        <v>35.000,00</v>
      </c>
      <c r="N4649" s="8" t="s">
        <v>625</v>
      </c>
      <c r="O4649" s="7"/>
      <c r="P4649" s="2" t="s">
        <v>6834</v>
      </c>
      <c r="Q4649" s="7"/>
      <c r="R4649" s="1"/>
      <c r="S4649" s="1" t="str">
        <f>"J-UN-2022-1536"</f>
        <v>J-UN-2022-1536</v>
      </c>
      <c r="T4649" s="1" t="s">
        <v>32</v>
      </c>
    </row>
    <row r="4650" spans="1:20" ht="51" x14ac:dyDescent="0.25">
      <c r="A4650" s="6">
        <v>4642</v>
      </c>
      <c r="B4650" s="1" t="str">
        <f>"2022-427"</f>
        <v>2022-427</v>
      </c>
      <c r="C4650" s="1" t="s">
        <v>3082</v>
      </c>
      <c r="D4650" s="1" t="s">
        <v>2577</v>
      </c>
      <c r="E4650" s="1" t="str">
        <f>""</f>
        <v/>
      </c>
      <c r="F4650" s="1" t="s">
        <v>1860</v>
      </c>
      <c r="G4650" s="1" t="str">
        <f>CONCATENATE(" DELTA VILIČARI D.O.O.,"," ČULINEČKA CESTA 214,"," 10000 ZAGREB,"," OIB: 93850251834")</f>
        <v xml:space="preserve"> DELTA VILIČARI D.O.O., ČULINEČKA CESTA 214, 10000 ZAGREB, OIB: 93850251834</v>
      </c>
      <c r="H4650" s="7"/>
      <c r="I4650" s="8" t="s">
        <v>565</v>
      </c>
      <c r="J4650" s="8" t="s">
        <v>3219</v>
      </c>
      <c r="K4650" s="6" t="str">
        <f>"6.200,00"</f>
        <v>6.200,00</v>
      </c>
      <c r="L4650" s="6" t="str">
        <f>"1.550,00"</f>
        <v>1.550,00</v>
      </c>
      <c r="M4650" s="6" t="str">
        <f>"7.750,00"</f>
        <v>7.750,00</v>
      </c>
      <c r="N4650" s="8" t="s">
        <v>124</v>
      </c>
      <c r="O4650" s="7"/>
      <c r="P4650" s="2" t="s">
        <v>5614</v>
      </c>
      <c r="Q4650" s="7"/>
      <c r="R4650" s="1"/>
      <c r="S4650" s="1" t="str">
        <f>"J-UN-2022-1537"</f>
        <v>J-UN-2022-1537</v>
      </c>
      <c r="T4650" s="1" t="s">
        <v>32</v>
      </c>
    </row>
    <row r="4651" spans="1:20" ht="51" x14ac:dyDescent="0.25">
      <c r="A4651" s="6">
        <v>4643</v>
      </c>
      <c r="B4651" s="1" t="str">
        <f>"2022-1434"</f>
        <v>2022-1434</v>
      </c>
      <c r="C4651" s="1" t="s">
        <v>2558</v>
      </c>
      <c r="D4651" s="1" t="s">
        <v>860</v>
      </c>
      <c r="E4651" s="1" t="str">
        <f>""</f>
        <v/>
      </c>
      <c r="F4651" s="1" t="s">
        <v>1860</v>
      </c>
      <c r="G4651" s="1" t="str">
        <f>CONCATENATE(" PLEMAG D.O.O.,"," ALEJA LIPA 1/B,"," 10000 ZAGREB,"," OIB: 15144440967")</f>
        <v xml:space="preserve"> PLEMAG D.O.O., ALEJA LIPA 1/B, 10000 ZAGREB, OIB: 15144440967</v>
      </c>
      <c r="H4651" s="7"/>
      <c r="I4651" s="8" t="s">
        <v>564</v>
      </c>
      <c r="J4651" s="8" t="s">
        <v>2227</v>
      </c>
      <c r="K4651" s="6" t="str">
        <f>"67.750,00"</f>
        <v>67.750,00</v>
      </c>
      <c r="L4651" s="6" t="str">
        <f>"16.937,50"</f>
        <v>16.937,50</v>
      </c>
      <c r="M4651" s="6" t="str">
        <f>"84.687,50"</f>
        <v>84.687,50</v>
      </c>
      <c r="N4651" s="8" t="s">
        <v>54</v>
      </c>
      <c r="O4651" s="7"/>
      <c r="P4651" s="2" t="s">
        <v>8332</v>
      </c>
      <c r="Q4651" s="7"/>
      <c r="R4651" s="1"/>
      <c r="S4651" s="1" t="str">
        <f>"J-UN-2022-1543"</f>
        <v>J-UN-2022-1543</v>
      </c>
      <c r="T4651" s="1" t="s">
        <v>32</v>
      </c>
    </row>
    <row r="4652" spans="1:20" ht="76.5" x14ac:dyDescent="0.25">
      <c r="A4652" s="6">
        <v>4644</v>
      </c>
      <c r="B4652" s="1" t="str">
        <f>"2022-1974"</f>
        <v>2022-1974</v>
      </c>
      <c r="C4652" s="1" t="s">
        <v>662</v>
      </c>
      <c r="D4652" s="1" t="s">
        <v>659</v>
      </c>
      <c r="E4652" s="1" t="str">
        <f>""</f>
        <v/>
      </c>
      <c r="F4652" s="1" t="s">
        <v>1860</v>
      </c>
      <c r="G4652" s="1" t="str">
        <f>CONCATENATE(" SMIT-COMMERCE D.O.O.,"," GORNJOSTUPNIČKA 9B,"," 10255 GORNJI STUPNIK,"," OIB: 9524348214")</f>
        <v xml:space="preserve"> SMIT-COMMERCE D.O.O., GORNJOSTUPNIČKA 9B, 10255 GORNJI STUPNIK, OIB: 9524348214</v>
      </c>
      <c r="H4652" s="7"/>
      <c r="I4652" s="8" t="s">
        <v>1122</v>
      </c>
      <c r="J4652" s="8" t="s">
        <v>1834</v>
      </c>
      <c r="K4652" s="6" t="str">
        <f>"12.469,15"</f>
        <v>12.469,15</v>
      </c>
      <c r="L4652" s="6" t="str">
        <f>"3.117,29"</f>
        <v>3.117,29</v>
      </c>
      <c r="M4652" s="6" t="str">
        <f>"15.586,44"</f>
        <v>15.586,44</v>
      </c>
      <c r="N4652" s="8" t="s">
        <v>124</v>
      </c>
      <c r="O4652" s="7"/>
      <c r="P4652" s="2" t="s">
        <v>5614</v>
      </c>
      <c r="Q4652" s="7"/>
      <c r="R4652" s="1"/>
      <c r="S4652" s="1" t="str">
        <f>"J-UN-2022-1544"</f>
        <v>J-UN-2022-1544</v>
      </c>
      <c r="T4652" s="1" t="s">
        <v>32</v>
      </c>
    </row>
    <row r="4653" spans="1:20" ht="51" x14ac:dyDescent="0.25">
      <c r="A4653" s="6">
        <v>4645</v>
      </c>
      <c r="B4653" s="1" t="str">
        <f>"2022-1807"</f>
        <v>2022-1807</v>
      </c>
      <c r="C4653" s="1" t="s">
        <v>3162</v>
      </c>
      <c r="D4653" s="1" t="s">
        <v>1558</v>
      </c>
      <c r="E4653" s="1" t="str">
        <f>""</f>
        <v/>
      </c>
      <c r="F4653" s="1" t="s">
        <v>1860</v>
      </c>
      <c r="G4653" s="1" t="str">
        <f>CONCATENATE(" VACO D.O.O.,"," ŠANDORA PETEFIJA 64,"," 31328 LUG,"," OIB: 66990555259")</f>
        <v xml:space="preserve"> VACO D.O.O., ŠANDORA PETEFIJA 64, 31328 LUG, OIB: 66990555259</v>
      </c>
      <c r="H4653" s="7"/>
      <c r="I4653" s="8" t="s">
        <v>669</v>
      </c>
      <c r="J4653" s="8" t="s">
        <v>3224</v>
      </c>
      <c r="K4653" s="6" t="str">
        <f>"99.000,00"</f>
        <v>99.000,00</v>
      </c>
      <c r="L4653" s="6" t="str">
        <f>"24.750,00"</f>
        <v>24.750,00</v>
      </c>
      <c r="M4653" s="6" t="str">
        <f>"123.750,00"</f>
        <v>123.750,00</v>
      </c>
      <c r="N4653" s="8" t="s">
        <v>124</v>
      </c>
      <c r="O4653" s="7"/>
      <c r="P4653" s="2" t="s">
        <v>5614</v>
      </c>
      <c r="Q4653" s="7"/>
      <c r="R4653" s="1"/>
      <c r="S4653" s="1" t="str">
        <f>"J-UN-2022-1549"</f>
        <v>J-UN-2022-1549</v>
      </c>
      <c r="T4653" s="1" t="s">
        <v>32</v>
      </c>
    </row>
    <row r="4654" spans="1:20" ht="63.75" x14ac:dyDescent="0.25">
      <c r="A4654" s="6">
        <v>4646</v>
      </c>
      <c r="B4654" s="1" t="str">
        <f>"2022-1805"</f>
        <v>2022-1805</v>
      </c>
      <c r="C4654" s="1" t="s">
        <v>3113</v>
      </c>
      <c r="D4654" s="1" t="s">
        <v>34</v>
      </c>
      <c r="E4654" s="1" t="str">
        <f>""</f>
        <v/>
      </c>
      <c r="F4654" s="1" t="s">
        <v>1860</v>
      </c>
      <c r="G4654" s="1" t="str">
        <f>CONCATENATE(" URIHO - ZAGREB,"," AVENIJA MARINA DRŽIĆA 1,"," 10000 ZAGREB,"," OIB: 77931216562")</f>
        <v xml:space="preserve"> URIHO - ZAGREB, AVENIJA MARINA DRŽIĆA 1, 10000 ZAGREB, OIB: 77931216562</v>
      </c>
      <c r="H4654" s="7"/>
      <c r="I4654" s="8" t="s">
        <v>310</v>
      </c>
      <c r="J4654" s="8" t="s">
        <v>2200</v>
      </c>
      <c r="K4654" s="6" t="str">
        <f>"14.730,00"</f>
        <v>14.730,00</v>
      </c>
      <c r="L4654" s="6" t="str">
        <f>"3.682,50"</f>
        <v>3.682,50</v>
      </c>
      <c r="M4654" s="6" t="str">
        <f>"18.412,50"</f>
        <v>18.412,50</v>
      </c>
      <c r="N4654" s="8" t="s">
        <v>124</v>
      </c>
      <c r="O4654" s="7"/>
      <c r="P4654" s="2" t="s">
        <v>6399</v>
      </c>
      <c r="Q4654" s="7"/>
      <c r="R4654" s="1"/>
      <c r="S4654" s="1" t="str">
        <f>"J-UN-2022-1551"</f>
        <v>J-UN-2022-1551</v>
      </c>
      <c r="T4654" s="1" t="s">
        <v>32</v>
      </c>
    </row>
    <row r="4655" spans="1:20" ht="38.25" x14ac:dyDescent="0.25">
      <c r="A4655" s="6">
        <v>4647</v>
      </c>
      <c r="B4655" s="1" t="str">
        <f>"2022-26"</f>
        <v>2022-26</v>
      </c>
      <c r="C4655" s="1" t="s">
        <v>1041</v>
      </c>
      <c r="D4655" s="1" t="s">
        <v>515</v>
      </c>
      <c r="E4655" s="1" t="str">
        <f>""</f>
        <v/>
      </c>
      <c r="F4655" s="1" t="s">
        <v>1860</v>
      </c>
      <c r="G4655" s="1" t="str">
        <f>CONCATENATE(" LABOSAN D.O.O.,"," RIM 42,"," 10000 ZAGREB,"," OIB: 81145490196")</f>
        <v xml:space="preserve"> LABOSAN D.O.O., RIM 42, 10000 ZAGREB, OIB: 81145490196</v>
      </c>
      <c r="H4655" s="7"/>
      <c r="I4655" s="8" t="s">
        <v>567</v>
      </c>
      <c r="J4655" s="8" t="s">
        <v>2432</v>
      </c>
      <c r="K4655" s="6" t="str">
        <f>"420,00"</f>
        <v>420,00</v>
      </c>
      <c r="L4655" s="6" t="str">
        <f>"105,00"</f>
        <v>105,00</v>
      </c>
      <c r="M4655" s="6" t="str">
        <f>"525,00"</f>
        <v>525,00</v>
      </c>
      <c r="N4655" s="8" t="s">
        <v>124</v>
      </c>
      <c r="O4655" s="7"/>
      <c r="P4655" s="2" t="s">
        <v>5614</v>
      </c>
      <c r="Q4655" s="7"/>
      <c r="R4655" s="1"/>
      <c r="S4655" s="1" t="str">
        <f>"J-UN-2022-1566"</f>
        <v>J-UN-2022-1566</v>
      </c>
      <c r="T4655" s="1" t="s">
        <v>32</v>
      </c>
    </row>
    <row r="4656" spans="1:20" ht="63.75" x14ac:dyDescent="0.25">
      <c r="A4656" s="6">
        <v>4648</v>
      </c>
      <c r="B4656" s="1" t="str">
        <f>"2022-413"</f>
        <v>2022-413</v>
      </c>
      <c r="C4656" s="1" t="s">
        <v>2773</v>
      </c>
      <c r="D4656" s="1" t="s">
        <v>2774</v>
      </c>
      <c r="E4656" s="1" t="str">
        <f>""</f>
        <v/>
      </c>
      <c r="F4656" s="1" t="s">
        <v>1860</v>
      </c>
      <c r="G4656" s="1" t="str">
        <f>CONCATENATE(" MAG COMMERCE D.O.O.,"," ŠENKOVEC,"," MARŠALA TITA 6,"," 40000 ČAKOVEC,"," OIB: 57269622478")</f>
        <v xml:space="preserve"> MAG COMMERCE D.O.O., ŠENKOVEC, MARŠALA TITA 6, 40000 ČAKOVEC, OIB: 57269622478</v>
      </c>
      <c r="H4656" s="7"/>
      <c r="I4656" s="8" t="s">
        <v>408</v>
      </c>
      <c r="J4656" s="8" t="s">
        <v>3220</v>
      </c>
      <c r="K4656" s="6" t="str">
        <f>"674,00"</f>
        <v>674,00</v>
      </c>
      <c r="L4656" s="6" t="str">
        <f>"168,50"</f>
        <v>168,50</v>
      </c>
      <c r="M4656" s="6" t="str">
        <f>"842,50"</f>
        <v>842,50</v>
      </c>
      <c r="N4656" s="8" t="s">
        <v>102</v>
      </c>
      <c r="O4656" s="7"/>
      <c r="P4656" s="2" t="s">
        <v>8333</v>
      </c>
      <c r="Q4656" s="7"/>
      <c r="R4656" s="1"/>
      <c r="S4656" s="1" t="str">
        <f>"J-UN-2022-1570"</f>
        <v>J-UN-2022-1570</v>
      </c>
      <c r="T4656" s="1" t="s">
        <v>32</v>
      </c>
    </row>
    <row r="4657" spans="1:20" ht="51" x14ac:dyDescent="0.25">
      <c r="A4657" s="6">
        <v>4649</v>
      </c>
      <c r="B4657" s="1" t="str">
        <f>"2022-1109"</f>
        <v>2022-1109</v>
      </c>
      <c r="C4657" s="1" t="s">
        <v>2299</v>
      </c>
      <c r="D4657" s="1" t="s">
        <v>74</v>
      </c>
      <c r="E4657" s="1" t="str">
        <f>""</f>
        <v/>
      </c>
      <c r="F4657" s="1" t="s">
        <v>1860</v>
      </c>
      <c r="G4657" s="1" t="str">
        <f>CONCATENATE(" TROL DK D.O.O.,"," BISAČKA 14,"," 10000 ZAGREB,"," OIB: 60610587089")</f>
        <v xml:space="preserve"> TROL DK D.O.O., BISAČKA 14, 10000 ZAGREB, OIB: 60610587089</v>
      </c>
      <c r="H4657" s="7"/>
      <c r="I4657" s="8" t="s">
        <v>374</v>
      </c>
      <c r="J4657" s="8" t="s">
        <v>1920</v>
      </c>
      <c r="K4657" s="6" t="str">
        <f>"198.600,00"</f>
        <v>198.600,00</v>
      </c>
      <c r="L4657" s="6" t="str">
        <f>"49.650,00"</f>
        <v>49.650,00</v>
      </c>
      <c r="M4657" s="6" t="str">
        <f>"248.250,00"</f>
        <v>248.250,00</v>
      </c>
      <c r="N4657" s="8" t="s">
        <v>207</v>
      </c>
      <c r="O4657" s="7"/>
      <c r="P4657" s="2" t="s">
        <v>8334</v>
      </c>
      <c r="Q4657" s="1"/>
      <c r="R4657" s="1"/>
      <c r="S4657" s="1" t="str">
        <f>"J-UN-2022-1572"</f>
        <v>J-UN-2022-1572</v>
      </c>
      <c r="T4657" s="1" t="s">
        <v>32</v>
      </c>
    </row>
    <row r="4658" spans="1:20" ht="76.5" x14ac:dyDescent="0.25">
      <c r="A4658" s="6">
        <v>4650</v>
      </c>
      <c r="B4658" s="1" t="str">
        <f>"2022-266"</f>
        <v>2022-266</v>
      </c>
      <c r="C4658" s="1" t="s">
        <v>2513</v>
      </c>
      <c r="D4658" s="1" t="s">
        <v>665</v>
      </c>
      <c r="E4658" s="1" t="str">
        <f>""</f>
        <v/>
      </c>
      <c r="F4658" s="1" t="s">
        <v>1860</v>
      </c>
      <c r="G4658" s="1" t="str">
        <f>CONCATENATE(" SMIT-COMMERCE D.O.O.,"," GORNJOSTUPNIČKA 9B,"," 10255 GORNJI STUPNIK,"," OIB: 9524348214")</f>
        <v xml:space="preserve"> SMIT-COMMERCE D.O.O., GORNJOSTUPNIČKA 9B, 10255 GORNJI STUPNIK, OIB: 9524348214</v>
      </c>
      <c r="H4658" s="7"/>
      <c r="I4658" s="8" t="s">
        <v>317</v>
      </c>
      <c r="J4658" s="8" t="s">
        <v>3225</v>
      </c>
      <c r="K4658" s="6" t="str">
        <f>"1.111,50"</f>
        <v>1.111,50</v>
      </c>
      <c r="L4658" s="6" t="str">
        <f>"277,88"</f>
        <v>277,88</v>
      </c>
      <c r="M4658" s="6" t="str">
        <f>"1.389,38"</f>
        <v>1.389,38</v>
      </c>
      <c r="N4658" s="8" t="s">
        <v>124</v>
      </c>
      <c r="O4658" s="7"/>
      <c r="P4658" s="2" t="s">
        <v>5614</v>
      </c>
      <c r="Q4658" s="7"/>
      <c r="R4658" s="1"/>
      <c r="S4658" s="1" t="str">
        <f>"J-UN-2022-1573"</f>
        <v>J-UN-2022-1573</v>
      </c>
      <c r="T4658" s="1" t="s">
        <v>32</v>
      </c>
    </row>
    <row r="4659" spans="1:20" ht="76.5" x14ac:dyDescent="0.25">
      <c r="A4659" s="6">
        <v>4651</v>
      </c>
      <c r="B4659" s="1" t="str">
        <f>"2022-452"</f>
        <v>2022-452</v>
      </c>
      <c r="C4659" s="1" t="s">
        <v>2881</v>
      </c>
      <c r="D4659" s="1" t="s">
        <v>2882</v>
      </c>
      <c r="E4659" s="1" t="str">
        <f>""</f>
        <v/>
      </c>
      <c r="F4659" s="1" t="s">
        <v>1860</v>
      </c>
      <c r="G4659" s="1" t="str">
        <f>CONCATENATE(" SMIT-COMMERCE D.O.O.,"," GORNJOSTUPNIČKA 9B,"," 10255 GORNJI STUPNIK,"," OIB: 9524348214")</f>
        <v xml:space="preserve"> SMIT-COMMERCE D.O.O., GORNJOSTUPNIČKA 9B, 10255 GORNJI STUPNIK, OIB: 9524348214</v>
      </c>
      <c r="H4659" s="7"/>
      <c r="I4659" s="8" t="s">
        <v>54</v>
      </c>
      <c r="J4659" s="8" t="s">
        <v>1869</v>
      </c>
      <c r="K4659" s="6" t="str">
        <f>"3.110,62"</f>
        <v>3.110,62</v>
      </c>
      <c r="L4659" s="6" t="str">
        <f>"777,66"</f>
        <v>777,66</v>
      </c>
      <c r="M4659" s="6" t="str">
        <f>"3.888,28"</f>
        <v>3.888,28</v>
      </c>
      <c r="N4659" s="8" t="s">
        <v>124</v>
      </c>
      <c r="O4659" s="7"/>
      <c r="P4659" s="2" t="s">
        <v>5614</v>
      </c>
      <c r="Q4659" s="7"/>
      <c r="R4659" s="1"/>
      <c r="S4659" s="1" t="str">
        <f>"J-UN-2022-1574"</f>
        <v>J-UN-2022-1574</v>
      </c>
      <c r="T4659" s="1" t="s">
        <v>32</v>
      </c>
    </row>
    <row r="4660" spans="1:20" ht="76.5" x14ac:dyDescent="0.25">
      <c r="A4660" s="6">
        <v>4652</v>
      </c>
      <c r="B4660" s="1" t="str">
        <f>"2022-1434"</f>
        <v>2022-1434</v>
      </c>
      <c r="C4660" s="1" t="s">
        <v>2558</v>
      </c>
      <c r="D4660" s="1" t="s">
        <v>860</v>
      </c>
      <c r="E4660" s="1" t="str">
        <f>""</f>
        <v/>
      </c>
      <c r="F4660" s="1" t="s">
        <v>1860</v>
      </c>
      <c r="G4660" s="1" t="str">
        <f>CONCATENATE(" SPECIJALNA ZAVARIVANJA ČUKMAN D.O.O.,"," JEŽDOVEČKA ULICA 1C,"," 10250 LUČKO,"," OIB: 14195538193")</f>
        <v xml:space="preserve"> SPECIJALNA ZAVARIVANJA ČUKMAN D.O.O., JEŽDOVEČKA ULICA 1C, 10250 LUČKO, OIB: 14195538193</v>
      </c>
      <c r="H4660" s="7"/>
      <c r="I4660" s="8" t="s">
        <v>374</v>
      </c>
      <c r="J4660" s="8" t="s">
        <v>1920</v>
      </c>
      <c r="K4660" s="6" t="str">
        <f>"1.455,36"</f>
        <v>1.455,36</v>
      </c>
      <c r="L4660" s="6" t="str">
        <f>"363,84"</f>
        <v>363,84</v>
      </c>
      <c r="M4660" s="6" t="str">
        <f>"1.819,20"</f>
        <v>1.819,20</v>
      </c>
      <c r="N4660" s="8" t="s">
        <v>430</v>
      </c>
      <c r="O4660" s="7"/>
      <c r="P4660" s="2" t="s">
        <v>8335</v>
      </c>
      <c r="Q4660" s="7"/>
      <c r="R4660" s="1"/>
      <c r="S4660" s="1" t="str">
        <f>"J-UN-2022-1575"</f>
        <v>J-UN-2022-1575</v>
      </c>
      <c r="T4660" s="1" t="s">
        <v>32</v>
      </c>
    </row>
    <row r="4661" spans="1:20" ht="63.75" x14ac:dyDescent="0.25">
      <c r="A4661" s="6">
        <v>4653</v>
      </c>
      <c r="B4661" s="1" t="str">
        <f>"2022-966"</f>
        <v>2022-966</v>
      </c>
      <c r="C4661" s="1" t="s">
        <v>2815</v>
      </c>
      <c r="D4661" s="1" t="s">
        <v>1373</v>
      </c>
      <c r="E4661" s="1" t="str">
        <f>""</f>
        <v/>
      </c>
      <c r="F4661" s="1" t="s">
        <v>1860</v>
      </c>
      <c r="G4661" s="1" t="str">
        <f>CONCATENATE(" STROJOOBNOVA,"," VL.TIHOMIR LJUBIĆ,"," RAVNICE 13,"," 10294 DONJA PUŠĆA,"," OIB: 50149576546")</f>
        <v xml:space="preserve"> STROJOOBNOVA, VL.TIHOMIR LJUBIĆ, RAVNICE 13, 10294 DONJA PUŠĆA, OIB: 50149576546</v>
      </c>
      <c r="H4661" s="7"/>
      <c r="I4661" s="8" t="s">
        <v>374</v>
      </c>
      <c r="J4661" s="8" t="s">
        <v>1920</v>
      </c>
      <c r="K4661" s="6" t="str">
        <f>"3.662,00"</f>
        <v>3.662,00</v>
      </c>
      <c r="L4661" s="6" t="str">
        <f>"915,50"</f>
        <v>915,50</v>
      </c>
      <c r="M4661" s="6" t="str">
        <f>"4.577,50"</f>
        <v>4.577,50</v>
      </c>
      <c r="N4661" s="8" t="s">
        <v>1159</v>
      </c>
      <c r="O4661" s="7"/>
      <c r="P4661" s="2" t="s">
        <v>8336</v>
      </c>
      <c r="Q4661" s="7"/>
      <c r="R4661" s="1"/>
      <c r="S4661" s="1" t="str">
        <f>"J-UN-2022-1576"</f>
        <v>J-UN-2022-1576</v>
      </c>
      <c r="T4661" s="1" t="s">
        <v>32</v>
      </c>
    </row>
    <row r="4662" spans="1:20" ht="51" x14ac:dyDescent="0.25">
      <c r="A4662" s="6">
        <v>4654</v>
      </c>
      <c r="B4662" s="1" t="str">
        <f>"2022-813"</f>
        <v>2022-813</v>
      </c>
      <c r="C4662" s="1" t="s">
        <v>2844</v>
      </c>
      <c r="D4662" s="1" t="s">
        <v>2716</v>
      </c>
      <c r="E4662" s="1" t="str">
        <f>""</f>
        <v/>
      </c>
      <c r="F4662" s="1" t="s">
        <v>1860</v>
      </c>
      <c r="G4662" s="1" t="str">
        <f>CONCATENATE(" LAGER BAŠIĆ D.O.O.,"," TRGOVAČKA 3,"," 10255 DONJI STUPNIK,"," OIB: 49617677906")</f>
        <v xml:space="preserve"> LAGER BAŠIĆ D.O.O., TRGOVAČKA 3, 10255 DONJI STUPNIK, OIB: 49617677906</v>
      </c>
      <c r="H4662" s="7"/>
      <c r="I4662" s="8" t="s">
        <v>374</v>
      </c>
      <c r="J4662" s="8" t="s">
        <v>1920</v>
      </c>
      <c r="K4662" s="6" t="str">
        <f>"9.871,00"</f>
        <v>9.871,00</v>
      </c>
      <c r="L4662" s="6" t="str">
        <f>"2.467,75"</f>
        <v>2.467,75</v>
      </c>
      <c r="M4662" s="6" t="str">
        <f>"12.338,75"</f>
        <v>12.338,75</v>
      </c>
      <c r="N4662" s="8" t="s">
        <v>124</v>
      </c>
      <c r="O4662" s="7"/>
      <c r="P4662" s="2" t="s">
        <v>8337</v>
      </c>
      <c r="Q4662" s="7"/>
      <c r="R4662" s="1"/>
      <c r="S4662" s="1" t="str">
        <f>"J-UN-2022-1577"</f>
        <v>J-UN-2022-1577</v>
      </c>
      <c r="T4662" s="1" t="s">
        <v>32</v>
      </c>
    </row>
    <row r="4663" spans="1:20" ht="51" x14ac:dyDescent="0.25">
      <c r="A4663" s="6">
        <v>4655</v>
      </c>
      <c r="B4663" s="1" t="str">
        <f>"2022-755"</f>
        <v>2022-755</v>
      </c>
      <c r="C4663" s="1" t="s">
        <v>2615</v>
      </c>
      <c r="D4663" s="1" t="s">
        <v>999</v>
      </c>
      <c r="E4663" s="1" t="str">
        <f>""</f>
        <v/>
      </c>
      <c r="F4663" s="1" t="s">
        <v>1860</v>
      </c>
      <c r="G4663" s="1" t="str">
        <f>CONCATENATE(" INSAKO D.O.O.,"," PUŽEVA 11,"," 10000 ZAGREB,"," OIB: 39851720584")</f>
        <v xml:space="preserve"> INSAKO D.O.O., PUŽEVA 11, 10000 ZAGREB, OIB: 39851720584</v>
      </c>
      <c r="H4663" s="7"/>
      <c r="I4663" s="8" t="s">
        <v>54</v>
      </c>
      <c r="J4663" s="8" t="s">
        <v>1869</v>
      </c>
      <c r="K4663" s="6" t="str">
        <f>"1.750,00"</f>
        <v>1.750,00</v>
      </c>
      <c r="L4663" s="6" t="str">
        <f>"437,50"</f>
        <v>437,50</v>
      </c>
      <c r="M4663" s="6" t="str">
        <f>"2.187,50"</f>
        <v>2.187,50</v>
      </c>
      <c r="N4663" s="8" t="s">
        <v>81</v>
      </c>
      <c r="O4663" s="7"/>
      <c r="P4663" s="2" t="s">
        <v>5739</v>
      </c>
      <c r="Q4663" s="7"/>
      <c r="R4663" s="1"/>
      <c r="S4663" s="1" t="str">
        <f>"J-UN-2022-1578"</f>
        <v>J-UN-2022-1578</v>
      </c>
      <c r="T4663" s="1" t="s">
        <v>32</v>
      </c>
    </row>
    <row r="4664" spans="1:20" ht="51" x14ac:dyDescent="0.25">
      <c r="A4664" s="6">
        <v>4656</v>
      </c>
      <c r="B4664" s="1" t="str">
        <f>"2022-757"</f>
        <v>2022-757</v>
      </c>
      <c r="C4664" s="1" t="s">
        <v>2690</v>
      </c>
      <c r="D4664" s="1" t="s">
        <v>2691</v>
      </c>
      <c r="E4664" s="1" t="str">
        <f>""</f>
        <v/>
      </c>
      <c r="F4664" s="1" t="s">
        <v>1860</v>
      </c>
      <c r="G4664" s="1" t="str">
        <f>CONCATENATE(" VODOSKOK D.D.,"," ČULINEČKA CESTA 221/C,"," 10040 ZAGREB,"," OIB: 34134218058")</f>
        <v xml:space="preserve"> VODOSKOK D.D., ČULINEČKA CESTA 221/C, 10040 ZAGREB, OIB: 34134218058</v>
      </c>
      <c r="H4664" s="7"/>
      <c r="I4664" s="8" t="s">
        <v>567</v>
      </c>
      <c r="J4664" s="8" t="s">
        <v>2432</v>
      </c>
      <c r="K4664" s="6" t="str">
        <f>"6.511,00"</f>
        <v>6.511,00</v>
      </c>
      <c r="L4664" s="6" t="str">
        <f>"1.627,75"</f>
        <v>1.627,75</v>
      </c>
      <c r="M4664" s="6" t="str">
        <f>"8.138,75"</f>
        <v>8.138,75</v>
      </c>
      <c r="N4664" s="8" t="s">
        <v>58</v>
      </c>
      <c r="O4664" s="7"/>
      <c r="P4664" s="2" t="s">
        <v>8338</v>
      </c>
      <c r="Q4664" s="7"/>
      <c r="R4664" s="1"/>
      <c r="S4664" s="1" t="str">
        <f>"J-UN-2022-1579"</f>
        <v>J-UN-2022-1579</v>
      </c>
      <c r="T4664" s="1" t="s">
        <v>32</v>
      </c>
    </row>
    <row r="4665" spans="1:20" ht="51" x14ac:dyDescent="0.25">
      <c r="A4665" s="6">
        <v>4657</v>
      </c>
      <c r="B4665" s="1" t="str">
        <f>"2022-825"</f>
        <v>2022-825</v>
      </c>
      <c r="C4665" s="1" t="s">
        <v>2492</v>
      </c>
      <c r="D4665" s="1" t="s">
        <v>2493</v>
      </c>
      <c r="E4665" s="1" t="str">
        <f>""</f>
        <v/>
      </c>
      <c r="F4665" s="1" t="s">
        <v>1860</v>
      </c>
      <c r="G4665" s="1" t="str">
        <f>CONCATENATE(" TPZ D.O.O.,"," NOVOSELSKA 25,"," 10000 ZAGREB,"," OIB: 68119083236")</f>
        <v xml:space="preserve"> TPZ D.O.O., NOVOSELSKA 25, 10000 ZAGREB, OIB: 68119083236</v>
      </c>
      <c r="H4665" s="7"/>
      <c r="I4665" s="8" t="s">
        <v>374</v>
      </c>
      <c r="J4665" s="8" t="s">
        <v>1920</v>
      </c>
      <c r="K4665" s="6" t="str">
        <f>"26.138,53"</f>
        <v>26.138,53</v>
      </c>
      <c r="L4665" s="6" t="str">
        <f>"6.534,63"</f>
        <v>6.534,63</v>
      </c>
      <c r="M4665" s="6" t="str">
        <f>"32.673,16"</f>
        <v>32.673,16</v>
      </c>
      <c r="N4665" s="8" t="s">
        <v>124</v>
      </c>
      <c r="O4665" s="7"/>
      <c r="P4665" s="2" t="s">
        <v>8339</v>
      </c>
      <c r="Q4665" s="7"/>
      <c r="R4665" s="1"/>
      <c r="S4665" s="1" t="str">
        <f>"J-UN-2022-1582"</f>
        <v>J-UN-2022-1582</v>
      </c>
      <c r="T4665" s="1" t="s">
        <v>32</v>
      </c>
    </row>
    <row r="4666" spans="1:20" ht="76.5" x14ac:dyDescent="0.25">
      <c r="A4666" s="6">
        <v>4658</v>
      </c>
      <c r="B4666" s="1" t="str">
        <f>"2022-370"</f>
        <v>2022-370</v>
      </c>
      <c r="C4666" s="1" t="s">
        <v>2624</v>
      </c>
      <c r="D4666" s="1" t="s">
        <v>1334</v>
      </c>
      <c r="E4666" s="1" t="str">
        <f>""</f>
        <v/>
      </c>
      <c r="F4666" s="1" t="s">
        <v>1860</v>
      </c>
      <c r="G4666" s="1" t="str">
        <f>CONCATENATE(" SMIT-COMMERCE D.O.O.,"," GORNJOSTUPNIČKA 9B,"," 10255 GORNJI STUPNIK,"," OIB: 9524348214")</f>
        <v xml:space="preserve"> SMIT-COMMERCE D.O.O., GORNJOSTUPNIČKA 9B, 10255 GORNJI STUPNIK, OIB: 9524348214</v>
      </c>
      <c r="H4666" s="7"/>
      <c r="I4666" s="8" t="s">
        <v>567</v>
      </c>
      <c r="J4666" s="8" t="s">
        <v>2432</v>
      </c>
      <c r="K4666" s="6" t="str">
        <f>"833,67"</f>
        <v>833,67</v>
      </c>
      <c r="L4666" s="6" t="str">
        <f>"208,42"</f>
        <v>208,42</v>
      </c>
      <c r="M4666" s="6" t="str">
        <f>"1.042,09"</f>
        <v>1.042,09</v>
      </c>
      <c r="N4666" s="8" t="s">
        <v>58</v>
      </c>
      <c r="O4666" s="7"/>
      <c r="P4666" s="2" t="s">
        <v>8340</v>
      </c>
      <c r="Q4666" s="7"/>
      <c r="R4666" s="1"/>
      <c r="S4666" s="1" t="str">
        <f>"J-UN-2022-1583"</f>
        <v>J-UN-2022-1583</v>
      </c>
      <c r="T4666" s="1" t="s">
        <v>32</v>
      </c>
    </row>
    <row r="4667" spans="1:20" ht="63.75" x14ac:dyDescent="0.25">
      <c r="A4667" s="6">
        <v>4659</v>
      </c>
      <c r="B4667" s="1" t="str">
        <f>"2022-894"</f>
        <v>2022-894</v>
      </c>
      <c r="C4667" s="1" t="s">
        <v>2863</v>
      </c>
      <c r="D4667" s="1" t="s">
        <v>1209</v>
      </c>
      <c r="E4667" s="1" t="str">
        <f>""</f>
        <v/>
      </c>
      <c r="F4667" s="1" t="s">
        <v>1860</v>
      </c>
      <c r="G4667" s="1" t="str">
        <f>CONCATENATE(" DRÄGER SAFETY D.O.O.,"," AVENIJA VEĆESLAVA HOLJEVCA 40,"," 10010 ZAGREB,"," OIB: 32874587842")</f>
        <v xml:space="preserve"> DRÄGER SAFETY D.O.O., AVENIJA VEĆESLAVA HOLJEVCA 40, 10010 ZAGREB, OIB: 32874587842</v>
      </c>
      <c r="H4667" s="7"/>
      <c r="I4667" s="8" t="s">
        <v>1122</v>
      </c>
      <c r="J4667" s="8" t="s">
        <v>1834</v>
      </c>
      <c r="K4667" s="6" t="str">
        <f>"1.718,30"</f>
        <v>1.718,30</v>
      </c>
      <c r="L4667" s="6" t="str">
        <f>"429,58"</f>
        <v>429,58</v>
      </c>
      <c r="M4667" s="6" t="str">
        <f>"2.147,88"</f>
        <v>2.147,88</v>
      </c>
      <c r="N4667" s="8" t="s">
        <v>124</v>
      </c>
      <c r="O4667" s="7"/>
      <c r="P4667" s="2" t="s">
        <v>5614</v>
      </c>
      <c r="Q4667" s="7"/>
      <c r="R4667" s="1"/>
      <c r="S4667" s="1" t="str">
        <f>"J-UN-2022-1584"</f>
        <v>J-UN-2022-1584</v>
      </c>
      <c r="T4667" s="1" t="s">
        <v>32</v>
      </c>
    </row>
    <row r="4668" spans="1:20" ht="51" x14ac:dyDescent="0.25">
      <c r="A4668" s="6">
        <v>4660</v>
      </c>
      <c r="B4668" s="1" t="str">
        <f>"2022-1974"</f>
        <v>2022-1974</v>
      </c>
      <c r="C4668" s="1" t="s">
        <v>662</v>
      </c>
      <c r="D4668" s="1" t="s">
        <v>659</v>
      </c>
      <c r="E4668" s="1" t="str">
        <f>""</f>
        <v/>
      </c>
      <c r="F4668" s="1" t="s">
        <v>1860</v>
      </c>
      <c r="G4668" s="1" t="str">
        <f>CONCATENATE(" TELUR D.O.O.,"," DUBRAVKIN TRG 5,"," 10000 ZAGREB,"," OIB: 647202123")</f>
        <v xml:space="preserve"> TELUR D.O.O., DUBRAVKIN TRG 5, 10000 ZAGREB, OIB: 647202123</v>
      </c>
      <c r="H4668" s="7"/>
      <c r="I4668" s="8" t="s">
        <v>317</v>
      </c>
      <c r="J4668" s="8" t="s">
        <v>3225</v>
      </c>
      <c r="K4668" s="6" t="str">
        <f>"13.911,09"</f>
        <v>13.911,09</v>
      </c>
      <c r="L4668" s="6" t="str">
        <f>"3.477,77"</f>
        <v>3.477,77</v>
      </c>
      <c r="M4668" s="6" t="str">
        <f>"17.388,86"</f>
        <v>17.388,86</v>
      </c>
      <c r="N4668" s="8" t="s">
        <v>124</v>
      </c>
      <c r="O4668" s="7"/>
      <c r="P4668" s="2" t="s">
        <v>5614</v>
      </c>
      <c r="Q4668" s="7"/>
      <c r="R4668" s="1"/>
      <c r="S4668" s="1" t="str">
        <f>"J-UN-2022-1585"</f>
        <v>J-UN-2022-1585</v>
      </c>
      <c r="T4668" s="1" t="s">
        <v>32</v>
      </c>
    </row>
    <row r="4669" spans="1:20" ht="51" x14ac:dyDescent="0.25">
      <c r="A4669" s="6">
        <v>4661</v>
      </c>
      <c r="B4669" s="1" t="str">
        <f>"2022-913"</f>
        <v>2022-913</v>
      </c>
      <c r="C4669" s="1" t="s">
        <v>2879</v>
      </c>
      <c r="D4669" s="1" t="s">
        <v>1007</v>
      </c>
      <c r="E4669" s="1" t="str">
        <f>""</f>
        <v/>
      </c>
      <c r="F4669" s="1" t="s">
        <v>1860</v>
      </c>
      <c r="G4669" s="1" t="str">
        <f>CONCATENATE(" EUROPLAMEN D.O.O.,"," RUDOLFOV BREG 6,"," 10430 SAMOBOR,"," OIB: 69942917335")</f>
        <v xml:space="preserve"> EUROPLAMEN D.O.O., RUDOLFOV BREG 6, 10430 SAMOBOR, OIB: 69942917335</v>
      </c>
      <c r="H4669" s="7"/>
      <c r="I4669" s="8" t="s">
        <v>54</v>
      </c>
      <c r="J4669" s="8" t="s">
        <v>1869</v>
      </c>
      <c r="K4669" s="6" t="str">
        <f>"17.700,00"</f>
        <v>17.700,00</v>
      </c>
      <c r="L4669" s="6" t="str">
        <f>"4.425,00"</f>
        <v>4.425,00</v>
      </c>
      <c r="M4669" s="6" t="str">
        <f>"22.125,00"</f>
        <v>22.125,00</v>
      </c>
      <c r="N4669" s="8" t="s">
        <v>124</v>
      </c>
      <c r="O4669" s="7"/>
      <c r="P4669" s="2" t="s">
        <v>5614</v>
      </c>
      <c r="Q4669" s="7"/>
      <c r="R4669" s="1"/>
      <c r="S4669" s="1" t="str">
        <f>"J-UN-2022-1586"</f>
        <v>J-UN-2022-1586</v>
      </c>
      <c r="T4669" s="1" t="s">
        <v>32</v>
      </c>
    </row>
    <row r="4670" spans="1:20" ht="63.75" x14ac:dyDescent="0.25">
      <c r="A4670" s="6">
        <v>4662</v>
      </c>
      <c r="B4670" s="1" t="str">
        <f>"2022-1429"</f>
        <v>2022-1429</v>
      </c>
      <c r="C4670" s="1" t="s">
        <v>2984</v>
      </c>
      <c r="D4670" s="1" t="s">
        <v>2985</v>
      </c>
      <c r="E4670" s="1" t="str">
        <f>""</f>
        <v/>
      </c>
      <c r="F4670" s="1" t="s">
        <v>1860</v>
      </c>
      <c r="G4670" s="1" t="str">
        <f>CONCATENATE(" LANIŠTE D.O.O.,"," ALEXANDERA VON HUMBOLDTA 4B,"," 10000 ZAGREB,"," OIB: 3755384865")</f>
        <v xml:space="preserve"> LANIŠTE D.O.O., ALEXANDERA VON HUMBOLDTA 4B, 10000 ZAGREB, OIB: 3755384865</v>
      </c>
      <c r="H4670" s="7"/>
      <c r="I4670" s="8" t="s">
        <v>374</v>
      </c>
      <c r="J4670" s="8" t="s">
        <v>1920</v>
      </c>
      <c r="K4670" s="6" t="str">
        <f>"4.032,00"</f>
        <v>4.032,00</v>
      </c>
      <c r="L4670" s="6" t="str">
        <f>"1.008,00"</f>
        <v>1.008,00</v>
      </c>
      <c r="M4670" s="6" t="str">
        <f>"5.040,00"</f>
        <v>5.040,00</v>
      </c>
      <c r="N4670" s="8" t="s">
        <v>124</v>
      </c>
      <c r="O4670" s="7"/>
      <c r="P4670" s="2" t="s">
        <v>5614</v>
      </c>
      <c r="Q4670" s="7"/>
      <c r="R4670" s="1"/>
      <c r="S4670" s="1" t="str">
        <f>"J-UN-2022-1587"</f>
        <v>J-UN-2022-1587</v>
      </c>
      <c r="T4670" s="1" t="s">
        <v>32</v>
      </c>
    </row>
    <row r="4671" spans="1:20" ht="63.75" x14ac:dyDescent="0.25">
      <c r="A4671" s="6">
        <v>4663</v>
      </c>
      <c r="B4671" s="1" t="str">
        <f>"2022-1291"</f>
        <v>2022-1291</v>
      </c>
      <c r="C4671" s="1" t="s">
        <v>2989</v>
      </c>
      <c r="D4671" s="1" t="s">
        <v>2990</v>
      </c>
      <c r="E4671" s="1" t="str">
        <f>""</f>
        <v/>
      </c>
      <c r="F4671" s="1" t="s">
        <v>1860</v>
      </c>
      <c r="G4671" s="1" t="str">
        <f>CONCATENATE(" LANIŠTE D.O.O.,"," ALEXANDERA VON HUMBOLDTA 4B,"," 10000 ZAGREB,"," OIB: 3755384865")</f>
        <v xml:space="preserve"> LANIŠTE D.O.O., ALEXANDERA VON HUMBOLDTA 4B, 10000 ZAGREB, OIB: 3755384865</v>
      </c>
      <c r="H4671" s="7"/>
      <c r="I4671" s="8" t="s">
        <v>374</v>
      </c>
      <c r="J4671" s="8" t="s">
        <v>1920</v>
      </c>
      <c r="K4671" s="6" t="str">
        <f>"3.636,00"</f>
        <v>3.636,00</v>
      </c>
      <c r="L4671" s="6" t="str">
        <f>"909,00"</f>
        <v>909,00</v>
      </c>
      <c r="M4671" s="6" t="str">
        <f>"4.545,00"</f>
        <v>4.545,00</v>
      </c>
      <c r="N4671" s="8" t="s">
        <v>124</v>
      </c>
      <c r="O4671" s="7"/>
      <c r="P4671" s="2" t="s">
        <v>5614</v>
      </c>
      <c r="Q4671" s="7"/>
      <c r="R4671" s="1"/>
      <c r="S4671" s="1" t="str">
        <f>"J-UN-2022-1588"</f>
        <v>J-UN-2022-1588</v>
      </c>
      <c r="T4671" s="1" t="s">
        <v>32</v>
      </c>
    </row>
    <row r="4672" spans="1:20" ht="63.75" x14ac:dyDescent="0.25">
      <c r="A4672" s="6">
        <v>4664</v>
      </c>
      <c r="B4672" s="1" t="str">
        <f>"2022-1434"</f>
        <v>2022-1434</v>
      </c>
      <c r="C4672" s="1" t="s">
        <v>2558</v>
      </c>
      <c r="D4672" s="1" t="s">
        <v>860</v>
      </c>
      <c r="E4672" s="1" t="str">
        <f>""</f>
        <v/>
      </c>
      <c r="F4672" s="1" t="s">
        <v>1860</v>
      </c>
      <c r="G4672" s="1" t="str">
        <f>CONCATENATE(" STROJOGRADNJA,"," VL. DORA PERŠI,"," RAKITJE,"," RADNIČKA 9,"," 10431 SVETA NEDJELJA,"," OIB: 72791562742")</f>
        <v xml:space="preserve"> STROJOGRADNJA, VL. DORA PERŠI, RAKITJE, RADNIČKA 9, 10431 SVETA NEDJELJA, OIB: 72791562742</v>
      </c>
      <c r="H4672" s="7"/>
      <c r="I4672" s="8" t="s">
        <v>374</v>
      </c>
      <c r="J4672" s="8" t="s">
        <v>1920</v>
      </c>
      <c r="K4672" s="6" t="str">
        <f>"7.750,00"</f>
        <v>7.750,00</v>
      </c>
      <c r="L4672" s="6" t="str">
        <f>"1.937,50"</f>
        <v>1.937,50</v>
      </c>
      <c r="M4672" s="6" t="str">
        <f>"9.687,50"</f>
        <v>9.687,50</v>
      </c>
      <c r="N4672" s="8" t="s">
        <v>567</v>
      </c>
      <c r="O4672" s="7"/>
      <c r="P4672" s="2" t="s">
        <v>8237</v>
      </c>
      <c r="Q4672" s="7"/>
      <c r="R4672" s="1"/>
      <c r="S4672" s="1" t="str">
        <f>"J-UN-2022-1589"</f>
        <v>J-UN-2022-1589</v>
      </c>
      <c r="T4672" s="1" t="s">
        <v>32</v>
      </c>
    </row>
    <row r="4673" spans="1:20" ht="63.75" x14ac:dyDescent="0.25">
      <c r="A4673" s="6">
        <v>4665</v>
      </c>
      <c r="B4673" s="1" t="str">
        <f>"2022-478"</f>
        <v>2022-478</v>
      </c>
      <c r="C4673" s="1" t="s">
        <v>2600</v>
      </c>
      <c r="D4673" s="1" t="s">
        <v>2601</v>
      </c>
      <c r="E4673" s="1" t="str">
        <f>""</f>
        <v/>
      </c>
      <c r="F4673" s="1" t="s">
        <v>1860</v>
      </c>
      <c r="G4673" s="1" t="str">
        <f>CONCATENATE(" POLJOOPSKRBA-TEHNO D.D.,"," SAMOBORSKA 96,"," 10000 ZAGREB,"," OIB: 5372167324")</f>
        <v xml:space="preserve"> POLJOOPSKRBA-TEHNO D.D., SAMOBORSKA 96, 10000 ZAGREB, OIB: 5372167324</v>
      </c>
      <c r="H4673" s="7"/>
      <c r="I4673" s="8" t="s">
        <v>54</v>
      </c>
      <c r="J4673" s="8" t="s">
        <v>1869</v>
      </c>
      <c r="K4673" s="6" t="str">
        <f>"25.368,00"</f>
        <v>25.368,00</v>
      </c>
      <c r="L4673" s="6" t="str">
        <f>"6.342,00"</f>
        <v>6.342,00</v>
      </c>
      <c r="M4673" s="6" t="str">
        <f>"31.710,00"</f>
        <v>31.710,00</v>
      </c>
      <c r="N4673" s="8" t="s">
        <v>227</v>
      </c>
      <c r="O4673" s="7"/>
      <c r="P4673" s="2" t="s">
        <v>8341</v>
      </c>
      <c r="Q4673" s="7"/>
      <c r="R4673" s="1"/>
      <c r="S4673" s="1" t="str">
        <f>"J-UN-2022-1591"</f>
        <v>J-UN-2022-1591</v>
      </c>
      <c r="T4673" s="1" t="s">
        <v>32</v>
      </c>
    </row>
    <row r="4674" spans="1:20" ht="63.75" x14ac:dyDescent="0.25">
      <c r="A4674" s="6">
        <v>4666</v>
      </c>
      <c r="B4674" s="1" t="str">
        <f>"2022-782"</f>
        <v>2022-782</v>
      </c>
      <c r="C4674" s="1" t="s">
        <v>3097</v>
      </c>
      <c r="D4674" s="1" t="s">
        <v>3098</v>
      </c>
      <c r="E4674" s="1" t="str">
        <f>""</f>
        <v/>
      </c>
      <c r="F4674" s="1" t="s">
        <v>1860</v>
      </c>
      <c r="G4674" s="1" t="str">
        <f>CONCATENATE(" ELICOM D.O.O.,"," ŠTEFANOVEC 138,"," 10000 ZAGREB,"," OIB: 76370234816")</f>
        <v xml:space="preserve"> ELICOM D.O.O., ŠTEFANOVEC 138, 10000 ZAGREB, OIB: 76370234816</v>
      </c>
      <c r="H4674" s="7"/>
      <c r="I4674" s="8" t="s">
        <v>567</v>
      </c>
      <c r="J4674" s="8" t="s">
        <v>2432</v>
      </c>
      <c r="K4674" s="6" t="str">
        <f>"75.761,45"</f>
        <v>75.761,45</v>
      </c>
      <c r="L4674" s="6" t="str">
        <f>"18.940,36"</f>
        <v>18.940,36</v>
      </c>
      <c r="M4674" s="6" t="str">
        <f>"94.701,81"</f>
        <v>94.701,81</v>
      </c>
      <c r="N4674" s="8" t="s">
        <v>124</v>
      </c>
      <c r="O4674" s="7"/>
      <c r="P4674" s="2" t="s">
        <v>5614</v>
      </c>
      <c r="Q4674" s="7"/>
      <c r="R4674" s="1"/>
      <c r="S4674" s="1" t="str">
        <f>"J-UN-2022-1592"</f>
        <v>J-UN-2022-1592</v>
      </c>
      <c r="T4674" s="1" t="s">
        <v>32</v>
      </c>
    </row>
    <row r="4675" spans="1:20" ht="51" x14ac:dyDescent="0.25">
      <c r="A4675" s="6">
        <v>4667</v>
      </c>
      <c r="B4675" s="1" t="str">
        <f>"2022-950"</f>
        <v>2022-950</v>
      </c>
      <c r="C4675" s="1" t="s">
        <v>2854</v>
      </c>
      <c r="D4675" s="1" t="s">
        <v>2855</v>
      </c>
      <c r="E4675" s="1" t="str">
        <f>""</f>
        <v/>
      </c>
      <c r="F4675" s="1" t="s">
        <v>1860</v>
      </c>
      <c r="G4675" s="1" t="str">
        <f>CONCATENATE(" TEHNO-HIDRAULIK D.O.O.,"," SAVIŠĆE 2,"," 10000 ZAGREB,"," OIB: 09925328419")</f>
        <v xml:space="preserve"> TEHNO-HIDRAULIK D.O.O., SAVIŠĆE 2, 10000 ZAGREB, OIB: 09925328419</v>
      </c>
      <c r="H4675" s="7"/>
      <c r="I4675" s="8" t="s">
        <v>374</v>
      </c>
      <c r="J4675" s="8" t="s">
        <v>1920</v>
      </c>
      <c r="K4675" s="6" t="str">
        <f>"3.549,18"</f>
        <v>3.549,18</v>
      </c>
      <c r="L4675" s="6" t="str">
        <f>"887,30"</f>
        <v>887,30</v>
      </c>
      <c r="M4675" s="6" t="str">
        <f>"4.436,48"</f>
        <v>4.436,48</v>
      </c>
      <c r="N4675" s="8" t="s">
        <v>102</v>
      </c>
      <c r="O4675" s="7"/>
      <c r="P4675" s="2" t="s">
        <v>8342</v>
      </c>
      <c r="Q4675" s="7"/>
      <c r="R4675" s="1"/>
      <c r="S4675" s="1" t="str">
        <f>"J-UN-2022-1593"</f>
        <v>J-UN-2022-1593</v>
      </c>
      <c r="T4675" s="1" t="s">
        <v>32</v>
      </c>
    </row>
    <row r="4676" spans="1:20" ht="76.5" x14ac:dyDescent="0.25">
      <c r="A4676" s="6">
        <v>4668</v>
      </c>
      <c r="B4676" s="1" t="str">
        <f>"2022-376"</f>
        <v>2022-376</v>
      </c>
      <c r="C4676" s="1" t="s">
        <v>2730</v>
      </c>
      <c r="D4676" s="1" t="s">
        <v>1203</v>
      </c>
      <c r="E4676" s="1" t="str">
        <f>""</f>
        <v/>
      </c>
      <c r="F4676" s="1" t="s">
        <v>1860</v>
      </c>
      <c r="G4676" s="1" t="str">
        <f>CONCATENATE(" SMIT-COMMERCE D.O.O.,"," GORNJOSTUPNIČKA 9B,"," 10255 GORNJI STUPNIK,"," OIB: 9524348214")</f>
        <v xml:space="preserve"> SMIT-COMMERCE D.O.O., GORNJOSTUPNIČKA 9B, 10255 GORNJI STUPNIK, OIB: 9524348214</v>
      </c>
      <c r="H4676" s="7"/>
      <c r="I4676" s="8" t="s">
        <v>567</v>
      </c>
      <c r="J4676" s="8" t="s">
        <v>2432</v>
      </c>
      <c r="K4676" s="6" t="str">
        <f>"7.809,95"</f>
        <v>7.809,95</v>
      </c>
      <c r="L4676" s="6" t="str">
        <f>"1.952,49"</f>
        <v>1.952,49</v>
      </c>
      <c r="M4676" s="6" t="str">
        <f>"9.762,44"</f>
        <v>9.762,44</v>
      </c>
      <c r="N4676" s="8" t="s">
        <v>227</v>
      </c>
      <c r="O4676" s="7"/>
      <c r="P4676" s="2" t="s">
        <v>8343</v>
      </c>
      <c r="Q4676" s="7"/>
      <c r="R4676" s="1"/>
      <c r="S4676" s="1" t="str">
        <f>"J-UN-2022-1594"</f>
        <v>J-UN-2022-1594</v>
      </c>
      <c r="T4676" s="1" t="s">
        <v>32</v>
      </c>
    </row>
    <row r="4677" spans="1:20" ht="76.5" x14ac:dyDescent="0.25">
      <c r="A4677" s="6">
        <v>4669</v>
      </c>
      <c r="B4677" s="1" t="str">
        <f>"2022-700"</f>
        <v>2022-700</v>
      </c>
      <c r="C4677" s="1" t="s">
        <v>2778</v>
      </c>
      <c r="D4677" s="1" t="s">
        <v>1833</v>
      </c>
      <c r="E4677" s="1" t="str">
        <f>""</f>
        <v/>
      </c>
      <c r="F4677" s="1" t="s">
        <v>1860</v>
      </c>
      <c r="G4677" s="1" t="str">
        <f>CONCATENATE(" WAWA D.O.O.,"," ODVOJAK INDUSTRIJSKE ULICE,"," NOVAKI 3,"," 10431 SVETA NEDJELJA,"," OIB: 59785180614")</f>
        <v xml:space="preserve"> WAWA D.O.O., ODVOJAK INDUSTRIJSKE ULICE, NOVAKI 3, 10431 SVETA NEDJELJA, OIB: 59785180614</v>
      </c>
      <c r="H4677" s="7"/>
      <c r="I4677" s="8" t="s">
        <v>374</v>
      </c>
      <c r="J4677" s="8" t="s">
        <v>1920</v>
      </c>
      <c r="K4677" s="6" t="str">
        <f>"10.258,02"</f>
        <v>10.258,02</v>
      </c>
      <c r="L4677" s="6" t="str">
        <f>"2.564,51"</f>
        <v>2.564,51</v>
      </c>
      <c r="M4677" s="6" t="str">
        <f>"12.822,53"</f>
        <v>12.822,53</v>
      </c>
      <c r="N4677" s="8" t="s">
        <v>124</v>
      </c>
      <c r="O4677" s="7"/>
      <c r="P4677" s="2" t="s">
        <v>5614</v>
      </c>
      <c r="Q4677" s="7"/>
      <c r="R4677" s="1"/>
      <c r="S4677" s="1" t="str">
        <f>"J-UN-2022-1595"</f>
        <v>J-UN-2022-1595</v>
      </c>
      <c r="T4677" s="1" t="s">
        <v>32</v>
      </c>
    </row>
    <row r="4678" spans="1:20" ht="51" x14ac:dyDescent="0.25">
      <c r="A4678" s="6">
        <v>4670</v>
      </c>
      <c r="B4678" s="1" t="str">
        <f>"2022-485"</f>
        <v>2022-485</v>
      </c>
      <c r="C4678" s="1" t="s">
        <v>2614</v>
      </c>
      <c r="D4678" s="1" t="s">
        <v>619</v>
      </c>
      <c r="E4678" s="1" t="str">
        <f>""</f>
        <v/>
      </c>
      <c r="F4678" s="1" t="s">
        <v>1860</v>
      </c>
      <c r="G4678" s="1" t="str">
        <f>CONCATENATE(" INKOLAB D.O.O.,"," VRAPČANSKA 255,"," 10090 ZAGREB,"," OIB: 84376083409")</f>
        <v xml:space="preserve"> INKOLAB D.O.O., VRAPČANSKA 255, 10090 ZAGREB, OIB: 84376083409</v>
      </c>
      <c r="H4678" s="7"/>
      <c r="I4678" s="8" t="s">
        <v>374</v>
      </c>
      <c r="J4678" s="8" t="s">
        <v>1920</v>
      </c>
      <c r="K4678" s="6" t="str">
        <f>"7.742,00"</f>
        <v>7.742,00</v>
      </c>
      <c r="L4678" s="6" t="str">
        <f>"1.935,50"</f>
        <v>1.935,50</v>
      </c>
      <c r="M4678" s="6" t="str">
        <f>"9.677,50"</f>
        <v>9.677,50</v>
      </c>
      <c r="N4678" s="8" t="s">
        <v>102</v>
      </c>
      <c r="O4678" s="7"/>
      <c r="P4678" s="2" t="s">
        <v>8344</v>
      </c>
      <c r="Q4678" s="7"/>
      <c r="R4678" s="1"/>
      <c r="S4678" s="1" t="str">
        <f>"J-UN-2022-1596"</f>
        <v>J-UN-2022-1596</v>
      </c>
      <c r="T4678" s="1" t="s">
        <v>32</v>
      </c>
    </row>
    <row r="4679" spans="1:20" ht="51" x14ac:dyDescent="0.25">
      <c r="A4679" s="6">
        <v>4671</v>
      </c>
      <c r="B4679" s="1" t="str">
        <f>"2022-486"</f>
        <v>2022-486</v>
      </c>
      <c r="C4679" s="1" t="s">
        <v>3193</v>
      </c>
      <c r="D4679" s="1" t="s">
        <v>619</v>
      </c>
      <c r="E4679" s="1" t="str">
        <f>""</f>
        <v/>
      </c>
      <c r="F4679" s="1" t="s">
        <v>1860</v>
      </c>
      <c r="G4679" s="1" t="str">
        <f>CONCATENATE(" R-PIM D.O.O.,"," ZAGREBAČKA 12,"," 10437 BESTOVJE,"," OIB: 38514700472")</f>
        <v xml:space="preserve"> R-PIM D.O.O., ZAGREBAČKA 12, 10437 BESTOVJE, OIB: 38514700472</v>
      </c>
      <c r="H4679" s="7"/>
      <c r="I4679" s="8" t="s">
        <v>374</v>
      </c>
      <c r="J4679" s="8" t="s">
        <v>1920</v>
      </c>
      <c r="K4679" s="6" t="str">
        <f>"862,00"</f>
        <v>862,00</v>
      </c>
      <c r="L4679" s="6" t="str">
        <f>"215,50"</f>
        <v>215,50</v>
      </c>
      <c r="M4679" s="6" t="str">
        <f>"1.077,50"</f>
        <v>1.077,50</v>
      </c>
      <c r="N4679" s="8" t="s">
        <v>317</v>
      </c>
      <c r="O4679" s="7"/>
      <c r="P4679" s="2" t="s">
        <v>8345</v>
      </c>
      <c r="Q4679" s="7"/>
      <c r="R4679" s="1"/>
      <c r="S4679" s="1" t="str">
        <f>"J-UN-2022-1597"</f>
        <v>J-UN-2022-1597</v>
      </c>
      <c r="T4679" s="1" t="s">
        <v>32</v>
      </c>
    </row>
    <row r="4680" spans="1:20" ht="63.75" x14ac:dyDescent="0.25">
      <c r="A4680" s="6">
        <v>4672</v>
      </c>
      <c r="B4680" s="1" t="str">
        <f>"2022-190"</f>
        <v>2022-190</v>
      </c>
      <c r="C4680" s="1" t="s">
        <v>2907</v>
      </c>
      <c r="D4680" s="1" t="s">
        <v>143</v>
      </c>
      <c r="E4680" s="1" t="str">
        <f>""</f>
        <v/>
      </c>
      <c r="F4680" s="1" t="s">
        <v>1860</v>
      </c>
      <c r="G4680" s="1" t="str">
        <f>CONCATENATE(" URIHO - ZAGREB,"," AVENIJA MARINA DRŽIĆA 1,"," 10000 ZAGREB,"," OIB: 77931216562")</f>
        <v xml:space="preserve"> URIHO - ZAGREB, AVENIJA MARINA DRŽIĆA 1, 10000 ZAGREB, OIB: 77931216562</v>
      </c>
      <c r="H4680" s="7"/>
      <c r="I4680" s="8" t="s">
        <v>567</v>
      </c>
      <c r="J4680" s="8" t="s">
        <v>2432</v>
      </c>
      <c r="K4680" s="6" t="str">
        <f>"23.457,00"</f>
        <v>23.457,00</v>
      </c>
      <c r="L4680" s="6" t="str">
        <f>"5.864,25"</f>
        <v>5.864,25</v>
      </c>
      <c r="M4680" s="6" t="str">
        <f>"29.321,25"</f>
        <v>29.321,25</v>
      </c>
      <c r="N4680" s="8" t="s">
        <v>227</v>
      </c>
      <c r="O4680" s="7"/>
      <c r="P4680" s="2" t="s">
        <v>8346</v>
      </c>
      <c r="Q4680" s="7"/>
      <c r="R4680" s="1"/>
      <c r="S4680" s="1" t="str">
        <f>"J-UN-2022-1598"</f>
        <v>J-UN-2022-1598</v>
      </c>
      <c r="T4680" s="1" t="s">
        <v>32</v>
      </c>
    </row>
    <row r="4681" spans="1:20" ht="63.75" x14ac:dyDescent="0.25">
      <c r="A4681" s="6">
        <v>4673</v>
      </c>
      <c r="B4681" s="1" t="str">
        <f>"2022-1222"</f>
        <v>2022-1222</v>
      </c>
      <c r="C4681" s="1" t="s">
        <v>3226</v>
      </c>
      <c r="D4681" s="1" t="s">
        <v>3227</v>
      </c>
      <c r="E4681" s="1" t="str">
        <f>""</f>
        <v/>
      </c>
      <c r="F4681" s="1" t="s">
        <v>1860</v>
      </c>
      <c r="G4681" s="1" t="str">
        <f>CONCATENATE(" CENTAR ZA ISPITIVANJE I UMJERAVANJA D.O.O.,"," SAVICA I. 141,"," 10000 ZAGREB,"," OIB: 98551756049")</f>
        <v xml:space="preserve"> CENTAR ZA ISPITIVANJE I UMJERAVANJA D.O.O., SAVICA I. 141, 10000 ZAGREB, OIB: 98551756049</v>
      </c>
      <c r="H4681" s="7"/>
      <c r="I4681" s="8" t="s">
        <v>408</v>
      </c>
      <c r="J4681" s="8" t="s">
        <v>3220</v>
      </c>
      <c r="K4681" s="6" t="str">
        <f>"3.270,00"</f>
        <v>3.270,00</v>
      </c>
      <c r="L4681" s="6" t="str">
        <f>"817,50"</f>
        <v>817,50</v>
      </c>
      <c r="M4681" s="6" t="str">
        <f>"4.087,50"</f>
        <v>4.087,50</v>
      </c>
      <c r="N4681" s="8" t="s">
        <v>124</v>
      </c>
      <c r="O4681" s="7"/>
      <c r="P4681" s="2" t="s">
        <v>5614</v>
      </c>
      <c r="Q4681" s="7"/>
      <c r="R4681" s="1"/>
      <c r="S4681" s="1" t="str">
        <f>"J-UN-2022-1599"</f>
        <v>J-UN-2022-1599</v>
      </c>
      <c r="T4681" s="1" t="s">
        <v>32</v>
      </c>
    </row>
    <row r="4682" spans="1:20" ht="51" x14ac:dyDescent="0.25">
      <c r="A4682" s="6">
        <v>4674</v>
      </c>
      <c r="B4682" s="1" t="str">
        <f>"2022-716"</f>
        <v>2022-716</v>
      </c>
      <c r="C4682" s="1" t="s">
        <v>2563</v>
      </c>
      <c r="D4682" s="1" t="s">
        <v>914</v>
      </c>
      <c r="E4682" s="1" t="str">
        <f>""</f>
        <v/>
      </c>
      <c r="F4682" s="1" t="s">
        <v>1860</v>
      </c>
      <c r="G4682" s="1" t="str">
        <f>CONCATENATE(" D.R. AUTO D.O.O.,"," SELSKA CESTA 34,"," 10000 ZAGREB,"," OIB: 07523847158")</f>
        <v xml:space="preserve"> D.R. AUTO D.O.O., SELSKA CESTA 34, 10000 ZAGREB, OIB: 07523847158</v>
      </c>
      <c r="H4682" s="7"/>
      <c r="I4682" s="8" t="s">
        <v>1122</v>
      </c>
      <c r="J4682" s="8" t="s">
        <v>1834</v>
      </c>
      <c r="K4682" s="6" t="str">
        <f>"1.921,32"</f>
        <v>1.921,32</v>
      </c>
      <c r="L4682" s="6" t="str">
        <f>"480,33"</f>
        <v>480,33</v>
      </c>
      <c r="M4682" s="6" t="str">
        <f>"2.401,65"</f>
        <v>2.401,65</v>
      </c>
      <c r="N4682" s="8" t="s">
        <v>124</v>
      </c>
      <c r="O4682" s="7"/>
      <c r="P4682" s="2" t="s">
        <v>5614</v>
      </c>
      <c r="Q4682" s="7"/>
      <c r="R4682" s="1"/>
      <c r="S4682" s="1" t="str">
        <f>"J-UN-2022-1600"</f>
        <v>J-UN-2022-1600</v>
      </c>
      <c r="T4682" s="1" t="s">
        <v>32</v>
      </c>
    </row>
    <row r="4683" spans="1:20" ht="63.75" x14ac:dyDescent="0.25">
      <c r="A4683" s="6">
        <v>4675</v>
      </c>
      <c r="B4683" s="1" t="str">
        <f>"2022-1416"</f>
        <v>2022-1416</v>
      </c>
      <c r="C4683" s="1" t="s">
        <v>2991</v>
      </c>
      <c r="D4683" s="1" t="s">
        <v>2992</v>
      </c>
      <c r="E4683" s="1" t="str">
        <f>""</f>
        <v/>
      </c>
      <c r="F4683" s="1" t="s">
        <v>1860</v>
      </c>
      <c r="G4683" s="1" t="str">
        <f t="shared" ref="G4683:G4688" si="232">CONCATENATE(" LANIŠTE D.O.O.,"," ALEXANDERA VON HUMBOLDTA 4B,"," 10000 ZAGREB,"," OIB: 3755384865")</f>
        <v xml:space="preserve"> LANIŠTE D.O.O., ALEXANDERA VON HUMBOLDTA 4B, 10000 ZAGREB, OIB: 3755384865</v>
      </c>
      <c r="H4683" s="7"/>
      <c r="I4683" s="8" t="s">
        <v>1122</v>
      </c>
      <c r="J4683" s="8" t="s">
        <v>1834</v>
      </c>
      <c r="K4683" s="6" t="str">
        <f>"3.636,00"</f>
        <v>3.636,00</v>
      </c>
      <c r="L4683" s="6" t="str">
        <f>"909,00"</f>
        <v>909,00</v>
      </c>
      <c r="M4683" s="6" t="str">
        <f>"4.545,00"</f>
        <v>4.545,00</v>
      </c>
      <c r="N4683" s="8" t="s">
        <v>124</v>
      </c>
      <c r="O4683" s="7"/>
      <c r="P4683" s="2" t="s">
        <v>5614</v>
      </c>
      <c r="Q4683" s="7"/>
      <c r="R4683" s="1"/>
      <c r="S4683" s="1" t="str">
        <f>"J-UN-2022-1601"</f>
        <v>J-UN-2022-1601</v>
      </c>
      <c r="T4683" s="1" t="s">
        <v>32</v>
      </c>
    </row>
    <row r="4684" spans="1:20" ht="63.75" x14ac:dyDescent="0.25">
      <c r="A4684" s="6">
        <v>4676</v>
      </c>
      <c r="B4684" s="1" t="str">
        <f>"2022-1429"</f>
        <v>2022-1429</v>
      </c>
      <c r="C4684" s="1" t="s">
        <v>2984</v>
      </c>
      <c r="D4684" s="1" t="s">
        <v>2985</v>
      </c>
      <c r="E4684" s="1" t="str">
        <f>""</f>
        <v/>
      </c>
      <c r="F4684" s="1" t="s">
        <v>1860</v>
      </c>
      <c r="G4684" s="1" t="str">
        <f t="shared" si="232"/>
        <v xml:space="preserve"> LANIŠTE D.O.O., ALEXANDERA VON HUMBOLDTA 4B, 10000 ZAGREB, OIB: 3755384865</v>
      </c>
      <c r="H4684" s="7"/>
      <c r="I4684" s="8" t="s">
        <v>1122</v>
      </c>
      <c r="J4684" s="8" t="s">
        <v>1834</v>
      </c>
      <c r="K4684" s="6" t="str">
        <f>"4.032,00"</f>
        <v>4.032,00</v>
      </c>
      <c r="L4684" s="6" t="str">
        <f>"1.008,00"</f>
        <v>1.008,00</v>
      </c>
      <c r="M4684" s="6" t="str">
        <f>"5.040,00"</f>
        <v>5.040,00</v>
      </c>
      <c r="N4684" s="8" t="s">
        <v>124</v>
      </c>
      <c r="O4684" s="7"/>
      <c r="P4684" s="2" t="s">
        <v>5614</v>
      </c>
      <c r="Q4684" s="7"/>
      <c r="R4684" s="1"/>
      <c r="S4684" s="1" t="str">
        <f>"J-UN-2022-1602"</f>
        <v>J-UN-2022-1602</v>
      </c>
      <c r="T4684" s="1" t="s">
        <v>32</v>
      </c>
    </row>
    <row r="4685" spans="1:20" ht="63.75" x14ac:dyDescent="0.25">
      <c r="A4685" s="6">
        <v>4677</v>
      </c>
      <c r="B4685" s="1" t="str">
        <f>"2022-1430"</f>
        <v>2022-1430</v>
      </c>
      <c r="C4685" s="1" t="s">
        <v>2986</v>
      </c>
      <c r="D4685" s="1" t="s">
        <v>2985</v>
      </c>
      <c r="E4685" s="1" t="str">
        <f>""</f>
        <v/>
      </c>
      <c r="F4685" s="1" t="s">
        <v>1860</v>
      </c>
      <c r="G4685" s="1" t="str">
        <f t="shared" si="232"/>
        <v xml:space="preserve"> LANIŠTE D.O.O., ALEXANDERA VON HUMBOLDTA 4B, 10000 ZAGREB, OIB: 3755384865</v>
      </c>
      <c r="H4685" s="7"/>
      <c r="I4685" s="8" t="s">
        <v>1122</v>
      </c>
      <c r="J4685" s="8" t="s">
        <v>1834</v>
      </c>
      <c r="K4685" s="6" t="str">
        <f>"4.032,00"</f>
        <v>4.032,00</v>
      </c>
      <c r="L4685" s="6" t="str">
        <f>"1.008,00"</f>
        <v>1.008,00</v>
      </c>
      <c r="M4685" s="6" t="str">
        <f>"5.040,00"</f>
        <v>5.040,00</v>
      </c>
      <c r="N4685" s="8" t="s">
        <v>124</v>
      </c>
      <c r="O4685" s="7"/>
      <c r="P4685" s="2" t="s">
        <v>5614</v>
      </c>
      <c r="Q4685" s="7"/>
      <c r="R4685" s="1"/>
      <c r="S4685" s="1" t="str">
        <f>"J-UN-2022-1603"</f>
        <v>J-UN-2022-1603</v>
      </c>
      <c r="T4685" s="1" t="s">
        <v>32</v>
      </c>
    </row>
    <row r="4686" spans="1:20" ht="63.75" x14ac:dyDescent="0.25">
      <c r="A4686" s="6">
        <v>4678</v>
      </c>
      <c r="B4686" s="1" t="str">
        <f>"2022-1321"</f>
        <v>2022-1321</v>
      </c>
      <c r="C4686" s="1" t="s">
        <v>2987</v>
      </c>
      <c r="D4686" s="1" t="s">
        <v>2988</v>
      </c>
      <c r="E4686" s="1" t="str">
        <f>""</f>
        <v/>
      </c>
      <c r="F4686" s="1" t="s">
        <v>1860</v>
      </c>
      <c r="G4686" s="1" t="str">
        <f t="shared" si="232"/>
        <v xml:space="preserve"> LANIŠTE D.O.O., ALEXANDERA VON HUMBOLDTA 4B, 10000 ZAGREB, OIB: 3755384865</v>
      </c>
      <c r="H4686" s="7"/>
      <c r="I4686" s="8" t="s">
        <v>408</v>
      </c>
      <c r="J4686" s="8" t="s">
        <v>3220</v>
      </c>
      <c r="K4686" s="6" t="str">
        <f>"4.032,00"</f>
        <v>4.032,00</v>
      </c>
      <c r="L4686" s="6" t="str">
        <f>"1.008,00"</f>
        <v>1.008,00</v>
      </c>
      <c r="M4686" s="6" t="str">
        <f>"5.040,00"</f>
        <v>5.040,00</v>
      </c>
      <c r="N4686" s="8" t="s">
        <v>124</v>
      </c>
      <c r="O4686" s="7"/>
      <c r="P4686" s="2" t="s">
        <v>5614</v>
      </c>
      <c r="Q4686" s="7"/>
      <c r="R4686" s="1"/>
      <c r="S4686" s="1" t="str">
        <f>"J-UN-2022-1604"</f>
        <v>J-UN-2022-1604</v>
      </c>
      <c r="T4686" s="1" t="s">
        <v>32</v>
      </c>
    </row>
    <row r="4687" spans="1:20" ht="63.75" x14ac:dyDescent="0.25">
      <c r="A4687" s="6">
        <v>4679</v>
      </c>
      <c r="B4687" s="1" t="str">
        <f>"2022-1289"</f>
        <v>2022-1289</v>
      </c>
      <c r="C4687" s="1" t="s">
        <v>2993</v>
      </c>
      <c r="D4687" s="1" t="s">
        <v>2994</v>
      </c>
      <c r="E4687" s="1" t="str">
        <f>""</f>
        <v/>
      </c>
      <c r="F4687" s="1" t="s">
        <v>1860</v>
      </c>
      <c r="G4687" s="1" t="str">
        <f t="shared" si="232"/>
        <v xml:space="preserve"> LANIŠTE D.O.O., ALEXANDERA VON HUMBOLDTA 4B, 10000 ZAGREB, OIB: 3755384865</v>
      </c>
      <c r="H4687" s="7"/>
      <c r="I4687" s="8" t="s">
        <v>408</v>
      </c>
      <c r="J4687" s="8" t="s">
        <v>3220</v>
      </c>
      <c r="K4687" s="6" t="str">
        <f>"3.632,00"</f>
        <v>3.632,00</v>
      </c>
      <c r="L4687" s="6" t="str">
        <f>"908,00"</f>
        <v>908,00</v>
      </c>
      <c r="M4687" s="6" t="str">
        <f>"4.540,00"</f>
        <v>4.540,00</v>
      </c>
      <c r="N4687" s="8" t="s">
        <v>124</v>
      </c>
      <c r="O4687" s="7"/>
      <c r="P4687" s="2" t="s">
        <v>5614</v>
      </c>
      <c r="Q4687" s="7"/>
      <c r="R4687" s="1"/>
      <c r="S4687" s="1" t="str">
        <f>"J-UN-2022-1605"</f>
        <v>J-UN-2022-1605</v>
      </c>
      <c r="T4687" s="1" t="s">
        <v>32</v>
      </c>
    </row>
    <row r="4688" spans="1:20" ht="63.75" x14ac:dyDescent="0.25">
      <c r="A4688" s="6">
        <v>4680</v>
      </c>
      <c r="B4688" s="1" t="str">
        <f>"2022-1291"</f>
        <v>2022-1291</v>
      </c>
      <c r="C4688" s="1" t="s">
        <v>2989</v>
      </c>
      <c r="D4688" s="1" t="s">
        <v>2990</v>
      </c>
      <c r="E4688" s="1" t="str">
        <f>""</f>
        <v/>
      </c>
      <c r="F4688" s="1" t="s">
        <v>1860</v>
      </c>
      <c r="G4688" s="1" t="str">
        <f t="shared" si="232"/>
        <v xml:space="preserve"> LANIŠTE D.O.O., ALEXANDERA VON HUMBOLDTA 4B, 10000 ZAGREB, OIB: 3755384865</v>
      </c>
      <c r="H4688" s="7"/>
      <c r="I4688" s="8" t="s">
        <v>408</v>
      </c>
      <c r="J4688" s="8" t="s">
        <v>3220</v>
      </c>
      <c r="K4688" s="6" t="str">
        <f>"3.636,00"</f>
        <v>3.636,00</v>
      </c>
      <c r="L4688" s="6" t="str">
        <f>"909,00"</f>
        <v>909,00</v>
      </c>
      <c r="M4688" s="6" t="str">
        <f>"4.545,00"</f>
        <v>4.545,00</v>
      </c>
      <c r="N4688" s="8" t="s">
        <v>124</v>
      </c>
      <c r="O4688" s="7"/>
      <c r="P4688" s="2" t="s">
        <v>5614</v>
      </c>
      <c r="Q4688" s="7"/>
      <c r="R4688" s="1"/>
      <c r="S4688" s="1" t="str">
        <f>"J-UN-2022-1606"</f>
        <v>J-UN-2022-1606</v>
      </c>
      <c r="T4688" s="1" t="s">
        <v>32</v>
      </c>
    </row>
    <row r="4689" spans="1:20" ht="63.75" x14ac:dyDescent="0.25">
      <c r="A4689" s="6">
        <v>4681</v>
      </c>
      <c r="B4689" s="1" t="str">
        <f>"2022-284"</f>
        <v>2022-284</v>
      </c>
      <c r="C4689" s="1" t="s">
        <v>2862</v>
      </c>
      <c r="D4689" s="1" t="s">
        <v>689</v>
      </c>
      <c r="E4689" s="1" t="str">
        <f>""</f>
        <v/>
      </c>
      <c r="F4689" s="1" t="s">
        <v>1860</v>
      </c>
      <c r="G4689" s="1" t="str">
        <f>CONCATENATE(" POLJOOPSKRBA-TEHNO D.D.,"," SAMOBORSKA 96,"," 10000 ZAGREB,"," OIB: 5372167324")</f>
        <v xml:space="preserve"> POLJOOPSKRBA-TEHNO D.D., SAMOBORSKA 96, 10000 ZAGREB, OIB: 5372167324</v>
      </c>
      <c r="H4689" s="7"/>
      <c r="I4689" s="8" t="s">
        <v>54</v>
      </c>
      <c r="J4689" s="8" t="s">
        <v>1869</v>
      </c>
      <c r="K4689" s="6" t="str">
        <f>"5.730,00"</f>
        <v>5.730,00</v>
      </c>
      <c r="L4689" s="6" t="str">
        <f>"1.432,50"</f>
        <v>1.432,50</v>
      </c>
      <c r="M4689" s="6" t="str">
        <f>"7.162,50"</f>
        <v>7.162,50</v>
      </c>
      <c r="N4689" s="8" t="s">
        <v>508</v>
      </c>
      <c r="O4689" s="7"/>
      <c r="P4689" s="2" t="s">
        <v>8347</v>
      </c>
      <c r="Q4689" s="7"/>
      <c r="R4689" s="1"/>
      <c r="S4689" s="1" t="str">
        <f>"J-UN-2022-1607"</f>
        <v>J-UN-2022-1607</v>
      </c>
      <c r="T4689" s="1" t="s">
        <v>32</v>
      </c>
    </row>
    <row r="4690" spans="1:20" ht="51" x14ac:dyDescent="0.25">
      <c r="A4690" s="6">
        <v>4682</v>
      </c>
      <c r="B4690" s="1" t="str">
        <f>"2022-1378"</f>
        <v>2022-1378</v>
      </c>
      <c r="C4690" s="1" t="s">
        <v>3228</v>
      </c>
      <c r="D4690" s="1" t="s">
        <v>3229</v>
      </c>
      <c r="E4690" s="1" t="str">
        <f>""</f>
        <v/>
      </c>
      <c r="F4690" s="1" t="s">
        <v>1860</v>
      </c>
      <c r="G4690" s="1" t="str">
        <f>CONCATENATE(" ABECEDA ZAŠTITE D.O.O.,"," KORZO 30A,"," 51000 RIJEKA,"," OIB: 49308237286")</f>
        <v xml:space="preserve"> ABECEDA ZAŠTITE D.O.O., KORZO 30A, 51000 RIJEKA, OIB: 49308237286</v>
      </c>
      <c r="H4690" s="7"/>
      <c r="I4690" s="8" t="s">
        <v>54</v>
      </c>
      <c r="J4690" s="8" t="s">
        <v>1869</v>
      </c>
      <c r="K4690" s="6" t="str">
        <f>"18.150,00"</f>
        <v>18.150,00</v>
      </c>
      <c r="L4690" s="6" t="str">
        <f>"4.537,50"</f>
        <v>4.537,50</v>
      </c>
      <c r="M4690" s="6" t="str">
        <f>"22.687,50"</f>
        <v>22.687,50</v>
      </c>
      <c r="N4690" s="8" t="s">
        <v>124</v>
      </c>
      <c r="O4690" s="7"/>
      <c r="P4690" s="2" t="s">
        <v>5614</v>
      </c>
      <c r="Q4690" s="7"/>
      <c r="R4690" s="1"/>
      <c r="S4690" s="1" t="str">
        <f>"J-UN-2022-1608"</f>
        <v>J-UN-2022-1608</v>
      </c>
      <c r="T4690" s="1" t="s">
        <v>32</v>
      </c>
    </row>
    <row r="4691" spans="1:20" ht="76.5" x14ac:dyDescent="0.25">
      <c r="A4691" s="6">
        <v>4683</v>
      </c>
      <c r="B4691" s="1" t="str">
        <f>"2022-374"</f>
        <v>2022-374</v>
      </c>
      <c r="C4691" s="1" t="s">
        <v>2706</v>
      </c>
      <c r="D4691" s="1" t="s">
        <v>1334</v>
      </c>
      <c r="E4691" s="1" t="str">
        <f>""</f>
        <v/>
      </c>
      <c r="F4691" s="1" t="s">
        <v>1860</v>
      </c>
      <c r="G4691" s="1" t="str">
        <f>CONCATENATE(" SMIT-COMMERCE D.O.O.,"," GORNJOSTUPNIČKA 9B,"," 10255 GORNJI STUPNIK,"," OIB: 9524348214")</f>
        <v xml:space="preserve"> SMIT-COMMERCE D.O.O., GORNJOSTUPNIČKA 9B, 10255 GORNJI STUPNIK, OIB: 9524348214</v>
      </c>
      <c r="H4691" s="7"/>
      <c r="I4691" s="8" t="s">
        <v>54</v>
      </c>
      <c r="J4691" s="8" t="s">
        <v>1869</v>
      </c>
      <c r="K4691" s="6" t="str">
        <f>"733,00"</f>
        <v>733,00</v>
      </c>
      <c r="L4691" s="6" t="str">
        <f>"183,25"</f>
        <v>183,25</v>
      </c>
      <c r="M4691" s="6" t="str">
        <f>"916,25"</f>
        <v>916,25</v>
      </c>
      <c r="N4691" s="8" t="s">
        <v>124</v>
      </c>
      <c r="O4691" s="7"/>
      <c r="P4691" s="2" t="s">
        <v>5614</v>
      </c>
      <c r="Q4691" s="7"/>
      <c r="R4691" s="1"/>
      <c r="S4691" s="1" t="str">
        <f>"J-UN-2022-1609"</f>
        <v>J-UN-2022-1609</v>
      </c>
      <c r="T4691" s="1" t="s">
        <v>32</v>
      </c>
    </row>
    <row r="4692" spans="1:20" ht="51" x14ac:dyDescent="0.25">
      <c r="A4692" s="6">
        <v>4684</v>
      </c>
      <c r="B4692" s="1" t="str">
        <f>"2022-452"</f>
        <v>2022-452</v>
      </c>
      <c r="C4692" s="1" t="s">
        <v>2881</v>
      </c>
      <c r="D4692" s="1" t="s">
        <v>2882</v>
      </c>
      <c r="E4692" s="1" t="str">
        <f>""</f>
        <v/>
      </c>
      <c r="F4692" s="1" t="s">
        <v>1860</v>
      </c>
      <c r="G4692" s="1" t="str">
        <f>CONCATENATE(" BRIŠAR SERVIS D.O.O.,"," PRELČEVA 21D,"," 10360 SESVETE,"," OIB: 58933898865")</f>
        <v xml:space="preserve"> BRIŠAR SERVIS D.O.O., PRELČEVA 21D, 10360 SESVETE, OIB: 58933898865</v>
      </c>
      <c r="H4692" s="7"/>
      <c r="I4692" s="8" t="s">
        <v>1122</v>
      </c>
      <c r="J4692" s="8" t="s">
        <v>1834</v>
      </c>
      <c r="K4692" s="6" t="str">
        <f>"5.585,35"</f>
        <v>5.585,35</v>
      </c>
      <c r="L4692" s="6" t="str">
        <f>"1.396,34"</f>
        <v>1.396,34</v>
      </c>
      <c r="M4692" s="6" t="str">
        <f>"6.981,69"</f>
        <v>6.981,69</v>
      </c>
      <c r="N4692" s="8" t="s">
        <v>1099</v>
      </c>
      <c r="O4692" s="7"/>
      <c r="P4692" s="2" t="s">
        <v>8348</v>
      </c>
      <c r="Q4692" s="7"/>
      <c r="R4692" s="1"/>
      <c r="S4692" s="1" t="str">
        <f>"J-UN-2022-1611"</f>
        <v>J-UN-2022-1611</v>
      </c>
      <c r="T4692" s="1" t="s">
        <v>32</v>
      </c>
    </row>
    <row r="4693" spans="1:20" ht="63.75" x14ac:dyDescent="0.25">
      <c r="A4693" s="6">
        <v>4685</v>
      </c>
      <c r="B4693" s="1" t="str">
        <f>"2022-1381"</f>
        <v>2022-1381</v>
      </c>
      <c r="C4693" s="1" t="s">
        <v>2405</v>
      </c>
      <c r="D4693" s="1" t="s">
        <v>880</v>
      </c>
      <c r="E4693" s="1" t="str">
        <f>""</f>
        <v/>
      </c>
      <c r="F4693" s="1" t="s">
        <v>1860</v>
      </c>
      <c r="G4693" s="1" t="str">
        <f>CONCATENATE(" POLIKLINIKA SVETI ROK M.D.,"," ULICA GRADA VUKOVARA 284,"," 10000 ZAGREB,"," OIB: 28842147765")</f>
        <v xml:space="preserve"> POLIKLINIKA SVETI ROK M.D., ULICA GRADA VUKOVARA 284, 10000 ZAGREB, OIB: 28842147765</v>
      </c>
      <c r="H4693" s="7"/>
      <c r="I4693" s="8" t="s">
        <v>408</v>
      </c>
      <c r="J4693" s="8" t="s">
        <v>3220</v>
      </c>
      <c r="K4693" s="6" t="str">
        <f>"4.000,00"</f>
        <v>4.000,00</v>
      </c>
      <c r="L4693" s="6" t="str">
        <f>"1.000,00"</f>
        <v>1.000,00</v>
      </c>
      <c r="M4693" s="6" t="str">
        <f>"5.000,00"</f>
        <v>5.000,00</v>
      </c>
      <c r="N4693" s="8" t="s">
        <v>124</v>
      </c>
      <c r="O4693" s="7"/>
      <c r="P4693" s="2" t="s">
        <v>5614</v>
      </c>
      <c r="Q4693" s="7"/>
      <c r="R4693" s="1"/>
      <c r="S4693" s="1" t="str">
        <f>"J-UN-2022-1614"</f>
        <v>J-UN-2022-1614</v>
      </c>
      <c r="T4693" s="1" t="s">
        <v>32</v>
      </c>
    </row>
    <row r="4694" spans="1:20" ht="63.75" x14ac:dyDescent="0.25">
      <c r="A4694" s="6">
        <v>4686</v>
      </c>
      <c r="B4694" s="1" t="str">
        <f>"2022-737"</f>
        <v>2022-737</v>
      </c>
      <c r="C4694" s="1" t="s">
        <v>3230</v>
      </c>
      <c r="D4694" s="1" t="s">
        <v>3231</v>
      </c>
      <c r="E4694" s="1" t="str">
        <f>""</f>
        <v/>
      </c>
      <c r="F4694" s="1" t="s">
        <v>1860</v>
      </c>
      <c r="G4694" s="1" t="str">
        <f>CONCATENATE(" PRIMAT-LOGISTIKA D.O.O.,"," ZASTAVNICE 11,"," 10251 HRVATSKI LESKOVAC,"," OIB: 64645054565")</f>
        <v xml:space="preserve"> PRIMAT-LOGISTIKA D.O.O., ZASTAVNICE 11, 10251 HRVATSKI LESKOVAC, OIB: 64645054565</v>
      </c>
      <c r="H4694" s="7"/>
      <c r="I4694" s="8" t="s">
        <v>1122</v>
      </c>
      <c r="J4694" s="8" t="s">
        <v>1834</v>
      </c>
      <c r="K4694" s="6" t="str">
        <f>"9.120,00"</f>
        <v>9.120,00</v>
      </c>
      <c r="L4694" s="6" t="str">
        <f>"2.280,00"</f>
        <v>2.280,00</v>
      </c>
      <c r="M4694" s="6" t="str">
        <f>"11.400,00"</f>
        <v>11.400,00</v>
      </c>
      <c r="N4694" s="8" t="s">
        <v>301</v>
      </c>
      <c r="O4694" s="7"/>
      <c r="P4694" s="2" t="s">
        <v>8349</v>
      </c>
      <c r="Q4694" s="7"/>
      <c r="R4694" s="1"/>
      <c r="S4694" s="1" t="str">
        <f>"J-UN-2022-1623"</f>
        <v>J-UN-2022-1623</v>
      </c>
      <c r="T4694" s="1" t="s">
        <v>32</v>
      </c>
    </row>
    <row r="4695" spans="1:20" ht="63.75" x14ac:dyDescent="0.25">
      <c r="A4695" s="6">
        <v>4687</v>
      </c>
      <c r="B4695" s="1" t="str">
        <f>"2022-1978"</f>
        <v>2022-1978</v>
      </c>
      <c r="C4695" s="1" t="s">
        <v>3232</v>
      </c>
      <c r="D4695" s="1" t="s">
        <v>1529</v>
      </c>
      <c r="E4695" s="1" t="str">
        <f>""</f>
        <v/>
      </c>
      <c r="F4695" s="1" t="s">
        <v>1860</v>
      </c>
      <c r="G4695" s="1" t="str">
        <f>CONCATENATE(" TOKIĆ D.O.O.,"," ULICA 144. BRIGADE HRVATSKE VOJSKE 1A,"," 10360 SESVETE,"," OIB: 7486748762")</f>
        <v xml:space="preserve"> TOKIĆ D.O.O., ULICA 144. BRIGADE HRVATSKE VOJSKE 1A, 10360 SESVETE, OIB: 7486748762</v>
      </c>
      <c r="H4695" s="7"/>
      <c r="I4695" s="8" t="s">
        <v>301</v>
      </c>
      <c r="J4695" s="8" t="s">
        <v>1925</v>
      </c>
      <c r="K4695" s="6" t="str">
        <f>"84.560,00"</f>
        <v>84.560,00</v>
      </c>
      <c r="L4695" s="6" t="str">
        <f>"21.140,00"</f>
        <v>21.140,00</v>
      </c>
      <c r="M4695" s="6" t="str">
        <f>"105.700,00"</f>
        <v>105.700,00</v>
      </c>
      <c r="N4695" s="8" t="s">
        <v>124</v>
      </c>
      <c r="O4695" s="7"/>
      <c r="P4695" s="2" t="s">
        <v>5614</v>
      </c>
      <c r="Q4695" s="7"/>
      <c r="R4695" s="1"/>
      <c r="S4695" s="1" t="str">
        <f>"J-UN-2022-1624"</f>
        <v>J-UN-2022-1624</v>
      </c>
      <c r="T4695" s="1" t="s">
        <v>32</v>
      </c>
    </row>
    <row r="4696" spans="1:20" ht="63.75" x14ac:dyDescent="0.25">
      <c r="A4696" s="6">
        <v>4688</v>
      </c>
      <c r="B4696" s="1" t="str">
        <f>"2022-2012"</f>
        <v>2022-2012</v>
      </c>
      <c r="C4696" s="1" t="s">
        <v>3233</v>
      </c>
      <c r="D4696" s="1" t="s">
        <v>1529</v>
      </c>
      <c r="E4696" s="1" t="str">
        <f>""</f>
        <v/>
      </c>
      <c r="F4696" s="1" t="s">
        <v>1860</v>
      </c>
      <c r="G4696" s="1" t="str">
        <f>CONCATENATE(" TOKIĆ D.O.O.,"," ULICA 144. BRIGADE HRVATSKE VOJSKE 1A,"," 10360 SESVETE,"," OIB: 7486748762")</f>
        <v xml:space="preserve"> TOKIĆ D.O.O., ULICA 144. BRIGADE HRVATSKE VOJSKE 1A, 10360 SESVETE, OIB: 7486748762</v>
      </c>
      <c r="H4696" s="7"/>
      <c r="I4696" s="8" t="s">
        <v>301</v>
      </c>
      <c r="J4696" s="8" t="s">
        <v>1925</v>
      </c>
      <c r="K4696" s="6" t="str">
        <f>"69.226,00"</f>
        <v>69.226,00</v>
      </c>
      <c r="L4696" s="6" t="str">
        <f>"17.306,50"</f>
        <v>17.306,50</v>
      </c>
      <c r="M4696" s="6" t="str">
        <f>"86.532,50"</f>
        <v>86.532,50</v>
      </c>
      <c r="N4696" s="8" t="s">
        <v>124</v>
      </c>
      <c r="O4696" s="7"/>
      <c r="P4696" s="2" t="s">
        <v>5614</v>
      </c>
      <c r="Q4696" s="7"/>
      <c r="R4696" s="1"/>
      <c r="S4696" s="1" t="str">
        <f>"J-UN-2022-1625"</f>
        <v>J-UN-2022-1625</v>
      </c>
      <c r="T4696" s="1" t="s">
        <v>32</v>
      </c>
    </row>
    <row r="4697" spans="1:20" ht="51" x14ac:dyDescent="0.25">
      <c r="A4697" s="6">
        <v>4689</v>
      </c>
      <c r="B4697" s="1" t="str">
        <f>"2022-2013"</f>
        <v>2022-2013</v>
      </c>
      <c r="C4697" s="1" t="s">
        <v>3234</v>
      </c>
      <c r="D4697" s="1" t="s">
        <v>1529</v>
      </c>
      <c r="E4697" s="1" t="str">
        <f>""</f>
        <v/>
      </c>
      <c r="F4697" s="1" t="s">
        <v>1860</v>
      </c>
      <c r="G4697" s="1" t="str">
        <f>CONCATENATE(" TED D.O.O.,"," VRHOVČEV VIJENAC 84,"," 10000 ZAGREB,"," OIB: 22740118957")</f>
        <v xml:space="preserve"> TED D.O.O., VRHOVČEV VIJENAC 84, 10000 ZAGREB, OIB: 22740118957</v>
      </c>
      <c r="H4697" s="7"/>
      <c r="I4697" s="8" t="s">
        <v>102</v>
      </c>
      <c r="J4697" s="8" t="s">
        <v>1898</v>
      </c>
      <c r="K4697" s="6" t="str">
        <f>"47.100,00"</f>
        <v>47.100,00</v>
      </c>
      <c r="L4697" s="6" t="str">
        <f>"11.775,00"</f>
        <v>11.775,00</v>
      </c>
      <c r="M4697" s="6" t="str">
        <f>"58.875,00"</f>
        <v>58.875,00</v>
      </c>
      <c r="N4697" s="8" t="s">
        <v>415</v>
      </c>
      <c r="O4697" s="7"/>
      <c r="P4697" s="2" t="s">
        <v>8350</v>
      </c>
      <c r="Q4697" s="7"/>
      <c r="R4697" s="1"/>
      <c r="S4697" s="1" t="str">
        <f>"J-UN-2022-1626"</f>
        <v>J-UN-2022-1626</v>
      </c>
      <c r="T4697" s="1" t="s">
        <v>32</v>
      </c>
    </row>
    <row r="4698" spans="1:20" ht="76.5" x14ac:dyDescent="0.25">
      <c r="A4698" s="6">
        <v>4690</v>
      </c>
      <c r="B4698" s="1" t="str">
        <f>"2022-216"</f>
        <v>2022-216</v>
      </c>
      <c r="C4698" s="1" t="s">
        <v>2595</v>
      </c>
      <c r="D4698" s="1" t="s">
        <v>2596</v>
      </c>
      <c r="E4698" s="1" t="str">
        <f>""</f>
        <v/>
      </c>
      <c r="F4698" s="1" t="s">
        <v>1860</v>
      </c>
      <c r="G4698" s="1" t="str">
        <f>CONCATENATE(" UPRAVLJANJE SPORTSKIM OBJEKTIMA,"," TRG KREŠIMIRA ĆOSIĆA 11,"," 10000 ZAGREB,"," OIB: 59365213244")</f>
        <v xml:space="preserve"> UPRAVLJANJE SPORTSKIM OBJEKTIMA, TRG KREŠIMIRA ĆOSIĆA 11, 10000 ZAGREB, OIB: 59365213244</v>
      </c>
      <c r="H4698" s="7"/>
      <c r="I4698" s="8" t="s">
        <v>1122</v>
      </c>
      <c r="J4698" s="8" t="s">
        <v>1834</v>
      </c>
      <c r="K4698" s="6" t="str">
        <f>"7.360,00"</f>
        <v>7.360,00</v>
      </c>
      <c r="L4698" s="6" t="str">
        <f>"1.840,00"</f>
        <v>1.840,00</v>
      </c>
      <c r="M4698" s="6" t="str">
        <f>"9.200,00"</f>
        <v>9.200,00</v>
      </c>
      <c r="N4698" s="8" t="s">
        <v>124</v>
      </c>
      <c r="O4698" s="7"/>
      <c r="P4698" s="2" t="s">
        <v>5614</v>
      </c>
      <c r="Q4698" s="7"/>
      <c r="R4698" s="1"/>
      <c r="S4698" s="1" t="str">
        <f>"J-UN-2022-1627"</f>
        <v>J-UN-2022-1627</v>
      </c>
      <c r="T4698" s="1" t="s">
        <v>32</v>
      </c>
    </row>
    <row r="4699" spans="1:20" ht="51" x14ac:dyDescent="0.25">
      <c r="A4699" s="6">
        <v>4691</v>
      </c>
      <c r="B4699" s="1" t="str">
        <f>"2022-40"</f>
        <v>2022-40</v>
      </c>
      <c r="C4699" s="1" t="s">
        <v>2317</v>
      </c>
      <c r="D4699" s="1" t="s">
        <v>837</v>
      </c>
      <c r="E4699" s="1" t="str">
        <f>""</f>
        <v/>
      </c>
      <c r="F4699" s="1" t="s">
        <v>1860</v>
      </c>
      <c r="G4699" s="1" t="str">
        <f>CONCATENATE(" VRUTAK D.O.O.,"," VODOVODNA 20A,"," 10000 ZAGREB,"," OIB: 9509288893")</f>
        <v xml:space="preserve"> VRUTAK D.O.O., VODOVODNA 20A, 10000 ZAGREB, OIB: 9509288893</v>
      </c>
      <c r="H4699" s="7"/>
      <c r="I4699" s="8" t="s">
        <v>374</v>
      </c>
      <c r="J4699" s="8" t="s">
        <v>1920</v>
      </c>
      <c r="K4699" s="6" t="str">
        <f>"17.915,88"</f>
        <v>17.915,88</v>
      </c>
      <c r="L4699" s="6" t="str">
        <f>"4.478,97"</f>
        <v>4.478,97</v>
      </c>
      <c r="M4699" s="6" t="str">
        <f>"22.394,85"</f>
        <v>22.394,85</v>
      </c>
      <c r="N4699" s="8" t="s">
        <v>124</v>
      </c>
      <c r="O4699" s="7"/>
      <c r="P4699" s="2" t="s">
        <v>8351</v>
      </c>
      <c r="Q4699" s="1" t="s">
        <v>582</v>
      </c>
      <c r="R4699" s="1"/>
      <c r="S4699" s="1" t="str">
        <f>"J-UN-2022-1639"</f>
        <v>J-UN-2022-1639</v>
      </c>
      <c r="T4699" s="1" t="s">
        <v>32</v>
      </c>
    </row>
    <row r="4700" spans="1:20" ht="89.25" x14ac:dyDescent="0.25">
      <c r="A4700" s="6">
        <v>4692</v>
      </c>
      <c r="B4700" s="1" t="str">
        <f>"2022-100"</f>
        <v>2022-100</v>
      </c>
      <c r="C4700" s="1" t="s">
        <v>2628</v>
      </c>
      <c r="D4700" s="1" t="s">
        <v>2010</v>
      </c>
      <c r="E4700" s="1" t="str">
        <f>""</f>
        <v/>
      </c>
      <c r="F4700" s="1" t="s">
        <v>1860</v>
      </c>
      <c r="G4700" s="1" t="str">
        <f>CONCATENATE(" SVEUČILIŠTE U ZAGREBU - FAKULTET STROJARSTVA I BRODOGRADNJE,"," IVANA LUČIĆA 5,"," 10000 ZAGREB,"," OIB: 22910368449")</f>
        <v xml:space="preserve"> SVEUČILIŠTE U ZAGREBU - FAKULTET STROJARSTVA I BRODOGRADNJE, IVANA LUČIĆA 5, 10000 ZAGREB, OIB: 22910368449</v>
      </c>
      <c r="H4700" s="7"/>
      <c r="I4700" s="8" t="s">
        <v>102</v>
      </c>
      <c r="J4700" s="8" t="s">
        <v>1898</v>
      </c>
      <c r="K4700" s="6" t="str">
        <f>"4.290,00"</f>
        <v>4.290,00</v>
      </c>
      <c r="L4700" s="6" t="str">
        <f>"1.072,50"</f>
        <v>1.072,50</v>
      </c>
      <c r="M4700" s="6" t="str">
        <f>"5.362,50"</f>
        <v>5.362,50</v>
      </c>
      <c r="N4700" s="8" t="s">
        <v>81</v>
      </c>
      <c r="O4700" s="7"/>
      <c r="P4700" s="2" t="s">
        <v>8352</v>
      </c>
      <c r="Q4700" s="7"/>
      <c r="R4700" s="1"/>
      <c r="S4700" s="1" t="str">
        <f>"J-UN-2022-1648"</f>
        <v>J-UN-2022-1648</v>
      </c>
      <c r="T4700" s="1" t="s">
        <v>32</v>
      </c>
    </row>
    <row r="4701" spans="1:20" ht="63.75" x14ac:dyDescent="0.25">
      <c r="A4701" s="6">
        <v>4693</v>
      </c>
      <c r="B4701" s="1" t="str">
        <f>"2022-603"</f>
        <v>2022-603</v>
      </c>
      <c r="C4701" s="1" t="s">
        <v>3235</v>
      </c>
      <c r="D4701" s="1" t="s">
        <v>1236</v>
      </c>
      <c r="E4701" s="1" t="str">
        <f>""</f>
        <v/>
      </c>
      <c r="F4701" s="1" t="s">
        <v>1860</v>
      </c>
      <c r="G4701" s="1" t="str">
        <f>CONCATENATE(" ELEKTROKEM D.O.O.,"," VUGROVEC,"," AUGUSTA ŠENOE 69,"," 10360 SESVETE,"," OIB: 38411868043")</f>
        <v xml:space="preserve"> ELEKTROKEM D.O.O., VUGROVEC, AUGUSTA ŠENOE 69, 10360 SESVETE, OIB: 38411868043</v>
      </c>
      <c r="H4701" s="7"/>
      <c r="I4701" s="8" t="s">
        <v>415</v>
      </c>
      <c r="J4701" s="8" t="s">
        <v>3236</v>
      </c>
      <c r="K4701" s="6" t="str">
        <f>"13.620,00"</f>
        <v>13.620,00</v>
      </c>
      <c r="L4701" s="6" t="str">
        <f>"3.405,00"</f>
        <v>3.405,00</v>
      </c>
      <c r="M4701" s="6" t="str">
        <f>"17.025,00"</f>
        <v>17.025,00</v>
      </c>
      <c r="N4701" s="8" t="s">
        <v>509</v>
      </c>
      <c r="O4701" s="7"/>
      <c r="P4701" s="2" t="s">
        <v>8353</v>
      </c>
      <c r="Q4701" s="7"/>
      <c r="R4701" s="1"/>
      <c r="S4701" s="1" t="str">
        <f>"J-UN-2022-1649"</f>
        <v>J-UN-2022-1649</v>
      </c>
      <c r="T4701" s="1" t="s">
        <v>32</v>
      </c>
    </row>
    <row r="4702" spans="1:20" ht="51" x14ac:dyDescent="0.25">
      <c r="A4702" s="6">
        <v>4694</v>
      </c>
      <c r="B4702" s="1" t="str">
        <f>"2022-1974"</f>
        <v>2022-1974</v>
      </c>
      <c r="C4702" s="1" t="s">
        <v>662</v>
      </c>
      <c r="D4702" s="1" t="s">
        <v>659</v>
      </c>
      <c r="E4702" s="1" t="str">
        <f>""</f>
        <v/>
      </c>
      <c r="F4702" s="1" t="s">
        <v>1860</v>
      </c>
      <c r="G4702" s="1" t="str">
        <f>CONCATENATE(" ELLABO D.O.O.,"," KAMENARKA 24,"," 10000 ZAGREB,"," OIB: 48062605125")</f>
        <v xml:space="preserve"> ELLABO D.O.O., KAMENARKA 24, 10000 ZAGREB, OIB: 48062605125</v>
      </c>
      <c r="H4702" s="7"/>
      <c r="I4702" s="8" t="s">
        <v>81</v>
      </c>
      <c r="J4702" s="8" t="s">
        <v>3237</v>
      </c>
      <c r="K4702" s="6" t="str">
        <f>"3.165,00"</f>
        <v>3.165,00</v>
      </c>
      <c r="L4702" s="6" t="str">
        <f>"791,25"</f>
        <v>791,25</v>
      </c>
      <c r="M4702" s="6" t="str">
        <f>"3.956,25"</f>
        <v>3.956,25</v>
      </c>
      <c r="N4702" s="8" t="s">
        <v>124</v>
      </c>
      <c r="O4702" s="7"/>
      <c r="P4702" s="2" t="s">
        <v>5614</v>
      </c>
      <c r="Q4702" s="7"/>
      <c r="R4702" s="1"/>
      <c r="S4702" s="1" t="str">
        <f>"J-UN-2022-1650"</f>
        <v>J-UN-2022-1650</v>
      </c>
      <c r="T4702" s="1" t="s">
        <v>32</v>
      </c>
    </row>
    <row r="4703" spans="1:20" ht="51" x14ac:dyDescent="0.25">
      <c r="A4703" s="6">
        <v>4695</v>
      </c>
      <c r="B4703" s="1" t="str">
        <f>"2022-1986"</f>
        <v>2022-1986</v>
      </c>
      <c r="C4703" s="1" t="s">
        <v>3221</v>
      </c>
      <c r="D4703" s="1" t="s">
        <v>1304</v>
      </c>
      <c r="E4703" s="1" t="str">
        <f>""</f>
        <v/>
      </c>
      <c r="F4703" s="1" t="s">
        <v>1860</v>
      </c>
      <c r="G4703" s="1" t="str">
        <f>CONCATENATE(" VODOSKOK D.D.,"," ČULINEČKA CESTA 221/C,"," 10040 ZAGREB,"," OIB: 34134218058")</f>
        <v xml:space="preserve"> VODOSKOK D.D., ČULINEČKA CESTA 221/C, 10040 ZAGREB, OIB: 34134218058</v>
      </c>
      <c r="H4703" s="7"/>
      <c r="I4703" s="8" t="s">
        <v>415</v>
      </c>
      <c r="J4703" s="8" t="s">
        <v>3236</v>
      </c>
      <c r="K4703" s="6" t="str">
        <f>"1.696,00"</f>
        <v>1.696,00</v>
      </c>
      <c r="L4703" s="6" t="str">
        <f>"424,00"</f>
        <v>424,00</v>
      </c>
      <c r="M4703" s="6" t="str">
        <f>"2.120,00"</f>
        <v>2.120,00</v>
      </c>
      <c r="N4703" s="8" t="s">
        <v>124</v>
      </c>
      <c r="O4703" s="7"/>
      <c r="P4703" s="2" t="s">
        <v>5614</v>
      </c>
      <c r="Q4703" s="7"/>
      <c r="R4703" s="1"/>
      <c r="S4703" s="1" t="str">
        <f>"J-UN-2022-1652"</f>
        <v>J-UN-2022-1652</v>
      </c>
      <c r="T4703" s="1" t="s">
        <v>32</v>
      </c>
    </row>
    <row r="4704" spans="1:20" ht="51" x14ac:dyDescent="0.25">
      <c r="A4704" s="6">
        <v>4696</v>
      </c>
      <c r="B4704" s="1" t="str">
        <f>"2022-1986"</f>
        <v>2022-1986</v>
      </c>
      <c r="C4704" s="1" t="s">
        <v>3221</v>
      </c>
      <c r="D4704" s="1" t="s">
        <v>1304</v>
      </c>
      <c r="E4704" s="1" t="str">
        <f>""</f>
        <v/>
      </c>
      <c r="F4704" s="1" t="s">
        <v>1860</v>
      </c>
      <c r="G4704" s="1" t="str">
        <f>CONCATENATE(" VODOSKOK D.D.,"," ČULINEČKA CESTA 221/C,"," 10040 ZAGREB,"," OIB: 34134218058")</f>
        <v xml:space="preserve"> VODOSKOK D.D., ČULINEČKA CESTA 221/C, 10040 ZAGREB, OIB: 34134218058</v>
      </c>
      <c r="H4704" s="7"/>
      <c r="I4704" s="8" t="s">
        <v>415</v>
      </c>
      <c r="J4704" s="8" t="s">
        <v>3236</v>
      </c>
      <c r="K4704" s="6" t="str">
        <f>"20.170,00"</f>
        <v>20.170,00</v>
      </c>
      <c r="L4704" s="6" t="str">
        <f>"5.042,50"</f>
        <v>5.042,50</v>
      </c>
      <c r="M4704" s="6" t="str">
        <f>"25.212,50"</f>
        <v>25.212,50</v>
      </c>
      <c r="N4704" s="8" t="s">
        <v>124</v>
      </c>
      <c r="O4704" s="7"/>
      <c r="P4704" s="2" t="s">
        <v>8354</v>
      </c>
      <c r="Q4704" s="7"/>
      <c r="R4704" s="1"/>
      <c r="S4704" s="1" t="str">
        <f>"J-UN-2022-1653"</f>
        <v>J-UN-2022-1653</v>
      </c>
      <c r="T4704" s="1" t="s">
        <v>32</v>
      </c>
    </row>
    <row r="4705" spans="1:20" ht="51" x14ac:dyDescent="0.25">
      <c r="A4705" s="6">
        <v>4697</v>
      </c>
      <c r="B4705" s="1" t="str">
        <f>"2022-1974"</f>
        <v>2022-1974</v>
      </c>
      <c r="C4705" s="1" t="s">
        <v>662</v>
      </c>
      <c r="D4705" s="1" t="s">
        <v>659</v>
      </c>
      <c r="E4705" s="1" t="str">
        <f>""</f>
        <v/>
      </c>
      <c r="F4705" s="1" t="s">
        <v>1860</v>
      </c>
      <c r="G4705" s="1" t="str">
        <f>CONCATENATE(" VODOSKOK D.D.,"," ČULINEČKA CESTA 221/C,"," 10040 ZAGREB,"," OIB: 34134218058")</f>
        <v xml:space="preserve"> VODOSKOK D.D., ČULINEČKA CESTA 221/C, 10040 ZAGREB, OIB: 34134218058</v>
      </c>
      <c r="H4705" s="7"/>
      <c r="I4705" s="8" t="s">
        <v>415</v>
      </c>
      <c r="J4705" s="8" t="s">
        <v>3236</v>
      </c>
      <c r="K4705" s="6" t="str">
        <f>"4.155,00"</f>
        <v>4.155,00</v>
      </c>
      <c r="L4705" s="6" t="str">
        <f>"1.038,75"</f>
        <v>1.038,75</v>
      </c>
      <c r="M4705" s="6" t="str">
        <f>"5.193,75"</f>
        <v>5.193,75</v>
      </c>
      <c r="N4705" s="8" t="s">
        <v>947</v>
      </c>
      <c r="O4705" s="7"/>
      <c r="P4705" s="2" t="s">
        <v>8355</v>
      </c>
      <c r="Q4705" s="7"/>
      <c r="R4705" s="1"/>
      <c r="S4705" s="1" t="str">
        <f>"J-UN-2022-1654"</f>
        <v>J-UN-2022-1654</v>
      </c>
      <c r="T4705" s="1" t="s">
        <v>32</v>
      </c>
    </row>
    <row r="4706" spans="1:20" ht="51" x14ac:dyDescent="0.25">
      <c r="A4706" s="6">
        <v>4698</v>
      </c>
      <c r="B4706" s="1" t="str">
        <f>"2022-859"</f>
        <v>2022-859</v>
      </c>
      <c r="C4706" s="1" t="s">
        <v>3238</v>
      </c>
      <c r="D4706" s="1" t="s">
        <v>471</v>
      </c>
      <c r="E4706" s="1" t="str">
        <f>""</f>
        <v/>
      </c>
      <c r="F4706" s="1" t="s">
        <v>1860</v>
      </c>
      <c r="G4706" s="1" t="str">
        <f>CONCATENATE(" COMBIS D.O.O.,"," RADNIČKA CESTA 21,"," 10000 ZAGREB,"," OIB: 91678676896")</f>
        <v xml:space="preserve"> COMBIS D.O.O., RADNIČKA CESTA 21, 10000 ZAGREB, OIB: 91678676896</v>
      </c>
      <c r="H4706" s="7"/>
      <c r="I4706" s="8" t="s">
        <v>432</v>
      </c>
      <c r="J4706" s="8" t="s">
        <v>1502</v>
      </c>
      <c r="K4706" s="6" t="str">
        <f>"39.600,00"</f>
        <v>39.600,00</v>
      </c>
      <c r="L4706" s="6" t="str">
        <f>"9.900,00"</f>
        <v>9.900,00</v>
      </c>
      <c r="M4706" s="6" t="str">
        <f>"49.500,00"</f>
        <v>49.500,00</v>
      </c>
      <c r="N4706" s="8" t="s">
        <v>124</v>
      </c>
      <c r="O4706" s="7"/>
      <c r="P4706" s="2" t="s">
        <v>5614</v>
      </c>
      <c r="Q4706" s="7"/>
      <c r="R4706" s="1"/>
      <c r="S4706" s="1" t="str">
        <f>"J-UN-2022-1655"</f>
        <v>J-UN-2022-1655</v>
      </c>
      <c r="T4706" s="1" t="s">
        <v>32</v>
      </c>
    </row>
    <row r="4707" spans="1:20" ht="51" x14ac:dyDescent="0.25">
      <c r="A4707" s="6">
        <v>4699</v>
      </c>
      <c r="B4707" s="1" t="str">
        <f>"2022-1123"</f>
        <v>2022-1123</v>
      </c>
      <c r="C4707" s="1" t="s">
        <v>2779</v>
      </c>
      <c r="D4707" s="1" t="s">
        <v>2780</v>
      </c>
      <c r="E4707" s="1" t="str">
        <f>""</f>
        <v/>
      </c>
      <c r="F4707" s="1" t="s">
        <v>1860</v>
      </c>
      <c r="G4707" s="1" t="str">
        <f>CONCATENATE(" ZELENE TEHNOLOGIJE D.O.O.,"," SELSKA CESTA 179,"," 10000 ZAGREB,"," OIB: 25326611788")</f>
        <v xml:space="preserve"> ZELENE TEHNOLOGIJE D.O.O., SELSKA CESTA 179, 10000 ZAGREB, OIB: 25326611788</v>
      </c>
      <c r="H4707" s="7"/>
      <c r="I4707" s="8" t="s">
        <v>432</v>
      </c>
      <c r="J4707" s="8" t="s">
        <v>1502</v>
      </c>
      <c r="K4707" s="6" t="str">
        <f>"93.910,00"</f>
        <v>93.910,00</v>
      </c>
      <c r="L4707" s="6" t="str">
        <f>"23.477,50"</f>
        <v>23.477,50</v>
      </c>
      <c r="M4707" s="6" t="str">
        <f>"117.387,50"</f>
        <v>117.387,50</v>
      </c>
      <c r="N4707" s="8" t="s">
        <v>124</v>
      </c>
      <c r="O4707" s="7"/>
      <c r="P4707" s="2" t="s">
        <v>5614</v>
      </c>
      <c r="Q4707" s="7"/>
      <c r="R4707" s="1"/>
      <c r="S4707" s="1" t="str">
        <f>"J-UN-2022-1656"</f>
        <v>J-UN-2022-1656</v>
      </c>
      <c r="T4707" s="1" t="s">
        <v>32</v>
      </c>
    </row>
    <row r="4708" spans="1:20" ht="63.75" x14ac:dyDescent="0.25">
      <c r="A4708" s="6">
        <v>4700</v>
      </c>
      <c r="B4708" s="1" t="str">
        <f>"2022-499"</f>
        <v>2022-499</v>
      </c>
      <c r="C4708" s="1" t="s">
        <v>2788</v>
      </c>
      <c r="D4708" s="1" t="s">
        <v>2789</v>
      </c>
      <c r="E4708" s="1" t="str">
        <f>""</f>
        <v/>
      </c>
      <c r="F4708" s="1" t="s">
        <v>1860</v>
      </c>
      <c r="G4708" s="1" t="str">
        <f>CONCATENATE(" ELEKTRO-KOMUNIKACIJE D.O.O.,"," 14. PODBREŽJE 4,"," 10000 ZAGREB,"," OIB: 76412373309")</f>
        <v xml:space="preserve"> ELEKTRO-KOMUNIKACIJE D.O.O., 14. PODBREŽJE 4, 10000 ZAGREB, OIB: 76412373309</v>
      </c>
      <c r="H4708" s="7"/>
      <c r="I4708" s="8" t="s">
        <v>432</v>
      </c>
      <c r="J4708" s="8" t="s">
        <v>1502</v>
      </c>
      <c r="K4708" s="6" t="str">
        <f>"3.703,00"</f>
        <v>3.703,00</v>
      </c>
      <c r="L4708" s="6" t="str">
        <f>"925,75"</f>
        <v>925,75</v>
      </c>
      <c r="M4708" s="6" t="str">
        <f>"4.628,75"</f>
        <v>4.628,75</v>
      </c>
      <c r="N4708" s="8" t="s">
        <v>124</v>
      </c>
      <c r="O4708" s="7"/>
      <c r="P4708" s="2" t="s">
        <v>5614</v>
      </c>
      <c r="Q4708" s="7"/>
      <c r="R4708" s="1"/>
      <c r="S4708" s="1" t="str">
        <f>"J-UN-2022-1657"</f>
        <v>J-UN-2022-1657</v>
      </c>
      <c r="T4708" s="1" t="s">
        <v>32</v>
      </c>
    </row>
    <row r="4709" spans="1:20" ht="51" x14ac:dyDescent="0.25">
      <c r="A4709" s="6">
        <v>4701</v>
      </c>
      <c r="B4709" s="1" t="str">
        <f>"2022-535"</f>
        <v>2022-535</v>
      </c>
      <c r="C4709" s="1" t="s">
        <v>2561</v>
      </c>
      <c r="D4709" s="1" t="s">
        <v>2156</v>
      </c>
      <c r="E4709" s="1" t="str">
        <f>""</f>
        <v/>
      </c>
      <c r="F4709" s="1" t="s">
        <v>1860</v>
      </c>
      <c r="G4709" s="1" t="str">
        <f>CONCATENATE(" TIP - ZAGREB D.O.O.,"," VINOGRADSKA 34,"," 10431 SVETA NEDELJA,"," OIB: 36198195227")</f>
        <v xml:space="preserve"> TIP - ZAGREB D.O.O., VINOGRADSKA 34, 10431 SVETA NEDELJA, OIB: 36198195227</v>
      </c>
      <c r="H4709" s="7"/>
      <c r="I4709" s="8" t="s">
        <v>432</v>
      </c>
      <c r="J4709" s="8" t="s">
        <v>1502</v>
      </c>
      <c r="K4709" s="6" t="str">
        <f>"21.305,00"</f>
        <v>21.305,00</v>
      </c>
      <c r="L4709" s="6" t="str">
        <f>"5.326,25"</f>
        <v>5.326,25</v>
      </c>
      <c r="M4709" s="6" t="str">
        <f>"26.631,25"</f>
        <v>26.631,25</v>
      </c>
      <c r="N4709" s="8" t="s">
        <v>81</v>
      </c>
      <c r="O4709" s="7"/>
      <c r="P4709" s="2" t="s">
        <v>8356</v>
      </c>
      <c r="Q4709" s="7"/>
      <c r="R4709" s="1"/>
      <c r="S4709" s="1" t="str">
        <f>"J-UN-2022-1658"</f>
        <v>J-UN-2022-1658</v>
      </c>
      <c r="T4709" s="1" t="s">
        <v>32</v>
      </c>
    </row>
    <row r="4710" spans="1:20" ht="51" x14ac:dyDescent="0.25">
      <c r="A4710" s="6">
        <v>4702</v>
      </c>
      <c r="B4710" s="1" t="str">
        <f>"2022-814"</f>
        <v>2022-814</v>
      </c>
      <c r="C4710" s="1" t="s">
        <v>2794</v>
      </c>
      <c r="D4710" s="1" t="s">
        <v>2716</v>
      </c>
      <c r="E4710" s="1" t="str">
        <f>""</f>
        <v/>
      </c>
      <c r="F4710" s="1" t="s">
        <v>1860</v>
      </c>
      <c r="G4710" s="1" t="str">
        <f>CONCATENATE(" RASCO D.O.O.,"," KOLODVORSKA 120B,"," 48361 KALINOVAC,"," OIB: 12710048305")</f>
        <v xml:space="preserve"> RASCO D.O.O., KOLODVORSKA 120B, 48361 KALINOVAC, OIB: 12710048305</v>
      </c>
      <c r="H4710" s="7"/>
      <c r="I4710" s="8" t="s">
        <v>102</v>
      </c>
      <c r="J4710" s="8" t="s">
        <v>1898</v>
      </c>
      <c r="K4710" s="6" t="str">
        <f>"74.298,84"</f>
        <v>74.298,84</v>
      </c>
      <c r="L4710" s="6" t="str">
        <f>"18.574,71"</f>
        <v>18.574,71</v>
      </c>
      <c r="M4710" s="6" t="str">
        <f>"92.873,55"</f>
        <v>92.873,55</v>
      </c>
      <c r="N4710" s="8" t="s">
        <v>207</v>
      </c>
      <c r="O4710" s="7"/>
      <c r="P4710" s="2" t="s">
        <v>8357</v>
      </c>
      <c r="Q4710" s="7"/>
      <c r="R4710" s="1"/>
      <c r="S4710" s="1" t="str">
        <f>"J-UN-2022-1659"</f>
        <v>J-UN-2022-1659</v>
      </c>
      <c r="T4710" s="1" t="s">
        <v>32</v>
      </c>
    </row>
    <row r="4711" spans="1:20" ht="76.5" x14ac:dyDescent="0.25">
      <c r="A4711" s="6">
        <v>4703</v>
      </c>
      <c r="B4711" s="1" t="str">
        <f>"2022-1217"</f>
        <v>2022-1217</v>
      </c>
      <c r="C4711" s="1" t="s">
        <v>2284</v>
      </c>
      <c r="D4711" s="1" t="s">
        <v>381</v>
      </c>
      <c r="E4711" s="1" t="str">
        <f>""</f>
        <v/>
      </c>
      <c r="F4711" s="1" t="s">
        <v>1860</v>
      </c>
      <c r="G4711" s="1" t="str">
        <f>CONCATENATE(" E.G.S.-ELEKTROGRADITELJSTVO D.O.O.,"," ALBERTA FORTISA 10,"," 10090 ZAGREB,"," OIB: 83439900916")</f>
        <v xml:space="preserve"> E.G.S.-ELEKTROGRADITELJSTVO D.O.O., ALBERTA FORTISA 10, 10090 ZAGREB, OIB: 83439900916</v>
      </c>
      <c r="H4711" s="7"/>
      <c r="I4711" s="8" t="s">
        <v>54</v>
      </c>
      <c r="J4711" s="8" t="s">
        <v>1869</v>
      </c>
      <c r="K4711" s="6" t="str">
        <f>"18.550,00"</f>
        <v>18.550,00</v>
      </c>
      <c r="L4711" s="6" t="str">
        <f>"4.637,50"</f>
        <v>4.637,50</v>
      </c>
      <c r="M4711" s="6" t="str">
        <f>"23.187,50"</f>
        <v>23.187,50</v>
      </c>
      <c r="N4711" s="8" t="s">
        <v>124</v>
      </c>
      <c r="O4711" s="7"/>
      <c r="P4711" s="2" t="s">
        <v>5614</v>
      </c>
      <c r="Q4711" s="7"/>
      <c r="R4711" s="1"/>
      <c r="S4711" s="1" t="str">
        <f>"J-UN-2022-1660"</f>
        <v>J-UN-2022-1660</v>
      </c>
      <c r="T4711" s="1" t="s">
        <v>32</v>
      </c>
    </row>
    <row r="4712" spans="1:20" ht="63.75" x14ac:dyDescent="0.25">
      <c r="A4712" s="6">
        <v>4704</v>
      </c>
      <c r="B4712" s="1" t="str">
        <f>"2022-849"</f>
        <v>2022-849</v>
      </c>
      <c r="C4712" s="1" t="s">
        <v>3101</v>
      </c>
      <c r="D4712" s="1" t="s">
        <v>275</v>
      </c>
      <c r="E4712" s="1" t="str">
        <f>""</f>
        <v/>
      </c>
      <c r="F4712" s="1" t="s">
        <v>1860</v>
      </c>
      <c r="G4712" s="1" t="str">
        <f>CONCATENATE(" ELEKTROKEM D.O.O.,"," VUGROVEC,"," AUGUSTA ŠENOE 69,"," 10360 SESVETE,"," OIB: 38411868043")</f>
        <v xml:space="preserve"> ELEKTROKEM D.O.O., VUGROVEC, AUGUSTA ŠENOE 69, 10360 SESVETE, OIB: 38411868043</v>
      </c>
      <c r="H4712" s="7"/>
      <c r="I4712" s="8" t="s">
        <v>54</v>
      </c>
      <c r="J4712" s="8" t="s">
        <v>1869</v>
      </c>
      <c r="K4712" s="6" t="str">
        <f>"37.163,00"</f>
        <v>37.163,00</v>
      </c>
      <c r="L4712" s="6" t="str">
        <f>"9.290,75"</f>
        <v>9.290,75</v>
      </c>
      <c r="M4712" s="6" t="str">
        <f>"46.453,75"</f>
        <v>46.453,75</v>
      </c>
      <c r="N4712" s="8" t="s">
        <v>124</v>
      </c>
      <c r="O4712" s="7"/>
      <c r="P4712" s="2" t="s">
        <v>5614</v>
      </c>
      <c r="Q4712" s="7"/>
      <c r="R4712" s="1"/>
      <c r="S4712" s="1" t="str">
        <f>"J-UN-2022-1661"</f>
        <v>J-UN-2022-1661</v>
      </c>
      <c r="T4712" s="1" t="s">
        <v>32</v>
      </c>
    </row>
    <row r="4713" spans="1:20" ht="63.75" x14ac:dyDescent="0.25">
      <c r="A4713" s="6">
        <v>4705</v>
      </c>
      <c r="B4713" s="1" t="str">
        <f>"2022-244"</f>
        <v>2022-244</v>
      </c>
      <c r="C4713" s="1" t="s">
        <v>2677</v>
      </c>
      <c r="D4713" s="1" t="s">
        <v>2678</v>
      </c>
      <c r="E4713" s="1" t="str">
        <f>""</f>
        <v/>
      </c>
      <c r="F4713" s="1" t="s">
        <v>1860</v>
      </c>
      <c r="G4713" s="1" t="str">
        <f>CONCATENATE(" GRADSKA LJEKARNA ZAGREB,"," KRALJA DRŽISLAVA 6,"," 10000 ZAGREB,"," OIB: 37268254106")</f>
        <v xml:space="preserve"> GRADSKA LJEKARNA ZAGREB, KRALJA DRŽISLAVA 6, 10000 ZAGREB, OIB: 37268254106</v>
      </c>
      <c r="H4713" s="7"/>
      <c r="I4713" s="8" t="s">
        <v>414</v>
      </c>
      <c r="J4713" s="8" t="s">
        <v>1466</v>
      </c>
      <c r="K4713" s="6" t="str">
        <f>"6.962,85"</f>
        <v>6.962,85</v>
      </c>
      <c r="L4713" s="6" t="str">
        <f>"1.740,71"</f>
        <v>1.740,71</v>
      </c>
      <c r="M4713" s="6" t="str">
        <f>"8.703,56"</f>
        <v>8.703,56</v>
      </c>
      <c r="N4713" s="8" t="s">
        <v>420</v>
      </c>
      <c r="O4713" s="7"/>
      <c r="P4713" s="2" t="s">
        <v>8358</v>
      </c>
      <c r="Q4713" s="7"/>
      <c r="R4713" s="1"/>
      <c r="S4713" s="1" t="str">
        <f>"J-UN-2022-1662"</f>
        <v>J-UN-2022-1662</v>
      </c>
      <c r="T4713" s="1" t="s">
        <v>32</v>
      </c>
    </row>
    <row r="4714" spans="1:20" ht="63.75" x14ac:dyDescent="0.25">
      <c r="A4714" s="6">
        <v>4706</v>
      </c>
      <c r="B4714" s="1" t="str">
        <f>"2022-1358"</f>
        <v>2022-1358</v>
      </c>
      <c r="C4714" s="1" t="s">
        <v>2643</v>
      </c>
      <c r="D4714" s="1" t="s">
        <v>1859</v>
      </c>
      <c r="E4714" s="1" t="str">
        <f>""</f>
        <v/>
      </c>
      <c r="F4714" s="1" t="s">
        <v>1860</v>
      </c>
      <c r="G4714" s="1" t="str">
        <f>CONCATENATE(" UDRUGA ENERGETIČARA ZAGREB - UEZ,"," ILICA 34/1,"," 10000 ZAGREB,"," OIB: 97895722777")</f>
        <v xml:space="preserve"> UDRUGA ENERGETIČARA ZAGREB - UEZ, ILICA 34/1, 10000 ZAGREB, OIB: 97895722777</v>
      </c>
      <c r="H4714" s="7"/>
      <c r="I4714" s="8" t="s">
        <v>414</v>
      </c>
      <c r="J4714" s="8" t="s">
        <v>1466</v>
      </c>
      <c r="K4714" s="6" t="str">
        <f>"1.800,00"</f>
        <v>1.800,00</v>
      </c>
      <c r="L4714" s="6" t="str">
        <f>"450,00"</f>
        <v>450,00</v>
      </c>
      <c r="M4714" s="6" t="str">
        <f>"2.250,00"</f>
        <v>2.250,00</v>
      </c>
      <c r="N4714" s="8" t="s">
        <v>124</v>
      </c>
      <c r="O4714" s="7"/>
      <c r="P4714" s="2" t="s">
        <v>5614</v>
      </c>
      <c r="Q4714" s="7"/>
      <c r="R4714" s="1"/>
      <c r="S4714" s="1" t="str">
        <f>"J-UN-2022-1663"</f>
        <v>J-UN-2022-1663</v>
      </c>
      <c r="T4714" s="1" t="s">
        <v>32</v>
      </c>
    </row>
    <row r="4715" spans="1:20" ht="51" x14ac:dyDescent="0.25">
      <c r="A4715" s="6">
        <v>4707</v>
      </c>
      <c r="B4715" s="1" t="str">
        <f>"2022-757"</f>
        <v>2022-757</v>
      </c>
      <c r="C4715" s="1" t="s">
        <v>2690</v>
      </c>
      <c r="D4715" s="1" t="s">
        <v>2691</v>
      </c>
      <c r="E4715" s="1" t="str">
        <f>""</f>
        <v/>
      </c>
      <c r="F4715" s="1" t="s">
        <v>1860</v>
      </c>
      <c r="G4715" s="1" t="str">
        <f>CONCATENATE(" TIM NOVAK D.O.O.,"," ŠKORPIKOVA 2A,"," 10090 ZAGREB,"," OIB: 424048617")</f>
        <v xml:space="preserve"> TIM NOVAK D.O.O., ŠKORPIKOVA 2A, 10090 ZAGREB, OIB: 424048617</v>
      </c>
      <c r="H4715" s="7"/>
      <c r="I4715" s="8" t="s">
        <v>414</v>
      </c>
      <c r="J4715" s="8" t="s">
        <v>1466</v>
      </c>
      <c r="K4715" s="6" t="str">
        <f>"8.027,40"</f>
        <v>8.027,40</v>
      </c>
      <c r="L4715" s="6" t="str">
        <f>"2.006,85"</f>
        <v>2.006,85</v>
      </c>
      <c r="M4715" s="6" t="str">
        <f>"10.034,25"</f>
        <v>10.034,25</v>
      </c>
      <c r="N4715" s="8" t="s">
        <v>420</v>
      </c>
      <c r="O4715" s="7"/>
      <c r="P4715" s="2" t="s">
        <v>8359</v>
      </c>
      <c r="Q4715" s="7"/>
      <c r="R4715" s="1"/>
      <c r="S4715" s="1" t="str">
        <f>"J-UN-2022-1664"</f>
        <v>J-UN-2022-1664</v>
      </c>
      <c r="T4715" s="1" t="s">
        <v>32</v>
      </c>
    </row>
    <row r="4716" spans="1:20" ht="63.75" x14ac:dyDescent="0.25">
      <c r="A4716" s="6">
        <v>4708</v>
      </c>
      <c r="B4716" s="1" t="str">
        <f>"2022-900"</f>
        <v>2022-900</v>
      </c>
      <c r="C4716" s="1" t="s">
        <v>2702</v>
      </c>
      <c r="D4716" s="1" t="s">
        <v>1209</v>
      </c>
      <c r="E4716" s="1" t="str">
        <f>""</f>
        <v/>
      </c>
      <c r="F4716" s="1" t="s">
        <v>1860</v>
      </c>
      <c r="G4716" s="1" t="str">
        <f>CONCATENATE(" DRÄGER SAFETY D.O.O.,"," AVENIJA VEĆESLAVA HOLJEVCA 40,"," 10010 ZAGREB,"," OIB: 32874587842")</f>
        <v xml:space="preserve"> DRÄGER SAFETY D.O.O., AVENIJA VEĆESLAVA HOLJEVCA 40, 10010 ZAGREB, OIB: 32874587842</v>
      </c>
      <c r="H4716" s="7"/>
      <c r="I4716" s="8" t="s">
        <v>54</v>
      </c>
      <c r="J4716" s="8" t="s">
        <v>1869</v>
      </c>
      <c r="K4716" s="6" t="str">
        <f>"850,00"</f>
        <v>850,00</v>
      </c>
      <c r="L4716" s="6" t="str">
        <f>"212,50"</f>
        <v>212,50</v>
      </c>
      <c r="M4716" s="6" t="str">
        <f>"1.062,50"</f>
        <v>1.062,50</v>
      </c>
      <c r="N4716" s="8" t="s">
        <v>1191</v>
      </c>
      <c r="O4716" s="7"/>
      <c r="P4716" s="2" t="s">
        <v>5682</v>
      </c>
      <c r="Q4716" s="7"/>
      <c r="R4716" s="1"/>
      <c r="S4716" s="1" t="str">
        <f>"J-UN-2022-1665"</f>
        <v>J-UN-2022-1665</v>
      </c>
      <c r="T4716" s="1" t="s">
        <v>32</v>
      </c>
    </row>
    <row r="4717" spans="1:20" ht="76.5" x14ac:dyDescent="0.25">
      <c r="A4717" s="6">
        <v>4709</v>
      </c>
      <c r="B4717" s="1" t="str">
        <f>"2022-384"</f>
        <v>2022-384</v>
      </c>
      <c r="C4717" s="1" t="s">
        <v>3062</v>
      </c>
      <c r="D4717" s="1" t="s">
        <v>3063</v>
      </c>
      <c r="E4717" s="1" t="str">
        <f>""</f>
        <v/>
      </c>
      <c r="F4717" s="1" t="s">
        <v>1860</v>
      </c>
      <c r="G4717" s="1" t="str">
        <f>CONCATENATE(" SMIT-COMMERCE D.O.O.,"," GORNJOSTUPNIČKA 9B,"," 10255 GORNJI STUPNIK,"," OIB: 9524348214")</f>
        <v xml:space="preserve"> SMIT-COMMERCE D.O.O., GORNJOSTUPNIČKA 9B, 10255 GORNJI STUPNIK, OIB: 9524348214</v>
      </c>
      <c r="H4717" s="7"/>
      <c r="I4717" s="8" t="s">
        <v>81</v>
      </c>
      <c r="J4717" s="8" t="s">
        <v>3237</v>
      </c>
      <c r="K4717" s="6" t="str">
        <f>"3.226,70"</f>
        <v>3.226,70</v>
      </c>
      <c r="L4717" s="6" t="str">
        <f>"806,68"</f>
        <v>806,68</v>
      </c>
      <c r="M4717" s="6" t="str">
        <f>"4.033,38"</f>
        <v>4.033,38</v>
      </c>
      <c r="N4717" s="8" t="s">
        <v>124</v>
      </c>
      <c r="O4717" s="7"/>
      <c r="P4717" s="2" t="s">
        <v>8360</v>
      </c>
      <c r="Q4717" s="7"/>
      <c r="R4717" s="1"/>
      <c r="S4717" s="1" t="str">
        <f>"J-UN-2022-1666"</f>
        <v>J-UN-2022-1666</v>
      </c>
      <c r="T4717" s="1" t="s">
        <v>32</v>
      </c>
    </row>
    <row r="4718" spans="1:20" ht="51" x14ac:dyDescent="0.25">
      <c r="A4718" s="6">
        <v>4710</v>
      </c>
      <c r="B4718" s="1" t="str">
        <f>"2022-1042"</f>
        <v>2022-1042</v>
      </c>
      <c r="C4718" s="1" t="s">
        <v>2728</v>
      </c>
      <c r="D4718" s="1" t="s">
        <v>2729</v>
      </c>
      <c r="E4718" s="1" t="str">
        <f>""</f>
        <v/>
      </c>
      <c r="F4718" s="1" t="s">
        <v>1860</v>
      </c>
      <c r="G4718" s="1" t="str">
        <f>CONCATENATE(" ADRIA NORMA D.O.O.,"," VUKOVARSKA 284D,"," 10000 ZAGREB,"," OIB: 80109305109")</f>
        <v xml:space="preserve"> ADRIA NORMA D.O.O., VUKOVARSKA 284D, 10000 ZAGREB, OIB: 80109305109</v>
      </c>
      <c r="H4718" s="7"/>
      <c r="I4718" s="8" t="s">
        <v>414</v>
      </c>
      <c r="J4718" s="8" t="s">
        <v>1466</v>
      </c>
      <c r="K4718" s="6" t="str">
        <f>"19.800,00"</f>
        <v>19.800,00</v>
      </c>
      <c r="L4718" s="6" t="str">
        <f>"4.950,00"</f>
        <v>4.950,00</v>
      </c>
      <c r="M4718" s="6" t="str">
        <f>"24.750,00"</f>
        <v>24.750,00</v>
      </c>
      <c r="N4718" s="8" t="s">
        <v>124</v>
      </c>
      <c r="O4718" s="7"/>
      <c r="P4718" s="2" t="s">
        <v>5614</v>
      </c>
      <c r="Q4718" s="7"/>
      <c r="R4718" s="1"/>
      <c r="S4718" s="1" t="str">
        <f>"J-UN-2022-1668"</f>
        <v>J-UN-2022-1668</v>
      </c>
      <c r="T4718" s="1" t="s">
        <v>32</v>
      </c>
    </row>
    <row r="4719" spans="1:20" ht="63.75" x14ac:dyDescent="0.25">
      <c r="A4719" s="6">
        <v>4711</v>
      </c>
      <c r="B4719" s="1" t="str">
        <f>"2022-825"</f>
        <v>2022-825</v>
      </c>
      <c r="C4719" s="1" t="s">
        <v>2492</v>
      </c>
      <c r="D4719" s="1" t="s">
        <v>2493</v>
      </c>
      <c r="E4719" s="1" t="str">
        <f>""</f>
        <v/>
      </c>
      <c r="F4719" s="1" t="s">
        <v>1860</v>
      </c>
      <c r="G4719" s="1" t="str">
        <f>CONCATENATE(" TOKIĆ D.O.O.,"," ULICA 144. BRIGADE HRVATSKE VOJSKE 1A,"," 10360 SESVETE,"," OIB: 7486748762")</f>
        <v xml:space="preserve"> TOKIĆ D.O.O., ULICA 144. BRIGADE HRVATSKE VOJSKE 1A, 10360 SESVETE, OIB: 7486748762</v>
      </c>
      <c r="H4719" s="7"/>
      <c r="I4719" s="8" t="s">
        <v>414</v>
      </c>
      <c r="J4719" s="8" t="s">
        <v>1466</v>
      </c>
      <c r="K4719" s="6" t="str">
        <f>"764,60"</f>
        <v>764,60</v>
      </c>
      <c r="L4719" s="6" t="str">
        <f>"191,15"</f>
        <v>191,15</v>
      </c>
      <c r="M4719" s="6" t="str">
        <f>"955,75"</f>
        <v>955,75</v>
      </c>
      <c r="N4719" s="8" t="s">
        <v>732</v>
      </c>
      <c r="O4719" s="7"/>
      <c r="P4719" s="2" t="s">
        <v>8361</v>
      </c>
      <c r="Q4719" s="7"/>
      <c r="R4719" s="1"/>
      <c r="S4719" s="1" t="str">
        <f>"J-UN-2022-1669"</f>
        <v>J-UN-2022-1669</v>
      </c>
      <c r="T4719" s="1" t="s">
        <v>32</v>
      </c>
    </row>
    <row r="4720" spans="1:20" ht="51" x14ac:dyDescent="0.25">
      <c r="A4720" s="6">
        <v>4712</v>
      </c>
      <c r="B4720" s="1" t="str">
        <f>"2022-222"</f>
        <v>2022-222</v>
      </c>
      <c r="C4720" s="1" t="s">
        <v>2841</v>
      </c>
      <c r="D4720" s="1" t="s">
        <v>2842</v>
      </c>
      <c r="E4720" s="1" t="str">
        <f>""</f>
        <v/>
      </c>
      <c r="F4720" s="1" t="s">
        <v>1860</v>
      </c>
      <c r="G4720" s="1" t="str">
        <f>CONCATENATE(" TAHOGRAF D.O.O.,"," DR. FRANJE TUĐMANA 24,"," 10431 SVETA NEDELJA,"," OIB: 73777060562")</f>
        <v xml:space="preserve"> TAHOGRAF D.O.O., DR. FRANJE TUĐMANA 24, 10431 SVETA NEDELJA, OIB: 73777060562</v>
      </c>
      <c r="H4720" s="7"/>
      <c r="I4720" s="8" t="s">
        <v>414</v>
      </c>
      <c r="J4720" s="8" t="s">
        <v>1466</v>
      </c>
      <c r="K4720" s="6" t="str">
        <f>"4.734,00"</f>
        <v>4.734,00</v>
      </c>
      <c r="L4720" s="6" t="str">
        <f>"1.183,50"</f>
        <v>1.183,50</v>
      </c>
      <c r="M4720" s="6" t="str">
        <f>"5.917,50"</f>
        <v>5.917,50</v>
      </c>
      <c r="N4720" s="8" t="s">
        <v>1147</v>
      </c>
      <c r="O4720" s="7"/>
      <c r="P4720" s="2" t="s">
        <v>8179</v>
      </c>
      <c r="Q4720" s="7"/>
      <c r="R4720" s="1"/>
      <c r="S4720" s="1" t="str">
        <f>"J-UN-2022-1670"</f>
        <v>J-UN-2022-1670</v>
      </c>
      <c r="T4720" s="1" t="s">
        <v>32</v>
      </c>
    </row>
    <row r="4721" spans="1:20" ht="63.75" x14ac:dyDescent="0.25">
      <c r="A4721" s="6">
        <v>4713</v>
      </c>
      <c r="B4721" s="1" t="str">
        <f>"2022-363"</f>
        <v>2022-363</v>
      </c>
      <c r="C4721" s="1" t="s">
        <v>2609</v>
      </c>
      <c r="D4721" s="1" t="s">
        <v>2610</v>
      </c>
      <c r="E4721" s="1" t="str">
        <f>""</f>
        <v/>
      </c>
      <c r="F4721" s="1" t="s">
        <v>1860</v>
      </c>
      <c r="G4721" s="1" t="str">
        <f>CONCATENATE(" LEŽAJ TRADE D.O.O.,"," BRDOVEC,"," ZAGREBAČKA 26,"," 10291 PRIGORJE BRDOVEČKO,"," OIB: 64008199572")</f>
        <v xml:space="preserve"> LEŽAJ TRADE D.O.O., BRDOVEC, ZAGREBAČKA 26, 10291 PRIGORJE BRDOVEČKO, OIB: 64008199572</v>
      </c>
      <c r="H4721" s="7"/>
      <c r="I4721" s="8" t="s">
        <v>414</v>
      </c>
      <c r="J4721" s="8" t="s">
        <v>1466</v>
      </c>
      <c r="K4721" s="6" t="str">
        <f>"750,01"</f>
        <v>750,01</v>
      </c>
      <c r="L4721" s="6" t="str">
        <f>"187,50"</f>
        <v>187,50</v>
      </c>
      <c r="M4721" s="6" t="str">
        <f>"937,51"</f>
        <v>937,51</v>
      </c>
      <c r="N4721" s="8" t="s">
        <v>420</v>
      </c>
      <c r="O4721" s="7"/>
      <c r="P4721" s="2" t="s">
        <v>8362</v>
      </c>
      <c r="Q4721" s="7"/>
      <c r="R4721" s="1"/>
      <c r="S4721" s="1" t="str">
        <f>"J-UN-2022-1677"</f>
        <v>J-UN-2022-1677</v>
      </c>
      <c r="T4721" s="1" t="s">
        <v>32</v>
      </c>
    </row>
    <row r="4722" spans="1:20" ht="63.75" x14ac:dyDescent="0.25">
      <c r="A4722" s="6">
        <v>4714</v>
      </c>
      <c r="B4722" s="1" t="str">
        <f>"2022-714"</f>
        <v>2022-714</v>
      </c>
      <c r="C4722" s="1" t="s">
        <v>2710</v>
      </c>
      <c r="D4722" s="1" t="s">
        <v>815</v>
      </c>
      <c r="E4722" s="1" t="str">
        <f>""</f>
        <v/>
      </c>
      <c r="F4722" s="1" t="s">
        <v>1860</v>
      </c>
      <c r="G4722" s="1" t="str">
        <f>CONCATENATE(" TOKIĆ D.O.O.,"," ULICA 144. BRIGADE HRVATSKE VOJSKE 1A,"," 10360 SESVETE,"," OIB: 7486748762")</f>
        <v xml:space="preserve"> TOKIĆ D.O.O., ULICA 144. BRIGADE HRVATSKE VOJSKE 1A, 10360 SESVETE, OIB: 7486748762</v>
      </c>
      <c r="H4722" s="7"/>
      <c r="I4722" s="8" t="s">
        <v>414</v>
      </c>
      <c r="J4722" s="8" t="s">
        <v>1466</v>
      </c>
      <c r="K4722" s="6" t="str">
        <f>"3.040,00"</f>
        <v>3.040,00</v>
      </c>
      <c r="L4722" s="6" t="str">
        <f>"760,00"</f>
        <v>760,00</v>
      </c>
      <c r="M4722" s="6" t="str">
        <f>"3.800,00"</f>
        <v>3.800,00</v>
      </c>
      <c r="N4722" s="8" t="s">
        <v>1612</v>
      </c>
      <c r="O4722" s="7"/>
      <c r="P4722" s="2" t="s">
        <v>8363</v>
      </c>
      <c r="Q4722" s="7"/>
      <c r="R4722" s="1"/>
      <c r="S4722" s="1" t="str">
        <f>"J-UN-2022-1678"</f>
        <v>J-UN-2022-1678</v>
      </c>
      <c r="T4722" s="1" t="s">
        <v>32</v>
      </c>
    </row>
    <row r="4723" spans="1:20" ht="51" x14ac:dyDescent="0.25">
      <c r="A4723" s="6">
        <v>4715</v>
      </c>
      <c r="B4723" s="1" t="str">
        <f>"2022-950"</f>
        <v>2022-950</v>
      </c>
      <c r="C4723" s="1" t="s">
        <v>2854</v>
      </c>
      <c r="D4723" s="1" t="s">
        <v>2855</v>
      </c>
      <c r="E4723" s="1" t="str">
        <f>""</f>
        <v/>
      </c>
      <c r="F4723" s="1" t="s">
        <v>1860</v>
      </c>
      <c r="G4723" s="1" t="str">
        <f>CONCATENATE(" OLEUM FLEX D.O.O.,"," PUŠKARIĆEVA ULICA 11F,"," 10250 LUČKO,"," OIB: 53785632625")</f>
        <v xml:space="preserve"> OLEUM FLEX D.O.O., PUŠKARIĆEVA ULICA 11F, 10250 LUČKO, OIB: 53785632625</v>
      </c>
      <c r="H4723" s="7"/>
      <c r="I4723" s="8" t="s">
        <v>567</v>
      </c>
      <c r="J4723" s="8" t="s">
        <v>2432</v>
      </c>
      <c r="K4723" s="6" t="str">
        <f>"2.605,44"</f>
        <v>2.605,44</v>
      </c>
      <c r="L4723" s="6" t="str">
        <f>"651,36"</f>
        <v>651,36</v>
      </c>
      <c r="M4723" s="6" t="str">
        <f>"3.256,80"</f>
        <v>3.256,80</v>
      </c>
      <c r="N4723" s="8" t="s">
        <v>415</v>
      </c>
      <c r="O4723" s="7"/>
      <c r="P4723" s="2" t="s">
        <v>8364</v>
      </c>
      <c r="Q4723" s="7"/>
      <c r="R4723" s="1"/>
      <c r="S4723" s="1" t="str">
        <f>"J-UN-2022-1679"</f>
        <v>J-UN-2022-1679</v>
      </c>
      <c r="T4723" s="1" t="s">
        <v>32</v>
      </c>
    </row>
    <row r="4724" spans="1:20" ht="51" x14ac:dyDescent="0.25">
      <c r="A4724" s="6">
        <v>4716</v>
      </c>
      <c r="B4724" s="1" t="str">
        <f>"2022-276"</f>
        <v>2022-276</v>
      </c>
      <c r="C4724" s="1" t="s">
        <v>2726</v>
      </c>
      <c r="D4724" s="1" t="s">
        <v>689</v>
      </c>
      <c r="E4724" s="1" t="str">
        <f>""</f>
        <v/>
      </c>
      <c r="F4724" s="1" t="s">
        <v>1860</v>
      </c>
      <c r="G4724" s="1" t="str">
        <f>CONCATENATE(" VODOSKOK D.D.,"," ČULINEČKA CESTA 221/C,"," 10040 ZAGREB,"," OIB: 34134218058")</f>
        <v xml:space="preserve"> VODOSKOK D.D., ČULINEČKA CESTA 221/C, 10040 ZAGREB, OIB: 34134218058</v>
      </c>
      <c r="H4724" s="7"/>
      <c r="I4724" s="8" t="s">
        <v>414</v>
      </c>
      <c r="J4724" s="8" t="s">
        <v>1466</v>
      </c>
      <c r="K4724" s="6" t="str">
        <f>"23.850,00"</f>
        <v>23.850,00</v>
      </c>
      <c r="L4724" s="6" t="str">
        <f>"5.962,50"</f>
        <v>5.962,50</v>
      </c>
      <c r="M4724" s="6" t="str">
        <f>"29.812,50"</f>
        <v>29.812,50</v>
      </c>
      <c r="N4724" s="8" t="s">
        <v>625</v>
      </c>
      <c r="O4724" s="7"/>
      <c r="P4724" s="2" t="s">
        <v>8365</v>
      </c>
      <c r="Q4724" s="7"/>
      <c r="R4724" s="1"/>
      <c r="S4724" s="1" t="str">
        <f>"J-UN-2022-1680"</f>
        <v>J-UN-2022-1680</v>
      </c>
      <c r="T4724" s="1" t="s">
        <v>32</v>
      </c>
    </row>
    <row r="4725" spans="1:20" ht="76.5" x14ac:dyDescent="0.25">
      <c r="A4725" s="6">
        <v>4717</v>
      </c>
      <c r="B4725" s="1" t="str">
        <f>"2022-755"</f>
        <v>2022-755</v>
      </c>
      <c r="C4725" s="1" t="s">
        <v>2615</v>
      </c>
      <c r="D4725" s="1" t="s">
        <v>999</v>
      </c>
      <c r="E4725" s="1" t="str">
        <f>""</f>
        <v/>
      </c>
      <c r="F4725" s="1" t="s">
        <v>1860</v>
      </c>
      <c r="G4725" s="1" t="str">
        <f>CONCATENATE(" SMIT-COMMERCE D.O.O.,"," GORNJOSTUPNIČKA 9B,"," 10255 GORNJI STUPNIK,"," OIB: 9524348214")</f>
        <v xml:space="preserve"> SMIT-COMMERCE D.O.O., GORNJOSTUPNIČKA 9B, 10255 GORNJI STUPNIK, OIB: 9524348214</v>
      </c>
      <c r="H4725" s="7"/>
      <c r="I4725" s="8" t="s">
        <v>414</v>
      </c>
      <c r="J4725" s="8" t="s">
        <v>1466</v>
      </c>
      <c r="K4725" s="6" t="str">
        <f>"10.028,00"</f>
        <v>10.028,00</v>
      </c>
      <c r="L4725" s="6" t="str">
        <f>"2.507,00"</f>
        <v>2.507,00</v>
      </c>
      <c r="M4725" s="6" t="str">
        <f>"12.535,00"</f>
        <v>12.535,00</v>
      </c>
      <c r="N4725" s="8" t="s">
        <v>124</v>
      </c>
      <c r="O4725" s="7"/>
      <c r="P4725" s="2" t="s">
        <v>8366</v>
      </c>
      <c r="Q4725" s="7"/>
      <c r="R4725" s="1"/>
      <c r="S4725" s="1" t="str">
        <f>"J-UN-2022-1681"</f>
        <v>J-UN-2022-1681</v>
      </c>
      <c r="T4725" s="1" t="s">
        <v>32</v>
      </c>
    </row>
    <row r="4726" spans="1:20" ht="51" x14ac:dyDescent="0.25">
      <c r="A4726" s="6">
        <v>4718</v>
      </c>
      <c r="B4726" s="1" t="str">
        <f>"2022-1346"</f>
        <v>2022-1346</v>
      </c>
      <c r="C4726" s="1" t="s">
        <v>2811</v>
      </c>
      <c r="D4726" s="1" t="s">
        <v>1859</v>
      </c>
      <c r="E4726" s="1" t="str">
        <f>""</f>
        <v/>
      </c>
      <c r="F4726" s="1" t="s">
        <v>1860</v>
      </c>
      <c r="G4726" s="1" t="str">
        <f>CONCATENATE(" ZIRS UČILIŠTE,"," ULICA GRADA VUKOVARA 68,"," 10000 ZAGREB,"," OIB: 22228764473")</f>
        <v xml:space="preserve"> ZIRS UČILIŠTE, ULICA GRADA VUKOVARA 68, 10000 ZAGREB, OIB: 22228764473</v>
      </c>
      <c r="H4726" s="7"/>
      <c r="I4726" s="8" t="s">
        <v>415</v>
      </c>
      <c r="J4726" s="8" t="s">
        <v>3236</v>
      </c>
      <c r="K4726" s="6" t="str">
        <f>"4.800,00"</f>
        <v>4.800,00</v>
      </c>
      <c r="L4726" s="6" t="str">
        <f>"1.200,00"</f>
        <v>1.200,00</v>
      </c>
      <c r="M4726" s="6" t="str">
        <f>"6.000,00"</f>
        <v>6.000,00</v>
      </c>
      <c r="N4726" s="8" t="s">
        <v>124</v>
      </c>
      <c r="O4726" s="7"/>
      <c r="P4726" s="2" t="s">
        <v>5614</v>
      </c>
      <c r="Q4726" s="7"/>
      <c r="R4726" s="1"/>
      <c r="S4726" s="1" t="str">
        <f>"J-UN-2022-1683"</f>
        <v>J-UN-2022-1683</v>
      </c>
      <c r="T4726" s="1" t="s">
        <v>32</v>
      </c>
    </row>
    <row r="4727" spans="1:20" ht="63.75" x14ac:dyDescent="0.25">
      <c r="A4727" s="6">
        <v>4719</v>
      </c>
      <c r="B4727" s="1" t="str">
        <f>"2022-193"</f>
        <v>2022-193</v>
      </c>
      <c r="C4727" s="1" t="s">
        <v>2731</v>
      </c>
      <c r="D4727" s="1" t="s">
        <v>2732</v>
      </c>
      <c r="E4727" s="1" t="str">
        <f>""</f>
        <v/>
      </c>
      <c r="F4727" s="1" t="s">
        <v>1860</v>
      </c>
      <c r="G4727" s="1" t="str">
        <f>CONCATENATE(" PROTING HORVAT D.O.O.,"," FRANA GALINOVIĆA 4,"," 49000 KRAPINA,"," OIB: 75263812619")</f>
        <v xml:space="preserve"> PROTING HORVAT D.O.O., FRANA GALINOVIĆA 4, 49000 KRAPINA, OIB: 75263812619</v>
      </c>
      <c r="H4727" s="7"/>
      <c r="I4727" s="8" t="s">
        <v>414</v>
      </c>
      <c r="J4727" s="8" t="s">
        <v>1466</v>
      </c>
      <c r="K4727" s="6" t="str">
        <f>"6.600,00"</f>
        <v>6.600,00</v>
      </c>
      <c r="L4727" s="6" t="str">
        <f>"1.650,00"</f>
        <v>1.650,00</v>
      </c>
      <c r="M4727" s="6" t="str">
        <f>"8.250,00"</f>
        <v>8.250,00</v>
      </c>
      <c r="N4727" s="8" t="s">
        <v>732</v>
      </c>
      <c r="O4727" s="7"/>
      <c r="P4727" s="2" t="s">
        <v>8367</v>
      </c>
      <c r="Q4727" s="7"/>
      <c r="R4727" s="1"/>
      <c r="S4727" s="1" t="str">
        <f>"J-UN-2022-1685"</f>
        <v>J-UN-2022-1685</v>
      </c>
      <c r="T4727" s="1" t="s">
        <v>32</v>
      </c>
    </row>
    <row r="4728" spans="1:20" ht="51" x14ac:dyDescent="0.25">
      <c r="A4728" s="6">
        <v>4720</v>
      </c>
      <c r="B4728" s="1" t="str">
        <f>"2022-823"</f>
        <v>2022-823</v>
      </c>
      <c r="C4728" s="1" t="s">
        <v>2675</v>
      </c>
      <c r="D4728" s="1" t="s">
        <v>2676</v>
      </c>
      <c r="E4728" s="1" t="str">
        <f>""</f>
        <v/>
      </c>
      <c r="F4728" s="1" t="s">
        <v>1860</v>
      </c>
      <c r="G4728" s="1" t="str">
        <f>CONCATENATE(" AUTOBUS D.O.O.,"," I. RESNIK 178,"," 10040 ZAGREB,"," OIB: 77383886713")</f>
        <v xml:space="preserve"> AUTOBUS D.O.O., I. RESNIK 178, 10040 ZAGREB, OIB: 77383886713</v>
      </c>
      <c r="H4728" s="7"/>
      <c r="I4728" s="8" t="s">
        <v>567</v>
      </c>
      <c r="J4728" s="8" t="s">
        <v>2432</v>
      </c>
      <c r="K4728" s="6" t="str">
        <f>"6.733,22"</f>
        <v>6.733,22</v>
      </c>
      <c r="L4728" s="6" t="str">
        <f>"1.683,31"</f>
        <v>1.683,31</v>
      </c>
      <c r="M4728" s="6" t="str">
        <f>"8.416,53"</f>
        <v>8.416,53</v>
      </c>
      <c r="N4728" s="8" t="s">
        <v>432</v>
      </c>
      <c r="O4728" s="7"/>
      <c r="P4728" s="2" t="s">
        <v>8368</v>
      </c>
      <c r="Q4728" s="7"/>
      <c r="R4728" s="1"/>
      <c r="S4728" s="1" t="str">
        <f>"J-UN-2022-1686"</f>
        <v>J-UN-2022-1686</v>
      </c>
      <c r="T4728" s="1" t="s">
        <v>32</v>
      </c>
    </row>
    <row r="4729" spans="1:20" ht="63.75" x14ac:dyDescent="0.25">
      <c r="A4729" s="6">
        <v>4721</v>
      </c>
      <c r="B4729" s="1" t="str">
        <f>"2022-186"</f>
        <v>2022-186</v>
      </c>
      <c r="C4729" s="1" t="s">
        <v>2534</v>
      </c>
      <c r="D4729" s="1" t="s">
        <v>2535</v>
      </c>
      <c r="E4729" s="1" t="str">
        <f>""</f>
        <v/>
      </c>
      <c r="F4729" s="1" t="s">
        <v>1860</v>
      </c>
      <c r="G4729" s="1" t="str">
        <f>CONCATENATE(" ARABUSTA DOMIC D.O.O.,"," MARJANOVIĆEV PRILAZ 9,"," 10000 ZAGREB,"," OIB: 86431702899")</f>
        <v xml:space="preserve"> ARABUSTA DOMIC D.O.O., MARJANOVIĆEV PRILAZ 9, 10000 ZAGREB, OIB: 86431702899</v>
      </c>
      <c r="H4729" s="7"/>
      <c r="I4729" s="8" t="s">
        <v>102</v>
      </c>
      <c r="J4729" s="8" t="s">
        <v>1898</v>
      </c>
      <c r="K4729" s="6" t="str">
        <f>"2.528,00"</f>
        <v>2.528,00</v>
      </c>
      <c r="L4729" s="6" t="str">
        <f>"632,00"</f>
        <v>632,00</v>
      </c>
      <c r="M4729" s="6" t="str">
        <f>"3.160,00"</f>
        <v>3.160,00</v>
      </c>
      <c r="N4729" s="8" t="s">
        <v>301</v>
      </c>
      <c r="O4729" s="7"/>
      <c r="P4729" s="2" t="s">
        <v>8306</v>
      </c>
      <c r="Q4729" s="7"/>
      <c r="R4729" s="1"/>
      <c r="S4729" s="1" t="str">
        <f>"J-UN-2022-1687"</f>
        <v>J-UN-2022-1687</v>
      </c>
      <c r="T4729" s="1" t="s">
        <v>32</v>
      </c>
    </row>
    <row r="4730" spans="1:20" ht="51" x14ac:dyDescent="0.25">
      <c r="A4730" s="6">
        <v>4722</v>
      </c>
      <c r="B4730" s="1" t="str">
        <f>"2022-216"</f>
        <v>2022-216</v>
      </c>
      <c r="C4730" s="1" t="s">
        <v>2595</v>
      </c>
      <c r="D4730" s="1" t="s">
        <v>2596</v>
      </c>
      <c r="E4730" s="1" t="str">
        <f>""</f>
        <v/>
      </c>
      <c r="F4730" s="1" t="s">
        <v>1860</v>
      </c>
      <c r="G4730" s="1" t="str">
        <f>CONCATENATE(" LUNIK D.O.O.,"," VITASOVIĆEVA POLJANA 11,"," 10000 ZAGREB,"," OIB: 39896978807")</f>
        <v xml:space="preserve"> LUNIK D.O.O., VITASOVIĆEVA POLJANA 11, 10000 ZAGREB, OIB: 39896978807</v>
      </c>
      <c r="H4730" s="7"/>
      <c r="I4730" s="8" t="s">
        <v>102</v>
      </c>
      <c r="J4730" s="8" t="s">
        <v>1898</v>
      </c>
      <c r="K4730" s="6" t="str">
        <f>"8.000,00"</f>
        <v>8.000,00</v>
      </c>
      <c r="L4730" s="6" t="str">
        <f>"2.000,00"</f>
        <v>2.000,00</v>
      </c>
      <c r="M4730" s="6" t="str">
        <f>"10.000,00"</f>
        <v>10.000,00</v>
      </c>
      <c r="N4730" s="8" t="s">
        <v>124</v>
      </c>
      <c r="O4730" s="7"/>
      <c r="P4730" s="2" t="s">
        <v>5614</v>
      </c>
      <c r="Q4730" s="7"/>
      <c r="R4730" s="1"/>
      <c r="S4730" s="1" t="str">
        <f>"J-UN-2022-1688"</f>
        <v>J-UN-2022-1688</v>
      </c>
      <c r="T4730" s="1" t="s">
        <v>32</v>
      </c>
    </row>
    <row r="4731" spans="1:20" ht="76.5" x14ac:dyDescent="0.25">
      <c r="A4731" s="6">
        <v>4723</v>
      </c>
      <c r="B4731" s="1" t="str">
        <f>"2022-1974"</f>
        <v>2022-1974</v>
      </c>
      <c r="C4731" s="1" t="s">
        <v>662</v>
      </c>
      <c r="D4731" s="1" t="s">
        <v>659</v>
      </c>
      <c r="E4731" s="1" t="str">
        <f>""</f>
        <v/>
      </c>
      <c r="F4731" s="1" t="s">
        <v>1860</v>
      </c>
      <c r="G4731" s="1" t="str">
        <f>CONCATENATE(" SMIT-COMMERCE D.O.O.,"," GORNJOSTUPNIČKA 9B,"," 10255 GORNJI STUPNIK,"," OIB: 9524348214")</f>
        <v xml:space="preserve"> SMIT-COMMERCE D.O.O., GORNJOSTUPNIČKA 9B, 10255 GORNJI STUPNIK, OIB: 9524348214</v>
      </c>
      <c r="H4731" s="7"/>
      <c r="I4731" s="8" t="s">
        <v>415</v>
      </c>
      <c r="J4731" s="8" t="s">
        <v>3236</v>
      </c>
      <c r="K4731" s="6" t="str">
        <f>"2.605,50"</f>
        <v>2.605,50</v>
      </c>
      <c r="L4731" s="6" t="str">
        <f>"651,38"</f>
        <v>651,38</v>
      </c>
      <c r="M4731" s="6" t="str">
        <f>"3.256,88"</f>
        <v>3.256,88</v>
      </c>
      <c r="N4731" s="8" t="s">
        <v>124</v>
      </c>
      <c r="O4731" s="7"/>
      <c r="P4731" s="2" t="s">
        <v>5614</v>
      </c>
      <c r="Q4731" s="7"/>
      <c r="R4731" s="1"/>
      <c r="S4731" s="1" t="str">
        <f>"J-UN-2022-1689"</f>
        <v>J-UN-2022-1689</v>
      </c>
      <c r="T4731" s="1" t="s">
        <v>32</v>
      </c>
    </row>
    <row r="4732" spans="1:20" ht="63.75" x14ac:dyDescent="0.25">
      <c r="A4732" s="6">
        <v>4724</v>
      </c>
      <c r="B4732" s="1" t="str">
        <f>"2022-535"</f>
        <v>2022-535</v>
      </c>
      <c r="C4732" s="1" t="s">
        <v>2561</v>
      </c>
      <c r="D4732" s="1" t="s">
        <v>2156</v>
      </c>
      <c r="E4732" s="1" t="str">
        <f>""</f>
        <v/>
      </c>
      <c r="F4732" s="1" t="s">
        <v>1860</v>
      </c>
      <c r="G4732" s="1" t="str">
        <f>CONCATENATE(" IQ CENTAR ZAGRIA D.O.O.,"," SLAVONSKA AVENIJA 26/9,"," 10000 ZAGREB,"," OIB: 85805332078")</f>
        <v xml:space="preserve"> IQ CENTAR ZAGRIA D.O.O., SLAVONSKA AVENIJA 26/9, 10000 ZAGREB, OIB: 85805332078</v>
      </c>
      <c r="H4732" s="7"/>
      <c r="I4732" s="8" t="s">
        <v>567</v>
      </c>
      <c r="J4732" s="8" t="s">
        <v>2432</v>
      </c>
      <c r="K4732" s="6" t="str">
        <f>"4.147,70"</f>
        <v>4.147,70</v>
      </c>
      <c r="L4732" s="6" t="str">
        <f>"1.036,93"</f>
        <v>1.036,93</v>
      </c>
      <c r="M4732" s="6" t="str">
        <f>"5.184,63"</f>
        <v>5.184,63</v>
      </c>
      <c r="N4732" s="8" t="s">
        <v>1032</v>
      </c>
      <c r="O4732" s="7"/>
      <c r="P4732" s="2" t="s">
        <v>8369</v>
      </c>
      <c r="Q4732" s="7"/>
      <c r="R4732" s="1"/>
      <c r="S4732" s="1" t="str">
        <f>"J-UN-2022-1692"</f>
        <v>J-UN-2022-1692</v>
      </c>
      <c r="T4732" s="1" t="s">
        <v>32</v>
      </c>
    </row>
    <row r="4733" spans="1:20" ht="63.75" x14ac:dyDescent="0.25">
      <c r="A4733" s="6">
        <v>4725</v>
      </c>
      <c r="B4733" s="1" t="str">
        <f>"2022-852"</f>
        <v>2022-852</v>
      </c>
      <c r="C4733" s="1" t="s">
        <v>2469</v>
      </c>
      <c r="D4733" s="1" t="s">
        <v>2287</v>
      </c>
      <c r="E4733" s="1" t="str">
        <f>""</f>
        <v/>
      </c>
      <c r="F4733" s="1" t="s">
        <v>1860</v>
      </c>
      <c r="G4733" s="1" t="str">
        <f>CONCATENATE(" IQ CENTAR ZAGRIA D.O.O.,"," SLAVONSKA AVENIJA 26/9,"," 10000 ZAGREB,"," OIB: 85805332078")</f>
        <v xml:space="preserve"> IQ CENTAR ZAGRIA D.O.O., SLAVONSKA AVENIJA 26/9, 10000 ZAGREB, OIB: 85805332078</v>
      </c>
      <c r="H4733" s="7"/>
      <c r="I4733" s="8" t="s">
        <v>567</v>
      </c>
      <c r="J4733" s="8" t="s">
        <v>2432</v>
      </c>
      <c r="K4733" s="6" t="str">
        <f>"2.983,00"</f>
        <v>2.983,00</v>
      </c>
      <c r="L4733" s="6" t="str">
        <f>"745,75"</f>
        <v>745,75</v>
      </c>
      <c r="M4733" s="6" t="str">
        <f>"3.728,75"</f>
        <v>3.728,75</v>
      </c>
      <c r="N4733" s="8" t="s">
        <v>1032</v>
      </c>
      <c r="O4733" s="7"/>
      <c r="P4733" s="2" t="s">
        <v>8370</v>
      </c>
      <c r="Q4733" s="7"/>
      <c r="R4733" s="1"/>
      <c r="S4733" s="1" t="str">
        <f>"J-UN-2022-1693"</f>
        <v>J-UN-2022-1693</v>
      </c>
      <c r="T4733" s="1" t="s">
        <v>32</v>
      </c>
    </row>
    <row r="4734" spans="1:20" ht="63.75" x14ac:dyDescent="0.25">
      <c r="A4734" s="6">
        <v>4726</v>
      </c>
      <c r="B4734" s="1" t="str">
        <f>"2022-1942"</f>
        <v>2022-1942</v>
      </c>
      <c r="C4734" s="1" t="s">
        <v>3187</v>
      </c>
      <c r="D4734" s="1" t="s">
        <v>34</v>
      </c>
      <c r="E4734" s="1" t="str">
        <f>""</f>
        <v/>
      </c>
      <c r="F4734" s="1" t="s">
        <v>1860</v>
      </c>
      <c r="G4734" s="1" t="str">
        <f>CONCATENATE(" URIHO - ZAGREB,"," AVENIJA MARINA DRŽIĆA 1,"," 10000 ZAGREB,"," OIB: 77931216562")</f>
        <v xml:space="preserve"> URIHO - ZAGREB, AVENIJA MARINA DRŽIĆA 1, 10000 ZAGREB, OIB: 77931216562</v>
      </c>
      <c r="H4734" s="7"/>
      <c r="I4734" s="8" t="s">
        <v>415</v>
      </c>
      <c r="J4734" s="8" t="s">
        <v>3236</v>
      </c>
      <c r="K4734" s="6" t="str">
        <f>"45.320,00"</f>
        <v>45.320,00</v>
      </c>
      <c r="L4734" s="6" t="str">
        <f>"11.330,00"</f>
        <v>11.330,00</v>
      </c>
      <c r="M4734" s="6" t="str">
        <f>"56.650,00"</f>
        <v>56.650,00</v>
      </c>
      <c r="N4734" s="8" t="s">
        <v>124</v>
      </c>
      <c r="O4734" s="7"/>
      <c r="P4734" s="2" t="s">
        <v>5614</v>
      </c>
      <c r="Q4734" s="7"/>
      <c r="R4734" s="1"/>
      <c r="S4734" s="1" t="str">
        <f>"J-UN-2022-1695"</f>
        <v>J-UN-2022-1695</v>
      </c>
      <c r="T4734" s="1" t="s">
        <v>43</v>
      </c>
    </row>
    <row r="4735" spans="1:20" ht="51" x14ac:dyDescent="0.25">
      <c r="A4735" s="6">
        <v>4727</v>
      </c>
      <c r="B4735" s="1" t="str">
        <f>"2022-1986"</f>
        <v>2022-1986</v>
      </c>
      <c r="C4735" s="1" t="s">
        <v>3221</v>
      </c>
      <c r="D4735" s="1" t="s">
        <v>1304</v>
      </c>
      <c r="E4735" s="1" t="str">
        <f>""</f>
        <v/>
      </c>
      <c r="F4735" s="1" t="s">
        <v>1860</v>
      </c>
      <c r="G4735" s="1" t="str">
        <f>CONCATENATE(" VODOSKOK D.D.,"," ČULINEČKA CESTA 221/C,"," 10040 ZAGREB,"," OIB: 34134218058")</f>
        <v xml:space="preserve"> VODOSKOK D.D., ČULINEČKA CESTA 221/C, 10040 ZAGREB, OIB: 34134218058</v>
      </c>
      <c r="H4735" s="7"/>
      <c r="I4735" s="8" t="s">
        <v>415</v>
      </c>
      <c r="J4735" s="8" t="s">
        <v>3236</v>
      </c>
      <c r="K4735" s="6" t="str">
        <f>"8.511,00"</f>
        <v>8.511,00</v>
      </c>
      <c r="L4735" s="6" t="str">
        <f>"2.127,75"</f>
        <v>2.127,75</v>
      </c>
      <c r="M4735" s="6" t="str">
        <f>"10.638,75"</f>
        <v>10.638,75</v>
      </c>
      <c r="N4735" s="8" t="s">
        <v>124</v>
      </c>
      <c r="O4735" s="7"/>
      <c r="P4735" s="2" t="s">
        <v>5614</v>
      </c>
      <c r="Q4735" s="7"/>
      <c r="R4735" s="1"/>
      <c r="S4735" s="1" t="str">
        <f>"J-UN-2022-1696"</f>
        <v>J-UN-2022-1696</v>
      </c>
      <c r="T4735" s="1" t="s">
        <v>32</v>
      </c>
    </row>
    <row r="4736" spans="1:20" ht="51" x14ac:dyDescent="0.25">
      <c r="A4736" s="6">
        <v>4728</v>
      </c>
      <c r="B4736" s="1" t="str">
        <f>"2022-1977"</f>
        <v>2022-1977</v>
      </c>
      <c r="C4736" s="1" t="s">
        <v>3239</v>
      </c>
      <c r="D4736" s="1" t="s">
        <v>1529</v>
      </c>
      <c r="E4736" s="1" t="str">
        <f>""</f>
        <v/>
      </c>
      <c r="F4736" s="1" t="s">
        <v>1860</v>
      </c>
      <c r="G4736" s="1" t="str">
        <f>CONCATENATE(" VULKAL D.O.O.,"," SAMOBORSKA CESTA 310,"," 10000 ZAGREB,"," OIB: 9043969613")</f>
        <v xml:space="preserve"> VULKAL D.O.O., SAMOBORSKA CESTA 310, 10000 ZAGREB, OIB: 9043969613</v>
      </c>
      <c r="H4736" s="7"/>
      <c r="I4736" s="8" t="s">
        <v>415</v>
      </c>
      <c r="J4736" s="8" t="s">
        <v>3236</v>
      </c>
      <c r="K4736" s="6" t="str">
        <f>"32.506,00"</f>
        <v>32.506,00</v>
      </c>
      <c r="L4736" s="6" t="str">
        <f>"8.126,50"</f>
        <v>8.126,50</v>
      </c>
      <c r="M4736" s="6" t="str">
        <f>"40.632,50"</f>
        <v>40.632,50</v>
      </c>
      <c r="N4736" s="8" t="s">
        <v>124</v>
      </c>
      <c r="O4736" s="7"/>
      <c r="P4736" s="2" t="s">
        <v>8371</v>
      </c>
      <c r="Q4736" s="7"/>
      <c r="R4736" s="1"/>
      <c r="S4736" s="1" t="str">
        <f>"J-UN-2022-1697"</f>
        <v>J-UN-2022-1697</v>
      </c>
      <c r="T4736" s="1" t="s">
        <v>32</v>
      </c>
    </row>
    <row r="4737" spans="1:20" ht="51" x14ac:dyDescent="0.25">
      <c r="A4737" s="6">
        <v>4729</v>
      </c>
      <c r="B4737" s="1" t="str">
        <f>"2022-1978"</f>
        <v>2022-1978</v>
      </c>
      <c r="C4737" s="1" t="s">
        <v>3232</v>
      </c>
      <c r="D4737" s="1" t="s">
        <v>1529</v>
      </c>
      <c r="E4737" s="1" t="str">
        <f>""</f>
        <v/>
      </c>
      <c r="F4737" s="1" t="s">
        <v>1860</v>
      </c>
      <c r="G4737" s="1" t="str">
        <f>CONCATENATE(" PNEUMATIK D.O.O.,"," KARAŽNIK 2/A,"," 10000 ZAGREB,"," OIB: 68256909072")</f>
        <v xml:space="preserve"> PNEUMATIK D.O.O., KARAŽNIK 2/A, 10000 ZAGREB, OIB: 68256909072</v>
      </c>
      <c r="H4737" s="7"/>
      <c r="I4737" s="8" t="s">
        <v>415</v>
      </c>
      <c r="J4737" s="8" t="s">
        <v>3236</v>
      </c>
      <c r="K4737" s="6" t="str">
        <f>"25.200,00"</f>
        <v>25.200,00</v>
      </c>
      <c r="L4737" s="6" t="str">
        <f>"6.300,00"</f>
        <v>6.300,00</v>
      </c>
      <c r="M4737" s="6" t="str">
        <f>"31.500,00"</f>
        <v>31.500,00</v>
      </c>
      <c r="N4737" s="8" t="s">
        <v>81</v>
      </c>
      <c r="O4737" s="7"/>
      <c r="P4737" s="2" t="s">
        <v>6254</v>
      </c>
      <c r="Q4737" s="7"/>
      <c r="R4737" s="1"/>
      <c r="S4737" s="1" t="str">
        <f>"J-UN-2022-1698"</f>
        <v>J-UN-2022-1698</v>
      </c>
      <c r="T4737" s="1" t="s">
        <v>32</v>
      </c>
    </row>
    <row r="4738" spans="1:20" ht="51" x14ac:dyDescent="0.25">
      <c r="A4738" s="6">
        <v>4730</v>
      </c>
      <c r="B4738" s="1" t="str">
        <f>"2022-2012"</f>
        <v>2022-2012</v>
      </c>
      <c r="C4738" s="1" t="s">
        <v>3233</v>
      </c>
      <c r="D4738" s="1" t="s">
        <v>1529</v>
      </c>
      <c r="E4738" s="1" t="str">
        <f>""</f>
        <v/>
      </c>
      <c r="F4738" s="1" t="s">
        <v>1860</v>
      </c>
      <c r="G4738" s="1" t="str">
        <f>CONCATENATE(" PNEUMATIK D.O.O.,"," KARAŽNIK 2/A,"," 10000 ZAGREB,"," OIB: 68256909072")</f>
        <v xml:space="preserve"> PNEUMATIK D.O.O., KARAŽNIK 2/A, 10000 ZAGREB, OIB: 68256909072</v>
      </c>
      <c r="H4738" s="7"/>
      <c r="I4738" s="8" t="s">
        <v>415</v>
      </c>
      <c r="J4738" s="8" t="s">
        <v>3236</v>
      </c>
      <c r="K4738" s="6" t="str">
        <f>"25.600,00"</f>
        <v>25.600,00</v>
      </c>
      <c r="L4738" s="6" t="str">
        <f>"6.400,00"</f>
        <v>6.400,00</v>
      </c>
      <c r="M4738" s="6" t="str">
        <f>"32.000,00"</f>
        <v>32.000,00</v>
      </c>
      <c r="N4738" s="8" t="s">
        <v>625</v>
      </c>
      <c r="O4738" s="7"/>
      <c r="P4738" s="2" t="s">
        <v>8372</v>
      </c>
      <c r="Q4738" s="7"/>
      <c r="R4738" s="1"/>
      <c r="S4738" s="1" t="str">
        <f>"J-UN-2022-1699"</f>
        <v>J-UN-2022-1699</v>
      </c>
      <c r="T4738" s="1" t="s">
        <v>32</v>
      </c>
    </row>
    <row r="4739" spans="1:20" ht="51" x14ac:dyDescent="0.25">
      <c r="A4739" s="6">
        <v>4731</v>
      </c>
      <c r="B4739" s="1" t="str">
        <f>"2022-2013"</f>
        <v>2022-2013</v>
      </c>
      <c r="C4739" s="1" t="s">
        <v>3234</v>
      </c>
      <c r="D4739" s="1" t="s">
        <v>1529</v>
      </c>
      <c r="E4739" s="1" t="str">
        <f>""</f>
        <v/>
      </c>
      <c r="F4739" s="1" t="s">
        <v>1860</v>
      </c>
      <c r="G4739" s="1" t="str">
        <f>CONCATENATE(" VULKAL D.O.O.,"," SAMOBORSKA CESTA 310,"," 10000 ZAGREB,"," OIB: 9043969613")</f>
        <v xml:space="preserve"> VULKAL D.O.O., SAMOBORSKA CESTA 310, 10000 ZAGREB, OIB: 9043969613</v>
      </c>
      <c r="H4739" s="7"/>
      <c r="I4739" s="8" t="s">
        <v>415</v>
      </c>
      <c r="J4739" s="8" t="s">
        <v>3236</v>
      </c>
      <c r="K4739" s="6" t="str">
        <f>"31.058,00"</f>
        <v>31.058,00</v>
      </c>
      <c r="L4739" s="6" t="str">
        <f>"7.764,50"</f>
        <v>7.764,50</v>
      </c>
      <c r="M4739" s="6" t="str">
        <f>"38.822,50"</f>
        <v>38.822,50</v>
      </c>
      <c r="N4739" s="8" t="s">
        <v>124</v>
      </c>
      <c r="O4739" s="7"/>
      <c r="P4739" s="2" t="s">
        <v>8373</v>
      </c>
      <c r="Q4739" s="7"/>
      <c r="R4739" s="1"/>
      <c r="S4739" s="1" t="str">
        <f>"J-UN-2022-1700"</f>
        <v>J-UN-2022-1700</v>
      </c>
      <c r="T4739" s="1" t="s">
        <v>32</v>
      </c>
    </row>
    <row r="4740" spans="1:20" ht="63.75" x14ac:dyDescent="0.25">
      <c r="A4740" s="6">
        <v>4732</v>
      </c>
      <c r="B4740" s="1" t="str">
        <f>"2022-2020"</f>
        <v>2022-2020</v>
      </c>
      <c r="C4740" s="1" t="s">
        <v>3240</v>
      </c>
      <c r="D4740" s="1" t="s">
        <v>1986</v>
      </c>
      <c r="E4740" s="1" t="str">
        <f>""</f>
        <v/>
      </c>
      <c r="F4740" s="1" t="s">
        <v>1860</v>
      </c>
      <c r="G4740" s="1" t="str">
        <f>CONCATENATE(" KON-VIS  D.O.O.,"," NOVA CESTA 115,"," 10000 ZAGREB,"," OIB: 06558758965")</f>
        <v xml:space="preserve"> KON-VIS  D.O.O., NOVA CESTA 115, 10000 ZAGREB, OIB: 06558758965</v>
      </c>
      <c r="H4740" s="7"/>
      <c r="I4740" s="8" t="s">
        <v>415</v>
      </c>
      <c r="J4740" s="8" t="s">
        <v>3236</v>
      </c>
      <c r="K4740" s="6" t="str">
        <f>"19.980,00"</f>
        <v>19.980,00</v>
      </c>
      <c r="L4740" s="6" t="str">
        <f>"4.995,00"</f>
        <v>4.995,00</v>
      </c>
      <c r="M4740" s="6" t="str">
        <f>"24.975,00"</f>
        <v>24.975,00</v>
      </c>
      <c r="N4740" s="8" t="s">
        <v>509</v>
      </c>
      <c r="O4740" s="7"/>
      <c r="P4740" s="2" t="s">
        <v>8374</v>
      </c>
      <c r="Q4740" s="7"/>
      <c r="R4740" s="1"/>
      <c r="S4740" s="1" t="str">
        <f>"J-UN-2022-1702"</f>
        <v>J-UN-2022-1702</v>
      </c>
      <c r="T4740" s="1" t="s">
        <v>32</v>
      </c>
    </row>
    <row r="4741" spans="1:20" ht="63.75" x14ac:dyDescent="0.25">
      <c r="A4741" s="6">
        <v>4733</v>
      </c>
      <c r="B4741" s="1" t="str">
        <f>"2022-1974"</f>
        <v>2022-1974</v>
      </c>
      <c r="C4741" s="1" t="s">
        <v>662</v>
      </c>
      <c r="D4741" s="1" t="s">
        <v>659</v>
      </c>
      <c r="E4741" s="1" t="str">
        <f>""</f>
        <v/>
      </c>
      <c r="F4741" s="1" t="s">
        <v>1860</v>
      </c>
      <c r="G4741" s="1" t="str">
        <f>CONCATENATE(" ELEKTRO-KOMUNIKACIJE D.O.O.,"," 14. PODBREŽJE 4,"," 10000 ZAGREB,"," OIB: 76412373309")</f>
        <v xml:space="preserve"> ELEKTRO-KOMUNIKACIJE D.O.O., 14. PODBREŽJE 4, 10000 ZAGREB, OIB: 76412373309</v>
      </c>
      <c r="H4741" s="7"/>
      <c r="I4741" s="8" t="s">
        <v>81</v>
      </c>
      <c r="J4741" s="8" t="s">
        <v>3237</v>
      </c>
      <c r="K4741" s="6" t="str">
        <f>"769,00"</f>
        <v>769,00</v>
      </c>
      <c r="L4741" s="6" t="str">
        <f>"192,25"</f>
        <v>192,25</v>
      </c>
      <c r="M4741" s="6" t="str">
        <f>"961,25"</f>
        <v>961,25</v>
      </c>
      <c r="N4741" s="8" t="s">
        <v>124</v>
      </c>
      <c r="O4741" s="7"/>
      <c r="P4741" s="2" t="s">
        <v>5614</v>
      </c>
      <c r="Q4741" s="7"/>
      <c r="R4741" s="1"/>
      <c r="S4741" s="1" t="str">
        <f>"J-UN-2022-1703"</f>
        <v>J-UN-2022-1703</v>
      </c>
      <c r="T4741" s="1" t="s">
        <v>32</v>
      </c>
    </row>
    <row r="4742" spans="1:20" ht="51" x14ac:dyDescent="0.25">
      <c r="A4742" s="6">
        <v>4734</v>
      </c>
      <c r="B4742" s="1" t="str">
        <f>"2022-40"</f>
        <v>2022-40</v>
      </c>
      <c r="C4742" s="1" t="s">
        <v>2317</v>
      </c>
      <c r="D4742" s="1" t="s">
        <v>837</v>
      </c>
      <c r="E4742" s="1" t="str">
        <f>""</f>
        <v/>
      </c>
      <c r="F4742" s="1" t="s">
        <v>1860</v>
      </c>
      <c r="G4742" s="1" t="str">
        <f>CONCATENATE(" VRUTAK D.O.O.,"," VODOVODNA 20A,"," 10000 ZAGREB,"," OIB: 9509288893")</f>
        <v xml:space="preserve"> VRUTAK D.O.O., VODOVODNA 20A, 10000 ZAGREB, OIB: 9509288893</v>
      </c>
      <c r="H4742" s="7"/>
      <c r="I4742" s="8" t="s">
        <v>317</v>
      </c>
      <c r="J4742" s="8" t="s">
        <v>3225</v>
      </c>
      <c r="K4742" s="6" t="str">
        <f>"1.007,14"</f>
        <v>1.007,14</v>
      </c>
      <c r="L4742" s="6" t="str">
        <f>"251,79"</f>
        <v>251,79</v>
      </c>
      <c r="M4742" s="6" t="str">
        <f>"1.258,93"</f>
        <v>1.258,93</v>
      </c>
      <c r="N4742" s="8" t="s">
        <v>432</v>
      </c>
      <c r="O4742" s="7"/>
      <c r="P4742" s="2" t="s">
        <v>8375</v>
      </c>
      <c r="Q4742" s="7"/>
      <c r="R4742" s="1"/>
      <c r="S4742" s="1" t="str">
        <f>"J-UN-2022-1705"</f>
        <v>J-UN-2022-1705</v>
      </c>
      <c r="T4742" s="1" t="s">
        <v>32</v>
      </c>
    </row>
    <row r="4743" spans="1:20" ht="63.75" x14ac:dyDescent="0.25">
      <c r="A4743" s="6">
        <v>4735</v>
      </c>
      <c r="B4743" s="1" t="str">
        <f>"2022-1291"</f>
        <v>2022-1291</v>
      </c>
      <c r="C4743" s="1" t="s">
        <v>2989</v>
      </c>
      <c r="D4743" s="1" t="s">
        <v>2990</v>
      </c>
      <c r="E4743" s="1" t="str">
        <f>""</f>
        <v/>
      </c>
      <c r="F4743" s="1" t="s">
        <v>1860</v>
      </c>
      <c r="G4743" s="1" t="str">
        <f>CONCATENATE(" LANIŠTE D.O.O.,"," ALEXANDERA VON HUMBOLDTA 4B,"," 10000 ZAGREB,"," OIB: 3755384865")</f>
        <v xml:space="preserve"> LANIŠTE D.O.O., ALEXANDERA VON HUMBOLDTA 4B, 10000 ZAGREB, OIB: 3755384865</v>
      </c>
      <c r="H4743" s="7"/>
      <c r="I4743" s="8" t="s">
        <v>414</v>
      </c>
      <c r="J4743" s="8" t="s">
        <v>1466</v>
      </c>
      <c r="K4743" s="6" t="str">
        <f>"6.716,00"</f>
        <v>6.716,00</v>
      </c>
      <c r="L4743" s="6" t="str">
        <f>"1.679,00"</f>
        <v>1.679,00</v>
      </c>
      <c r="M4743" s="6" t="str">
        <f>"8.395,00"</f>
        <v>8.395,00</v>
      </c>
      <c r="N4743" s="8" t="s">
        <v>124</v>
      </c>
      <c r="O4743" s="7"/>
      <c r="P4743" s="2" t="s">
        <v>5614</v>
      </c>
      <c r="Q4743" s="7"/>
      <c r="R4743" s="1"/>
      <c r="S4743" s="1" t="str">
        <f>"J-UN-2022-1710"</f>
        <v>J-UN-2022-1710</v>
      </c>
      <c r="T4743" s="1" t="s">
        <v>32</v>
      </c>
    </row>
    <row r="4744" spans="1:20" ht="63.75" x14ac:dyDescent="0.25">
      <c r="A4744" s="6">
        <v>4736</v>
      </c>
      <c r="B4744" s="1" t="str">
        <f>"2022-1430"</f>
        <v>2022-1430</v>
      </c>
      <c r="C4744" s="1" t="s">
        <v>2986</v>
      </c>
      <c r="D4744" s="1" t="s">
        <v>2985</v>
      </c>
      <c r="E4744" s="1" t="str">
        <f>""</f>
        <v/>
      </c>
      <c r="F4744" s="1" t="s">
        <v>1860</v>
      </c>
      <c r="G4744" s="1" t="str">
        <f>CONCATENATE(" LANIŠTE D.O.O.,"," ALEXANDERA VON HUMBOLDTA 4B,"," 10000 ZAGREB,"," OIB: 3755384865")</f>
        <v xml:space="preserve"> LANIŠTE D.O.O., ALEXANDERA VON HUMBOLDTA 4B, 10000 ZAGREB, OIB: 3755384865</v>
      </c>
      <c r="H4744" s="7"/>
      <c r="I4744" s="8" t="s">
        <v>414</v>
      </c>
      <c r="J4744" s="8" t="s">
        <v>1466</v>
      </c>
      <c r="K4744" s="6" t="str">
        <f>"7.452,00"</f>
        <v>7.452,00</v>
      </c>
      <c r="L4744" s="6" t="str">
        <f>"1.863,00"</f>
        <v>1.863,00</v>
      </c>
      <c r="M4744" s="6" t="str">
        <f>"9.315,00"</f>
        <v>9.315,00</v>
      </c>
      <c r="N4744" s="8" t="s">
        <v>124</v>
      </c>
      <c r="O4744" s="7"/>
      <c r="P4744" s="2" t="s">
        <v>5614</v>
      </c>
      <c r="Q4744" s="7"/>
      <c r="R4744" s="1"/>
      <c r="S4744" s="1" t="str">
        <f>"J-UN-2022-1712"</f>
        <v>J-UN-2022-1712</v>
      </c>
      <c r="T4744" s="1" t="s">
        <v>32</v>
      </c>
    </row>
    <row r="4745" spans="1:20" ht="51" x14ac:dyDescent="0.25">
      <c r="A4745" s="6">
        <v>4737</v>
      </c>
      <c r="B4745" s="1" t="str">
        <f>"2022-240"</f>
        <v>2022-240</v>
      </c>
      <c r="C4745" s="1" t="s">
        <v>2866</v>
      </c>
      <c r="D4745" s="1" t="s">
        <v>2867</v>
      </c>
      <c r="E4745" s="1" t="str">
        <f>""</f>
        <v/>
      </c>
      <c r="F4745" s="1" t="s">
        <v>1860</v>
      </c>
      <c r="G4745" s="1" t="str">
        <f>CONCATENATE(" ARBORI CULTURA D.O.O.,"," POKUPSKO 86,"," 10414 POKUPSKO,"," OIB: 16690651659")</f>
        <v xml:space="preserve"> ARBORI CULTURA D.O.O., POKUPSKO 86, 10414 POKUPSKO, OIB: 16690651659</v>
      </c>
      <c r="H4745" s="7"/>
      <c r="I4745" s="8" t="s">
        <v>420</v>
      </c>
      <c r="J4745" s="8" t="s">
        <v>3241</v>
      </c>
      <c r="K4745" s="6" t="str">
        <f>"12.400,00"</f>
        <v>12.400,00</v>
      </c>
      <c r="L4745" s="6" t="str">
        <f>"3.100,00"</f>
        <v>3.100,00</v>
      </c>
      <c r="M4745" s="6" t="str">
        <f>"15.500,00"</f>
        <v>15.500,00</v>
      </c>
      <c r="N4745" s="8" t="s">
        <v>124</v>
      </c>
      <c r="O4745" s="7"/>
      <c r="P4745" s="2" t="s">
        <v>5614</v>
      </c>
      <c r="Q4745" s="7"/>
      <c r="R4745" s="1"/>
      <c r="S4745" s="1" t="str">
        <f>"J-UN-2022-1713"</f>
        <v>J-UN-2022-1713</v>
      </c>
      <c r="T4745" s="1" t="s">
        <v>32</v>
      </c>
    </row>
    <row r="4746" spans="1:20" ht="51" x14ac:dyDescent="0.25">
      <c r="A4746" s="6">
        <v>4738</v>
      </c>
      <c r="B4746" s="1" t="str">
        <f>"2022-427"</f>
        <v>2022-427</v>
      </c>
      <c r="C4746" s="1" t="s">
        <v>3082</v>
      </c>
      <c r="D4746" s="1" t="s">
        <v>2577</v>
      </c>
      <c r="E4746" s="1" t="str">
        <f>""</f>
        <v/>
      </c>
      <c r="F4746" s="1" t="s">
        <v>1860</v>
      </c>
      <c r="G4746" s="1" t="str">
        <f>CONCATENATE(" TPZ D.O.O.,"," NOVOSELSKA 25,"," 10000 ZAGREB,"," OIB: 68119083236")</f>
        <v xml:space="preserve"> TPZ D.O.O., NOVOSELSKA 25, 10000 ZAGREB, OIB: 68119083236</v>
      </c>
      <c r="H4746" s="7"/>
      <c r="I4746" s="8" t="s">
        <v>414</v>
      </c>
      <c r="J4746" s="8" t="s">
        <v>1466</v>
      </c>
      <c r="K4746" s="6" t="str">
        <f>"2.761,32"</f>
        <v>2.761,32</v>
      </c>
      <c r="L4746" s="6" t="str">
        <f>"690,33"</f>
        <v>690,33</v>
      </c>
      <c r="M4746" s="6" t="str">
        <f>"3.451,65"</f>
        <v>3.451,65</v>
      </c>
      <c r="N4746" s="8" t="s">
        <v>124</v>
      </c>
      <c r="O4746" s="7"/>
      <c r="P4746" s="2" t="s">
        <v>5614</v>
      </c>
      <c r="Q4746" s="7"/>
      <c r="R4746" s="1"/>
      <c r="S4746" s="1" t="str">
        <f>"J-UN-2022-1715"</f>
        <v>J-UN-2022-1715</v>
      </c>
      <c r="T4746" s="1" t="s">
        <v>32</v>
      </c>
    </row>
    <row r="4747" spans="1:20" ht="63.75" x14ac:dyDescent="0.25">
      <c r="A4747" s="6">
        <v>4739</v>
      </c>
      <c r="B4747" s="1" t="str">
        <f>"2022-909"</f>
        <v>2022-909</v>
      </c>
      <c r="C4747" s="1" t="s">
        <v>2718</v>
      </c>
      <c r="D4747" s="1" t="s">
        <v>1102</v>
      </c>
      <c r="E4747" s="1" t="str">
        <f>""</f>
        <v/>
      </c>
      <c r="F4747" s="1" t="s">
        <v>1860</v>
      </c>
      <c r="G4747" s="1" t="str">
        <f>CONCATENATE(" ADEO d.o.o. Osijek,"," ULICA KRALJA TOMISLAVA 81,"," 31327 BILJE,"," OIB: 6242811405")</f>
        <v xml:space="preserve"> ADEO d.o.o. Osijek, ULICA KRALJA TOMISLAVA 81, 31327 BILJE, OIB: 6242811405</v>
      </c>
      <c r="H4747" s="7"/>
      <c r="I4747" s="8" t="s">
        <v>420</v>
      </c>
      <c r="J4747" s="8" t="s">
        <v>3241</v>
      </c>
      <c r="K4747" s="6" t="str">
        <f>"1.250,00"</f>
        <v>1.250,00</v>
      </c>
      <c r="L4747" s="6" t="str">
        <f>"312,50"</f>
        <v>312,50</v>
      </c>
      <c r="M4747" s="6" t="str">
        <f>"1.562,50"</f>
        <v>1.562,50</v>
      </c>
      <c r="N4747" s="8" t="s">
        <v>124</v>
      </c>
      <c r="O4747" s="7"/>
      <c r="P4747" s="2" t="s">
        <v>5614</v>
      </c>
      <c r="Q4747" s="7"/>
      <c r="R4747" s="1"/>
      <c r="S4747" s="1" t="str">
        <f>"J-UN-2022-1716"</f>
        <v>J-UN-2022-1716</v>
      </c>
      <c r="T4747" s="1" t="s">
        <v>32</v>
      </c>
    </row>
    <row r="4748" spans="1:20" ht="76.5" x14ac:dyDescent="0.25">
      <c r="A4748" s="6">
        <v>4740</v>
      </c>
      <c r="B4748" s="1" t="str">
        <f>"2022-914"</f>
        <v>2022-914</v>
      </c>
      <c r="C4748" s="1" t="s">
        <v>2847</v>
      </c>
      <c r="D4748" s="1" t="s">
        <v>1007</v>
      </c>
      <c r="E4748" s="1" t="str">
        <f>""</f>
        <v/>
      </c>
      <c r="F4748" s="1" t="s">
        <v>1860</v>
      </c>
      <c r="G4748" s="1" t="str">
        <f>CONCATENATE(" BILIĆ-ERIĆ D.O.O.,"," TRGOVAČKI CENTAR MILLENNIJUM,"," LJUDEVITA POSAVSKOG 3,"," 10360 SESVETE,"," OIB: 685801282")</f>
        <v xml:space="preserve"> BILIĆ-ERIĆ D.O.O., TRGOVAČKI CENTAR MILLENNIJUM, LJUDEVITA POSAVSKOG 3, 10360 SESVETE, OIB: 685801282</v>
      </c>
      <c r="H4748" s="7"/>
      <c r="I4748" s="8" t="s">
        <v>432</v>
      </c>
      <c r="J4748" s="8" t="s">
        <v>1502</v>
      </c>
      <c r="K4748" s="6" t="str">
        <f>"4.346,50"</f>
        <v>4.346,50</v>
      </c>
      <c r="L4748" s="6" t="str">
        <f>"1.086,63"</f>
        <v>1.086,63</v>
      </c>
      <c r="M4748" s="6" t="str">
        <f>"5.433,13"</f>
        <v>5.433,13</v>
      </c>
      <c r="N4748" s="8" t="s">
        <v>409</v>
      </c>
      <c r="O4748" s="7"/>
      <c r="P4748" s="2" t="s">
        <v>8376</v>
      </c>
      <c r="Q4748" s="7"/>
      <c r="R4748" s="1"/>
      <c r="S4748" s="1" t="str">
        <f>"J-UN-2022-1717"</f>
        <v>J-UN-2022-1717</v>
      </c>
      <c r="T4748" s="1" t="s">
        <v>32</v>
      </c>
    </row>
    <row r="4749" spans="1:20" ht="51" x14ac:dyDescent="0.25">
      <c r="A4749" s="6">
        <v>4741</v>
      </c>
      <c r="B4749" s="1" t="str">
        <f>"2022-801"</f>
        <v>2022-801</v>
      </c>
      <c r="C4749" s="1" t="s">
        <v>2771</v>
      </c>
      <c r="D4749" s="1" t="s">
        <v>2772</v>
      </c>
      <c r="E4749" s="1" t="str">
        <f>""</f>
        <v/>
      </c>
      <c r="F4749" s="1" t="s">
        <v>1860</v>
      </c>
      <c r="G4749" s="1" t="str">
        <f>CONCATENATE(" O-REL D.O.O.,"," POLJANA JOSIPA BRUNŠMIDA 2,"," 10000 ZAGREB,"," OIB: 71438240165")</f>
        <v xml:space="preserve"> O-REL D.O.O., POLJANA JOSIPA BRUNŠMIDA 2, 10000 ZAGREB, OIB: 71438240165</v>
      </c>
      <c r="H4749" s="7"/>
      <c r="I4749" s="8" t="s">
        <v>432</v>
      </c>
      <c r="J4749" s="8" t="s">
        <v>1502</v>
      </c>
      <c r="K4749" s="6" t="str">
        <f>"6.499,50"</f>
        <v>6.499,50</v>
      </c>
      <c r="L4749" s="6" t="str">
        <f>"1.624,88"</f>
        <v>1.624,88</v>
      </c>
      <c r="M4749" s="6" t="str">
        <f>"8.124,38"</f>
        <v>8.124,38</v>
      </c>
      <c r="N4749" s="8" t="s">
        <v>124</v>
      </c>
      <c r="O4749" s="7"/>
      <c r="P4749" s="2" t="s">
        <v>5614</v>
      </c>
      <c r="Q4749" s="7"/>
      <c r="R4749" s="1"/>
      <c r="S4749" s="1" t="str">
        <f>"J-UN-2022-1718"</f>
        <v>J-UN-2022-1718</v>
      </c>
      <c r="T4749" s="1" t="s">
        <v>32</v>
      </c>
    </row>
    <row r="4750" spans="1:20" ht="51" x14ac:dyDescent="0.25">
      <c r="A4750" s="6">
        <v>4742</v>
      </c>
      <c r="B4750" s="1" t="str">
        <f>"2022-535"</f>
        <v>2022-535</v>
      </c>
      <c r="C4750" s="1" t="s">
        <v>2561</v>
      </c>
      <c r="D4750" s="1" t="s">
        <v>2156</v>
      </c>
      <c r="E4750" s="1" t="str">
        <f>""</f>
        <v/>
      </c>
      <c r="F4750" s="1" t="s">
        <v>1860</v>
      </c>
      <c r="G4750" s="1" t="str">
        <f>CONCATENATE(" KSU D.O.O.,"," DR. JURJA DOBRILE 50,"," 10410 VELIKA GORICA,"," OIB: 349769936")</f>
        <v xml:space="preserve"> KSU D.O.O., DR. JURJA DOBRILE 50, 10410 VELIKA GORICA, OIB: 349769936</v>
      </c>
      <c r="H4750" s="7"/>
      <c r="I4750" s="8" t="s">
        <v>420</v>
      </c>
      <c r="J4750" s="8" t="s">
        <v>3241</v>
      </c>
      <c r="K4750" s="6" t="str">
        <f>"5.700,00"</f>
        <v>5.700,00</v>
      </c>
      <c r="L4750" s="6" t="str">
        <f>"1.425,00"</f>
        <v>1.425,00</v>
      </c>
      <c r="M4750" s="6" t="str">
        <f>"7.125,00"</f>
        <v>7.125,00</v>
      </c>
      <c r="N4750" s="8" t="s">
        <v>409</v>
      </c>
      <c r="O4750" s="7"/>
      <c r="P4750" s="2" t="s">
        <v>6716</v>
      </c>
      <c r="Q4750" s="7"/>
      <c r="R4750" s="1"/>
      <c r="S4750" s="1" t="str">
        <f>"J-UN-2022-1719"</f>
        <v>J-UN-2022-1719</v>
      </c>
      <c r="T4750" s="1" t="s">
        <v>32</v>
      </c>
    </row>
    <row r="4751" spans="1:20" ht="63.75" x14ac:dyDescent="0.25">
      <c r="A4751" s="6">
        <v>4743</v>
      </c>
      <c r="B4751" s="1" t="str">
        <f>"2022-165"</f>
        <v>2022-165</v>
      </c>
      <c r="C4751" s="1" t="s">
        <v>2952</v>
      </c>
      <c r="D4751" s="1" t="s">
        <v>2953</v>
      </c>
      <c r="E4751" s="1" t="str">
        <f>""</f>
        <v/>
      </c>
      <c r="F4751" s="1" t="s">
        <v>1860</v>
      </c>
      <c r="G4751" s="1" t="str">
        <f>CONCATENATE(" POLJOPRIVREDNIK VLADO CRLJENKOVIĆ,"," BANIĆEVA 44,"," 35404 CERNIK,"," OIB: 565136778")</f>
        <v xml:space="preserve"> POLJOPRIVREDNIK VLADO CRLJENKOVIĆ, BANIĆEVA 44, 35404 CERNIK, OIB: 565136778</v>
      </c>
      <c r="H4751" s="7"/>
      <c r="I4751" s="8" t="s">
        <v>420</v>
      </c>
      <c r="J4751" s="8" t="s">
        <v>3241</v>
      </c>
      <c r="K4751" s="6" t="str">
        <f>"76.250,00"</f>
        <v>76.250,00</v>
      </c>
      <c r="L4751" s="6" t="str">
        <f>"19.062,50"</f>
        <v>19.062,50</v>
      </c>
      <c r="M4751" s="6" t="str">
        <f>"95.312,50"</f>
        <v>95.312,50</v>
      </c>
      <c r="N4751" s="8" t="s">
        <v>124</v>
      </c>
      <c r="O4751" s="7"/>
      <c r="P4751" s="2" t="s">
        <v>5614</v>
      </c>
      <c r="Q4751" s="7"/>
      <c r="R4751" s="1"/>
      <c r="S4751" s="1" t="str">
        <f>"J-UN-2022-1720"</f>
        <v>J-UN-2022-1720</v>
      </c>
      <c r="T4751" s="1" t="s">
        <v>32</v>
      </c>
    </row>
    <row r="4752" spans="1:20" ht="51" x14ac:dyDescent="0.25">
      <c r="A4752" s="6">
        <v>4744</v>
      </c>
      <c r="B4752" s="1" t="str">
        <f>"2022-813"</f>
        <v>2022-813</v>
      </c>
      <c r="C4752" s="1" t="s">
        <v>2844</v>
      </c>
      <c r="D4752" s="1" t="s">
        <v>2716</v>
      </c>
      <c r="E4752" s="1" t="str">
        <f>""</f>
        <v/>
      </c>
      <c r="F4752" s="1" t="s">
        <v>1860</v>
      </c>
      <c r="G4752" s="1" t="str">
        <f>CONCATENATE(" LAGER BAŠIĆ D.O.O.,"," TRGOVAČKA 3,"," 10255 DONJI STUPNIK,"," OIB: 49617677906")</f>
        <v xml:space="preserve"> LAGER BAŠIĆ D.O.O., TRGOVAČKA 3, 10255 DONJI STUPNIK, OIB: 49617677906</v>
      </c>
      <c r="H4752" s="7"/>
      <c r="I4752" s="8" t="s">
        <v>432</v>
      </c>
      <c r="J4752" s="8" t="s">
        <v>1502</v>
      </c>
      <c r="K4752" s="6" t="str">
        <f>"6.210,00"</f>
        <v>6.210,00</v>
      </c>
      <c r="L4752" s="6" t="str">
        <f>"1.552,50"</f>
        <v>1.552,50</v>
      </c>
      <c r="M4752" s="6" t="str">
        <f>"7.762,50"</f>
        <v>7.762,50</v>
      </c>
      <c r="N4752" s="8" t="s">
        <v>124</v>
      </c>
      <c r="O4752" s="7"/>
      <c r="P4752" s="2" t="s">
        <v>5614</v>
      </c>
      <c r="Q4752" s="7"/>
      <c r="R4752" s="1"/>
      <c r="S4752" s="1" t="str">
        <f>"J-UN-2022-1721"</f>
        <v>J-UN-2022-1721</v>
      </c>
      <c r="T4752" s="1" t="s">
        <v>32</v>
      </c>
    </row>
    <row r="4753" spans="1:20" ht="51" x14ac:dyDescent="0.25">
      <c r="A4753" s="6">
        <v>4745</v>
      </c>
      <c r="B4753" s="1" t="str">
        <f>"2022-716"</f>
        <v>2022-716</v>
      </c>
      <c r="C4753" s="1" t="s">
        <v>2563</v>
      </c>
      <c r="D4753" s="1" t="s">
        <v>914</v>
      </c>
      <c r="E4753" s="1" t="str">
        <f>""</f>
        <v/>
      </c>
      <c r="F4753" s="1" t="s">
        <v>1860</v>
      </c>
      <c r="G4753" s="1" t="str">
        <f>CONCATENATE(" D.R. AUTO D.O.O.,"," SELSKA CESTA 34,"," 10000 ZAGREB,"," OIB: 07523847158")</f>
        <v xml:space="preserve"> D.R. AUTO D.O.O., SELSKA CESTA 34, 10000 ZAGREB, OIB: 07523847158</v>
      </c>
      <c r="H4753" s="7"/>
      <c r="I4753" s="8" t="s">
        <v>432</v>
      </c>
      <c r="J4753" s="8" t="s">
        <v>1502</v>
      </c>
      <c r="K4753" s="6" t="str">
        <f>"1.309,60"</f>
        <v>1.309,60</v>
      </c>
      <c r="L4753" s="6" t="str">
        <f>"327,40"</f>
        <v>327,40</v>
      </c>
      <c r="M4753" s="6" t="str">
        <f>"1.637,00"</f>
        <v>1.637,00</v>
      </c>
      <c r="N4753" s="8" t="s">
        <v>124</v>
      </c>
      <c r="O4753" s="7"/>
      <c r="P4753" s="2" t="s">
        <v>5614</v>
      </c>
      <c r="Q4753" s="7"/>
      <c r="R4753" s="1"/>
      <c r="S4753" s="1" t="str">
        <f>"J-UN-2022-1722"</f>
        <v>J-UN-2022-1722</v>
      </c>
      <c r="T4753" s="1" t="s">
        <v>32</v>
      </c>
    </row>
    <row r="4754" spans="1:20" ht="63.75" x14ac:dyDescent="0.25">
      <c r="A4754" s="6">
        <v>4746</v>
      </c>
      <c r="B4754" s="1" t="str">
        <f>"2022-1976"</f>
        <v>2022-1976</v>
      </c>
      <c r="C4754" s="1" t="s">
        <v>3242</v>
      </c>
      <c r="D4754" s="1" t="s">
        <v>766</v>
      </c>
      <c r="E4754" s="1" t="str">
        <f>""</f>
        <v/>
      </c>
      <c r="F4754" s="1" t="s">
        <v>1860</v>
      </c>
      <c r="G4754" s="1" t="str">
        <f>CONCATENATE(" TOKIĆ D.O.O.,"," ULICA 144. BRIGADE HRVATSKE VOJSKE 1A,"," 10360 SESVETE,"," OIB: 7486748762")</f>
        <v xml:space="preserve"> TOKIĆ D.O.O., ULICA 144. BRIGADE HRVATSKE VOJSKE 1A, 10360 SESVETE, OIB: 7486748762</v>
      </c>
      <c r="H4754" s="7"/>
      <c r="I4754" s="8" t="s">
        <v>732</v>
      </c>
      <c r="J4754" s="8" t="s">
        <v>3243</v>
      </c>
      <c r="K4754" s="6" t="str">
        <f>"34.806,00"</f>
        <v>34.806,00</v>
      </c>
      <c r="L4754" s="6" t="str">
        <f>"8.701,50"</f>
        <v>8.701,50</v>
      </c>
      <c r="M4754" s="6" t="str">
        <f>"43.507,50"</f>
        <v>43.507,50</v>
      </c>
      <c r="N4754" s="8" t="s">
        <v>1159</v>
      </c>
      <c r="O4754" s="7"/>
      <c r="P4754" s="2" t="s">
        <v>8377</v>
      </c>
      <c r="Q4754" s="7"/>
      <c r="R4754" s="1"/>
      <c r="S4754" s="1" t="str">
        <f>"J-UN-2022-1723"</f>
        <v>J-UN-2022-1723</v>
      </c>
      <c r="T4754" s="1" t="s">
        <v>32</v>
      </c>
    </row>
    <row r="4755" spans="1:20" ht="51" x14ac:dyDescent="0.25">
      <c r="A4755" s="6">
        <v>4747</v>
      </c>
      <c r="B4755" s="1" t="str">
        <f>"2022-852"</f>
        <v>2022-852</v>
      </c>
      <c r="C4755" s="1" t="s">
        <v>2469</v>
      </c>
      <c r="D4755" s="1" t="s">
        <v>2287</v>
      </c>
      <c r="E4755" s="1" t="str">
        <f>""</f>
        <v/>
      </c>
      <c r="F4755" s="1" t="s">
        <v>1860</v>
      </c>
      <c r="G4755" s="1" t="str">
        <f>CONCATENATE(" EUROKOD PISAČIĆ D.O.O.,"," RUDEŠKA CESTA 16,"," 10000 ZAGREB,"," OIB: 8329104842")</f>
        <v xml:space="preserve"> EUROKOD PISAČIĆ D.O.O., RUDEŠKA CESTA 16, 10000 ZAGREB, OIB: 8329104842</v>
      </c>
      <c r="H4755" s="7"/>
      <c r="I4755" s="8" t="s">
        <v>432</v>
      </c>
      <c r="J4755" s="8" t="s">
        <v>1502</v>
      </c>
      <c r="K4755" s="6" t="str">
        <f>"3.845,00"</f>
        <v>3.845,00</v>
      </c>
      <c r="L4755" s="6" t="str">
        <f>"961,25"</f>
        <v>961,25</v>
      </c>
      <c r="M4755" s="6" t="str">
        <f>"4.806,25"</f>
        <v>4.806,25</v>
      </c>
      <c r="N4755" s="8" t="s">
        <v>875</v>
      </c>
      <c r="O4755" s="7"/>
      <c r="P4755" s="2" t="s">
        <v>8378</v>
      </c>
      <c r="Q4755" s="7"/>
      <c r="R4755" s="1"/>
      <c r="S4755" s="1" t="str">
        <f>"J-UN-2022-1724"</f>
        <v>J-UN-2022-1724</v>
      </c>
      <c r="T4755" s="1" t="s">
        <v>43</v>
      </c>
    </row>
    <row r="4756" spans="1:20" ht="51" x14ac:dyDescent="0.25">
      <c r="A4756" s="6">
        <v>4748</v>
      </c>
      <c r="B4756" s="1" t="str">
        <f>"2022-602"</f>
        <v>2022-602</v>
      </c>
      <c r="C4756" s="1" t="s">
        <v>2642</v>
      </c>
      <c r="D4756" s="1" t="s">
        <v>1236</v>
      </c>
      <c r="E4756" s="1" t="str">
        <f>""</f>
        <v/>
      </c>
      <c r="F4756" s="1" t="s">
        <v>1860</v>
      </c>
      <c r="G4756" s="1" t="str">
        <f>CONCATENATE(" EUROMONT INTRO D.O.O.,"," KANALSKI PUT 20,"," 10000 ZAGREB,"," OIB: 46289034988")</f>
        <v xml:space="preserve"> EUROMONT INTRO D.O.O., KANALSKI PUT 20, 10000 ZAGREB, OIB: 46289034988</v>
      </c>
      <c r="H4756" s="7"/>
      <c r="I4756" s="8" t="s">
        <v>432</v>
      </c>
      <c r="J4756" s="8" t="s">
        <v>1502</v>
      </c>
      <c r="K4756" s="6" t="str">
        <f>"7.684,50"</f>
        <v>7.684,50</v>
      </c>
      <c r="L4756" s="6" t="str">
        <f>"1.921,13"</f>
        <v>1.921,13</v>
      </c>
      <c r="M4756" s="6" t="str">
        <f>"9.605,63"</f>
        <v>9.605,63</v>
      </c>
      <c r="N4756" s="8" t="s">
        <v>124</v>
      </c>
      <c r="O4756" s="7"/>
      <c r="P4756" s="2" t="s">
        <v>5614</v>
      </c>
      <c r="Q4756" s="7"/>
      <c r="R4756" s="1"/>
      <c r="S4756" s="1" t="str">
        <f>"J-UN-2022-1725"</f>
        <v>J-UN-2022-1725</v>
      </c>
      <c r="T4756" s="1" t="s">
        <v>32</v>
      </c>
    </row>
    <row r="4757" spans="1:20" ht="63.75" x14ac:dyDescent="0.25">
      <c r="A4757" s="6">
        <v>4749</v>
      </c>
      <c r="B4757" s="1" t="str">
        <f>"2022-1381"</f>
        <v>2022-1381</v>
      </c>
      <c r="C4757" s="1" t="s">
        <v>2405</v>
      </c>
      <c r="D4757" s="1" t="s">
        <v>880</v>
      </c>
      <c r="E4757" s="1" t="str">
        <f>""</f>
        <v/>
      </c>
      <c r="F4757" s="1" t="s">
        <v>1860</v>
      </c>
      <c r="G4757" s="1" t="str">
        <f>CONCATENATE(" POLIKLINIKA SVETI ROK M.D.,"," ULICA GRADA VUKOVARA 284,"," 10000 ZAGREB,"," OIB: 28842147765")</f>
        <v xml:space="preserve"> POLIKLINIKA SVETI ROK M.D., ULICA GRADA VUKOVARA 284, 10000 ZAGREB, OIB: 28842147765</v>
      </c>
      <c r="H4757" s="7"/>
      <c r="I4757" s="8" t="s">
        <v>432</v>
      </c>
      <c r="J4757" s="8" t="s">
        <v>1502</v>
      </c>
      <c r="K4757" s="6" t="str">
        <f>"4.000,00"</f>
        <v>4.000,00</v>
      </c>
      <c r="L4757" s="6" t="str">
        <f>"1.000,00"</f>
        <v>1.000,00</v>
      </c>
      <c r="M4757" s="6" t="str">
        <f>"5.000,00"</f>
        <v>5.000,00</v>
      </c>
      <c r="N4757" s="8" t="s">
        <v>124</v>
      </c>
      <c r="O4757" s="7"/>
      <c r="P4757" s="2" t="s">
        <v>5614</v>
      </c>
      <c r="Q4757" s="7"/>
      <c r="R4757" s="1"/>
      <c r="S4757" s="1" t="str">
        <f>"J-UN-2022-1727"</f>
        <v>J-UN-2022-1727</v>
      </c>
      <c r="T4757" s="1" t="s">
        <v>32</v>
      </c>
    </row>
    <row r="4758" spans="1:20" ht="63.75" x14ac:dyDescent="0.25">
      <c r="A4758" s="6">
        <v>4750</v>
      </c>
      <c r="B4758" s="1" t="str">
        <f>"2022-966"</f>
        <v>2022-966</v>
      </c>
      <c r="C4758" s="1" t="s">
        <v>2815</v>
      </c>
      <c r="D4758" s="1" t="s">
        <v>1373</v>
      </c>
      <c r="E4758" s="1" t="str">
        <f>""</f>
        <v/>
      </c>
      <c r="F4758" s="1" t="s">
        <v>1860</v>
      </c>
      <c r="G4758" s="1" t="str">
        <f>CONCATENATE(" ADEO d.o.o. Osijek,"," ULICA KRALJA TOMISLAVA 81,"," 31327 BILJE,"," OIB: 6242811405")</f>
        <v xml:space="preserve"> ADEO d.o.o. Osijek, ULICA KRALJA TOMISLAVA 81, 31327 BILJE, OIB: 6242811405</v>
      </c>
      <c r="H4758" s="7"/>
      <c r="I4758" s="8" t="s">
        <v>432</v>
      </c>
      <c r="J4758" s="8" t="s">
        <v>1502</v>
      </c>
      <c r="K4758" s="6" t="str">
        <f>"9.220,00"</f>
        <v>9.220,00</v>
      </c>
      <c r="L4758" s="6" t="str">
        <f>"2.305,00"</f>
        <v>2.305,00</v>
      </c>
      <c r="M4758" s="6" t="str">
        <f>"11.525,00"</f>
        <v>11.525,00</v>
      </c>
      <c r="N4758" s="8" t="s">
        <v>947</v>
      </c>
      <c r="O4758" s="7"/>
      <c r="P4758" s="2" t="s">
        <v>8379</v>
      </c>
      <c r="Q4758" s="7"/>
      <c r="R4758" s="1"/>
      <c r="S4758" s="1" t="str">
        <f>"J-UN-2022-1728"</f>
        <v>J-UN-2022-1728</v>
      </c>
      <c r="T4758" s="1" t="s">
        <v>32</v>
      </c>
    </row>
    <row r="4759" spans="1:20" ht="51" x14ac:dyDescent="0.25">
      <c r="A4759" s="6">
        <v>4751</v>
      </c>
      <c r="B4759" s="1" t="str">
        <f>"2022-452"</f>
        <v>2022-452</v>
      </c>
      <c r="C4759" s="1" t="s">
        <v>2881</v>
      </c>
      <c r="D4759" s="1" t="s">
        <v>2882</v>
      </c>
      <c r="E4759" s="1" t="str">
        <f>""</f>
        <v/>
      </c>
      <c r="F4759" s="1" t="s">
        <v>1860</v>
      </c>
      <c r="G4759" s="1" t="str">
        <f>CONCATENATE(" N K &amp; M D.O.O.,"," A. ŠENOE 23,"," 43000 BJELOVAR,"," OIB: 864374476")</f>
        <v xml:space="preserve"> N K &amp; M D.O.O., A. ŠENOE 23, 43000 BJELOVAR, OIB: 864374476</v>
      </c>
      <c r="H4759" s="7"/>
      <c r="I4759" s="8" t="s">
        <v>432</v>
      </c>
      <c r="J4759" s="8" t="s">
        <v>1502</v>
      </c>
      <c r="K4759" s="6" t="str">
        <f>"28.094,36"</f>
        <v>28.094,36</v>
      </c>
      <c r="L4759" s="6" t="str">
        <f>"7.023,59"</f>
        <v>7.023,59</v>
      </c>
      <c r="M4759" s="6" t="str">
        <f>"35.117,95"</f>
        <v>35.117,95</v>
      </c>
      <c r="N4759" s="8" t="s">
        <v>124</v>
      </c>
      <c r="O4759" s="7"/>
      <c r="P4759" s="2" t="s">
        <v>5614</v>
      </c>
      <c r="Q4759" s="7"/>
      <c r="R4759" s="1"/>
      <c r="S4759" s="1" t="str">
        <f>"J-UN-2022-1729"</f>
        <v>J-UN-2022-1729</v>
      </c>
      <c r="T4759" s="1" t="s">
        <v>32</v>
      </c>
    </row>
    <row r="4760" spans="1:20" ht="63.75" x14ac:dyDescent="0.25">
      <c r="A4760" s="6">
        <v>4752</v>
      </c>
      <c r="B4760" s="1" t="str">
        <f>"2022-1180"</f>
        <v>2022-1180</v>
      </c>
      <c r="C4760" s="1" t="s">
        <v>2954</v>
      </c>
      <c r="D4760" s="1" t="s">
        <v>2955</v>
      </c>
      <c r="E4760" s="1" t="str">
        <f>""</f>
        <v/>
      </c>
      <c r="F4760" s="1" t="s">
        <v>1860</v>
      </c>
      <c r="G4760" s="1" t="str">
        <f>CONCATENATE(" DRŽAVNI HIDROMETEOROLOŠKI ZAVOD - DHMZ,"," GRIČ 3,"," 10000 ZAGREB,"," OIB: 74660437164")</f>
        <v xml:space="preserve"> DRŽAVNI HIDROMETEOROLOŠKI ZAVOD - DHMZ, GRIČ 3, 10000 ZAGREB, OIB: 74660437164</v>
      </c>
      <c r="H4760" s="7"/>
      <c r="I4760" s="8" t="s">
        <v>432</v>
      </c>
      <c r="J4760" s="8" t="s">
        <v>1502</v>
      </c>
      <c r="K4760" s="6" t="str">
        <f>"69.480,00"</f>
        <v>69.480,00</v>
      </c>
      <c r="L4760" s="6" t="str">
        <f>"17.370,00"</f>
        <v>17.370,00</v>
      </c>
      <c r="M4760" s="6" t="str">
        <f>"86.850,00"</f>
        <v>86.850,00</v>
      </c>
      <c r="N4760" s="8" t="s">
        <v>124</v>
      </c>
      <c r="O4760" s="7"/>
      <c r="P4760" s="2" t="s">
        <v>8380</v>
      </c>
      <c r="Q4760" s="7"/>
      <c r="R4760" s="1"/>
      <c r="S4760" s="1" t="str">
        <f>"J-UN-2022-1730"</f>
        <v>J-UN-2022-1730</v>
      </c>
      <c r="T4760" s="1" t="s">
        <v>32</v>
      </c>
    </row>
    <row r="4761" spans="1:20" ht="63.75" x14ac:dyDescent="0.25">
      <c r="A4761" s="6">
        <v>4753</v>
      </c>
      <c r="B4761" s="1" t="str">
        <f>"2022-485"</f>
        <v>2022-485</v>
      </c>
      <c r="C4761" s="1" t="s">
        <v>2614</v>
      </c>
      <c r="D4761" s="1" t="s">
        <v>619</v>
      </c>
      <c r="E4761" s="1" t="str">
        <f>""</f>
        <v/>
      </c>
      <c r="F4761" s="1" t="s">
        <v>1860</v>
      </c>
      <c r="G4761" s="1" t="str">
        <f>CONCATENATE(" GUMIIMPEX - GRP D.O.O.,"," PAVLEKA MIŠKINE 64C,"," 42000 VARAŽDIN,"," OIB: 8229856262")</f>
        <v xml:space="preserve"> GUMIIMPEX - GRP D.O.O., PAVLEKA MIŠKINE 64C, 42000 VARAŽDIN, OIB: 8229856262</v>
      </c>
      <c r="H4761" s="7"/>
      <c r="I4761" s="8" t="s">
        <v>732</v>
      </c>
      <c r="J4761" s="8" t="s">
        <v>3243</v>
      </c>
      <c r="K4761" s="6" t="str">
        <f>"18.130,80"</f>
        <v>18.130,80</v>
      </c>
      <c r="L4761" s="6" t="str">
        <f>"4.532,70"</f>
        <v>4.532,70</v>
      </c>
      <c r="M4761" s="6" t="str">
        <f>"22.663,50"</f>
        <v>22.663,50</v>
      </c>
      <c r="N4761" s="8" t="s">
        <v>124</v>
      </c>
      <c r="O4761" s="7"/>
      <c r="P4761" s="2" t="s">
        <v>5614</v>
      </c>
      <c r="Q4761" s="7"/>
      <c r="R4761" s="1"/>
      <c r="S4761" s="1" t="str">
        <f>"J-UN-2022-1731"</f>
        <v>J-UN-2022-1731</v>
      </c>
      <c r="T4761" s="1" t="s">
        <v>32</v>
      </c>
    </row>
    <row r="4762" spans="1:20" ht="63.75" x14ac:dyDescent="0.25">
      <c r="A4762" s="6">
        <v>4754</v>
      </c>
      <c r="B4762" s="1" t="str">
        <f>"2022-1222"</f>
        <v>2022-1222</v>
      </c>
      <c r="C4762" s="1" t="s">
        <v>3226</v>
      </c>
      <c r="D4762" s="1" t="s">
        <v>3227</v>
      </c>
      <c r="E4762" s="1" t="str">
        <f>""</f>
        <v/>
      </c>
      <c r="F4762" s="1" t="s">
        <v>1860</v>
      </c>
      <c r="G4762" s="1" t="str">
        <f>CONCATENATE(" CENTAR ZA ISPITIVANJE I UMJERAVANJA D.O.O.,"," SAVICA I. 141,"," 10000 ZAGREB,"," OIB: 98551756049")</f>
        <v xml:space="preserve"> CENTAR ZA ISPITIVANJE I UMJERAVANJA D.O.O., SAVICA I. 141, 10000 ZAGREB, OIB: 98551756049</v>
      </c>
      <c r="H4762" s="7"/>
      <c r="I4762" s="8" t="s">
        <v>432</v>
      </c>
      <c r="J4762" s="8" t="s">
        <v>1502</v>
      </c>
      <c r="K4762" s="6" t="str">
        <f>"2.450,00"</f>
        <v>2.450,00</v>
      </c>
      <c r="L4762" s="6" t="str">
        <f>"612,50"</f>
        <v>612,50</v>
      </c>
      <c r="M4762" s="6" t="str">
        <f>"3.062,50"</f>
        <v>3.062,50</v>
      </c>
      <c r="N4762" s="8" t="s">
        <v>458</v>
      </c>
      <c r="O4762" s="7"/>
      <c r="P4762" s="2" t="s">
        <v>8381</v>
      </c>
      <c r="Q4762" s="7"/>
      <c r="R4762" s="1"/>
      <c r="S4762" s="1" t="str">
        <f>"J-UN-2022-1732"</f>
        <v>J-UN-2022-1732</v>
      </c>
      <c r="T4762" s="1" t="s">
        <v>32</v>
      </c>
    </row>
    <row r="4763" spans="1:20" ht="63.75" x14ac:dyDescent="0.25">
      <c r="A4763" s="6">
        <v>4755</v>
      </c>
      <c r="B4763" s="1" t="str">
        <f>"2022-1222"</f>
        <v>2022-1222</v>
      </c>
      <c r="C4763" s="1" t="s">
        <v>3226</v>
      </c>
      <c r="D4763" s="1" t="s">
        <v>3227</v>
      </c>
      <c r="E4763" s="1" t="str">
        <f>""</f>
        <v/>
      </c>
      <c r="F4763" s="1" t="s">
        <v>1860</v>
      </c>
      <c r="G4763" s="1" t="str">
        <f>CONCATENATE(" CENTAR ZA ISPITIVANJE I UMJERAVANJA D.O.O.,"," SAVICA I. 141,"," 10000 ZAGREB,"," OIB: 98551756049")</f>
        <v xml:space="preserve"> CENTAR ZA ISPITIVANJE I UMJERAVANJA D.O.O., SAVICA I. 141, 10000 ZAGREB, OIB: 98551756049</v>
      </c>
      <c r="H4763" s="7"/>
      <c r="I4763" s="8" t="s">
        <v>432</v>
      </c>
      <c r="J4763" s="8" t="s">
        <v>1502</v>
      </c>
      <c r="K4763" s="6" t="str">
        <f>"2.400,00"</f>
        <v>2.400,00</v>
      </c>
      <c r="L4763" s="6" t="str">
        <f>"600,00"</f>
        <v>600,00</v>
      </c>
      <c r="M4763" s="6" t="str">
        <f>"3.000,00"</f>
        <v>3.000,00</v>
      </c>
      <c r="N4763" s="8" t="s">
        <v>383</v>
      </c>
      <c r="O4763" s="7"/>
      <c r="P4763" s="2" t="s">
        <v>5781</v>
      </c>
      <c r="Q4763" s="7"/>
      <c r="R4763" s="1"/>
      <c r="S4763" s="1" t="str">
        <f>"J-UN-2022-1733"</f>
        <v>J-UN-2022-1733</v>
      </c>
      <c r="T4763" s="1" t="s">
        <v>32</v>
      </c>
    </row>
    <row r="4764" spans="1:20" ht="63.75" x14ac:dyDescent="0.25">
      <c r="A4764" s="6">
        <v>4756</v>
      </c>
      <c r="B4764" s="1" t="str">
        <f>"2022-273"</f>
        <v>2022-273</v>
      </c>
      <c r="C4764" s="1" t="s">
        <v>2737</v>
      </c>
      <c r="D4764" s="1" t="s">
        <v>689</v>
      </c>
      <c r="E4764" s="1" t="str">
        <f>""</f>
        <v/>
      </c>
      <c r="F4764" s="1" t="s">
        <v>1860</v>
      </c>
      <c r="G4764" s="1" t="str">
        <f>CONCATENATE(" ELEKTRO-KOMUNIKACIJE D.O.O.,"," 14. PODBREŽJE 4,"," 10000 ZAGREB,"," OIB: 76412373309")</f>
        <v xml:space="preserve"> ELEKTRO-KOMUNIKACIJE D.O.O., 14. PODBREŽJE 4, 10000 ZAGREB, OIB: 76412373309</v>
      </c>
      <c r="H4764" s="7"/>
      <c r="I4764" s="8" t="s">
        <v>420</v>
      </c>
      <c r="J4764" s="8" t="s">
        <v>3241</v>
      </c>
      <c r="K4764" s="6" t="str">
        <f>"1.275,00"</f>
        <v>1.275,00</v>
      </c>
      <c r="L4764" s="6" t="str">
        <f>"318,75"</f>
        <v>318,75</v>
      </c>
      <c r="M4764" s="6" t="str">
        <f>"1.593,75"</f>
        <v>1.593,75</v>
      </c>
      <c r="N4764" s="8" t="s">
        <v>124</v>
      </c>
      <c r="O4764" s="7"/>
      <c r="P4764" s="2" t="s">
        <v>5614</v>
      </c>
      <c r="Q4764" s="7"/>
      <c r="R4764" s="1"/>
      <c r="S4764" s="1" t="str">
        <f>"J-UN-2022-1734"</f>
        <v>J-UN-2022-1734</v>
      </c>
      <c r="T4764" s="1" t="s">
        <v>32</v>
      </c>
    </row>
    <row r="4765" spans="1:20" ht="63.75" x14ac:dyDescent="0.25">
      <c r="A4765" s="6">
        <v>4757</v>
      </c>
      <c r="B4765" s="1" t="str">
        <f>"2022-193"</f>
        <v>2022-193</v>
      </c>
      <c r="C4765" s="1" t="s">
        <v>2731</v>
      </c>
      <c r="D4765" s="1" t="s">
        <v>2732</v>
      </c>
      <c r="E4765" s="1" t="str">
        <f>""</f>
        <v/>
      </c>
      <c r="F4765" s="1" t="s">
        <v>1860</v>
      </c>
      <c r="G4765" s="1" t="str">
        <f>CONCATENATE(" ELEKTRO-KOMUNIKACIJE D.O.O.,"," 14. PODBREŽJE 4,"," 10000 ZAGREB,"," OIB: 76412373309")</f>
        <v xml:space="preserve"> ELEKTRO-KOMUNIKACIJE D.O.O., 14. PODBREŽJE 4, 10000 ZAGREB, OIB: 76412373309</v>
      </c>
      <c r="H4765" s="7"/>
      <c r="I4765" s="8" t="s">
        <v>420</v>
      </c>
      <c r="J4765" s="8" t="s">
        <v>3241</v>
      </c>
      <c r="K4765" s="6" t="str">
        <f>"765,00"</f>
        <v>765,00</v>
      </c>
      <c r="L4765" s="6" t="str">
        <f>"191,25"</f>
        <v>191,25</v>
      </c>
      <c r="M4765" s="6" t="str">
        <f>"956,25"</f>
        <v>956,25</v>
      </c>
      <c r="N4765" s="8" t="s">
        <v>124</v>
      </c>
      <c r="O4765" s="7"/>
      <c r="P4765" s="2" t="s">
        <v>5614</v>
      </c>
      <c r="Q4765" s="7"/>
      <c r="R4765" s="1"/>
      <c r="S4765" s="1" t="str">
        <f>"J-UN-2022-1735"</f>
        <v>J-UN-2022-1735</v>
      </c>
      <c r="T4765" s="1" t="s">
        <v>32</v>
      </c>
    </row>
    <row r="4766" spans="1:20" ht="63.75" x14ac:dyDescent="0.25">
      <c r="A4766" s="6">
        <v>4758</v>
      </c>
      <c r="B4766" s="1" t="str">
        <f>"2022-900"</f>
        <v>2022-900</v>
      </c>
      <c r="C4766" s="1" t="s">
        <v>2702</v>
      </c>
      <c r="D4766" s="1" t="s">
        <v>1209</v>
      </c>
      <c r="E4766" s="1" t="str">
        <f>""</f>
        <v/>
      </c>
      <c r="F4766" s="1" t="s">
        <v>1860</v>
      </c>
      <c r="G4766" s="1" t="str">
        <f>CONCATENATE(" DRÄGER SAFETY D.O.O.,"," AVENIJA VEĆESLAVA HOLJEVCA 40,"," 10010 ZAGREB,"," OIB: 32874587842")</f>
        <v xml:space="preserve"> DRÄGER SAFETY D.O.O., AVENIJA VEĆESLAVA HOLJEVCA 40, 10010 ZAGREB, OIB: 32874587842</v>
      </c>
      <c r="H4766" s="7"/>
      <c r="I4766" s="8" t="s">
        <v>420</v>
      </c>
      <c r="J4766" s="8" t="s">
        <v>3241</v>
      </c>
      <c r="K4766" s="6" t="str">
        <f>"772,00"</f>
        <v>772,00</v>
      </c>
      <c r="L4766" s="6" t="str">
        <f>"193,00"</f>
        <v>193,00</v>
      </c>
      <c r="M4766" s="6" t="str">
        <f>"965,00"</f>
        <v>965,00</v>
      </c>
      <c r="N4766" s="8" t="s">
        <v>124</v>
      </c>
      <c r="O4766" s="7"/>
      <c r="P4766" s="2" t="s">
        <v>5614</v>
      </c>
      <c r="Q4766" s="7"/>
      <c r="R4766" s="1"/>
      <c r="S4766" s="1" t="str">
        <f>"J-UN-2022-1736"</f>
        <v>J-UN-2022-1736</v>
      </c>
      <c r="T4766" s="1" t="s">
        <v>32</v>
      </c>
    </row>
    <row r="4767" spans="1:20" ht="51" x14ac:dyDescent="0.25">
      <c r="A4767" s="6">
        <v>4759</v>
      </c>
      <c r="B4767" s="1" t="str">
        <f>"2022-1123"</f>
        <v>2022-1123</v>
      </c>
      <c r="C4767" s="1" t="s">
        <v>2779</v>
      </c>
      <c r="D4767" s="1" t="s">
        <v>2780</v>
      </c>
      <c r="E4767" s="1" t="str">
        <f>""</f>
        <v/>
      </c>
      <c r="F4767" s="1" t="s">
        <v>1860</v>
      </c>
      <c r="G4767" s="1" t="str">
        <f>CONCATENATE(" LEXPERA D.O.O.,"," TUŠKANOVA 37,"," 10000 ZAGREB,"," OIB: 79506290597")</f>
        <v xml:space="preserve"> LEXPERA D.O.O., TUŠKANOVA 37, 10000 ZAGREB, OIB: 79506290597</v>
      </c>
      <c r="H4767" s="7"/>
      <c r="I4767" s="8" t="s">
        <v>432</v>
      </c>
      <c r="J4767" s="8" t="s">
        <v>1502</v>
      </c>
      <c r="K4767" s="6" t="str">
        <f>"23.100,00"</f>
        <v>23.100,00</v>
      </c>
      <c r="L4767" s="6" t="str">
        <f>"5.775,00"</f>
        <v>5.775,00</v>
      </c>
      <c r="M4767" s="6" t="str">
        <f>"28.875,00"</f>
        <v>28.875,00</v>
      </c>
      <c r="N4767" s="8" t="s">
        <v>1032</v>
      </c>
      <c r="O4767" s="7"/>
      <c r="P4767" s="2" t="s">
        <v>8382</v>
      </c>
      <c r="Q4767" s="7"/>
      <c r="R4767" s="1"/>
      <c r="S4767" s="1" t="str">
        <f>"J-UN-2022-1737"</f>
        <v>J-UN-2022-1737</v>
      </c>
      <c r="T4767" s="1" t="s">
        <v>32</v>
      </c>
    </row>
    <row r="4768" spans="1:20" ht="63.75" x14ac:dyDescent="0.25">
      <c r="A4768" s="6">
        <v>4760</v>
      </c>
      <c r="B4768" s="1" t="str">
        <f>"2022-296"</f>
        <v>2022-296</v>
      </c>
      <c r="C4768" s="1" t="s">
        <v>2822</v>
      </c>
      <c r="D4768" s="1" t="s">
        <v>2823</v>
      </c>
      <c r="E4768" s="1" t="str">
        <f>""</f>
        <v/>
      </c>
      <c r="F4768" s="1" t="s">
        <v>1860</v>
      </c>
      <c r="G4768" s="1" t="str">
        <f>CONCATENATE(" ELEKTRO-KOMUNIKACIJE D.O.O.,"," 14. PODBREŽJE 4,"," 10000 ZAGREB,"," OIB: 76412373309")</f>
        <v xml:space="preserve"> ELEKTRO-KOMUNIKACIJE D.O.O., 14. PODBREŽJE 4, 10000 ZAGREB, OIB: 76412373309</v>
      </c>
      <c r="H4768" s="7"/>
      <c r="I4768" s="8" t="s">
        <v>81</v>
      </c>
      <c r="J4768" s="8" t="s">
        <v>3237</v>
      </c>
      <c r="K4768" s="6" t="str">
        <f>"1.897,00"</f>
        <v>1.897,00</v>
      </c>
      <c r="L4768" s="6" t="str">
        <f>"474,25"</f>
        <v>474,25</v>
      </c>
      <c r="M4768" s="6" t="str">
        <f>"2.371,25"</f>
        <v>2.371,25</v>
      </c>
      <c r="N4768" s="8" t="s">
        <v>124</v>
      </c>
      <c r="O4768" s="7"/>
      <c r="P4768" s="2" t="s">
        <v>5614</v>
      </c>
      <c r="Q4768" s="7"/>
      <c r="R4768" s="1"/>
      <c r="S4768" s="1" t="str">
        <f>"J-UN-2022-1741"</f>
        <v>J-UN-2022-1741</v>
      </c>
      <c r="T4768" s="1" t="s">
        <v>32</v>
      </c>
    </row>
    <row r="4769" spans="1:20" ht="51" x14ac:dyDescent="0.25">
      <c r="A4769" s="6">
        <v>4761</v>
      </c>
      <c r="B4769" s="1" t="str">
        <f>"2022-489"</f>
        <v>2022-489</v>
      </c>
      <c r="C4769" s="1" t="s">
        <v>2679</v>
      </c>
      <c r="D4769" s="1" t="s">
        <v>619</v>
      </c>
      <c r="E4769" s="1" t="str">
        <f>""</f>
        <v/>
      </c>
      <c r="F4769" s="1" t="s">
        <v>1860</v>
      </c>
      <c r="G4769" s="1" t="str">
        <f>CONCATENATE(" ULTRA TEH D.O.O.,"," PETROVA 16,"," 10000 ZAGREB,"," OIB: 20399041584")</f>
        <v xml:space="preserve"> ULTRA TEH D.O.O., PETROVA 16, 10000 ZAGREB, OIB: 20399041584</v>
      </c>
      <c r="H4769" s="7"/>
      <c r="I4769" s="8" t="s">
        <v>414</v>
      </c>
      <c r="J4769" s="8" t="s">
        <v>1466</v>
      </c>
      <c r="K4769" s="6" t="str">
        <f>"69.770,00"</f>
        <v>69.770,00</v>
      </c>
      <c r="L4769" s="6" t="str">
        <f>"17.442,50"</f>
        <v>17.442,50</v>
      </c>
      <c r="M4769" s="6" t="str">
        <f>"87.212,50"</f>
        <v>87.212,50</v>
      </c>
      <c r="N4769" s="8" t="s">
        <v>124</v>
      </c>
      <c r="O4769" s="7"/>
      <c r="P4769" s="2" t="s">
        <v>5614</v>
      </c>
      <c r="Q4769" s="7"/>
      <c r="R4769" s="1"/>
      <c r="S4769" s="1" t="str">
        <f>"J-UN-2022-1742"</f>
        <v>J-UN-2022-1742</v>
      </c>
      <c r="T4769" s="1" t="s">
        <v>32</v>
      </c>
    </row>
    <row r="4770" spans="1:20" ht="102" x14ac:dyDescent="0.25">
      <c r="A4770" s="6">
        <v>4762</v>
      </c>
      <c r="B4770" s="1" t="str">
        <f>"2022-1434"</f>
        <v>2022-1434</v>
      </c>
      <c r="C4770" s="1" t="s">
        <v>2558</v>
      </c>
      <c r="D4770" s="1" t="s">
        <v>860</v>
      </c>
      <c r="E4770" s="1" t="str">
        <f>""</f>
        <v/>
      </c>
      <c r="F4770" s="1" t="s">
        <v>1860</v>
      </c>
      <c r="G4770" s="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770" s="7"/>
      <c r="I4770" s="8" t="s">
        <v>414</v>
      </c>
      <c r="J4770" s="8" t="s">
        <v>1466</v>
      </c>
      <c r="K4770" s="6" t="str">
        <f>"1.880,00"</f>
        <v>1.880,00</v>
      </c>
      <c r="L4770" s="6" t="str">
        <f>"470,00"</f>
        <v>470,00</v>
      </c>
      <c r="M4770" s="6" t="str">
        <f>"2.350,00"</f>
        <v>2.350,00</v>
      </c>
      <c r="N4770" s="8" t="s">
        <v>124</v>
      </c>
      <c r="O4770" s="7"/>
      <c r="P4770" s="2" t="s">
        <v>5614</v>
      </c>
      <c r="Q4770" s="7"/>
      <c r="R4770" s="1"/>
      <c r="S4770" s="1" t="str">
        <f>"J-UN-2022-1743"</f>
        <v>J-UN-2022-1743</v>
      </c>
      <c r="T4770" s="1" t="s">
        <v>32</v>
      </c>
    </row>
    <row r="4771" spans="1:20" ht="51" x14ac:dyDescent="0.25">
      <c r="A4771" s="6">
        <v>4763</v>
      </c>
      <c r="B4771" s="1" t="str">
        <f>"2022-377"</f>
        <v>2022-377</v>
      </c>
      <c r="C4771" s="1" t="s">
        <v>2608</v>
      </c>
      <c r="D4771" s="1" t="s">
        <v>1203</v>
      </c>
      <c r="E4771" s="1" t="str">
        <f>""</f>
        <v/>
      </c>
      <c r="F4771" s="1" t="s">
        <v>1860</v>
      </c>
      <c r="G4771" s="1" t="str">
        <f>CONCATENATE(" COMET D.O.O.,"," VARAŽDINSKA 40/C,"," 42220 NOVI MAROF,"," OIB: 48249084626")</f>
        <v xml:space="preserve"> COMET D.O.O., VARAŽDINSKA 40/C, 42220 NOVI MAROF, OIB: 48249084626</v>
      </c>
      <c r="H4771" s="7"/>
      <c r="I4771" s="8" t="s">
        <v>732</v>
      </c>
      <c r="J4771" s="8" t="s">
        <v>3243</v>
      </c>
      <c r="K4771" s="6" t="str">
        <f>"1.890,10"</f>
        <v>1.890,10</v>
      </c>
      <c r="L4771" s="6" t="str">
        <f>"472,53"</f>
        <v>472,53</v>
      </c>
      <c r="M4771" s="6" t="str">
        <f>"2.362,63"</f>
        <v>2.362,63</v>
      </c>
      <c r="N4771" s="8" t="s">
        <v>124</v>
      </c>
      <c r="O4771" s="7"/>
      <c r="P4771" s="2" t="s">
        <v>5614</v>
      </c>
      <c r="Q4771" s="7"/>
      <c r="R4771" s="1"/>
      <c r="S4771" s="1" t="str">
        <f>"J-UN-2022-1746"</f>
        <v>J-UN-2022-1746</v>
      </c>
      <c r="T4771" s="1" t="s">
        <v>32</v>
      </c>
    </row>
    <row r="4772" spans="1:20" ht="51" x14ac:dyDescent="0.25">
      <c r="A4772" s="6">
        <v>4764</v>
      </c>
      <c r="B4772" s="1" t="str">
        <f>"2022-306"</f>
        <v>2022-306</v>
      </c>
      <c r="C4772" s="1" t="s">
        <v>2692</v>
      </c>
      <c r="D4772" s="1" t="s">
        <v>2693</v>
      </c>
      <c r="E4772" s="1" t="str">
        <f>""</f>
        <v/>
      </c>
      <c r="F4772" s="1" t="s">
        <v>1860</v>
      </c>
      <c r="G4772" s="1" t="str">
        <f>CONCATENATE(" COMET D.O.O.,"," VARAŽDINSKA 40/C,"," 42220 NOVI MAROF,"," OIB: 48249084626")</f>
        <v xml:space="preserve"> COMET D.O.O., VARAŽDINSKA 40/C, 42220 NOVI MAROF, OIB: 48249084626</v>
      </c>
      <c r="H4772" s="7"/>
      <c r="I4772" s="8" t="s">
        <v>732</v>
      </c>
      <c r="J4772" s="8" t="s">
        <v>3243</v>
      </c>
      <c r="K4772" s="6" t="str">
        <f>"2.301,00"</f>
        <v>2.301,00</v>
      </c>
      <c r="L4772" s="6" t="str">
        <f>"575,25"</f>
        <v>575,25</v>
      </c>
      <c r="M4772" s="6" t="str">
        <f>"2.876,25"</f>
        <v>2.876,25</v>
      </c>
      <c r="N4772" s="8" t="s">
        <v>124</v>
      </c>
      <c r="O4772" s="7"/>
      <c r="P4772" s="2" t="s">
        <v>5614</v>
      </c>
      <c r="Q4772" s="7"/>
      <c r="R4772" s="1"/>
      <c r="S4772" s="1" t="str">
        <f>"J-UN-2022-1747"</f>
        <v>J-UN-2022-1747</v>
      </c>
      <c r="T4772" s="1" t="s">
        <v>32</v>
      </c>
    </row>
    <row r="4773" spans="1:20" ht="51" x14ac:dyDescent="0.25">
      <c r="A4773" s="6">
        <v>4765</v>
      </c>
      <c r="B4773" s="1" t="str">
        <f>"2022-1123"</f>
        <v>2022-1123</v>
      </c>
      <c r="C4773" s="1" t="s">
        <v>2779</v>
      </c>
      <c r="D4773" s="1" t="s">
        <v>2780</v>
      </c>
      <c r="E4773" s="1" t="str">
        <f>""</f>
        <v/>
      </c>
      <c r="F4773" s="1" t="s">
        <v>1860</v>
      </c>
      <c r="G4773" s="1" t="str">
        <f>CONCATENATE(" LEXPERA D.O.O.,"," TUŠKANOVA 37,"," 10000 ZAGREB,"," OIB: 79506290597")</f>
        <v xml:space="preserve"> LEXPERA D.O.O., TUŠKANOVA 37, 10000 ZAGREB, OIB: 79506290597</v>
      </c>
      <c r="H4773" s="7"/>
      <c r="I4773" s="8" t="s">
        <v>414</v>
      </c>
      <c r="J4773" s="8" t="s">
        <v>1466</v>
      </c>
      <c r="K4773" s="6" t="str">
        <f>"7.257,60"</f>
        <v>7.257,60</v>
      </c>
      <c r="L4773" s="6" t="str">
        <f>"1.814,40"</f>
        <v>1.814,40</v>
      </c>
      <c r="M4773" s="6" t="str">
        <f>"9.072,00"</f>
        <v>9.072,00</v>
      </c>
      <c r="N4773" s="8" t="s">
        <v>124</v>
      </c>
      <c r="O4773" s="7"/>
      <c r="P4773" s="2" t="s">
        <v>5614</v>
      </c>
      <c r="Q4773" s="7"/>
      <c r="R4773" s="1"/>
      <c r="S4773" s="1" t="str">
        <f>"J-UN-2022-1748"</f>
        <v>J-UN-2022-1748</v>
      </c>
      <c r="T4773" s="1" t="s">
        <v>32</v>
      </c>
    </row>
    <row r="4774" spans="1:20" ht="76.5" x14ac:dyDescent="0.25">
      <c r="A4774" s="6">
        <v>4766</v>
      </c>
      <c r="B4774" s="1" t="str">
        <f>"2022-1217"</f>
        <v>2022-1217</v>
      </c>
      <c r="C4774" s="1" t="s">
        <v>2284</v>
      </c>
      <c r="D4774" s="1" t="s">
        <v>381</v>
      </c>
      <c r="E4774" s="1" t="str">
        <f>""</f>
        <v/>
      </c>
      <c r="F4774" s="1" t="s">
        <v>1860</v>
      </c>
      <c r="G4774" s="1" t="str">
        <f>CONCATENATE(" E.G.S.-ELEKTROGRADITELJSTVO D.O.O.,"," ALBERTA FORTISA 10,"," 10090 ZAGREB,"," OIB: 83439900916")</f>
        <v xml:space="preserve"> E.G.S.-ELEKTROGRADITELJSTVO D.O.O., ALBERTA FORTISA 10, 10090 ZAGREB, OIB: 83439900916</v>
      </c>
      <c r="H4774" s="7"/>
      <c r="I4774" s="8" t="s">
        <v>732</v>
      </c>
      <c r="J4774" s="8" t="s">
        <v>3243</v>
      </c>
      <c r="K4774" s="6" t="str">
        <f>"20.720,00"</f>
        <v>20.720,00</v>
      </c>
      <c r="L4774" s="6" t="str">
        <f>"5.180,00"</f>
        <v>5.180,00</v>
      </c>
      <c r="M4774" s="6" t="str">
        <f>"25.900,00"</f>
        <v>25.900,00</v>
      </c>
      <c r="N4774" s="8" t="s">
        <v>124</v>
      </c>
      <c r="O4774" s="7"/>
      <c r="P4774" s="2" t="s">
        <v>5614</v>
      </c>
      <c r="Q4774" s="7"/>
      <c r="R4774" s="1"/>
      <c r="S4774" s="1" t="str">
        <f>"J-UN-2022-1749"</f>
        <v>J-UN-2022-1749</v>
      </c>
      <c r="T4774" s="1" t="s">
        <v>32</v>
      </c>
    </row>
    <row r="4775" spans="1:20" ht="38.25" x14ac:dyDescent="0.25">
      <c r="A4775" s="6">
        <v>4767</v>
      </c>
      <c r="B4775" s="1" t="str">
        <f>"2022-966"</f>
        <v>2022-966</v>
      </c>
      <c r="C4775" s="1" t="s">
        <v>2815</v>
      </c>
      <c r="D4775" s="1" t="s">
        <v>1373</v>
      </c>
      <c r="E4775" s="1" t="str">
        <f>""</f>
        <v/>
      </c>
      <c r="F4775" s="1" t="s">
        <v>1860</v>
      </c>
      <c r="G4775" s="1" t="str">
        <f>CONCATENATE(" BLEKI d.o.o.,"," VOĆNJAK 15,"," 10000 ZAGREB,"," OIB: 90806632168")</f>
        <v xml:space="preserve"> BLEKI d.o.o., VOĆNJAK 15, 10000 ZAGREB, OIB: 90806632168</v>
      </c>
      <c r="H4775" s="7"/>
      <c r="I4775" s="8" t="s">
        <v>414</v>
      </c>
      <c r="J4775" s="8" t="s">
        <v>1466</v>
      </c>
      <c r="K4775" s="6" t="str">
        <f>"3.995,00"</f>
        <v>3.995,00</v>
      </c>
      <c r="L4775" s="6" t="str">
        <f>"998,75"</f>
        <v>998,75</v>
      </c>
      <c r="M4775" s="6" t="str">
        <f>"4.993,75"</f>
        <v>4.993,75</v>
      </c>
      <c r="N4775" s="8" t="s">
        <v>124</v>
      </c>
      <c r="O4775" s="7"/>
      <c r="P4775" s="2" t="s">
        <v>5614</v>
      </c>
      <c r="Q4775" s="7"/>
      <c r="R4775" s="1"/>
      <c r="S4775" s="1" t="str">
        <f>"J-UN-2022-1750"</f>
        <v>J-UN-2022-1750</v>
      </c>
      <c r="T4775" s="1" t="s">
        <v>32</v>
      </c>
    </row>
    <row r="4776" spans="1:20" ht="63.75" x14ac:dyDescent="0.25">
      <c r="A4776" s="6">
        <v>4768</v>
      </c>
      <c r="B4776" s="1" t="str">
        <f>"2022-505"</f>
        <v>2022-505</v>
      </c>
      <c r="C4776" s="1" t="s">
        <v>2694</v>
      </c>
      <c r="D4776" s="1" t="s">
        <v>1888</v>
      </c>
      <c r="E4776" s="1" t="str">
        <f>""</f>
        <v/>
      </c>
      <c r="F4776" s="1" t="s">
        <v>1860</v>
      </c>
      <c r="G4776" s="1" t="str">
        <f>CONCATENATE(" ELEKTRO-KOMUNIKACIJE D.O.O.,"," 14. PODBREŽJE 4,"," 10000 ZAGREB,"," OIB: 76412373309")</f>
        <v xml:space="preserve"> ELEKTRO-KOMUNIKACIJE D.O.O., 14. PODBREŽJE 4, 10000 ZAGREB, OIB: 76412373309</v>
      </c>
      <c r="H4776" s="7"/>
      <c r="I4776" s="8" t="s">
        <v>81</v>
      </c>
      <c r="J4776" s="8" t="s">
        <v>3237</v>
      </c>
      <c r="K4776" s="6" t="str">
        <f>"4.350,00"</f>
        <v>4.350,00</v>
      </c>
      <c r="L4776" s="6" t="str">
        <f>"1.087,50"</f>
        <v>1.087,50</v>
      </c>
      <c r="M4776" s="6" t="str">
        <f>"5.437,50"</f>
        <v>5.437,50</v>
      </c>
      <c r="N4776" s="8" t="s">
        <v>124</v>
      </c>
      <c r="O4776" s="7"/>
      <c r="P4776" s="2" t="s">
        <v>5614</v>
      </c>
      <c r="Q4776" s="7"/>
      <c r="R4776" s="1"/>
      <c r="S4776" s="1" t="str">
        <f>"J-UN-2022-1751"</f>
        <v>J-UN-2022-1751</v>
      </c>
      <c r="T4776" s="1" t="s">
        <v>32</v>
      </c>
    </row>
    <row r="4777" spans="1:20" ht="63.75" x14ac:dyDescent="0.25">
      <c r="A4777" s="6">
        <v>4769</v>
      </c>
      <c r="B4777" s="1" t="str">
        <f>"2022-190"</f>
        <v>2022-190</v>
      </c>
      <c r="C4777" s="1" t="s">
        <v>2907</v>
      </c>
      <c r="D4777" s="1" t="s">
        <v>143</v>
      </c>
      <c r="E4777" s="1" t="str">
        <f>""</f>
        <v/>
      </c>
      <c r="F4777" s="1" t="s">
        <v>1860</v>
      </c>
      <c r="G4777" s="1" t="str">
        <f>CONCATENATE(" FOTEX D.O.O.,"," NEDELJANEC,"," VARAŽDINSKA 50,"," 42205 VIDOVEC,"," OIB: 395879764")</f>
        <v xml:space="preserve"> FOTEX D.O.O., NEDELJANEC, VARAŽDINSKA 50, 42205 VIDOVEC, OIB: 395879764</v>
      </c>
      <c r="H4777" s="7"/>
      <c r="I4777" s="8" t="s">
        <v>420</v>
      </c>
      <c r="J4777" s="8" t="s">
        <v>3241</v>
      </c>
      <c r="K4777" s="6" t="str">
        <f>"1.895,00"</f>
        <v>1.895,00</v>
      </c>
      <c r="L4777" s="6" t="str">
        <f>"473,75"</f>
        <v>473,75</v>
      </c>
      <c r="M4777" s="6" t="str">
        <f>"2.368,75"</f>
        <v>2.368,75</v>
      </c>
      <c r="N4777" s="8" t="s">
        <v>31</v>
      </c>
      <c r="O4777" s="7"/>
      <c r="P4777" s="2" t="s">
        <v>8383</v>
      </c>
      <c r="Q4777" s="7"/>
      <c r="R4777" s="1"/>
      <c r="S4777" s="1" t="str">
        <f>"J-UN-2022-1752"</f>
        <v>J-UN-2022-1752</v>
      </c>
      <c r="T4777" s="1" t="s">
        <v>32</v>
      </c>
    </row>
    <row r="4778" spans="1:20" ht="51" x14ac:dyDescent="0.25">
      <c r="A4778" s="6">
        <v>4770</v>
      </c>
      <c r="B4778" s="1" t="str">
        <f>"2022-279"</f>
        <v>2022-279</v>
      </c>
      <c r="C4778" s="1" t="s">
        <v>2933</v>
      </c>
      <c r="D4778" s="1" t="s">
        <v>689</v>
      </c>
      <c r="E4778" s="1" t="str">
        <f>""</f>
        <v/>
      </c>
      <c r="F4778" s="1" t="s">
        <v>1860</v>
      </c>
      <c r="G4778" s="1" t="str">
        <f>CONCATENATE(" BILAĆ COLOR D.O.O.,"," VODIĆKA 24,"," 10000 ZAGREB,"," OIB: 54294753")</f>
        <v xml:space="preserve"> BILAĆ COLOR D.O.O., VODIĆKA 24, 10000 ZAGREB, OIB: 54294753</v>
      </c>
      <c r="H4778" s="7"/>
      <c r="I4778" s="8" t="s">
        <v>420</v>
      </c>
      <c r="J4778" s="8" t="s">
        <v>3241</v>
      </c>
      <c r="K4778" s="6" t="str">
        <f>"11.200,00"</f>
        <v>11.200,00</v>
      </c>
      <c r="L4778" s="6" t="str">
        <f>"2.800,00"</f>
        <v>2.800,00</v>
      </c>
      <c r="M4778" s="6" t="str">
        <f>"14.000,00"</f>
        <v>14.000,00</v>
      </c>
      <c r="N4778" s="8" t="s">
        <v>124</v>
      </c>
      <c r="O4778" s="7"/>
      <c r="P4778" s="2" t="s">
        <v>8384</v>
      </c>
      <c r="Q4778" s="7"/>
      <c r="R4778" s="1"/>
      <c r="S4778" s="1" t="str">
        <f>"J-UN-2022-1753"</f>
        <v>J-UN-2022-1753</v>
      </c>
      <c r="T4778" s="1" t="s">
        <v>32</v>
      </c>
    </row>
    <row r="4779" spans="1:20" ht="51" x14ac:dyDescent="0.25">
      <c r="A4779" s="6">
        <v>4771</v>
      </c>
      <c r="B4779" s="1" t="str">
        <f>"2022-813"</f>
        <v>2022-813</v>
      </c>
      <c r="C4779" s="1" t="s">
        <v>2844</v>
      </c>
      <c r="D4779" s="1" t="s">
        <v>2716</v>
      </c>
      <c r="E4779" s="1" t="str">
        <f>""</f>
        <v/>
      </c>
      <c r="F4779" s="1" t="s">
        <v>1860</v>
      </c>
      <c r="G4779" s="1" t="str">
        <f>CONCATENATE(" LAGER BAŠIĆ D.O.O.,"," TRGOVAČKA 3,"," 10255 DONJI STUPNIK,"," OIB: 49617677906")</f>
        <v xml:space="preserve"> LAGER BAŠIĆ D.O.O., TRGOVAČKA 3, 10255 DONJI STUPNIK, OIB: 49617677906</v>
      </c>
      <c r="H4779" s="7"/>
      <c r="I4779" s="8" t="s">
        <v>432</v>
      </c>
      <c r="J4779" s="8" t="s">
        <v>1502</v>
      </c>
      <c r="K4779" s="6" t="str">
        <f>"4.328,00"</f>
        <v>4.328,00</v>
      </c>
      <c r="L4779" s="6" t="str">
        <f>"1.082,00"</f>
        <v>1.082,00</v>
      </c>
      <c r="M4779" s="6" t="str">
        <f>"5.410,00"</f>
        <v>5.410,00</v>
      </c>
      <c r="N4779" s="8" t="s">
        <v>124</v>
      </c>
      <c r="O4779" s="7"/>
      <c r="P4779" s="2" t="s">
        <v>5614</v>
      </c>
      <c r="Q4779" s="7"/>
      <c r="R4779" s="1"/>
      <c r="S4779" s="1" t="str">
        <f>"J-UN-2022-1755"</f>
        <v>J-UN-2022-1755</v>
      </c>
      <c r="T4779" s="1" t="s">
        <v>32</v>
      </c>
    </row>
    <row r="4780" spans="1:20" ht="51" x14ac:dyDescent="0.25">
      <c r="A4780" s="6">
        <v>4772</v>
      </c>
      <c r="B4780" s="1" t="str">
        <f>"2022-1033"</f>
        <v>2022-1033</v>
      </c>
      <c r="C4780" s="1" t="s">
        <v>2927</v>
      </c>
      <c r="D4780" s="1" t="s">
        <v>2928</v>
      </c>
      <c r="E4780" s="1" t="str">
        <f>""</f>
        <v/>
      </c>
      <c r="F4780" s="1" t="s">
        <v>1860</v>
      </c>
      <c r="G4780" s="1" t="str">
        <f>CONCATENATE(" AKT INTEGRA J.D.O.O.,"," ČRET 101/A,"," 10000 ZAGREB,"," OIB: 58938691385")</f>
        <v xml:space="preserve"> AKT INTEGRA J.D.O.O., ČRET 101/A, 10000 ZAGREB, OIB: 58938691385</v>
      </c>
      <c r="H4780" s="7"/>
      <c r="I4780" s="8" t="s">
        <v>414</v>
      </c>
      <c r="J4780" s="8" t="s">
        <v>1466</v>
      </c>
      <c r="K4780" s="6" t="str">
        <f>"19.500,00"</f>
        <v>19.500,00</v>
      </c>
      <c r="L4780" s="6" t="str">
        <f>"4.875,00"</f>
        <v>4.875,00</v>
      </c>
      <c r="M4780" s="6" t="str">
        <f>"24.375,00"</f>
        <v>24.375,00</v>
      </c>
      <c r="N4780" s="8" t="s">
        <v>124</v>
      </c>
      <c r="O4780" s="7"/>
      <c r="P4780" s="2" t="s">
        <v>5614</v>
      </c>
      <c r="Q4780" s="7"/>
      <c r="R4780" s="1"/>
      <c r="S4780" s="1" t="str">
        <f>"J-UN-2022-1756"</f>
        <v>J-UN-2022-1756</v>
      </c>
      <c r="T4780" s="1" t="s">
        <v>32</v>
      </c>
    </row>
    <row r="4781" spans="1:20" ht="63.75" x14ac:dyDescent="0.25">
      <c r="A4781" s="6">
        <v>4773</v>
      </c>
      <c r="B4781" s="1" t="str">
        <f>"2022-1977"</f>
        <v>2022-1977</v>
      </c>
      <c r="C4781" s="1" t="s">
        <v>3239</v>
      </c>
      <c r="D4781" s="1" t="s">
        <v>1529</v>
      </c>
      <c r="E4781" s="1" t="str">
        <f>""</f>
        <v/>
      </c>
      <c r="F4781" s="1" t="s">
        <v>1860</v>
      </c>
      <c r="G4781" s="1" t="str">
        <f>CONCATENATE(" GUMIIMPEX - GRP D.O.O.,"," PAVLEKA MIŠKINE 64C,"," 42000 VARAŽDIN,"," OIB: 8229856262")</f>
        <v xml:space="preserve"> GUMIIMPEX - GRP D.O.O., PAVLEKA MIŠKINE 64C, 42000 VARAŽDIN, OIB: 8229856262</v>
      </c>
      <c r="H4781" s="7"/>
      <c r="I4781" s="8" t="s">
        <v>732</v>
      </c>
      <c r="J4781" s="8" t="s">
        <v>3243</v>
      </c>
      <c r="K4781" s="6" t="str">
        <f>"3.368,60"</f>
        <v>3.368,60</v>
      </c>
      <c r="L4781" s="6" t="str">
        <f>"842,15"</f>
        <v>842,15</v>
      </c>
      <c r="M4781" s="6" t="str">
        <f>"4.210,75"</f>
        <v>4.210,75</v>
      </c>
      <c r="N4781" s="8" t="s">
        <v>124</v>
      </c>
      <c r="O4781" s="7"/>
      <c r="P4781" s="2" t="s">
        <v>5614</v>
      </c>
      <c r="Q4781" s="7"/>
      <c r="R4781" s="1"/>
      <c r="S4781" s="1" t="str">
        <f>"J-UN-2022-1757"</f>
        <v>J-UN-2022-1757</v>
      </c>
      <c r="T4781" s="1" t="s">
        <v>32</v>
      </c>
    </row>
    <row r="4782" spans="1:20" ht="51" x14ac:dyDescent="0.25">
      <c r="A4782" s="6">
        <v>4774</v>
      </c>
      <c r="B4782" s="1" t="str">
        <f>"2022-1350"</f>
        <v>2022-1350</v>
      </c>
      <c r="C4782" s="1" t="s">
        <v>3131</v>
      </c>
      <c r="D4782" s="1" t="s">
        <v>1859</v>
      </c>
      <c r="E4782" s="1" t="str">
        <f>""</f>
        <v/>
      </c>
      <c r="F4782" s="1" t="s">
        <v>1860</v>
      </c>
      <c r="G4782" s="1" t="str">
        <f>CONCATENATE(" INFO PULS D.O.O.,"," JOSIPA PUPAČIĆA 1,"," 10000 ZAGREB,"," OIB: 43150843424")</f>
        <v xml:space="preserve"> INFO PULS D.O.O., JOSIPA PUPAČIĆA 1, 10000 ZAGREB, OIB: 43150843424</v>
      </c>
      <c r="H4782" s="7"/>
      <c r="I4782" s="8" t="s">
        <v>432</v>
      </c>
      <c r="J4782" s="8" t="s">
        <v>1502</v>
      </c>
      <c r="K4782" s="6" t="str">
        <f>"7.044,75"</f>
        <v>7.044,75</v>
      </c>
      <c r="L4782" s="6" t="str">
        <f>"1.761,19"</f>
        <v>1.761,19</v>
      </c>
      <c r="M4782" s="6" t="str">
        <f>"8.805,94"</f>
        <v>8.805,94</v>
      </c>
      <c r="N4782" s="8" t="s">
        <v>124</v>
      </c>
      <c r="O4782" s="7"/>
      <c r="P4782" s="2" t="s">
        <v>5614</v>
      </c>
      <c r="Q4782" s="7"/>
      <c r="R4782" s="1"/>
      <c r="S4782" s="1" t="str">
        <f>"J-UN-2022-1759"</f>
        <v>J-UN-2022-1759</v>
      </c>
      <c r="T4782" s="1" t="s">
        <v>32</v>
      </c>
    </row>
    <row r="4783" spans="1:20" ht="51" x14ac:dyDescent="0.25">
      <c r="A4783" s="6">
        <v>4775</v>
      </c>
      <c r="B4783" s="1" t="str">
        <f>"2022-164"</f>
        <v>2022-164</v>
      </c>
      <c r="C4783" s="1" t="s">
        <v>3244</v>
      </c>
      <c r="D4783" s="1" t="s">
        <v>2953</v>
      </c>
      <c r="E4783" s="1" t="str">
        <f>""</f>
        <v/>
      </c>
      <c r="F4783" s="1" t="s">
        <v>1860</v>
      </c>
      <c r="G4783" s="1" t="str">
        <f>CONCATENATE(" ATLAS D.O.O.,"," MITROVICA 28,"," 48326 VIRJE,"," OIB: 27013657948")</f>
        <v xml:space="preserve"> ATLAS D.O.O., MITROVICA 28, 48326 VIRJE, OIB: 27013657948</v>
      </c>
      <c r="H4783" s="7"/>
      <c r="I4783" s="8" t="s">
        <v>81</v>
      </c>
      <c r="J4783" s="8" t="s">
        <v>3237</v>
      </c>
      <c r="K4783" s="6" t="str">
        <f>"197.200,00"</f>
        <v>197.200,00</v>
      </c>
      <c r="L4783" s="6" t="str">
        <f>"49.300,00"</f>
        <v>49.300,00</v>
      </c>
      <c r="M4783" s="6" t="str">
        <f>"246.500,00"</f>
        <v>246.500,00</v>
      </c>
      <c r="N4783" s="8" t="s">
        <v>124</v>
      </c>
      <c r="O4783" s="7"/>
      <c r="P4783" s="2" t="s">
        <v>5614</v>
      </c>
      <c r="Q4783" s="7"/>
      <c r="R4783" s="1"/>
      <c r="S4783" s="1" t="str">
        <f>"J-UN-2022-1762"</f>
        <v>J-UN-2022-1762</v>
      </c>
      <c r="T4783" s="1" t="s">
        <v>32</v>
      </c>
    </row>
    <row r="4784" spans="1:20" ht="51" x14ac:dyDescent="0.25">
      <c r="A4784" s="6">
        <v>4776</v>
      </c>
      <c r="B4784" s="1" t="str">
        <f>"2022-808"</f>
        <v>2022-808</v>
      </c>
      <c r="C4784" s="1" t="s">
        <v>2371</v>
      </c>
      <c r="D4784" s="1" t="s">
        <v>2372</v>
      </c>
      <c r="E4784" s="1" t="str">
        <f>""</f>
        <v/>
      </c>
      <c r="F4784" s="1" t="s">
        <v>1860</v>
      </c>
      <c r="G4784" s="1" t="str">
        <f>CONCATENATE(" VELEBIT-PROMET D.O.O.,"," INDUSTRIJSKA 5,"," 10370 DUGO SELO,"," OIB: 67912509737")</f>
        <v xml:space="preserve"> VELEBIT-PROMET D.O.O., INDUSTRIJSKA 5, 10370 DUGO SELO, OIB: 67912509737</v>
      </c>
      <c r="H4784" s="7"/>
      <c r="I4784" s="8" t="s">
        <v>1032</v>
      </c>
      <c r="J4784" s="8" t="s">
        <v>3245</v>
      </c>
      <c r="K4784" s="6" t="str">
        <f>"96.800,00"</f>
        <v>96.800,00</v>
      </c>
      <c r="L4784" s="6" t="str">
        <f>"24.200,00"</f>
        <v>24.200,00</v>
      </c>
      <c r="M4784" s="6" t="str">
        <f>"121.000,00"</f>
        <v>121.000,00</v>
      </c>
      <c r="N4784" s="8" t="s">
        <v>124</v>
      </c>
      <c r="O4784" s="7"/>
      <c r="P4784" s="2" t="s">
        <v>5614</v>
      </c>
      <c r="Q4784" s="7"/>
      <c r="R4784" s="1"/>
      <c r="S4784" s="1" t="str">
        <f>"J-UN-2022-1763"</f>
        <v>J-UN-2022-1763</v>
      </c>
      <c r="T4784" s="1" t="s">
        <v>32</v>
      </c>
    </row>
    <row r="4785" spans="1:20" ht="51" x14ac:dyDescent="0.25">
      <c r="A4785" s="6">
        <v>4777</v>
      </c>
      <c r="B4785" s="1" t="str">
        <f>"2022-1977"</f>
        <v>2022-1977</v>
      </c>
      <c r="C4785" s="1" t="s">
        <v>3239</v>
      </c>
      <c r="D4785" s="1" t="s">
        <v>1529</v>
      </c>
      <c r="E4785" s="1" t="str">
        <f>""</f>
        <v/>
      </c>
      <c r="F4785" s="1" t="s">
        <v>1860</v>
      </c>
      <c r="G4785" s="1" t="str">
        <f>CONCATENATE(" VULKAL D.O.O.,"," SAMOBORSKA CESTA 310,"," 10000 ZAGREB,"," OIB: 9043969613")</f>
        <v xml:space="preserve"> VULKAL D.O.O., SAMOBORSKA CESTA 310, 10000 ZAGREB, OIB: 9043969613</v>
      </c>
      <c r="H4785" s="7"/>
      <c r="I4785" s="8" t="s">
        <v>625</v>
      </c>
      <c r="J4785" s="8" t="s">
        <v>2242</v>
      </c>
      <c r="K4785" s="6" t="str">
        <f>"2.526,00"</f>
        <v>2.526,00</v>
      </c>
      <c r="L4785" s="6" t="str">
        <f>"631,50"</f>
        <v>631,50</v>
      </c>
      <c r="M4785" s="6" t="str">
        <f>"3.157,50"</f>
        <v>3.157,50</v>
      </c>
      <c r="N4785" s="8" t="s">
        <v>58</v>
      </c>
      <c r="O4785" s="7"/>
      <c r="P4785" s="2" t="s">
        <v>7592</v>
      </c>
      <c r="Q4785" s="7"/>
      <c r="R4785" s="1"/>
      <c r="S4785" s="1" t="str">
        <f>"J-UN-2022-1781"</f>
        <v>J-UN-2022-1781</v>
      </c>
      <c r="T4785" s="1" t="s">
        <v>32</v>
      </c>
    </row>
    <row r="4786" spans="1:20" ht="51" x14ac:dyDescent="0.25">
      <c r="A4786" s="6">
        <v>4778</v>
      </c>
      <c r="B4786" s="1" t="str">
        <f>"2022-222"</f>
        <v>2022-222</v>
      </c>
      <c r="C4786" s="1" t="s">
        <v>2841</v>
      </c>
      <c r="D4786" s="1" t="s">
        <v>2842</v>
      </c>
      <c r="E4786" s="1" t="str">
        <f>""</f>
        <v/>
      </c>
      <c r="F4786" s="1" t="s">
        <v>1860</v>
      </c>
      <c r="G4786" s="1" t="str">
        <f>CONCATENATE(" TAHOGRAF D.O.O.,"," DR. FRANJE TUĐMANA 24,"," 10431 SVETA NEDELJA,"," OIB: 73777060562")</f>
        <v xml:space="preserve"> TAHOGRAF D.O.O., DR. FRANJE TUĐMANA 24, 10431 SVETA NEDELJA, OIB: 73777060562</v>
      </c>
      <c r="H4786" s="7"/>
      <c r="I4786" s="8" t="s">
        <v>625</v>
      </c>
      <c r="J4786" s="8" t="s">
        <v>2242</v>
      </c>
      <c r="K4786" s="6" t="str">
        <f>"689,40"</f>
        <v>689,40</v>
      </c>
      <c r="L4786" s="6" t="str">
        <f>"172,35"</f>
        <v>172,35</v>
      </c>
      <c r="M4786" s="6" t="str">
        <f>"861,75"</f>
        <v>861,75</v>
      </c>
      <c r="N4786" s="8" t="s">
        <v>124</v>
      </c>
      <c r="O4786" s="7"/>
      <c r="P4786" s="2" t="s">
        <v>5614</v>
      </c>
      <c r="Q4786" s="7"/>
      <c r="R4786" s="1"/>
      <c r="S4786" s="1" t="str">
        <f>"J-UN-2022-1782"</f>
        <v>J-UN-2022-1782</v>
      </c>
      <c r="T4786" s="1" t="s">
        <v>32</v>
      </c>
    </row>
    <row r="4787" spans="1:20" ht="51" x14ac:dyDescent="0.25">
      <c r="A4787" s="6">
        <v>4779</v>
      </c>
      <c r="B4787" s="1" t="str">
        <f>"2022-1974"</f>
        <v>2022-1974</v>
      </c>
      <c r="C4787" s="1" t="s">
        <v>662</v>
      </c>
      <c r="D4787" s="1" t="s">
        <v>659</v>
      </c>
      <c r="E4787" s="1" t="str">
        <f>""</f>
        <v/>
      </c>
      <c r="F4787" s="1" t="s">
        <v>1860</v>
      </c>
      <c r="G4787" s="1" t="str">
        <f>CONCATENATE(" SCHEDA D.O.O.,"," LJUDEVITA POSAVSKOG 29,"," 10360 SESVETE,"," OIB: 76219817247")</f>
        <v xml:space="preserve"> SCHEDA D.O.O., LJUDEVITA POSAVSKOG 29, 10360 SESVETE, OIB: 76219817247</v>
      </c>
      <c r="H4787" s="7"/>
      <c r="I4787" s="8" t="s">
        <v>947</v>
      </c>
      <c r="J4787" s="8" t="s">
        <v>3246</v>
      </c>
      <c r="K4787" s="6" t="str">
        <f>"29.421,20"</f>
        <v>29.421,20</v>
      </c>
      <c r="L4787" s="6" t="str">
        <f>"7.355,30"</f>
        <v>7.355,30</v>
      </c>
      <c r="M4787" s="6" t="str">
        <f>"36.776,50"</f>
        <v>36.776,50</v>
      </c>
      <c r="N4787" s="8" t="s">
        <v>124</v>
      </c>
      <c r="O4787" s="7"/>
      <c r="P4787" s="2" t="s">
        <v>5614</v>
      </c>
      <c r="Q4787" s="7"/>
      <c r="R4787" s="1"/>
      <c r="S4787" s="1" t="str">
        <f>"J-UN-2022-1783"</f>
        <v>J-UN-2022-1783</v>
      </c>
      <c r="T4787" s="1" t="s">
        <v>32</v>
      </c>
    </row>
    <row r="4788" spans="1:20" ht="63.75" x14ac:dyDescent="0.25">
      <c r="A4788" s="6">
        <v>4780</v>
      </c>
      <c r="B4788" s="1" t="str">
        <f>"2022-1805"</f>
        <v>2022-1805</v>
      </c>
      <c r="C4788" s="1" t="s">
        <v>3113</v>
      </c>
      <c r="D4788" s="1" t="s">
        <v>34</v>
      </c>
      <c r="E4788" s="1" t="str">
        <f>""</f>
        <v/>
      </c>
      <c r="F4788" s="1" t="s">
        <v>1860</v>
      </c>
      <c r="G4788" s="1" t="str">
        <f>CONCATENATE(" URIHO - ZAGREB,"," AVENIJA MARINA DRŽIĆA 1,"," 10000 ZAGREB,"," OIB: 77931216562")</f>
        <v xml:space="preserve"> URIHO - ZAGREB, AVENIJA MARINA DRŽIĆA 1, 10000 ZAGREB, OIB: 77931216562</v>
      </c>
      <c r="H4788" s="7"/>
      <c r="I4788" s="8" t="s">
        <v>625</v>
      </c>
      <c r="J4788" s="8" t="s">
        <v>2242</v>
      </c>
      <c r="K4788" s="6" t="str">
        <f>"200,00"</f>
        <v>200,00</v>
      </c>
      <c r="L4788" s="6" t="str">
        <f>"50,00"</f>
        <v>50,00</v>
      </c>
      <c r="M4788" s="6" t="str">
        <f>"250,00"</f>
        <v>250,00</v>
      </c>
      <c r="N4788" s="8" t="s">
        <v>124</v>
      </c>
      <c r="O4788" s="7"/>
      <c r="P4788" s="2" t="s">
        <v>5614</v>
      </c>
      <c r="Q4788" s="7"/>
      <c r="R4788" s="1"/>
      <c r="S4788" s="1" t="str">
        <f>"J-UN-2022-1784"</f>
        <v>J-UN-2022-1784</v>
      </c>
      <c r="T4788" s="1" t="s">
        <v>32</v>
      </c>
    </row>
    <row r="4789" spans="1:20" ht="51" x14ac:dyDescent="0.25">
      <c r="A4789" s="6">
        <v>4781</v>
      </c>
      <c r="B4789" s="1" t="str">
        <f>"2022-2013"</f>
        <v>2022-2013</v>
      </c>
      <c r="C4789" s="1" t="s">
        <v>3234</v>
      </c>
      <c r="D4789" s="1" t="s">
        <v>1529</v>
      </c>
      <c r="E4789" s="1" t="str">
        <f>""</f>
        <v/>
      </c>
      <c r="F4789" s="1" t="s">
        <v>1860</v>
      </c>
      <c r="G4789" s="1" t="str">
        <f>CONCATENATE(" VULKAL D.O.O.,"," SAMOBORSKA CESTA 310,"," 10000 ZAGREB,"," OIB: 9043969613")</f>
        <v xml:space="preserve"> VULKAL D.O.O., SAMOBORSKA CESTA 310, 10000 ZAGREB, OIB: 9043969613</v>
      </c>
      <c r="H4789" s="7"/>
      <c r="I4789" s="8" t="s">
        <v>625</v>
      </c>
      <c r="J4789" s="8" t="s">
        <v>2242</v>
      </c>
      <c r="K4789" s="6" t="str">
        <f>"3.138,00"</f>
        <v>3.138,00</v>
      </c>
      <c r="L4789" s="6" t="str">
        <f>"784,50"</f>
        <v>784,50</v>
      </c>
      <c r="M4789" s="6" t="str">
        <f>"3.922,50"</f>
        <v>3.922,50</v>
      </c>
      <c r="N4789" s="8" t="s">
        <v>124</v>
      </c>
      <c r="O4789" s="7"/>
      <c r="P4789" s="2" t="s">
        <v>5614</v>
      </c>
      <c r="Q4789" s="7"/>
      <c r="R4789" s="1"/>
      <c r="S4789" s="1" t="str">
        <f>"J-UN-2022-1786"</f>
        <v>J-UN-2022-1786</v>
      </c>
      <c r="T4789" s="1" t="s">
        <v>32</v>
      </c>
    </row>
    <row r="4790" spans="1:20" ht="51" x14ac:dyDescent="0.25">
      <c r="A4790" s="10">
        <v>4782</v>
      </c>
      <c r="B4790" s="11" t="str">
        <f>"2022-2022"</f>
        <v>2022-2022</v>
      </c>
      <c r="C4790" s="11" t="s">
        <v>3247</v>
      </c>
      <c r="D4790" s="11" t="s">
        <v>3248</v>
      </c>
      <c r="E4790" s="11" t="str">
        <f>""</f>
        <v/>
      </c>
      <c r="F4790" s="11" t="s">
        <v>1860</v>
      </c>
      <c r="G4790" s="11" t="str">
        <f>CONCATENATE(" UNIFIEDPOST D.O.O.,"," OREŠKOVIĆEVA ULICA 6N/2,"," 10000 ZAGREB,"," OIB: 34517716416")</f>
        <v xml:space="preserve"> UNIFIEDPOST D.O.O., OREŠKOVIĆEVA ULICA 6N/2, 10000 ZAGREB, OIB: 34517716416</v>
      </c>
      <c r="H4790" s="12"/>
      <c r="I4790" s="13" t="s">
        <v>420</v>
      </c>
      <c r="J4790" s="13" t="s">
        <v>3241</v>
      </c>
      <c r="K4790" s="10" t="str">
        <f>"189.540,00"</f>
        <v>189.540,00</v>
      </c>
      <c r="L4790" s="10" t="str">
        <f>"47.385,00"</f>
        <v>47.385,00</v>
      </c>
      <c r="M4790" s="10" t="str">
        <f>"236.925,00"</f>
        <v>236.925,00</v>
      </c>
      <c r="N4790" s="13" t="s">
        <v>124</v>
      </c>
      <c r="O4790" s="12"/>
      <c r="P4790" s="14" t="s">
        <v>5614</v>
      </c>
      <c r="Q4790" s="12"/>
      <c r="R4790" s="11"/>
      <c r="S4790" s="11" t="str">
        <f>"J-UN-2022-1788"</f>
        <v>J-UN-2022-1788</v>
      </c>
      <c r="T4790" s="11" t="s">
        <v>32</v>
      </c>
    </row>
    <row r="4791" spans="1:20" x14ac:dyDescent="0.25">
      <c r="A4791" s="18"/>
      <c r="B4791" s="18"/>
      <c r="C4791" s="18"/>
      <c r="D4791" s="18"/>
      <c r="E4791" s="18"/>
      <c r="F4791" s="18"/>
      <c r="G4791" s="18"/>
      <c r="H4791" s="18"/>
      <c r="I4791" s="18"/>
      <c r="J4791" s="18"/>
      <c r="K4791" s="18"/>
      <c r="L4791" s="18"/>
      <c r="M4791" s="18"/>
      <c r="N4791" s="18"/>
      <c r="O4791" s="18"/>
      <c r="P4791" s="19"/>
      <c r="Q4791" s="18"/>
      <c r="R4791" s="16"/>
      <c r="S4791" s="18"/>
      <c r="T4791" s="18"/>
    </row>
    <row r="4792" spans="1:20" x14ac:dyDescent="0.25">
      <c r="A4792" s="18"/>
      <c r="B4792" s="18"/>
      <c r="C4792" s="18"/>
      <c r="D4792" s="18"/>
      <c r="E4792" s="18"/>
      <c r="F4792" s="18"/>
      <c r="G4792" s="18"/>
      <c r="H4792" s="18"/>
      <c r="I4792" s="18"/>
      <c r="J4792" s="18"/>
      <c r="K4792" s="18"/>
      <c r="L4792" s="18"/>
      <c r="M4792" s="18"/>
      <c r="N4792" s="18"/>
      <c r="O4792" s="18"/>
      <c r="P4792" s="19"/>
      <c r="Q4792" s="18"/>
      <c r="R4792" s="16"/>
      <c r="S4792" s="18"/>
      <c r="T4792" s="18"/>
    </row>
    <row r="4793" spans="1:20" x14ac:dyDescent="0.25">
      <c r="A4793" s="18"/>
      <c r="B4793" s="18"/>
      <c r="C4793" s="18"/>
      <c r="D4793" s="18"/>
      <c r="E4793" s="18"/>
      <c r="F4793" s="18"/>
      <c r="G4793" s="18"/>
      <c r="H4793" s="18"/>
      <c r="I4793" s="18"/>
      <c r="J4793" s="18"/>
      <c r="K4793" s="18"/>
      <c r="L4793" s="18"/>
      <c r="M4793" s="18"/>
      <c r="N4793" s="18"/>
      <c r="O4793" s="18"/>
      <c r="P4793" s="19"/>
      <c r="Q4793" s="18"/>
      <c r="R4793" s="16"/>
      <c r="S4793" s="18"/>
      <c r="T4793" s="18"/>
    </row>
    <row r="4794" spans="1:20" x14ac:dyDescent="0.25">
      <c r="A4794" s="18"/>
      <c r="B4794" s="18"/>
      <c r="C4794" s="18"/>
      <c r="D4794" s="18"/>
      <c r="E4794" s="18"/>
      <c r="F4794" s="18"/>
      <c r="G4794" s="18"/>
      <c r="H4794" s="18"/>
      <c r="I4794" s="18"/>
      <c r="J4794" s="18"/>
      <c r="K4794" s="18"/>
      <c r="L4794" s="18"/>
      <c r="M4794" s="18"/>
      <c r="N4794" s="18"/>
      <c r="O4794" s="18"/>
      <c r="P4794" s="19"/>
      <c r="Q4794" s="18"/>
      <c r="R4794" s="16"/>
      <c r="S4794" s="18"/>
      <c r="T4794" s="18"/>
    </row>
    <row r="4795" spans="1:20" x14ac:dyDescent="0.25">
      <c r="A4795" s="18"/>
      <c r="B4795" s="18"/>
      <c r="C4795" s="18"/>
      <c r="D4795" s="18"/>
      <c r="E4795" s="18"/>
      <c r="F4795" s="18"/>
      <c r="G4795" s="18"/>
      <c r="H4795" s="18"/>
      <c r="I4795" s="18"/>
      <c r="J4795" s="18"/>
      <c r="K4795" s="18"/>
      <c r="L4795" s="18"/>
      <c r="M4795" s="18"/>
      <c r="N4795" s="18"/>
      <c r="O4795" s="18"/>
      <c r="P4795" s="19"/>
      <c r="Q4795" s="18"/>
      <c r="R4795" s="16"/>
      <c r="S4795" s="18"/>
      <c r="T4795" s="18"/>
    </row>
    <row r="4796" spans="1:20" x14ac:dyDescent="0.25">
      <c r="A4796" s="18"/>
      <c r="B4796" s="18"/>
      <c r="C4796" s="18"/>
      <c r="D4796" s="18"/>
      <c r="E4796" s="18"/>
      <c r="F4796" s="18"/>
      <c r="G4796" s="18"/>
      <c r="H4796" s="18"/>
      <c r="I4796" s="18"/>
      <c r="J4796" s="18"/>
      <c r="K4796" s="18"/>
      <c r="L4796" s="18"/>
      <c r="M4796" s="18"/>
      <c r="N4796" s="18"/>
      <c r="O4796" s="18"/>
      <c r="P4796" s="19"/>
      <c r="Q4796" s="18"/>
      <c r="R4796" s="16"/>
      <c r="S4796" s="18"/>
      <c r="T4796" s="18"/>
    </row>
    <row r="4797" spans="1:20" x14ac:dyDescent="0.25">
      <c r="A4797" s="18"/>
      <c r="B4797" s="18"/>
      <c r="C4797" s="18"/>
      <c r="D4797" s="18"/>
      <c r="E4797" s="18"/>
      <c r="F4797" s="18"/>
      <c r="G4797" s="18"/>
      <c r="H4797" s="18"/>
      <c r="I4797" s="18"/>
      <c r="J4797" s="18"/>
      <c r="K4797" s="18"/>
      <c r="L4797" s="18"/>
      <c r="M4797" s="18"/>
      <c r="N4797" s="18"/>
      <c r="O4797" s="18"/>
      <c r="P4797" s="19"/>
      <c r="Q4797" s="18"/>
      <c r="R4797" s="16"/>
      <c r="S4797" s="18"/>
      <c r="T4797" s="18"/>
    </row>
    <row r="4798" spans="1:20" x14ac:dyDescent="0.25">
      <c r="A4798" s="18"/>
      <c r="B4798" s="18"/>
      <c r="C4798" s="18"/>
      <c r="D4798" s="18"/>
      <c r="E4798" s="18"/>
      <c r="F4798" s="18"/>
      <c r="G4798" s="18"/>
      <c r="H4798" s="18"/>
      <c r="I4798" s="18"/>
      <c r="J4798" s="18"/>
      <c r="K4798" s="18"/>
      <c r="L4798" s="18"/>
      <c r="M4798" s="18"/>
      <c r="N4798" s="18"/>
      <c r="O4798" s="18"/>
      <c r="P4798" s="19"/>
      <c r="Q4798" s="18"/>
      <c r="R4798" s="16"/>
      <c r="S4798" s="18"/>
      <c r="T4798" s="18"/>
    </row>
    <row r="4799" spans="1:20" x14ac:dyDescent="0.25">
      <c r="A4799" s="18"/>
      <c r="B4799" s="18"/>
      <c r="C4799" s="18"/>
      <c r="D4799" s="18"/>
      <c r="E4799" s="18"/>
      <c r="F4799" s="18"/>
      <c r="G4799" s="18"/>
      <c r="H4799" s="18"/>
      <c r="I4799" s="18"/>
      <c r="J4799" s="18"/>
      <c r="K4799" s="18"/>
      <c r="L4799" s="18"/>
      <c r="M4799" s="18"/>
      <c r="N4799" s="18"/>
      <c r="O4799" s="18"/>
      <c r="P4799" s="19"/>
      <c r="Q4799" s="18"/>
      <c r="R4799" s="16"/>
      <c r="S4799" s="18"/>
      <c r="T4799" s="18"/>
    </row>
    <row r="4800" spans="1:20" x14ac:dyDescent="0.25">
      <c r="A4800" s="18"/>
      <c r="B4800" s="18"/>
      <c r="C4800" s="18"/>
      <c r="D4800" s="18"/>
      <c r="E4800" s="18"/>
      <c r="F4800" s="18"/>
      <c r="G4800" s="18"/>
      <c r="H4800" s="18"/>
      <c r="I4800" s="18"/>
      <c r="J4800" s="18"/>
      <c r="K4800" s="18"/>
      <c r="L4800" s="18"/>
      <c r="M4800" s="18"/>
      <c r="N4800" s="18"/>
      <c r="O4800" s="18"/>
      <c r="P4800" s="19"/>
      <c r="Q4800" s="18"/>
      <c r="R4800" s="16"/>
      <c r="S4800" s="18"/>
      <c r="T4800" s="18"/>
    </row>
    <row r="4801" spans="1:20" x14ac:dyDescent="0.25">
      <c r="A4801" s="18"/>
      <c r="B4801" s="18"/>
      <c r="C4801" s="18"/>
      <c r="D4801" s="18"/>
      <c r="E4801" s="18"/>
      <c r="F4801" s="18"/>
      <c r="G4801" s="18"/>
      <c r="H4801" s="18"/>
      <c r="I4801" s="18"/>
      <c r="J4801" s="18"/>
      <c r="K4801" s="18"/>
      <c r="L4801" s="18"/>
      <c r="M4801" s="18"/>
      <c r="N4801" s="18"/>
      <c r="O4801" s="18"/>
      <c r="P4801" s="19"/>
      <c r="Q4801" s="18"/>
      <c r="R4801" s="16"/>
      <c r="S4801" s="18"/>
      <c r="T4801" s="18"/>
    </row>
    <row r="4802" spans="1:20" x14ac:dyDescent="0.25">
      <c r="A4802" s="18"/>
      <c r="B4802" s="18"/>
      <c r="C4802" s="18"/>
      <c r="D4802" s="18"/>
      <c r="E4802" s="18"/>
      <c r="F4802" s="18"/>
      <c r="G4802" s="18"/>
      <c r="H4802" s="18"/>
      <c r="I4802" s="18"/>
      <c r="J4802" s="18"/>
      <c r="K4802" s="18"/>
      <c r="L4802" s="18"/>
      <c r="M4802" s="18"/>
      <c r="N4802" s="18"/>
      <c r="O4802" s="18"/>
      <c r="P4802" s="19"/>
      <c r="Q4802" s="18"/>
      <c r="R4802" s="16"/>
      <c r="S4802" s="18"/>
      <c r="T4802" s="18"/>
    </row>
    <row r="4803" spans="1:20" x14ac:dyDescent="0.25">
      <c r="A4803" s="20"/>
      <c r="B4803" s="20"/>
      <c r="C4803" s="20"/>
      <c r="D4803" s="20"/>
      <c r="E4803" s="20"/>
      <c r="F4803" s="20"/>
      <c r="G4803" s="20"/>
      <c r="H4803" s="20"/>
      <c r="I4803" s="20"/>
      <c r="J4803" s="20"/>
      <c r="K4803" s="20"/>
      <c r="L4803" s="20"/>
      <c r="M4803" s="20"/>
      <c r="N4803" s="20"/>
      <c r="O4803" s="20"/>
      <c r="P4803" s="21"/>
      <c r="Q4803" s="20"/>
      <c r="R4803" s="15"/>
      <c r="S4803" s="20"/>
      <c r="T4803" s="20"/>
    </row>
    <row r="4804" spans="1:20" ht="63.75" x14ac:dyDescent="0.25">
      <c r="A4804" s="6">
        <v>4783</v>
      </c>
      <c r="B4804" s="1" t="str">
        <f>"2022-2020"</f>
        <v>2022-2020</v>
      </c>
      <c r="C4804" s="1" t="s">
        <v>3240</v>
      </c>
      <c r="D4804" s="1" t="s">
        <v>1986</v>
      </c>
      <c r="E4804" s="1" t="str">
        <f>""</f>
        <v/>
      </c>
      <c r="F4804" s="1" t="s">
        <v>1860</v>
      </c>
      <c r="G4804" s="1" t="str">
        <f>CONCATENATE(" STRUDES D.O.O.,"," HORVAĆANSKA ULICA 77,"," 10000 ZAGREB,"," OIB: 68137150346")</f>
        <v xml:space="preserve"> STRUDES D.O.O., HORVAĆANSKA ULICA 77, 10000 ZAGREB, OIB: 68137150346</v>
      </c>
      <c r="H4804" s="7"/>
      <c r="I4804" s="8" t="s">
        <v>31</v>
      </c>
      <c r="J4804" s="8" t="s">
        <v>2203</v>
      </c>
      <c r="K4804" s="6" t="str">
        <f>"10.000,00"</f>
        <v>10.000,00</v>
      </c>
      <c r="L4804" s="6" t="str">
        <f>"2.500,00"</f>
        <v>2.500,00</v>
      </c>
      <c r="M4804" s="6" t="str">
        <f>"12.500,00"</f>
        <v>12.500,00</v>
      </c>
      <c r="N4804" s="8" t="s">
        <v>124</v>
      </c>
      <c r="O4804" s="7"/>
      <c r="P4804" s="2" t="s">
        <v>5614</v>
      </c>
      <c r="Q4804" s="7"/>
      <c r="R4804" s="1"/>
      <c r="S4804" s="1" t="str">
        <f>"J-UN-2022-1798"</f>
        <v>J-UN-2022-1798</v>
      </c>
      <c r="T4804" s="1" t="s">
        <v>32</v>
      </c>
    </row>
    <row r="4805" spans="1:20" ht="51" x14ac:dyDescent="0.25">
      <c r="A4805" s="6">
        <v>4784</v>
      </c>
      <c r="B4805" s="1" t="str">
        <f>"2022-697"</f>
        <v>2022-697</v>
      </c>
      <c r="C4805" s="1" t="s">
        <v>2872</v>
      </c>
      <c r="D4805" s="1" t="s">
        <v>1833</v>
      </c>
      <c r="E4805" s="1" t="str">
        <f>""</f>
        <v/>
      </c>
      <c r="F4805" s="1" t="s">
        <v>1860</v>
      </c>
      <c r="G4805" s="1" t="str">
        <f>CONCATENATE(" AUTOMEHANIKA D.D.,"," KOVINSKA 4,"," 10000 ZAGREB,"," OIB: 5223317126")</f>
        <v xml:space="preserve"> AUTOMEHANIKA D.D., KOVINSKA 4, 10000 ZAGREB, OIB: 5223317126</v>
      </c>
      <c r="H4805" s="7"/>
      <c r="I4805" s="8" t="s">
        <v>947</v>
      </c>
      <c r="J4805" s="8" t="s">
        <v>3246</v>
      </c>
      <c r="K4805" s="6" t="str">
        <f>"47.057,74"</f>
        <v>47.057,74</v>
      </c>
      <c r="L4805" s="6" t="str">
        <f>"11.764,44"</f>
        <v>11.764,44</v>
      </c>
      <c r="M4805" s="6" t="str">
        <f>"58.822,18"</f>
        <v>58.822,18</v>
      </c>
      <c r="N4805" s="8" t="s">
        <v>409</v>
      </c>
      <c r="O4805" s="7"/>
      <c r="P4805" s="2" t="s">
        <v>8385</v>
      </c>
      <c r="Q4805" s="7"/>
      <c r="R4805" s="1"/>
      <c r="S4805" s="1" t="str">
        <f>"J-UN-2022-1800"</f>
        <v>J-UN-2022-1800</v>
      </c>
      <c r="T4805" s="1" t="s">
        <v>32</v>
      </c>
    </row>
    <row r="4806" spans="1:20" ht="51" x14ac:dyDescent="0.25">
      <c r="A4806" s="6">
        <v>4785</v>
      </c>
      <c r="B4806" s="1" t="str">
        <f>"2022-976"</f>
        <v>2022-976</v>
      </c>
      <c r="C4806" s="1" t="s">
        <v>2936</v>
      </c>
      <c r="D4806" s="1" t="s">
        <v>1373</v>
      </c>
      <c r="E4806" s="1" t="str">
        <f>""</f>
        <v/>
      </c>
      <c r="F4806" s="1" t="s">
        <v>1860</v>
      </c>
      <c r="G4806" s="1" t="str">
        <f>CONCATENATE(" ULTRA TEH D.O.O.,"," PETROVA 16,"," 10000 ZAGREB,"," OIB: 20399041584")</f>
        <v xml:space="preserve"> ULTRA TEH D.O.O., PETROVA 16, 10000 ZAGREB, OIB: 20399041584</v>
      </c>
      <c r="H4806" s="7"/>
      <c r="I4806" s="8" t="s">
        <v>947</v>
      </c>
      <c r="J4806" s="8" t="s">
        <v>3246</v>
      </c>
      <c r="K4806" s="6" t="str">
        <f>"119.990,00"</f>
        <v>119.990,00</v>
      </c>
      <c r="L4806" s="6" t="str">
        <f>"29.997,50"</f>
        <v>29.997,50</v>
      </c>
      <c r="M4806" s="6" t="str">
        <f>"149.987,50"</f>
        <v>149.987,50</v>
      </c>
      <c r="N4806" s="8" t="s">
        <v>124</v>
      </c>
      <c r="O4806" s="7"/>
      <c r="P4806" s="2" t="s">
        <v>5614</v>
      </c>
      <c r="Q4806" s="7"/>
      <c r="R4806" s="1"/>
      <c r="S4806" s="1" t="str">
        <f>"J-UN-2022-1801"</f>
        <v>J-UN-2022-1801</v>
      </c>
      <c r="T4806" s="1" t="s">
        <v>32</v>
      </c>
    </row>
    <row r="4807" spans="1:20" ht="63.75" x14ac:dyDescent="0.25">
      <c r="A4807" s="6">
        <v>4786</v>
      </c>
      <c r="B4807" s="1" t="str">
        <f>"2022-711"</f>
        <v>2022-711</v>
      </c>
      <c r="C4807" s="1" t="s">
        <v>2956</v>
      </c>
      <c r="D4807" s="1" t="s">
        <v>815</v>
      </c>
      <c r="E4807" s="1" t="str">
        <f>""</f>
        <v/>
      </c>
      <c r="F4807" s="1" t="s">
        <v>1860</v>
      </c>
      <c r="G4807" s="1" t="str">
        <f>CONCATENATE(" AUTO SERVIS PERIĆ VL. ZRINKO PERIĆ,"," DANKOVEČKA 87,"," 10000 ZAGREB,"," OIB: 13352879212")</f>
        <v xml:space="preserve"> AUTO SERVIS PERIĆ VL. ZRINKO PERIĆ, DANKOVEČKA 87, 10000 ZAGREB, OIB: 13352879212</v>
      </c>
      <c r="H4807" s="7"/>
      <c r="I4807" s="8" t="s">
        <v>947</v>
      </c>
      <c r="J4807" s="8" t="s">
        <v>3246</v>
      </c>
      <c r="K4807" s="6" t="str">
        <f>"8.197,96"</f>
        <v>8.197,96</v>
      </c>
      <c r="L4807" s="6" t="str">
        <f>"2.049,49"</f>
        <v>2.049,49</v>
      </c>
      <c r="M4807" s="6" t="str">
        <f>"10.247,45"</f>
        <v>10.247,45</v>
      </c>
      <c r="N4807" s="8" t="s">
        <v>31</v>
      </c>
      <c r="O4807" s="7"/>
      <c r="P4807" s="2" t="s">
        <v>8386</v>
      </c>
      <c r="Q4807" s="7"/>
      <c r="R4807" s="1"/>
      <c r="S4807" s="1" t="str">
        <f>"J-UN-2022-1802"</f>
        <v>J-UN-2022-1802</v>
      </c>
      <c r="T4807" s="1" t="s">
        <v>43</v>
      </c>
    </row>
    <row r="4808" spans="1:20" ht="51" x14ac:dyDescent="0.25">
      <c r="A4808" s="6">
        <v>4787</v>
      </c>
      <c r="B4808" s="1" t="str">
        <f>"2022-2024"</f>
        <v>2022-2024</v>
      </c>
      <c r="C4808" s="1" t="s">
        <v>3249</v>
      </c>
      <c r="D4808" s="1" t="s">
        <v>1373</v>
      </c>
      <c r="E4808" s="1" t="str">
        <f>""</f>
        <v/>
      </c>
      <c r="F4808" s="1" t="s">
        <v>1860</v>
      </c>
      <c r="G4808" s="1" t="str">
        <f>CONCATENATE(" ULTRA TEH D.O.O.,"," PETROVA 16,"," 10000 ZAGREB,"," OIB: 20399041584")</f>
        <v xml:space="preserve"> ULTRA TEH D.O.O., PETROVA 16, 10000 ZAGREB, OIB: 20399041584</v>
      </c>
      <c r="H4808" s="7"/>
      <c r="I4808" s="8" t="s">
        <v>947</v>
      </c>
      <c r="J4808" s="8" t="s">
        <v>3246</v>
      </c>
      <c r="K4808" s="6" t="str">
        <f>"126.560,00"</f>
        <v>126.560,00</v>
      </c>
      <c r="L4808" s="6" t="str">
        <f>"31.640,00"</f>
        <v>31.640,00</v>
      </c>
      <c r="M4808" s="6" t="str">
        <f>"158.200,00"</f>
        <v>158.200,00</v>
      </c>
      <c r="N4808" s="8" t="s">
        <v>124</v>
      </c>
      <c r="O4808" s="7"/>
      <c r="P4808" s="2" t="s">
        <v>5614</v>
      </c>
      <c r="Q4808" s="7"/>
      <c r="R4808" s="1"/>
      <c r="S4808" s="1" t="str">
        <f>"J-UN-2022-1803"</f>
        <v>J-UN-2022-1803</v>
      </c>
      <c r="T4808" s="1" t="s">
        <v>32</v>
      </c>
    </row>
    <row r="4809" spans="1:20" ht="51" x14ac:dyDescent="0.25">
      <c r="A4809" s="6">
        <v>4788</v>
      </c>
      <c r="B4809" s="1" t="str">
        <f>"2022-2023"</f>
        <v>2022-2023</v>
      </c>
      <c r="C4809" s="1" t="s">
        <v>3250</v>
      </c>
      <c r="D4809" s="1" t="s">
        <v>1619</v>
      </c>
      <c r="E4809" s="1" t="str">
        <f>""</f>
        <v/>
      </c>
      <c r="F4809" s="1" t="s">
        <v>1860</v>
      </c>
      <c r="G4809" s="1" t="str">
        <f>CONCATENATE(" ULTRA TEH D.O.O.,"," PETROVA 16,"," 10000 ZAGREB,"," OIB: 20399041584")</f>
        <v xml:space="preserve"> ULTRA TEH D.O.O., PETROVA 16, 10000 ZAGREB, OIB: 20399041584</v>
      </c>
      <c r="H4809" s="7"/>
      <c r="I4809" s="8" t="s">
        <v>947</v>
      </c>
      <c r="J4809" s="8" t="s">
        <v>3246</v>
      </c>
      <c r="K4809" s="6" t="str">
        <f>"114.950,00"</f>
        <v>114.950,00</v>
      </c>
      <c r="L4809" s="6" t="str">
        <f>"28.737,50"</f>
        <v>28.737,50</v>
      </c>
      <c r="M4809" s="6" t="str">
        <f>"143.687,50"</f>
        <v>143.687,50</v>
      </c>
      <c r="N4809" s="8" t="s">
        <v>124</v>
      </c>
      <c r="O4809" s="7"/>
      <c r="P4809" s="2" t="s">
        <v>5614</v>
      </c>
      <c r="Q4809" s="7"/>
      <c r="R4809" s="1"/>
      <c r="S4809" s="1" t="str">
        <f>"J-UN-2022-1804"</f>
        <v>J-UN-2022-1804</v>
      </c>
      <c r="T4809" s="1" t="s">
        <v>32</v>
      </c>
    </row>
    <row r="4810" spans="1:20" ht="63.75" x14ac:dyDescent="0.25">
      <c r="A4810" s="6">
        <v>4789</v>
      </c>
      <c r="B4810" s="1" t="str">
        <f>"2022-1217"</f>
        <v>2022-1217</v>
      </c>
      <c r="C4810" s="1" t="s">
        <v>2284</v>
      </c>
      <c r="D4810" s="1" t="s">
        <v>381</v>
      </c>
      <c r="E4810" s="1" t="str">
        <f>""</f>
        <v/>
      </c>
      <c r="F4810" s="1" t="s">
        <v>1860</v>
      </c>
      <c r="G4810" s="1" t="str">
        <f>CONCATENATE(" RADOŠEVIĆ D.O.O.,"," ZAGREB,"," GORNJOSTUPNIČKA 18A,"," 10000 ZAGREB,"," OIB: 2093011435")</f>
        <v xml:space="preserve"> RADOŠEVIĆ D.O.O., ZAGREB, GORNJOSTUPNIČKA 18A, 10000 ZAGREB, OIB: 2093011435</v>
      </c>
      <c r="H4810" s="7"/>
      <c r="I4810" s="8" t="s">
        <v>508</v>
      </c>
      <c r="J4810" s="8" t="s">
        <v>2205</v>
      </c>
      <c r="K4810" s="6" t="str">
        <f>"18.640,00"</f>
        <v>18.640,00</v>
      </c>
      <c r="L4810" s="6" t="str">
        <f>"4.660,00"</f>
        <v>4.660,00</v>
      </c>
      <c r="M4810" s="6" t="str">
        <f>"23.300,00"</f>
        <v>23.300,00</v>
      </c>
      <c r="N4810" s="8" t="s">
        <v>124</v>
      </c>
      <c r="O4810" s="7"/>
      <c r="P4810" s="2" t="s">
        <v>5614</v>
      </c>
      <c r="Q4810" s="7"/>
      <c r="R4810" s="1"/>
      <c r="S4810" s="1" t="str">
        <f>"J-UN-2022-1805"</f>
        <v>J-UN-2022-1805</v>
      </c>
      <c r="T4810" s="1" t="s">
        <v>32</v>
      </c>
    </row>
    <row r="4811" spans="1:20" ht="51" x14ac:dyDescent="0.25">
      <c r="A4811" s="6">
        <v>4790</v>
      </c>
      <c r="B4811" s="1" t="str">
        <f>"2022-1310"</f>
        <v>2022-1310</v>
      </c>
      <c r="C4811" s="1" t="s">
        <v>3085</v>
      </c>
      <c r="D4811" s="1" t="s">
        <v>2549</v>
      </c>
      <c r="E4811" s="1" t="str">
        <f>""</f>
        <v/>
      </c>
      <c r="F4811" s="1" t="s">
        <v>1860</v>
      </c>
      <c r="G4811" s="1" t="str">
        <f>CONCATENATE(" AD HOC-CENTAR D.O.O.,"," DRAŠKOVIĆEVA 4A,"," 10000 ZAGREB,"," OIB: 75132412279")</f>
        <v xml:space="preserve"> AD HOC-CENTAR D.O.O., DRAŠKOVIĆEVA 4A, 10000 ZAGREB, OIB: 75132412279</v>
      </c>
      <c r="H4811" s="7"/>
      <c r="I4811" s="8" t="s">
        <v>947</v>
      </c>
      <c r="J4811" s="8" t="s">
        <v>3246</v>
      </c>
      <c r="K4811" s="6" t="str">
        <f>"8.500,00"</f>
        <v>8.500,00</v>
      </c>
      <c r="L4811" s="6" t="str">
        <f>"2.125,00"</f>
        <v>2.125,00</v>
      </c>
      <c r="M4811" s="6" t="str">
        <f>"10.625,00"</f>
        <v>10.625,00</v>
      </c>
      <c r="N4811" s="8" t="s">
        <v>31</v>
      </c>
      <c r="O4811" s="7"/>
      <c r="P4811" s="2" t="s">
        <v>7105</v>
      </c>
      <c r="Q4811" s="7"/>
      <c r="R4811" s="1"/>
      <c r="S4811" s="1" t="str">
        <f>"J-UN-2022-1806"</f>
        <v>J-UN-2022-1806</v>
      </c>
      <c r="T4811" s="1" t="s">
        <v>32</v>
      </c>
    </row>
    <row r="4812" spans="1:20" ht="51" x14ac:dyDescent="0.25">
      <c r="A4812" s="6">
        <v>4791</v>
      </c>
      <c r="B4812" s="1" t="str">
        <f>"2022-1338"</f>
        <v>2022-1338</v>
      </c>
      <c r="C4812" s="1" t="s">
        <v>2753</v>
      </c>
      <c r="D4812" s="1" t="s">
        <v>2331</v>
      </c>
      <c r="E4812" s="1" t="str">
        <f>""</f>
        <v/>
      </c>
      <c r="F4812" s="1" t="s">
        <v>1860</v>
      </c>
      <c r="G4812" s="1" t="str">
        <f>CONCATENATE(" LEONARDO MEDIA D.O.O.,"," GJURE SZABA 4/2,"," 10000 ZAGREB,"," OIB: 90240160025")</f>
        <v xml:space="preserve"> LEONARDO MEDIA D.O.O., GJURE SZABA 4/2, 10000 ZAGREB, OIB: 90240160025</v>
      </c>
      <c r="H4812" s="7"/>
      <c r="I4812" s="8" t="s">
        <v>947</v>
      </c>
      <c r="J4812" s="8" t="s">
        <v>3246</v>
      </c>
      <c r="K4812" s="6" t="str">
        <f>"13.050,00"</f>
        <v>13.050,00</v>
      </c>
      <c r="L4812" s="6" t="str">
        <f>"3.262,50"</f>
        <v>3.262,50</v>
      </c>
      <c r="M4812" s="6" t="str">
        <f>"16.312,50"</f>
        <v>16.312,50</v>
      </c>
      <c r="N4812" s="8" t="s">
        <v>58</v>
      </c>
      <c r="O4812" s="7"/>
      <c r="P4812" s="2" t="s">
        <v>8387</v>
      </c>
      <c r="Q4812" s="7"/>
      <c r="R4812" s="1"/>
      <c r="S4812" s="1" t="str">
        <f>"J-UN-2022-1807"</f>
        <v>J-UN-2022-1807</v>
      </c>
      <c r="T4812" s="1" t="s">
        <v>32</v>
      </c>
    </row>
    <row r="4813" spans="1:20" ht="51" x14ac:dyDescent="0.25">
      <c r="A4813" s="6">
        <v>4792</v>
      </c>
      <c r="B4813" s="1" t="str">
        <f>"2022-1338"</f>
        <v>2022-1338</v>
      </c>
      <c r="C4813" s="1" t="s">
        <v>2753</v>
      </c>
      <c r="D4813" s="1" t="s">
        <v>2331</v>
      </c>
      <c r="E4813" s="1" t="str">
        <f>""</f>
        <v/>
      </c>
      <c r="F4813" s="1" t="s">
        <v>1860</v>
      </c>
      <c r="G4813" s="1" t="str">
        <f>CONCATENATE(" KERSCHOFFSET ZAGREB D.O.O.,"," JEŽDOVEČKA 112,"," 10000 ZAGREB,"," OIB: 95125392657")</f>
        <v xml:space="preserve"> KERSCHOFFSET ZAGREB D.O.O., JEŽDOVEČKA 112, 10000 ZAGREB, OIB: 95125392657</v>
      </c>
      <c r="H4813" s="7"/>
      <c r="I4813" s="8" t="s">
        <v>947</v>
      </c>
      <c r="J4813" s="8" t="s">
        <v>3246</v>
      </c>
      <c r="K4813" s="6" t="str">
        <f>"3.800,00"</f>
        <v>3.800,00</v>
      </c>
      <c r="L4813" s="6" t="str">
        <f>"950,00"</f>
        <v>950,00</v>
      </c>
      <c r="M4813" s="6" t="str">
        <f>"4.750,00"</f>
        <v>4.750,00</v>
      </c>
      <c r="N4813" s="8" t="s">
        <v>947</v>
      </c>
      <c r="O4813" s="7"/>
      <c r="P4813" s="2" t="s">
        <v>7595</v>
      </c>
      <c r="Q4813" s="7"/>
      <c r="R4813" s="1"/>
      <c r="S4813" s="1" t="str">
        <f>"J-UN-2022-1808"</f>
        <v>J-UN-2022-1808</v>
      </c>
      <c r="T4813" s="1" t="s">
        <v>32</v>
      </c>
    </row>
    <row r="4814" spans="1:20" ht="51" x14ac:dyDescent="0.25">
      <c r="A4814" s="6">
        <v>4793</v>
      </c>
      <c r="B4814" s="1" t="str">
        <f>"2022-1975"</f>
        <v>2022-1975</v>
      </c>
      <c r="C4814" s="1" t="s">
        <v>3251</v>
      </c>
      <c r="D4814" s="1" t="s">
        <v>766</v>
      </c>
      <c r="E4814" s="1" t="str">
        <f>""</f>
        <v/>
      </c>
      <c r="F4814" s="1" t="s">
        <v>1860</v>
      </c>
      <c r="G4814" s="1" t="str">
        <f>CONCATENATE(" C.I.A.K. D.O.O.,"," SAVSKA OPATOVINA 36,"," 10090 ZAGREB-SUSEDGRAD,"," OIB: 47428597158")</f>
        <v xml:space="preserve"> C.I.A.K. D.O.O., SAVSKA OPATOVINA 36, 10090 ZAGREB-SUSEDGRAD, OIB: 47428597158</v>
      </c>
      <c r="H4814" s="7"/>
      <c r="I4814" s="8" t="s">
        <v>1099</v>
      </c>
      <c r="J4814" s="8" t="s">
        <v>2351</v>
      </c>
      <c r="K4814" s="6" t="str">
        <f>"77.992,35"</f>
        <v>77.992,35</v>
      </c>
      <c r="L4814" s="6" t="str">
        <f>"19.498,09"</f>
        <v>19.498,09</v>
      </c>
      <c r="M4814" s="6" t="str">
        <f>"97.490,44"</f>
        <v>97.490,44</v>
      </c>
      <c r="N4814" s="8" t="s">
        <v>124</v>
      </c>
      <c r="O4814" s="7"/>
      <c r="P4814" s="2" t="s">
        <v>5614</v>
      </c>
      <c r="Q4814" s="7"/>
      <c r="R4814" s="1"/>
      <c r="S4814" s="1" t="str">
        <f>"J-UN-2022-1809"</f>
        <v>J-UN-2022-1809</v>
      </c>
      <c r="T4814" s="1" t="s">
        <v>32</v>
      </c>
    </row>
    <row r="4815" spans="1:20" ht="76.5" x14ac:dyDescent="0.25">
      <c r="A4815" s="6">
        <v>4794</v>
      </c>
      <c r="B4815" s="1" t="str">
        <f>"2022-257"</f>
        <v>2022-257</v>
      </c>
      <c r="C4815" s="1" t="s">
        <v>2712</v>
      </c>
      <c r="D4815" s="1" t="s">
        <v>2713</v>
      </c>
      <c r="E4815" s="1" t="str">
        <f>""</f>
        <v/>
      </c>
      <c r="F4815" s="1" t="s">
        <v>1860</v>
      </c>
      <c r="G4815" s="1" t="str">
        <f>CONCATENATE(" SMIT-COMMERCE D.O.O.,"," GORNJOSTUPNIČKA 9B,"," 10255 GORNJI STUPNIK,"," OIB: 9524348214")</f>
        <v xml:space="preserve"> SMIT-COMMERCE D.O.O., GORNJOSTUPNIČKA 9B, 10255 GORNJI STUPNIK, OIB: 9524348214</v>
      </c>
      <c r="H4815" s="7"/>
      <c r="I4815" s="8" t="s">
        <v>1099</v>
      </c>
      <c r="J4815" s="8" t="s">
        <v>2351</v>
      </c>
      <c r="K4815" s="6" t="str">
        <f>"14.300,00"</f>
        <v>14.300,00</v>
      </c>
      <c r="L4815" s="6" t="str">
        <f>"3.575,00"</f>
        <v>3.575,00</v>
      </c>
      <c r="M4815" s="6" t="str">
        <f>"17.875,00"</f>
        <v>17.875,00</v>
      </c>
      <c r="N4815" s="8" t="s">
        <v>124</v>
      </c>
      <c r="O4815" s="7"/>
      <c r="P4815" s="2" t="s">
        <v>5614</v>
      </c>
      <c r="Q4815" s="7"/>
      <c r="R4815" s="1"/>
      <c r="S4815" s="1" t="str">
        <f>"J-UN-2022-1811"</f>
        <v>J-UN-2022-1811</v>
      </c>
      <c r="T4815" s="1" t="s">
        <v>32</v>
      </c>
    </row>
    <row r="4816" spans="1:20" ht="38.25" x14ac:dyDescent="0.25">
      <c r="A4816" s="6">
        <v>4795</v>
      </c>
      <c r="B4816" s="1" t="str">
        <f>"2022-1155"</f>
        <v>2022-1155</v>
      </c>
      <c r="C4816" s="1" t="s">
        <v>2813</v>
      </c>
      <c r="D4816" s="1" t="s">
        <v>2814</v>
      </c>
      <c r="E4816" s="1" t="str">
        <f>""</f>
        <v/>
      </c>
      <c r="F4816" s="1" t="s">
        <v>1860</v>
      </c>
      <c r="G4816" s="1" t="str">
        <f>CONCATENATE(" ANT D.O.O.,"," MEDARSKA 69,"," 10000 ZAGREB,"," OIB: 67120058773")</f>
        <v xml:space="preserve"> ANT D.O.O., MEDARSKA 69, 10000 ZAGREB, OIB: 67120058773</v>
      </c>
      <c r="H4816" s="7"/>
      <c r="I4816" s="8" t="s">
        <v>1159</v>
      </c>
      <c r="J4816" s="8" t="s">
        <v>3252</v>
      </c>
      <c r="K4816" s="6" t="str">
        <f>"8.000,00"</f>
        <v>8.000,00</v>
      </c>
      <c r="L4816" s="6" t="str">
        <f>"2.000,00"</f>
        <v>2.000,00</v>
      </c>
      <c r="M4816" s="6" t="str">
        <f>"10.000,00"</f>
        <v>10.000,00</v>
      </c>
      <c r="N4816" s="8" t="s">
        <v>124</v>
      </c>
      <c r="O4816" s="7"/>
      <c r="P4816" s="2" t="s">
        <v>5614</v>
      </c>
      <c r="Q4816" s="7"/>
      <c r="R4816" s="1"/>
      <c r="S4816" s="1" t="str">
        <f>"J-UN-2022-1812"</f>
        <v>J-UN-2022-1812</v>
      </c>
      <c r="T4816" s="1" t="s">
        <v>32</v>
      </c>
    </row>
    <row r="4817" spans="1:20" ht="63.75" x14ac:dyDescent="0.25">
      <c r="A4817" s="6">
        <v>4796</v>
      </c>
      <c r="B4817" s="1" t="str">
        <f>"2022-345"</f>
        <v>2022-345</v>
      </c>
      <c r="C4817" s="1" t="s">
        <v>2948</v>
      </c>
      <c r="D4817" s="1" t="s">
        <v>2949</v>
      </c>
      <c r="E4817" s="1" t="str">
        <f>""</f>
        <v/>
      </c>
      <c r="F4817" s="1" t="s">
        <v>1860</v>
      </c>
      <c r="G4817" s="1" t="str">
        <f>CONCATENATE(" POLJOOPSKRBA-TEHNO D.D.,"," SAMOBORSKA 96,"," 10000 ZAGREB,"," OIB: 5372167324")</f>
        <v xml:space="preserve"> POLJOOPSKRBA-TEHNO D.D., SAMOBORSKA 96, 10000 ZAGREB, OIB: 5372167324</v>
      </c>
      <c r="H4817" s="7"/>
      <c r="I4817" s="8" t="s">
        <v>1159</v>
      </c>
      <c r="J4817" s="8" t="s">
        <v>3252</v>
      </c>
      <c r="K4817" s="6" t="str">
        <f>"11.100,00"</f>
        <v>11.100,00</v>
      </c>
      <c r="L4817" s="6" t="str">
        <f>"2.775,00"</f>
        <v>2.775,00</v>
      </c>
      <c r="M4817" s="6" t="str">
        <f>"13.875,00"</f>
        <v>13.875,00</v>
      </c>
      <c r="N4817" s="8" t="s">
        <v>1009</v>
      </c>
      <c r="O4817" s="7"/>
      <c r="P4817" s="2" t="s">
        <v>8388</v>
      </c>
      <c r="Q4817" s="7"/>
      <c r="R4817" s="1"/>
      <c r="S4817" s="1" t="str">
        <f>"J-UN-2022-1813"</f>
        <v>J-UN-2022-1813</v>
      </c>
      <c r="T4817" s="1" t="s">
        <v>32</v>
      </c>
    </row>
    <row r="4818" spans="1:20" ht="63.75" x14ac:dyDescent="0.25">
      <c r="A4818" s="6">
        <v>4797</v>
      </c>
      <c r="B4818" s="1" t="str">
        <f>"2022-716"</f>
        <v>2022-716</v>
      </c>
      <c r="C4818" s="1" t="s">
        <v>2563</v>
      </c>
      <c r="D4818" s="1" t="s">
        <v>914</v>
      </c>
      <c r="E4818" s="1" t="str">
        <f>""</f>
        <v/>
      </c>
      <c r="F4818" s="1" t="s">
        <v>1860</v>
      </c>
      <c r="G4818" s="1" t="str">
        <f>CONCATENATE(" TOKIĆ D.O.O.,"," ULICA 144. BRIGADE HRVATSKE VOJSKE 1A,"," 10360 SESVETE,"," OIB: 7486748762")</f>
        <v xml:space="preserve"> TOKIĆ D.O.O., ULICA 144. BRIGADE HRVATSKE VOJSKE 1A, 10360 SESVETE, OIB: 7486748762</v>
      </c>
      <c r="H4818" s="7"/>
      <c r="I4818" s="8" t="s">
        <v>1159</v>
      </c>
      <c r="J4818" s="8" t="s">
        <v>3252</v>
      </c>
      <c r="K4818" s="6" t="str">
        <f>"560,00"</f>
        <v>560,00</v>
      </c>
      <c r="L4818" s="6" t="str">
        <f>"140,00"</f>
        <v>140,00</v>
      </c>
      <c r="M4818" s="6" t="str">
        <f>"700,00"</f>
        <v>700,00</v>
      </c>
      <c r="N4818" s="8" t="s">
        <v>509</v>
      </c>
      <c r="O4818" s="7"/>
      <c r="P4818" s="2" t="s">
        <v>8389</v>
      </c>
      <c r="Q4818" s="7"/>
      <c r="R4818" s="1"/>
      <c r="S4818" s="1" t="str">
        <f>"J-UN-2022-1814"</f>
        <v>J-UN-2022-1814</v>
      </c>
      <c r="T4818" s="1" t="s">
        <v>32</v>
      </c>
    </row>
    <row r="4819" spans="1:20" ht="51" x14ac:dyDescent="0.25">
      <c r="A4819" s="6">
        <v>4798</v>
      </c>
      <c r="B4819" s="1" t="str">
        <f>"2022-813"</f>
        <v>2022-813</v>
      </c>
      <c r="C4819" s="1" t="s">
        <v>2844</v>
      </c>
      <c r="D4819" s="1" t="s">
        <v>2716</v>
      </c>
      <c r="E4819" s="1" t="str">
        <f>""</f>
        <v/>
      </c>
      <c r="F4819" s="1" t="s">
        <v>1860</v>
      </c>
      <c r="G4819" s="1" t="str">
        <f>CONCATENATE(" LAGER BAŠIĆ D.O.O.,"," TRGOVAČKA 3,"," 10255 DONJI STUPNIK,"," OIB: 49617677906")</f>
        <v xml:space="preserve"> LAGER BAŠIĆ D.O.O., TRGOVAČKA 3, 10255 DONJI STUPNIK, OIB: 49617677906</v>
      </c>
      <c r="H4819" s="7"/>
      <c r="I4819" s="8" t="s">
        <v>964</v>
      </c>
      <c r="J4819" s="8" t="s">
        <v>2235</v>
      </c>
      <c r="K4819" s="6" t="str">
        <f>"9.563,00"</f>
        <v>9.563,00</v>
      </c>
      <c r="L4819" s="6" t="str">
        <f>"2.390,75"</f>
        <v>2.390,75</v>
      </c>
      <c r="M4819" s="6" t="str">
        <f>"11.953,75"</f>
        <v>11.953,75</v>
      </c>
      <c r="N4819" s="8" t="s">
        <v>124</v>
      </c>
      <c r="O4819" s="7"/>
      <c r="P4819" s="2" t="s">
        <v>8390</v>
      </c>
      <c r="Q4819" s="7"/>
      <c r="R4819" s="1"/>
      <c r="S4819" s="1" t="str">
        <f>"J-UN-2022-1815"</f>
        <v>J-UN-2022-1815</v>
      </c>
      <c r="T4819" s="1" t="s">
        <v>32</v>
      </c>
    </row>
    <row r="4820" spans="1:20" ht="51" x14ac:dyDescent="0.25">
      <c r="A4820" s="6">
        <v>4799</v>
      </c>
      <c r="B4820" s="1" t="str">
        <f>"2022-251"</f>
        <v>2022-251</v>
      </c>
      <c r="C4820" s="1" t="s">
        <v>2885</v>
      </c>
      <c r="D4820" s="1" t="s">
        <v>2886</v>
      </c>
      <c r="E4820" s="1" t="str">
        <f>""</f>
        <v/>
      </c>
      <c r="F4820" s="1" t="s">
        <v>1860</v>
      </c>
      <c r="G4820" s="1" t="str">
        <f>CONCATENATE(" TED D.O.O.,"," VRHOVČEV VIJENAC 84,"," 10000 ZAGREB,"," OIB: 22740118957")</f>
        <v xml:space="preserve"> TED D.O.O., VRHOVČEV VIJENAC 84, 10000 ZAGREB, OIB: 22740118957</v>
      </c>
      <c r="H4820" s="7"/>
      <c r="I4820" s="8" t="s">
        <v>409</v>
      </c>
      <c r="J4820" s="8" t="s">
        <v>1574</v>
      </c>
      <c r="K4820" s="6" t="str">
        <f>"19.500,00"</f>
        <v>19.500,00</v>
      </c>
      <c r="L4820" s="6" t="str">
        <f>"4.875,00"</f>
        <v>4.875,00</v>
      </c>
      <c r="M4820" s="6" t="str">
        <f>"24.375,00"</f>
        <v>24.375,00</v>
      </c>
      <c r="N4820" s="8" t="s">
        <v>553</v>
      </c>
      <c r="O4820" s="7"/>
      <c r="P4820" s="2" t="s">
        <v>7145</v>
      </c>
      <c r="Q4820" s="7"/>
      <c r="R4820" s="1"/>
      <c r="S4820" s="1" t="str">
        <f>"J-UN-2022-1816"</f>
        <v>J-UN-2022-1816</v>
      </c>
      <c r="T4820" s="1" t="s">
        <v>32</v>
      </c>
    </row>
    <row r="4821" spans="1:20" ht="76.5" x14ac:dyDescent="0.25">
      <c r="A4821" s="6">
        <v>4800</v>
      </c>
      <c r="B4821" s="1" t="str">
        <f>"2022-384"</f>
        <v>2022-384</v>
      </c>
      <c r="C4821" s="1" t="s">
        <v>3062</v>
      </c>
      <c r="D4821" s="1" t="s">
        <v>3063</v>
      </c>
      <c r="E4821" s="1" t="str">
        <f>""</f>
        <v/>
      </c>
      <c r="F4821" s="1" t="s">
        <v>1860</v>
      </c>
      <c r="G4821" s="1" t="str">
        <f>CONCATENATE(" SMIT-COMMERCE D.O.O.,"," GORNJOSTUPNIČKA 9B,"," 10255 GORNJI STUPNIK,"," OIB: 9524348214")</f>
        <v xml:space="preserve"> SMIT-COMMERCE D.O.O., GORNJOSTUPNIČKA 9B, 10255 GORNJI STUPNIK, OIB: 9524348214</v>
      </c>
      <c r="H4821" s="7"/>
      <c r="I4821" s="8" t="s">
        <v>409</v>
      </c>
      <c r="J4821" s="8" t="s">
        <v>1574</v>
      </c>
      <c r="K4821" s="6" t="str">
        <f>"1.130,09"</f>
        <v>1.130,09</v>
      </c>
      <c r="L4821" s="6" t="str">
        <f>"282,52"</f>
        <v>282,52</v>
      </c>
      <c r="M4821" s="6" t="str">
        <f>"1.412,61"</f>
        <v>1.412,61</v>
      </c>
      <c r="N4821" s="8" t="s">
        <v>124</v>
      </c>
      <c r="O4821" s="7"/>
      <c r="P4821" s="2" t="s">
        <v>5614</v>
      </c>
      <c r="Q4821" s="7"/>
      <c r="R4821" s="1"/>
      <c r="S4821" s="1" t="str">
        <f>"J-UN-2022-1817"</f>
        <v>J-UN-2022-1817</v>
      </c>
      <c r="T4821" s="1" t="s">
        <v>32</v>
      </c>
    </row>
    <row r="4822" spans="1:20" ht="51" x14ac:dyDescent="0.25">
      <c r="A4822" s="6">
        <v>4801</v>
      </c>
      <c r="B4822" s="1" t="str">
        <f>"2022-201"</f>
        <v>2022-201</v>
      </c>
      <c r="C4822" s="1" t="s">
        <v>2651</v>
      </c>
      <c r="D4822" s="1" t="s">
        <v>2652</v>
      </c>
      <c r="E4822" s="1" t="str">
        <f>""</f>
        <v/>
      </c>
      <c r="F4822" s="1" t="s">
        <v>1860</v>
      </c>
      <c r="G4822" s="1" t="str">
        <f>CONCATENATE(" VODOSKOK D.D.,"," ČULINEČKA CESTA 221/C,"," 10040 ZAGREB,"," OIB: 34134218058")</f>
        <v xml:space="preserve"> VODOSKOK D.D., ČULINEČKA CESTA 221/C, 10040 ZAGREB, OIB: 34134218058</v>
      </c>
      <c r="H4822" s="7"/>
      <c r="I4822" s="8" t="s">
        <v>409</v>
      </c>
      <c r="J4822" s="8" t="s">
        <v>1574</v>
      </c>
      <c r="K4822" s="6" t="str">
        <f>"6.597,00"</f>
        <v>6.597,00</v>
      </c>
      <c r="L4822" s="6" t="str">
        <f>"1.649,25"</f>
        <v>1.649,25</v>
      </c>
      <c r="M4822" s="6" t="str">
        <f>"8.246,25"</f>
        <v>8.246,25</v>
      </c>
      <c r="N4822" s="8" t="s">
        <v>124</v>
      </c>
      <c r="O4822" s="7"/>
      <c r="P4822" s="2" t="s">
        <v>5614</v>
      </c>
      <c r="Q4822" s="7"/>
      <c r="R4822" s="1"/>
      <c r="S4822" s="1" t="str">
        <f>"J-UN-2022-1819"</f>
        <v>J-UN-2022-1819</v>
      </c>
      <c r="T4822" s="1" t="s">
        <v>32</v>
      </c>
    </row>
    <row r="4823" spans="1:20" ht="63.75" x14ac:dyDescent="0.25">
      <c r="A4823" s="6">
        <v>4802</v>
      </c>
      <c r="B4823" s="1" t="str">
        <f>"2022-186"</f>
        <v>2022-186</v>
      </c>
      <c r="C4823" s="1" t="s">
        <v>2534</v>
      </c>
      <c r="D4823" s="1" t="s">
        <v>2535</v>
      </c>
      <c r="E4823" s="1" t="str">
        <f>""</f>
        <v/>
      </c>
      <c r="F4823" s="1" t="s">
        <v>1860</v>
      </c>
      <c r="G4823" s="1" t="str">
        <f>CONCATENATE(" ARABUSTA DOMIC D.O.O.,"," MARJANOVIĆEV PRILAZ 9,"," 10000 ZAGREB,"," OIB: 86431702899")</f>
        <v xml:space="preserve"> ARABUSTA DOMIC D.O.O., MARJANOVIĆEV PRILAZ 9, 10000 ZAGREB, OIB: 86431702899</v>
      </c>
      <c r="H4823" s="7"/>
      <c r="I4823" s="8" t="s">
        <v>964</v>
      </c>
      <c r="J4823" s="8" t="s">
        <v>2235</v>
      </c>
      <c r="K4823" s="6" t="str">
        <f>"1.800,00"</f>
        <v>1.800,00</v>
      </c>
      <c r="L4823" s="6" t="str">
        <f>"450,00"</f>
        <v>450,00</v>
      </c>
      <c r="M4823" s="6" t="str">
        <f>"2.250,00"</f>
        <v>2.250,00</v>
      </c>
      <c r="N4823" s="8" t="s">
        <v>1099</v>
      </c>
      <c r="O4823" s="7"/>
      <c r="P4823" s="2" t="s">
        <v>5641</v>
      </c>
      <c r="Q4823" s="7"/>
      <c r="R4823" s="1"/>
      <c r="S4823" s="1" t="str">
        <f>"J-UN-2022-1820"</f>
        <v>J-UN-2022-1820</v>
      </c>
      <c r="T4823" s="1" t="s">
        <v>32</v>
      </c>
    </row>
    <row r="4824" spans="1:20" ht="63.75" x14ac:dyDescent="0.25">
      <c r="A4824" s="6">
        <v>4803</v>
      </c>
      <c r="B4824" s="1" t="str">
        <f>"2022-909"</f>
        <v>2022-909</v>
      </c>
      <c r="C4824" s="1" t="s">
        <v>2718</v>
      </c>
      <c r="D4824" s="1" t="s">
        <v>1102</v>
      </c>
      <c r="E4824" s="1" t="str">
        <f>""</f>
        <v/>
      </c>
      <c r="F4824" s="1" t="s">
        <v>1860</v>
      </c>
      <c r="G4824" s="1" t="str">
        <f>CONCATENATE(" MIKLEC UPRAVLJANJE NEKRETNINAMA D.O.O.,"," SINBUK 23,"," 10000 ZAGREB,"," OIB: 40504688204")</f>
        <v xml:space="preserve"> MIKLEC UPRAVLJANJE NEKRETNINAMA D.O.O., SINBUK 23, 10000 ZAGREB, OIB: 40504688204</v>
      </c>
      <c r="H4824" s="7"/>
      <c r="I4824" s="8" t="s">
        <v>58</v>
      </c>
      <c r="J4824" s="8" t="s">
        <v>2442</v>
      </c>
      <c r="K4824" s="6" t="str">
        <f>"5.800,00"</f>
        <v>5.800,00</v>
      </c>
      <c r="L4824" s="6" t="str">
        <f>"1.450,00"</f>
        <v>1.450,00</v>
      </c>
      <c r="M4824" s="6" t="str">
        <f>"7.250,00"</f>
        <v>7.250,00</v>
      </c>
      <c r="N4824" s="8" t="s">
        <v>124</v>
      </c>
      <c r="O4824" s="7"/>
      <c r="P4824" s="2" t="s">
        <v>6355</v>
      </c>
      <c r="Q4824" s="7"/>
      <c r="R4824" s="1"/>
      <c r="S4824" s="1" t="str">
        <f>"J-UN-2022-1824"</f>
        <v>J-UN-2022-1824</v>
      </c>
      <c r="T4824" s="1" t="s">
        <v>32</v>
      </c>
    </row>
    <row r="4825" spans="1:20" ht="51" x14ac:dyDescent="0.25">
      <c r="A4825" s="6">
        <v>4804</v>
      </c>
      <c r="B4825" s="1" t="str">
        <f>"2022-1975"</f>
        <v>2022-1975</v>
      </c>
      <c r="C4825" s="1" t="s">
        <v>3251</v>
      </c>
      <c r="D4825" s="1" t="s">
        <v>766</v>
      </c>
      <c r="E4825" s="1" t="str">
        <f>""</f>
        <v/>
      </c>
      <c r="F4825" s="1" t="s">
        <v>1860</v>
      </c>
      <c r="G4825" s="1" t="str">
        <f>CONCATENATE(" INA MAZIVA D.O.O.,"," RADNIČKA CESTA 175,"," 10000 ZAGREB,"," OIB: 63988426425")</f>
        <v xml:space="preserve"> INA MAZIVA D.O.O., RADNIČKA CESTA 175, 10000 ZAGREB, OIB: 63988426425</v>
      </c>
      <c r="H4825" s="7"/>
      <c r="I4825" s="8" t="s">
        <v>566</v>
      </c>
      <c r="J4825" s="8" t="s">
        <v>3253</v>
      </c>
      <c r="K4825" s="6" t="str">
        <f>"2.237,50"</f>
        <v>2.237,50</v>
      </c>
      <c r="L4825" s="6" t="str">
        <f>"559,38"</f>
        <v>559,38</v>
      </c>
      <c r="M4825" s="6" t="str">
        <f>"2.796,88"</f>
        <v>2.796,88</v>
      </c>
      <c r="N4825" s="8" t="s">
        <v>124</v>
      </c>
      <c r="O4825" s="7"/>
      <c r="P4825" s="2" t="s">
        <v>5614</v>
      </c>
      <c r="Q4825" s="7"/>
      <c r="R4825" s="1"/>
      <c r="S4825" s="1" t="str">
        <f>"J-UN-2022-1825"</f>
        <v>J-UN-2022-1825</v>
      </c>
      <c r="T4825" s="1" t="s">
        <v>32</v>
      </c>
    </row>
    <row r="4826" spans="1:20" ht="51" x14ac:dyDescent="0.25">
      <c r="A4826" s="6">
        <v>4805</v>
      </c>
      <c r="B4826" s="1" t="str">
        <f>"2022-915"</f>
        <v>2022-915</v>
      </c>
      <c r="C4826" s="1" t="s">
        <v>3024</v>
      </c>
      <c r="D4826" s="1" t="s">
        <v>1007</v>
      </c>
      <c r="E4826" s="1" t="str">
        <f>""</f>
        <v/>
      </c>
      <c r="F4826" s="1" t="s">
        <v>1860</v>
      </c>
      <c r="G4826" s="1" t="str">
        <f>CONCATENATE(" AUREL D.O.O.,"," BORONGAJSKA CESTA bb,"," 10000 ZAGREB,"," OIB: 62871653225")</f>
        <v xml:space="preserve"> AUREL D.O.O., BORONGAJSKA CESTA bb, 10000 ZAGREB, OIB: 62871653225</v>
      </c>
      <c r="H4826" s="7"/>
      <c r="I4826" s="8" t="s">
        <v>58</v>
      </c>
      <c r="J4826" s="8" t="s">
        <v>2442</v>
      </c>
      <c r="K4826" s="6" t="str">
        <f>"1.800,00"</f>
        <v>1.800,00</v>
      </c>
      <c r="L4826" s="6" t="str">
        <f>"450,00"</f>
        <v>450,00</v>
      </c>
      <c r="M4826" s="6" t="str">
        <f>"2.250,00"</f>
        <v>2.250,00</v>
      </c>
      <c r="N4826" s="8" t="s">
        <v>124</v>
      </c>
      <c r="O4826" s="7"/>
      <c r="P4826" s="2" t="s">
        <v>5614</v>
      </c>
      <c r="Q4826" s="7"/>
      <c r="R4826" s="1"/>
      <c r="S4826" s="1" t="str">
        <f>"J-UN-2022-1826"</f>
        <v>J-UN-2022-1826</v>
      </c>
      <c r="T4826" s="1" t="s">
        <v>32</v>
      </c>
    </row>
    <row r="4827" spans="1:20" ht="63.75" x14ac:dyDescent="0.25">
      <c r="A4827" s="6">
        <v>4806</v>
      </c>
      <c r="B4827" s="1" t="str">
        <f>"2022-1998"</f>
        <v>2022-1998</v>
      </c>
      <c r="C4827" s="1" t="s">
        <v>3254</v>
      </c>
      <c r="D4827" s="1" t="s">
        <v>34</v>
      </c>
      <c r="E4827" s="1" t="str">
        <f>""</f>
        <v/>
      </c>
      <c r="F4827" s="1" t="s">
        <v>1860</v>
      </c>
      <c r="G4827" s="1" t="str">
        <f>CONCATENATE(" URIHO - ZAGREB,"," AVENIJA MARINA DRŽIĆA 1,"," 10000 ZAGREB,"," OIB: 77931216562")</f>
        <v xml:space="preserve"> URIHO - ZAGREB, AVENIJA MARINA DRŽIĆA 1, 10000 ZAGREB, OIB: 77931216562</v>
      </c>
      <c r="H4827" s="7"/>
      <c r="I4827" s="8" t="s">
        <v>566</v>
      </c>
      <c r="J4827" s="8" t="s">
        <v>3253</v>
      </c>
      <c r="K4827" s="6" t="str">
        <f>"2.449,00"</f>
        <v>2.449,00</v>
      </c>
      <c r="L4827" s="6" t="str">
        <f>"612,25"</f>
        <v>612,25</v>
      </c>
      <c r="M4827" s="6" t="str">
        <f>"3.061,25"</f>
        <v>3.061,25</v>
      </c>
      <c r="N4827" s="8" t="s">
        <v>124</v>
      </c>
      <c r="O4827" s="7"/>
      <c r="P4827" s="2" t="s">
        <v>5614</v>
      </c>
      <c r="Q4827" s="7"/>
      <c r="R4827" s="1"/>
      <c r="S4827" s="1" t="str">
        <f>"J-UN-2022-1827"</f>
        <v>J-UN-2022-1827</v>
      </c>
      <c r="T4827" s="1" t="s">
        <v>32</v>
      </c>
    </row>
    <row r="4828" spans="1:20" ht="51" x14ac:dyDescent="0.25">
      <c r="A4828" s="6">
        <v>4807</v>
      </c>
      <c r="B4828" s="1" t="str">
        <f>"2022-1975"</f>
        <v>2022-1975</v>
      </c>
      <c r="C4828" s="1" t="s">
        <v>3251</v>
      </c>
      <c r="D4828" s="1" t="s">
        <v>766</v>
      </c>
      <c r="E4828" s="1" t="str">
        <f>""</f>
        <v/>
      </c>
      <c r="F4828" s="1" t="s">
        <v>1860</v>
      </c>
      <c r="G4828" s="1" t="str">
        <f>CONCATENATE(" INA MAZIVA D.O.O.,"," RADNIČKA CESTA 175,"," 10000 ZAGREB,"," OIB: 63988426425")</f>
        <v xml:space="preserve"> INA MAZIVA D.O.O., RADNIČKA CESTA 175, 10000 ZAGREB, OIB: 63988426425</v>
      </c>
      <c r="H4828" s="7"/>
      <c r="I4828" s="8" t="s">
        <v>566</v>
      </c>
      <c r="J4828" s="8" t="s">
        <v>3253</v>
      </c>
      <c r="K4828" s="6" t="str">
        <f>"26.000,00"</f>
        <v>26.000,00</v>
      </c>
      <c r="L4828" s="6" t="str">
        <f>"6.500,00"</f>
        <v>6.500,00</v>
      </c>
      <c r="M4828" s="6" t="str">
        <f>"32.500,00"</f>
        <v>32.500,00</v>
      </c>
      <c r="N4828" s="8" t="s">
        <v>124</v>
      </c>
      <c r="O4828" s="7"/>
      <c r="P4828" s="2" t="s">
        <v>5614</v>
      </c>
      <c r="Q4828" s="7"/>
      <c r="R4828" s="1"/>
      <c r="S4828" s="1" t="str">
        <f>"J-UN-2022-1828"</f>
        <v>J-UN-2022-1828</v>
      </c>
      <c r="T4828" s="1" t="s">
        <v>32</v>
      </c>
    </row>
    <row r="4829" spans="1:20" ht="63.75" x14ac:dyDescent="0.25">
      <c r="A4829" s="6">
        <v>4808</v>
      </c>
      <c r="B4829" s="1" t="str">
        <f>"2022-1978"</f>
        <v>2022-1978</v>
      </c>
      <c r="C4829" s="1" t="s">
        <v>3232</v>
      </c>
      <c r="D4829" s="1" t="s">
        <v>1529</v>
      </c>
      <c r="E4829" s="1" t="str">
        <f>""</f>
        <v/>
      </c>
      <c r="F4829" s="1" t="s">
        <v>1860</v>
      </c>
      <c r="G4829" s="1" t="str">
        <f>CONCATENATE(" TOKIĆ D.O.O.,"," ULICA 144. BRIGADE HRVATSKE VOJSKE 1A,"," 10360 SESVETE,"," OIB: 7486748762")</f>
        <v xml:space="preserve"> TOKIĆ D.O.O., ULICA 144. BRIGADE HRVATSKE VOJSKE 1A, 10360 SESVETE, OIB: 7486748762</v>
      </c>
      <c r="H4829" s="7"/>
      <c r="I4829" s="8" t="s">
        <v>566</v>
      </c>
      <c r="J4829" s="8" t="s">
        <v>3253</v>
      </c>
      <c r="K4829" s="6" t="str">
        <f>"33.970,00"</f>
        <v>33.970,00</v>
      </c>
      <c r="L4829" s="6" t="str">
        <f>"8.492,50"</f>
        <v>8.492,50</v>
      </c>
      <c r="M4829" s="6" t="str">
        <f>"42.462,50"</f>
        <v>42.462,50</v>
      </c>
      <c r="N4829" s="8" t="s">
        <v>124</v>
      </c>
      <c r="O4829" s="7"/>
      <c r="P4829" s="2" t="s">
        <v>5614</v>
      </c>
      <c r="Q4829" s="7"/>
      <c r="R4829" s="1"/>
      <c r="S4829" s="1" t="str">
        <f>"J-UN-2022-1830"</f>
        <v>J-UN-2022-1830</v>
      </c>
      <c r="T4829" s="1" t="s">
        <v>32</v>
      </c>
    </row>
    <row r="4830" spans="1:20" ht="63.75" x14ac:dyDescent="0.25">
      <c r="A4830" s="6">
        <v>4809</v>
      </c>
      <c r="B4830" s="1" t="str">
        <f>"2022-2012"</f>
        <v>2022-2012</v>
      </c>
      <c r="C4830" s="1" t="s">
        <v>3233</v>
      </c>
      <c r="D4830" s="1" t="s">
        <v>1529</v>
      </c>
      <c r="E4830" s="1" t="str">
        <f>""</f>
        <v/>
      </c>
      <c r="F4830" s="1" t="s">
        <v>1860</v>
      </c>
      <c r="G4830" s="1" t="str">
        <f>CONCATENATE(" TOKIĆ D.O.O.,"," ULICA 144. BRIGADE HRVATSKE VOJSKE 1A,"," 10360 SESVETE,"," OIB: 7486748762")</f>
        <v xml:space="preserve"> TOKIĆ D.O.O., ULICA 144. BRIGADE HRVATSKE VOJSKE 1A, 10360 SESVETE, OIB: 7486748762</v>
      </c>
      <c r="H4830" s="7"/>
      <c r="I4830" s="8" t="s">
        <v>566</v>
      </c>
      <c r="J4830" s="8" t="s">
        <v>3253</v>
      </c>
      <c r="K4830" s="6" t="str">
        <f>"6.360,00"</f>
        <v>6.360,00</v>
      </c>
      <c r="L4830" s="6" t="str">
        <f>"1.590,00"</f>
        <v>1.590,00</v>
      </c>
      <c r="M4830" s="6" t="str">
        <f>"7.950,00"</f>
        <v>7.950,00</v>
      </c>
      <c r="N4830" s="8" t="s">
        <v>1009</v>
      </c>
      <c r="O4830" s="7"/>
      <c r="P4830" s="2" t="s">
        <v>6796</v>
      </c>
      <c r="Q4830" s="7"/>
      <c r="R4830" s="1"/>
      <c r="S4830" s="1" t="str">
        <f>"J-UN-2022-1831"</f>
        <v>J-UN-2022-1831</v>
      </c>
      <c r="T4830" s="1" t="s">
        <v>32</v>
      </c>
    </row>
    <row r="4831" spans="1:20" ht="76.5" x14ac:dyDescent="0.25">
      <c r="A4831" s="6">
        <v>4810</v>
      </c>
      <c r="B4831" s="1" t="str">
        <f>"2022-1310"</f>
        <v>2022-1310</v>
      </c>
      <c r="C4831" s="1" t="s">
        <v>3085</v>
      </c>
      <c r="D4831" s="1" t="s">
        <v>2549</v>
      </c>
      <c r="E4831" s="1" t="str">
        <f>""</f>
        <v/>
      </c>
      <c r="F4831" s="1" t="s">
        <v>1860</v>
      </c>
      <c r="G4831" s="1" t="str">
        <f>CONCATENATE(" ANA BURAZIN,"," OBRT ZA USLUGE,"," VL. ANA BURAZIN,",","," ULICA PAŠKALA BUCONJIĆA 28,"," 10000 ZAGREB,"," OIB: 7113479897")</f>
        <v xml:space="preserve"> ANA BURAZIN, OBRT ZA USLUGE, VL. ANA BURAZIN,, ULICA PAŠKALA BUCONJIĆA 28, 10000 ZAGREB, OIB: 7113479897</v>
      </c>
      <c r="H4831" s="7"/>
      <c r="I4831" s="8" t="s">
        <v>58</v>
      </c>
      <c r="J4831" s="8" t="s">
        <v>2442</v>
      </c>
      <c r="K4831" s="6" t="str">
        <f>"2.808,00"</f>
        <v>2.808,00</v>
      </c>
      <c r="L4831" s="6" t="str">
        <f>"702,00"</f>
        <v>702,00</v>
      </c>
      <c r="M4831" s="6" t="str">
        <f>"3.510,00"</f>
        <v>3.510,00</v>
      </c>
      <c r="N4831" s="8" t="s">
        <v>1110</v>
      </c>
      <c r="O4831" s="7"/>
      <c r="P4831" s="2" t="s">
        <v>8391</v>
      </c>
      <c r="Q4831" s="7"/>
      <c r="R4831" s="1"/>
      <c r="S4831" s="1" t="str">
        <f>"J-UN-2022-1832"</f>
        <v>J-UN-2022-1832</v>
      </c>
      <c r="T4831" s="1" t="s">
        <v>32</v>
      </c>
    </row>
    <row r="4832" spans="1:20" ht="51" x14ac:dyDescent="0.25">
      <c r="A4832" s="6">
        <v>4811</v>
      </c>
      <c r="B4832" s="1" t="str">
        <f>"2022-1784"</f>
        <v>2022-1784</v>
      </c>
      <c r="C4832" s="1" t="s">
        <v>3255</v>
      </c>
      <c r="D4832" s="1" t="s">
        <v>3256</v>
      </c>
      <c r="E4832" s="1" t="str">
        <f>""</f>
        <v/>
      </c>
      <c r="F4832" s="1" t="s">
        <v>1860</v>
      </c>
      <c r="G4832" s="1" t="str">
        <f>CONCATENATE(" MLAKAR VILIČARI D.O.O.,"," SAVSKA CESTA 1A,"," 10437 BESTOVJE,"," OIB: 02429758404")</f>
        <v xml:space="preserve"> MLAKAR VILIČARI D.O.O., SAVSKA CESTA 1A, 10437 BESTOVJE, OIB: 02429758404</v>
      </c>
      <c r="H4832" s="7"/>
      <c r="I4832" s="8" t="s">
        <v>1099</v>
      </c>
      <c r="J4832" s="8" t="s">
        <v>2351</v>
      </c>
      <c r="K4832" s="6" t="str">
        <f>"33.880,00"</f>
        <v>33.880,00</v>
      </c>
      <c r="L4832" s="6" t="str">
        <f>"8.470,00"</f>
        <v>8.470,00</v>
      </c>
      <c r="M4832" s="6" t="str">
        <f>"42.350,00"</f>
        <v>42.350,00</v>
      </c>
      <c r="N4832" s="8" t="s">
        <v>124</v>
      </c>
      <c r="O4832" s="7"/>
      <c r="P4832" s="2" t="s">
        <v>5614</v>
      </c>
      <c r="Q4832" s="7"/>
      <c r="R4832" s="1"/>
      <c r="S4832" s="1" t="str">
        <f>"J-UN-2022-1833"</f>
        <v>J-UN-2022-1833</v>
      </c>
      <c r="T4832" s="1" t="s">
        <v>32</v>
      </c>
    </row>
    <row r="4833" spans="1:20" ht="63.75" x14ac:dyDescent="0.25">
      <c r="A4833" s="6">
        <v>4812</v>
      </c>
      <c r="B4833" s="1" t="str">
        <f>"2022-186"</f>
        <v>2022-186</v>
      </c>
      <c r="C4833" s="1" t="s">
        <v>2534</v>
      </c>
      <c r="D4833" s="1" t="s">
        <v>2535</v>
      </c>
      <c r="E4833" s="1" t="str">
        <f>""</f>
        <v/>
      </c>
      <c r="F4833" s="1" t="s">
        <v>1860</v>
      </c>
      <c r="G4833" s="1" t="str">
        <f>CONCATENATE(" ARABUSTA DOMIC D.O.O.,"," MARJANOVIĆEV PRILAZ 9,"," 10000 ZAGREB,"," OIB: 86431702899")</f>
        <v xml:space="preserve"> ARABUSTA DOMIC D.O.O., MARJANOVIĆEV PRILAZ 9, 10000 ZAGREB, OIB: 86431702899</v>
      </c>
      <c r="H4833" s="7"/>
      <c r="I4833" s="8" t="s">
        <v>58</v>
      </c>
      <c r="J4833" s="8" t="s">
        <v>2442</v>
      </c>
      <c r="K4833" s="6" t="str">
        <f>"15.168,00"</f>
        <v>15.168,00</v>
      </c>
      <c r="L4833" s="6" t="str">
        <f>"3.792,00"</f>
        <v>3.792,00</v>
      </c>
      <c r="M4833" s="6" t="str">
        <f>"18.960,00"</f>
        <v>18.960,00</v>
      </c>
      <c r="N4833" s="8" t="s">
        <v>124</v>
      </c>
      <c r="O4833" s="7"/>
      <c r="P4833" s="2" t="s">
        <v>8392</v>
      </c>
      <c r="Q4833" s="7"/>
      <c r="R4833" s="1"/>
      <c r="S4833" s="1" t="str">
        <f>"J-UN-2022-1834"</f>
        <v>J-UN-2022-1834</v>
      </c>
      <c r="T4833" s="1" t="s">
        <v>32</v>
      </c>
    </row>
    <row r="4834" spans="1:20" ht="51" x14ac:dyDescent="0.25">
      <c r="A4834" s="6">
        <v>4813</v>
      </c>
      <c r="B4834" s="1" t="str">
        <f>"2022-918"</f>
        <v>2022-918</v>
      </c>
      <c r="C4834" s="1" t="s">
        <v>2288</v>
      </c>
      <c r="D4834" s="1" t="s">
        <v>1007</v>
      </c>
      <c r="E4834" s="1" t="str">
        <f>""</f>
        <v/>
      </c>
      <c r="F4834" s="1" t="s">
        <v>1860</v>
      </c>
      <c r="G4834" s="1" t="str">
        <f>CONCATENATE(" CAMELOT SISTEMI D.O.O.,"," FRANKOPANSKA 22,"," 10000 ZAGREB,"," OIB: 79572418476")</f>
        <v xml:space="preserve"> CAMELOT SISTEMI D.O.O., FRANKOPANSKA 22, 10000 ZAGREB, OIB: 79572418476</v>
      </c>
      <c r="H4834" s="7"/>
      <c r="I4834" s="8" t="s">
        <v>508</v>
      </c>
      <c r="J4834" s="8" t="s">
        <v>2205</v>
      </c>
      <c r="K4834" s="6" t="str">
        <f>"82.000,00"</f>
        <v>82.000,00</v>
      </c>
      <c r="L4834" s="6" t="str">
        <f>"20.500,00"</f>
        <v>20.500,00</v>
      </c>
      <c r="M4834" s="6" t="str">
        <f>"102.500,00"</f>
        <v>102.500,00</v>
      </c>
      <c r="N4834" s="8" t="s">
        <v>124</v>
      </c>
      <c r="O4834" s="7"/>
      <c r="P4834" s="2" t="s">
        <v>5614</v>
      </c>
      <c r="Q4834" s="7"/>
      <c r="R4834" s="1"/>
      <c r="S4834" s="1" t="str">
        <f>"J-UN-2022-1839"</f>
        <v>J-UN-2022-1839</v>
      </c>
      <c r="T4834" s="1" t="s">
        <v>32</v>
      </c>
    </row>
    <row r="4835" spans="1:20" ht="63.75" x14ac:dyDescent="0.25">
      <c r="A4835" s="6">
        <v>4814</v>
      </c>
      <c r="B4835" s="1" t="str">
        <f>"2022-535"</f>
        <v>2022-535</v>
      </c>
      <c r="C4835" s="1" t="s">
        <v>2561</v>
      </c>
      <c r="D4835" s="1" t="s">
        <v>2156</v>
      </c>
      <c r="E4835" s="1" t="str">
        <f>""</f>
        <v/>
      </c>
      <c r="F4835" s="1" t="s">
        <v>1860</v>
      </c>
      <c r="G4835" s="1" t="str">
        <f>CONCATENATE(" NARODNE NOVINE D.D.,"," SAVSKI GAJ XIII. PUT br. 6,"," 10000 ZAGREB,"," OIB: 64546066176")</f>
        <v xml:space="preserve"> NARODNE NOVINE D.D., SAVSKI GAJ XIII. PUT br. 6, 10000 ZAGREB, OIB: 64546066176</v>
      </c>
      <c r="H4835" s="7"/>
      <c r="I4835" s="8" t="s">
        <v>1099</v>
      </c>
      <c r="J4835" s="8" t="s">
        <v>2351</v>
      </c>
      <c r="K4835" s="6" t="str">
        <f>"865,00"</f>
        <v>865,00</v>
      </c>
      <c r="L4835" s="6" t="str">
        <f>"216,25"</f>
        <v>216,25</v>
      </c>
      <c r="M4835" s="6" t="str">
        <f>"1.081,25"</f>
        <v>1.081,25</v>
      </c>
      <c r="N4835" s="8" t="s">
        <v>124</v>
      </c>
      <c r="O4835" s="7"/>
      <c r="P4835" s="2" t="s">
        <v>5614</v>
      </c>
      <c r="Q4835" s="7"/>
      <c r="R4835" s="1"/>
      <c r="S4835" s="1" t="str">
        <f>"J-UN-2022-1840"</f>
        <v>J-UN-2022-1840</v>
      </c>
      <c r="T4835" s="1" t="s">
        <v>32</v>
      </c>
    </row>
    <row r="4836" spans="1:20" ht="63.75" x14ac:dyDescent="0.25">
      <c r="A4836" s="6">
        <v>4815</v>
      </c>
      <c r="B4836" s="1" t="str">
        <f>"2022-2044"</f>
        <v>2022-2044</v>
      </c>
      <c r="C4836" s="1" t="s">
        <v>3257</v>
      </c>
      <c r="D4836" s="1" t="s">
        <v>673</v>
      </c>
      <c r="E4836" s="1" t="str">
        <f>""</f>
        <v/>
      </c>
      <c r="F4836" s="1" t="s">
        <v>1860</v>
      </c>
      <c r="G4836" s="1" t="str">
        <f>CONCATENATE(" ADEO d.o.o. Osijek,"," ULICA KRALJA TOMISLAVA 81,"," 31327 BILJE,"," OIB: 6242811405")</f>
        <v xml:space="preserve"> ADEO d.o.o. Osijek, ULICA KRALJA TOMISLAVA 81, 31327 BILJE, OIB: 6242811405</v>
      </c>
      <c r="H4836" s="7"/>
      <c r="I4836" s="8" t="s">
        <v>58</v>
      </c>
      <c r="J4836" s="8" t="s">
        <v>2442</v>
      </c>
      <c r="K4836" s="6" t="str">
        <f>"16.100,00"</f>
        <v>16.100,00</v>
      </c>
      <c r="L4836" s="6" t="str">
        <f>"4.025,00"</f>
        <v>4.025,00</v>
      </c>
      <c r="M4836" s="6" t="str">
        <f>"20.125,00"</f>
        <v>20.125,00</v>
      </c>
      <c r="N4836" s="8" t="s">
        <v>124</v>
      </c>
      <c r="O4836" s="7"/>
      <c r="P4836" s="2" t="s">
        <v>5614</v>
      </c>
      <c r="Q4836" s="7"/>
      <c r="R4836" s="1"/>
      <c r="S4836" s="1" t="str">
        <f>"J-UN-2022-1841"</f>
        <v>J-UN-2022-1841</v>
      </c>
      <c r="T4836" s="1" t="s">
        <v>32</v>
      </c>
    </row>
    <row r="4837" spans="1:20" ht="63.75" x14ac:dyDescent="0.25">
      <c r="A4837" s="6">
        <v>4816</v>
      </c>
      <c r="B4837" s="1" t="str">
        <f>"2022-2044"</f>
        <v>2022-2044</v>
      </c>
      <c r="C4837" s="1" t="s">
        <v>3257</v>
      </c>
      <c r="D4837" s="1" t="s">
        <v>673</v>
      </c>
      <c r="E4837" s="1" t="str">
        <f>""</f>
        <v/>
      </c>
      <c r="F4837" s="1" t="s">
        <v>1860</v>
      </c>
      <c r="G4837" s="1" t="str">
        <f>CONCATENATE(" BRUMAR D.O.O.,"," MARKUŠEVEČKE NJIVICE 6,"," 10000 ZAGREB,"," OIB: 83485438514")</f>
        <v xml:space="preserve"> BRUMAR D.O.O., MARKUŠEVEČKE NJIVICE 6, 10000 ZAGREB, OIB: 83485438514</v>
      </c>
      <c r="H4837" s="7"/>
      <c r="I4837" s="8" t="s">
        <v>58</v>
      </c>
      <c r="J4837" s="8" t="s">
        <v>2442</v>
      </c>
      <c r="K4837" s="6" t="str">
        <f>"25.460,00"</f>
        <v>25.460,00</v>
      </c>
      <c r="L4837" s="6" t="str">
        <f>"6.365,00"</f>
        <v>6.365,00</v>
      </c>
      <c r="M4837" s="6" t="str">
        <f>"31.825,00"</f>
        <v>31.825,00</v>
      </c>
      <c r="N4837" s="8" t="s">
        <v>124</v>
      </c>
      <c r="O4837" s="7"/>
      <c r="P4837" s="2" t="s">
        <v>8393</v>
      </c>
      <c r="Q4837" s="7"/>
      <c r="R4837" s="1"/>
      <c r="S4837" s="1" t="str">
        <f>"J-UN-2022-1842"</f>
        <v>J-UN-2022-1842</v>
      </c>
      <c r="T4837" s="1" t="s">
        <v>32</v>
      </c>
    </row>
    <row r="4838" spans="1:20" ht="38.25" x14ac:dyDescent="0.25">
      <c r="A4838" s="6">
        <v>4817</v>
      </c>
      <c r="B4838" s="1" t="str">
        <f>"2022-2044"</f>
        <v>2022-2044</v>
      </c>
      <c r="C4838" s="1" t="s">
        <v>3257</v>
      </c>
      <c r="D4838" s="1" t="s">
        <v>673</v>
      </c>
      <c r="E4838" s="1" t="str">
        <f>""</f>
        <v/>
      </c>
      <c r="F4838" s="1" t="s">
        <v>1860</v>
      </c>
      <c r="G4838" s="1" t="str">
        <f>CONCATENATE(" SBT D.O.O.,"," BANI 75,"," 10000 BUZIN ZAGREB,"," OIB: 31770065778")</f>
        <v xml:space="preserve"> SBT D.O.O., BANI 75, 10000 BUZIN ZAGREB, OIB: 31770065778</v>
      </c>
      <c r="H4838" s="7"/>
      <c r="I4838" s="8" t="s">
        <v>58</v>
      </c>
      <c r="J4838" s="8" t="s">
        <v>2442</v>
      </c>
      <c r="K4838" s="6" t="str">
        <f>"18.726,60"</f>
        <v>18.726,60</v>
      </c>
      <c r="L4838" s="6" t="str">
        <f>"4.681,65"</f>
        <v>4.681,65</v>
      </c>
      <c r="M4838" s="6" t="str">
        <f>"23.408,25"</f>
        <v>23.408,25</v>
      </c>
      <c r="N4838" s="8" t="s">
        <v>1612</v>
      </c>
      <c r="O4838" s="7"/>
      <c r="P4838" s="2" t="s">
        <v>8394</v>
      </c>
      <c r="Q4838" s="7"/>
      <c r="R4838" s="1"/>
      <c r="S4838" s="1" t="str">
        <f>"J-UN-2022-1843"</f>
        <v>J-UN-2022-1843</v>
      </c>
      <c r="T4838" s="1" t="s">
        <v>32</v>
      </c>
    </row>
    <row r="4839" spans="1:20" ht="51" x14ac:dyDescent="0.25">
      <c r="A4839" s="6">
        <v>4818</v>
      </c>
      <c r="B4839" s="1" t="str">
        <f>"2022-2045"</f>
        <v>2022-2045</v>
      </c>
      <c r="C4839" s="1" t="s">
        <v>2363</v>
      </c>
      <c r="D4839" s="1" t="s">
        <v>673</v>
      </c>
      <c r="E4839" s="1" t="str">
        <f>""</f>
        <v/>
      </c>
      <c r="F4839" s="1" t="s">
        <v>1860</v>
      </c>
      <c r="G4839" s="1" t="str">
        <f>CONCATENATE(" DOMIN-PLIN D.O.O.,"," G. PODOTOČJE 57,"," 10410 VELIKA GORICA,"," OIB: 90332893585")</f>
        <v xml:space="preserve"> DOMIN-PLIN D.O.O., G. PODOTOČJE 57, 10410 VELIKA GORICA, OIB: 90332893585</v>
      </c>
      <c r="H4839" s="7"/>
      <c r="I4839" s="8" t="s">
        <v>58</v>
      </c>
      <c r="J4839" s="8" t="s">
        <v>2442</v>
      </c>
      <c r="K4839" s="6" t="str">
        <f>"3.673,28"</f>
        <v>3.673,28</v>
      </c>
      <c r="L4839" s="6" t="str">
        <f>"918,32"</f>
        <v>918,32</v>
      </c>
      <c r="M4839" s="6" t="str">
        <f>"4.591,60"</f>
        <v>4.591,60</v>
      </c>
      <c r="N4839" s="8" t="s">
        <v>124</v>
      </c>
      <c r="O4839" s="7"/>
      <c r="P4839" s="2" t="s">
        <v>5614</v>
      </c>
      <c r="Q4839" s="7"/>
      <c r="R4839" s="1"/>
      <c r="S4839" s="1" t="str">
        <f>"J-UN-2022-1845"</f>
        <v>J-UN-2022-1845</v>
      </c>
      <c r="T4839" s="1" t="s">
        <v>32</v>
      </c>
    </row>
    <row r="4840" spans="1:20" ht="51" x14ac:dyDescent="0.25">
      <c r="A4840" s="6">
        <v>4819</v>
      </c>
      <c r="B4840" s="1" t="str">
        <f>"2022-852"</f>
        <v>2022-852</v>
      </c>
      <c r="C4840" s="1" t="s">
        <v>2469</v>
      </c>
      <c r="D4840" s="1" t="s">
        <v>2287</v>
      </c>
      <c r="E4840" s="1" t="str">
        <f>""</f>
        <v/>
      </c>
      <c r="F4840" s="1" t="s">
        <v>1860</v>
      </c>
      <c r="G4840" s="1" t="str">
        <f>CONCATENATE(" ELMAŽ D.O.O.,"," NASELAK 22,"," 10000 ZAGREB,"," OIB: 98474410137")</f>
        <v xml:space="preserve"> ELMAŽ D.O.O., NASELAK 22, 10000 ZAGREB, OIB: 98474410137</v>
      </c>
      <c r="H4840" s="7"/>
      <c r="I4840" s="8" t="s">
        <v>1159</v>
      </c>
      <c r="J4840" s="8" t="s">
        <v>3252</v>
      </c>
      <c r="K4840" s="6" t="str">
        <f>"6.713,44"</f>
        <v>6.713,44</v>
      </c>
      <c r="L4840" s="6" t="str">
        <f>"1.678,36"</f>
        <v>1.678,36</v>
      </c>
      <c r="M4840" s="6" t="str">
        <f>"8.391,80"</f>
        <v>8.391,80</v>
      </c>
      <c r="N4840" s="8" t="s">
        <v>124</v>
      </c>
      <c r="O4840" s="7"/>
      <c r="P4840" s="2" t="s">
        <v>5614</v>
      </c>
      <c r="Q4840" s="7"/>
      <c r="R4840" s="1"/>
      <c r="S4840" s="1" t="str">
        <f>"J-UN-2022-1847"</f>
        <v>J-UN-2022-1847</v>
      </c>
      <c r="T4840" s="1" t="s">
        <v>32</v>
      </c>
    </row>
    <row r="4841" spans="1:20" ht="51" x14ac:dyDescent="0.25">
      <c r="A4841" s="6">
        <v>4820</v>
      </c>
      <c r="B4841" s="1" t="str">
        <f>"2022-553"</f>
        <v>2022-553</v>
      </c>
      <c r="C4841" s="1" t="s">
        <v>2799</v>
      </c>
      <c r="D4841" s="1" t="s">
        <v>794</v>
      </c>
      <c r="E4841" s="1" t="str">
        <f>""</f>
        <v/>
      </c>
      <c r="F4841" s="1" t="s">
        <v>1860</v>
      </c>
      <c r="G4841" s="1" t="str">
        <f>CONCATENATE(" GDI D.O.O.,"," BAŠTIJANOVA 52A,"," 10000 ZAGREB,"," OIB: 95032181708")</f>
        <v xml:space="preserve"> GDI D.O.O., BAŠTIJANOVA 52A, 10000 ZAGREB, OIB: 95032181708</v>
      </c>
      <c r="H4841" s="7"/>
      <c r="I4841" s="8" t="s">
        <v>409</v>
      </c>
      <c r="J4841" s="8" t="s">
        <v>1574</v>
      </c>
      <c r="K4841" s="6" t="str">
        <f>"108.382,50"</f>
        <v>108.382,50</v>
      </c>
      <c r="L4841" s="6" t="str">
        <f>"27.095,63"</f>
        <v>27.095,63</v>
      </c>
      <c r="M4841" s="6" t="str">
        <f>"135.478,13"</f>
        <v>135.478,13</v>
      </c>
      <c r="N4841" s="8" t="s">
        <v>124</v>
      </c>
      <c r="O4841" s="7"/>
      <c r="P4841" s="2" t="s">
        <v>5614</v>
      </c>
      <c r="Q4841" s="7"/>
      <c r="R4841" s="1"/>
      <c r="S4841" s="1" t="str">
        <f>"J-UN-2022-1851"</f>
        <v>J-UN-2022-1851</v>
      </c>
      <c r="T4841" s="1" t="s">
        <v>32</v>
      </c>
    </row>
    <row r="4842" spans="1:20" ht="63.75" x14ac:dyDescent="0.25">
      <c r="A4842" s="6">
        <v>4821</v>
      </c>
      <c r="B4842" s="1" t="str">
        <f>"2022-592"</f>
        <v>2022-592</v>
      </c>
      <c r="C4842" s="1" t="s">
        <v>2683</v>
      </c>
      <c r="D4842" s="1" t="s">
        <v>2684</v>
      </c>
      <c r="E4842" s="1" t="str">
        <f>""</f>
        <v/>
      </c>
      <c r="F4842" s="1" t="s">
        <v>1860</v>
      </c>
      <c r="G4842" s="1" t="str">
        <f>CONCATENATE(" MAKROMIKRO GRUPA D.O.O.,"," VUKOMERIČKA ULICA 6,"," 10410 VELIKA GORICA,"," OIB: 5046797487")</f>
        <v xml:space="preserve"> MAKROMIKRO GRUPA D.O.O., VUKOMERIČKA ULICA 6, 10410 VELIKA GORICA, OIB: 5046797487</v>
      </c>
      <c r="H4842" s="7"/>
      <c r="I4842" s="8" t="s">
        <v>227</v>
      </c>
      <c r="J4842" s="8" t="s">
        <v>3258</v>
      </c>
      <c r="K4842" s="6" t="str">
        <f>"6.755,00"</f>
        <v>6.755,00</v>
      </c>
      <c r="L4842" s="6" t="str">
        <f>"1.688,75"</f>
        <v>1.688,75</v>
      </c>
      <c r="M4842" s="6" t="str">
        <f>"8.443,75"</f>
        <v>8.443,75</v>
      </c>
      <c r="N4842" s="8" t="s">
        <v>124</v>
      </c>
      <c r="O4842" s="7"/>
      <c r="P4842" s="2" t="s">
        <v>5614</v>
      </c>
      <c r="Q4842" s="7"/>
      <c r="R4842" s="1"/>
      <c r="S4842" s="1" t="str">
        <f>"J-UN-2022-1852"</f>
        <v>J-UN-2022-1852</v>
      </c>
      <c r="T4842" s="1" t="s">
        <v>32</v>
      </c>
    </row>
    <row r="4843" spans="1:20" ht="51" x14ac:dyDescent="0.25">
      <c r="A4843" s="6">
        <v>4822</v>
      </c>
      <c r="B4843" s="1" t="str">
        <f>"2022-195"</f>
        <v>2022-195</v>
      </c>
      <c r="C4843" s="1" t="s">
        <v>2937</v>
      </c>
      <c r="D4843" s="1" t="s">
        <v>2938</v>
      </c>
      <c r="E4843" s="1" t="str">
        <f>""</f>
        <v/>
      </c>
      <c r="F4843" s="1" t="s">
        <v>1860</v>
      </c>
      <c r="G4843" s="1" t="str">
        <f>CONCATENATE(" DREZGA D.O.O.,"," OBRTNIČKA 2,"," 10437 BESTOVJE,"," OIB: 46535283602")</f>
        <v xml:space="preserve"> DREZGA D.O.O., OBRTNIČKA 2, 10437 BESTOVJE, OIB: 46535283602</v>
      </c>
      <c r="H4843" s="7"/>
      <c r="I4843" s="8" t="s">
        <v>227</v>
      </c>
      <c r="J4843" s="8" t="s">
        <v>3258</v>
      </c>
      <c r="K4843" s="6" t="str">
        <f>"55.297,20"</f>
        <v>55.297,20</v>
      </c>
      <c r="L4843" s="6" t="str">
        <f>"13.824,30"</f>
        <v>13.824,30</v>
      </c>
      <c r="M4843" s="6" t="str">
        <f>"69.121,50"</f>
        <v>69.121,50</v>
      </c>
      <c r="N4843" s="8" t="s">
        <v>124</v>
      </c>
      <c r="O4843" s="7"/>
      <c r="P4843" s="2" t="s">
        <v>5614</v>
      </c>
      <c r="Q4843" s="7"/>
      <c r="R4843" s="1"/>
      <c r="S4843" s="1" t="str">
        <f>"J-UN-2022-1854"</f>
        <v>J-UN-2022-1854</v>
      </c>
      <c r="T4843" s="1" t="s">
        <v>32</v>
      </c>
    </row>
    <row r="4844" spans="1:20" ht="51" x14ac:dyDescent="0.25">
      <c r="A4844" s="6">
        <v>4823</v>
      </c>
      <c r="B4844" s="1" t="str">
        <f>"2022-1976"</f>
        <v>2022-1976</v>
      </c>
      <c r="C4844" s="1" t="s">
        <v>3242</v>
      </c>
      <c r="D4844" s="1" t="s">
        <v>766</v>
      </c>
      <c r="E4844" s="1" t="str">
        <f>""</f>
        <v/>
      </c>
      <c r="F4844" s="1" t="s">
        <v>1860</v>
      </c>
      <c r="G4844" s="1" t="str">
        <f>CONCATENATE(" INA MAZIVA D.O.O.,"," RADNIČKA CESTA 175,"," 10000 ZAGREB,"," OIB: 63988426425")</f>
        <v xml:space="preserve"> INA MAZIVA D.O.O., RADNIČKA CESTA 175, 10000 ZAGREB, OIB: 63988426425</v>
      </c>
      <c r="H4844" s="7"/>
      <c r="I4844" s="8" t="s">
        <v>509</v>
      </c>
      <c r="J4844" s="8" t="s">
        <v>3259</v>
      </c>
      <c r="K4844" s="6" t="str">
        <f>"8.630,00"</f>
        <v>8.630,00</v>
      </c>
      <c r="L4844" s="6" t="str">
        <f>"2.157,50"</f>
        <v>2.157,50</v>
      </c>
      <c r="M4844" s="6" t="str">
        <f>"10.787,50"</f>
        <v>10.787,50</v>
      </c>
      <c r="N4844" s="8" t="s">
        <v>124</v>
      </c>
      <c r="O4844" s="7"/>
      <c r="P4844" s="2" t="s">
        <v>5614</v>
      </c>
      <c r="Q4844" s="7"/>
      <c r="R4844" s="1"/>
      <c r="S4844" s="1" t="str">
        <f>"J-UN-2022-1855"</f>
        <v>J-UN-2022-1855</v>
      </c>
      <c r="T4844" s="1" t="s">
        <v>32</v>
      </c>
    </row>
    <row r="4845" spans="1:20" ht="102" x14ac:dyDescent="0.25">
      <c r="A4845" s="6">
        <v>4824</v>
      </c>
      <c r="B4845" s="1" t="str">
        <f>"2022-1434"</f>
        <v>2022-1434</v>
      </c>
      <c r="C4845" s="1" t="s">
        <v>2558</v>
      </c>
      <c r="D4845" s="1" t="s">
        <v>860</v>
      </c>
      <c r="E4845" s="1" t="str">
        <f>""</f>
        <v/>
      </c>
      <c r="F4845" s="1" t="s">
        <v>1860</v>
      </c>
      <c r="G4845" s="1" t="str">
        <f>CONCATENATE(" AUTOMEHANIČARSKA RADIONICA STROJNA OBRADA MOTORA I TRGOVINA VL.LJERKO BOŽIĆEVIĆ,"," SAVSKI GAJ VIII PUT 5,"," 10000 ZAGREB,"," OIB: 78963313639")</f>
        <v xml:space="preserve"> AUTOMEHANIČARSKA RADIONICA STROJNA OBRADA MOTORA I TRGOVINA VL.LJERKO BOŽIĆEVIĆ, SAVSKI GAJ VIII PUT 5, 10000 ZAGREB, OIB: 78963313639</v>
      </c>
      <c r="H4845" s="7"/>
      <c r="I4845" s="8" t="s">
        <v>409</v>
      </c>
      <c r="J4845" s="8" t="s">
        <v>1574</v>
      </c>
      <c r="K4845" s="6" t="str">
        <f>"960,00"</f>
        <v>960,00</v>
      </c>
      <c r="L4845" s="6" t="str">
        <f>"240,00"</f>
        <v>240,00</v>
      </c>
      <c r="M4845" s="6" t="str">
        <f>"1.200,00"</f>
        <v>1.200,00</v>
      </c>
      <c r="N4845" s="8" t="s">
        <v>124</v>
      </c>
      <c r="O4845" s="7"/>
      <c r="P4845" s="2" t="s">
        <v>5614</v>
      </c>
      <c r="Q4845" s="7"/>
      <c r="R4845" s="1"/>
      <c r="S4845" s="1" t="str">
        <f>"J-UN-2022-1856"</f>
        <v>J-UN-2022-1856</v>
      </c>
      <c r="T4845" s="1" t="s">
        <v>32</v>
      </c>
    </row>
    <row r="4846" spans="1:20" ht="76.5" x14ac:dyDescent="0.25">
      <c r="A4846" s="6">
        <v>4825</v>
      </c>
      <c r="B4846" s="1" t="str">
        <f>"2022-321"</f>
        <v>2022-321</v>
      </c>
      <c r="C4846" s="1" t="s">
        <v>2703</v>
      </c>
      <c r="D4846" s="1" t="s">
        <v>2704</v>
      </c>
      <c r="E4846" s="1" t="str">
        <f>""</f>
        <v/>
      </c>
      <c r="F4846" s="1" t="s">
        <v>1860</v>
      </c>
      <c r="G4846" s="1" t="str">
        <f>CONCATENATE(" SMIT-COMMERCE D.O.O.,"," GORNJOSTUPNIČKA 9B,"," 10255 GORNJI STUPNIK,"," OIB: 9524348214")</f>
        <v xml:space="preserve"> SMIT-COMMERCE D.O.O., GORNJOSTUPNIČKA 9B, 10255 GORNJI STUPNIK, OIB: 9524348214</v>
      </c>
      <c r="H4846" s="7"/>
      <c r="I4846" s="8" t="s">
        <v>525</v>
      </c>
      <c r="J4846" s="8" t="s">
        <v>3260</v>
      </c>
      <c r="K4846" s="6" t="str">
        <f>"1.013,20"</f>
        <v>1.013,20</v>
      </c>
      <c r="L4846" s="6" t="str">
        <f>"253,30"</f>
        <v>253,30</v>
      </c>
      <c r="M4846" s="6" t="str">
        <f>"1.266,50"</f>
        <v>1.266,50</v>
      </c>
      <c r="N4846" s="8" t="s">
        <v>124</v>
      </c>
      <c r="O4846" s="7"/>
      <c r="P4846" s="2" t="s">
        <v>5614</v>
      </c>
      <c r="Q4846" s="7"/>
      <c r="R4846" s="1"/>
      <c r="S4846" s="1" t="str">
        <f>"J-UN-2022-1858"</f>
        <v>J-UN-2022-1858</v>
      </c>
      <c r="T4846" s="1" t="s">
        <v>32</v>
      </c>
    </row>
    <row r="4847" spans="1:20" ht="63.75" x14ac:dyDescent="0.25">
      <c r="A4847" s="6">
        <v>4826</v>
      </c>
      <c r="B4847" s="1" t="str">
        <f>"2022-1865"</f>
        <v>2022-1865</v>
      </c>
      <c r="C4847" s="1" t="s">
        <v>3181</v>
      </c>
      <c r="D4847" s="1" t="s">
        <v>1619</v>
      </c>
      <c r="E4847" s="1" t="str">
        <f>""</f>
        <v/>
      </c>
      <c r="F4847" s="1" t="s">
        <v>1860</v>
      </c>
      <c r="G4847" s="1" t="str">
        <f>CONCATENATE(" BRILIANT D.O.O. VINKOVCI,"," DILJEVA ULICA 10,"," 32100 VINKOVCI,"," OIB: 26250338198")</f>
        <v xml:space="preserve"> BRILIANT D.O.O. VINKOVCI, DILJEVA ULICA 10, 32100 VINKOVCI, OIB: 26250338198</v>
      </c>
      <c r="H4847" s="7"/>
      <c r="I4847" s="8" t="s">
        <v>525</v>
      </c>
      <c r="J4847" s="8" t="s">
        <v>3260</v>
      </c>
      <c r="K4847" s="6" t="str">
        <f>"4.850,55"</f>
        <v>4.850,55</v>
      </c>
      <c r="L4847" s="6" t="str">
        <f>"1.212,64"</f>
        <v>1.212,64</v>
      </c>
      <c r="M4847" s="6" t="str">
        <f>"6.063,19"</f>
        <v>6.063,19</v>
      </c>
      <c r="N4847" s="8" t="s">
        <v>124</v>
      </c>
      <c r="O4847" s="7"/>
      <c r="P4847" s="2" t="s">
        <v>5614</v>
      </c>
      <c r="Q4847" s="7"/>
      <c r="R4847" s="1"/>
      <c r="S4847" s="1" t="str">
        <f>"J-UN-2022-1859"</f>
        <v>J-UN-2022-1859</v>
      </c>
      <c r="T4847" s="1" t="s">
        <v>32</v>
      </c>
    </row>
    <row r="4848" spans="1:20" ht="51" x14ac:dyDescent="0.25">
      <c r="A4848" s="6">
        <v>4827</v>
      </c>
      <c r="B4848" s="1" t="str">
        <f>"2022-813"</f>
        <v>2022-813</v>
      </c>
      <c r="C4848" s="1" t="s">
        <v>2844</v>
      </c>
      <c r="D4848" s="1" t="s">
        <v>2716</v>
      </c>
      <c r="E4848" s="1" t="str">
        <f>""</f>
        <v/>
      </c>
      <c r="F4848" s="1" t="s">
        <v>1860</v>
      </c>
      <c r="G4848" s="1" t="str">
        <f>CONCATENATE(" LAGER BAŠIĆ D.O.O.,"," TRGOVAČKA 3,"," 10255 DONJI STUPNIK,"," OIB: 49617677906")</f>
        <v xml:space="preserve"> LAGER BAŠIĆ D.O.O., TRGOVAČKA 3, 10255 DONJI STUPNIK, OIB: 49617677906</v>
      </c>
      <c r="H4848" s="7"/>
      <c r="I4848" s="8" t="s">
        <v>409</v>
      </c>
      <c r="J4848" s="8" t="s">
        <v>1574</v>
      </c>
      <c r="K4848" s="6" t="str">
        <f>"13.009,50"</f>
        <v>13.009,50</v>
      </c>
      <c r="L4848" s="6" t="str">
        <f>"3.252,38"</f>
        <v>3.252,38</v>
      </c>
      <c r="M4848" s="6" t="str">
        <f>"16.261,88"</f>
        <v>16.261,88</v>
      </c>
      <c r="N4848" s="8" t="s">
        <v>124</v>
      </c>
      <c r="O4848" s="7"/>
      <c r="P4848" s="2" t="s">
        <v>5614</v>
      </c>
      <c r="Q4848" s="7"/>
      <c r="R4848" s="1"/>
      <c r="S4848" s="1" t="str">
        <f>"J-UN-2022-1862"</f>
        <v>J-UN-2022-1862</v>
      </c>
      <c r="T4848" s="1" t="s">
        <v>32</v>
      </c>
    </row>
    <row r="4849" spans="1:20" ht="51" x14ac:dyDescent="0.25">
      <c r="A4849" s="6">
        <v>4828</v>
      </c>
      <c r="B4849" s="1" t="str">
        <f>"2022-715"</f>
        <v>2022-715</v>
      </c>
      <c r="C4849" s="1" t="s">
        <v>2733</v>
      </c>
      <c r="D4849" s="1" t="s">
        <v>914</v>
      </c>
      <c r="E4849" s="1" t="str">
        <f>""</f>
        <v/>
      </c>
      <c r="F4849" s="1" t="s">
        <v>1860</v>
      </c>
      <c r="G4849" s="1" t="str">
        <f>CONCATENATE(" AUTO HOLETIĆ D.O.O.,"," SISAČKA 47,"," 10410 VELIKA GORICA,"," OIB: 78653954953")</f>
        <v xml:space="preserve"> AUTO HOLETIĆ D.O.O., SISAČKA 47, 10410 VELIKA GORICA, OIB: 78653954953</v>
      </c>
      <c r="H4849" s="7"/>
      <c r="I4849" s="8" t="s">
        <v>409</v>
      </c>
      <c r="J4849" s="8" t="s">
        <v>1574</v>
      </c>
      <c r="K4849" s="6" t="str">
        <f>"17.003,62"</f>
        <v>17.003,62</v>
      </c>
      <c r="L4849" s="6" t="str">
        <f>"4.250,91"</f>
        <v>4.250,91</v>
      </c>
      <c r="M4849" s="6" t="str">
        <f>"21.254,53"</f>
        <v>21.254,53</v>
      </c>
      <c r="N4849" s="8" t="s">
        <v>124</v>
      </c>
      <c r="O4849" s="7"/>
      <c r="P4849" s="2" t="s">
        <v>5614</v>
      </c>
      <c r="Q4849" s="7"/>
      <c r="R4849" s="1"/>
      <c r="S4849" s="1" t="str">
        <f>"J-UN-2022-1863"</f>
        <v>J-UN-2022-1863</v>
      </c>
      <c r="T4849" s="1" t="s">
        <v>32</v>
      </c>
    </row>
    <row r="4850" spans="1:20" ht="76.5" x14ac:dyDescent="0.25">
      <c r="A4850" s="6">
        <v>4829</v>
      </c>
      <c r="B4850" s="1" t="str">
        <f>"2022-757"</f>
        <v>2022-757</v>
      </c>
      <c r="C4850" s="1" t="s">
        <v>2690</v>
      </c>
      <c r="D4850" s="1" t="s">
        <v>2691</v>
      </c>
      <c r="E4850" s="1" t="str">
        <f>""</f>
        <v/>
      </c>
      <c r="F4850" s="1" t="s">
        <v>1860</v>
      </c>
      <c r="G4850" s="1" t="str">
        <f>CONCATENATE(" SMIT-COMMERCE D.O.O.,"," GORNJOSTUPNIČKA 9B,"," 10255 GORNJI STUPNIK,"," OIB: 9524348214")</f>
        <v xml:space="preserve"> SMIT-COMMERCE D.O.O., GORNJOSTUPNIČKA 9B, 10255 GORNJI STUPNIK, OIB: 9524348214</v>
      </c>
      <c r="H4850" s="7"/>
      <c r="I4850" s="8" t="s">
        <v>1191</v>
      </c>
      <c r="J4850" s="8" t="s">
        <v>3261</v>
      </c>
      <c r="K4850" s="6" t="str">
        <f>"2.457,60"</f>
        <v>2.457,60</v>
      </c>
      <c r="L4850" s="6" t="str">
        <f>"614,40"</f>
        <v>614,40</v>
      </c>
      <c r="M4850" s="6" t="str">
        <f>"3.072,00"</f>
        <v>3.072,00</v>
      </c>
      <c r="N4850" s="8" t="s">
        <v>124</v>
      </c>
      <c r="O4850" s="7"/>
      <c r="P4850" s="2" t="s">
        <v>5614</v>
      </c>
      <c r="Q4850" s="7"/>
      <c r="R4850" s="1"/>
      <c r="S4850" s="1" t="str">
        <f>"J-UN-2022-1864"</f>
        <v>J-UN-2022-1864</v>
      </c>
      <c r="T4850" s="1" t="s">
        <v>32</v>
      </c>
    </row>
    <row r="4851" spans="1:20" ht="63.75" x14ac:dyDescent="0.25">
      <c r="A4851" s="6">
        <v>4830</v>
      </c>
      <c r="B4851" s="1" t="str">
        <f>"2022-101"</f>
        <v>2022-101</v>
      </c>
      <c r="C4851" s="1" t="s">
        <v>2914</v>
      </c>
      <c r="D4851" s="1" t="s">
        <v>2915</v>
      </c>
      <c r="E4851" s="1" t="str">
        <f>""</f>
        <v/>
      </c>
      <c r="F4851" s="1" t="s">
        <v>1860</v>
      </c>
      <c r="G4851" s="1" t="str">
        <f>CONCATENATE(" URIHO - ZAGREB,"," AVENIJA MARINA DRŽIĆA 1,"," 10000 ZAGREB,"," OIB: 77931216562")</f>
        <v xml:space="preserve"> URIHO - ZAGREB, AVENIJA MARINA DRŽIĆA 1, 10000 ZAGREB, OIB: 77931216562</v>
      </c>
      <c r="H4851" s="7"/>
      <c r="I4851" s="8" t="s">
        <v>409</v>
      </c>
      <c r="J4851" s="8" t="s">
        <v>1574</v>
      </c>
      <c r="K4851" s="6" t="str">
        <f>"12.000,00"</f>
        <v>12.000,00</v>
      </c>
      <c r="L4851" s="6" t="str">
        <f>"3.000,00"</f>
        <v>3.000,00</v>
      </c>
      <c r="M4851" s="6" t="str">
        <f>"15.000,00"</f>
        <v>15.000,00</v>
      </c>
      <c r="N4851" s="8" t="s">
        <v>124</v>
      </c>
      <c r="O4851" s="7"/>
      <c r="P4851" s="2" t="s">
        <v>5614</v>
      </c>
      <c r="Q4851" s="7"/>
      <c r="R4851" s="1"/>
      <c r="S4851" s="1" t="str">
        <f>"J-UN-2022-1865"</f>
        <v>J-UN-2022-1865</v>
      </c>
      <c r="T4851" s="1" t="s">
        <v>32</v>
      </c>
    </row>
    <row r="4852" spans="1:20" ht="51" x14ac:dyDescent="0.25">
      <c r="A4852" s="6">
        <v>4831</v>
      </c>
      <c r="B4852" s="1" t="str">
        <f>"2022-194"</f>
        <v>2022-194</v>
      </c>
      <c r="C4852" s="1" t="s">
        <v>3037</v>
      </c>
      <c r="D4852" s="1" t="s">
        <v>3038</v>
      </c>
      <c r="E4852" s="1" t="str">
        <f>""</f>
        <v/>
      </c>
      <c r="F4852" s="1" t="s">
        <v>1860</v>
      </c>
      <c r="G4852" s="1" t="str">
        <f>CONCATENATE(" SCHEDA D.O.O.,"," LJUDEVITA POSAVSKOG 29,"," 10360 SESVETE,"," OIB: 76219817247")</f>
        <v xml:space="preserve"> SCHEDA D.O.O., LJUDEVITA POSAVSKOG 29, 10360 SESVETE, OIB: 76219817247</v>
      </c>
      <c r="H4852" s="7"/>
      <c r="I4852" s="8" t="s">
        <v>1191</v>
      </c>
      <c r="J4852" s="8" t="s">
        <v>3261</v>
      </c>
      <c r="K4852" s="6" t="str">
        <f>"2.757,00"</f>
        <v>2.757,00</v>
      </c>
      <c r="L4852" s="6" t="str">
        <f>"689,25"</f>
        <v>689,25</v>
      </c>
      <c r="M4852" s="6" t="str">
        <f>"3.446,25"</f>
        <v>3.446,25</v>
      </c>
      <c r="N4852" s="8" t="s">
        <v>124</v>
      </c>
      <c r="O4852" s="7"/>
      <c r="P4852" s="2" t="s">
        <v>5614</v>
      </c>
      <c r="Q4852" s="7"/>
      <c r="R4852" s="1"/>
      <c r="S4852" s="1" t="str">
        <f>"J-UN-2022-1866"</f>
        <v>J-UN-2022-1866</v>
      </c>
      <c r="T4852" s="1" t="s">
        <v>32</v>
      </c>
    </row>
    <row r="4853" spans="1:20" ht="63.75" x14ac:dyDescent="0.25">
      <c r="A4853" s="6">
        <v>4832</v>
      </c>
      <c r="B4853" s="1" t="str">
        <f>"2022-535"</f>
        <v>2022-535</v>
      </c>
      <c r="C4853" s="1" t="s">
        <v>2561</v>
      </c>
      <c r="D4853" s="1" t="s">
        <v>2156</v>
      </c>
      <c r="E4853" s="1" t="str">
        <f>""</f>
        <v/>
      </c>
      <c r="F4853" s="1" t="s">
        <v>1860</v>
      </c>
      <c r="G4853" s="1" t="str">
        <f>CONCATENATE(" URIHO - ZAGREB,"," AVENIJA MARINA DRŽIĆA 1,"," 10000 ZAGREB,"," OIB: 77931216562")</f>
        <v xml:space="preserve"> URIHO - ZAGREB, AVENIJA MARINA DRŽIĆA 1, 10000 ZAGREB, OIB: 77931216562</v>
      </c>
      <c r="H4853" s="7"/>
      <c r="I4853" s="8" t="s">
        <v>1191</v>
      </c>
      <c r="J4853" s="8" t="s">
        <v>3261</v>
      </c>
      <c r="K4853" s="6" t="str">
        <f>"1.975,00"</f>
        <v>1.975,00</v>
      </c>
      <c r="L4853" s="6" t="str">
        <f>"493,75"</f>
        <v>493,75</v>
      </c>
      <c r="M4853" s="6" t="str">
        <f>"2.468,75"</f>
        <v>2.468,75</v>
      </c>
      <c r="N4853" s="8" t="s">
        <v>124</v>
      </c>
      <c r="O4853" s="7"/>
      <c r="P4853" s="2" t="s">
        <v>5614</v>
      </c>
      <c r="Q4853" s="7"/>
      <c r="R4853" s="1"/>
      <c r="S4853" s="1" t="str">
        <f>"J-UN-2022-1867"</f>
        <v>J-UN-2022-1867</v>
      </c>
      <c r="T4853" s="1" t="s">
        <v>32</v>
      </c>
    </row>
    <row r="4854" spans="1:20" ht="51" x14ac:dyDescent="0.25">
      <c r="A4854" s="6">
        <v>4833</v>
      </c>
      <c r="B4854" s="1" t="str">
        <f>"2022-716"</f>
        <v>2022-716</v>
      </c>
      <c r="C4854" s="1" t="s">
        <v>2563</v>
      </c>
      <c r="D4854" s="1" t="s">
        <v>914</v>
      </c>
      <c r="E4854" s="1" t="str">
        <f>""</f>
        <v/>
      </c>
      <c r="F4854" s="1" t="s">
        <v>1860</v>
      </c>
      <c r="G4854" s="1" t="str">
        <f>CONCATENATE(" D.R. AUTO D.O.O.,"," SELSKA CESTA 34,"," 10000 ZAGREB,"," OIB: 07523847158")</f>
        <v xml:space="preserve"> D.R. AUTO D.O.O., SELSKA CESTA 34, 10000 ZAGREB, OIB: 07523847158</v>
      </c>
      <c r="H4854" s="7"/>
      <c r="I4854" s="8" t="s">
        <v>409</v>
      </c>
      <c r="J4854" s="8" t="s">
        <v>1574</v>
      </c>
      <c r="K4854" s="6" t="str">
        <f>"2.740,80"</f>
        <v>2.740,80</v>
      </c>
      <c r="L4854" s="6" t="str">
        <f>"685,20"</f>
        <v>685,20</v>
      </c>
      <c r="M4854" s="6" t="str">
        <f>"3.426,00"</f>
        <v>3.426,00</v>
      </c>
      <c r="N4854" s="8" t="s">
        <v>124</v>
      </c>
      <c r="O4854" s="7"/>
      <c r="P4854" s="2" t="s">
        <v>5614</v>
      </c>
      <c r="Q4854" s="7"/>
      <c r="R4854" s="1"/>
      <c r="S4854" s="1" t="str">
        <f>"J-UN-2022-1868"</f>
        <v>J-UN-2022-1868</v>
      </c>
      <c r="T4854" s="1" t="s">
        <v>32</v>
      </c>
    </row>
    <row r="4855" spans="1:20" ht="51" x14ac:dyDescent="0.25">
      <c r="A4855" s="6">
        <v>4834</v>
      </c>
      <c r="B4855" s="1" t="str">
        <f>"2022-295"</f>
        <v>2022-295</v>
      </c>
      <c r="C4855" s="1" t="s">
        <v>2836</v>
      </c>
      <c r="D4855" s="1" t="s">
        <v>689</v>
      </c>
      <c r="E4855" s="1" t="str">
        <f>""</f>
        <v/>
      </c>
      <c r="F4855" s="1" t="s">
        <v>1860</v>
      </c>
      <c r="G4855" s="1" t="str">
        <f>CONCATENATE(" SCHEDA D.O.O.,"," LJUDEVITA POSAVSKOG 29,"," 10360 SESVETE,"," OIB: 76219817247")</f>
        <v xml:space="preserve"> SCHEDA D.O.O., LJUDEVITA POSAVSKOG 29, 10360 SESVETE, OIB: 76219817247</v>
      </c>
      <c r="H4855" s="7"/>
      <c r="I4855" s="8" t="s">
        <v>525</v>
      </c>
      <c r="J4855" s="8" t="s">
        <v>3260</v>
      </c>
      <c r="K4855" s="6" t="str">
        <f>"4.739,00"</f>
        <v>4.739,00</v>
      </c>
      <c r="L4855" s="6" t="str">
        <f>"1.184,75"</f>
        <v>1.184,75</v>
      </c>
      <c r="M4855" s="6" t="str">
        <f>"5.923,75"</f>
        <v>5.923,75</v>
      </c>
      <c r="N4855" s="8" t="s">
        <v>124</v>
      </c>
      <c r="O4855" s="7"/>
      <c r="P4855" s="2" t="s">
        <v>5614</v>
      </c>
      <c r="Q4855" s="7"/>
      <c r="R4855" s="1"/>
      <c r="S4855" s="1" t="str">
        <f>"J-UN-2022-1869"</f>
        <v>J-UN-2022-1869</v>
      </c>
      <c r="T4855" s="1" t="s">
        <v>32</v>
      </c>
    </row>
    <row r="4856" spans="1:20" ht="51" x14ac:dyDescent="0.25">
      <c r="A4856" s="6">
        <v>4835</v>
      </c>
      <c r="B4856" s="1" t="str">
        <f>"2022-366"</f>
        <v>2022-366</v>
      </c>
      <c r="C4856" s="1" t="s">
        <v>2831</v>
      </c>
      <c r="D4856" s="1" t="s">
        <v>3262</v>
      </c>
      <c r="E4856" s="1" t="str">
        <f>""</f>
        <v/>
      </c>
      <c r="F4856" s="1" t="s">
        <v>1860</v>
      </c>
      <c r="G4856" s="1" t="str">
        <f>CONCATENATE(" VATRO-PROMET D.O.O.,"," JEŽDOVEČKA 87,"," 10000 ZAGREB,"," OIB: 57189591567")</f>
        <v xml:space="preserve"> VATRO-PROMET D.O.O., JEŽDOVEČKA 87, 10000 ZAGREB, OIB: 57189591567</v>
      </c>
      <c r="H4856" s="7"/>
      <c r="I4856" s="8" t="s">
        <v>525</v>
      </c>
      <c r="J4856" s="8" t="s">
        <v>3260</v>
      </c>
      <c r="K4856" s="6" t="str">
        <f>"48.185,00"</f>
        <v>48.185,00</v>
      </c>
      <c r="L4856" s="6" t="str">
        <f>"12.046,25"</f>
        <v>12.046,25</v>
      </c>
      <c r="M4856" s="6" t="str">
        <f>"60.231,25"</f>
        <v>60.231,25</v>
      </c>
      <c r="N4856" s="8" t="s">
        <v>383</v>
      </c>
      <c r="O4856" s="7"/>
      <c r="P4856" s="2" t="s">
        <v>8395</v>
      </c>
      <c r="Q4856" s="7"/>
      <c r="R4856" s="1"/>
      <c r="S4856" s="1" t="str">
        <f>"J-UN-2022-1870"</f>
        <v>J-UN-2022-1870</v>
      </c>
      <c r="T4856" s="1" t="s">
        <v>32</v>
      </c>
    </row>
    <row r="4857" spans="1:20" ht="63.75" x14ac:dyDescent="0.25">
      <c r="A4857" s="6">
        <v>4836</v>
      </c>
      <c r="B4857" s="1" t="str">
        <f>"2022-1416"</f>
        <v>2022-1416</v>
      </c>
      <c r="C4857" s="1" t="s">
        <v>2991</v>
      </c>
      <c r="D4857" s="1" t="s">
        <v>2992</v>
      </c>
      <c r="E4857" s="1" t="str">
        <f>""</f>
        <v/>
      </c>
      <c r="F4857" s="1" t="s">
        <v>1860</v>
      </c>
      <c r="G4857" s="1" t="str">
        <f t="shared" ref="G4857:G4874" si="233">CONCATENATE(" LANIŠTE D.O.O.,"," ALEXANDERA VON HUMBOLDTA 4B,"," 10000 ZAGREB,"," OIB: 3755384865")</f>
        <v xml:space="preserve"> LANIŠTE D.O.O., ALEXANDERA VON HUMBOLDTA 4B, 10000 ZAGREB, OIB: 3755384865</v>
      </c>
      <c r="H4857" s="7"/>
      <c r="I4857" s="8" t="s">
        <v>409</v>
      </c>
      <c r="J4857" s="8" t="s">
        <v>1574</v>
      </c>
      <c r="K4857" s="6" t="str">
        <f>"3.636,00"</f>
        <v>3.636,00</v>
      </c>
      <c r="L4857" s="6" t="str">
        <f>"909,00"</f>
        <v>909,00</v>
      </c>
      <c r="M4857" s="6" t="str">
        <f>"4.545,00"</f>
        <v>4.545,00</v>
      </c>
      <c r="N4857" s="8" t="s">
        <v>124</v>
      </c>
      <c r="O4857" s="7"/>
      <c r="P4857" s="2" t="s">
        <v>5614</v>
      </c>
      <c r="Q4857" s="7"/>
      <c r="R4857" s="1"/>
      <c r="S4857" s="1" t="str">
        <f>"J-UN-2022-1871"</f>
        <v>J-UN-2022-1871</v>
      </c>
      <c r="T4857" s="1" t="s">
        <v>32</v>
      </c>
    </row>
    <row r="4858" spans="1:20" ht="63.75" x14ac:dyDescent="0.25">
      <c r="A4858" s="6">
        <v>4837</v>
      </c>
      <c r="B4858" s="1" t="str">
        <f>"2022-1429"</f>
        <v>2022-1429</v>
      </c>
      <c r="C4858" s="1" t="s">
        <v>2984</v>
      </c>
      <c r="D4858" s="1" t="s">
        <v>2985</v>
      </c>
      <c r="E4858" s="1" t="str">
        <f>""</f>
        <v/>
      </c>
      <c r="F4858" s="1" t="s">
        <v>1860</v>
      </c>
      <c r="G4858" s="1" t="str">
        <f t="shared" si="233"/>
        <v xml:space="preserve"> LANIŠTE D.O.O., ALEXANDERA VON HUMBOLDTA 4B, 10000 ZAGREB, OIB: 3755384865</v>
      </c>
      <c r="H4858" s="7"/>
      <c r="I4858" s="8" t="s">
        <v>409</v>
      </c>
      <c r="J4858" s="8" t="s">
        <v>1574</v>
      </c>
      <c r="K4858" s="6" t="str">
        <f>"4.032,00"</f>
        <v>4.032,00</v>
      </c>
      <c r="L4858" s="6" t="str">
        <f>"1.008,00"</f>
        <v>1.008,00</v>
      </c>
      <c r="M4858" s="6" t="str">
        <f>"5.040,00"</f>
        <v>5.040,00</v>
      </c>
      <c r="N4858" s="8" t="s">
        <v>124</v>
      </c>
      <c r="O4858" s="7"/>
      <c r="P4858" s="2" t="s">
        <v>5614</v>
      </c>
      <c r="Q4858" s="7"/>
      <c r="R4858" s="1"/>
      <c r="S4858" s="1" t="str">
        <f>"J-UN-2022-1872"</f>
        <v>J-UN-2022-1872</v>
      </c>
      <c r="T4858" s="1" t="s">
        <v>32</v>
      </c>
    </row>
    <row r="4859" spans="1:20" ht="63.75" x14ac:dyDescent="0.25">
      <c r="A4859" s="6">
        <v>4838</v>
      </c>
      <c r="B4859" s="1" t="str">
        <f>"2022-1430"</f>
        <v>2022-1430</v>
      </c>
      <c r="C4859" s="1" t="s">
        <v>2986</v>
      </c>
      <c r="D4859" s="1" t="s">
        <v>2985</v>
      </c>
      <c r="E4859" s="1" t="str">
        <f>""</f>
        <v/>
      </c>
      <c r="F4859" s="1" t="s">
        <v>1860</v>
      </c>
      <c r="G4859" s="1" t="str">
        <f t="shared" si="233"/>
        <v xml:space="preserve"> LANIŠTE D.O.O., ALEXANDERA VON HUMBOLDTA 4B, 10000 ZAGREB, OIB: 3755384865</v>
      </c>
      <c r="H4859" s="7"/>
      <c r="I4859" s="8" t="s">
        <v>409</v>
      </c>
      <c r="J4859" s="8" t="s">
        <v>1574</v>
      </c>
      <c r="K4859" s="6" t="str">
        <f>"7.452,00"</f>
        <v>7.452,00</v>
      </c>
      <c r="L4859" s="6" t="str">
        <f>"1.863,00"</f>
        <v>1.863,00</v>
      </c>
      <c r="M4859" s="6" t="str">
        <f>"9.315,00"</f>
        <v>9.315,00</v>
      </c>
      <c r="N4859" s="8" t="s">
        <v>124</v>
      </c>
      <c r="O4859" s="7"/>
      <c r="P4859" s="2" t="s">
        <v>5614</v>
      </c>
      <c r="Q4859" s="7"/>
      <c r="R4859" s="1"/>
      <c r="S4859" s="1" t="str">
        <f>"J-UN-2022-1873"</f>
        <v>J-UN-2022-1873</v>
      </c>
      <c r="T4859" s="1" t="s">
        <v>32</v>
      </c>
    </row>
    <row r="4860" spans="1:20" ht="63.75" x14ac:dyDescent="0.25">
      <c r="A4860" s="6">
        <v>4839</v>
      </c>
      <c r="B4860" s="1" t="str">
        <f>"2022-1321"</f>
        <v>2022-1321</v>
      </c>
      <c r="C4860" s="1" t="s">
        <v>2987</v>
      </c>
      <c r="D4860" s="1" t="s">
        <v>2988</v>
      </c>
      <c r="E4860" s="1" t="str">
        <f>""</f>
        <v/>
      </c>
      <c r="F4860" s="1" t="s">
        <v>1860</v>
      </c>
      <c r="G4860" s="1" t="str">
        <f t="shared" si="233"/>
        <v xml:space="preserve"> LANIŠTE D.O.O., ALEXANDERA VON HUMBOLDTA 4B, 10000 ZAGREB, OIB: 3755384865</v>
      </c>
      <c r="H4860" s="7"/>
      <c r="I4860" s="8" t="s">
        <v>409</v>
      </c>
      <c r="J4860" s="8" t="s">
        <v>1574</v>
      </c>
      <c r="K4860" s="6" t="str">
        <f>"7.452,00"</f>
        <v>7.452,00</v>
      </c>
      <c r="L4860" s="6" t="str">
        <f>"1.863,00"</f>
        <v>1.863,00</v>
      </c>
      <c r="M4860" s="6" t="str">
        <f>"9.315,00"</f>
        <v>9.315,00</v>
      </c>
      <c r="N4860" s="8" t="s">
        <v>124</v>
      </c>
      <c r="O4860" s="7"/>
      <c r="P4860" s="2" t="s">
        <v>5614</v>
      </c>
      <c r="Q4860" s="7"/>
      <c r="R4860" s="1"/>
      <c r="S4860" s="1" t="str">
        <f>"J-UN-2022-1874"</f>
        <v>J-UN-2022-1874</v>
      </c>
      <c r="T4860" s="1" t="s">
        <v>32</v>
      </c>
    </row>
    <row r="4861" spans="1:20" ht="63.75" x14ac:dyDescent="0.25">
      <c r="A4861" s="6">
        <v>4840</v>
      </c>
      <c r="B4861" s="1" t="str">
        <f>"2022-1289"</f>
        <v>2022-1289</v>
      </c>
      <c r="C4861" s="1" t="s">
        <v>2993</v>
      </c>
      <c r="D4861" s="1" t="s">
        <v>2994</v>
      </c>
      <c r="E4861" s="1" t="str">
        <f>""</f>
        <v/>
      </c>
      <c r="F4861" s="1" t="s">
        <v>1860</v>
      </c>
      <c r="G4861" s="1" t="str">
        <f t="shared" si="233"/>
        <v xml:space="preserve"> LANIŠTE D.O.O., ALEXANDERA VON HUMBOLDTA 4B, 10000 ZAGREB, OIB: 3755384865</v>
      </c>
      <c r="H4861" s="7"/>
      <c r="I4861" s="8" t="s">
        <v>409</v>
      </c>
      <c r="J4861" s="8" t="s">
        <v>1574</v>
      </c>
      <c r="K4861" s="6" t="str">
        <f>"6.712,00"</f>
        <v>6.712,00</v>
      </c>
      <c r="L4861" s="6" t="str">
        <f>"1.678,00"</f>
        <v>1.678,00</v>
      </c>
      <c r="M4861" s="6" t="str">
        <f>"8.390,00"</f>
        <v>8.390,00</v>
      </c>
      <c r="N4861" s="8" t="s">
        <v>124</v>
      </c>
      <c r="O4861" s="7"/>
      <c r="P4861" s="2" t="s">
        <v>5614</v>
      </c>
      <c r="Q4861" s="7"/>
      <c r="R4861" s="1"/>
      <c r="S4861" s="1" t="str">
        <f>"J-UN-2022-1875"</f>
        <v>J-UN-2022-1875</v>
      </c>
      <c r="T4861" s="1" t="s">
        <v>32</v>
      </c>
    </row>
    <row r="4862" spans="1:20" ht="63.75" x14ac:dyDescent="0.25">
      <c r="A4862" s="6">
        <v>4841</v>
      </c>
      <c r="B4862" s="1" t="str">
        <f>"2022-1291"</f>
        <v>2022-1291</v>
      </c>
      <c r="C4862" s="1" t="s">
        <v>2989</v>
      </c>
      <c r="D4862" s="1" t="s">
        <v>2990</v>
      </c>
      <c r="E4862" s="1" t="str">
        <f>""</f>
        <v/>
      </c>
      <c r="F4862" s="1" t="s">
        <v>1860</v>
      </c>
      <c r="G4862" s="1" t="str">
        <f t="shared" si="233"/>
        <v xml:space="preserve"> LANIŠTE D.O.O., ALEXANDERA VON HUMBOLDTA 4B, 10000 ZAGREB, OIB: 3755384865</v>
      </c>
      <c r="H4862" s="7"/>
      <c r="I4862" s="8" t="s">
        <v>409</v>
      </c>
      <c r="J4862" s="8" t="s">
        <v>1574</v>
      </c>
      <c r="K4862" s="6" t="str">
        <f>"6.716,00"</f>
        <v>6.716,00</v>
      </c>
      <c r="L4862" s="6" t="str">
        <f>"1.679,00"</f>
        <v>1.679,00</v>
      </c>
      <c r="M4862" s="6" t="str">
        <f>"8.395,00"</f>
        <v>8.395,00</v>
      </c>
      <c r="N4862" s="8" t="s">
        <v>124</v>
      </c>
      <c r="O4862" s="7"/>
      <c r="P4862" s="2" t="s">
        <v>5614</v>
      </c>
      <c r="Q4862" s="7"/>
      <c r="R4862" s="1"/>
      <c r="S4862" s="1" t="str">
        <f>"J-UN-2022-1876"</f>
        <v>J-UN-2022-1876</v>
      </c>
      <c r="T4862" s="1" t="s">
        <v>32</v>
      </c>
    </row>
    <row r="4863" spans="1:20" ht="63.75" x14ac:dyDescent="0.25">
      <c r="A4863" s="6">
        <v>4842</v>
      </c>
      <c r="B4863" s="1" t="str">
        <f>"2022-1416"</f>
        <v>2022-1416</v>
      </c>
      <c r="C4863" s="1" t="s">
        <v>2991</v>
      </c>
      <c r="D4863" s="1" t="s">
        <v>2992</v>
      </c>
      <c r="E4863" s="1" t="str">
        <f>""</f>
        <v/>
      </c>
      <c r="F4863" s="1" t="s">
        <v>1860</v>
      </c>
      <c r="G4863" s="1" t="str">
        <f t="shared" si="233"/>
        <v xml:space="preserve"> LANIŠTE D.O.O., ALEXANDERA VON HUMBOLDTA 4B, 10000 ZAGREB, OIB: 3755384865</v>
      </c>
      <c r="H4863" s="7"/>
      <c r="I4863" s="8" t="s">
        <v>1159</v>
      </c>
      <c r="J4863" s="8" t="s">
        <v>3252</v>
      </c>
      <c r="K4863" s="6" t="str">
        <f>"3.636,00"</f>
        <v>3.636,00</v>
      </c>
      <c r="L4863" s="6" t="str">
        <f>"909,00"</f>
        <v>909,00</v>
      </c>
      <c r="M4863" s="6" t="str">
        <f>"4.545,00"</f>
        <v>4.545,00</v>
      </c>
      <c r="N4863" s="8" t="s">
        <v>124</v>
      </c>
      <c r="O4863" s="7"/>
      <c r="P4863" s="2" t="s">
        <v>5614</v>
      </c>
      <c r="Q4863" s="7"/>
      <c r="R4863" s="1"/>
      <c r="S4863" s="1" t="str">
        <f>"J-UN-2022-1877"</f>
        <v>J-UN-2022-1877</v>
      </c>
      <c r="T4863" s="1" t="s">
        <v>32</v>
      </c>
    </row>
    <row r="4864" spans="1:20" ht="63.75" x14ac:dyDescent="0.25">
      <c r="A4864" s="6">
        <v>4843</v>
      </c>
      <c r="B4864" s="1" t="str">
        <f>"2022-1429"</f>
        <v>2022-1429</v>
      </c>
      <c r="C4864" s="1" t="s">
        <v>2984</v>
      </c>
      <c r="D4864" s="1" t="s">
        <v>2985</v>
      </c>
      <c r="E4864" s="1" t="str">
        <f>""</f>
        <v/>
      </c>
      <c r="F4864" s="1" t="s">
        <v>1860</v>
      </c>
      <c r="G4864" s="1" t="str">
        <f t="shared" si="233"/>
        <v xml:space="preserve"> LANIŠTE D.O.O., ALEXANDERA VON HUMBOLDTA 4B, 10000 ZAGREB, OIB: 3755384865</v>
      </c>
      <c r="H4864" s="7"/>
      <c r="I4864" s="8" t="s">
        <v>1159</v>
      </c>
      <c r="J4864" s="8" t="s">
        <v>3252</v>
      </c>
      <c r="K4864" s="6" t="str">
        <f>"4.032,00"</f>
        <v>4.032,00</v>
      </c>
      <c r="L4864" s="6" t="str">
        <f>"1.008,00"</f>
        <v>1.008,00</v>
      </c>
      <c r="M4864" s="6" t="str">
        <f>"5.040,00"</f>
        <v>5.040,00</v>
      </c>
      <c r="N4864" s="8" t="s">
        <v>124</v>
      </c>
      <c r="O4864" s="7"/>
      <c r="P4864" s="2" t="s">
        <v>5614</v>
      </c>
      <c r="Q4864" s="7"/>
      <c r="R4864" s="1"/>
      <c r="S4864" s="1" t="str">
        <f>"J-UN-2022-1878"</f>
        <v>J-UN-2022-1878</v>
      </c>
      <c r="T4864" s="1" t="s">
        <v>32</v>
      </c>
    </row>
    <row r="4865" spans="1:20" ht="63.75" x14ac:dyDescent="0.25">
      <c r="A4865" s="6">
        <v>4844</v>
      </c>
      <c r="B4865" s="1" t="str">
        <f>"2022-1430"</f>
        <v>2022-1430</v>
      </c>
      <c r="C4865" s="1" t="s">
        <v>2986</v>
      </c>
      <c r="D4865" s="1" t="s">
        <v>2985</v>
      </c>
      <c r="E4865" s="1" t="str">
        <f>""</f>
        <v/>
      </c>
      <c r="F4865" s="1" t="s">
        <v>1860</v>
      </c>
      <c r="G4865" s="1" t="str">
        <f t="shared" si="233"/>
        <v xml:space="preserve"> LANIŠTE D.O.O., ALEXANDERA VON HUMBOLDTA 4B, 10000 ZAGREB, OIB: 3755384865</v>
      </c>
      <c r="H4865" s="7"/>
      <c r="I4865" s="8" t="s">
        <v>1159</v>
      </c>
      <c r="J4865" s="8" t="s">
        <v>3252</v>
      </c>
      <c r="K4865" s="6" t="str">
        <f>"4.032,00"</f>
        <v>4.032,00</v>
      </c>
      <c r="L4865" s="6" t="str">
        <f>"1.008,00"</f>
        <v>1.008,00</v>
      </c>
      <c r="M4865" s="6" t="str">
        <f>"5.040,00"</f>
        <v>5.040,00</v>
      </c>
      <c r="N4865" s="8" t="s">
        <v>124</v>
      </c>
      <c r="O4865" s="7"/>
      <c r="P4865" s="2" t="s">
        <v>5614</v>
      </c>
      <c r="Q4865" s="7"/>
      <c r="R4865" s="1"/>
      <c r="S4865" s="1" t="str">
        <f>"J-UN-2022-1879"</f>
        <v>J-UN-2022-1879</v>
      </c>
      <c r="T4865" s="1" t="s">
        <v>32</v>
      </c>
    </row>
    <row r="4866" spans="1:20" ht="63.75" x14ac:dyDescent="0.25">
      <c r="A4866" s="6">
        <v>4845</v>
      </c>
      <c r="B4866" s="1" t="str">
        <f>"2022-1321"</f>
        <v>2022-1321</v>
      </c>
      <c r="C4866" s="1" t="s">
        <v>2987</v>
      </c>
      <c r="D4866" s="1" t="s">
        <v>2988</v>
      </c>
      <c r="E4866" s="1" t="str">
        <f>""</f>
        <v/>
      </c>
      <c r="F4866" s="1" t="s">
        <v>1860</v>
      </c>
      <c r="G4866" s="1" t="str">
        <f t="shared" si="233"/>
        <v xml:space="preserve"> LANIŠTE D.O.O., ALEXANDERA VON HUMBOLDTA 4B, 10000 ZAGREB, OIB: 3755384865</v>
      </c>
      <c r="H4866" s="7"/>
      <c r="I4866" s="8" t="s">
        <v>1159</v>
      </c>
      <c r="J4866" s="8" t="s">
        <v>3252</v>
      </c>
      <c r="K4866" s="6" t="str">
        <f>"4.032,00"</f>
        <v>4.032,00</v>
      </c>
      <c r="L4866" s="6" t="str">
        <f>"1.008,00"</f>
        <v>1.008,00</v>
      </c>
      <c r="M4866" s="6" t="str">
        <f>"5.040,00"</f>
        <v>5.040,00</v>
      </c>
      <c r="N4866" s="8" t="s">
        <v>124</v>
      </c>
      <c r="O4866" s="7"/>
      <c r="P4866" s="2" t="s">
        <v>5614</v>
      </c>
      <c r="Q4866" s="7"/>
      <c r="R4866" s="1"/>
      <c r="S4866" s="1" t="str">
        <f>"J-UN-2022-1880"</f>
        <v>J-UN-2022-1880</v>
      </c>
      <c r="T4866" s="1" t="s">
        <v>32</v>
      </c>
    </row>
    <row r="4867" spans="1:20" ht="63.75" x14ac:dyDescent="0.25">
      <c r="A4867" s="6">
        <v>4846</v>
      </c>
      <c r="B4867" s="1" t="str">
        <f>"2022-1289"</f>
        <v>2022-1289</v>
      </c>
      <c r="C4867" s="1" t="s">
        <v>2993</v>
      </c>
      <c r="D4867" s="1" t="s">
        <v>2994</v>
      </c>
      <c r="E4867" s="1" t="str">
        <f>""</f>
        <v/>
      </c>
      <c r="F4867" s="1" t="s">
        <v>1860</v>
      </c>
      <c r="G4867" s="1" t="str">
        <f t="shared" si="233"/>
        <v xml:space="preserve"> LANIŠTE D.O.O., ALEXANDERA VON HUMBOLDTA 4B, 10000 ZAGREB, OIB: 3755384865</v>
      </c>
      <c r="H4867" s="7"/>
      <c r="I4867" s="8" t="s">
        <v>1159</v>
      </c>
      <c r="J4867" s="8" t="s">
        <v>3252</v>
      </c>
      <c r="K4867" s="6" t="str">
        <f>"3.632,00"</f>
        <v>3.632,00</v>
      </c>
      <c r="L4867" s="6" t="str">
        <f>"908,00"</f>
        <v>908,00</v>
      </c>
      <c r="M4867" s="6" t="str">
        <f>"4.540,00"</f>
        <v>4.540,00</v>
      </c>
      <c r="N4867" s="8" t="s">
        <v>124</v>
      </c>
      <c r="O4867" s="7"/>
      <c r="P4867" s="2" t="s">
        <v>5614</v>
      </c>
      <c r="Q4867" s="7"/>
      <c r="R4867" s="1"/>
      <c r="S4867" s="1" t="str">
        <f>"J-UN-2022-1881"</f>
        <v>J-UN-2022-1881</v>
      </c>
      <c r="T4867" s="1" t="s">
        <v>32</v>
      </c>
    </row>
    <row r="4868" spans="1:20" ht="63.75" x14ac:dyDescent="0.25">
      <c r="A4868" s="6">
        <v>4847</v>
      </c>
      <c r="B4868" s="1" t="str">
        <f>"2022-1291"</f>
        <v>2022-1291</v>
      </c>
      <c r="C4868" s="1" t="s">
        <v>2989</v>
      </c>
      <c r="D4868" s="1" t="s">
        <v>2990</v>
      </c>
      <c r="E4868" s="1" t="str">
        <f>""</f>
        <v/>
      </c>
      <c r="F4868" s="1" t="s">
        <v>1860</v>
      </c>
      <c r="G4868" s="1" t="str">
        <f t="shared" si="233"/>
        <v xml:space="preserve"> LANIŠTE D.O.O., ALEXANDERA VON HUMBOLDTA 4B, 10000 ZAGREB, OIB: 3755384865</v>
      </c>
      <c r="H4868" s="7"/>
      <c r="I4868" s="8" t="s">
        <v>409</v>
      </c>
      <c r="J4868" s="8" t="s">
        <v>1574</v>
      </c>
      <c r="K4868" s="6" t="str">
        <f>"3.636,00"</f>
        <v>3.636,00</v>
      </c>
      <c r="L4868" s="6" t="str">
        <f>"909,00"</f>
        <v>909,00</v>
      </c>
      <c r="M4868" s="6" t="str">
        <f>"4.545,00"</f>
        <v>4.545,00</v>
      </c>
      <c r="N4868" s="8" t="s">
        <v>124</v>
      </c>
      <c r="O4868" s="7"/>
      <c r="P4868" s="2" t="s">
        <v>5614</v>
      </c>
      <c r="Q4868" s="7"/>
      <c r="R4868" s="1"/>
      <c r="S4868" s="1" t="str">
        <f>"J-UN-2022-1882"</f>
        <v>J-UN-2022-1882</v>
      </c>
      <c r="T4868" s="1" t="s">
        <v>32</v>
      </c>
    </row>
    <row r="4869" spans="1:20" ht="63.75" x14ac:dyDescent="0.25">
      <c r="A4869" s="6">
        <v>4848</v>
      </c>
      <c r="B4869" s="1" t="str">
        <f>"2022-1416"</f>
        <v>2022-1416</v>
      </c>
      <c r="C4869" s="1" t="s">
        <v>2991</v>
      </c>
      <c r="D4869" s="1" t="s">
        <v>2992</v>
      </c>
      <c r="E4869" s="1" t="str">
        <f>""</f>
        <v/>
      </c>
      <c r="F4869" s="1" t="s">
        <v>1860</v>
      </c>
      <c r="G4869" s="1" t="str">
        <f t="shared" si="233"/>
        <v xml:space="preserve"> LANIŠTE D.O.O., ALEXANDERA VON HUMBOLDTA 4B, 10000 ZAGREB, OIB: 3755384865</v>
      </c>
      <c r="H4869" s="7"/>
      <c r="I4869" s="8" t="s">
        <v>409</v>
      </c>
      <c r="J4869" s="8" t="s">
        <v>1574</v>
      </c>
      <c r="K4869" s="6" t="str">
        <f>"3.636,00"</f>
        <v>3.636,00</v>
      </c>
      <c r="L4869" s="6" t="str">
        <f>"909,00"</f>
        <v>909,00</v>
      </c>
      <c r="M4869" s="6" t="str">
        <f>"4.545,00"</f>
        <v>4.545,00</v>
      </c>
      <c r="N4869" s="8" t="s">
        <v>124</v>
      </c>
      <c r="O4869" s="7"/>
      <c r="P4869" s="2" t="s">
        <v>5614</v>
      </c>
      <c r="Q4869" s="7"/>
      <c r="R4869" s="1"/>
      <c r="S4869" s="1" t="str">
        <f>"J-UN-2022-1883"</f>
        <v>J-UN-2022-1883</v>
      </c>
      <c r="T4869" s="1" t="s">
        <v>32</v>
      </c>
    </row>
    <row r="4870" spans="1:20" ht="63.75" x14ac:dyDescent="0.25">
      <c r="A4870" s="6">
        <v>4849</v>
      </c>
      <c r="B4870" s="1" t="str">
        <f>"2022-1429"</f>
        <v>2022-1429</v>
      </c>
      <c r="C4870" s="1" t="s">
        <v>2984</v>
      </c>
      <c r="D4870" s="1" t="s">
        <v>2985</v>
      </c>
      <c r="E4870" s="1" t="str">
        <f>""</f>
        <v/>
      </c>
      <c r="F4870" s="1" t="s">
        <v>1860</v>
      </c>
      <c r="G4870" s="1" t="str">
        <f t="shared" si="233"/>
        <v xml:space="preserve"> LANIŠTE D.O.O., ALEXANDERA VON HUMBOLDTA 4B, 10000 ZAGREB, OIB: 3755384865</v>
      </c>
      <c r="H4870" s="7"/>
      <c r="I4870" s="8" t="s">
        <v>409</v>
      </c>
      <c r="J4870" s="8" t="s">
        <v>1574</v>
      </c>
      <c r="K4870" s="6" t="str">
        <f>"4.032,00"</f>
        <v>4.032,00</v>
      </c>
      <c r="L4870" s="6" t="str">
        <f>"1.008,00"</f>
        <v>1.008,00</v>
      </c>
      <c r="M4870" s="6" t="str">
        <f>"5.040,00"</f>
        <v>5.040,00</v>
      </c>
      <c r="N4870" s="8" t="s">
        <v>124</v>
      </c>
      <c r="O4870" s="7"/>
      <c r="P4870" s="2" t="s">
        <v>5614</v>
      </c>
      <c r="Q4870" s="7"/>
      <c r="R4870" s="1"/>
      <c r="S4870" s="1" t="str">
        <f>"J-UN-2022-1884"</f>
        <v>J-UN-2022-1884</v>
      </c>
      <c r="T4870" s="1" t="s">
        <v>32</v>
      </c>
    </row>
    <row r="4871" spans="1:20" ht="63.75" x14ac:dyDescent="0.25">
      <c r="A4871" s="6">
        <v>4850</v>
      </c>
      <c r="B4871" s="1" t="str">
        <f>"2022-1430"</f>
        <v>2022-1430</v>
      </c>
      <c r="C4871" s="1" t="s">
        <v>2986</v>
      </c>
      <c r="D4871" s="1" t="s">
        <v>2985</v>
      </c>
      <c r="E4871" s="1" t="str">
        <f>""</f>
        <v/>
      </c>
      <c r="F4871" s="1" t="s">
        <v>1860</v>
      </c>
      <c r="G4871" s="1" t="str">
        <f t="shared" si="233"/>
        <v xml:space="preserve"> LANIŠTE D.O.O., ALEXANDERA VON HUMBOLDTA 4B, 10000 ZAGREB, OIB: 3755384865</v>
      </c>
      <c r="H4871" s="7"/>
      <c r="I4871" s="8" t="s">
        <v>409</v>
      </c>
      <c r="J4871" s="8" t="s">
        <v>1574</v>
      </c>
      <c r="K4871" s="6" t="str">
        <f>"4.032,00"</f>
        <v>4.032,00</v>
      </c>
      <c r="L4871" s="6" t="str">
        <f>"1.008,00"</f>
        <v>1.008,00</v>
      </c>
      <c r="M4871" s="6" t="str">
        <f>"5.040,00"</f>
        <v>5.040,00</v>
      </c>
      <c r="N4871" s="8" t="s">
        <v>124</v>
      </c>
      <c r="O4871" s="7"/>
      <c r="P4871" s="2" t="s">
        <v>5614</v>
      </c>
      <c r="Q4871" s="7"/>
      <c r="R4871" s="1"/>
      <c r="S4871" s="1" t="str">
        <f>"J-UN-2022-1885"</f>
        <v>J-UN-2022-1885</v>
      </c>
      <c r="T4871" s="1" t="s">
        <v>32</v>
      </c>
    </row>
    <row r="4872" spans="1:20" ht="63.75" x14ac:dyDescent="0.25">
      <c r="A4872" s="6">
        <v>4851</v>
      </c>
      <c r="B4872" s="1" t="str">
        <f>"2022-1321"</f>
        <v>2022-1321</v>
      </c>
      <c r="C4872" s="1" t="s">
        <v>2987</v>
      </c>
      <c r="D4872" s="1" t="s">
        <v>2988</v>
      </c>
      <c r="E4872" s="1" t="str">
        <f>""</f>
        <v/>
      </c>
      <c r="F4872" s="1" t="s">
        <v>1860</v>
      </c>
      <c r="G4872" s="1" t="str">
        <f t="shared" si="233"/>
        <v xml:space="preserve"> LANIŠTE D.O.O., ALEXANDERA VON HUMBOLDTA 4B, 10000 ZAGREB, OIB: 3755384865</v>
      </c>
      <c r="H4872" s="7"/>
      <c r="I4872" s="8" t="s">
        <v>409</v>
      </c>
      <c r="J4872" s="8" t="s">
        <v>1574</v>
      </c>
      <c r="K4872" s="6" t="str">
        <f>"4.032,00"</f>
        <v>4.032,00</v>
      </c>
      <c r="L4872" s="6" t="str">
        <f>"1.008,00"</f>
        <v>1.008,00</v>
      </c>
      <c r="M4872" s="6" t="str">
        <f>"5.040,00"</f>
        <v>5.040,00</v>
      </c>
      <c r="N4872" s="8" t="s">
        <v>124</v>
      </c>
      <c r="O4872" s="7"/>
      <c r="P4872" s="2" t="s">
        <v>5614</v>
      </c>
      <c r="Q4872" s="7"/>
      <c r="R4872" s="1"/>
      <c r="S4872" s="1" t="str">
        <f>"J-UN-2022-1886"</f>
        <v>J-UN-2022-1886</v>
      </c>
      <c r="T4872" s="1" t="s">
        <v>32</v>
      </c>
    </row>
    <row r="4873" spans="1:20" ht="63.75" x14ac:dyDescent="0.25">
      <c r="A4873" s="6">
        <v>4852</v>
      </c>
      <c r="B4873" s="1" t="str">
        <f>"2022-1289"</f>
        <v>2022-1289</v>
      </c>
      <c r="C4873" s="1" t="s">
        <v>2993</v>
      </c>
      <c r="D4873" s="1" t="s">
        <v>2994</v>
      </c>
      <c r="E4873" s="1" t="str">
        <f>""</f>
        <v/>
      </c>
      <c r="F4873" s="1" t="s">
        <v>1860</v>
      </c>
      <c r="G4873" s="1" t="str">
        <f t="shared" si="233"/>
        <v xml:space="preserve"> LANIŠTE D.O.O., ALEXANDERA VON HUMBOLDTA 4B, 10000 ZAGREB, OIB: 3755384865</v>
      </c>
      <c r="H4873" s="7"/>
      <c r="I4873" s="8" t="s">
        <v>409</v>
      </c>
      <c r="J4873" s="8" t="s">
        <v>1574</v>
      </c>
      <c r="K4873" s="6" t="str">
        <f>"3.632,00"</f>
        <v>3.632,00</v>
      </c>
      <c r="L4873" s="6" t="str">
        <f>"908,00"</f>
        <v>908,00</v>
      </c>
      <c r="M4873" s="6" t="str">
        <f>"4.540,00"</f>
        <v>4.540,00</v>
      </c>
      <c r="N4873" s="8" t="s">
        <v>124</v>
      </c>
      <c r="O4873" s="7"/>
      <c r="P4873" s="2" t="s">
        <v>5614</v>
      </c>
      <c r="Q4873" s="7"/>
      <c r="R4873" s="1"/>
      <c r="S4873" s="1" t="str">
        <f>"J-UN-2022-1887"</f>
        <v>J-UN-2022-1887</v>
      </c>
      <c r="T4873" s="1" t="s">
        <v>32</v>
      </c>
    </row>
    <row r="4874" spans="1:20" ht="63.75" x14ac:dyDescent="0.25">
      <c r="A4874" s="6">
        <v>4853</v>
      </c>
      <c r="B4874" s="1" t="str">
        <f>"2022-1291"</f>
        <v>2022-1291</v>
      </c>
      <c r="C4874" s="1" t="s">
        <v>2989</v>
      </c>
      <c r="D4874" s="1" t="s">
        <v>2990</v>
      </c>
      <c r="E4874" s="1" t="str">
        <f>""</f>
        <v/>
      </c>
      <c r="F4874" s="1" t="s">
        <v>1860</v>
      </c>
      <c r="G4874" s="1" t="str">
        <f t="shared" si="233"/>
        <v xml:space="preserve"> LANIŠTE D.O.O., ALEXANDERA VON HUMBOLDTA 4B, 10000 ZAGREB, OIB: 3755384865</v>
      </c>
      <c r="H4874" s="7"/>
      <c r="I4874" s="8" t="s">
        <v>409</v>
      </c>
      <c r="J4874" s="8" t="s">
        <v>1574</v>
      </c>
      <c r="K4874" s="6" t="str">
        <f>"3.636,00"</f>
        <v>3.636,00</v>
      </c>
      <c r="L4874" s="6" t="str">
        <f>"909,00"</f>
        <v>909,00</v>
      </c>
      <c r="M4874" s="6" t="str">
        <f>"4.545,00"</f>
        <v>4.545,00</v>
      </c>
      <c r="N4874" s="8" t="s">
        <v>124</v>
      </c>
      <c r="O4874" s="7"/>
      <c r="P4874" s="2" t="s">
        <v>5614</v>
      </c>
      <c r="Q4874" s="7"/>
      <c r="R4874" s="1"/>
      <c r="S4874" s="1" t="str">
        <f>"J-UN-2022-1888"</f>
        <v>J-UN-2022-1888</v>
      </c>
      <c r="T4874" s="1" t="s">
        <v>32</v>
      </c>
    </row>
    <row r="4875" spans="1:20" ht="51" x14ac:dyDescent="0.25">
      <c r="A4875" s="6">
        <v>4854</v>
      </c>
      <c r="B4875" s="1" t="str">
        <f>"2022-963"</f>
        <v>2022-963</v>
      </c>
      <c r="C4875" s="1" t="s">
        <v>2922</v>
      </c>
      <c r="D4875" s="1" t="s">
        <v>1373</v>
      </c>
      <c r="E4875" s="1" t="str">
        <f>""</f>
        <v/>
      </c>
      <c r="F4875" s="1" t="s">
        <v>1860</v>
      </c>
      <c r="G4875" s="1" t="str">
        <f>CONCATENATE(" EUROMONT INTRO D.O.O.,"," KANALSKI PUT 20,"," 10000 ZAGREB,"," OIB: 46289034988")</f>
        <v xml:space="preserve"> EUROMONT INTRO D.O.O., KANALSKI PUT 20, 10000 ZAGREB, OIB: 46289034988</v>
      </c>
      <c r="H4875" s="7"/>
      <c r="I4875" s="8" t="s">
        <v>409</v>
      </c>
      <c r="J4875" s="8" t="s">
        <v>1574</v>
      </c>
      <c r="K4875" s="6" t="str">
        <f>"8.133,05"</f>
        <v>8.133,05</v>
      </c>
      <c r="L4875" s="6" t="str">
        <f>"2.033,26"</f>
        <v>2.033,26</v>
      </c>
      <c r="M4875" s="6" t="str">
        <f>"10.166,31"</f>
        <v>10.166,31</v>
      </c>
      <c r="N4875" s="8" t="s">
        <v>124</v>
      </c>
      <c r="O4875" s="7"/>
      <c r="P4875" s="2" t="s">
        <v>5614</v>
      </c>
      <c r="Q4875" s="7"/>
      <c r="R4875" s="1"/>
      <c r="S4875" s="1" t="str">
        <f>"J-UN-2022-1889"</f>
        <v>J-UN-2022-1889</v>
      </c>
      <c r="T4875" s="1" t="s">
        <v>32</v>
      </c>
    </row>
    <row r="4876" spans="1:20" ht="63.75" x14ac:dyDescent="0.25">
      <c r="A4876" s="6">
        <v>4855</v>
      </c>
      <c r="B4876" s="1" t="str">
        <f>"2022-369"</f>
        <v>2022-369</v>
      </c>
      <c r="C4876" s="1" t="s">
        <v>2930</v>
      </c>
      <c r="D4876" s="1" t="s">
        <v>1334</v>
      </c>
      <c r="E4876" s="1" t="str">
        <f>""</f>
        <v/>
      </c>
      <c r="F4876" s="1" t="s">
        <v>1860</v>
      </c>
      <c r="G4876" s="1" t="str">
        <f>CONCATENATE(" SUMAMETRIK D.O.O.,"," ULICA ANTUNA KANIŽLIĆA 10,"," 34000 POŽEGA,"," OIB: 23559088148")</f>
        <v xml:space="preserve"> SUMAMETRIK D.O.O., ULICA ANTUNA KANIŽLIĆA 10, 34000 POŽEGA, OIB: 23559088148</v>
      </c>
      <c r="H4876" s="7"/>
      <c r="I4876" s="8" t="s">
        <v>1191</v>
      </c>
      <c r="J4876" s="8" t="s">
        <v>3261</v>
      </c>
      <c r="K4876" s="6" t="str">
        <f>"1.960,00"</f>
        <v>1.960,00</v>
      </c>
      <c r="L4876" s="6" t="str">
        <f>"490,00"</f>
        <v>490,00</v>
      </c>
      <c r="M4876" s="6" t="str">
        <f>"2.450,00"</f>
        <v>2.450,00</v>
      </c>
      <c r="N4876" s="8" t="s">
        <v>1147</v>
      </c>
      <c r="O4876" s="7"/>
      <c r="P4876" s="2" t="s">
        <v>8396</v>
      </c>
      <c r="Q4876" s="7"/>
      <c r="R4876" s="1"/>
      <c r="S4876" s="1" t="str">
        <f>"J-UN-2022-1890"</f>
        <v>J-UN-2022-1890</v>
      </c>
      <c r="T4876" s="1" t="s">
        <v>32</v>
      </c>
    </row>
    <row r="4877" spans="1:20" ht="63.75" x14ac:dyDescent="0.25">
      <c r="A4877" s="6">
        <v>4856</v>
      </c>
      <c r="B4877" s="1" t="str">
        <f>"2022-1305"</f>
        <v>2022-1305</v>
      </c>
      <c r="C4877" s="1" t="s">
        <v>3032</v>
      </c>
      <c r="D4877" s="1" t="s">
        <v>244</v>
      </c>
      <c r="E4877" s="1" t="str">
        <f>""</f>
        <v/>
      </c>
      <c r="F4877" s="1" t="s">
        <v>1860</v>
      </c>
      <c r="G4877" s="1" t="str">
        <f>CONCATENATE(" FOREMAN GROUP D.O.O.,"," ULICA GRADA VUKOVARA 20,"," 10000 ZAGREB,"," OIB: 04807307105")</f>
        <v xml:space="preserve"> FOREMAN GROUP D.O.O., ULICA GRADA VUKOVARA 20, 10000 ZAGREB, OIB: 04807307105</v>
      </c>
      <c r="H4877" s="7"/>
      <c r="I4877" s="8" t="s">
        <v>1612</v>
      </c>
      <c r="J4877" s="8" t="s">
        <v>391</v>
      </c>
      <c r="K4877" s="6" t="str">
        <f>"105.864,25"</f>
        <v>105.864,25</v>
      </c>
      <c r="L4877" s="6" t="str">
        <f>"26.466,06"</f>
        <v>26.466,06</v>
      </c>
      <c r="M4877" s="6" t="str">
        <f>"132.330,31"</f>
        <v>132.330,31</v>
      </c>
      <c r="N4877" s="8" t="s">
        <v>124</v>
      </c>
      <c r="O4877" s="7"/>
      <c r="P4877" s="2" t="s">
        <v>5614</v>
      </c>
      <c r="Q4877" s="7"/>
      <c r="R4877" s="1"/>
      <c r="S4877" s="1" t="str">
        <f>"J-UN-2022-1891"</f>
        <v>J-UN-2022-1891</v>
      </c>
      <c r="T4877" s="1" t="s">
        <v>43</v>
      </c>
    </row>
    <row r="4878" spans="1:20" ht="51" x14ac:dyDescent="0.25">
      <c r="A4878" s="6">
        <v>4857</v>
      </c>
      <c r="B4878" s="1" t="str">
        <f>"2022-746"</f>
        <v>2022-746</v>
      </c>
      <c r="C4878" s="1" t="s">
        <v>2931</v>
      </c>
      <c r="D4878" s="1" t="s">
        <v>2932</v>
      </c>
      <c r="E4878" s="1" t="str">
        <f>""</f>
        <v/>
      </c>
      <c r="F4878" s="1" t="s">
        <v>1860</v>
      </c>
      <c r="G4878" s="1" t="str">
        <f>CONCATENATE(" TEHMAR D.O.O.,"," STAJNIČKA 5,"," 10251 HRVATSKI LESKOVAC,"," OIB: 78055843019")</f>
        <v xml:space="preserve"> TEHMAR D.O.O., STAJNIČKA 5, 10251 HRVATSKI LESKOVAC, OIB: 78055843019</v>
      </c>
      <c r="H4878" s="7"/>
      <c r="I4878" s="8" t="s">
        <v>227</v>
      </c>
      <c r="J4878" s="8" t="s">
        <v>3258</v>
      </c>
      <c r="K4878" s="6" t="str">
        <f>"114.800,00"</f>
        <v>114.800,00</v>
      </c>
      <c r="L4878" s="6" t="str">
        <f>"28.700,00"</f>
        <v>28.700,00</v>
      </c>
      <c r="M4878" s="6" t="str">
        <f>"143.500,00"</f>
        <v>143.500,00</v>
      </c>
      <c r="N4878" s="8" t="s">
        <v>124</v>
      </c>
      <c r="O4878" s="7"/>
      <c r="P4878" s="2" t="s">
        <v>5614</v>
      </c>
      <c r="Q4878" s="7"/>
      <c r="R4878" s="1"/>
      <c r="S4878" s="1" t="str">
        <f>"J-UN-2022-1892"</f>
        <v>J-UN-2022-1892</v>
      </c>
      <c r="T4878" s="1" t="s">
        <v>32</v>
      </c>
    </row>
    <row r="4879" spans="1:20" ht="51" x14ac:dyDescent="0.25">
      <c r="A4879" s="6">
        <v>4858</v>
      </c>
      <c r="B4879" s="1" t="str">
        <f>"2022-963"</f>
        <v>2022-963</v>
      </c>
      <c r="C4879" s="1" t="s">
        <v>2922</v>
      </c>
      <c r="D4879" s="1" t="s">
        <v>1373</v>
      </c>
      <c r="E4879" s="1" t="str">
        <f>""</f>
        <v/>
      </c>
      <c r="F4879" s="1" t="s">
        <v>1860</v>
      </c>
      <c r="G4879" s="1" t="str">
        <f>CONCATENATE(" PIN TEHNIKA D.O.O.,"," PULSKA 15,"," 51000 RIJEKA,"," OIB: 1590243604")</f>
        <v xml:space="preserve"> PIN TEHNIKA D.O.O., PULSKA 15, 51000 RIJEKA, OIB: 1590243604</v>
      </c>
      <c r="H4879" s="7"/>
      <c r="I4879" s="8" t="s">
        <v>525</v>
      </c>
      <c r="J4879" s="8" t="s">
        <v>3260</v>
      </c>
      <c r="K4879" s="6" t="str">
        <f>"10.920,92"</f>
        <v>10.920,92</v>
      </c>
      <c r="L4879" s="6" t="str">
        <f>"2.730,23"</f>
        <v>2.730,23</v>
      </c>
      <c r="M4879" s="6" t="str">
        <f>"13.651,15"</f>
        <v>13.651,15</v>
      </c>
      <c r="N4879" s="8" t="s">
        <v>124</v>
      </c>
      <c r="O4879" s="7"/>
      <c r="P4879" s="2" t="s">
        <v>5614</v>
      </c>
      <c r="Q4879" s="7"/>
      <c r="R4879" s="1"/>
      <c r="S4879" s="1" t="str">
        <f>"J-UN-2022-1893"</f>
        <v>J-UN-2022-1893</v>
      </c>
      <c r="T4879" s="1" t="s">
        <v>32</v>
      </c>
    </row>
    <row r="4880" spans="1:20" ht="63.75" x14ac:dyDescent="0.25">
      <c r="A4880" s="6">
        <v>4859</v>
      </c>
      <c r="B4880" s="1" t="str">
        <f>"2022-600"</f>
        <v>2022-600</v>
      </c>
      <c r="C4880" s="1" t="s">
        <v>2817</v>
      </c>
      <c r="D4880" s="1" t="s">
        <v>2818</v>
      </c>
      <c r="E4880" s="1" t="str">
        <f>""</f>
        <v/>
      </c>
      <c r="F4880" s="1" t="s">
        <v>1860</v>
      </c>
      <c r="G4880" s="1" t="str">
        <f>CONCATENATE(" AUTO-MAG D.O.O.,"," GORNJOSTUPNIČKA 1/d,"," 10255 GORNJI STUPNIK,"," OIB: 99940897955")</f>
        <v xml:space="preserve"> AUTO-MAG D.O.O., GORNJOSTUPNIČKA 1/d, 10255 GORNJI STUPNIK, OIB: 99940897955</v>
      </c>
      <c r="H4880" s="7"/>
      <c r="I4880" s="8" t="s">
        <v>1009</v>
      </c>
      <c r="J4880" s="8" t="s">
        <v>3263</v>
      </c>
      <c r="K4880" s="6" t="str">
        <f>"28.622,00"</f>
        <v>28.622,00</v>
      </c>
      <c r="L4880" s="6" t="str">
        <f>"7.155,50"</f>
        <v>7.155,50</v>
      </c>
      <c r="M4880" s="6" t="str">
        <f>"35.777,50"</f>
        <v>35.777,50</v>
      </c>
      <c r="N4880" s="8" t="s">
        <v>124</v>
      </c>
      <c r="O4880" s="7"/>
      <c r="P4880" s="2" t="s">
        <v>8397</v>
      </c>
      <c r="Q4880" s="7"/>
      <c r="R4880" s="1"/>
      <c r="S4880" s="1" t="str">
        <f>"J-UN-2022-1895"</f>
        <v>J-UN-2022-1895</v>
      </c>
      <c r="T4880" s="1" t="s">
        <v>32</v>
      </c>
    </row>
    <row r="4881" spans="1:20" ht="63.75" x14ac:dyDescent="0.25">
      <c r="A4881" s="6">
        <v>4860</v>
      </c>
      <c r="B4881" s="1" t="str">
        <f>"2022-249"</f>
        <v>2022-249</v>
      </c>
      <c r="C4881" s="1" t="s">
        <v>2826</v>
      </c>
      <c r="D4881" s="1" t="s">
        <v>2827</v>
      </c>
      <c r="E4881" s="1" t="str">
        <f>""</f>
        <v/>
      </c>
      <c r="F4881" s="1" t="s">
        <v>1860</v>
      </c>
      <c r="G4881" s="1" t="str">
        <f>CONCATENATE(" SISTEMI ZA PRANJE SZABO D.O.O.,"," KARLOVAČKA CESTA 4/H,"," 10000 ZAGREB,"," OIB: 18907358249")</f>
        <v xml:space="preserve"> SISTEMI ZA PRANJE SZABO D.O.O., KARLOVAČKA CESTA 4/H, 10000 ZAGREB, OIB: 18907358249</v>
      </c>
      <c r="H4881" s="7"/>
      <c r="I4881" s="8" t="s">
        <v>1191</v>
      </c>
      <c r="J4881" s="8" t="s">
        <v>3261</v>
      </c>
      <c r="K4881" s="6" t="str">
        <f>"22.250,00"</f>
        <v>22.250,00</v>
      </c>
      <c r="L4881" s="6" t="str">
        <f>"5.562,50"</f>
        <v>5.562,50</v>
      </c>
      <c r="M4881" s="6" t="str">
        <f>"27.812,50"</f>
        <v>27.812,50</v>
      </c>
      <c r="N4881" s="8" t="s">
        <v>124</v>
      </c>
      <c r="O4881" s="7"/>
      <c r="P4881" s="2" t="s">
        <v>5614</v>
      </c>
      <c r="Q4881" s="7"/>
      <c r="R4881" s="1"/>
      <c r="S4881" s="1" t="str">
        <f>"J-UN-2022-1896"</f>
        <v>J-UN-2022-1896</v>
      </c>
      <c r="T4881" s="1" t="s">
        <v>32</v>
      </c>
    </row>
    <row r="4882" spans="1:20" ht="51" x14ac:dyDescent="0.25">
      <c r="A4882" s="6">
        <v>4861</v>
      </c>
      <c r="B4882" s="1" t="str">
        <f>"2022-377"</f>
        <v>2022-377</v>
      </c>
      <c r="C4882" s="1" t="s">
        <v>2608</v>
      </c>
      <c r="D4882" s="1" t="s">
        <v>1203</v>
      </c>
      <c r="E4882" s="1" t="str">
        <f>""</f>
        <v/>
      </c>
      <c r="F4882" s="1" t="s">
        <v>1860</v>
      </c>
      <c r="G4882" s="1" t="str">
        <f>CONCATENATE(" COMET D.O.O.,"," VARAŽDINSKA 40/C,"," 42220 NOVI MAROF,"," OIB: 48249084626")</f>
        <v xml:space="preserve"> COMET D.O.O., VARAŽDINSKA 40/C, 42220 NOVI MAROF, OIB: 48249084626</v>
      </c>
      <c r="H4882" s="7"/>
      <c r="I4882" s="8" t="s">
        <v>1191</v>
      </c>
      <c r="J4882" s="8" t="s">
        <v>3261</v>
      </c>
      <c r="K4882" s="6" t="str">
        <f>"2.961,30"</f>
        <v>2.961,30</v>
      </c>
      <c r="L4882" s="6" t="str">
        <f>"740,33"</f>
        <v>740,33</v>
      </c>
      <c r="M4882" s="6" t="str">
        <f>"3.701,63"</f>
        <v>3.701,63</v>
      </c>
      <c r="N4882" s="8" t="s">
        <v>1147</v>
      </c>
      <c r="O4882" s="7"/>
      <c r="P4882" s="2" t="s">
        <v>8398</v>
      </c>
      <c r="Q4882" s="7"/>
      <c r="R4882" s="1"/>
      <c r="S4882" s="1" t="str">
        <f>"J-UN-2022-1897"</f>
        <v>J-UN-2022-1897</v>
      </c>
      <c r="T4882" s="1" t="s">
        <v>32</v>
      </c>
    </row>
    <row r="4883" spans="1:20" ht="76.5" x14ac:dyDescent="0.25">
      <c r="A4883" s="6">
        <v>4862</v>
      </c>
      <c r="B4883" s="1" t="str">
        <f>"2022-306"</f>
        <v>2022-306</v>
      </c>
      <c r="C4883" s="1" t="s">
        <v>2692</v>
      </c>
      <c r="D4883" s="1" t="s">
        <v>2693</v>
      </c>
      <c r="E4883" s="1" t="str">
        <f>""</f>
        <v/>
      </c>
      <c r="F4883" s="1" t="s">
        <v>1860</v>
      </c>
      <c r="G4883" s="1" t="str">
        <f>CONCATENATE(" SMIT-COMMERCE D.O.O.,"," GORNJOSTUPNIČKA 9B,"," 10255 GORNJI STUPNIK,"," OIB: 9524348214")</f>
        <v xml:space="preserve"> SMIT-COMMERCE D.O.O., GORNJOSTUPNIČKA 9B, 10255 GORNJI STUPNIK, OIB: 9524348214</v>
      </c>
      <c r="H4883" s="7"/>
      <c r="I4883" s="8" t="s">
        <v>509</v>
      </c>
      <c r="J4883" s="8" t="s">
        <v>3259</v>
      </c>
      <c r="K4883" s="6" t="str">
        <f>"7.086,20"</f>
        <v>7.086,20</v>
      </c>
      <c r="L4883" s="6" t="str">
        <f>"1.771,55"</f>
        <v>1.771,55</v>
      </c>
      <c r="M4883" s="6" t="str">
        <f>"8.857,75"</f>
        <v>8.857,75</v>
      </c>
      <c r="N4883" s="8" t="s">
        <v>124</v>
      </c>
      <c r="O4883" s="7"/>
      <c r="P4883" s="2" t="s">
        <v>5614</v>
      </c>
      <c r="Q4883" s="7"/>
      <c r="R4883" s="1"/>
      <c r="S4883" s="1" t="str">
        <f>"J-UN-2022-1899"</f>
        <v>J-UN-2022-1899</v>
      </c>
      <c r="T4883" s="1" t="s">
        <v>32</v>
      </c>
    </row>
    <row r="4884" spans="1:20" ht="76.5" x14ac:dyDescent="0.25">
      <c r="A4884" s="6">
        <v>4863</v>
      </c>
      <c r="B4884" s="1" t="str">
        <f>"2022-1217"</f>
        <v>2022-1217</v>
      </c>
      <c r="C4884" s="1" t="s">
        <v>2284</v>
      </c>
      <c r="D4884" s="1" t="s">
        <v>381</v>
      </c>
      <c r="E4884" s="1" t="str">
        <f>""</f>
        <v/>
      </c>
      <c r="F4884" s="1" t="s">
        <v>1860</v>
      </c>
      <c r="G4884" s="1" t="str">
        <f>CONCATENATE(" E.G.S.-ELEKTROGRADITELJSTVO D.O.O.,"," ALBERTA FORTISA 10,"," 10090 ZAGREB,"," OIB: 83439900916")</f>
        <v xml:space="preserve"> E.G.S.-ELEKTROGRADITELJSTVO D.O.O., ALBERTA FORTISA 10, 10090 ZAGREB, OIB: 83439900916</v>
      </c>
      <c r="H4884" s="7"/>
      <c r="I4884" s="8" t="s">
        <v>525</v>
      </c>
      <c r="J4884" s="8" t="s">
        <v>3260</v>
      </c>
      <c r="K4884" s="6" t="str">
        <f>"11.550,00"</f>
        <v>11.550,00</v>
      </c>
      <c r="L4884" s="6" t="str">
        <f>"2.887,50"</f>
        <v>2.887,50</v>
      </c>
      <c r="M4884" s="6" t="str">
        <f>"14.437,50"</f>
        <v>14.437,50</v>
      </c>
      <c r="N4884" s="8" t="s">
        <v>124</v>
      </c>
      <c r="O4884" s="7"/>
      <c r="P4884" s="2" t="s">
        <v>5614</v>
      </c>
      <c r="Q4884" s="7"/>
      <c r="R4884" s="1"/>
      <c r="S4884" s="1" t="str">
        <f>"J-UN-2022-1900"</f>
        <v>J-UN-2022-1900</v>
      </c>
      <c r="T4884" s="1" t="s">
        <v>32</v>
      </c>
    </row>
    <row r="4885" spans="1:20" ht="51" x14ac:dyDescent="0.25">
      <c r="A4885" s="6">
        <v>4864</v>
      </c>
      <c r="B4885" s="1" t="str">
        <f>"2022-535"</f>
        <v>2022-535</v>
      </c>
      <c r="C4885" s="1" t="s">
        <v>2561</v>
      </c>
      <c r="D4885" s="1" t="s">
        <v>2156</v>
      </c>
      <c r="E4885" s="1" t="str">
        <f>""</f>
        <v/>
      </c>
      <c r="F4885" s="1" t="s">
        <v>1860</v>
      </c>
      <c r="G4885" s="1" t="str">
        <f>CONCATENATE(" FOKUS D.O.O. ZAGREB,"," KOLEDOVČINA 4,"," 10000 ZAGREB,"," OIB: 59082812808")</f>
        <v xml:space="preserve"> FOKUS D.O.O. ZAGREB, KOLEDOVČINA 4, 10000 ZAGREB, OIB: 59082812808</v>
      </c>
      <c r="H4885" s="7"/>
      <c r="I4885" s="8" t="s">
        <v>409</v>
      </c>
      <c r="J4885" s="8" t="s">
        <v>1574</v>
      </c>
      <c r="K4885" s="6" t="str">
        <f>"3.870,00"</f>
        <v>3.870,00</v>
      </c>
      <c r="L4885" s="6" t="str">
        <f>"967,50"</f>
        <v>967,50</v>
      </c>
      <c r="M4885" s="6" t="str">
        <f>"4.837,50"</f>
        <v>4.837,50</v>
      </c>
      <c r="N4885" s="8" t="s">
        <v>124</v>
      </c>
      <c r="O4885" s="7"/>
      <c r="P4885" s="2" t="s">
        <v>5614</v>
      </c>
      <c r="Q4885" s="7"/>
      <c r="R4885" s="1"/>
      <c r="S4885" s="1" t="str">
        <f>"J-UN-2022-1901"</f>
        <v>J-UN-2022-1901</v>
      </c>
      <c r="T4885" s="1" t="s">
        <v>32</v>
      </c>
    </row>
    <row r="4886" spans="1:20" ht="63.75" x14ac:dyDescent="0.25">
      <c r="A4886" s="6">
        <v>4865</v>
      </c>
      <c r="B4886" s="1" t="str">
        <f>"2022-1999"</f>
        <v>2022-1999</v>
      </c>
      <c r="C4886" s="1" t="s">
        <v>3264</v>
      </c>
      <c r="D4886" s="1" t="s">
        <v>34</v>
      </c>
      <c r="E4886" s="1" t="str">
        <f>""</f>
        <v/>
      </c>
      <c r="F4886" s="1" t="s">
        <v>1860</v>
      </c>
      <c r="G4886" s="1" t="str">
        <f>CONCATENATE(" URIHO - ZAGREB,"," AVENIJA MARINA DRŽIĆA 1,"," 10000 ZAGREB,"," OIB: 77931216562")</f>
        <v xml:space="preserve"> URIHO - ZAGREB, AVENIJA MARINA DRŽIĆA 1, 10000 ZAGREB, OIB: 77931216562</v>
      </c>
      <c r="H4886" s="7"/>
      <c r="I4886" s="8" t="s">
        <v>1191</v>
      </c>
      <c r="J4886" s="8" t="s">
        <v>3261</v>
      </c>
      <c r="K4886" s="6" t="str">
        <f>"45.858,15"</f>
        <v>45.858,15</v>
      </c>
      <c r="L4886" s="6" t="str">
        <f>"11.464,54"</f>
        <v>11.464,54</v>
      </c>
      <c r="M4886" s="6" t="str">
        <f>"57.322,69"</f>
        <v>57.322,69</v>
      </c>
      <c r="N4886" s="8" t="s">
        <v>124</v>
      </c>
      <c r="O4886" s="7"/>
      <c r="P4886" s="2" t="s">
        <v>5614</v>
      </c>
      <c r="Q4886" s="7"/>
      <c r="R4886" s="1"/>
      <c r="S4886" s="1" t="str">
        <f>"J-UN-2022-1907"</f>
        <v>J-UN-2022-1907</v>
      </c>
      <c r="T4886" s="1" t="s">
        <v>32</v>
      </c>
    </row>
    <row r="4887" spans="1:20" ht="76.5" x14ac:dyDescent="0.25">
      <c r="A4887" s="6">
        <v>4866</v>
      </c>
      <c r="B4887" s="1" t="str">
        <f>"2022-1974"</f>
        <v>2022-1974</v>
      </c>
      <c r="C4887" s="1" t="s">
        <v>662</v>
      </c>
      <c r="D4887" s="1" t="s">
        <v>659</v>
      </c>
      <c r="E4887" s="1" t="str">
        <f>""</f>
        <v/>
      </c>
      <c r="F4887" s="1" t="s">
        <v>1860</v>
      </c>
      <c r="G4887" s="1" t="str">
        <f>CONCATENATE(" SMIT-COMMERCE D.O.O.,"," GORNJOSTUPNIČKA 9B,"," 10255 GORNJI STUPNIK,"," OIB: 9524348214")</f>
        <v xml:space="preserve"> SMIT-COMMERCE D.O.O., GORNJOSTUPNIČKA 9B, 10255 GORNJI STUPNIK, OIB: 9524348214</v>
      </c>
      <c r="H4887" s="7"/>
      <c r="I4887" s="8" t="s">
        <v>501</v>
      </c>
      <c r="J4887" s="8" t="s">
        <v>3265</v>
      </c>
      <c r="K4887" s="6" t="str">
        <f>"37.801,03"</f>
        <v>37.801,03</v>
      </c>
      <c r="L4887" s="6" t="str">
        <f>"9.450,26"</f>
        <v>9.450,26</v>
      </c>
      <c r="M4887" s="6" t="str">
        <f>"47.251,29"</f>
        <v>47.251,29</v>
      </c>
      <c r="N4887" s="8" t="s">
        <v>124</v>
      </c>
      <c r="O4887" s="7"/>
      <c r="P4887" s="2" t="s">
        <v>5614</v>
      </c>
      <c r="Q4887" s="7"/>
      <c r="R4887" s="1"/>
      <c r="S4887" s="1" t="str">
        <f>"J-UN-2022-1918"</f>
        <v>J-UN-2022-1918</v>
      </c>
      <c r="T4887" s="1" t="s">
        <v>32</v>
      </c>
    </row>
    <row r="4888" spans="1:20" ht="63.75" x14ac:dyDescent="0.25">
      <c r="A4888" s="6">
        <v>4867</v>
      </c>
      <c r="B4888" s="1" t="str">
        <f>"2022-1435"</f>
        <v>2022-1435</v>
      </c>
      <c r="C4888" s="1" t="s">
        <v>2756</v>
      </c>
      <c r="D4888" s="1" t="s">
        <v>860</v>
      </c>
      <c r="E4888" s="1" t="str">
        <f>""</f>
        <v/>
      </c>
      <c r="F4888" s="1" t="s">
        <v>1860</v>
      </c>
      <c r="G4888" s="1" t="str">
        <f>CONCATENATE(" HIDRAULIKA KURELJA D.O.O.,"," MATENAČKA CESTA 41,"," 49290 DONJA STUBICA,"," OIB: 3092900595")</f>
        <v xml:space="preserve"> HIDRAULIKA KURELJA D.O.O., MATENAČKA CESTA 41, 49290 DONJA STUBICA, OIB: 3092900595</v>
      </c>
      <c r="H4888" s="7"/>
      <c r="I4888" s="8" t="s">
        <v>501</v>
      </c>
      <c r="J4888" s="8" t="s">
        <v>3265</v>
      </c>
      <c r="K4888" s="6" t="str">
        <f>"91.140,00"</f>
        <v>91.140,00</v>
      </c>
      <c r="L4888" s="6" t="str">
        <f>"22.785,00"</f>
        <v>22.785,00</v>
      </c>
      <c r="M4888" s="6" t="str">
        <f>"113.925,00"</f>
        <v>113.925,00</v>
      </c>
      <c r="N4888" s="8" t="s">
        <v>124</v>
      </c>
      <c r="O4888" s="7"/>
      <c r="P4888" s="2" t="s">
        <v>5614</v>
      </c>
      <c r="Q4888" s="7"/>
      <c r="R4888" s="1"/>
      <c r="S4888" s="1" t="str">
        <f>"J-UN-2022-1919"</f>
        <v>J-UN-2022-1919</v>
      </c>
      <c r="T4888" s="1" t="s">
        <v>32</v>
      </c>
    </row>
    <row r="4889" spans="1:20" ht="63.75" x14ac:dyDescent="0.25">
      <c r="A4889" s="6">
        <v>4868</v>
      </c>
      <c r="B4889" s="1" t="str">
        <f>"2022-2041"</f>
        <v>2022-2041</v>
      </c>
      <c r="C4889" s="1" t="s">
        <v>3266</v>
      </c>
      <c r="D4889" s="1" t="s">
        <v>3267</v>
      </c>
      <c r="E4889" s="1" t="str">
        <f>""</f>
        <v/>
      </c>
      <c r="F4889" s="1" t="s">
        <v>1860</v>
      </c>
      <c r="G4889" s="1" t="str">
        <f>CONCATENATE(" BODROŽIĆ,"," RALIŠ I PRIJATELJI J.D.O.O.,"," ULICA GRADA CHICAGA 26,"," 10000 ZAGREB,"," OIB: 33143360337")</f>
        <v xml:space="preserve"> BODROŽIĆ, RALIŠ I PRIJATELJI J.D.O.O., ULICA GRADA CHICAGA 26, 10000 ZAGREB, OIB: 33143360337</v>
      </c>
      <c r="H4889" s="7"/>
      <c r="I4889" s="8" t="s">
        <v>1099</v>
      </c>
      <c r="J4889" s="8" t="s">
        <v>2351</v>
      </c>
      <c r="K4889" s="6" t="str">
        <f>"150.000,00"</f>
        <v>150.000,00</v>
      </c>
      <c r="L4889" s="6" t="str">
        <f>"37.500,00"</f>
        <v>37.500,00</v>
      </c>
      <c r="M4889" s="6" t="str">
        <f>"187.500,00"</f>
        <v>187.500,00</v>
      </c>
      <c r="N4889" s="8" t="s">
        <v>124</v>
      </c>
      <c r="O4889" s="7"/>
      <c r="P4889" s="2" t="s">
        <v>6622</v>
      </c>
      <c r="Q4889" s="7"/>
      <c r="R4889" s="1"/>
      <c r="S4889" s="1" t="str">
        <f>"J-UN-2022-1920"</f>
        <v>J-UN-2022-1920</v>
      </c>
      <c r="T4889" s="1" t="s">
        <v>32</v>
      </c>
    </row>
    <row r="4890" spans="1:20" ht="63.75" x14ac:dyDescent="0.25">
      <c r="A4890" s="6">
        <v>4869</v>
      </c>
      <c r="B4890" s="1" t="str">
        <f>"2022-186"</f>
        <v>2022-186</v>
      </c>
      <c r="C4890" s="1" t="s">
        <v>2534</v>
      </c>
      <c r="D4890" s="1" t="s">
        <v>2535</v>
      </c>
      <c r="E4890" s="1" t="str">
        <f>""</f>
        <v/>
      </c>
      <c r="F4890" s="1" t="s">
        <v>1860</v>
      </c>
      <c r="G4890" s="1" t="str">
        <f>CONCATENATE(" JULIUS MEINL BONFANTI D.O.O.,"," LJUBLJANSKA ULICA 4,"," 10431 SVETA NEDELJA,"," OIB: 39546130894")</f>
        <v xml:space="preserve"> JULIUS MEINL BONFANTI D.O.O., LJUBLJANSKA ULICA 4, 10431 SVETA NEDELJA, OIB: 39546130894</v>
      </c>
      <c r="H4890" s="7"/>
      <c r="I4890" s="8" t="s">
        <v>566</v>
      </c>
      <c r="J4890" s="8" t="s">
        <v>3253</v>
      </c>
      <c r="K4890" s="6" t="str">
        <f>"1.150,00"</f>
        <v>1.150,00</v>
      </c>
      <c r="L4890" s="6" t="str">
        <f>"287,50"</f>
        <v>287,50</v>
      </c>
      <c r="M4890" s="6" t="str">
        <f>"1.437,50"</f>
        <v>1.437,50</v>
      </c>
      <c r="N4890" s="8" t="s">
        <v>124</v>
      </c>
      <c r="O4890" s="7"/>
      <c r="P4890" s="2" t="s">
        <v>5614</v>
      </c>
      <c r="Q4890" s="7"/>
      <c r="R4890" s="1"/>
      <c r="S4890" s="1" t="str">
        <f>"J-UN-2022-1922"</f>
        <v>J-UN-2022-1922</v>
      </c>
      <c r="T4890" s="1" t="s">
        <v>32</v>
      </c>
    </row>
    <row r="4891" spans="1:20" ht="63.75" x14ac:dyDescent="0.25">
      <c r="A4891" s="6">
        <v>4870</v>
      </c>
      <c r="B4891" s="1" t="str">
        <f>"2022-900"</f>
        <v>2022-900</v>
      </c>
      <c r="C4891" s="1" t="s">
        <v>2702</v>
      </c>
      <c r="D4891" s="1" t="s">
        <v>1209</v>
      </c>
      <c r="E4891" s="1" t="str">
        <f>""</f>
        <v/>
      </c>
      <c r="F4891" s="1" t="s">
        <v>1860</v>
      </c>
      <c r="G4891" s="1" t="str">
        <f>CONCATENATE(" DRÄGER SAFETY D.O.O.,"," AVENIJA VEĆESLAVA HOLJEVCA 40,"," 10010 ZAGREB,"," OIB: 32874587842")</f>
        <v xml:space="preserve"> DRÄGER SAFETY D.O.O., AVENIJA VEĆESLAVA HOLJEVCA 40, 10010 ZAGREB, OIB: 32874587842</v>
      </c>
      <c r="H4891" s="7"/>
      <c r="I4891" s="8" t="s">
        <v>509</v>
      </c>
      <c r="J4891" s="8" t="s">
        <v>3259</v>
      </c>
      <c r="K4891" s="6" t="str">
        <f>"7.324,50"</f>
        <v>7.324,50</v>
      </c>
      <c r="L4891" s="6" t="str">
        <f>"1.831,13"</f>
        <v>1.831,13</v>
      </c>
      <c r="M4891" s="6" t="str">
        <f>"9.155,63"</f>
        <v>9.155,63</v>
      </c>
      <c r="N4891" s="8" t="s">
        <v>124</v>
      </c>
      <c r="O4891" s="7"/>
      <c r="P4891" s="2" t="s">
        <v>5614</v>
      </c>
      <c r="Q4891" s="7"/>
      <c r="R4891" s="1"/>
      <c r="S4891" s="1" t="str">
        <f>"J-UN-2022-1927"</f>
        <v>J-UN-2022-1927</v>
      </c>
      <c r="T4891" s="1" t="s">
        <v>32</v>
      </c>
    </row>
    <row r="4892" spans="1:20" ht="127.5" x14ac:dyDescent="0.25">
      <c r="A4892" s="6">
        <v>4871</v>
      </c>
      <c r="B4892" s="1" t="str">
        <f>"2022-1211"</f>
        <v>2022-1211</v>
      </c>
      <c r="C4892" s="1" t="s">
        <v>3268</v>
      </c>
      <c r="D4892" s="1" t="s">
        <v>381</v>
      </c>
      <c r="E4892" s="1" t="str">
        <f>""</f>
        <v/>
      </c>
      <c r="F4892" s="1" t="s">
        <v>1860</v>
      </c>
      <c r="G4892" s="1" t="str">
        <f>CONCATENATE(" EL-EKS,"," VL. TOMISLAV IMENEL-EKS OBRT ZA POPRAVAK I ODRŽAVANJE ELEKTRIČNE OPREME,"," VL. TOMISLAV IMENJAKJAK,"," LETINČIĆEVA 5,"," 10090 ZAGREB-SUSEDGRAD,"," OIB: 34262167166")</f>
        <v xml:space="preserve"> EL-EKS, VL. TOMISLAV IMENEL-EKS OBRT ZA POPRAVAK I ODRŽAVANJE ELEKTRIČNE OPREME, VL. TOMISLAV IMENJAKJAK, LETINČIĆEVA 5, 10090 ZAGREB-SUSEDGRAD, OIB: 34262167166</v>
      </c>
      <c r="H4892" s="7"/>
      <c r="I4892" s="8" t="s">
        <v>509</v>
      </c>
      <c r="J4892" s="8" t="s">
        <v>3259</v>
      </c>
      <c r="K4892" s="6" t="str">
        <f>"6.250,00"</f>
        <v>6.250,00</v>
      </c>
      <c r="L4892" s="6" t="str">
        <f>"1.562,50"</f>
        <v>1.562,50</v>
      </c>
      <c r="M4892" s="6" t="str">
        <f>"7.812,50"</f>
        <v>7.812,50</v>
      </c>
      <c r="N4892" s="8" t="s">
        <v>124</v>
      </c>
      <c r="O4892" s="7"/>
      <c r="P4892" s="2" t="s">
        <v>5614</v>
      </c>
      <c r="Q4892" s="7"/>
      <c r="R4892" s="1"/>
      <c r="S4892" s="1" t="str">
        <f>"J-UN-2022-1928"</f>
        <v>J-UN-2022-1928</v>
      </c>
      <c r="T4892" s="1" t="s">
        <v>32</v>
      </c>
    </row>
    <row r="4893" spans="1:20" ht="51" x14ac:dyDescent="0.25">
      <c r="A4893" s="6">
        <v>4872</v>
      </c>
      <c r="B4893" s="1" t="str">
        <f>"2022-328"</f>
        <v>2022-328</v>
      </c>
      <c r="C4893" s="1" t="s">
        <v>3269</v>
      </c>
      <c r="D4893" s="1" t="s">
        <v>3270</v>
      </c>
      <c r="E4893" s="1" t="str">
        <f>""</f>
        <v/>
      </c>
      <c r="F4893" s="1" t="s">
        <v>1860</v>
      </c>
      <c r="G4893" s="1" t="str">
        <f>CONCATENATE(" VODOSKOK D.D.,"," ČULINEČKA CESTA 221/C,"," 10040 ZAGREB,"," OIB: 34134218058")</f>
        <v xml:space="preserve"> VODOSKOK D.D., ČULINEČKA CESTA 221/C, 10040 ZAGREB, OIB: 34134218058</v>
      </c>
      <c r="H4893" s="7"/>
      <c r="I4893" s="8" t="s">
        <v>1612</v>
      </c>
      <c r="J4893" s="8" t="s">
        <v>391</v>
      </c>
      <c r="K4893" s="6" t="str">
        <f>"21.200,00"</f>
        <v>21.200,00</v>
      </c>
      <c r="L4893" s="6" t="str">
        <f>"5.300,00"</f>
        <v>5.300,00</v>
      </c>
      <c r="M4893" s="6" t="str">
        <f>"26.500,00"</f>
        <v>26.500,00</v>
      </c>
      <c r="N4893" s="8" t="s">
        <v>124</v>
      </c>
      <c r="O4893" s="7"/>
      <c r="P4893" s="2" t="s">
        <v>5614</v>
      </c>
      <c r="Q4893" s="7"/>
      <c r="R4893" s="1"/>
      <c r="S4893" s="1" t="str">
        <f>"J-UN-2022-1930"</f>
        <v>J-UN-2022-1930</v>
      </c>
      <c r="T4893" s="1" t="s">
        <v>32</v>
      </c>
    </row>
    <row r="4894" spans="1:20" ht="51" x14ac:dyDescent="0.25">
      <c r="A4894" s="6">
        <v>4873</v>
      </c>
      <c r="B4894" s="1" t="str">
        <f>"2022-1986"</f>
        <v>2022-1986</v>
      </c>
      <c r="C4894" s="1" t="s">
        <v>3221</v>
      </c>
      <c r="D4894" s="1" t="s">
        <v>1304</v>
      </c>
      <c r="E4894" s="1" t="str">
        <f>""</f>
        <v/>
      </c>
      <c r="F4894" s="1" t="s">
        <v>1860</v>
      </c>
      <c r="G4894" s="1" t="str">
        <f>CONCATENATE(" BMD  STIL D.O.O.,"," BEDENICA 45/A,"," 10381 BEDENICA,"," OIB: 96086822394")</f>
        <v xml:space="preserve"> BMD  STIL D.O.O., BEDENICA 45/A, 10381 BEDENICA, OIB: 96086822394</v>
      </c>
      <c r="H4894" s="7"/>
      <c r="I4894" s="8" t="s">
        <v>1612</v>
      </c>
      <c r="J4894" s="8" t="s">
        <v>391</v>
      </c>
      <c r="K4894" s="6" t="str">
        <f>"9.176,30"</f>
        <v>9.176,30</v>
      </c>
      <c r="L4894" s="6" t="str">
        <f>"2.294,08"</f>
        <v>2.294,08</v>
      </c>
      <c r="M4894" s="6" t="str">
        <f>"11.470,38"</f>
        <v>11.470,38</v>
      </c>
      <c r="N4894" s="8" t="s">
        <v>124</v>
      </c>
      <c r="O4894" s="7"/>
      <c r="P4894" s="2" t="s">
        <v>5614</v>
      </c>
      <c r="Q4894" s="7"/>
      <c r="R4894" s="1"/>
      <c r="S4894" s="1" t="str">
        <f>"J-UN-2022-1931"</f>
        <v>J-UN-2022-1931</v>
      </c>
      <c r="T4894" s="1" t="s">
        <v>32</v>
      </c>
    </row>
    <row r="4895" spans="1:20" ht="51" x14ac:dyDescent="0.25">
      <c r="A4895" s="6">
        <v>4874</v>
      </c>
      <c r="B4895" s="1" t="str">
        <f>"2022-513"</f>
        <v>2022-513</v>
      </c>
      <c r="C4895" s="1" t="s">
        <v>2900</v>
      </c>
      <c r="D4895" s="1" t="s">
        <v>2043</v>
      </c>
      <c r="E4895" s="1" t="str">
        <f>""</f>
        <v/>
      </c>
      <c r="F4895" s="1" t="s">
        <v>1860</v>
      </c>
      <c r="G4895" s="1" t="str">
        <f>CONCATENATE(" ECCOS-INŽENJERING D.O.O.,"," BANI 110,"," 10000 ZAGREB,"," OIB: 71629027685")</f>
        <v xml:space="preserve"> ECCOS-INŽENJERING D.O.O., BANI 110, 10000 ZAGREB, OIB: 71629027685</v>
      </c>
      <c r="H4895" s="7"/>
      <c r="I4895" s="8" t="s">
        <v>509</v>
      </c>
      <c r="J4895" s="8" t="s">
        <v>3259</v>
      </c>
      <c r="K4895" s="6" t="str">
        <f>"13.985,00"</f>
        <v>13.985,00</v>
      </c>
      <c r="L4895" s="6" t="str">
        <f>"3.496,25"</f>
        <v>3.496,25</v>
      </c>
      <c r="M4895" s="6" t="str">
        <f>"17.481,25"</f>
        <v>17.481,25</v>
      </c>
      <c r="N4895" s="8" t="s">
        <v>124</v>
      </c>
      <c r="O4895" s="7"/>
      <c r="P4895" s="2" t="s">
        <v>5614</v>
      </c>
      <c r="Q4895" s="7"/>
      <c r="R4895" s="1"/>
      <c r="S4895" s="1" t="str">
        <f>"J-UN-2022-1932"</f>
        <v>J-UN-2022-1932</v>
      </c>
      <c r="T4895" s="1" t="s">
        <v>32</v>
      </c>
    </row>
    <row r="4896" spans="1:20" ht="51" x14ac:dyDescent="0.25">
      <c r="A4896" s="6">
        <v>4875</v>
      </c>
      <c r="B4896" s="1" t="str">
        <f>"2022-104"</f>
        <v>2022-104</v>
      </c>
      <c r="C4896" s="1" t="s">
        <v>2786</v>
      </c>
      <c r="D4896" s="1" t="s">
        <v>476</v>
      </c>
      <c r="E4896" s="1" t="str">
        <f>""</f>
        <v/>
      </c>
      <c r="F4896" s="1" t="s">
        <v>1860</v>
      </c>
      <c r="G4896" s="1" t="str">
        <f>CONCATENATE(" KING ICT D.O.O.,"," BUZINSKI PRILAZ 10,"," 10010 ZAGREB,"," OIB: 67001695549")</f>
        <v xml:space="preserve"> KING ICT D.O.O., BUZINSKI PRILAZ 10, 10010 ZAGREB, OIB: 67001695549</v>
      </c>
      <c r="H4896" s="7"/>
      <c r="I4896" s="8" t="s">
        <v>509</v>
      </c>
      <c r="J4896" s="8" t="s">
        <v>3259</v>
      </c>
      <c r="K4896" s="6" t="str">
        <f>"750,00"</f>
        <v>750,00</v>
      </c>
      <c r="L4896" s="6" t="str">
        <f>"187,50"</f>
        <v>187,50</v>
      </c>
      <c r="M4896" s="6" t="str">
        <f>"937,50"</f>
        <v>937,50</v>
      </c>
      <c r="N4896" s="8" t="s">
        <v>892</v>
      </c>
      <c r="O4896" s="7"/>
      <c r="P4896" s="2" t="s">
        <v>6841</v>
      </c>
      <c r="Q4896" s="7"/>
      <c r="R4896" s="1"/>
      <c r="S4896" s="1" t="str">
        <f>"J-UN-2022-1933"</f>
        <v>J-UN-2022-1933</v>
      </c>
      <c r="T4896" s="1" t="s">
        <v>32</v>
      </c>
    </row>
    <row r="4897" spans="1:20" ht="51" x14ac:dyDescent="0.25">
      <c r="A4897" s="6">
        <v>4876</v>
      </c>
      <c r="B4897" s="1" t="str">
        <f>"2022-499"</f>
        <v>2022-499</v>
      </c>
      <c r="C4897" s="1" t="s">
        <v>2788</v>
      </c>
      <c r="D4897" s="1" t="s">
        <v>2789</v>
      </c>
      <c r="E4897" s="1" t="str">
        <f>""</f>
        <v/>
      </c>
      <c r="F4897" s="1" t="s">
        <v>1860</v>
      </c>
      <c r="G4897" s="1" t="str">
        <f>CONCATENATE(" VODOSKOK D.D.,"," ČULINEČKA CESTA 221/C,"," 10040 ZAGREB,"," OIB: 34134218058")</f>
        <v xml:space="preserve"> VODOSKOK D.D., ČULINEČKA CESTA 221/C, 10040 ZAGREB, OIB: 34134218058</v>
      </c>
      <c r="H4897" s="7"/>
      <c r="I4897" s="8" t="s">
        <v>1612</v>
      </c>
      <c r="J4897" s="8" t="s">
        <v>391</v>
      </c>
      <c r="K4897" s="6" t="str">
        <f>"7.160,00"</f>
        <v>7.160,00</v>
      </c>
      <c r="L4897" s="6" t="str">
        <f>"1.790,00"</f>
        <v>1.790,00</v>
      </c>
      <c r="M4897" s="6" t="str">
        <f>"8.950,00"</f>
        <v>8.950,00</v>
      </c>
      <c r="N4897" s="8" t="s">
        <v>124</v>
      </c>
      <c r="O4897" s="7"/>
      <c r="P4897" s="2" t="s">
        <v>5614</v>
      </c>
      <c r="Q4897" s="7"/>
      <c r="R4897" s="1"/>
      <c r="S4897" s="1" t="str">
        <f>"J-UN-2022-1934"</f>
        <v>J-UN-2022-1934</v>
      </c>
      <c r="T4897" s="1" t="s">
        <v>32</v>
      </c>
    </row>
    <row r="4898" spans="1:20" ht="63.75" x14ac:dyDescent="0.25">
      <c r="A4898" s="6">
        <v>4877</v>
      </c>
      <c r="B4898" s="1" t="str">
        <f>"2022-1434"</f>
        <v>2022-1434</v>
      </c>
      <c r="C4898" s="1" t="s">
        <v>2558</v>
      </c>
      <c r="D4898" s="1" t="s">
        <v>860</v>
      </c>
      <c r="E4898" s="1" t="str">
        <f>""</f>
        <v/>
      </c>
      <c r="F4898" s="1" t="s">
        <v>1860</v>
      </c>
      <c r="G4898" s="1" t="str">
        <f>CONCATENATE(" STROJOGRADNJA,"," VL. DORA PERŠI,"," RAKITJE,"," RADNIČKA 9,"," 10431 SVETA NEDJELJA,"," OIB: 72791562742")</f>
        <v xml:space="preserve"> STROJOGRADNJA, VL. DORA PERŠI, RAKITJE, RADNIČKA 9, 10431 SVETA NEDJELJA, OIB: 72791562742</v>
      </c>
      <c r="H4898" s="7"/>
      <c r="I4898" s="8" t="s">
        <v>525</v>
      </c>
      <c r="J4898" s="8" t="s">
        <v>3260</v>
      </c>
      <c r="K4898" s="6" t="str">
        <f>"3.650,00"</f>
        <v>3.650,00</v>
      </c>
      <c r="L4898" s="6" t="str">
        <f>"912,50"</f>
        <v>912,50</v>
      </c>
      <c r="M4898" s="6" t="str">
        <f>"4.562,50"</f>
        <v>4.562,50</v>
      </c>
      <c r="N4898" s="8" t="s">
        <v>892</v>
      </c>
      <c r="O4898" s="7"/>
      <c r="P4898" s="2" t="s">
        <v>8399</v>
      </c>
      <c r="Q4898" s="7"/>
      <c r="R4898" s="1"/>
      <c r="S4898" s="1" t="str">
        <f>"J-UN-2022-1936"</f>
        <v>J-UN-2022-1936</v>
      </c>
      <c r="T4898" s="1" t="s">
        <v>32</v>
      </c>
    </row>
    <row r="4899" spans="1:20" ht="63.75" x14ac:dyDescent="0.25">
      <c r="A4899" s="6">
        <v>4878</v>
      </c>
      <c r="B4899" s="1" t="str">
        <f>"2022-817"</f>
        <v>2022-817</v>
      </c>
      <c r="C4899" s="1" t="s">
        <v>2839</v>
      </c>
      <c r="D4899" s="1" t="s">
        <v>2716</v>
      </c>
      <c r="E4899" s="1" t="str">
        <f>""</f>
        <v/>
      </c>
      <c r="F4899" s="1" t="s">
        <v>1860</v>
      </c>
      <c r="G4899" s="1" t="str">
        <f>CONCATENATE(" SERVIS I TRGOVINA ŽIBRAT,"," VL. DARKO ŽIBRAT,"," I RESNIK 52,"," 10000 ZAGREB,"," OIB: 46603270345")</f>
        <v xml:space="preserve"> SERVIS I TRGOVINA ŽIBRAT, VL. DARKO ŽIBRAT, I RESNIK 52, 10000 ZAGREB, OIB: 46603270345</v>
      </c>
      <c r="H4899" s="7"/>
      <c r="I4899" s="8" t="s">
        <v>525</v>
      </c>
      <c r="J4899" s="8" t="s">
        <v>3260</v>
      </c>
      <c r="K4899" s="6" t="str">
        <f>"23.962,00"</f>
        <v>23.962,00</v>
      </c>
      <c r="L4899" s="6" t="str">
        <f>"5.990,50"</f>
        <v>5.990,50</v>
      </c>
      <c r="M4899" s="6" t="str">
        <f>"29.952,50"</f>
        <v>29.952,50</v>
      </c>
      <c r="N4899" s="8" t="s">
        <v>124</v>
      </c>
      <c r="O4899" s="7"/>
      <c r="P4899" s="2" t="s">
        <v>5614</v>
      </c>
      <c r="Q4899" s="7"/>
      <c r="R4899" s="1"/>
      <c r="S4899" s="1" t="str">
        <f>"J-UN-2022-1937"</f>
        <v>J-UN-2022-1937</v>
      </c>
      <c r="T4899" s="1" t="s">
        <v>32</v>
      </c>
    </row>
    <row r="4900" spans="1:20" ht="51" x14ac:dyDescent="0.25">
      <c r="A4900" s="6">
        <v>4879</v>
      </c>
      <c r="B4900" s="1" t="str">
        <f>"2022-676"</f>
        <v>2022-676</v>
      </c>
      <c r="C4900" s="1" t="s">
        <v>2919</v>
      </c>
      <c r="D4900" s="1" t="s">
        <v>1877</v>
      </c>
      <c r="E4900" s="1" t="str">
        <f>""</f>
        <v/>
      </c>
      <c r="F4900" s="1" t="s">
        <v>1860</v>
      </c>
      <c r="G4900" s="1" t="str">
        <f>CONCATENATE(" FRIGOMOTORS D.O.O.,"," DUGOPOLJSKA 35,"," 21204 DUGOPOLJE,"," OIB: 09191580513")</f>
        <v xml:space="preserve"> FRIGOMOTORS D.O.O., DUGOPOLJSKA 35, 21204 DUGOPOLJE, OIB: 09191580513</v>
      </c>
      <c r="H4900" s="7"/>
      <c r="I4900" s="8" t="s">
        <v>1612</v>
      </c>
      <c r="J4900" s="8" t="s">
        <v>391</v>
      </c>
      <c r="K4900" s="6" t="str">
        <f>"4.530,00"</f>
        <v>4.530,00</v>
      </c>
      <c r="L4900" s="6" t="str">
        <f>"1.132,50"</f>
        <v>1.132,50</v>
      </c>
      <c r="M4900" s="6" t="str">
        <f>"5.662,50"</f>
        <v>5.662,50</v>
      </c>
      <c r="N4900" s="8" t="s">
        <v>124</v>
      </c>
      <c r="O4900" s="7"/>
      <c r="P4900" s="2" t="s">
        <v>5614</v>
      </c>
      <c r="Q4900" s="7"/>
      <c r="R4900" s="1"/>
      <c r="S4900" s="1" t="str">
        <f>"J-UN-2022-1938"</f>
        <v>J-UN-2022-1938</v>
      </c>
      <c r="T4900" s="1" t="s">
        <v>32</v>
      </c>
    </row>
    <row r="4901" spans="1:20" ht="51" x14ac:dyDescent="0.25">
      <c r="A4901" s="6">
        <v>4880</v>
      </c>
      <c r="B4901" s="1" t="str">
        <f>"2022-1006"</f>
        <v>2022-1006</v>
      </c>
      <c r="C4901" s="1" t="s">
        <v>2618</v>
      </c>
      <c r="D4901" s="1" t="s">
        <v>2619</v>
      </c>
      <c r="E4901" s="1" t="str">
        <f>""</f>
        <v/>
      </c>
      <c r="F4901" s="1" t="s">
        <v>1860</v>
      </c>
      <c r="G4901" s="1" t="str">
        <f>CONCATENATE(" TRA-MONT D.O.O.,"," MILIVOJA MATOŠECA 5,"," 10000 ZAGREB,"," OIB: 05336208843")</f>
        <v xml:space="preserve"> TRA-MONT D.O.O., MILIVOJA MATOŠECA 5, 10000 ZAGREB, OIB: 05336208843</v>
      </c>
      <c r="H4901" s="7"/>
      <c r="I4901" s="8" t="s">
        <v>525</v>
      </c>
      <c r="J4901" s="8" t="s">
        <v>3260</v>
      </c>
      <c r="K4901" s="6" t="str">
        <f>"1.850,00"</f>
        <v>1.850,00</v>
      </c>
      <c r="L4901" s="6" t="str">
        <f>"462,50"</f>
        <v>462,50</v>
      </c>
      <c r="M4901" s="6" t="str">
        <f>"2.312,50"</f>
        <v>2.312,50</v>
      </c>
      <c r="N4901" s="8" t="s">
        <v>207</v>
      </c>
      <c r="O4901" s="7"/>
      <c r="P4901" s="2" t="s">
        <v>8400</v>
      </c>
      <c r="Q4901" s="7"/>
      <c r="R4901" s="1"/>
      <c r="S4901" s="1" t="str">
        <f>"J-UN-2022-1939"</f>
        <v>J-UN-2022-1939</v>
      </c>
      <c r="T4901" s="1" t="s">
        <v>32</v>
      </c>
    </row>
    <row r="4902" spans="1:20" ht="76.5" x14ac:dyDescent="0.25">
      <c r="A4902" s="6">
        <v>4881</v>
      </c>
      <c r="B4902" s="1" t="str">
        <f>"2022-26"</f>
        <v>2022-26</v>
      </c>
      <c r="C4902" s="1" t="s">
        <v>1041</v>
      </c>
      <c r="D4902" s="1" t="s">
        <v>515</v>
      </c>
      <c r="E4902" s="1" t="str">
        <f>""</f>
        <v/>
      </c>
      <c r="F4902" s="1" t="s">
        <v>1860</v>
      </c>
      <c r="G4902" s="1" t="str">
        <f>CONCATENATE(" NASTAVNI ZAVOD ZA JAVNO ZDRAVSTVO DR. ANDRIJA ŠTAMPAR,"," MIROGOJSKA CESTA 16,"," 10000 ZAGREB,"," OIB: 3339200596")</f>
        <v xml:space="preserve"> NASTAVNI ZAVOD ZA JAVNO ZDRAVSTVO DR. ANDRIJA ŠTAMPAR, MIROGOJSKA CESTA 16, 10000 ZAGREB, OIB: 3339200596</v>
      </c>
      <c r="H4902" s="7"/>
      <c r="I4902" s="8" t="s">
        <v>1612</v>
      </c>
      <c r="J4902" s="8" t="s">
        <v>391</v>
      </c>
      <c r="K4902" s="6" t="str">
        <f>"350,00"</f>
        <v>350,00</v>
      </c>
      <c r="L4902" s="6" t="str">
        <f>"87,50"</f>
        <v>87,50</v>
      </c>
      <c r="M4902" s="6" t="str">
        <f>"437,50"</f>
        <v>437,50</v>
      </c>
      <c r="N4902" s="8" t="s">
        <v>124</v>
      </c>
      <c r="O4902" s="7"/>
      <c r="P4902" s="2" t="s">
        <v>5614</v>
      </c>
      <c r="Q4902" s="7"/>
      <c r="R4902" s="1"/>
      <c r="S4902" s="1" t="str">
        <f>"J-UN-2022-1940"</f>
        <v>J-UN-2022-1940</v>
      </c>
      <c r="T4902" s="1" t="s">
        <v>32</v>
      </c>
    </row>
    <row r="4903" spans="1:20" ht="51" x14ac:dyDescent="0.25">
      <c r="A4903" s="6">
        <v>4882</v>
      </c>
      <c r="B4903" s="1" t="str">
        <f>"2022-828"</f>
        <v>2022-828</v>
      </c>
      <c r="C4903" s="1" t="s">
        <v>2720</v>
      </c>
      <c r="D4903" s="1" t="s">
        <v>21</v>
      </c>
      <c r="E4903" s="1" t="str">
        <f>""</f>
        <v/>
      </c>
      <c r="F4903" s="1" t="s">
        <v>1860</v>
      </c>
      <c r="G4903" s="1" t="str">
        <f>CONCATENATE(" STAR IMPORT D.O.O.,"," KOVINSKA 5,"," 10090 ZAGREB-SUSEDGRAD,"," OIB: 783122799")</f>
        <v xml:space="preserve"> STAR IMPORT D.O.O., KOVINSKA 5, 10090 ZAGREB-SUSEDGRAD, OIB: 783122799</v>
      </c>
      <c r="H4903" s="7"/>
      <c r="I4903" s="8" t="s">
        <v>525</v>
      </c>
      <c r="J4903" s="8" t="s">
        <v>3260</v>
      </c>
      <c r="K4903" s="6" t="str">
        <f>"24.827,68"</f>
        <v>24.827,68</v>
      </c>
      <c r="L4903" s="6" t="str">
        <f>"6.206,92"</f>
        <v>6.206,92</v>
      </c>
      <c r="M4903" s="6" t="str">
        <f>"31.034,60"</f>
        <v>31.034,60</v>
      </c>
      <c r="N4903" s="8" t="s">
        <v>124</v>
      </c>
      <c r="O4903" s="7"/>
      <c r="P4903" s="2" t="s">
        <v>5614</v>
      </c>
      <c r="Q4903" s="7"/>
      <c r="R4903" s="1"/>
      <c r="S4903" s="1" t="str">
        <f>"J-UN-2022-1942"</f>
        <v>J-UN-2022-1942</v>
      </c>
      <c r="T4903" s="1" t="s">
        <v>32</v>
      </c>
    </row>
    <row r="4904" spans="1:20" ht="63.75" x14ac:dyDescent="0.25">
      <c r="A4904" s="6">
        <v>4883</v>
      </c>
      <c r="B4904" s="1" t="str">
        <f>"2022-1416"</f>
        <v>2022-1416</v>
      </c>
      <c r="C4904" s="1" t="s">
        <v>2991</v>
      </c>
      <c r="D4904" s="1" t="s">
        <v>2992</v>
      </c>
      <c r="E4904" s="1" t="str">
        <f>""</f>
        <v/>
      </c>
      <c r="F4904" s="1" t="s">
        <v>1860</v>
      </c>
      <c r="G4904" s="1" t="str">
        <f t="shared" ref="G4904:G4915" si="234">CONCATENATE(" LANIŠTE D.O.O.,"," ALEXANDERA VON HUMBOLDTA 4B,"," 10000 ZAGREB,"," OIB: 3755384865")</f>
        <v xml:space="preserve"> LANIŠTE D.O.O., ALEXANDERA VON HUMBOLDTA 4B, 10000 ZAGREB, OIB: 3755384865</v>
      </c>
      <c r="H4904" s="7"/>
      <c r="I4904" s="8" t="s">
        <v>509</v>
      </c>
      <c r="J4904" s="8" t="s">
        <v>3259</v>
      </c>
      <c r="K4904" s="6" t="str">
        <f>"3.636,00"</f>
        <v>3.636,00</v>
      </c>
      <c r="L4904" s="6" t="str">
        <f>"909,00"</f>
        <v>909,00</v>
      </c>
      <c r="M4904" s="6" t="str">
        <f>"4.545,00"</f>
        <v>4.545,00</v>
      </c>
      <c r="N4904" s="8" t="s">
        <v>124</v>
      </c>
      <c r="O4904" s="7"/>
      <c r="P4904" s="2" t="s">
        <v>5614</v>
      </c>
      <c r="Q4904" s="7"/>
      <c r="R4904" s="1"/>
      <c r="S4904" s="1" t="str">
        <f>"J-UN-2022-1944"</f>
        <v>J-UN-2022-1944</v>
      </c>
      <c r="T4904" s="1" t="s">
        <v>32</v>
      </c>
    </row>
    <row r="4905" spans="1:20" ht="63.75" x14ac:dyDescent="0.25">
      <c r="A4905" s="6">
        <v>4884</v>
      </c>
      <c r="B4905" s="1" t="str">
        <f>"2022-1429"</f>
        <v>2022-1429</v>
      </c>
      <c r="C4905" s="1" t="s">
        <v>2984</v>
      </c>
      <c r="D4905" s="1" t="s">
        <v>2985</v>
      </c>
      <c r="E4905" s="1" t="str">
        <f>""</f>
        <v/>
      </c>
      <c r="F4905" s="1" t="s">
        <v>1860</v>
      </c>
      <c r="G4905" s="1" t="str">
        <f t="shared" si="234"/>
        <v xml:space="preserve"> LANIŠTE D.O.O., ALEXANDERA VON HUMBOLDTA 4B, 10000 ZAGREB, OIB: 3755384865</v>
      </c>
      <c r="H4905" s="7"/>
      <c r="I4905" s="8" t="s">
        <v>1191</v>
      </c>
      <c r="J4905" s="8" t="s">
        <v>3261</v>
      </c>
      <c r="K4905" s="6" t="str">
        <f>"4.032,00"</f>
        <v>4.032,00</v>
      </c>
      <c r="L4905" s="6" t="str">
        <f>"1.008,00"</f>
        <v>1.008,00</v>
      </c>
      <c r="M4905" s="6" t="str">
        <f>"5.040,00"</f>
        <v>5.040,00</v>
      </c>
      <c r="N4905" s="8" t="s">
        <v>124</v>
      </c>
      <c r="O4905" s="7"/>
      <c r="P4905" s="2" t="s">
        <v>5614</v>
      </c>
      <c r="Q4905" s="7"/>
      <c r="R4905" s="1"/>
      <c r="S4905" s="1" t="str">
        <f>"J-UN-2022-1945"</f>
        <v>J-UN-2022-1945</v>
      </c>
      <c r="T4905" s="1" t="s">
        <v>32</v>
      </c>
    </row>
    <row r="4906" spans="1:20" ht="63.75" x14ac:dyDescent="0.25">
      <c r="A4906" s="6">
        <v>4885</v>
      </c>
      <c r="B4906" s="1" t="str">
        <f>"2022-1430"</f>
        <v>2022-1430</v>
      </c>
      <c r="C4906" s="1" t="s">
        <v>2986</v>
      </c>
      <c r="D4906" s="1" t="s">
        <v>2985</v>
      </c>
      <c r="E4906" s="1" t="str">
        <f>""</f>
        <v/>
      </c>
      <c r="F4906" s="1" t="s">
        <v>1860</v>
      </c>
      <c r="G4906" s="1" t="str">
        <f t="shared" si="234"/>
        <v xml:space="preserve"> LANIŠTE D.O.O., ALEXANDERA VON HUMBOLDTA 4B, 10000 ZAGREB, OIB: 3755384865</v>
      </c>
      <c r="H4906" s="7"/>
      <c r="I4906" s="8" t="s">
        <v>1191</v>
      </c>
      <c r="J4906" s="8" t="s">
        <v>3261</v>
      </c>
      <c r="K4906" s="6" t="str">
        <f>"4.032,00"</f>
        <v>4.032,00</v>
      </c>
      <c r="L4906" s="6" t="str">
        <f>"1.008,00"</f>
        <v>1.008,00</v>
      </c>
      <c r="M4906" s="6" t="str">
        <f>"5.040,00"</f>
        <v>5.040,00</v>
      </c>
      <c r="N4906" s="8" t="s">
        <v>124</v>
      </c>
      <c r="O4906" s="7"/>
      <c r="P4906" s="2" t="s">
        <v>5614</v>
      </c>
      <c r="Q4906" s="7"/>
      <c r="R4906" s="1"/>
      <c r="S4906" s="1" t="str">
        <f>"J-UN-2022-1946"</f>
        <v>J-UN-2022-1946</v>
      </c>
      <c r="T4906" s="1" t="s">
        <v>32</v>
      </c>
    </row>
    <row r="4907" spans="1:20" ht="63.75" x14ac:dyDescent="0.25">
      <c r="A4907" s="6">
        <v>4886</v>
      </c>
      <c r="B4907" s="1" t="str">
        <f>"2022-1321"</f>
        <v>2022-1321</v>
      </c>
      <c r="C4907" s="1" t="s">
        <v>2987</v>
      </c>
      <c r="D4907" s="1" t="s">
        <v>2988</v>
      </c>
      <c r="E4907" s="1" t="str">
        <f>""</f>
        <v/>
      </c>
      <c r="F4907" s="1" t="s">
        <v>1860</v>
      </c>
      <c r="G4907" s="1" t="str">
        <f t="shared" si="234"/>
        <v xml:space="preserve"> LANIŠTE D.O.O., ALEXANDERA VON HUMBOLDTA 4B, 10000 ZAGREB, OIB: 3755384865</v>
      </c>
      <c r="H4907" s="7"/>
      <c r="I4907" s="8" t="s">
        <v>1191</v>
      </c>
      <c r="J4907" s="8" t="s">
        <v>3261</v>
      </c>
      <c r="K4907" s="6" t="str">
        <f>"4.032,00"</f>
        <v>4.032,00</v>
      </c>
      <c r="L4907" s="6" t="str">
        <f>"1.008,00"</f>
        <v>1.008,00</v>
      </c>
      <c r="M4907" s="6" t="str">
        <f>"5.040,00"</f>
        <v>5.040,00</v>
      </c>
      <c r="N4907" s="8" t="s">
        <v>124</v>
      </c>
      <c r="O4907" s="7"/>
      <c r="P4907" s="2" t="s">
        <v>5614</v>
      </c>
      <c r="Q4907" s="7"/>
      <c r="R4907" s="1"/>
      <c r="S4907" s="1" t="str">
        <f>"J-UN-2022-1947"</f>
        <v>J-UN-2022-1947</v>
      </c>
      <c r="T4907" s="1" t="s">
        <v>32</v>
      </c>
    </row>
    <row r="4908" spans="1:20" ht="63.75" x14ac:dyDescent="0.25">
      <c r="A4908" s="6">
        <v>4887</v>
      </c>
      <c r="B4908" s="1" t="str">
        <f>"2022-1289"</f>
        <v>2022-1289</v>
      </c>
      <c r="C4908" s="1" t="s">
        <v>2993</v>
      </c>
      <c r="D4908" s="1" t="s">
        <v>2994</v>
      </c>
      <c r="E4908" s="1" t="str">
        <f>""</f>
        <v/>
      </c>
      <c r="F4908" s="1" t="s">
        <v>1860</v>
      </c>
      <c r="G4908" s="1" t="str">
        <f t="shared" si="234"/>
        <v xml:space="preserve"> LANIŠTE D.O.O., ALEXANDERA VON HUMBOLDTA 4B, 10000 ZAGREB, OIB: 3755384865</v>
      </c>
      <c r="H4908" s="7"/>
      <c r="I4908" s="8" t="s">
        <v>1191</v>
      </c>
      <c r="J4908" s="8" t="s">
        <v>3261</v>
      </c>
      <c r="K4908" s="6" t="str">
        <f>"3.632,00"</f>
        <v>3.632,00</v>
      </c>
      <c r="L4908" s="6" t="str">
        <f>"908,00"</f>
        <v>908,00</v>
      </c>
      <c r="M4908" s="6" t="str">
        <f>"4.540,00"</f>
        <v>4.540,00</v>
      </c>
      <c r="N4908" s="8" t="s">
        <v>124</v>
      </c>
      <c r="O4908" s="7"/>
      <c r="P4908" s="2" t="s">
        <v>5614</v>
      </c>
      <c r="Q4908" s="7"/>
      <c r="R4908" s="1"/>
      <c r="S4908" s="1" t="str">
        <f>"J-UN-2022-1948"</f>
        <v>J-UN-2022-1948</v>
      </c>
      <c r="T4908" s="1" t="s">
        <v>32</v>
      </c>
    </row>
    <row r="4909" spans="1:20" ht="63.75" x14ac:dyDescent="0.25">
      <c r="A4909" s="6">
        <v>4888</v>
      </c>
      <c r="B4909" s="1" t="str">
        <f>"2022-1291"</f>
        <v>2022-1291</v>
      </c>
      <c r="C4909" s="1" t="s">
        <v>2989</v>
      </c>
      <c r="D4909" s="1" t="s">
        <v>2990</v>
      </c>
      <c r="E4909" s="1" t="str">
        <f>""</f>
        <v/>
      </c>
      <c r="F4909" s="1" t="s">
        <v>1860</v>
      </c>
      <c r="G4909" s="1" t="str">
        <f t="shared" si="234"/>
        <v xml:space="preserve"> LANIŠTE D.O.O., ALEXANDERA VON HUMBOLDTA 4B, 10000 ZAGREB, OIB: 3755384865</v>
      </c>
      <c r="H4909" s="7"/>
      <c r="I4909" s="8" t="s">
        <v>1191</v>
      </c>
      <c r="J4909" s="8" t="s">
        <v>3261</v>
      </c>
      <c r="K4909" s="6" t="str">
        <f>"3.636,00"</f>
        <v>3.636,00</v>
      </c>
      <c r="L4909" s="6" t="str">
        <f>"909,00"</f>
        <v>909,00</v>
      </c>
      <c r="M4909" s="6" t="str">
        <f>"4.545,00"</f>
        <v>4.545,00</v>
      </c>
      <c r="N4909" s="8" t="s">
        <v>124</v>
      </c>
      <c r="O4909" s="7"/>
      <c r="P4909" s="2" t="s">
        <v>5614</v>
      </c>
      <c r="Q4909" s="7"/>
      <c r="R4909" s="1"/>
      <c r="S4909" s="1" t="str">
        <f>"J-UN-2022-1949"</f>
        <v>J-UN-2022-1949</v>
      </c>
      <c r="T4909" s="1" t="s">
        <v>32</v>
      </c>
    </row>
    <row r="4910" spans="1:20" ht="63.75" x14ac:dyDescent="0.25">
      <c r="A4910" s="6">
        <v>4889</v>
      </c>
      <c r="B4910" s="1" t="str">
        <f>"2022-1416"</f>
        <v>2022-1416</v>
      </c>
      <c r="C4910" s="1" t="s">
        <v>2991</v>
      </c>
      <c r="D4910" s="1" t="s">
        <v>2992</v>
      </c>
      <c r="E4910" s="1" t="str">
        <f>""</f>
        <v/>
      </c>
      <c r="F4910" s="1" t="s">
        <v>1860</v>
      </c>
      <c r="G4910" s="1" t="str">
        <f t="shared" si="234"/>
        <v xml:space="preserve"> LANIŠTE D.O.O., ALEXANDERA VON HUMBOLDTA 4B, 10000 ZAGREB, OIB: 3755384865</v>
      </c>
      <c r="H4910" s="7"/>
      <c r="I4910" s="8" t="s">
        <v>1191</v>
      </c>
      <c r="J4910" s="8" t="s">
        <v>3261</v>
      </c>
      <c r="K4910" s="6" t="str">
        <f>"3.636,00"</f>
        <v>3.636,00</v>
      </c>
      <c r="L4910" s="6" t="str">
        <f>"909,00"</f>
        <v>909,00</v>
      </c>
      <c r="M4910" s="6" t="str">
        <f>"4.545,00"</f>
        <v>4.545,00</v>
      </c>
      <c r="N4910" s="8" t="s">
        <v>124</v>
      </c>
      <c r="O4910" s="7"/>
      <c r="P4910" s="2" t="s">
        <v>5614</v>
      </c>
      <c r="Q4910" s="7"/>
      <c r="R4910" s="1"/>
      <c r="S4910" s="1" t="str">
        <f>"J-UN-2022-1950"</f>
        <v>J-UN-2022-1950</v>
      </c>
      <c r="T4910" s="1" t="s">
        <v>32</v>
      </c>
    </row>
    <row r="4911" spans="1:20" ht="63.75" x14ac:dyDescent="0.25">
      <c r="A4911" s="6">
        <v>4890</v>
      </c>
      <c r="B4911" s="1" t="str">
        <f>"2022-1429"</f>
        <v>2022-1429</v>
      </c>
      <c r="C4911" s="1" t="s">
        <v>2984</v>
      </c>
      <c r="D4911" s="1" t="s">
        <v>2985</v>
      </c>
      <c r="E4911" s="1" t="str">
        <f>""</f>
        <v/>
      </c>
      <c r="F4911" s="1" t="s">
        <v>1860</v>
      </c>
      <c r="G4911" s="1" t="str">
        <f t="shared" si="234"/>
        <v xml:space="preserve"> LANIŠTE D.O.O., ALEXANDERA VON HUMBOLDTA 4B, 10000 ZAGREB, OIB: 3755384865</v>
      </c>
      <c r="H4911" s="7"/>
      <c r="I4911" s="8" t="s">
        <v>1191</v>
      </c>
      <c r="J4911" s="8" t="s">
        <v>3261</v>
      </c>
      <c r="K4911" s="6" t="str">
        <f>"4.032,00"</f>
        <v>4.032,00</v>
      </c>
      <c r="L4911" s="6" t="str">
        <f>"1.008,00"</f>
        <v>1.008,00</v>
      </c>
      <c r="M4911" s="6" t="str">
        <f>"5.040,00"</f>
        <v>5.040,00</v>
      </c>
      <c r="N4911" s="8" t="s">
        <v>124</v>
      </c>
      <c r="O4911" s="7"/>
      <c r="P4911" s="2" t="s">
        <v>5614</v>
      </c>
      <c r="Q4911" s="7"/>
      <c r="R4911" s="1"/>
      <c r="S4911" s="1" t="str">
        <f>"J-UN-2022-1951"</f>
        <v>J-UN-2022-1951</v>
      </c>
      <c r="T4911" s="1" t="s">
        <v>32</v>
      </c>
    </row>
    <row r="4912" spans="1:20" ht="63.75" x14ac:dyDescent="0.25">
      <c r="A4912" s="6">
        <v>4891</v>
      </c>
      <c r="B4912" s="1" t="str">
        <f>"2022-1430"</f>
        <v>2022-1430</v>
      </c>
      <c r="C4912" s="1" t="s">
        <v>2986</v>
      </c>
      <c r="D4912" s="1" t="s">
        <v>2985</v>
      </c>
      <c r="E4912" s="1" t="str">
        <f>""</f>
        <v/>
      </c>
      <c r="F4912" s="1" t="s">
        <v>1860</v>
      </c>
      <c r="G4912" s="1" t="str">
        <f t="shared" si="234"/>
        <v xml:space="preserve"> LANIŠTE D.O.O., ALEXANDERA VON HUMBOLDTA 4B, 10000 ZAGREB, OIB: 3755384865</v>
      </c>
      <c r="H4912" s="7"/>
      <c r="I4912" s="8" t="s">
        <v>525</v>
      </c>
      <c r="J4912" s="8" t="s">
        <v>3260</v>
      </c>
      <c r="K4912" s="6" t="str">
        <f>"4.032,00"</f>
        <v>4.032,00</v>
      </c>
      <c r="L4912" s="6" t="str">
        <f>"1.008,00"</f>
        <v>1.008,00</v>
      </c>
      <c r="M4912" s="6" t="str">
        <f>"5.040,00"</f>
        <v>5.040,00</v>
      </c>
      <c r="N4912" s="8" t="s">
        <v>124</v>
      </c>
      <c r="O4912" s="7"/>
      <c r="P4912" s="2" t="s">
        <v>5614</v>
      </c>
      <c r="Q4912" s="7"/>
      <c r="R4912" s="1"/>
      <c r="S4912" s="1" t="str">
        <f>"J-UN-2022-1952"</f>
        <v>J-UN-2022-1952</v>
      </c>
      <c r="T4912" s="1" t="s">
        <v>32</v>
      </c>
    </row>
    <row r="4913" spans="1:20" ht="63.75" x14ac:dyDescent="0.25">
      <c r="A4913" s="6">
        <v>4892</v>
      </c>
      <c r="B4913" s="1" t="str">
        <f>"2022-1321"</f>
        <v>2022-1321</v>
      </c>
      <c r="C4913" s="1" t="s">
        <v>2987</v>
      </c>
      <c r="D4913" s="1" t="s">
        <v>2988</v>
      </c>
      <c r="E4913" s="1" t="str">
        <f>""</f>
        <v/>
      </c>
      <c r="F4913" s="1" t="s">
        <v>1860</v>
      </c>
      <c r="G4913" s="1" t="str">
        <f t="shared" si="234"/>
        <v xml:space="preserve"> LANIŠTE D.O.O., ALEXANDERA VON HUMBOLDTA 4B, 10000 ZAGREB, OIB: 3755384865</v>
      </c>
      <c r="H4913" s="7"/>
      <c r="I4913" s="8" t="s">
        <v>525</v>
      </c>
      <c r="J4913" s="8" t="s">
        <v>3260</v>
      </c>
      <c r="K4913" s="6" t="str">
        <f>"4.032,00"</f>
        <v>4.032,00</v>
      </c>
      <c r="L4913" s="6" t="str">
        <f>"1.008,00"</f>
        <v>1.008,00</v>
      </c>
      <c r="M4913" s="6" t="str">
        <f>"5.040,00"</f>
        <v>5.040,00</v>
      </c>
      <c r="N4913" s="8" t="s">
        <v>124</v>
      </c>
      <c r="O4913" s="7"/>
      <c r="P4913" s="2" t="s">
        <v>5614</v>
      </c>
      <c r="Q4913" s="7"/>
      <c r="R4913" s="1"/>
      <c r="S4913" s="1" t="str">
        <f>"J-UN-2022-1953"</f>
        <v>J-UN-2022-1953</v>
      </c>
      <c r="T4913" s="1" t="s">
        <v>32</v>
      </c>
    </row>
    <row r="4914" spans="1:20" ht="63.75" x14ac:dyDescent="0.25">
      <c r="A4914" s="6">
        <v>4893</v>
      </c>
      <c r="B4914" s="1" t="str">
        <f>"2022-1289"</f>
        <v>2022-1289</v>
      </c>
      <c r="C4914" s="1" t="s">
        <v>2993</v>
      </c>
      <c r="D4914" s="1" t="s">
        <v>2994</v>
      </c>
      <c r="E4914" s="1" t="str">
        <f>""</f>
        <v/>
      </c>
      <c r="F4914" s="1" t="s">
        <v>1860</v>
      </c>
      <c r="G4914" s="1" t="str">
        <f t="shared" si="234"/>
        <v xml:space="preserve"> LANIŠTE D.O.O., ALEXANDERA VON HUMBOLDTA 4B, 10000 ZAGREB, OIB: 3755384865</v>
      </c>
      <c r="H4914" s="7"/>
      <c r="I4914" s="8" t="s">
        <v>525</v>
      </c>
      <c r="J4914" s="8" t="s">
        <v>3260</v>
      </c>
      <c r="K4914" s="6" t="str">
        <f>"3.632,00"</f>
        <v>3.632,00</v>
      </c>
      <c r="L4914" s="6" t="str">
        <f>"908,00"</f>
        <v>908,00</v>
      </c>
      <c r="M4914" s="6" t="str">
        <f>"4.540,00"</f>
        <v>4.540,00</v>
      </c>
      <c r="N4914" s="8" t="s">
        <v>124</v>
      </c>
      <c r="O4914" s="7"/>
      <c r="P4914" s="2" t="s">
        <v>5614</v>
      </c>
      <c r="Q4914" s="7"/>
      <c r="R4914" s="1"/>
      <c r="S4914" s="1" t="str">
        <f>"J-UN-2022-1954"</f>
        <v>J-UN-2022-1954</v>
      </c>
      <c r="T4914" s="1" t="s">
        <v>32</v>
      </c>
    </row>
    <row r="4915" spans="1:20" ht="63.75" x14ac:dyDescent="0.25">
      <c r="A4915" s="6">
        <v>4894</v>
      </c>
      <c r="B4915" s="1" t="str">
        <f>"2022-1291"</f>
        <v>2022-1291</v>
      </c>
      <c r="C4915" s="1" t="s">
        <v>2989</v>
      </c>
      <c r="D4915" s="1" t="s">
        <v>2990</v>
      </c>
      <c r="E4915" s="1" t="str">
        <f>""</f>
        <v/>
      </c>
      <c r="F4915" s="1" t="s">
        <v>1860</v>
      </c>
      <c r="G4915" s="1" t="str">
        <f t="shared" si="234"/>
        <v xml:space="preserve"> LANIŠTE D.O.O., ALEXANDERA VON HUMBOLDTA 4B, 10000 ZAGREB, OIB: 3755384865</v>
      </c>
      <c r="H4915" s="7"/>
      <c r="I4915" s="8" t="s">
        <v>525</v>
      </c>
      <c r="J4915" s="8" t="s">
        <v>3260</v>
      </c>
      <c r="K4915" s="6" t="str">
        <f>"3.636,00"</f>
        <v>3.636,00</v>
      </c>
      <c r="L4915" s="6" t="str">
        <f>"909,00"</f>
        <v>909,00</v>
      </c>
      <c r="M4915" s="6" t="str">
        <f>"4.545,00"</f>
        <v>4.545,00</v>
      </c>
      <c r="N4915" s="8" t="s">
        <v>124</v>
      </c>
      <c r="O4915" s="7"/>
      <c r="P4915" s="2" t="s">
        <v>5614</v>
      </c>
      <c r="Q4915" s="7"/>
      <c r="R4915" s="1"/>
      <c r="S4915" s="1" t="str">
        <f>"J-UN-2022-1955"</f>
        <v>J-UN-2022-1955</v>
      </c>
      <c r="T4915" s="1" t="s">
        <v>32</v>
      </c>
    </row>
    <row r="4916" spans="1:20" ht="63.75" x14ac:dyDescent="0.25">
      <c r="A4916" s="6">
        <v>4895</v>
      </c>
      <c r="B4916" s="1" t="str">
        <f>"2022-1973"</f>
        <v>2022-1973</v>
      </c>
      <c r="C4916" s="1" t="s">
        <v>3217</v>
      </c>
      <c r="D4916" s="1" t="s">
        <v>1039</v>
      </c>
      <c r="E4916" s="1" t="str">
        <f>""</f>
        <v/>
      </c>
      <c r="F4916" s="1" t="s">
        <v>1860</v>
      </c>
      <c r="G4916" s="1" t="str">
        <f>CONCATENATE(" TOKIĆ D.O.O.,"," ULICA 144. BRIGADE HRVATSKE VOJSKE 1A,"," 10360 SESVETE,"," OIB: 7486748762")</f>
        <v xml:space="preserve"> TOKIĆ D.O.O., ULICA 144. BRIGADE HRVATSKE VOJSKE 1A, 10360 SESVETE, OIB: 7486748762</v>
      </c>
      <c r="H4916" s="7"/>
      <c r="I4916" s="8" t="s">
        <v>207</v>
      </c>
      <c r="J4916" s="8" t="s">
        <v>2364</v>
      </c>
      <c r="K4916" s="6" t="str">
        <f>"7.920,00"</f>
        <v>7.920,00</v>
      </c>
      <c r="L4916" s="6" t="str">
        <f>"1.980,00"</f>
        <v>1.980,00</v>
      </c>
      <c r="M4916" s="6" t="str">
        <f>"9.900,00"</f>
        <v>9.900,00</v>
      </c>
      <c r="N4916" s="8" t="s">
        <v>124</v>
      </c>
      <c r="O4916" s="7"/>
      <c r="P4916" s="2" t="s">
        <v>5614</v>
      </c>
      <c r="Q4916" s="7"/>
      <c r="R4916" s="1"/>
      <c r="S4916" s="1" t="str">
        <f>"J-UN-2022-1956"</f>
        <v>J-UN-2022-1956</v>
      </c>
      <c r="T4916" s="1" t="s">
        <v>32</v>
      </c>
    </row>
    <row r="4917" spans="1:20" ht="51" x14ac:dyDescent="0.25">
      <c r="A4917" s="6">
        <v>4896</v>
      </c>
      <c r="B4917" s="1" t="str">
        <f>"2022-2012"</f>
        <v>2022-2012</v>
      </c>
      <c r="C4917" s="1" t="s">
        <v>3233</v>
      </c>
      <c r="D4917" s="1" t="s">
        <v>1529</v>
      </c>
      <c r="E4917" s="1" t="str">
        <f>""</f>
        <v/>
      </c>
      <c r="F4917" s="1" t="s">
        <v>1860</v>
      </c>
      <c r="G4917" s="1" t="str">
        <f>CONCATENATE(" VULKAL D.O.O.,"," SAMOBORSKA CESTA 310,"," 10000 ZAGREB,"," OIB: 9043969613")</f>
        <v xml:space="preserve"> VULKAL D.O.O., SAMOBORSKA CESTA 310, 10000 ZAGREB, OIB: 9043969613</v>
      </c>
      <c r="H4917" s="7"/>
      <c r="I4917" s="8" t="s">
        <v>1612</v>
      </c>
      <c r="J4917" s="8" t="s">
        <v>391</v>
      </c>
      <c r="K4917" s="6" t="str">
        <f>"53.392,00"</f>
        <v>53.392,00</v>
      </c>
      <c r="L4917" s="6" t="str">
        <f>"13.348,00"</f>
        <v>13.348,00</v>
      </c>
      <c r="M4917" s="6" t="str">
        <f>"66.740,00"</f>
        <v>66.740,00</v>
      </c>
      <c r="N4917" s="8" t="s">
        <v>124</v>
      </c>
      <c r="O4917" s="7"/>
      <c r="P4917" s="2" t="s">
        <v>5614</v>
      </c>
      <c r="Q4917" s="7"/>
      <c r="R4917" s="1"/>
      <c r="S4917" s="1" t="str">
        <f>"J-UN-2022-1957"</f>
        <v>J-UN-2022-1957</v>
      </c>
      <c r="T4917" s="1" t="s">
        <v>32</v>
      </c>
    </row>
    <row r="4918" spans="1:20" ht="63.75" x14ac:dyDescent="0.25">
      <c r="A4918" s="6">
        <v>4897</v>
      </c>
      <c r="B4918" s="1" t="str">
        <f>"2022-1977"</f>
        <v>2022-1977</v>
      </c>
      <c r="C4918" s="1" t="s">
        <v>3239</v>
      </c>
      <c r="D4918" s="1" t="s">
        <v>1529</v>
      </c>
      <c r="E4918" s="1" t="str">
        <f>""</f>
        <v/>
      </c>
      <c r="F4918" s="1" t="s">
        <v>1860</v>
      </c>
      <c r="G4918" s="1" t="str">
        <f>CONCATENATE(" GUMIIMPEX - GRP D.O.O.,"," PAVLEKA MIŠKINE 64C,"," 42000 VARAŽDIN,"," OIB: 8229856262")</f>
        <v xml:space="preserve"> GUMIIMPEX - GRP D.O.O., PAVLEKA MIŠKINE 64C, 42000 VARAŽDIN, OIB: 8229856262</v>
      </c>
      <c r="H4918" s="7"/>
      <c r="I4918" s="8" t="s">
        <v>892</v>
      </c>
      <c r="J4918" s="8" t="s">
        <v>2174</v>
      </c>
      <c r="K4918" s="6" t="str">
        <f>"43.092,00"</f>
        <v>43.092,00</v>
      </c>
      <c r="L4918" s="6" t="str">
        <f>"10.773,00"</f>
        <v>10.773,00</v>
      </c>
      <c r="M4918" s="6" t="str">
        <f>"53.865,00"</f>
        <v>53.865,00</v>
      </c>
      <c r="N4918" s="8" t="s">
        <v>124</v>
      </c>
      <c r="O4918" s="7"/>
      <c r="P4918" s="2" t="s">
        <v>5614</v>
      </c>
      <c r="Q4918" s="7"/>
      <c r="R4918" s="1"/>
      <c r="S4918" s="1" t="str">
        <f>"J-UN-2022-1958"</f>
        <v>J-UN-2022-1958</v>
      </c>
      <c r="T4918" s="1" t="s">
        <v>32</v>
      </c>
    </row>
    <row r="4919" spans="1:20" ht="51" x14ac:dyDescent="0.25">
      <c r="A4919" s="6">
        <v>4898</v>
      </c>
      <c r="B4919" s="1" t="str">
        <f>"2022-1350"</f>
        <v>2022-1350</v>
      </c>
      <c r="C4919" s="1" t="s">
        <v>3131</v>
      </c>
      <c r="D4919" s="1" t="s">
        <v>1859</v>
      </c>
      <c r="E4919" s="1" t="str">
        <f>""</f>
        <v/>
      </c>
      <c r="F4919" s="1" t="s">
        <v>1860</v>
      </c>
      <c r="G4919" s="1" t="str">
        <f>CONCATENATE(" INFO PULS D.O.O.,"," JOSIPA PUPAČIĆA 1,"," 10000 ZAGREB,"," OIB: 43150843424")</f>
        <v xml:space="preserve"> INFO PULS D.O.O., JOSIPA PUPAČIĆA 1, 10000 ZAGREB, OIB: 43150843424</v>
      </c>
      <c r="H4919" s="7"/>
      <c r="I4919" s="8" t="s">
        <v>525</v>
      </c>
      <c r="J4919" s="8" t="s">
        <v>3260</v>
      </c>
      <c r="K4919" s="6" t="str">
        <f>"5.635,80"</f>
        <v>5.635,80</v>
      </c>
      <c r="L4919" s="6" t="str">
        <f>"1.408,95"</f>
        <v>1.408,95</v>
      </c>
      <c r="M4919" s="6" t="str">
        <f>"7.044,75"</f>
        <v>7.044,75</v>
      </c>
      <c r="N4919" s="8" t="s">
        <v>124</v>
      </c>
      <c r="O4919" s="7"/>
      <c r="P4919" s="2" t="s">
        <v>5614</v>
      </c>
      <c r="Q4919" s="7"/>
      <c r="R4919" s="1"/>
      <c r="S4919" s="1" t="str">
        <f>"J-UN-2022-1960"</f>
        <v>J-UN-2022-1960</v>
      </c>
      <c r="T4919" s="1" t="s">
        <v>32</v>
      </c>
    </row>
    <row r="4920" spans="1:20" ht="63.75" x14ac:dyDescent="0.25">
      <c r="A4920" s="6">
        <v>4899</v>
      </c>
      <c r="B4920" s="1" t="str">
        <f>"2022-473"</f>
        <v>2022-473</v>
      </c>
      <c r="C4920" s="1" t="s">
        <v>2738</v>
      </c>
      <c r="D4920" s="1" t="s">
        <v>2739</v>
      </c>
      <c r="E4920" s="1" t="str">
        <f>""</f>
        <v/>
      </c>
      <c r="F4920" s="1" t="s">
        <v>1860</v>
      </c>
      <c r="G4920" s="1" t="str">
        <f>CONCATENATE(" A.M.I. COMMERCE - LOVREKOVIĆ d.o.o.,"," MAKSIMIRSKA 100,"," 10000 ZAGREB,"," OIB: 55326209639")</f>
        <v xml:space="preserve"> A.M.I. COMMERCE - LOVREKOVIĆ d.o.o., MAKSIMIRSKA 100, 10000 ZAGREB, OIB: 55326209639</v>
      </c>
      <c r="H4920" s="7"/>
      <c r="I4920" s="8" t="s">
        <v>892</v>
      </c>
      <c r="J4920" s="8" t="s">
        <v>2174</v>
      </c>
      <c r="K4920" s="6" t="str">
        <f>"10.395,00"</f>
        <v>10.395,00</v>
      </c>
      <c r="L4920" s="6" t="str">
        <f>"2.598,75"</f>
        <v>2.598,75</v>
      </c>
      <c r="M4920" s="6" t="str">
        <f>"12.993,75"</f>
        <v>12.993,75</v>
      </c>
      <c r="N4920" s="8" t="s">
        <v>1147</v>
      </c>
      <c r="O4920" s="7"/>
      <c r="P4920" s="2" t="s">
        <v>8401</v>
      </c>
      <c r="Q4920" s="7"/>
      <c r="R4920" s="1"/>
      <c r="S4920" s="1" t="str">
        <f>"J-UN-2022-1962"</f>
        <v>J-UN-2022-1962</v>
      </c>
      <c r="T4920" s="1" t="s">
        <v>32</v>
      </c>
    </row>
    <row r="4921" spans="1:20" ht="63.75" x14ac:dyDescent="0.25">
      <c r="A4921" s="6">
        <v>4900</v>
      </c>
      <c r="B4921" s="1" t="str">
        <f>"2022-180"</f>
        <v>2022-180</v>
      </c>
      <c r="C4921" s="1" t="s">
        <v>2743</v>
      </c>
      <c r="D4921" s="1" t="s">
        <v>2744</v>
      </c>
      <c r="E4921" s="1" t="str">
        <f>""</f>
        <v/>
      </c>
      <c r="F4921" s="1" t="s">
        <v>1860</v>
      </c>
      <c r="G4921" s="1" t="str">
        <f>CONCATENATE(" 3 M D.O.O.,"," GORNJE PODOTOČJE,"," ŠKOLSKA 60,"," 10410 VELIKA GORICA,"," OIB: 45975769859")</f>
        <v xml:space="preserve"> 3 M D.O.O., GORNJE PODOTOČJE, ŠKOLSKA 60, 10410 VELIKA GORICA, OIB: 45975769859</v>
      </c>
      <c r="H4921" s="7"/>
      <c r="I4921" s="8" t="s">
        <v>892</v>
      </c>
      <c r="J4921" s="8" t="s">
        <v>2174</v>
      </c>
      <c r="K4921" s="6" t="str">
        <f>"22.320,00"</f>
        <v>22.320,00</v>
      </c>
      <c r="L4921" s="6" t="str">
        <f>"5.580,00"</f>
        <v>5.580,00</v>
      </c>
      <c r="M4921" s="6" t="str">
        <f>"27.900,00"</f>
        <v>27.900,00</v>
      </c>
      <c r="N4921" s="8" t="s">
        <v>124</v>
      </c>
      <c r="O4921" s="7"/>
      <c r="P4921" s="2" t="s">
        <v>5614</v>
      </c>
      <c r="Q4921" s="7"/>
      <c r="R4921" s="1"/>
      <c r="S4921" s="1" t="str">
        <f>"J-UN-2022-1963"</f>
        <v>J-UN-2022-1963</v>
      </c>
      <c r="T4921" s="1" t="s">
        <v>32</v>
      </c>
    </row>
    <row r="4922" spans="1:20" ht="63.75" x14ac:dyDescent="0.25">
      <c r="A4922" s="6">
        <v>4901</v>
      </c>
      <c r="B4922" s="1" t="str">
        <f>"2022-1976"</f>
        <v>2022-1976</v>
      </c>
      <c r="C4922" s="1" t="s">
        <v>3242</v>
      </c>
      <c r="D4922" s="1" t="s">
        <v>766</v>
      </c>
      <c r="E4922" s="1" t="str">
        <f>""</f>
        <v/>
      </c>
      <c r="F4922" s="1" t="s">
        <v>1860</v>
      </c>
      <c r="G4922" s="1" t="str">
        <f>CONCATENATE(" TOKIĆ D.O.O.,"," ULICA 144. BRIGADE HRVATSKE VOJSKE 1A,"," 10360 SESVETE,"," OIB: 7486748762")</f>
        <v xml:space="preserve"> TOKIĆ D.O.O., ULICA 144. BRIGADE HRVATSKE VOJSKE 1A, 10360 SESVETE, OIB: 7486748762</v>
      </c>
      <c r="H4922" s="7"/>
      <c r="I4922" s="8" t="s">
        <v>892</v>
      </c>
      <c r="J4922" s="8" t="s">
        <v>2174</v>
      </c>
      <c r="K4922" s="6" t="str">
        <f>"3.590,00"</f>
        <v>3.590,00</v>
      </c>
      <c r="L4922" s="6" t="str">
        <f>"897,50"</f>
        <v>897,50</v>
      </c>
      <c r="M4922" s="6" t="str">
        <f>"4.487,50"</f>
        <v>4.487,50</v>
      </c>
      <c r="N4922" s="8" t="s">
        <v>124</v>
      </c>
      <c r="O4922" s="7"/>
      <c r="P4922" s="2" t="s">
        <v>5614</v>
      </c>
      <c r="Q4922" s="7"/>
      <c r="R4922" s="1"/>
      <c r="S4922" s="1" t="str">
        <f>"J-UN-2022-1964"</f>
        <v>J-UN-2022-1964</v>
      </c>
      <c r="T4922" s="1" t="s">
        <v>32</v>
      </c>
    </row>
    <row r="4923" spans="1:20" ht="51" x14ac:dyDescent="0.25">
      <c r="A4923" s="6">
        <v>4902</v>
      </c>
      <c r="B4923" s="1" t="str">
        <f>"2022-1978"</f>
        <v>2022-1978</v>
      </c>
      <c r="C4923" s="1" t="s">
        <v>3232</v>
      </c>
      <c r="D4923" s="1" t="s">
        <v>1529</v>
      </c>
      <c r="E4923" s="1" t="str">
        <f>""</f>
        <v/>
      </c>
      <c r="F4923" s="1" t="s">
        <v>1860</v>
      </c>
      <c r="G4923" s="1" t="str">
        <f>CONCATENATE(" VULKAL D.O.O.,"," SAMOBORSKA CESTA 310,"," 10000 ZAGREB,"," OIB: 9043969613")</f>
        <v xml:space="preserve"> VULKAL D.O.O., SAMOBORSKA CESTA 310, 10000 ZAGREB, OIB: 9043969613</v>
      </c>
      <c r="H4923" s="7"/>
      <c r="I4923" s="8" t="s">
        <v>1612</v>
      </c>
      <c r="J4923" s="8" t="s">
        <v>391</v>
      </c>
      <c r="K4923" s="6" t="str">
        <f>"22.818,00"</f>
        <v>22.818,00</v>
      </c>
      <c r="L4923" s="6" t="str">
        <f>"5.704,50"</f>
        <v>5.704,50</v>
      </c>
      <c r="M4923" s="6" t="str">
        <f>"28.522,50"</f>
        <v>28.522,50</v>
      </c>
      <c r="N4923" s="8" t="s">
        <v>124</v>
      </c>
      <c r="O4923" s="7"/>
      <c r="P4923" s="2" t="s">
        <v>5614</v>
      </c>
      <c r="Q4923" s="7"/>
      <c r="R4923" s="1"/>
      <c r="S4923" s="1" t="str">
        <f>"J-UN-2022-1966"</f>
        <v>J-UN-2022-1966</v>
      </c>
      <c r="T4923" s="1" t="s">
        <v>32</v>
      </c>
    </row>
    <row r="4924" spans="1:20" ht="76.5" x14ac:dyDescent="0.25">
      <c r="A4924" s="6">
        <v>4903</v>
      </c>
      <c r="B4924" s="1" t="str">
        <f>"2022-374"</f>
        <v>2022-374</v>
      </c>
      <c r="C4924" s="1" t="s">
        <v>2706</v>
      </c>
      <c r="D4924" s="1" t="s">
        <v>1334</v>
      </c>
      <c r="E4924" s="1" t="str">
        <f>""</f>
        <v/>
      </c>
      <c r="F4924" s="1" t="s">
        <v>1860</v>
      </c>
      <c r="G4924" s="1" t="str">
        <f>CONCATENATE(" SMIT-COMMERCE D.O.O.,"," GORNJOSTUPNIČKA 9B,"," 10255 GORNJI STUPNIK,"," OIB: 9524348214")</f>
        <v xml:space="preserve"> SMIT-COMMERCE D.O.O., GORNJOSTUPNIČKA 9B, 10255 GORNJI STUPNIK, OIB: 9524348214</v>
      </c>
      <c r="H4924" s="7"/>
      <c r="I4924" s="8" t="s">
        <v>458</v>
      </c>
      <c r="J4924" s="8" t="s">
        <v>3271</v>
      </c>
      <c r="K4924" s="6" t="str">
        <f>"1.306,35"</f>
        <v>1.306,35</v>
      </c>
      <c r="L4924" s="6" t="str">
        <f>"326,59"</f>
        <v>326,59</v>
      </c>
      <c r="M4924" s="6" t="str">
        <f>"1.632,94"</f>
        <v>1.632,94</v>
      </c>
      <c r="N4924" s="8" t="s">
        <v>124</v>
      </c>
      <c r="O4924" s="7"/>
      <c r="P4924" s="2" t="s">
        <v>5614</v>
      </c>
      <c r="Q4924" s="7"/>
      <c r="R4924" s="1"/>
      <c r="S4924" s="1" t="str">
        <f>"J-UN-2022-1970"</f>
        <v>J-UN-2022-1970</v>
      </c>
      <c r="T4924" s="1" t="s">
        <v>32</v>
      </c>
    </row>
    <row r="4925" spans="1:20" ht="51" x14ac:dyDescent="0.25">
      <c r="A4925" s="6">
        <v>4904</v>
      </c>
      <c r="B4925" s="1" t="str">
        <f>"2022-2013"</f>
        <v>2022-2013</v>
      </c>
      <c r="C4925" s="1" t="s">
        <v>3234</v>
      </c>
      <c r="D4925" s="1" t="s">
        <v>1529</v>
      </c>
      <c r="E4925" s="1" t="str">
        <f>""</f>
        <v/>
      </c>
      <c r="F4925" s="1" t="s">
        <v>1860</v>
      </c>
      <c r="G4925" s="1" t="str">
        <f>CONCATENATE(" VULKAL D.O.O.,"," SAMOBORSKA CESTA 310,"," 10000 ZAGREB,"," OIB: 9043969613")</f>
        <v xml:space="preserve"> VULKAL D.O.O., SAMOBORSKA CESTA 310, 10000 ZAGREB, OIB: 9043969613</v>
      </c>
      <c r="H4925" s="7"/>
      <c r="I4925" s="8" t="s">
        <v>892</v>
      </c>
      <c r="J4925" s="8" t="s">
        <v>2174</v>
      </c>
      <c r="K4925" s="6" t="str">
        <f>"2.060,00"</f>
        <v>2.060,00</v>
      </c>
      <c r="L4925" s="6" t="str">
        <f>"515,00"</f>
        <v>515,00</v>
      </c>
      <c r="M4925" s="6" t="str">
        <f>"2.575,00"</f>
        <v>2.575,00</v>
      </c>
      <c r="N4925" s="8" t="s">
        <v>553</v>
      </c>
      <c r="O4925" s="7"/>
      <c r="P4925" s="2" t="s">
        <v>8402</v>
      </c>
      <c r="Q4925" s="7"/>
      <c r="R4925" s="1"/>
      <c r="S4925" s="1" t="str">
        <f>"J-UN-2022-1971"</f>
        <v>J-UN-2022-1971</v>
      </c>
      <c r="T4925" s="1" t="s">
        <v>32</v>
      </c>
    </row>
    <row r="4926" spans="1:20" ht="51" x14ac:dyDescent="0.25">
      <c r="A4926" s="6">
        <v>4905</v>
      </c>
      <c r="B4926" s="1" t="str">
        <f>"2022-1350"</f>
        <v>2022-1350</v>
      </c>
      <c r="C4926" s="1" t="s">
        <v>3131</v>
      </c>
      <c r="D4926" s="1" t="s">
        <v>1859</v>
      </c>
      <c r="E4926" s="1" t="str">
        <f>""</f>
        <v/>
      </c>
      <c r="F4926" s="1" t="s">
        <v>1860</v>
      </c>
      <c r="G4926" s="1" t="str">
        <f>CONCATENATE(" INFO PULS D.O.O.,"," JOSIPA PUPAČIĆA 1,"," 10000 ZAGREB,"," OIB: 43150843424")</f>
        <v xml:space="preserve"> INFO PULS D.O.O., JOSIPA PUPAČIĆA 1, 10000 ZAGREB, OIB: 43150843424</v>
      </c>
      <c r="H4926" s="7"/>
      <c r="I4926" s="8" t="s">
        <v>525</v>
      </c>
      <c r="J4926" s="8" t="s">
        <v>3260</v>
      </c>
      <c r="K4926" s="6" t="str">
        <f>"2.817,90"</f>
        <v>2.817,90</v>
      </c>
      <c r="L4926" s="6" t="str">
        <f>"704,48"</f>
        <v>704,48</v>
      </c>
      <c r="M4926" s="6" t="str">
        <f>"3.522,38"</f>
        <v>3.522,38</v>
      </c>
      <c r="N4926" s="8" t="s">
        <v>124</v>
      </c>
      <c r="O4926" s="7"/>
      <c r="P4926" s="2" t="s">
        <v>5614</v>
      </c>
      <c r="Q4926" s="7"/>
      <c r="R4926" s="1"/>
      <c r="S4926" s="1" t="str">
        <f>"J-UN-2022-1973"</f>
        <v>J-UN-2022-1973</v>
      </c>
      <c r="T4926" s="1" t="s">
        <v>32</v>
      </c>
    </row>
    <row r="4927" spans="1:20" ht="38.25" x14ac:dyDescent="0.25">
      <c r="A4927" s="6">
        <v>4906</v>
      </c>
      <c r="B4927" s="1" t="str">
        <f>"2022-344"</f>
        <v>2022-344</v>
      </c>
      <c r="C4927" s="1" t="s">
        <v>2808</v>
      </c>
      <c r="D4927" s="1" t="s">
        <v>2809</v>
      </c>
      <c r="E4927" s="1" t="str">
        <f>""</f>
        <v/>
      </c>
      <c r="F4927" s="1" t="s">
        <v>1860</v>
      </c>
      <c r="G4927" s="1" t="str">
        <f>CONCATENATE(" BBB  D.O.O.,"," SOPNIČKA 93A,"," 10360 SESVETE,"," OIB: 46219067545")</f>
        <v xml:space="preserve"> BBB  D.O.O., SOPNIČKA 93A, 10360 SESVETE, OIB: 46219067545</v>
      </c>
      <c r="H4927" s="7"/>
      <c r="I4927" s="8" t="s">
        <v>1612</v>
      </c>
      <c r="J4927" s="8" t="s">
        <v>391</v>
      </c>
      <c r="K4927" s="6" t="str">
        <f>"13.900,00"</f>
        <v>13.900,00</v>
      </c>
      <c r="L4927" s="6" t="str">
        <f>"3.475,00"</f>
        <v>3.475,00</v>
      </c>
      <c r="M4927" s="6" t="str">
        <f>"17.375,00"</f>
        <v>17.375,00</v>
      </c>
      <c r="N4927" s="8" t="s">
        <v>124</v>
      </c>
      <c r="O4927" s="7"/>
      <c r="P4927" s="2" t="s">
        <v>5614</v>
      </c>
      <c r="Q4927" s="7"/>
      <c r="R4927" s="1"/>
      <c r="S4927" s="1" t="str">
        <f>"J-UN-2022-1975"</f>
        <v>J-UN-2022-1975</v>
      </c>
      <c r="T4927" s="1" t="s">
        <v>32</v>
      </c>
    </row>
    <row r="4928" spans="1:20" ht="63.75" x14ac:dyDescent="0.25">
      <c r="A4928" s="6">
        <v>4907</v>
      </c>
      <c r="B4928" s="1" t="str">
        <f>"2022-2059"</f>
        <v>2022-2059</v>
      </c>
      <c r="C4928" s="1" t="s">
        <v>3272</v>
      </c>
      <c r="D4928" s="1" t="s">
        <v>537</v>
      </c>
      <c r="E4928" s="1" t="str">
        <f>""</f>
        <v/>
      </c>
      <c r="F4928" s="1" t="s">
        <v>1860</v>
      </c>
      <c r="G4928" s="1" t="str">
        <f>CONCATENATE(" MALI GRM D.O.O.,"," GRANČARSKA ULICA II. ODVOJAK 4,"," 10000 ZAGREB,"," OIB: 91276298719")</f>
        <v xml:space="preserve"> MALI GRM D.O.O., GRANČARSKA ULICA II. ODVOJAK 4, 10000 ZAGREB, OIB: 91276298719</v>
      </c>
      <c r="H4928" s="7"/>
      <c r="I4928" s="8" t="s">
        <v>207</v>
      </c>
      <c r="J4928" s="8" t="s">
        <v>3273</v>
      </c>
      <c r="K4928" s="6" t="str">
        <f>"189.650,00"</f>
        <v>189.650,00</v>
      </c>
      <c r="L4928" s="6" t="str">
        <f>"47.412,50"</f>
        <v>47.412,50</v>
      </c>
      <c r="M4928" s="6" t="str">
        <f>"237.062,50"</f>
        <v>237.062,50</v>
      </c>
      <c r="N4928" s="8" t="s">
        <v>124</v>
      </c>
      <c r="O4928" s="7"/>
      <c r="P4928" s="2" t="s">
        <v>5614</v>
      </c>
      <c r="Q4928" s="7"/>
      <c r="R4928" s="1"/>
      <c r="S4928" s="1" t="str">
        <f>"J-UN-2022-1980"</f>
        <v>J-UN-2022-1980</v>
      </c>
      <c r="T4928" s="1" t="s">
        <v>32</v>
      </c>
    </row>
    <row r="4929" spans="1:20" ht="63.75" x14ac:dyDescent="0.25">
      <c r="A4929" s="6">
        <v>4908</v>
      </c>
      <c r="B4929" s="1" t="str">
        <f>"2022-852"</f>
        <v>2022-852</v>
      </c>
      <c r="C4929" s="1" t="s">
        <v>2469</v>
      </c>
      <c r="D4929" s="1" t="s">
        <v>2287</v>
      </c>
      <c r="E4929" s="1" t="str">
        <f>""</f>
        <v/>
      </c>
      <c r="F4929" s="1" t="s">
        <v>1860</v>
      </c>
      <c r="G4929" s="1" t="str">
        <f>CONCATENATE(" INFO-KOD d.o.o.,"," DINARSKI PUT 1B,"," 10090 ZAGREB-SUSEDGRAD,"," OIB: 87565323632")</f>
        <v xml:space="preserve"> INFO-KOD d.o.o., DINARSKI PUT 1B, 10090 ZAGREB-SUSEDGRAD, OIB: 87565323632</v>
      </c>
      <c r="H4929" s="7"/>
      <c r="I4929" s="8" t="s">
        <v>458</v>
      </c>
      <c r="J4929" s="8" t="s">
        <v>3271</v>
      </c>
      <c r="K4929" s="6" t="str">
        <f>"3.438,24"</f>
        <v>3.438,24</v>
      </c>
      <c r="L4929" s="6" t="str">
        <f>"859,56"</f>
        <v>859,56</v>
      </c>
      <c r="M4929" s="6" t="str">
        <f>"4.297,80"</f>
        <v>4.297,80</v>
      </c>
      <c r="N4929" s="8" t="s">
        <v>124</v>
      </c>
      <c r="O4929" s="7"/>
      <c r="P4929" s="2" t="s">
        <v>5614</v>
      </c>
      <c r="Q4929" s="7"/>
      <c r="R4929" s="1"/>
      <c r="S4929" s="1" t="str">
        <f>"J-UN-2022-1981"</f>
        <v>J-UN-2022-1981</v>
      </c>
      <c r="T4929" s="1" t="s">
        <v>43</v>
      </c>
    </row>
    <row r="4930" spans="1:20" ht="51" x14ac:dyDescent="0.25">
      <c r="A4930" s="6">
        <v>4909</v>
      </c>
      <c r="B4930" s="1" t="str">
        <f>"2022-1238"</f>
        <v>2022-1238</v>
      </c>
      <c r="C4930" s="1" t="s">
        <v>3102</v>
      </c>
      <c r="D4930" s="1" t="s">
        <v>2631</v>
      </c>
      <c r="E4930" s="1" t="str">
        <f>""</f>
        <v/>
      </c>
      <c r="F4930" s="1" t="s">
        <v>1860</v>
      </c>
      <c r="G4930" s="1" t="str">
        <f>CONCATENATE(" INVENTA D.O.O.,"," ULICA GRADA VUKOVARA 284,"," 10000 ZAGREB,"," OIB: 99213847706")</f>
        <v xml:space="preserve"> INVENTA D.O.O., ULICA GRADA VUKOVARA 284, 10000 ZAGREB, OIB: 99213847706</v>
      </c>
      <c r="H4930" s="7"/>
      <c r="I4930" s="8" t="s">
        <v>509</v>
      </c>
      <c r="J4930" s="8" t="s">
        <v>3259</v>
      </c>
      <c r="K4930" s="6" t="str">
        <f>"4.500,00"</f>
        <v>4.500,00</v>
      </c>
      <c r="L4930" s="6" t="str">
        <f>"1.125,00"</f>
        <v>1.125,00</v>
      </c>
      <c r="M4930" s="6" t="str">
        <f>"5.625,00"</f>
        <v>5.625,00</v>
      </c>
      <c r="N4930" s="8" t="s">
        <v>207</v>
      </c>
      <c r="O4930" s="7"/>
      <c r="P4930" s="2" t="s">
        <v>6313</v>
      </c>
      <c r="Q4930" s="7"/>
      <c r="R4930" s="1"/>
      <c r="S4930" s="1" t="str">
        <f>"J-UN-2022-1982"</f>
        <v>J-UN-2022-1982</v>
      </c>
      <c r="T4930" s="1" t="s">
        <v>32</v>
      </c>
    </row>
    <row r="4931" spans="1:20" ht="63.75" x14ac:dyDescent="0.25">
      <c r="A4931" s="6">
        <v>4910</v>
      </c>
      <c r="B4931" s="1" t="str">
        <f>"2022-2045"</f>
        <v>2022-2045</v>
      </c>
      <c r="C4931" s="1" t="s">
        <v>2363</v>
      </c>
      <c r="D4931" s="1" t="s">
        <v>673</v>
      </c>
      <c r="E4931" s="1" t="str">
        <f>""</f>
        <v/>
      </c>
      <c r="F4931" s="1" t="s">
        <v>1860</v>
      </c>
      <c r="G4931" s="1" t="str">
        <f>CONCATENATE(" BRUMAR D.O.O.,"," MARKUŠEVEČKE NJIVICE 6,"," 10000 ZAGREB,"," OIB: 83485438514")</f>
        <v xml:space="preserve"> BRUMAR D.O.O., MARKUŠEVEČKE NJIVICE 6, 10000 ZAGREB, OIB: 83485438514</v>
      </c>
      <c r="H4931" s="7"/>
      <c r="I4931" s="8" t="s">
        <v>525</v>
      </c>
      <c r="J4931" s="8" t="s">
        <v>3260</v>
      </c>
      <c r="K4931" s="6" t="str">
        <f>"19.350,00"</f>
        <v>19.350,00</v>
      </c>
      <c r="L4931" s="6" t="str">
        <f>"4.837,50"</f>
        <v>4.837,50</v>
      </c>
      <c r="M4931" s="6" t="str">
        <f>"24.187,50"</f>
        <v>24.187,50</v>
      </c>
      <c r="N4931" s="8" t="s">
        <v>124</v>
      </c>
      <c r="O4931" s="7"/>
      <c r="P4931" s="2" t="s">
        <v>5614</v>
      </c>
      <c r="Q4931" s="7"/>
      <c r="R4931" s="1"/>
      <c r="S4931" s="1" t="str">
        <f>"J-UN-2022-1983"</f>
        <v>J-UN-2022-1983</v>
      </c>
      <c r="T4931" s="1" t="s">
        <v>32</v>
      </c>
    </row>
    <row r="4932" spans="1:20" ht="51" x14ac:dyDescent="0.25">
      <c r="A4932" s="6">
        <v>4911</v>
      </c>
      <c r="B4932" s="1" t="str">
        <f>"2022-1238"</f>
        <v>2022-1238</v>
      </c>
      <c r="C4932" s="1" t="s">
        <v>3102</v>
      </c>
      <c r="D4932" s="1" t="s">
        <v>2631</v>
      </c>
      <c r="E4932" s="1" t="str">
        <f>""</f>
        <v/>
      </c>
      <c r="F4932" s="1" t="s">
        <v>1860</v>
      </c>
      <c r="G4932" s="1" t="str">
        <f>CONCATENATE(" INVENTA D.O.O.,"," ULICA GRADA VUKOVARA 284,"," 10000 ZAGREB,"," OIB: 99213847706")</f>
        <v xml:space="preserve"> INVENTA D.O.O., ULICA GRADA VUKOVARA 284, 10000 ZAGREB, OIB: 99213847706</v>
      </c>
      <c r="H4932" s="7"/>
      <c r="I4932" s="8" t="s">
        <v>509</v>
      </c>
      <c r="J4932" s="8" t="s">
        <v>3259</v>
      </c>
      <c r="K4932" s="6" t="str">
        <f>"4.950,00"</f>
        <v>4.950,00</v>
      </c>
      <c r="L4932" s="6" t="str">
        <f>"1.237,50"</f>
        <v>1.237,50</v>
      </c>
      <c r="M4932" s="6" t="str">
        <f>"6.187,50"</f>
        <v>6.187,50</v>
      </c>
      <c r="N4932" s="8" t="s">
        <v>124</v>
      </c>
      <c r="O4932" s="7"/>
      <c r="P4932" s="2" t="s">
        <v>5614</v>
      </c>
      <c r="Q4932" s="7"/>
      <c r="R4932" s="1"/>
      <c r="S4932" s="1" t="str">
        <f>"J-UN-2022-1984"</f>
        <v>J-UN-2022-1984</v>
      </c>
      <c r="T4932" s="1" t="s">
        <v>32</v>
      </c>
    </row>
    <row r="4933" spans="1:20" ht="51" x14ac:dyDescent="0.25">
      <c r="A4933" s="6">
        <v>4912</v>
      </c>
      <c r="B4933" s="1" t="str">
        <f>"2022-2066"</f>
        <v>2022-2066</v>
      </c>
      <c r="C4933" s="1" t="s">
        <v>3274</v>
      </c>
      <c r="D4933" s="1" t="s">
        <v>1391</v>
      </c>
      <c r="E4933" s="1" t="str">
        <f>""</f>
        <v/>
      </c>
      <c r="F4933" s="1" t="s">
        <v>1860</v>
      </c>
      <c r="G4933" s="1" t="str">
        <f>CONCATENATE(" APIS IT D.O.O.,"," PALJETKOVA 18,"," 10000 ZAGREB,"," OIB: 02994650199")</f>
        <v xml:space="preserve"> APIS IT D.O.O., PALJETKOVA 18, 10000 ZAGREB, OIB: 02994650199</v>
      </c>
      <c r="H4933" s="7"/>
      <c r="I4933" s="8" t="s">
        <v>525</v>
      </c>
      <c r="J4933" s="8" t="s">
        <v>3260</v>
      </c>
      <c r="K4933" s="6" t="str">
        <f>"112.000,00"</f>
        <v>112.000,00</v>
      </c>
      <c r="L4933" s="6" t="str">
        <f>"28.000,00"</f>
        <v>28.000,00</v>
      </c>
      <c r="M4933" s="6" t="str">
        <f>"140.000,00"</f>
        <v>140.000,00</v>
      </c>
      <c r="N4933" s="8" t="s">
        <v>124</v>
      </c>
      <c r="O4933" s="7"/>
      <c r="P4933" s="2" t="s">
        <v>5614</v>
      </c>
      <c r="Q4933" s="7"/>
      <c r="R4933" s="1"/>
      <c r="S4933" s="1" t="str">
        <f>"J-UN-2022-1985"</f>
        <v>J-UN-2022-1985</v>
      </c>
      <c r="T4933" s="1" t="s">
        <v>43</v>
      </c>
    </row>
    <row r="4934" spans="1:20" ht="51" x14ac:dyDescent="0.25">
      <c r="A4934" s="6">
        <v>4913</v>
      </c>
      <c r="B4934" s="1" t="str">
        <f>"2022-2013"</f>
        <v>2022-2013</v>
      </c>
      <c r="C4934" s="1" t="s">
        <v>3234</v>
      </c>
      <c r="D4934" s="1" t="s">
        <v>1529</v>
      </c>
      <c r="E4934" s="1" t="str">
        <f>""</f>
        <v/>
      </c>
      <c r="F4934" s="1" t="s">
        <v>1860</v>
      </c>
      <c r="G4934" s="1" t="str">
        <f>CONCATENATE(" VULKAL D.O.O.,"," SAMOBORSKA CESTA 310,"," 10000 ZAGREB,"," OIB: 9043969613")</f>
        <v xml:space="preserve"> VULKAL D.O.O., SAMOBORSKA CESTA 310, 10000 ZAGREB, OIB: 9043969613</v>
      </c>
      <c r="H4934" s="7"/>
      <c r="I4934" s="8" t="s">
        <v>1612</v>
      </c>
      <c r="J4934" s="8" t="s">
        <v>391</v>
      </c>
      <c r="K4934" s="6" t="str">
        <f>"54.248,00"</f>
        <v>54.248,00</v>
      </c>
      <c r="L4934" s="6" t="str">
        <f>"13.562,00"</f>
        <v>13.562,00</v>
      </c>
      <c r="M4934" s="6" t="str">
        <f>"67.810,00"</f>
        <v>67.810,00</v>
      </c>
      <c r="N4934" s="8" t="s">
        <v>124</v>
      </c>
      <c r="O4934" s="7"/>
      <c r="P4934" s="2" t="s">
        <v>5614</v>
      </c>
      <c r="Q4934" s="7"/>
      <c r="R4934" s="1"/>
      <c r="S4934" s="1" t="str">
        <f>"J-UN-2022-1997"</f>
        <v>J-UN-2022-1997</v>
      </c>
      <c r="T4934" s="1" t="s">
        <v>32</v>
      </c>
    </row>
    <row r="4935" spans="1:20" ht="51" x14ac:dyDescent="0.25">
      <c r="A4935" s="6">
        <v>4914</v>
      </c>
      <c r="B4935" s="1" t="str">
        <f>"2022-2044"</f>
        <v>2022-2044</v>
      </c>
      <c r="C4935" s="1" t="s">
        <v>3257</v>
      </c>
      <c r="D4935" s="1" t="s">
        <v>673</v>
      </c>
      <c r="E4935" s="1" t="str">
        <f>""</f>
        <v/>
      </c>
      <c r="F4935" s="1" t="s">
        <v>1860</v>
      </c>
      <c r="G4935" s="1" t="str">
        <f>CONCATENATE(" CONTROLMATIK D.O.O.,"," PRIMORSKA 1,"," 42000 VARAŽDIN,"," OIB: 25020037517")</f>
        <v xml:space="preserve"> CONTROLMATIK D.O.O., PRIMORSKA 1, 42000 VARAŽDIN, OIB: 25020037517</v>
      </c>
      <c r="H4935" s="7"/>
      <c r="I4935" s="8" t="s">
        <v>501</v>
      </c>
      <c r="J4935" s="8" t="s">
        <v>3265</v>
      </c>
      <c r="K4935" s="6" t="str">
        <f>"13.500,00"</f>
        <v>13.500,00</v>
      </c>
      <c r="L4935" s="6" t="str">
        <f>"3.375,00"</f>
        <v>3.375,00</v>
      </c>
      <c r="M4935" s="6" t="str">
        <f>"16.875,00"</f>
        <v>16.875,00</v>
      </c>
      <c r="N4935" s="8" t="s">
        <v>124</v>
      </c>
      <c r="O4935" s="7"/>
      <c r="P4935" s="2" t="s">
        <v>5614</v>
      </c>
      <c r="Q4935" s="7"/>
      <c r="R4935" s="1"/>
      <c r="S4935" s="1" t="str">
        <f>"J-UN-2022-1998"</f>
        <v>J-UN-2022-1998</v>
      </c>
      <c r="T4935" s="1" t="s">
        <v>32</v>
      </c>
    </row>
    <row r="4936" spans="1:20" ht="51" x14ac:dyDescent="0.25">
      <c r="A4936" s="6">
        <v>4915</v>
      </c>
      <c r="B4936" s="1" t="str">
        <f>"2022-2044"</f>
        <v>2022-2044</v>
      </c>
      <c r="C4936" s="1" t="s">
        <v>3257</v>
      </c>
      <c r="D4936" s="1" t="s">
        <v>673</v>
      </c>
      <c r="E4936" s="1" t="str">
        <f>""</f>
        <v/>
      </c>
      <c r="F4936" s="1" t="s">
        <v>1860</v>
      </c>
      <c r="G4936" s="1" t="str">
        <f>CONCATENATE(" BLUEMONT D.O.O.,"," VINCEKOV BREG 20,"," 10000 ZAGREB,"," OIB: 54895392358")</f>
        <v xml:space="preserve"> BLUEMONT D.O.O., VINCEKOV BREG 20, 10000 ZAGREB, OIB: 54895392358</v>
      </c>
      <c r="H4936" s="7"/>
      <c r="I4936" s="8" t="s">
        <v>509</v>
      </c>
      <c r="J4936" s="8" t="s">
        <v>3259</v>
      </c>
      <c r="K4936" s="6" t="str">
        <f>"7.681,50"</f>
        <v>7.681,50</v>
      </c>
      <c r="L4936" s="6" t="str">
        <f>"1.920,38"</f>
        <v>1.920,38</v>
      </c>
      <c r="M4936" s="6" t="str">
        <f>"9.601,88"</f>
        <v>9.601,88</v>
      </c>
      <c r="N4936" s="8" t="s">
        <v>1612</v>
      </c>
      <c r="O4936" s="7"/>
      <c r="P4936" s="2" t="s">
        <v>8403</v>
      </c>
      <c r="Q4936" s="7"/>
      <c r="R4936" s="1"/>
      <c r="S4936" s="1" t="str">
        <f>"J-UN-2022-1999"</f>
        <v>J-UN-2022-1999</v>
      </c>
      <c r="T4936" s="1" t="s">
        <v>32</v>
      </c>
    </row>
    <row r="4937" spans="1:20" ht="51" x14ac:dyDescent="0.25">
      <c r="A4937" s="6">
        <v>4916</v>
      </c>
      <c r="B4937" s="1" t="str">
        <f>"2022-188"</f>
        <v>2022-188</v>
      </c>
      <c r="C4937" s="1" t="s">
        <v>2685</v>
      </c>
      <c r="D4937" s="1" t="s">
        <v>2686</v>
      </c>
      <c r="E4937" s="1" t="str">
        <f>""</f>
        <v/>
      </c>
      <c r="F4937" s="1" t="s">
        <v>1860</v>
      </c>
      <c r="G4937" s="1" t="str">
        <f>CONCATENATE(" SCHEDA D.O.O.,"," LJUDEVITA POSAVSKOG 29,"," 10360 SESVETE,"," OIB: 76219817247")</f>
        <v xml:space="preserve"> SCHEDA D.O.O., LJUDEVITA POSAVSKOG 29, 10360 SESVETE, OIB: 76219817247</v>
      </c>
      <c r="H4937" s="7"/>
      <c r="I4937" s="8" t="s">
        <v>207</v>
      </c>
      <c r="J4937" s="8" t="s">
        <v>2364</v>
      </c>
      <c r="K4937" s="6" t="str">
        <f>"133.866,00"</f>
        <v>133.866,00</v>
      </c>
      <c r="L4937" s="6" t="str">
        <f>"33.466,50"</f>
        <v>33.466,50</v>
      </c>
      <c r="M4937" s="6" t="str">
        <f>"167.332,50"</f>
        <v>167.332,50</v>
      </c>
      <c r="N4937" s="8" t="s">
        <v>207</v>
      </c>
      <c r="O4937" s="7"/>
      <c r="P4937" s="2" t="s">
        <v>8404</v>
      </c>
      <c r="Q4937" s="7"/>
      <c r="R4937" s="1"/>
      <c r="S4937" s="1" t="str">
        <f>"J-UN-2022-2000"</f>
        <v>J-UN-2022-2000</v>
      </c>
      <c r="T4937" s="1" t="s">
        <v>32</v>
      </c>
    </row>
    <row r="4938" spans="1:20" ht="51" x14ac:dyDescent="0.25">
      <c r="A4938" s="6">
        <v>4917</v>
      </c>
      <c r="B4938" s="1" t="str">
        <f>"2022-2057"</f>
        <v>2022-2057</v>
      </c>
      <c r="C4938" s="1" t="s">
        <v>3275</v>
      </c>
      <c r="D4938" s="1" t="s">
        <v>750</v>
      </c>
      <c r="E4938" s="1" t="str">
        <f>""</f>
        <v/>
      </c>
      <c r="F4938" s="1" t="s">
        <v>1860</v>
      </c>
      <c r="G4938" s="1" t="str">
        <f>CONCATENATE(" USLUGA D.O.O.,"," GORNJA OBRIJEŽ 21,"," 34550 PAKRAC,"," OIB: 2798710804")</f>
        <v xml:space="preserve"> USLUGA D.O.O., GORNJA OBRIJEŽ 21, 34550 PAKRAC, OIB: 2798710804</v>
      </c>
      <c r="H4938" s="7"/>
      <c r="I4938" s="8" t="s">
        <v>458</v>
      </c>
      <c r="J4938" s="8" t="s">
        <v>3271</v>
      </c>
      <c r="K4938" s="6" t="str">
        <f>"169.500,00"</f>
        <v>169.500,00</v>
      </c>
      <c r="L4938" s="6" t="str">
        <f>"42.375,00"</f>
        <v>42.375,00</v>
      </c>
      <c r="M4938" s="6" t="str">
        <f>"211.875,00"</f>
        <v>211.875,00</v>
      </c>
      <c r="N4938" s="8" t="s">
        <v>124</v>
      </c>
      <c r="O4938" s="7"/>
      <c r="P4938" s="2" t="s">
        <v>5614</v>
      </c>
      <c r="Q4938" s="7"/>
      <c r="R4938" s="1"/>
      <c r="S4938" s="1" t="str">
        <f>"J-UN-2022-2001"</f>
        <v>J-UN-2022-2001</v>
      </c>
      <c r="T4938" s="1" t="s">
        <v>32</v>
      </c>
    </row>
    <row r="4939" spans="1:20" ht="63.75" x14ac:dyDescent="0.25">
      <c r="A4939" s="6">
        <v>4918</v>
      </c>
      <c r="B4939" s="1" t="str">
        <f>"2022-2044"</f>
        <v>2022-2044</v>
      </c>
      <c r="C4939" s="1" t="s">
        <v>3257</v>
      </c>
      <c r="D4939" s="1" t="s">
        <v>673</v>
      </c>
      <c r="E4939" s="1" t="str">
        <f>""</f>
        <v/>
      </c>
      <c r="F4939" s="1" t="s">
        <v>1860</v>
      </c>
      <c r="G4939" s="1" t="str">
        <f>CONCATENATE(" BRUMAR D.O.O.,"," MARKUŠEVEČKE NJIVICE 6,"," 10000 ZAGREB,"," OIB: 83485438514")</f>
        <v xml:space="preserve"> BRUMAR D.O.O., MARKUŠEVEČKE NJIVICE 6, 10000 ZAGREB, OIB: 83485438514</v>
      </c>
      <c r="H4939" s="7"/>
      <c r="I4939" s="8" t="s">
        <v>501</v>
      </c>
      <c r="J4939" s="8" t="s">
        <v>3265</v>
      </c>
      <c r="K4939" s="6" t="str">
        <f>"47.700,00"</f>
        <v>47.700,00</v>
      </c>
      <c r="L4939" s="6" t="str">
        <f>"11.925,00"</f>
        <v>11.925,00</v>
      </c>
      <c r="M4939" s="6" t="str">
        <f>"59.625,00"</f>
        <v>59.625,00</v>
      </c>
      <c r="N4939" s="8" t="s">
        <v>124</v>
      </c>
      <c r="O4939" s="7"/>
      <c r="P4939" s="2" t="s">
        <v>5614</v>
      </c>
      <c r="Q4939" s="7"/>
      <c r="R4939" s="1"/>
      <c r="S4939" s="1" t="str">
        <f>"J-UN-2022-2003"</f>
        <v>J-UN-2022-2003</v>
      </c>
      <c r="T4939" s="1" t="s">
        <v>32</v>
      </c>
    </row>
    <row r="4940" spans="1:20" ht="51" x14ac:dyDescent="0.25">
      <c r="A4940" s="6">
        <v>4919</v>
      </c>
      <c r="B4940" s="1" t="str">
        <f>"2022-384"</f>
        <v>2022-384</v>
      </c>
      <c r="C4940" s="1" t="s">
        <v>3062</v>
      </c>
      <c r="D4940" s="1" t="s">
        <v>3063</v>
      </c>
      <c r="E4940" s="1" t="str">
        <f>""</f>
        <v/>
      </c>
      <c r="F4940" s="1" t="s">
        <v>1860</v>
      </c>
      <c r="G4940" s="1" t="str">
        <f>CONCATENATE(" VIJCI KRANJEC,"," UL.GRADA VUKOVARA 3,"," 10000 ZAGREB,"," OIB: 59294924118")</f>
        <v xml:space="preserve"> VIJCI KRANJEC, UL.GRADA VUKOVARA 3, 10000 ZAGREB, OIB: 59294924118</v>
      </c>
      <c r="H4940" s="7"/>
      <c r="I4940" s="8" t="s">
        <v>383</v>
      </c>
      <c r="J4940" s="8" t="s">
        <v>1547</v>
      </c>
      <c r="K4940" s="6" t="str">
        <f>"6.500,00"</f>
        <v>6.500,00</v>
      </c>
      <c r="L4940" s="6" t="str">
        <f>"1.625,00"</f>
        <v>1.625,00</v>
      </c>
      <c r="M4940" s="6" t="str">
        <f>"8.125,00"</f>
        <v>8.125,00</v>
      </c>
      <c r="N4940" s="8" t="s">
        <v>124</v>
      </c>
      <c r="O4940" s="7"/>
      <c r="P4940" s="2" t="s">
        <v>5614</v>
      </c>
      <c r="Q4940" s="7"/>
      <c r="R4940" s="1"/>
      <c r="S4940" s="1" t="str">
        <f>"J-UN-2022-2036"</f>
        <v>J-UN-2022-2036</v>
      </c>
      <c r="T4940" s="1" t="s">
        <v>32</v>
      </c>
    </row>
    <row r="4941" spans="1:20" ht="76.5" x14ac:dyDescent="0.25">
      <c r="A4941" s="6">
        <v>4920</v>
      </c>
      <c r="B4941" s="1" t="str">
        <f>"2022-505"</f>
        <v>2022-505</v>
      </c>
      <c r="C4941" s="1" t="s">
        <v>2694</v>
      </c>
      <c r="D4941" s="1" t="s">
        <v>1888</v>
      </c>
      <c r="E4941" s="1" t="str">
        <f>""</f>
        <v/>
      </c>
      <c r="F4941" s="1" t="s">
        <v>1860</v>
      </c>
      <c r="G4941" s="1" t="str">
        <f>CONCATENATE(" SMIT-COMMERCE D.O.O.,"," GORNJOSTUPNIČKA 9B,"," 10255 GORNJI STUPNIK,"," OIB: 9524348214")</f>
        <v xml:space="preserve"> SMIT-COMMERCE D.O.O., GORNJOSTUPNIČKA 9B, 10255 GORNJI STUPNIK, OIB: 9524348214</v>
      </c>
      <c r="H4941" s="7"/>
      <c r="I4941" s="8" t="s">
        <v>383</v>
      </c>
      <c r="J4941" s="8" t="s">
        <v>1547</v>
      </c>
      <c r="K4941" s="6" t="str">
        <f>"9.461,71"</f>
        <v>9.461,71</v>
      </c>
      <c r="L4941" s="6" t="str">
        <f>"2.365,43"</f>
        <v>2.365,43</v>
      </c>
      <c r="M4941" s="6" t="str">
        <f>"11.827,14"</f>
        <v>11.827,14</v>
      </c>
      <c r="N4941" s="8" t="s">
        <v>124</v>
      </c>
      <c r="O4941" s="7"/>
      <c r="P4941" s="2" t="s">
        <v>5614</v>
      </c>
      <c r="Q4941" s="7"/>
      <c r="R4941" s="1"/>
      <c r="S4941" s="1" t="str">
        <f>"J-UN-2022-2037"</f>
        <v>J-UN-2022-2037</v>
      </c>
      <c r="T4941" s="1" t="s">
        <v>32</v>
      </c>
    </row>
    <row r="4942" spans="1:20" ht="51" x14ac:dyDescent="0.25">
      <c r="A4942" s="6">
        <v>4921</v>
      </c>
      <c r="B4942" s="1" t="str">
        <f>"2022-421"</f>
        <v>2022-421</v>
      </c>
      <c r="C4942" s="1" t="s">
        <v>2940</v>
      </c>
      <c r="D4942" s="1" t="s">
        <v>2577</v>
      </c>
      <c r="E4942" s="1" t="str">
        <f>""</f>
        <v/>
      </c>
      <c r="F4942" s="1" t="s">
        <v>1860</v>
      </c>
      <c r="G4942" s="1" t="str">
        <f>CONCATENATE(" VULKAN-NOVA D.O.O.,"," SPINČIĆEVA 9 i 12,"," 51000 RIJEKA,"," OIB: 12441871562")</f>
        <v xml:space="preserve"> VULKAN-NOVA D.O.O., SPINČIĆEVA 9 i 12, 51000 RIJEKA, OIB: 12441871562</v>
      </c>
      <c r="H4942" s="7"/>
      <c r="I4942" s="8" t="s">
        <v>1612</v>
      </c>
      <c r="J4942" s="8" t="s">
        <v>391</v>
      </c>
      <c r="K4942" s="6" t="str">
        <f>"20.240,00"</f>
        <v>20.240,00</v>
      </c>
      <c r="L4942" s="6" t="str">
        <f>"5.060,00"</f>
        <v>5.060,00</v>
      </c>
      <c r="M4942" s="6" t="str">
        <f>"25.300,00"</f>
        <v>25.300,00</v>
      </c>
      <c r="N4942" s="8" t="s">
        <v>124</v>
      </c>
      <c r="O4942" s="7"/>
      <c r="P4942" s="2" t="s">
        <v>5614</v>
      </c>
      <c r="Q4942" s="7"/>
      <c r="R4942" s="1"/>
      <c r="S4942" s="1" t="str">
        <f>"J-UN-2022-2038"</f>
        <v>J-UN-2022-2038</v>
      </c>
      <c r="T4942" s="1" t="s">
        <v>32</v>
      </c>
    </row>
    <row r="4943" spans="1:20" ht="51" x14ac:dyDescent="0.25">
      <c r="A4943" s="6">
        <v>4922</v>
      </c>
      <c r="B4943" s="1" t="str">
        <f>"2022-2013"</f>
        <v>2022-2013</v>
      </c>
      <c r="C4943" s="1" t="s">
        <v>3234</v>
      </c>
      <c r="D4943" s="1" t="s">
        <v>1529</v>
      </c>
      <c r="E4943" s="1" t="str">
        <f>""</f>
        <v/>
      </c>
      <c r="F4943" s="1" t="s">
        <v>1860</v>
      </c>
      <c r="G4943" s="1" t="str">
        <f>CONCATENATE(" PNEUMATIK D.O.O.,"," KARAŽNIK 2/A,"," 10000 ZAGREB,"," OIB: 68256909072")</f>
        <v xml:space="preserve"> PNEUMATIK D.O.O., KARAŽNIK 2/A, 10000 ZAGREB, OIB: 68256909072</v>
      </c>
      <c r="H4943" s="7"/>
      <c r="I4943" s="8" t="s">
        <v>383</v>
      </c>
      <c r="J4943" s="8" t="s">
        <v>1547</v>
      </c>
      <c r="K4943" s="6" t="str">
        <f>"3.400,00"</f>
        <v>3.400,00</v>
      </c>
      <c r="L4943" s="6" t="str">
        <f>"850,00"</f>
        <v>850,00</v>
      </c>
      <c r="M4943" s="6" t="str">
        <f>"4.250,00"</f>
        <v>4.250,00</v>
      </c>
      <c r="N4943" s="8" t="s">
        <v>124</v>
      </c>
      <c r="O4943" s="7"/>
      <c r="P4943" s="2" t="s">
        <v>5614</v>
      </c>
      <c r="Q4943" s="7"/>
      <c r="R4943" s="1"/>
      <c r="S4943" s="1" t="str">
        <f>"J-UN-2022-2039"</f>
        <v>J-UN-2022-2039</v>
      </c>
      <c r="T4943" s="1" t="s">
        <v>32</v>
      </c>
    </row>
    <row r="4944" spans="1:20" ht="51" x14ac:dyDescent="0.25">
      <c r="A4944" s="6">
        <v>4923</v>
      </c>
      <c r="B4944" s="1" t="str">
        <f>"2022-188"</f>
        <v>2022-188</v>
      </c>
      <c r="C4944" s="1" t="s">
        <v>2685</v>
      </c>
      <c r="D4944" s="1" t="s">
        <v>2686</v>
      </c>
      <c r="E4944" s="1" t="str">
        <f>""</f>
        <v/>
      </c>
      <c r="F4944" s="1" t="s">
        <v>1860</v>
      </c>
      <c r="G4944" s="1" t="str">
        <f>CONCATENATE(" TED D.O.O.,"," VRHOVČEV VIJENAC 84,"," 10000 ZAGREB,"," OIB: 22740118957")</f>
        <v xml:space="preserve"> TED D.O.O., VRHOVČEV VIJENAC 84, 10000 ZAGREB, OIB: 22740118957</v>
      </c>
      <c r="H4944" s="7"/>
      <c r="I4944" s="8" t="s">
        <v>383</v>
      </c>
      <c r="J4944" s="8" t="s">
        <v>1547</v>
      </c>
      <c r="K4944" s="6" t="str">
        <f>"8.555,00"</f>
        <v>8.555,00</v>
      </c>
      <c r="L4944" s="6" t="str">
        <f>"2.138,75"</f>
        <v>2.138,75</v>
      </c>
      <c r="M4944" s="6" t="str">
        <f>"10.693,75"</f>
        <v>10.693,75</v>
      </c>
      <c r="N4944" s="8" t="s">
        <v>124</v>
      </c>
      <c r="O4944" s="7"/>
      <c r="P4944" s="2" t="s">
        <v>5614</v>
      </c>
      <c r="Q4944" s="7"/>
      <c r="R4944" s="1"/>
      <c r="S4944" s="1" t="str">
        <f>"J-UN-2022-2040"</f>
        <v>J-UN-2022-2040</v>
      </c>
      <c r="T4944" s="1" t="s">
        <v>32</v>
      </c>
    </row>
    <row r="4945" spans="1:20" ht="63.75" x14ac:dyDescent="0.25">
      <c r="A4945" s="6">
        <v>4924</v>
      </c>
      <c r="B4945" s="1" t="str">
        <f>"2022-500"</f>
        <v>2022-500</v>
      </c>
      <c r="C4945" s="1" t="s">
        <v>3276</v>
      </c>
      <c r="D4945" s="1" t="s">
        <v>2789</v>
      </c>
      <c r="E4945" s="1" t="str">
        <f>""</f>
        <v/>
      </c>
      <c r="F4945" s="1" t="s">
        <v>1860</v>
      </c>
      <c r="G4945" s="1" t="str">
        <f>CONCATENATE(" ELEKTRO-KOMUNIKACIJE D.O.O.,"," 14. PODBREŽJE 4,"," 10000 ZAGREB,"," OIB: 76412373309")</f>
        <v xml:space="preserve"> ELEKTRO-KOMUNIKACIJE D.O.O., 14. PODBREŽJE 4, 10000 ZAGREB, OIB: 76412373309</v>
      </c>
      <c r="H4945" s="7"/>
      <c r="I4945" s="8" t="s">
        <v>383</v>
      </c>
      <c r="J4945" s="8" t="s">
        <v>1547</v>
      </c>
      <c r="K4945" s="6" t="str">
        <f>"1.669,50"</f>
        <v>1.669,50</v>
      </c>
      <c r="L4945" s="6" t="str">
        <f>"417,38"</f>
        <v>417,38</v>
      </c>
      <c r="M4945" s="6" t="str">
        <f>"2.086,88"</f>
        <v>2.086,88</v>
      </c>
      <c r="N4945" s="8" t="s">
        <v>124</v>
      </c>
      <c r="O4945" s="7"/>
      <c r="P4945" s="2" t="s">
        <v>5614</v>
      </c>
      <c r="Q4945" s="7"/>
      <c r="R4945" s="1"/>
      <c r="S4945" s="1" t="str">
        <f>"J-UN-2022-2041"</f>
        <v>J-UN-2022-2041</v>
      </c>
      <c r="T4945" s="1" t="s">
        <v>32</v>
      </c>
    </row>
    <row r="4946" spans="1:20" ht="76.5" x14ac:dyDescent="0.25">
      <c r="A4946" s="6">
        <v>4925</v>
      </c>
      <c r="B4946" s="1" t="str">
        <f>"2022-384"</f>
        <v>2022-384</v>
      </c>
      <c r="C4946" s="1" t="s">
        <v>3062</v>
      </c>
      <c r="D4946" s="1" t="s">
        <v>3063</v>
      </c>
      <c r="E4946" s="1" t="str">
        <f>""</f>
        <v/>
      </c>
      <c r="F4946" s="1" t="s">
        <v>1860</v>
      </c>
      <c r="G4946" s="1" t="str">
        <f>CONCATENATE(" SMIT-COMMERCE D.O.O.,"," GORNJOSTUPNIČKA 9B,"," 10255 GORNJI STUPNIK,"," OIB: 9524348214")</f>
        <v xml:space="preserve"> SMIT-COMMERCE D.O.O., GORNJOSTUPNIČKA 9B, 10255 GORNJI STUPNIK, OIB: 9524348214</v>
      </c>
      <c r="H4946" s="7"/>
      <c r="I4946" s="8" t="s">
        <v>383</v>
      </c>
      <c r="J4946" s="8" t="s">
        <v>1547</v>
      </c>
      <c r="K4946" s="6" t="str">
        <f>"2.228,90"</f>
        <v>2.228,90</v>
      </c>
      <c r="L4946" s="6" t="str">
        <f>"557,23"</f>
        <v>557,23</v>
      </c>
      <c r="M4946" s="6" t="str">
        <f>"2.786,13"</f>
        <v>2.786,13</v>
      </c>
      <c r="N4946" s="8" t="s">
        <v>124</v>
      </c>
      <c r="O4946" s="7"/>
      <c r="P4946" s="2" t="s">
        <v>5614</v>
      </c>
      <c r="Q4946" s="7"/>
      <c r="R4946" s="1"/>
      <c r="S4946" s="1" t="str">
        <f>"J-UN-2022-2042"</f>
        <v>J-UN-2022-2042</v>
      </c>
      <c r="T4946" s="1" t="s">
        <v>32</v>
      </c>
    </row>
    <row r="4947" spans="1:20" ht="63.75" x14ac:dyDescent="0.25">
      <c r="A4947" s="6">
        <v>4926</v>
      </c>
      <c r="B4947" s="1" t="str">
        <f>"2022-473"</f>
        <v>2022-473</v>
      </c>
      <c r="C4947" s="1" t="s">
        <v>2738</v>
      </c>
      <c r="D4947" s="1" t="s">
        <v>2739</v>
      </c>
      <c r="E4947" s="1" t="str">
        <f>""</f>
        <v/>
      </c>
      <c r="F4947" s="1" t="s">
        <v>1860</v>
      </c>
      <c r="G4947" s="1" t="str">
        <f>CONCATENATE(" A.M.I. COMMERCE - LOVREKOVIĆ d.o.o.,"," MAKSIMIRSKA 100,"," 10000 ZAGREB,"," OIB: 55326209639")</f>
        <v xml:space="preserve"> A.M.I. COMMERCE - LOVREKOVIĆ d.o.o., MAKSIMIRSKA 100, 10000 ZAGREB, OIB: 55326209639</v>
      </c>
      <c r="H4947" s="7"/>
      <c r="I4947" s="8" t="s">
        <v>383</v>
      </c>
      <c r="J4947" s="8" t="s">
        <v>1547</v>
      </c>
      <c r="K4947" s="6" t="str">
        <f>"580,00"</f>
        <v>580,00</v>
      </c>
      <c r="L4947" s="6" t="str">
        <f>"145,00"</f>
        <v>145,00</v>
      </c>
      <c r="M4947" s="6" t="str">
        <f>"725,00"</f>
        <v>725,00</v>
      </c>
      <c r="N4947" s="8" t="s">
        <v>124</v>
      </c>
      <c r="O4947" s="7"/>
      <c r="P4947" s="2" t="s">
        <v>5614</v>
      </c>
      <c r="Q4947" s="7"/>
      <c r="R4947" s="1"/>
      <c r="S4947" s="1" t="str">
        <f>"J-UN-2022-2043"</f>
        <v>J-UN-2022-2043</v>
      </c>
      <c r="T4947" s="1" t="s">
        <v>32</v>
      </c>
    </row>
    <row r="4948" spans="1:20" ht="63.75" x14ac:dyDescent="0.25">
      <c r="A4948" s="6">
        <v>4927</v>
      </c>
      <c r="B4948" s="1" t="str">
        <f>"2022-1999"</f>
        <v>2022-1999</v>
      </c>
      <c r="C4948" s="1" t="s">
        <v>3264</v>
      </c>
      <c r="D4948" s="1" t="s">
        <v>34</v>
      </c>
      <c r="E4948" s="1" t="str">
        <f>""</f>
        <v/>
      </c>
      <c r="F4948" s="1" t="s">
        <v>1860</v>
      </c>
      <c r="G4948" s="1" t="str">
        <f>CONCATENATE(" URIHO - ZAGREB,"," AVENIJA MARINA DRŽIĆA 1,"," 10000 ZAGREB,"," OIB: 77931216562")</f>
        <v xml:space="preserve"> URIHO - ZAGREB, AVENIJA MARINA DRŽIĆA 1, 10000 ZAGREB, OIB: 77931216562</v>
      </c>
      <c r="H4948" s="7"/>
      <c r="I4948" s="8" t="s">
        <v>1612</v>
      </c>
      <c r="J4948" s="8" t="s">
        <v>391</v>
      </c>
      <c r="K4948" s="6" t="str">
        <f>"5.187,00"</f>
        <v>5.187,00</v>
      </c>
      <c r="L4948" s="6" t="str">
        <f>"1.296,75"</f>
        <v>1.296,75</v>
      </c>
      <c r="M4948" s="6" t="str">
        <f>"6.483,75"</f>
        <v>6.483,75</v>
      </c>
      <c r="N4948" s="8" t="s">
        <v>124</v>
      </c>
      <c r="O4948" s="7"/>
      <c r="P4948" s="2" t="s">
        <v>5614</v>
      </c>
      <c r="Q4948" s="7"/>
      <c r="R4948" s="1"/>
      <c r="S4948" s="1" t="str">
        <f>"J-UN-2022-2046"</f>
        <v>J-UN-2022-2046</v>
      </c>
      <c r="T4948" s="1" t="s">
        <v>32</v>
      </c>
    </row>
    <row r="4949" spans="1:20" ht="51" x14ac:dyDescent="0.25">
      <c r="A4949" s="6">
        <v>4928</v>
      </c>
      <c r="B4949" s="1" t="str">
        <f>"2022-1350"</f>
        <v>2022-1350</v>
      </c>
      <c r="C4949" s="1" t="s">
        <v>3131</v>
      </c>
      <c r="D4949" s="1" t="s">
        <v>1859</v>
      </c>
      <c r="E4949" s="1" t="str">
        <f>""</f>
        <v/>
      </c>
      <c r="F4949" s="1" t="s">
        <v>1860</v>
      </c>
      <c r="G4949" s="1" t="str">
        <f>CONCATENATE(" INFO PULS D.O.O.,"," JOSIPA PUPAČIĆA 1,"," 10000 ZAGREB,"," OIB: 43150843424")</f>
        <v xml:space="preserve"> INFO PULS D.O.O., JOSIPA PUPAČIĆA 1, 10000 ZAGREB, OIB: 43150843424</v>
      </c>
      <c r="H4949" s="7"/>
      <c r="I4949" s="8" t="s">
        <v>1612</v>
      </c>
      <c r="J4949" s="8" t="s">
        <v>391</v>
      </c>
      <c r="K4949" s="6" t="str">
        <f>"1.408,95"</f>
        <v>1.408,95</v>
      </c>
      <c r="L4949" s="6" t="str">
        <f>"352,24"</f>
        <v>352,24</v>
      </c>
      <c r="M4949" s="6" t="str">
        <f>"1.761,19"</f>
        <v>1.761,19</v>
      </c>
      <c r="N4949" s="8" t="s">
        <v>124</v>
      </c>
      <c r="O4949" s="7"/>
      <c r="P4949" s="2" t="s">
        <v>5614</v>
      </c>
      <c r="Q4949" s="7"/>
      <c r="R4949" s="1"/>
      <c r="S4949" s="1" t="str">
        <f>"J-UN-2022-2047"</f>
        <v>J-UN-2022-2047</v>
      </c>
      <c r="T4949" s="1" t="s">
        <v>32</v>
      </c>
    </row>
    <row r="4950" spans="1:20" ht="63.75" x14ac:dyDescent="0.25">
      <c r="A4950" s="6">
        <v>4929</v>
      </c>
      <c r="B4950" s="1" t="str">
        <f>"2022-1046"</f>
        <v>2022-1046</v>
      </c>
      <c r="C4950" s="1" t="s">
        <v>2825</v>
      </c>
      <c r="D4950" s="1" t="s">
        <v>2729</v>
      </c>
      <c r="E4950" s="1" t="str">
        <f>""</f>
        <v/>
      </c>
      <c r="F4950" s="1" t="s">
        <v>1860</v>
      </c>
      <c r="G4950" s="1" t="str">
        <f>CONCATENATE(" TÜV NORD ADRIATIC D.O.O.,"," BANI 110,"," 10010 BUZIN,"," OIB: 64520989853")</f>
        <v xml:space="preserve"> TÜV NORD ADRIATIC D.O.O., BANI 110, 10010 BUZIN, OIB: 64520989853</v>
      </c>
      <c r="H4950" s="7"/>
      <c r="I4950" s="8" t="s">
        <v>383</v>
      </c>
      <c r="J4950" s="8" t="s">
        <v>1547</v>
      </c>
      <c r="K4950" s="6" t="str">
        <f>"102.500,00"</f>
        <v>102.500,00</v>
      </c>
      <c r="L4950" s="6" t="str">
        <f>"25.625,00"</f>
        <v>25.625,00</v>
      </c>
      <c r="M4950" s="6" t="str">
        <f>"128.125,00"</f>
        <v>128.125,00</v>
      </c>
      <c r="N4950" s="8" t="s">
        <v>124</v>
      </c>
      <c r="O4950" s="7"/>
      <c r="P4950" s="2" t="s">
        <v>5614</v>
      </c>
      <c r="Q4950" s="7"/>
      <c r="R4950" s="1"/>
      <c r="S4950" s="1" t="str">
        <f>"J-UN-2022-2049"</f>
        <v>J-UN-2022-2049</v>
      </c>
      <c r="T4950" s="1" t="s">
        <v>32</v>
      </c>
    </row>
    <row r="4951" spans="1:20" ht="51" x14ac:dyDescent="0.25">
      <c r="A4951" s="6">
        <v>4930</v>
      </c>
      <c r="B4951" s="1" t="str">
        <f>"2022-912"</f>
        <v>2022-912</v>
      </c>
      <c r="C4951" s="1" t="s">
        <v>2485</v>
      </c>
      <c r="D4951" s="1" t="s">
        <v>1007</v>
      </c>
      <c r="E4951" s="1" t="str">
        <f>""</f>
        <v/>
      </c>
      <c r="F4951" s="1" t="s">
        <v>1860</v>
      </c>
      <c r="G4951" s="1" t="str">
        <f>CONCATENATE(" AUREL D.O.O.,"," BORONGAJSKA CESTA bb,"," 10000 ZAGREB,"," OIB: 62871653225")</f>
        <v xml:space="preserve"> AUREL D.O.O., BORONGAJSKA CESTA bb, 10000 ZAGREB, OIB: 62871653225</v>
      </c>
      <c r="H4951" s="7"/>
      <c r="I4951" s="8" t="s">
        <v>1612</v>
      </c>
      <c r="J4951" s="8" t="s">
        <v>391</v>
      </c>
      <c r="K4951" s="6" t="str">
        <f>"10.840,00"</f>
        <v>10.840,00</v>
      </c>
      <c r="L4951" s="6" t="str">
        <f>"2.710,00"</f>
        <v>2.710,00</v>
      </c>
      <c r="M4951" s="6" t="str">
        <f>"13.550,00"</f>
        <v>13.550,00</v>
      </c>
      <c r="N4951" s="8" t="s">
        <v>124</v>
      </c>
      <c r="O4951" s="7"/>
      <c r="P4951" s="2" t="s">
        <v>5614</v>
      </c>
      <c r="Q4951" s="7"/>
      <c r="R4951" s="1"/>
      <c r="S4951" s="1" t="str">
        <f>"J-UN-2022-2050"</f>
        <v>J-UN-2022-2050</v>
      </c>
      <c r="T4951" s="1" t="s">
        <v>32</v>
      </c>
    </row>
    <row r="4952" spans="1:20" ht="51" x14ac:dyDescent="0.25">
      <c r="A4952" s="6">
        <v>4931</v>
      </c>
      <c r="B4952" s="1" t="str">
        <f>"2022-554"</f>
        <v>2022-554</v>
      </c>
      <c r="C4952" s="1" t="s">
        <v>2727</v>
      </c>
      <c r="D4952" s="1" t="s">
        <v>794</v>
      </c>
      <c r="E4952" s="1" t="str">
        <f>""</f>
        <v/>
      </c>
      <c r="F4952" s="1" t="s">
        <v>1860</v>
      </c>
      <c r="G4952" s="1" t="str">
        <f>CONCATENATE(" TAHOGRAF D.O.O.,"," DR. FRANJE TUĐMANA 24,"," 10431 SVETA NEDELJA,"," OIB: 73777060562")</f>
        <v xml:space="preserve"> TAHOGRAF D.O.O., DR. FRANJE TUĐMANA 24, 10431 SVETA NEDELJA, OIB: 73777060562</v>
      </c>
      <c r="H4952" s="7"/>
      <c r="I4952" s="8" t="s">
        <v>1612</v>
      </c>
      <c r="J4952" s="8" t="s">
        <v>391</v>
      </c>
      <c r="K4952" s="6" t="str">
        <f>"48.890,00"</f>
        <v>48.890,00</v>
      </c>
      <c r="L4952" s="6" t="str">
        <f>"12.222,50"</f>
        <v>12.222,50</v>
      </c>
      <c r="M4952" s="6" t="str">
        <f>"61.112,50"</f>
        <v>61.112,50</v>
      </c>
      <c r="N4952" s="8" t="s">
        <v>1123</v>
      </c>
      <c r="O4952" s="7"/>
      <c r="P4952" s="2" t="s">
        <v>8405</v>
      </c>
      <c r="Q4952" s="7"/>
      <c r="R4952" s="1"/>
      <c r="S4952" s="1" t="str">
        <f>"J-UN-2022-2051"</f>
        <v>J-UN-2022-2051</v>
      </c>
      <c r="T4952" s="1" t="s">
        <v>32</v>
      </c>
    </row>
    <row r="4953" spans="1:20" ht="51" x14ac:dyDescent="0.25">
      <c r="A4953" s="6">
        <v>4932</v>
      </c>
      <c r="B4953" s="1" t="str">
        <f>"2022-1346"</f>
        <v>2022-1346</v>
      </c>
      <c r="C4953" s="1" t="s">
        <v>2811</v>
      </c>
      <c r="D4953" s="1" t="s">
        <v>1859</v>
      </c>
      <c r="E4953" s="1" t="str">
        <f>""</f>
        <v/>
      </c>
      <c r="F4953" s="1" t="s">
        <v>1860</v>
      </c>
      <c r="G4953" s="1" t="str">
        <f>CONCATENATE(" ZIRS UČILIŠTE,"," ULICA GRADA VUKOVARA 68,"," 10000 ZAGREB,"," OIB: 22228764473")</f>
        <v xml:space="preserve"> ZIRS UČILIŠTE, ULICA GRADA VUKOVARA 68, 10000 ZAGREB, OIB: 22228764473</v>
      </c>
      <c r="H4953" s="7"/>
      <c r="I4953" s="8" t="s">
        <v>388</v>
      </c>
      <c r="J4953" s="8" t="s">
        <v>3277</v>
      </c>
      <c r="K4953" s="6" t="str">
        <f>"1.800,00"</f>
        <v>1.800,00</v>
      </c>
      <c r="L4953" s="6" t="str">
        <f>"450,00"</f>
        <v>450,00</v>
      </c>
      <c r="M4953" s="6" t="str">
        <f>"2.250,00"</f>
        <v>2.250,00</v>
      </c>
      <c r="N4953" s="8" t="s">
        <v>124</v>
      </c>
      <c r="O4953" s="7"/>
      <c r="P4953" s="2" t="s">
        <v>5614</v>
      </c>
      <c r="Q4953" s="7"/>
      <c r="R4953" s="1"/>
      <c r="S4953" s="1" t="str">
        <f>"J-UN-2022-2052"</f>
        <v>J-UN-2022-2052</v>
      </c>
      <c r="T4953" s="1" t="s">
        <v>32</v>
      </c>
    </row>
    <row r="4954" spans="1:20" ht="63.75" x14ac:dyDescent="0.25">
      <c r="A4954" s="6">
        <v>4933</v>
      </c>
      <c r="B4954" s="1" t="str">
        <f>"2022-710"</f>
        <v>2022-710</v>
      </c>
      <c r="C4954" s="1" t="s">
        <v>2782</v>
      </c>
      <c r="D4954" s="1" t="s">
        <v>815</v>
      </c>
      <c r="E4954" s="1" t="str">
        <f>""</f>
        <v/>
      </c>
      <c r="F4954" s="1" t="s">
        <v>1860</v>
      </c>
      <c r="G4954" s="1" t="str">
        <f>CONCATENATE(" LAUS INTERNATIONAL D.O.O.,"," DR. FRANJE TUĐMANA 16B,"," 10431 SVETA NEDELJA,"," OIB: 93039509752")</f>
        <v xml:space="preserve"> LAUS INTERNATIONAL D.O.O., DR. FRANJE TUĐMANA 16B, 10431 SVETA NEDELJA, OIB: 93039509752</v>
      </c>
      <c r="H4954" s="7"/>
      <c r="I4954" s="8" t="s">
        <v>1612</v>
      </c>
      <c r="J4954" s="8" t="s">
        <v>391</v>
      </c>
      <c r="K4954" s="6" t="str">
        <f>"1.442,00"</f>
        <v>1.442,00</v>
      </c>
      <c r="L4954" s="6" t="str">
        <f>"360,50"</f>
        <v>360,50</v>
      </c>
      <c r="M4954" s="6" t="str">
        <f>"1.802,50"</f>
        <v>1.802,50</v>
      </c>
      <c r="N4954" s="8" t="s">
        <v>124</v>
      </c>
      <c r="O4954" s="7"/>
      <c r="P4954" s="2" t="s">
        <v>5614</v>
      </c>
      <c r="Q4954" s="7"/>
      <c r="R4954" s="1"/>
      <c r="S4954" s="1" t="str">
        <f>"J-UN-2022-2054"</f>
        <v>J-UN-2022-2054</v>
      </c>
      <c r="T4954" s="1" t="s">
        <v>32</v>
      </c>
    </row>
    <row r="4955" spans="1:20" ht="63.75" x14ac:dyDescent="0.25">
      <c r="A4955" s="6">
        <v>4934</v>
      </c>
      <c r="B4955" s="1" t="str">
        <f>"2022-460"</f>
        <v>2022-460</v>
      </c>
      <c r="C4955" s="1" t="s">
        <v>2793</v>
      </c>
      <c r="D4955" s="1" t="s">
        <v>1619</v>
      </c>
      <c r="E4955" s="1" t="str">
        <f>""</f>
        <v/>
      </c>
      <c r="F4955" s="1" t="s">
        <v>1860</v>
      </c>
      <c r="G4955" s="1" t="str">
        <f>CONCATENATE(" GRA-PO D.O.O.,"," GOSPODARSKA 5B,"," 10255 ZAGREB - STUPNIK,"," OIB: 05364995085")</f>
        <v xml:space="preserve"> GRA-PO D.O.O., GOSPODARSKA 5B, 10255 ZAGREB - STUPNIK, OIB: 05364995085</v>
      </c>
      <c r="H4955" s="7"/>
      <c r="I4955" s="8" t="s">
        <v>399</v>
      </c>
      <c r="J4955" s="8" t="s">
        <v>1515</v>
      </c>
      <c r="K4955" s="6" t="str">
        <f>"9.950,00"</f>
        <v>9.950,00</v>
      </c>
      <c r="L4955" s="6" t="str">
        <f>"2.487,50"</f>
        <v>2.487,50</v>
      </c>
      <c r="M4955" s="6" t="str">
        <f>"12.437,50"</f>
        <v>12.437,50</v>
      </c>
      <c r="N4955" s="8" t="s">
        <v>124</v>
      </c>
      <c r="O4955" s="7"/>
      <c r="P4955" s="2" t="s">
        <v>5614</v>
      </c>
      <c r="Q4955" s="7"/>
      <c r="R4955" s="1"/>
      <c r="S4955" s="1" t="str">
        <f>"J-UN-2022-2056"</f>
        <v>J-UN-2022-2056</v>
      </c>
      <c r="T4955" s="1" t="s">
        <v>32</v>
      </c>
    </row>
    <row r="4956" spans="1:20" ht="89.25" x14ac:dyDescent="0.25">
      <c r="A4956" s="6">
        <v>4935</v>
      </c>
      <c r="B4956" s="1" t="str">
        <f>"2022-298"</f>
        <v>2022-298</v>
      </c>
      <c r="C4956" s="1" t="s">
        <v>2873</v>
      </c>
      <c r="D4956" s="1" t="s">
        <v>689</v>
      </c>
      <c r="E4956" s="1" t="str">
        <f>""</f>
        <v/>
      </c>
      <c r="F4956" s="1" t="s">
        <v>1860</v>
      </c>
      <c r="G4956" s="1" t="str">
        <f>CONCATENATE(" ZAVOD ZA ISTRAŽIVANJE I RAZVOJ SIGURNOSTI D.O.O.,"," ULICA GRADA VUKOVARA 68,"," 10000 ZAGREB,"," OIB: 05494093403")</f>
        <v xml:space="preserve"> ZAVOD ZA ISTRAŽIVANJE I RAZVOJ SIGURNOSTI D.O.O., ULICA GRADA VUKOVARA 68, 10000 ZAGREB, OIB: 05494093403</v>
      </c>
      <c r="H4956" s="7"/>
      <c r="I4956" s="8" t="s">
        <v>553</v>
      </c>
      <c r="J4956" s="8" t="s">
        <v>3278</v>
      </c>
      <c r="K4956" s="6" t="str">
        <f>"9.805,00"</f>
        <v>9.805,00</v>
      </c>
      <c r="L4956" s="6" t="str">
        <f>"2.451,25"</f>
        <v>2.451,25</v>
      </c>
      <c r="M4956" s="6" t="str">
        <f>"12.256,25"</f>
        <v>12.256,25</v>
      </c>
      <c r="N4956" s="8" t="s">
        <v>124</v>
      </c>
      <c r="O4956" s="7"/>
      <c r="P4956" s="2" t="s">
        <v>5614</v>
      </c>
      <c r="Q4956" s="7"/>
      <c r="R4956" s="1"/>
      <c r="S4956" s="1" t="str">
        <f>"J-UN-2022-2058"</f>
        <v>J-UN-2022-2058</v>
      </c>
      <c r="T4956" s="1" t="s">
        <v>32</v>
      </c>
    </row>
    <row r="4957" spans="1:20" ht="51" x14ac:dyDescent="0.25">
      <c r="A4957" s="6">
        <v>4936</v>
      </c>
      <c r="B4957" s="1" t="str">
        <f>"2022-478"</f>
        <v>2022-478</v>
      </c>
      <c r="C4957" s="1" t="s">
        <v>2600</v>
      </c>
      <c r="D4957" s="1" t="s">
        <v>2601</v>
      </c>
      <c r="E4957" s="1" t="str">
        <f>""</f>
        <v/>
      </c>
      <c r="F4957" s="1" t="s">
        <v>1860</v>
      </c>
      <c r="G4957" s="1" t="str">
        <f>CONCATENATE(" PRO-TEHNA D.O.O.,"," MAKSIMIRSKA 64,"," 10000 ZAGREB,"," OIB: 88951687357")</f>
        <v xml:space="preserve"> PRO-TEHNA D.O.O., MAKSIMIRSKA 64, 10000 ZAGREB, OIB: 88951687357</v>
      </c>
      <c r="H4957" s="7"/>
      <c r="I4957" s="8" t="s">
        <v>1147</v>
      </c>
      <c r="J4957" s="8" t="s">
        <v>2353</v>
      </c>
      <c r="K4957" s="6" t="str">
        <f>"4.273,00"</f>
        <v>4.273,00</v>
      </c>
      <c r="L4957" s="6" t="str">
        <f>"1.068,25"</f>
        <v>1.068,25</v>
      </c>
      <c r="M4957" s="6" t="str">
        <f>"5.341,25"</f>
        <v>5.341,25</v>
      </c>
      <c r="N4957" s="8" t="s">
        <v>124</v>
      </c>
      <c r="O4957" s="7"/>
      <c r="P4957" s="2" t="s">
        <v>5614</v>
      </c>
      <c r="Q4957" s="7"/>
      <c r="R4957" s="1"/>
      <c r="S4957" s="1" t="str">
        <f>"J-UN-2022-2061"</f>
        <v>J-UN-2022-2061</v>
      </c>
      <c r="T4957" s="1" t="s">
        <v>32</v>
      </c>
    </row>
    <row r="4958" spans="1:20" ht="51" x14ac:dyDescent="0.25">
      <c r="A4958" s="6">
        <v>4937</v>
      </c>
      <c r="B4958" s="1" t="str">
        <f>"2022-370"</f>
        <v>2022-370</v>
      </c>
      <c r="C4958" s="1" t="s">
        <v>2624</v>
      </c>
      <c r="D4958" s="1" t="s">
        <v>1334</v>
      </c>
      <c r="E4958" s="1" t="str">
        <f>""</f>
        <v/>
      </c>
      <c r="F4958" s="1" t="s">
        <v>1860</v>
      </c>
      <c r="G4958" s="1" t="str">
        <f>CONCATENATE(" VODOSKOK D.D.,"," ČULINEČKA CESTA 221/C,"," 10040 ZAGREB,"," OIB: 34134218058")</f>
        <v xml:space="preserve"> VODOSKOK D.D., ČULINEČKA CESTA 221/C, 10040 ZAGREB, OIB: 34134218058</v>
      </c>
      <c r="H4958" s="7"/>
      <c r="I4958" s="8" t="s">
        <v>1147</v>
      </c>
      <c r="J4958" s="8" t="s">
        <v>2353</v>
      </c>
      <c r="K4958" s="6" t="str">
        <f>"7.514,00"</f>
        <v>7.514,00</v>
      </c>
      <c r="L4958" s="6" t="str">
        <f>"1.878,50"</f>
        <v>1.878,50</v>
      </c>
      <c r="M4958" s="6" t="str">
        <f>"9.392,50"</f>
        <v>9.392,50</v>
      </c>
      <c r="N4958" s="8" t="s">
        <v>124</v>
      </c>
      <c r="O4958" s="7"/>
      <c r="P4958" s="2" t="s">
        <v>5614</v>
      </c>
      <c r="Q4958" s="7"/>
      <c r="R4958" s="1"/>
      <c r="S4958" s="1" t="str">
        <f>"J-UN-2022-2062"</f>
        <v>J-UN-2022-2062</v>
      </c>
      <c r="T4958" s="1" t="s">
        <v>32</v>
      </c>
    </row>
    <row r="4959" spans="1:20" ht="51" x14ac:dyDescent="0.25">
      <c r="A4959" s="6">
        <v>4938</v>
      </c>
      <c r="B4959" s="1" t="str">
        <f>"2022-348"</f>
        <v>2022-348</v>
      </c>
      <c r="C4959" s="1" t="s">
        <v>2616</v>
      </c>
      <c r="D4959" s="1" t="s">
        <v>2617</v>
      </c>
      <c r="E4959" s="1" t="str">
        <f>""</f>
        <v/>
      </c>
      <c r="F4959" s="1" t="s">
        <v>1860</v>
      </c>
      <c r="G4959" s="1" t="str">
        <f>CONCATENATE(" COMET D.O.O.,"," VARAŽDINSKA 40/C,"," 42220 NOVI MAROF,"," OIB: 48249084626")</f>
        <v xml:space="preserve"> COMET D.O.O., VARAŽDINSKA 40/C, 42220 NOVI MAROF, OIB: 48249084626</v>
      </c>
      <c r="H4959" s="7"/>
      <c r="I4959" s="8" t="s">
        <v>1147</v>
      </c>
      <c r="J4959" s="8" t="s">
        <v>2353</v>
      </c>
      <c r="K4959" s="6" t="str">
        <f>"7.605,00"</f>
        <v>7.605,00</v>
      </c>
      <c r="L4959" s="6" t="str">
        <f>"1.901,25"</f>
        <v>1.901,25</v>
      </c>
      <c r="M4959" s="6" t="str">
        <f>"9.506,25"</f>
        <v>9.506,25</v>
      </c>
      <c r="N4959" s="8" t="s">
        <v>146</v>
      </c>
      <c r="O4959" s="7"/>
      <c r="P4959" s="2" t="s">
        <v>8406</v>
      </c>
      <c r="Q4959" s="7"/>
      <c r="R4959" s="1"/>
      <c r="S4959" s="1" t="str">
        <f>"J-UN-2022-2064"</f>
        <v>J-UN-2022-2064</v>
      </c>
      <c r="T4959" s="1" t="s">
        <v>32</v>
      </c>
    </row>
    <row r="4960" spans="1:20" ht="63.75" x14ac:dyDescent="0.25">
      <c r="A4960" s="6">
        <v>4939</v>
      </c>
      <c r="B4960" s="1" t="str">
        <f>"2022-296"</f>
        <v>2022-296</v>
      </c>
      <c r="C4960" s="1" t="s">
        <v>2822</v>
      </c>
      <c r="D4960" s="1" t="s">
        <v>2823</v>
      </c>
      <c r="E4960" s="1" t="str">
        <f>""</f>
        <v/>
      </c>
      <c r="F4960" s="1" t="s">
        <v>1860</v>
      </c>
      <c r="G4960" s="1" t="str">
        <f>CONCATENATE(" KEMOBOJA-DUBRAVA D.O.O.,"," AVENIJA DUBRAVA 37,"," 10000 ZAGREB,"," OIB: 6402157427")</f>
        <v xml:space="preserve"> KEMOBOJA-DUBRAVA D.O.O., AVENIJA DUBRAVA 37, 10000 ZAGREB, OIB: 6402157427</v>
      </c>
      <c r="H4960" s="7"/>
      <c r="I4960" s="8" t="s">
        <v>1147</v>
      </c>
      <c r="J4960" s="8" t="s">
        <v>2353</v>
      </c>
      <c r="K4960" s="6" t="str">
        <f>"3.145,50"</f>
        <v>3.145,50</v>
      </c>
      <c r="L4960" s="6" t="str">
        <f>"786,38"</f>
        <v>786,38</v>
      </c>
      <c r="M4960" s="6" t="str">
        <f>"3.931,88"</f>
        <v>3.931,88</v>
      </c>
      <c r="N4960" s="8" t="s">
        <v>124</v>
      </c>
      <c r="O4960" s="7"/>
      <c r="P4960" s="2" t="s">
        <v>5614</v>
      </c>
      <c r="Q4960" s="7"/>
      <c r="R4960" s="1"/>
      <c r="S4960" s="1" t="str">
        <f>"J-UN-2022-2065"</f>
        <v>J-UN-2022-2065</v>
      </c>
      <c r="T4960" s="1" t="s">
        <v>32</v>
      </c>
    </row>
    <row r="4961" spans="1:20" ht="76.5" x14ac:dyDescent="0.25">
      <c r="A4961" s="6">
        <v>4940</v>
      </c>
      <c r="B4961" s="1" t="str">
        <f>"2022-700"</f>
        <v>2022-700</v>
      </c>
      <c r="C4961" s="1" t="s">
        <v>2778</v>
      </c>
      <c r="D4961" s="1" t="s">
        <v>1833</v>
      </c>
      <c r="E4961" s="1" t="str">
        <f>""</f>
        <v/>
      </c>
      <c r="F4961" s="1" t="s">
        <v>1860</v>
      </c>
      <c r="G4961" s="1" t="str">
        <f>CONCATENATE(" WAWA D.O.O.,"," ODVOJAK INDUSTRIJSKE ULICE,"," NOVAKI 3,"," 10431 SVETA NEDJELJA,"," OIB: 59785180614")</f>
        <v xml:space="preserve"> WAWA D.O.O., ODVOJAK INDUSTRIJSKE ULICE, NOVAKI 3, 10431 SVETA NEDJELJA, OIB: 59785180614</v>
      </c>
      <c r="H4961" s="7"/>
      <c r="I4961" s="8" t="s">
        <v>892</v>
      </c>
      <c r="J4961" s="8" t="s">
        <v>2174</v>
      </c>
      <c r="K4961" s="6" t="str">
        <f>"7.647,10"</f>
        <v>7.647,10</v>
      </c>
      <c r="L4961" s="6" t="str">
        <f>"1.911,78"</f>
        <v>1.911,78</v>
      </c>
      <c r="M4961" s="6" t="str">
        <f>"9.558,88"</f>
        <v>9.558,88</v>
      </c>
      <c r="N4961" s="8" t="s">
        <v>892</v>
      </c>
      <c r="O4961" s="7"/>
      <c r="P4961" s="2" t="s">
        <v>8407</v>
      </c>
      <c r="Q4961" s="7"/>
      <c r="R4961" s="1"/>
      <c r="S4961" s="1" t="str">
        <f>"J-UN-2022-2067"</f>
        <v>J-UN-2022-2067</v>
      </c>
      <c r="T4961" s="1" t="s">
        <v>32</v>
      </c>
    </row>
    <row r="4962" spans="1:20" ht="76.5" x14ac:dyDescent="0.25">
      <c r="A4962" s="6">
        <v>4941</v>
      </c>
      <c r="B4962" s="1" t="str">
        <f>"2022-1974"</f>
        <v>2022-1974</v>
      </c>
      <c r="C4962" s="1" t="s">
        <v>662</v>
      </c>
      <c r="D4962" s="1" t="s">
        <v>659</v>
      </c>
      <c r="E4962" s="1" t="str">
        <f>""</f>
        <v/>
      </c>
      <c r="F4962" s="1" t="s">
        <v>1860</v>
      </c>
      <c r="G4962" s="1" t="str">
        <f>CONCATENATE(" SMIT-COMMERCE D.O.O.,"," GORNJOSTUPNIČKA 9B,"," 10255 GORNJI STUPNIK,"," OIB: 9524348214")</f>
        <v xml:space="preserve"> SMIT-COMMERCE D.O.O., GORNJOSTUPNIČKA 9B, 10255 GORNJI STUPNIK, OIB: 9524348214</v>
      </c>
      <c r="H4962" s="7"/>
      <c r="I4962" s="8" t="s">
        <v>1147</v>
      </c>
      <c r="J4962" s="8" t="s">
        <v>2353</v>
      </c>
      <c r="K4962" s="6" t="str">
        <f>"1.331,34"</f>
        <v>1.331,34</v>
      </c>
      <c r="L4962" s="6" t="str">
        <f>"332,84"</f>
        <v>332,84</v>
      </c>
      <c r="M4962" s="6" t="str">
        <f>"1.664,18"</f>
        <v>1.664,18</v>
      </c>
      <c r="N4962" s="8" t="s">
        <v>124</v>
      </c>
      <c r="O4962" s="7"/>
      <c r="P4962" s="2" t="s">
        <v>5614</v>
      </c>
      <c r="Q4962" s="7"/>
      <c r="R4962" s="1"/>
      <c r="S4962" s="1" t="str">
        <f>"J-UN-2022-2068"</f>
        <v>J-UN-2022-2068</v>
      </c>
      <c r="T4962" s="1" t="s">
        <v>32</v>
      </c>
    </row>
    <row r="4963" spans="1:20" ht="63.75" x14ac:dyDescent="0.25">
      <c r="A4963" s="6">
        <v>4942</v>
      </c>
      <c r="B4963" s="1" t="str">
        <f>"2022-217"</f>
        <v>2022-217</v>
      </c>
      <c r="C4963" s="1" t="s">
        <v>3099</v>
      </c>
      <c r="D4963" s="1" t="s">
        <v>2596</v>
      </c>
      <c r="E4963" s="1" t="str">
        <f>""</f>
        <v/>
      </c>
      <c r="F4963" s="1" t="s">
        <v>1860</v>
      </c>
      <c r="G4963" s="1" t="str">
        <f>CONCATENATE(" B. SERVISI D.O.O.,"," ULICA IVANA ROGIĆA 33,"," 10020 ZAGREB-NOVI ZAGREB,"," OIB: 68070549972")</f>
        <v xml:space="preserve"> B. SERVISI D.O.O., ULICA IVANA ROGIĆA 33, 10020 ZAGREB-NOVI ZAGREB, OIB: 68070549972</v>
      </c>
      <c r="H4963" s="7"/>
      <c r="I4963" s="8" t="s">
        <v>1147</v>
      </c>
      <c r="J4963" s="8" t="s">
        <v>2353</v>
      </c>
      <c r="K4963" s="6" t="str">
        <f>"4.950,00"</f>
        <v>4.950,00</v>
      </c>
      <c r="L4963" s="6" t="str">
        <f>"1.237,50"</f>
        <v>1.237,50</v>
      </c>
      <c r="M4963" s="6" t="str">
        <f>"6.187,50"</f>
        <v>6.187,50</v>
      </c>
      <c r="N4963" s="8" t="s">
        <v>124</v>
      </c>
      <c r="O4963" s="7"/>
      <c r="P4963" s="2" t="s">
        <v>5614</v>
      </c>
      <c r="Q4963" s="7"/>
      <c r="R4963" s="1"/>
      <c r="S4963" s="1" t="str">
        <f>"J-UN-2022-2069"</f>
        <v>J-UN-2022-2069</v>
      </c>
      <c r="T4963" s="1" t="s">
        <v>32</v>
      </c>
    </row>
    <row r="4964" spans="1:20" ht="76.5" x14ac:dyDescent="0.25">
      <c r="A4964" s="6">
        <v>4943</v>
      </c>
      <c r="B4964" s="1" t="str">
        <f>"2022-1381"</f>
        <v>2022-1381</v>
      </c>
      <c r="C4964" s="1" t="s">
        <v>2405</v>
      </c>
      <c r="D4964" s="1" t="s">
        <v>880</v>
      </c>
      <c r="E4964" s="1" t="str">
        <f>""</f>
        <v/>
      </c>
      <c r="F4964" s="1" t="s">
        <v>1860</v>
      </c>
      <c r="G4964" s="1" t="str">
        <f>CONCATENATE(" NASTAVNI ZAVOD ZA JAVNO ZDRAVSTVO DR. ANDRIJA ŠTAMPAR,"," MIROGOJSKA CESTA 16,"," 10000 ZAGREB,"," OIB: 3339200596")</f>
        <v xml:space="preserve"> NASTAVNI ZAVOD ZA JAVNO ZDRAVSTVO DR. ANDRIJA ŠTAMPAR, MIROGOJSKA CESTA 16, 10000 ZAGREB, OIB: 3339200596</v>
      </c>
      <c r="H4964" s="7"/>
      <c r="I4964" s="8" t="s">
        <v>1147</v>
      </c>
      <c r="J4964" s="8" t="s">
        <v>2353</v>
      </c>
      <c r="K4964" s="6" t="str">
        <f>"9.060,00"</f>
        <v>9.060,00</v>
      </c>
      <c r="L4964" s="6" t="str">
        <f>"2.265,00"</f>
        <v>2.265,00</v>
      </c>
      <c r="M4964" s="6" t="str">
        <f>"11.325,00"</f>
        <v>11.325,00</v>
      </c>
      <c r="N4964" s="8" t="s">
        <v>124</v>
      </c>
      <c r="O4964" s="7"/>
      <c r="P4964" s="2" t="s">
        <v>5614</v>
      </c>
      <c r="Q4964" s="7"/>
      <c r="R4964" s="1"/>
      <c r="S4964" s="1" t="str">
        <f>"J-UN-2022-2070"</f>
        <v>J-UN-2022-2070</v>
      </c>
      <c r="T4964" s="1" t="s">
        <v>32</v>
      </c>
    </row>
    <row r="4965" spans="1:20" ht="63.75" x14ac:dyDescent="0.25">
      <c r="A4965" s="6">
        <v>4944</v>
      </c>
      <c r="B4965" s="1" t="str">
        <f>"2022-296"</f>
        <v>2022-296</v>
      </c>
      <c r="C4965" s="1" t="s">
        <v>2822</v>
      </c>
      <c r="D4965" s="1" t="s">
        <v>2823</v>
      </c>
      <c r="E4965" s="1" t="str">
        <f>""</f>
        <v/>
      </c>
      <c r="F4965" s="1" t="s">
        <v>1860</v>
      </c>
      <c r="G4965" s="1" t="str">
        <f>CONCATENATE(" KEMOBOJA-DUBRAVA D.O.O.,"," AVENIJA DUBRAVA 37,"," 10000 ZAGREB,"," OIB: 6402157427")</f>
        <v xml:space="preserve"> KEMOBOJA-DUBRAVA D.O.O., AVENIJA DUBRAVA 37, 10000 ZAGREB, OIB: 6402157427</v>
      </c>
      <c r="H4965" s="7"/>
      <c r="I4965" s="8" t="s">
        <v>399</v>
      </c>
      <c r="J4965" s="8" t="s">
        <v>1515</v>
      </c>
      <c r="K4965" s="6" t="str">
        <f>"665,50"</f>
        <v>665,50</v>
      </c>
      <c r="L4965" s="6" t="str">
        <f>"166,38"</f>
        <v>166,38</v>
      </c>
      <c r="M4965" s="6" t="str">
        <f>"831,88"</f>
        <v>831,88</v>
      </c>
      <c r="N4965" s="8" t="s">
        <v>124</v>
      </c>
      <c r="O4965" s="7"/>
      <c r="P4965" s="2" t="s">
        <v>5614</v>
      </c>
      <c r="Q4965" s="7"/>
      <c r="R4965" s="1"/>
      <c r="S4965" s="1" t="str">
        <f>"J-UN-2022-2071"</f>
        <v>J-UN-2022-2071</v>
      </c>
      <c r="T4965" s="1" t="s">
        <v>32</v>
      </c>
    </row>
    <row r="4966" spans="1:20" ht="51" x14ac:dyDescent="0.25">
      <c r="A4966" s="6">
        <v>4945</v>
      </c>
      <c r="B4966" s="1" t="str">
        <f>"2022-600"</f>
        <v>2022-600</v>
      </c>
      <c r="C4966" s="1" t="s">
        <v>2817</v>
      </c>
      <c r="D4966" s="1" t="s">
        <v>2818</v>
      </c>
      <c r="E4966" s="1" t="str">
        <f>""</f>
        <v/>
      </c>
      <c r="F4966" s="1" t="s">
        <v>1860</v>
      </c>
      <c r="G4966" s="1" t="str">
        <f>CONCATENATE(" SELEKTA PRIMA D.O.O.,"," I. TRNAVA 49,"," 10000 ZAGREB,"," OIB: 68651120977")</f>
        <v xml:space="preserve"> SELEKTA PRIMA D.O.O., I. TRNAVA 49, 10000 ZAGREB, OIB: 68651120977</v>
      </c>
      <c r="H4966" s="7"/>
      <c r="I4966" s="8" t="s">
        <v>399</v>
      </c>
      <c r="J4966" s="8" t="s">
        <v>1515</v>
      </c>
      <c r="K4966" s="6" t="str">
        <f>"2.950,00"</f>
        <v>2.950,00</v>
      </c>
      <c r="L4966" s="6" t="str">
        <f>"737,50"</f>
        <v>737,50</v>
      </c>
      <c r="M4966" s="6" t="str">
        <f>"3.687,50"</f>
        <v>3.687,50</v>
      </c>
      <c r="N4966" s="8" t="s">
        <v>489</v>
      </c>
      <c r="O4966" s="7"/>
      <c r="P4966" s="2" t="s">
        <v>6411</v>
      </c>
      <c r="Q4966" s="7"/>
      <c r="R4966" s="1"/>
      <c r="S4966" s="1" t="str">
        <f>"J-UN-2022-2072"</f>
        <v>J-UN-2022-2072</v>
      </c>
      <c r="T4966" s="1" t="s">
        <v>32</v>
      </c>
    </row>
    <row r="4967" spans="1:20" ht="51" x14ac:dyDescent="0.25">
      <c r="A4967" s="6">
        <v>4946</v>
      </c>
      <c r="B4967" s="1" t="str">
        <f>"2022-713"</f>
        <v>2022-713</v>
      </c>
      <c r="C4967" s="1" t="s">
        <v>3072</v>
      </c>
      <c r="D4967" s="1" t="s">
        <v>914</v>
      </c>
      <c r="E4967" s="1" t="str">
        <f>""</f>
        <v/>
      </c>
      <c r="F4967" s="1" t="s">
        <v>1860</v>
      </c>
      <c r="G4967" s="1" t="str">
        <f>CONCATENATE(" LAGER BAŠIĆ D.O.O.,"," TRGOVAČKA 3,"," 10255 DONJI STUPNIK,"," OIB: 49617677906")</f>
        <v xml:space="preserve"> LAGER BAŠIĆ D.O.O., TRGOVAČKA 3, 10255 DONJI STUPNIK, OIB: 49617677906</v>
      </c>
      <c r="H4967" s="7"/>
      <c r="I4967" s="8" t="s">
        <v>399</v>
      </c>
      <c r="J4967" s="8" t="s">
        <v>1515</v>
      </c>
      <c r="K4967" s="6" t="str">
        <f>"13.880,00"</f>
        <v>13.880,00</v>
      </c>
      <c r="L4967" s="6" t="str">
        <f>"3.470,00"</f>
        <v>3.470,00</v>
      </c>
      <c r="M4967" s="6" t="str">
        <f>"17.350,00"</f>
        <v>17.350,00</v>
      </c>
      <c r="N4967" s="8" t="s">
        <v>124</v>
      </c>
      <c r="O4967" s="7"/>
      <c r="P4967" s="2" t="s">
        <v>5614</v>
      </c>
      <c r="Q4967" s="7"/>
      <c r="R4967" s="1"/>
      <c r="S4967" s="1" t="str">
        <f>"J-UN-2022-2074"</f>
        <v>J-UN-2022-2074</v>
      </c>
      <c r="T4967" s="1" t="s">
        <v>32</v>
      </c>
    </row>
    <row r="4968" spans="1:20" ht="51" x14ac:dyDescent="0.25">
      <c r="A4968" s="6">
        <v>4947</v>
      </c>
      <c r="B4968" s="1" t="str">
        <f>"2022-706"</f>
        <v>2022-706</v>
      </c>
      <c r="C4968" s="1" t="s">
        <v>2670</v>
      </c>
      <c r="D4968" s="1" t="s">
        <v>2671</v>
      </c>
      <c r="E4968" s="1" t="str">
        <f>""</f>
        <v/>
      </c>
      <c r="F4968" s="1" t="s">
        <v>1860</v>
      </c>
      <c r="G4968" s="1" t="str">
        <f>CONCATENATE(" SAFIR D.O.O.,"," HORVAĆANSKA 17,"," 10000 ZAGREB,"," OIB: 33548604975")</f>
        <v xml:space="preserve"> SAFIR D.O.O., HORVAĆANSKA 17, 10000 ZAGREB, OIB: 33548604975</v>
      </c>
      <c r="H4968" s="7"/>
      <c r="I4968" s="8" t="s">
        <v>399</v>
      </c>
      <c r="J4968" s="8" t="s">
        <v>1515</v>
      </c>
      <c r="K4968" s="6" t="str">
        <f>"234,00"</f>
        <v>234,00</v>
      </c>
      <c r="L4968" s="6" t="str">
        <f>"58,50"</f>
        <v>58,50</v>
      </c>
      <c r="M4968" s="6" t="str">
        <f>"292,50"</f>
        <v>292,50</v>
      </c>
      <c r="N4968" s="8" t="s">
        <v>124</v>
      </c>
      <c r="O4968" s="7"/>
      <c r="P4968" s="2" t="s">
        <v>5614</v>
      </c>
      <c r="Q4968" s="7"/>
      <c r="R4968" s="1"/>
      <c r="S4968" s="1" t="str">
        <f>"J-UN-2022-2075"</f>
        <v>J-UN-2022-2075</v>
      </c>
      <c r="T4968" s="1" t="s">
        <v>32</v>
      </c>
    </row>
    <row r="4969" spans="1:20" ht="51" x14ac:dyDescent="0.25">
      <c r="A4969" s="6">
        <v>4948</v>
      </c>
      <c r="B4969" s="1" t="str">
        <f>"2022-698"</f>
        <v>2022-698</v>
      </c>
      <c r="C4969" s="1" t="s">
        <v>2565</v>
      </c>
      <c r="D4969" s="1" t="s">
        <v>1833</v>
      </c>
      <c r="E4969" s="1" t="str">
        <f>""</f>
        <v/>
      </c>
      <c r="F4969" s="1" t="s">
        <v>1860</v>
      </c>
      <c r="G4969" s="1" t="str">
        <f>CONCATENATE(" R-PIM D.O.O.,"," ZAGREBAČKA 12,"," 10437 BESTOVJE,"," OIB: 38514700472")</f>
        <v xml:space="preserve"> R-PIM D.O.O., ZAGREBAČKA 12, 10437 BESTOVJE, OIB: 38514700472</v>
      </c>
      <c r="H4969" s="7"/>
      <c r="I4969" s="8" t="s">
        <v>399</v>
      </c>
      <c r="J4969" s="8" t="s">
        <v>1515</v>
      </c>
      <c r="K4969" s="6" t="str">
        <f>"11.142,00"</f>
        <v>11.142,00</v>
      </c>
      <c r="L4969" s="6" t="str">
        <f>"2.785,50"</f>
        <v>2.785,50</v>
      </c>
      <c r="M4969" s="6" t="str">
        <f>"13.927,50"</f>
        <v>13.927,50</v>
      </c>
      <c r="N4969" s="8" t="s">
        <v>489</v>
      </c>
      <c r="O4969" s="7"/>
      <c r="P4969" s="2" t="s">
        <v>8408</v>
      </c>
      <c r="Q4969" s="7"/>
      <c r="R4969" s="1"/>
      <c r="S4969" s="1" t="str">
        <f>"J-UN-2022-2076"</f>
        <v>J-UN-2022-2076</v>
      </c>
      <c r="T4969" s="1" t="s">
        <v>32</v>
      </c>
    </row>
    <row r="4970" spans="1:20" ht="63.75" x14ac:dyDescent="0.25">
      <c r="A4970" s="6">
        <v>4949</v>
      </c>
      <c r="B4970" s="1" t="str">
        <f>"2022-715"</f>
        <v>2022-715</v>
      </c>
      <c r="C4970" s="1" t="s">
        <v>2733</v>
      </c>
      <c r="D4970" s="1" t="s">
        <v>914</v>
      </c>
      <c r="E4970" s="1" t="str">
        <f>""</f>
        <v/>
      </c>
      <c r="F4970" s="1" t="s">
        <v>1860</v>
      </c>
      <c r="G4970" s="1" t="str">
        <f>CONCATENATE(" TOKIĆ D.O.O.,"," ULICA 144. BRIGADE HRVATSKE VOJSKE 1A,"," 10360 SESVETE,"," OIB: 7486748762")</f>
        <v xml:space="preserve"> TOKIĆ D.O.O., ULICA 144. BRIGADE HRVATSKE VOJSKE 1A, 10360 SESVETE, OIB: 7486748762</v>
      </c>
      <c r="H4970" s="7"/>
      <c r="I4970" s="8" t="s">
        <v>399</v>
      </c>
      <c r="J4970" s="8" t="s">
        <v>1515</v>
      </c>
      <c r="K4970" s="6" t="str">
        <f>"1.313,00"</f>
        <v>1.313,00</v>
      </c>
      <c r="L4970" s="6" t="str">
        <f>"328,25"</f>
        <v>328,25</v>
      </c>
      <c r="M4970" s="6" t="str">
        <f>"1.641,25"</f>
        <v>1.641,25</v>
      </c>
      <c r="N4970" s="8" t="s">
        <v>124</v>
      </c>
      <c r="O4970" s="7"/>
      <c r="P4970" s="2" t="s">
        <v>5614</v>
      </c>
      <c r="Q4970" s="7"/>
      <c r="R4970" s="1"/>
      <c r="S4970" s="1" t="str">
        <f>"J-UN-2022-2077"</f>
        <v>J-UN-2022-2077</v>
      </c>
      <c r="T4970" s="1" t="s">
        <v>32</v>
      </c>
    </row>
    <row r="4971" spans="1:20" ht="63.75" x14ac:dyDescent="0.25">
      <c r="A4971" s="6">
        <v>4950</v>
      </c>
      <c r="B4971" s="1" t="str">
        <f>"2022-376"</f>
        <v>2022-376</v>
      </c>
      <c r="C4971" s="1" t="s">
        <v>2730</v>
      </c>
      <c r="D4971" s="1" t="s">
        <v>1203</v>
      </c>
      <c r="E4971" s="1" t="str">
        <f>""</f>
        <v/>
      </c>
      <c r="F4971" s="1" t="s">
        <v>1860</v>
      </c>
      <c r="G4971" s="1" t="str">
        <f>CONCATENATE(" POLJOOPSKRBA-TEHNO D.D.,"," SAMOBORSKA 96,"," 10000 ZAGREB,"," OIB: 5372167324")</f>
        <v xml:space="preserve"> POLJOOPSKRBA-TEHNO D.D., SAMOBORSKA 96, 10000 ZAGREB, OIB: 5372167324</v>
      </c>
      <c r="H4971" s="7"/>
      <c r="I4971" s="8" t="s">
        <v>399</v>
      </c>
      <c r="J4971" s="8" t="s">
        <v>1515</v>
      </c>
      <c r="K4971" s="6" t="str">
        <f>"13.539,00"</f>
        <v>13.539,00</v>
      </c>
      <c r="L4971" s="6" t="str">
        <f>"3.384,75"</f>
        <v>3.384,75</v>
      </c>
      <c r="M4971" s="6" t="str">
        <f>"16.923,75"</f>
        <v>16.923,75</v>
      </c>
      <c r="N4971" s="8" t="s">
        <v>124</v>
      </c>
      <c r="O4971" s="7"/>
      <c r="P4971" s="2" t="s">
        <v>5614</v>
      </c>
      <c r="Q4971" s="7"/>
      <c r="R4971" s="1"/>
      <c r="S4971" s="1" t="str">
        <f>"J-UN-2022-2078"</f>
        <v>J-UN-2022-2078</v>
      </c>
      <c r="T4971" s="1" t="s">
        <v>32</v>
      </c>
    </row>
    <row r="4972" spans="1:20" ht="76.5" x14ac:dyDescent="0.25">
      <c r="A4972" s="6">
        <v>4951</v>
      </c>
      <c r="B4972" s="1" t="str">
        <f>"2022-384"</f>
        <v>2022-384</v>
      </c>
      <c r="C4972" s="1" t="s">
        <v>3062</v>
      </c>
      <c r="D4972" s="1" t="s">
        <v>3063</v>
      </c>
      <c r="E4972" s="1" t="str">
        <f>""</f>
        <v/>
      </c>
      <c r="F4972" s="1" t="s">
        <v>1860</v>
      </c>
      <c r="G4972" s="1" t="str">
        <f>CONCATENATE(" SMIT-COMMERCE D.O.O.,"," GORNJOSTUPNIČKA 9B,"," 10255 GORNJI STUPNIK,"," OIB: 9524348214")</f>
        <v xml:space="preserve"> SMIT-COMMERCE D.O.O., GORNJOSTUPNIČKA 9B, 10255 GORNJI STUPNIK, OIB: 9524348214</v>
      </c>
      <c r="H4972" s="7"/>
      <c r="I4972" s="8" t="s">
        <v>1147</v>
      </c>
      <c r="J4972" s="8" t="s">
        <v>2353</v>
      </c>
      <c r="K4972" s="6" t="str">
        <f>"5.793,00"</f>
        <v>5.793,00</v>
      </c>
      <c r="L4972" s="6" t="str">
        <f>"1.448,25"</f>
        <v>1.448,25</v>
      </c>
      <c r="M4972" s="6" t="str">
        <f>"7.241,25"</f>
        <v>7.241,25</v>
      </c>
      <c r="N4972" s="8" t="s">
        <v>124</v>
      </c>
      <c r="O4972" s="7"/>
      <c r="P4972" s="2" t="s">
        <v>5614</v>
      </c>
      <c r="Q4972" s="7"/>
      <c r="R4972" s="1"/>
      <c r="S4972" s="1" t="str">
        <f>"J-UN-2022-2079"</f>
        <v>J-UN-2022-2079</v>
      </c>
      <c r="T4972" s="1" t="s">
        <v>32</v>
      </c>
    </row>
    <row r="4973" spans="1:20" ht="51" x14ac:dyDescent="0.25">
      <c r="A4973" s="6">
        <v>4952</v>
      </c>
      <c r="B4973" s="1" t="str">
        <f>"2022-473"</f>
        <v>2022-473</v>
      </c>
      <c r="C4973" s="1" t="s">
        <v>2738</v>
      </c>
      <c r="D4973" s="1" t="s">
        <v>2739</v>
      </c>
      <c r="E4973" s="1" t="str">
        <f>""</f>
        <v/>
      </c>
      <c r="F4973" s="1" t="s">
        <v>1860</v>
      </c>
      <c r="G4973" s="1" t="str">
        <f>CONCATENATE(" UNIMEX D.O.O.,"," DR. FRANJE TUĐMANA 13,"," 10431 SVETA NEDJELJA,"," OIB: 60382881936")</f>
        <v xml:space="preserve"> UNIMEX D.O.O., DR. FRANJE TUĐMANA 13, 10431 SVETA NEDJELJA, OIB: 60382881936</v>
      </c>
      <c r="H4973" s="7"/>
      <c r="I4973" s="8" t="s">
        <v>553</v>
      </c>
      <c r="J4973" s="8" t="s">
        <v>3278</v>
      </c>
      <c r="K4973" s="6" t="str">
        <f>"20.164,44"</f>
        <v>20.164,44</v>
      </c>
      <c r="L4973" s="6" t="str">
        <f>"5.041,11"</f>
        <v>5.041,11</v>
      </c>
      <c r="M4973" s="6" t="str">
        <f>"25.205,55"</f>
        <v>25.205,55</v>
      </c>
      <c r="N4973" s="8" t="s">
        <v>124</v>
      </c>
      <c r="O4973" s="7"/>
      <c r="P4973" s="2" t="s">
        <v>5614</v>
      </c>
      <c r="Q4973" s="7"/>
      <c r="R4973" s="1"/>
      <c r="S4973" s="1" t="str">
        <f>"J-UN-2022-2085"</f>
        <v>J-UN-2022-2085</v>
      </c>
      <c r="T4973" s="1" t="s">
        <v>32</v>
      </c>
    </row>
    <row r="4974" spans="1:20" ht="51" x14ac:dyDescent="0.25">
      <c r="A4974" s="6">
        <v>4953</v>
      </c>
      <c r="B4974" s="1" t="str">
        <f>"2022-950"</f>
        <v>2022-950</v>
      </c>
      <c r="C4974" s="1" t="s">
        <v>2854</v>
      </c>
      <c r="D4974" s="1" t="s">
        <v>2855</v>
      </c>
      <c r="E4974" s="1" t="str">
        <f>""</f>
        <v/>
      </c>
      <c r="F4974" s="1" t="s">
        <v>1860</v>
      </c>
      <c r="G4974" s="1" t="str">
        <f>CONCATENATE(" TEHNO-HIDRAULIK D.O.O.,"," SAVIŠĆE 2,"," 10000 ZAGREB,"," OIB: 09925328419")</f>
        <v xml:space="preserve"> TEHNO-HIDRAULIK D.O.O., SAVIŠĆE 2, 10000 ZAGREB, OIB: 09925328419</v>
      </c>
      <c r="H4974" s="7"/>
      <c r="I4974" s="8" t="s">
        <v>458</v>
      </c>
      <c r="J4974" s="8" t="s">
        <v>3271</v>
      </c>
      <c r="K4974" s="6" t="str">
        <f>"410,74"</f>
        <v>410,74</v>
      </c>
      <c r="L4974" s="6" t="str">
        <f>"102,69"</f>
        <v>102,69</v>
      </c>
      <c r="M4974" s="6" t="str">
        <f>"513,43"</f>
        <v>513,43</v>
      </c>
      <c r="N4974" s="8" t="s">
        <v>384</v>
      </c>
      <c r="O4974" s="7"/>
      <c r="P4974" s="2" t="s">
        <v>8409</v>
      </c>
      <c r="Q4974" s="7"/>
      <c r="R4974" s="1"/>
      <c r="S4974" s="1" t="str">
        <f>"J-UN-2022-2087"</f>
        <v>J-UN-2022-2087</v>
      </c>
      <c r="T4974" s="1" t="s">
        <v>32</v>
      </c>
    </row>
    <row r="4975" spans="1:20" ht="51" x14ac:dyDescent="0.25">
      <c r="A4975" s="6">
        <v>4954</v>
      </c>
      <c r="B4975" s="1" t="str">
        <f>"2022-817"</f>
        <v>2022-817</v>
      </c>
      <c r="C4975" s="1" t="s">
        <v>2839</v>
      </c>
      <c r="D4975" s="1" t="s">
        <v>2716</v>
      </c>
      <c r="E4975" s="1" t="str">
        <f>""</f>
        <v/>
      </c>
      <c r="F4975" s="1" t="s">
        <v>1860</v>
      </c>
      <c r="G4975" s="1" t="str">
        <f>CONCATENATE(" TORBARINA D.O.O.,"," NOVA CESTA 3,"," 10412 DONJA LOMNICA,"," OIB: 02603292627")</f>
        <v xml:space="preserve"> TORBARINA D.O.O., NOVA CESTA 3, 10412 DONJA LOMNICA, OIB: 02603292627</v>
      </c>
      <c r="H4975" s="7"/>
      <c r="I4975" s="8" t="s">
        <v>553</v>
      </c>
      <c r="J4975" s="8" t="s">
        <v>3278</v>
      </c>
      <c r="K4975" s="6" t="str">
        <f>"9.910,00"</f>
        <v>9.910,00</v>
      </c>
      <c r="L4975" s="6" t="str">
        <f>"2.477,50"</f>
        <v>2.477,50</v>
      </c>
      <c r="M4975" s="6" t="str">
        <f>"12.387,50"</f>
        <v>12.387,50</v>
      </c>
      <c r="N4975" s="8" t="s">
        <v>124</v>
      </c>
      <c r="O4975" s="7"/>
      <c r="P4975" s="2" t="s">
        <v>5614</v>
      </c>
      <c r="Q4975" s="7"/>
      <c r="R4975" s="1"/>
      <c r="S4975" s="1" t="str">
        <f>"J-UN-2022-2088"</f>
        <v>J-UN-2022-2088</v>
      </c>
      <c r="T4975" s="1" t="s">
        <v>32</v>
      </c>
    </row>
    <row r="4976" spans="1:20" ht="63.75" x14ac:dyDescent="0.25">
      <c r="A4976" s="6">
        <v>4955</v>
      </c>
      <c r="B4976" s="1" t="str">
        <f>"2022-880"</f>
        <v>2022-880</v>
      </c>
      <c r="C4976" s="1" t="s">
        <v>2959</v>
      </c>
      <c r="D4976" s="1" t="s">
        <v>2960</v>
      </c>
      <c r="E4976" s="1" t="str">
        <f>""</f>
        <v/>
      </c>
      <c r="F4976" s="1" t="s">
        <v>1860</v>
      </c>
      <c r="G4976" s="1" t="str">
        <f>CONCATENATE(" AUDIO VIDEO CONSULTING D.O.O.,"," HRASTOVIČKA 62,"," 10250 LUČKO,"," OIB: 62707927904")</f>
        <v xml:space="preserve"> AUDIO VIDEO CONSULTING D.O.O., HRASTOVIČKA 62, 10250 LUČKO, OIB: 62707927904</v>
      </c>
      <c r="H4976" s="7"/>
      <c r="I4976" s="8" t="s">
        <v>458</v>
      </c>
      <c r="J4976" s="8" t="s">
        <v>3271</v>
      </c>
      <c r="K4976" s="6" t="str">
        <f>"2.800,00"</f>
        <v>2.800,00</v>
      </c>
      <c r="L4976" s="6" t="str">
        <f>"700,00"</f>
        <v>700,00</v>
      </c>
      <c r="M4976" s="6" t="str">
        <f>"3.500,00"</f>
        <v>3.500,00</v>
      </c>
      <c r="N4976" s="8" t="s">
        <v>124</v>
      </c>
      <c r="O4976" s="7"/>
      <c r="P4976" s="2" t="s">
        <v>5614</v>
      </c>
      <c r="Q4976" s="7"/>
      <c r="R4976" s="1"/>
      <c r="S4976" s="1" t="str">
        <f>"J-UN-2022-2089"</f>
        <v>J-UN-2022-2089</v>
      </c>
      <c r="T4976" s="1" t="s">
        <v>32</v>
      </c>
    </row>
    <row r="4977" spans="1:20" ht="63.75" x14ac:dyDescent="0.25">
      <c r="A4977" s="6">
        <v>4956</v>
      </c>
      <c r="B4977" s="1" t="str">
        <f>"2022-413"</f>
        <v>2022-413</v>
      </c>
      <c r="C4977" s="1" t="s">
        <v>2773</v>
      </c>
      <c r="D4977" s="1" t="s">
        <v>2774</v>
      </c>
      <c r="E4977" s="1" t="str">
        <f>""</f>
        <v/>
      </c>
      <c r="F4977" s="1" t="s">
        <v>1860</v>
      </c>
      <c r="G4977" s="1" t="str">
        <f>CONCATENATE(" ELEKTRO-KOMUNIKACIJE D.O.O.,"," 14. PODBREŽJE 4,"," 10000 ZAGREB,"," OIB: 76412373309")</f>
        <v xml:space="preserve"> ELEKTRO-KOMUNIKACIJE D.O.O., 14. PODBREŽJE 4, 10000 ZAGREB, OIB: 76412373309</v>
      </c>
      <c r="H4977" s="7"/>
      <c r="I4977" s="8" t="s">
        <v>553</v>
      </c>
      <c r="J4977" s="8" t="s">
        <v>3278</v>
      </c>
      <c r="K4977" s="6" t="str">
        <f>"9.950,00"</f>
        <v>9.950,00</v>
      </c>
      <c r="L4977" s="6" t="str">
        <f>"2.487,50"</f>
        <v>2.487,50</v>
      </c>
      <c r="M4977" s="6" t="str">
        <f>"12.437,50"</f>
        <v>12.437,50</v>
      </c>
      <c r="N4977" s="8" t="s">
        <v>124</v>
      </c>
      <c r="O4977" s="7"/>
      <c r="P4977" s="2" t="s">
        <v>5614</v>
      </c>
      <c r="Q4977" s="7"/>
      <c r="R4977" s="1"/>
      <c r="S4977" s="1" t="str">
        <f>"J-UN-2022-2090"</f>
        <v>J-UN-2022-2090</v>
      </c>
      <c r="T4977" s="1" t="s">
        <v>32</v>
      </c>
    </row>
    <row r="4978" spans="1:20" ht="51" x14ac:dyDescent="0.25">
      <c r="A4978" s="6">
        <v>4957</v>
      </c>
      <c r="B4978" s="1" t="str">
        <f>"2022-1410"</f>
        <v>2022-1410</v>
      </c>
      <c r="C4978" s="1" t="s">
        <v>2757</v>
      </c>
      <c r="D4978" s="1" t="s">
        <v>2724</v>
      </c>
      <c r="E4978" s="1" t="str">
        <f>""</f>
        <v/>
      </c>
      <c r="F4978" s="1" t="s">
        <v>1860</v>
      </c>
      <c r="G4978" s="1" t="str">
        <f>CONCATENATE(" ZIK D.O.O.,"," LJUDEVITA GAJA 17/III,"," 10000 ZAGREB,"," OIB: 74121470605")</f>
        <v xml:space="preserve"> ZIK D.O.O., LJUDEVITA GAJA 17/III, 10000 ZAGREB, OIB: 74121470605</v>
      </c>
      <c r="H4978" s="7"/>
      <c r="I4978" s="8" t="s">
        <v>1147</v>
      </c>
      <c r="J4978" s="8" t="s">
        <v>2353</v>
      </c>
      <c r="K4978" s="6" t="str">
        <f>"2.500,00"</f>
        <v>2.500,00</v>
      </c>
      <c r="L4978" s="6" t="str">
        <f>"625,00"</f>
        <v>625,00</v>
      </c>
      <c r="M4978" s="6" t="str">
        <f>"3.125,00"</f>
        <v>3.125,00</v>
      </c>
      <c r="N4978" s="8" t="s">
        <v>124</v>
      </c>
      <c r="O4978" s="7"/>
      <c r="P4978" s="2" t="s">
        <v>5614</v>
      </c>
      <c r="Q4978" s="7"/>
      <c r="R4978" s="1"/>
      <c r="S4978" s="1" t="str">
        <f>"J-UN-2022-2091"</f>
        <v>J-UN-2022-2091</v>
      </c>
      <c r="T4978" s="1" t="s">
        <v>32</v>
      </c>
    </row>
    <row r="4979" spans="1:20" ht="63.75" x14ac:dyDescent="0.25">
      <c r="A4979" s="6">
        <v>4958</v>
      </c>
      <c r="B4979" s="1" t="str">
        <f>"2022-1434"</f>
        <v>2022-1434</v>
      </c>
      <c r="C4979" s="1" t="s">
        <v>2558</v>
      </c>
      <c r="D4979" s="1" t="s">
        <v>860</v>
      </c>
      <c r="E4979" s="1" t="str">
        <f>""</f>
        <v/>
      </c>
      <c r="F4979" s="1" t="s">
        <v>1860</v>
      </c>
      <c r="G4979" s="1" t="str">
        <f>CONCATENATE(" STROJOGRADNJA,"," VL. DORA PERŠI,"," RAKITJE,"," RADNIČKA 9,"," 10431 SVETA NEDJELJA,"," OIB: 72791562742")</f>
        <v xml:space="preserve"> STROJOGRADNJA, VL. DORA PERŠI, RAKITJE, RADNIČKA 9, 10431 SVETA NEDJELJA, OIB: 72791562742</v>
      </c>
      <c r="H4979" s="7"/>
      <c r="I4979" s="8" t="s">
        <v>458</v>
      </c>
      <c r="J4979" s="8" t="s">
        <v>3271</v>
      </c>
      <c r="K4979" s="6" t="str">
        <f>"26.650,00"</f>
        <v>26.650,00</v>
      </c>
      <c r="L4979" s="6" t="str">
        <f>"6.662,50"</f>
        <v>6.662,50</v>
      </c>
      <c r="M4979" s="6" t="str">
        <f>"33.312,50"</f>
        <v>33.312,50</v>
      </c>
      <c r="N4979" s="8" t="s">
        <v>124</v>
      </c>
      <c r="O4979" s="7"/>
      <c r="P4979" s="2" t="s">
        <v>5614</v>
      </c>
      <c r="Q4979" s="7"/>
      <c r="R4979" s="1"/>
      <c r="S4979" s="1" t="str">
        <f>"J-UN-2022-2092"</f>
        <v>J-UN-2022-2092</v>
      </c>
      <c r="T4979" s="1" t="s">
        <v>32</v>
      </c>
    </row>
    <row r="4980" spans="1:20" ht="51" x14ac:dyDescent="0.25">
      <c r="A4980" s="6">
        <v>4959</v>
      </c>
      <c r="B4980" s="1" t="str">
        <f>"2022-984"</f>
        <v>2022-984</v>
      </c>
      <c r="C4980" s="1" t="s">
        <v>2638</v>
      </c>
      <c r="D4980" s="1" t="s">
        <v>1458</v>
      </c>
      <c r="E4980" s="1" t="str">
        <f>""</f>
        <v/>
      </c>
      <c r="F4980" s="1" t="s">
        <v>1860</v>
      </c>
      <c r="G4980" s="1" t="str">
        <f>CONCATENATE(" TEPESCO D.O.O.,"," JASENA 11A,"," 10040 ZAGREB,"," OIB: 7691411318")</f>
        <v xml:space="preserve"> TEPESCO D.O.O., JASENA 11A, 10040 ZAGREB, OIB: 7691411318</v>
      </c>
      <c r="H4980" s="7"/>
      <c r="I4980" s="8" t="s">
        <v>458</v>
      </c>
      <c r="J4980" s="8" t="s">
        <v>3271</v>
      </c>
      <c r="K4980" s="6" t="str">
        <f>"43.875,00"</f>
        <v>43.875,00</v>
      </c>
      <c r="L4980" s="6" t="str">
        <f>"10.968,75"</f>
        <v>10.968,75</v>
      </c>
      <c r="M4980" s="6" t="str">
        <f>"54.843,75"</f>
        <v>54.843,75</v>
      </c>
      <c r="N4980" s="8" t="s">
        <v>124</v>
      </c>
      <c r="O4980" s="7"/>
      <c r="P4980" s="2" t="s">
        <v>5614</v>
      </c>
      <c r="Q4980" s="7"/>
      <c r="R4980" s="1"/>
      <c r="S4980" s="1" t="str">
        <f>"J-UN-2022-2093"</f>
        <v>J-UN-2022-2093</v>
      </c>
      <c r="T4980" s="1" t="s">
        <v>32</v>
      </c>
    </row>
    <row r="4981" spans="1:20" ht="63.75" x14ac:dyDescent="0.25">
      <c r="A4981" s="6">
        <v>4960</v>
      </c>
      <c r="B4981" s="1" t="str">
        <f>"2022-186"</f>
        <v>2022-186</v>
      </c>
      <c r="C4981" s="1" t="s">
        <v>2534</v>
      </c>
      <c r="D4981" s="1" t="s">
        <v>2535</v>
      </c>
      <c r="E4981" s="1" t="str">
        <f>""</f>
        <v/>
      </c>
      <c r="F4981" s="1" t="s">
        <v>1860</v>
      </c>
      <c r="G4981" s="1" t="str">
        <f>CONCATENATE(" JULIUS MEINL BONFANTI D.O.O.,"," LJUBLJANSKA ULICA 4,"," 10431 SVETA NEDELJA,"," OIB: 39546130894")</f>
        <v xml:space="preserve"> JULIUS MEINL BONFANTI D.O.O., LJUBLJANSKA ULICA 4, 10431 SVETA NEDELJA, OIB: 39546130894</v>
      </c>
      <c r="H4981" s="7"/>
      <c r="I4981" s="8" t="s">
        <v>458</v>
      </c>
      <c r="J4981" s="8" t="s">
        <v>3271</v>
      </c>
      <c r="K4981" s="6" t="str">
        <f>"3.140,80"</f>
        <v>3.140,80</v>
      </c>
      <c r="L4981" s="6" t="str">
        <f>"785,20"</f>
        <v>785,20</v>
      </c>
      <c r="M4981" s="6" t="str">
        <f>"3.926,00"</f>
        <v>3.926,00</v>
      </c>
      <c r="N4981" s="8" t="s">
        <v>124</v>
      </c>
      <c r="O4981" s="7"/>
      <c r="P4981" s="2" t="s">
        <v>5614</v>
      </c>
      <c r="Q4981" s="7"/>
      <c r="R4981" s="1"/>
      <c r="S4981" s="1" t="str">
        <f>"J-UN-2022-2094"</f>
        <v>J-UN-2022-2094</v>
      </c>
      <c r="T4981" s="1" t="s">
        <v>32</v>
      </c>
    </row>
    <row r="4982" spans="1:20" ht="51" x14ac:dyDescent="0.25">
      <c r="A4982" s="6">
        <v>4961</v>
      </c>
      <c r="B4982" s="1" t="str">
        <f>"2022-1350"</f>
        <v>2022-1350</v>
      </c>
      <c r="C4982" s="1" t="s">
        <v>3131</v>
      </c>
      <c r="D4982" s="1" t="s">
        <v>1859</v>
      </c>
      <c r="E4982" s="1" t="str">
        <f>""</f>
        <v/>
      </c>
      <c r="F4982" s="1" t="s">
        <v>1860</v>
      </c>
      <c r="G4982" s="1" t="str">
        <f>CONCATENATE(" INFO PULS D.O.O.,"," JOSIPA PUPAČIĆA 1,"," 10000 ZAGREB,"," OIB: 43150843424")</f>
        <v xml:space="preserve"> INFO PULS D.O.O., JOSIPA PUPAČIĆA 1, 10000 ZAGREB, OIB: 43150843424</v>
      </c>
      <c r="H4982" s="7"/>
      <c r="I4982" s="8" t="s">
        <v>458</v>
      </c>
      <c r="J4982" s="8" t="s">
        <v>3271</v>
      </c>
      <c r="K4982" s="6" t="str">
        <f>"1.408,95"</f>
        <v>1.408,95</v>
      </c>
      <c r="L4982" s="6" t="str">
        <f>"352,24"</f>
        <v>352,24</v>
      </c>
      <c r="M4982" s="6" t="str">
        <f>"1.761,19"</f>
        <v>1.761,19</v>
      </c>
      <c r="N4982" s="8" t="s">
        <v>124</v>
      </c>
      <c r="O4982" s="7"/>
      <c r="P4982" s="2" t="s">
        <v>5614</v>
      </c>
      <c r="Q4982" s="7"/>
      <c r="R4982" s="1"/>
      <c r="S4982" s="1" t="str">
        <f>"J-UN-2022-2095"</f>
        <v>J-UN-2022-2095</v>
      </c>
      <c r="T4982" s="1" t="s">
        <v>32</v>
      </c>
    </row>
    <row r="4983" spans="1:20" ht="63.75" x14ac:dyDescent="0.25">
      <c r="A4983" s="6">
        <v>4962</v>
      </c>
      <c r="B4983" s="1" t="str">
        <f>"2022-1381"</f>
        <v>2022-1381</v>
      </c>
      <c r="C4983" s="1" t="s">
        <v>2405</v>
      </c>
      <c r="D4983" s="1" t="s">
        <v>880</v>
      </c>
      <c r="E4983" s="1" t="str">
        <f>""</f>
        <v/>
      </c>
      <c r="F4983" s="1" t="s">
        <v>1860</v>
      </c>
      <c r="G4983" s="1" t="str">
        <f>CONCATENATE(" HRVATSKI ZAVOD ZA JAVNO ZDRAVSTVO - HZJZ,"," ROCKEFELLEROVA 7,"," 10000 ZAGREB,"," OIB: 7529753204")</f>
        <v xml:space="preserve"> HRVATSKI ZAVOD ZA JAVNO ZDRAVSTVO - HZJZ, ROCKEFELLEROVA 7, 10000 ZAGREB, OIB: 7529753204</v>
      </c>
      <c r="H4983" s="7"/>
      <c r="I4983" s="8" t="s">
        <v>1123</v>
      </c>
      <c r="J4983" s="8" t="s">
        <v>2251</v>
      </c>
      <c r="K4983" s="6" t="str">
        <f>"10.890,00"</f>
        <v>10.890,00</v>
      </c>
      <c r="L4983" s="6" t="str">
        <f>"2.722,50"</f>
        <v>2.722,50</v>
      </c>
      <c r="M4983" s="6" t="str">
        <f>"13.612,50"</f>
        <v>13.612,50</v>
      </c>
      <c r="N4983" s="8" t="s">
        <v>124</v>
      </c>
      <c r="O4983" s="7"/>
      <c r="P4983" s="2" t="s">
        <v>5614</v>
      </c>
      <c r="Q4983" s="7"/>
      <c r="R4983" s="1"/>
      <c r="S4983" s="1" t="str">
        <f>"J-UN-2022-2096"</f>
        <v>J-UN-2022-2096</v>
      </c>
      <c r="T4983" s="1" t="s">
        <v>32</v>
      </c>
    </row>
    <row r="4984" spans="1:20" ht="51" x14ac:dyDescent="0.25">
      <c r="A4984" s="6">
        <v>4963</v>
      </c>
      <c r="B4984" s="1" t="str">
        <f>"2022-488"</f>
        <v>2022-488</v>
      </c>
      <c r="C4984" s="1" t="s">
        <v>2714</v>
      </c>
      <c r="D4984" s="1" t="s">
        <v>619</v>
      </c>
      <c r="E4984" s="1" t="str">
        <f>""</f>
        <v/>
      </c>
      <c r="F4984" s="1" t="s">
        <v>1860</v>
      </c>
      <c r="G4984" s="1" t="str">
        <f>CONCATENATE(" SAFIR D.O.O.,"," HORVAĆANSKA 17,"," 10000 ZAGREB,"," OIB: 33548604975")</f>
        <v xml:space="preserve"> SAFIR D.O.O., HORVAĆANSKA 17, 10000 ZAGREB, OIB: 33548604975</v>
      </c>
      <c r="H4984" s="7"/>
      <c r="I4984" s="8" t="s">
        <v>433</v>
      </c>
      <c r="J4984" s="8" t="s">
        <v>3279</v>
      </c>
      <c r="K4984" s="6" t="str">
        <f>"3.964,00"</f>
        <v>3.964,00</v>
      </c>
      <c r="L4984" s="6" t="str">
        <f>"991,00"</f>
        <v>991,00</v>
      </c>
      <c r="M4984" s="6" t="str">
        <f>"4.955,00"</f>
        <v>4.955,00</v>
      </c>
      <c r="N4984" s="8" t="s">
        <v>124</v>
      </c>
      <c r="O4984" s="7"/>
      <c r="P4984" s="2" t="s">
        <v>5614</v>
      </c>
      <c r="Q4984" s="7"/>
      <c r="R4984" s="1"/>
      <c r="S4984" s="1" t="str">
        <f>"J-UN-2022-2097"</f>
        <v>J-UN-2022-2097</v>
      </c>
      <c r="T4984" s="1" t="s">
        <v>32</v>
      </c>
    </row>
    <row r="4985" spans="1:20" ht="63.75" x14ac:dyDescent="0.25">
      <c r="A4985" s="6">
        <v>4964</v>
      </c>
      <c r="B4985" s="1" t="str">
        <f>"2022-243"</f>
        <v>2022-243</v>
      </c>
      <c r="C4985" s="1" t="s">
        <v>2621</v>
      </c>
      <c r="D4985" s="1" t="s">
        <v>2622</v>
      </c>
      <c r="E4985" s="1" t="str">
        <f>""</f>
        <v/>
      </c>
      <c r="F4985" s="1" t="s">
        <v>1860</v>
      </c>
      <c r="G4985" s="1" t="str">
        <f>CONCATENATE(" KEMOBOJA-DUBRAVA D.O.O.,"," AVENIJA DUBRAVA 37,"," 10000 ZAGREB,"," OIB: 6402157427")</f>
        <v xml:space="preserve"> KEMOBOJA-DUBRAVA D.O.O., AVENIJA DUBRAVA 37, 10000 ZAGREB, OIB: 6402157427</v>
      </c>
      <c r="H4985" s="7"/>
      <c r="I4985" s="8" t="s">
        <v>1123</v>
      </c>
      <c r="J4985" s="8" t="s">
        <v>2251</v>
      </c>
      <c r="K4985" s="6" t="str">
        <f>"2.905,00"</f>
        <v>2.905,00</v>
      </c>
      <c r="L4985" s="6" t="str">
        <f>"726,25"</f>
        <v>726,25</v>
      </c>
      <c r="M4985" s="6" t="str">
        <f>"3.631,25"</f>
        <v>3.631,25</v>
      </c>
      <c r="N4985" s="8" t="s">
        <v>124</v>
      </c>
      <c r="O4985" s="7"/>
      <c r="P4985" s="2" t="s">
        <v>5614</v>
      </c>
      <c r="Q4985" s="7"/>
      <c r="R4985" s="1"/>
      <c r="S4985" s="1" t="str">
        <f>"J-UN-2022-2098"</f>
        <v>J-UN-2022-2098</v>
      </c>
      <c r="T4985" s="1" t="s">
        <v>32</v>
      </c>
    </row>
    <row r="4986" spans="1:20" ht="51" x14ac:dyDescent="0.25">
      <c r="A4986" s="6">
        <v>4965</v>
      </c>
      <c r="B4986" s="1" t="str">
        <f>"2022-713"</f>
        <v>2022-713</v>
      </c>
      <c r="C4986" s="1" t="s">
        <v>3072</v>
      </c>
      <c r="D4986" s="1" t="s">
        <v>914</v>
      </c>
      <c r="E4986" s="1" t="str">
        <f>""</f>
        <v/>
      </c>
      <c r="F4986" s="1" t="s">
        <v>1860</v>
      </c>
      <c r="G4986" s="1" t="str">
        <f>CONCATENATE(" LAGER BAŠIĆ D.O.O.,"," TRGOVAČKA 3,"," 10255 DONJI STUPNIK,"," OIB: 49617677906")</f>
        <v xml:space="preserve"> LAGER BAŠIĆ D.O.O., TRGOVAČKA 3, 10255 DONJI STUPNIK, OIB: 49617677906</v>
      </c>
      <c r="H4986" s="7"/>
      <c r="I4986" s="8" t="s">
        <v>1123</v>
      </c>
      <c r="J4986" s="8" t="s">
        <v>2251</v>
      </c>
      <c r="K4986" s="6" t="str">
        <f>"19.160,00"</f>
        <v>19.160,00</v>
      </c>
      <c r="L4986" s="6" t="str">
        <f>"4.790,00"</f>
        <v>4.790,00</v>
      </c>
      <c r="M4986" s="6" t="str">
        <f>"23.950,00"</f>
        <v>23.950,00</v>
      </c>
      <c r="N4986" s="8" t="s">
        <v>124</v>
      </c>
      <c r="O4986" s="7"/>
      <c r="P4986" s="2" t="s">
        <v>5614</v>
      </c>
      <c r="Q4986" s="7"/>
      <c r="R4986" s="1"/>
      <c r="S4986" s="1" t="str">
        <f>"J-UN-2022-2099"</f>
        <v>J-UN-2022-2099</v>
      </c>
      <c r="T4986" s="1" t="s">
        <v>32</v>
      </c>
    </row>
    <row r="4987" spans="1:20" ht="63.75" x14ac:dyDescent="0.25">
      <c r="A4987" s="6">
        <v>4966</v>
      </c>
      <c r="B4987" s="1" t="str">
        <f>"2022-1998"</f>
        <v>2022-1998</v>
      </c>
      <c r="C4987" s="1" t="s">
        <v>3254</v>
      </c>
      <c r="D4987" s="1" t="s">
        <v>34</v>
      </c>
      <c r="E4987" s="1" t="str">
        <f>""</f>
        <v/>
      </c>
      <c r="F4987" s="1" t="s">
        <v>1860</v>
      </c>
      <c r="G4987" s="1" t="str">
        <f>CONCATENATE(" URIHO - ZAGREB,"," AVENIJA MARINA DRŽIĆA 1,"," 10000 ZAGREB,"," OIB: 77931216562")</f>
        <v xml:space="preserve"> URIHO - ZAGREB, AVENIJA MARINA DRŽIĆA 1, 10000 ZAGREB, OIB: 77931216562</v>
      </c>
      <c r="H4987" s="7"/>
      <c r="I4987" s="8" t="s">
        <v>1123</v>
      </c>
      <c r="J4987" s="8" t="s">
        <v>2251</v>
      </c>
      <c r="K4987" s="6" t="str">
        <f>"286,00"</f>
        <v>286,00</v>
      </c>
      <c r="L4987" s="6" t="str">
        <f>"71,50"</f>
        <v>71,50</v>
      </c>
      <c r="M4987" s="6" t="str">
        <f>"357,50"</f>
        <v>357,50</v>
      </c>
      <c r="N4987" s="8" t="s">
        <v>124</v>
      </c>
      <c r="O4987" s="7"/>
      <c r="P4987" s="2" t="s">
        <v>5614</v>
      </c>
      <c r="Q4987" s="7"/>
      <c r="R4987" s="1"/>
      <c r="S4987" s="1" t="str">
        <f>"J-UN-2022-2100"</f>
        <v>J-UN-2022-2100</v>
      </c>
      <c r="T4987" s="1" t="s">
        <v>32</v>
      </c>
    </row>
    <row r="4988" spans="1:20" ht="63.75" x14ac:dyDescent="0.25">
      <c r="A4988" s="6">
        <v>4967</v>
      </c>
      <c r="B4988" s="1" t="str">
        <f>"2022-298"</f>
        <v>2022-298</v>
      </c>
      <c r="C4988" s="1" t="s">
        <v>2873</v>
      </c>
      <c r="D4988" s="1" t="s">
        <v>689</v>
      </c>
      <c r="E4988" s="1" t="str">
        <f>""</f>
        <v/>
      </c>
      <c r="F4988" s="1" t="s">
        <v>1860</v>
      </c>
      <c r="G4988" s="1" t="str">
        <f>CONCATENATE(" PISMORAD D.O.O.,"," INDUSTRIJSKA 5,"," 10431 SVETA NEDELJA-NOVAKI,"," OIB: 33260306505")</f>
        <v xml:space="preserve"> PISMORAD D.O.O., INDUSTRIJSKA 5, 10431 SVETA NEDELJA-NOVAKI, OIB: 33260306505</v>
      </c>
      <c r="H4988" s="7"/>
      <c r="I4988" s="8" t="s">
        <v>1123</v>
      </c>
      <c r="J4988" s="8" t="s">
        <v>2251</v>
      </c>
      <c r="K4988" s="6" t="str">
        <f>"960,00"</f>
        <v>960,00</v>
      </c>
      <c r="L4988" s="6" t="str">
        <f>"240,00"</f>
        <v>240,00</v>
      </c>
      <c r="M4988" s="6" t="str">
        <f>"1.200,00"</f>
        <v>1.200,00</v>
      </c>
      <c r="N4988" s="8" t="s">
        <v>124</v>
      </c>
      <c r="O4988" s="7"/>
      <c r="P4988" s="2" t="s">
        <v>5614</v>
      </c>
      <c r="Q4988" s="7"/>
      <c r="R4988" s="1"/>
      <c r="S4988" s="1" t="str">
        <f>"J-UN-2022-2101"</f>
        <v>J-UN-2022-2101</v>
      </c>
      <c r="T4988" s="1" t="s">
        <v>32</v>
      </c>
    </row>
    <row r="4989" spans="1:20" ht="63.75" x14ac:dyDescent="0.25">
      <c r="A4989" s="6">
        <v>4968</v>
      </c>
      <c r="B4989" s="1" t="str">
        <f>"2022-321"</f>
        <v>2022-321</v>
      </c>
      <c r="C4989" s="1" t="s">
        <v>2703</v>
      </c>
      <c r="D4989" s="1" t="s">
        <v>2704</v>
      </c>
      <c r="E4989" s="1" t="str">
        <f>""</f>
        <v/>
      </c>
      <c r="F4989" s="1" t="s">
        <v>1860</v>
      </c>
      <c r="G4989" s="1" t="str">
        <f>CONCATENATE(" SUMAMETRIK D.O.O.,"," ULICA ANTUNA KANIŽLIĆA 10,"," 34000 POŽEGA,"," OIB: 23559088148")</f>
        <v xml:space="preserve"> SUMAMETRIK D.O.O., ULICA ANTUNA KANIŽLIĆA 10, 34000 POŽEGA, OIB: 23559088148</v>
      </c>
      <c r="H4989" s="7"/>
      <c r="I4989" s="8" t="s">
        <v>1123</v>
      </c>
      <c r="J4989" s="8" t="s">
        <v>2251</v>
      </c>
      <c r="K4989" s="6" t="str">
        <f>"4.344,00"</f>
        <v>4.344,00</v>
      </c>
      <c r="L4989" s="6" t="str">
        <f>"1.086,00"</f>
        <v>1.086,00</v>
      </c>
      <c r="M4989" s="6" t="str">
        <f>"5.430,00"</f>
        <v>5.430,00</v>
      </c>
      <c r="N4989" s="8" t="s">
        <v>433</v>
      </c>
      <c r="O4989" s="7"/>
      <c r="P4989" s="2" t="s">
        <v>8410</v>
      </c>
      <c r="Q4989" s="7"/>
      <c r="R4989" s="1"/>
      <c r="S4989" s="1" t="str">
        <f>"J-UN-2022-2102"</f>
        <v>J-UN-2022-2102</v>
      </c>
      <c r="T4989" s="1" t="s">
        <v>32</v>
      </c>
    </row>
    <row r="4990" spans="1:20" ht="51" x14ac:dyDescent="0.25">
      <c r="A4990" s="6">
        <v>4969</v>
      </c>
      <c r="B4990" s="1" t="str">
        <f>"2022-323"</f>
        <v>2022-323</v>
      </c>
      <c r="C4990" s="1" t="s">
        <v>2687</v>
      </c>
      <c r="D4990" s="1" t="s">
        <v>2688</v>
      </c>
      <c r="E4990" s="1" t="str">
        <f>""</f>
        <v/>
      </c>
      <c r="F4990" s="1" t="s">
        <v>1860</v>
      </c>
      <c r="G4990" s="1" t="str">
        <f>CONCATENATE(" STROJOPROMET D.O.O.,"," ZAGREBAČKA 6,"," 10292 ŠENKOVEC,"," OIB: 97994010225")</f>
        <v xml:space="preserve"> STROJOPROMET D.O.O., ZAGREBAČKA 6, 10292 ŠENKOVEC, OIB: 97994010225</v>
      </c>
      <c r="H4990" s="7"/>
      <c r="I4990" s="8" t="s">
        <v>1123</v>
      </c>
      <c r="J4990" s="8" t="s">
        <v>2251</v>
      </c>
      <c r="K4990" s="6" t="str">
        <f>"11.935,00"</f>
        <v>11.935,00</v>
      </c>
      <c r="L4990" s="6" t="str">
        <f>"2.983,75"</f>
        <v>2.983,75</v>
      </c>
      <c r="M4990" s="6" t="str">
        <f>"14.918,75"</f>
        <v>14.918,75</v>
      </c>
      <c r="N4990" s="8" t="s">
        <v>124</v>
      </c>
      <c r="O4990" s="7"/>
      <c r="P4990" s="2" t="s">
        <v>5614</v>
      </c>
      <c r="Q4990" s="7"/>
      <c r="R4990" s="1"/>
      <c r="S4990" s="1" t="str">
        <f>"J-UN-2022-2103"</f>
        <v>J-UN-2022-2103</v>
      </c>
      <c r="T4990" s="1" t="s">
        <v>32</v>
      </c>
    </row>
    <row r="4991" spans="1:20" ht="76.5" x14ac:dyDescent="0.25">
      <c r="A4991" s="6">
        <v>4970</v>
      </c>
      <c r="B4991" s="1" t="str">
        <f>"2022-243"</f>
        <v>2022-243</v>
      </c>
      <c r="C4991" s="1" t="s">
        <v>2621</v>
      </c>
      <c r="D4991" s="1" t="s">
        <v>2622</v>
      </c>
      <c r="E4991" s="1" t="str">
        <f>""</f>
        <v/>
      </c>
      <c r="F4991" s="1" t="s">
        <v>1860</v>
      </c>
      <c r="G4991" s="1" t="str">
        <f>CONCATENATE(" SMIT-COMMERCE D.O.O.,"," GORNJOSTUPNIČKA 9B,"," 10255 GORNJI STUPNIK,"," OIB: 9524348214")</f>
        <v xml:space="preserve"> SMIT-COMMERCE D.O.O., GORNJOSTUPNIČKA 9B, 10255 GORNJI STUPNIK, OIB: 9524348214</v>
      </c>
      <c r="H4991" s="7"/>
      <c r="I4991" s="8" t="s">
        <v>1123</v>
      </c>
      <c r="J4991" s="8" t="s">
        <v>2251</v>
      </c>
      <c r="K4991" s="6" t="str">
        <f>"1.250,00"</f>
        <v>1.250,00</v>
      </c>
      <c r="L4991" s="6" t="str">
        <f>"312,50"</f>
        <v>312,50</v>
      </c>
      <c r="M4991" s="6" t="str">
        <f>"1.562,50"</f>
        <v>1.562,50</v>
      </c>
      <c r="N4991" s="8" t="s">
        <v>124</v>
      </c>
      <c r="O4991" s="7"/>
      <c r="P4991" s="2" t="s">
        <v>5614</v>
      </c>
      <c r="Q4991" s="7"/>
      <c r="R4991" s="1"/>
      <c r="S4991" s="1" t="str">
        <f>"J-UN-2022-2104"</f>
        <v>J-UN-2022-2104</v>
      </c>
      <c r="T4991" s="1" t="s">
        <v>32</v>
      </c>
    </row>
    <row r="4992" spans="1:20" ht="51" x14ac:dyDescent="0.25">
      <c r="A4992" s="6">
        <v>4971</v>
      </c>
      <c r="B4992" s="1" t="str">
        <f>"2022-301"</f>
        <v>2022-301</v>
      </c>
      <c r="C4992" s="1" t="s">
        <v>3090</v>
      </c>
      <c r="D4992" s="1" t="s">
        <v>3091</v>
      </c>
      <c r="E4992" s="1" t="str">
        <f>""</f>
        <v/>
      </c>
      <c r="F4992" s="1" t="s">
        <v>1860</v>
      </c>
      <c r="G4992" s="1" t="str">
        <f>CONCATENATE(" MEGA MONT D.O.O.,"," POPOVIĆEV PUT 2/D,"," 51211 MATULJI,"," OIB: 64536314217")</f>
        <v xml:space="preserve"> MEGA MONT D.O.O., POPOVIĆEV PUT 2/D, 51211 MATULJI, OIB: 64536314217</v>
      </c>
      <c r="H4992" s="7"/>
      <c r="I4992" s="8" t="s">
        <v>458</v>
      </c>
      <c r="J4992" s="8" t="s">
        <v>3271</v>
      </c>
      <c r="K4992" s="6" t="str">
        <f>"1.275,00"</f>
        <v>1.275,00</v>
      </c>
      <c r="L4992" s="6" t="str">
        <f>"318,75"</f>
        <v>318,75</v>
      </c>
      <c r="M4992" s="6" t="str">
        <f>"1.593,75"</f>
        <v>1.593,75</v>
      </c>
      <c r="N4992" s="8" t="s">
        <v>124</v>
      </c>
      <c r="O4992" s="7"/>
      <c r="P4992" s="2" t="s">
        <v>5614</v>
      </c>
      <c r="Q4992" s="7"/>
      <c r="R4992" s="1"/>
      <c r="S4992" s="1" t="str">
        <f>"J-UN-2022-2105"</f>
        <v>J-UN-2022-2105</v>
      </c>
      <c r="T4992" s="1" t="s">
        <v>32</v>
      </c>
    </row>
    <row r="4993" spans="1:20" ht="63.75" x14ac:dyDescent="0.25">
      <c r="A4993" s="6">
        <v>4972</v>
      </c>
      <c r="B4993" s="1" t="str">
        <f>"2022-716"</f>
        <v>2022-716</v>
      </c>
      <c r="C4993" s="1" t="s">
        <v>2563</v>
      </c>
      <c r="D4993" s="1" t="s">
        <v>914</v>
      </c>
      <c r="E4993" s="1" t="str">
        <f>""</f>
        <v/>
      </c>
      <c r="F4993" s="1" t="s">
        <v>1860</v>
      </c>
      <c r="G4993" s="1" t="str">
        <f>CONCATENATE(" TOKIĆ D.O.O.,"," ULICA 144. BRIGADE HRVATSKE VOJSKE 1A,"," 10360 SESVETE,"," OIB: 7486748762")</f>
        <v xml:space="preserve"> TOKIĆ D.O.O., ULICA 144. BRIGADE HRVATSKE VOJSKE 1A, 10360 SESVETE, OIB: 7486748762</v>
      </c>
      <c r="H4993" s="7"/>
      <c r="I4993" s="8" t="s">
        <v>1147</v>
      </c>
      <c r="J4993" s="8" t="s">
        <v>2353</v>
      </c>
      <c r="K4993" s="6" t="str">
        <f>"795,00"</f>
        <v>795,00</v>
      </c>
      <c r="L4993" s="6" t="str">
        <f>"198,75"</f>
        <v>198,75</v>
      </c>
      <c r="M4993" s="6" t="str">
        <f>"993,75"</f>
        <v>993,75</v>
      </c>
      <c r="N4993" s="8" t="s">
        <v>384</v>
      </c>
      <c r="O4993" s="7"/>
      <c r="P4993" s="2" t="s">
        <v>8411</v>
      </c>
      <c r="Q4993" s="7"/>
      <c r="R4993" s="1"/>
      <c r="S4993" s="1" t="str">
        <f>"J-UN-2022-2106"</f>
        <v>J-UN-2022-2106</v>
      </c>
      <c r="T4993" s="1" t="s">
        <v>32</v>
      </c>
    </row>
    <row r="4994" spans="1:20" ht="63.75" x14ac:dyDescent="0.25">
      <c r="A4994" s="6">
        <v>4973</v>
      </c>
      <c r="B4994" s="1" t="str">
        <f>"2022-1998"</f>
        <v>2022-1998</v>
      </c>
      <c r="C4994" s="1" t="s">
        <v>3254</v>
      </c>
      <c r="D4994" s="1" t="s">
        <v>34</v>
      </c>
      <c r="E4994" s="1" t="str">
        <f>""</f>
        <v/>
      </c>
      <c r="F4994" s="1" t="s">
        <v>1860</v>
      </c>
      <c r="G4994" s="1" t="str">
        <f>CONCATENATE(" URIHO - ZAGREB,"," AVENIJA MARINA DRŽIĆA 1,"," 10000 ZAGREB,"," OIB: 77931216562")</f>
        <v xml:space="preserve"> URIHO - ZAGREB, AVENIJA MARINA DRŽIĆA 1, 10000 ZAGREB, OIB: 77931216562</v>
      </c>
      <c r="H4994" s="7"/>
      <c r="I4994" s="8" t="s">
        <v>1147</v>
      </c>
      <c r="J4994" s="8" t="s">
        <v>2353</v>
      </c>
      <c r="K4994" s="6" t="str">
        <f>"17.205,00"</f>
        <v>17.205,00</v>
      </c>
      <c r="L4994" s="6" t="str">
        <f>"4.301,25"</f>
        <v>4.301,25</v>
      </c>
      <c r="M4994" s="6" t="str">
        <f>"21.506,25"</f>
        <v>21.506,25</v>
      </c>
      <c r="N4994" s="8" t="s">
        <v>124</v>
      </c>
      <c r="O4994" s="7"/>
      <c r="P4994" s="2" t="s">
        <v>5614</v>
      </c>
      <c r="Q4994" s="7"/>
      <c r="R4994" s="1"/>
      <c r="S4994" s="1" t="str">
        <f>"J-UN-2022-2107"</f>
        <v>J-UN-2022-2107</v>
      </c>
      <c r="T4994" s="1" t="s">
        <v>32</v>
      </c>
    </row>
    <row r="4995" spans="1:20" ht="51" x14ac:dyDescent="0.25">
      <c r="A4995" s="6">
        <v>4974</v>
      </c>
      <c r="B4995" s="1" t="str">
        <f>"2022-950"</f>
        <v>2022-950</v>
      </c>
      <c r="C4995" s="1" t="s">
        <v>2854</v>
      </c>
      <c r="D4995" s="1" t="s">
        <v>2855</v>
      </c>
      <c r="E4995" s="1" t="str">
        <f>""</f>
        <v/>
      </c>
      <c r="F4995" s="1" t="s">
        <v>1860</v>
      </c>
      <c r="G4995" s="1" t="str">
        <f>CONCATENATE(" TEHNO-HIDRAULIK D.O.O.,"," SAVIŠĆE 2,"," 10000 ZAGREB,"," OIB: 09925328419")</f>
        <v xml:space="preserve"> TEHNO-HIDRAULIK D.O.O., SAVIŠĆE 2, 10000 ZAGREB, OIB: 09925328419</v>
      </c>
      <c r="H4995" s="7"/>
      <c r="I4995" s="8" t="s">
        <v>458</v>
      </c>
      <c r="J4995" s="8" t="s">
        <v>3271</v>
      </c>
      <c r="K4995" s="6" t="str">
        <f>"7.616,38"</f>
        <v>7.616,38</v>
      </c>
      <c r="L4995" s="6" t="str">
        <f>"1.904,10"</f>
        <v>1.904,10</v>
      </c>
      <c r="M4995" s="6" t="str">
        <f>"9.520,48"</f>
        <v>9.520,48</v>
      </c>
      <c r="N4995" s="8" t="s">
        <v>124</v>
      </c>
      <c r="O4995" s="7"/>
      <c r="P4995" s="2" t="s">
        <v>5614</v>
      </c>
      <c r="Q4995" s="7"/>
      <c r="R4995" s="1"/>
      <c r="S4995" s="1" t="str">
        <f>"J-UN-2022-2108"</f>
        <v>J-UN-2022-2108</v>
      </c>
      <c r="T4995" s="1" t="s">
        <v>32</v>
      </c>
    </row>
    <row r="4996" spans="1:20" ht="51" x14ac:dyDescent="0.25">
      <c r="A4996" s="6">
        <v>4975</v>
      </c>
      <c r="B4996" s="1" t="str">
        <f>"2022-191"</f>
        <v>2022-191</v>
      </c>
      <c r="C4996" s="1" t="s">
        <v>3128</v>
      </c>
      <c r="D4996" s="1" t="s">
        <v>3129</v>
      </c>
      <c r="E4996" s="1" t="str">
        <f>""</f>
        <v/>
      </c>
      <c r="F4996" s="1" t="s">
        <v>1860</v>
      </c>
      <c r="G4996" s="1" t="str">
        <f>CONCATENATE(" TEPIH-CENTAR D.O.O.,"," AVENIJA DUBROVNIK 15,"," 10020 ZAGREB,"," OIB: 82118227192")</f>
        <v xml:space="preserve"> TEPIH-CENTAR D.O.O., AVENIJA DUBROVNIK 15, 10020 ZAGREB, OIB: 82118227192</v>
      </c>
      <c r="H4996" s="7"/>
      <c r="I4996" s="8" t="s">
        <v>1612</v>
      </c>
      <c r="J4996" s="8" t="s">
        <v>391</v>
      </c>
      <c r="K4996" s="6" t="str">
        <f>"12.895,70"</f>
        <v>12.895,70</v>
      </c>
      <c r="L4996" s="6" t="str">
        <f>"3.223,93"</f>
        <v>3.223,93</v>
      </c>
      <c r="M4996" s="6" t="str">
        <f>"16.119,63"</f>
        <v>16.119,63</v>
      </c>
      <c r="N4996" s="8" t="s">
        <v>124</v>
      </c>
      <c r="O4996" s="7"/>
      <c r="P4996" s="2" t="s">
        <v>5614</v>
      </c>
      <c r="Q4996" s="7"/>
      <c r="R4996" s="1"/>
      <c r="S4996" s="1" t="str">
        <f>"J-UN-2022-2109"</f>
        <v>J-UN-2022-2109</v>
      </c>
      <c r="T4996" s="1" t="s">
        <v>32</v>
      </c>
    </row>
    <row r="4997" spans="1:20" ht="63.75" x14ac:dyDescent="0.25">
      <c r="A4997" s="6">
        <v>4976</v>
      </c>
      <c r="B4997" s="1" t="str">
        <f>"2022-2039"</f>
        <v>2022-2039</v>
      </c>
      <c r="C4997" s="1" t="s">
        <v>3280</v>
      </c>
      <c r="D4997" s="1" t="s">
        <v>34</v>
      </c>
      <c r="E4997" s="1" t="str">
        <f>""</f>
        <v/>
      </c>
      <c r="F4997" s="1" t="s">
        <v>1860</v>
      </c>
      <c r="G4997" s="1" t="str">
        <f>CONCATENATE(" NARODNE NOVINE D.D.,"," SAVSKI GAJ XIII. PUT br. 6,"," 10000 ZAGREB,"," OIB: 64546066176")</f>
        <v xml:space="preserve"> NARODNE NOVINE D.D., SAVSKI GAJ XIII. PUT br. 6, 10000 ZAGREB, OIB: 64546066176</v>
      </c>
      <c r="H4997" s="7"/>
      <c r="I4997" s="8" t="s">
        <v>892</v>
      </c>
      <c r="J4997" s="8" t="s">
        <v>2174</v>
      </c>
      <c r="K4997" s="6" t="str">
        <f>"180.698,00"</f>
        <v>180.698,00</v>
      </c>
      <c r="L4997" s="6" t="str">
        <f>"45.174,50"</f>
        <v>45.174,50</v>
      </c>
      <c r="M4997" s="6" t="str">
        <f>"225.872,50"</f>
        <v>225.872,50</v>
      </c>
      <c r="N4997" s="8" t="s">
        <v>384</v>
      </c>
      <c r="O4997" s="7"/>
      <c r="P4997" s="2" t="s">
        <v>8412</v>
      </c>
      <c r="Q4997" s="7"/>
      <c r="R4997" s="1"/>
      <c r="S4997" s="1" t="str">
        <f>"J-UN-2022-2114"</f>
        <v>J-UN-2022-2114</v>
      </c>
      <c r="T4997" s="1" t="s">
        <v>43</v>
      </c>
    </row>
    <row r="4998" spans="1:20" ht="76.5" x14ac:dyDescent="0.25">
      <c r="A4998" s="6">
        <v>4977</v>
      </c>
      <c r="B4998" s="1" t="str">
        <f>"2022-1310"</f>
        <v>2022-1310</v>
      </c>
      <c r="C4998" s="1" t="s">
        <v>3085</v>
      </c>
      <c r="D4998" s="1" t="s">
        <v>2549</v>
      </c>
      <c r="E4998" s="1" t="str">
        <f>""</f>
        <v/>
      </c>
      <c r="F4998" s="1" t="s">
        <v>1860</v>
      </c>
      <c r="G4998" s="1" t="str">
        <f>CONCATENATE(" ANA BURAZIN,"," OBRT ZA USLUGE,"," VL. ANA BURAZIN,",","," ULICA PAŠKALA BUCONJIĆA 28,"," 10000 ZAGREB,"," OIB: 7113479897")</f>
        <v xml:space="preserve"> ANA BURAZIN, OBRT ZA USLUGE, VL. ANA BURAZIN,, ULICA PAŠKALA BUCONJIĆA 28, 10000 ZAGREB, OIB: 7113479897</v>
      </c>
      <c r="H4998" s="7"/>
      <c r="I4998" s="8" t="s">
        <v>892</v>
      </c>
      <c r="J4998" s="8" t="s">
        <v>2174</v>
      </c>
      <c r="K4998" s="6" t="str">
        <f>"1.768,00"</f>
        <v>1.768,00</v>
      </c>
      <c r="L4998" s="6" t="str">
        <f>"442,00"</f>
        <v>442,00</v>
      </c>
      <c r="M4998" s="6" t="str">
        <f>"2.210,00"</f>
        <v>2.210,00</v>
      </c>
      <c r="N4998" s="8" t="s">
        <v>399</v>
      </c>
      <c r="O4998" s="7"/>
      <c r="P4998" s="2" t="s">
        <v>8413</v>
      </c>
      <c r="Q4998" s="7"/>
      <c r="R4998" s="1"/>
      <c r="S4998" s="1" t="str">
        <f>"J-UN-2022-2115"</f>
        <v>J-UN-2022-2115</v>
      </c>
      <c r="T4998" s="1" t="s">
        <v>32</v>
      </c>
    </row>
    <row r="4999" spans="1:20" ht="63.75" x14ac:dyDescent="0.25">
      <c r="A4999" s="6">
        <v>4978</v>
      </c>
      <c r="B4999" s="1" t="str">
        <f>"2022-1815"</f>
        <v>2022-1815</v>
      </c>
      <c r="C4999" s="1" t="s">
        <v>3141</v>
      </c>
      <c r="D4999" s="1" t="s">
        <v>854</v>
      </c>
      <c r="E4999" s="1" t="str">
        <f>""</f>
        <v/>
      </c>
      <c r="F4999" s="1" t="s">
        <v>1860</v>
      </c>
      <c r="G4999" s="1" t="str">
        <f>CONCATENATE(" EUROCOM D.O.O.,"," POD BREGOM,"," DONJI STUPNIK 8,"," 10255 GORNJI STUPNIK,"," OIB: 61781931283")</f>
        <v xml:space="preserve"> EUROCOM D.O.O., POD BREGOM, DONJI STUPNIK 8, 10255 GORNJI STUPNIK, OIB: 61781931283</v>
      </c>
      <c r="H4999" s="7"/>
      <c r="I4999" s="8" t="s">
        <v>388</v>
      </c>
      <c r="J4999" s="8" t="s">
        <v>3277</v>
      </c>
      <c r="K4999" s="6" t="str">
        <f>"14.413,50"</f>
        <v>14.413,50</v>
      </c>
      <c r="L4999" s="6" t="str">
        <f>"3.603,38"</f>
        <v>3.603,38</v>
      </c>
      <c r="M4999" s="6" t="str">
        <f>"18.016,88"</f>
        <v>18.016,88</v>
      </c>
      <c r="N4999" s="8" t="s">
        <v>124</v>
      </c>
      <c r="O4999" s="7"/>
      <c r="P4999" s="2" t="s">
        <v>5614</v>
      </c>
      <c r="Q4999" s="7"/>
      <c r="R4999" s="1"/>
      <c r="S4999" s="1" t="str">
        <f>"J-UN-2022-2124"</f>
        <v>J-UN-2022-2124</v>
      </c>
      <c r="T4999" s="1" t="s">
        <v>32</v>
      </c>
    </row>
    <row r="5000" spans="1:20" ht="51" x14ac:dyDescent="0.25">
      <c r="A5000" s="6">
        <v>4979</v>
      </c>
      <c r="B5000" s="1" t="str">
        <f>"2022-1815"</f>
        <v>2022-1815</v>
      </c>
      <c r="C5000" s="1" t="s">
        <v>3141</v>
      </c>
      <c r="D5000" s="1" t="s">
        <v>854</v>
      </c>
      <c r="E5000" s="1" t="str">
        <f>""</f>
        <v/>
      </c>
      <c r="F5000" s="1" t="s">
        <v>1860</v>
      </c>
      <c r="G5000" s="1" t="str">
        <f>CONCATENATE(" JOBING D.O.O.,"," PALISINA 51,"," 52100 PULA,"," OIB: 2062027618")</f>
        <v xml:space="preserve"> JOBING D.O.O., PALISINA 51, 52100 PULA, OIB: 2062027618</v>
      </c>
      <c r="H5000" s="7"/>
      <c r="I5000" s="8" t="s">
        <v>388</v>
      </c>
      <c r="J5000" s="8" t="s">
        <v>3277</v>
      </c>
      <c r="K5000" s="6" t="str">
        <f>"3.645,87"</f>
        <v>3.645,87</v>
      </c>
      <c r="L5000" s="6" t="str">
        <f>"911,47"</f>
        <v>911,47</v>
      </c>
      <c r="M5000" s="6" t="str">
        <f>"4.557,34"</f>
        <v>4.557,34</v>
      </c>
      <c r="N5000" s="8" t="s">
        <v>124</v>
      </c>
      <c r="O5000" s="7"/>
      <c r="P5000" s="2" t="s">
        <v>5614</v>
      </c>
      <c r="Q5000" s="7"/>
      <c r="R5000" s="1"/>
      <c r="S5000" s="1" t="str">
        <f>"J-UN-2022-2125"</f>
        <v>J-UN-2022-2125</v>
      </c>
      <c r="T5000" s="1" t="s">
        <v>32</v>
      </c>
    </row>
    <row r="5001" spans="1:20" ht="51" x14ac:dyDescent="0.25">
      <c r="A5001" s="6">
        <v>4980</v>
      </c>
      <c r="B5001" s="1" t="str">
        <f>"2022-162"</f>
        <v>2022-162</v>
      </c>
      <c r="C5001" s="1" t="s">
        <v>2999</v>
      </c>
      <c r="D5001" s="1" t="s">
        <v>3000</v>
      </c>
      <c r="E5001" s="1" t="str">
        <f>""</f>
        <v/>
      </c>
      <c r="F5001" s="1" t="s">
        <v>1860</v>
      </c>
      <c r="G5001" s="1" t="str">
        <f>CONCATENATE(" ARBORI CULTURA D.O.O.,"," POKUPSKO 86,"," 10414 POKUPSKO,"," OIB: 16690651659")</f>
        <v xml:space="preserve"> ARBORI CULTURA D.O.O., POKUPSKO 86, 10414 POKUPSKO, OIB: 16690651659</v>
      </c>
      <c r="H5001" s="7"/>
      <c r="I5001" s="8" t="s">
        <v>383</v>
      </c>
      <c r="J5001" s="8" t="s">
        <v>1547</v>
      </c>
      <c r="K5001" s="6" t="str">
        <f>"187.300,00"</f>
        <v>187.300,00</v>
      </c>
      <c r="L5001" s="6" t="str">
        <f>"46.825,00"</f>
        <v>46.825,00</v>
      </c>
      <c r="M5001" s="6" t="str">
        <f>"234.125,00"</f>
        <v>234.125,00</v>
      </c>
      <c r="N5001" s="8" t="s">
        <v>124</v>
      </c>
      <c r="O5001" s="7"/>
      <c r="P5001" s="2" t="s">
        <v>5614</v>
      </c>
      <c r="Q5001" s="7"/>
      <c r="R5001" s="1"/>
      <c r="S5001" s="1" t="str">
        <f>"J-UN-2022-2126"</f>
        <v>J-UN-2022-2126</v>
      </c>
      <c r="T5001" s="1" t="s">
        <v>32</v>
      </c>
    </row>
    <row r="5002" spans="1:20" ht="51" x14ac:dyDescent="0.25">
      <c r="A5002" s="6">
        <v>4981</v>
      </c>
      <c r="B5002" s="1" t="str">
        <f>"2022-1815"</f>
        <v>2022-1815</v>
      </c>
      <c r="C5002" s="1" t="s">
        <v>3141</v>
      </c>
      <c r="D5002" s="1" t="s">
        <v>854</v>
      </c>
      <c r="E5002" s="1" t="str">
        <f>""</f>
        <v/>
      </c>
      <c r="F5002" s="1" t="s">
        <v>1860</v>
      </c>
      <c r="G5002" s="1" t="str">
        <f>CONCATENATE(" SOHO D.O.O.,"," JURJEVSKA ULICA 26,"," 10000 ZAGREB,"," OIB: 37083621844")</f>
        <v xml:space="preserve"> SOHO D.O.O., JURJEVSKA ULICA 26, 10000 ZAGREB, OIB: 37083621844</v>
      </c>
      <c r="H5002" s="7"/>
      <c r="I5002" s="8" t="s">
        <v>388</v>
      </c>
      <c r="J5002" s="8" t="s">
        <v>3277</v>
      </c>
      <c r="K5002" s="6" t="str">
        <f>"5.535,78"</f>
        <v>5.535,78</v>
      </c>
      <c r="L5002" s="6" t="str">
        <f>"1.383,95"</f>
        <v>1.383,95</v>
      </c>
      <c r="M5002" s="6" t="str">
        <f>"6.919,73"</f>
        <v>6.919,73</v>
      </c>
      <c r="N5002" s="8" t="s">
        <v>124</v>
      </c>
      <c r="O5002" s="7"/>
      <c r="P5002" s="2" t="s">
        <v>5614</v>
      </c>
      <c r="Q5002" s="7"/>
      <c r="R5002" s="1"/>
      <c r="S5002" s="1" t="str">
        <f>"J-UN-2022-2127"</f>
        <v>J-UN-2022-2127</v>
      </c>
      <c r="T5002" s="1" t="s">
        <v>32</v>
      </c>
    </row>
    <row r="5003" spans="1:20" ht="51" x14ac:dyDescent="0.25">
      <c r="A5003" s="6">
        <v>4982</v>
      </c>
      <c r="B5003" s="1" t="str">
        <f>"2022-1245"</f>
        <v>2022-1245</v>
      </c>
      <c r="C5003" s="1" t="s">
        <v>3130</v>
      </c>
      <c r="D5003" s="1" t="s">
        <v>2631</v>
      </c>
      <c r="E5003" s="1" t="str">
        <f>""</f>
        <v/>
      </c>
      <c r="F5003" s="1" t="s">
        <v>1860</v>
      </c>
      <c r="G5003" s="1" t="str">
        <f>CONCATENATE(" INVENTA D.O.O.,"," ULICA GRADA VUKOVARA 284,"," 10000 ZAGREB,"," OIB: 99213847706")</f>
        <v xml:space="preserve"> INVENTA D.O.O., ULICA GRADA VUKOVARA 284, 10000 ZAGREB, OIB: 99213847706</v>
      </c>
      <c r="H5003" s="7"/>
      <c r="I5003" s="8" t="s">
        <v>388</v>
      </c>
      <c r="J5003" s="8" t="s">
        <v>3277</v>
      </c>
      <c r="K5003" s="6" t="str">
        <f>"8.872,50"</f>
        <v>8.872,50</v>
      </c>
      <c r="L5003" s="6" t="str">
        <f>"2.218,13"</f>
        <v>2.218,13</v>
      </c>
      <c r="M5003" s="6" t="str">
        <f>"11.090,63"</f>
        <v>11.090,63</v>
      </c>
      <c r="N5003" s="8" t="s">
        <v>124</v>
      </c>
      <c r="O5003" s="7"/>
      <c r="P5003" s="2" t="s">
        <v>5614</v>
      </c>
      <c r="Q5003" s="7"/>
      <c r="R5003" s="1"/>
      <c r="S5003" s="1" t="str">
        <f>"J-UN-2022-2128"</f>
        <v>J-UN-2022-2128</v>
      </c>
      <c r="T5003" s="1" t="s">
        <v>32</v>
      </c>
    </row>
    <row r="5004" spans="1:20" ht="63.75" x14ac:dyDescent="0.25">
      <c r="A5004" s="6">
        <v>4983</v>
      </c>
      <c r="B5004" s="1" t="str">
        <f>"2022-849"</f>
        <v>2022-849</v>
      </c>
      <c r="C5004" s="1" t="s">
        <v>3101</v>
      </c>
      <c r="D5004" s="1" t="s">
        <v>275</v>
      </c>
      <c r="E5004" s="1" t="str">
        <f>""</f>
        <v/>
      </c>
      <c r="F5004" s="1" t="s">
        <v>1860</v>
      </c>
      <c r="G5004" s="1" t="str">
        <f>CONCATENATE(" ELEKTROKEM D.O.O.,"," VUGROVEC,"," AUGUSTA ŠENOE 69,"," 10360 SESVETE,"," OIB: 38411868043")</f>
        <v xml:space="preserve"> ELEKTROKEM D.O.O., VUGROVEC, AUGUSTA ŠENOE 69, 10360 SESVETE, OIB: 38411868043</v>
      </c>
      <c r="H5004" s="7"/>
      <c r="I5004" s="8" t="s">
        <v>553</v>
      </c>
      <c r="J5004" s="8" t="s">
        <v>3278</v>
      </c>
      <c r="K5004" s="6" t="str">
        <f>"42.041,00"</f>
        <v>42.041,00</v>
      </c>
      <c r="L5004" s="6" t="str">
        <f>"10.510,25"</f>
        <v>10.510,25</v>
      </c>
      <c r="M5004" s="6" t="str">
        <f>"52.551,25"</f>
        <v>52.551,25</v>
      </c>
      <c r="N5004" s="8" t="s">
        <v>124</v>
      </c>
      <c r="O5004" s="7"/>
      <c r="P5004" s="2" t="s">
        <v>5614</v>
      </c>
      <c r="Q5004" s="7"/>
      <c r="R5004" s="1"/>
      <c r="S5004" s="1" t="str">
        <f>"J-UN-2022-2130"</f>
        <v>J-UN-2022-2130</v>
      </c>
      <c r="T5004" s="1" t="s">
        <v>32</v>
      </c>
    </row>
    <row r="5005" spans="1:20" ht="63.75" x14ac:dyDescent="0.25">
      <c r="A5005" s="6">
        <v>4984</v>
      </c>
      <c r="B5005" s="1" t="str">
        <f>"2022-1998"</f>
        <v>2022-1998</v>
      </c>
      <c r="C5005" s="1" t="s">
        <v>3254</v>
      </c>
      <c r="D5005" s="1" t="s">
        <v>34</v>
      </c>
      <c r="E5005" s="1" t="str">
        <f>""</f>
        <v/>
      </c>
      <c r="F5005" s="1" t="s">
        <v>1860</v>
      </c>
      <c r="G5005" s="1" t="str">
        <f>CONCATENATE(" MAKROMIKRO GRUPA D.O.O.,"," VUKOMERIČKA ULICA 6,"," 10410 VELIKA GORICA,"," OIB: 5046797487")</f>
        <v xml:space="preserve"> MAKROMIKRO GRUPA D.O.O., VUKOMERIČKA ULICA 6, 10410 VELIKA GORICA, OIB: 5046797487</v>
      </c>
      <c r="H5005" s="7"/>
      <c r="I5005" s="8" t="s">
        <v>384</v>
      </c>
      <c r="J5005" s="8" t="s">
        <v>3281</v>
      </c>
      <c r="K5005" s="6" t="str">
        <f>"162.340,00"</f>
        <v>162.340,00</v>
      </c>
      <c r="L5005" s="6" t="str">
        <f>"40.585,00"</f>
        <v>40.585,00</v>
      </c>
      <c r="M5005" s="6" t="str">
        <f>"202.925,00"</f>
        <v>202.925,00</v>
      </c>
      <c r="N5005" s="8" t="s">
        <v>124</v>
      </c>
      <c r="O5005" s="7"/>
      <c r="P5005" s="2" t="s">
        <v>5614</v>
      </c>
      <c r="Q5005" s="7"/>
      <c r="R5005" s="1"/>
      <c r="S5005" s="1" t="str">
        <f>"J-UN-2022-2131"</f>
        <v>J-UN-2022-2131</v>
      </c>
      <c r="T5005" s="1" t="s">
        <v>32</v>
      </c>
    </row>
    <row r="5006" spans="1:20" ht="63.75" x14ac:dyDescent="0.25">
      <c r="A5006" s="6">
        <v>4985</v>
      </c>
      <c r="B5006" s="1" t="str">
        <f>"2022-1999"</f>
        <v>2022-1999</v>
      </c>
      <c r="C5006" s="1" t="s">
        <v>3264</v>
      </c>
      <c r="D5006" s="1" t="s">
        <v>34</v>
      </c>
      <c r="E5006" s="1" t="str">
        <f>""</f>
        <v/>
      </c>
      <c r="F5006" s="1" t="s">
        <v>1860</v>
      </c>
      <c r="G5006" s="1" t="str">
        <f>CONCATENATE(" URIHO - ZAGREB,"," AVENIJA MARINA DRŽIĆA 1,"," 10000 ZAGREB,"," OIB: 77931216562")</f>
        <v xml:space="preserve"> URIHO - ZAGREB, AVENIJA MARINA DRŽIĆA 1, 10000 ZAGREB, OIB: 77931216562</v>
      </c>
      <c r="H5006" s="7"/>
      <c r="I5006" s="8" t="s">
        <v>384</v>
      </c>
      <c r="J5006" s="8" t="s">
        <v>3281</v>
      </c>
      <c r="K5006" s="6" t="str">
        <f>"25.800,00"</f>
        <v>25.800,00</v>
      </c>
      <c r="L5006" s="6" t="str">
        <f>"6.450,00"</f>
        <v>6.450,00</v>
      </c>
      <c r="M5006" s="6" t="str">
        <f>"32.250,00"</f>
        <v>32.250,00</v>
      </c>
      <c r="N5006" s="8" t="s">
        <v>124</v>
      </c>
      <c r="O5006" s="7"/>
      <c r="P5006" s="2" t="s">
        <v>5614</v>
      </c>
      <c r="Q5006" s="7"/>
      <c r="R5006" s="1"/>
      <c r="S5006" s="1" t="str">
        <f>"J-UN-2022-2132"</f>
        <v>J-UN-2022-2132</v>
      </c>
      <c r="T5006" s="1" t="s">
        <v>32</v>
      </c>
    </row>
    <row r="5007" spans="1:20" ht="51" x14ac:dyDescent="0.25">
      <c r="A5007" s="6">
        <v>4986</v>
      </c>
      <c r="B5007" s="1" t="str">
        <f>"2022-1975"</f>
        <v>2022-1975</v>
      </c>
      <c r="C5007" s="1" t="s">
        <v>3251</v>
      </c>
      <c r="D5007" s="1" t="s">
        <v>766</v>
      </c>
      <c r="E5007" s="1" t="str">
        <f>""</f>
        <v/>
      </c>
      <c r="F5007" s="1" t="s">
        <v>1860</v>
      </c>
      <c r="G5007" s="1" t="str">
        <f>CONCATENATE(" INA MAZIVA D.O.O.,"," RADNIČKA CESTA 175,"," 10000 ZAGREB,"," OIB: 63988426425")</f>
        <v xml:space="preserve"> INA MAZIVA D.O.O., RADNIČKA CESTA 175, 10000 ZAGREB, OIB: 63988426425</v>
      </c>
      <c r="H5007" s="7"/>
      <c r="I5007" s="8" t="s">
        <v>146</v>
      </c>
      <c r="J5007" s="8" t="s">
        <v>2253</v>
      </c>
      <c r="K5007" s="6" t="str">
        <f>"990,00"</f>
        <v>990,00</v>
      </c>
      <c r="L5007" s="6" t="str">
        <f>"247,50"</f>
        <v>247,50</v>
      </c>
      <c r="M5007" s="6" t="str">
        <f>"1.237,50"</f>
        <v>1.237,50</v>
      </c>
      <c r="N5007" s="8" t="s">
        <v>124</v>
      </c>
      <c r="O5007" s="7"/>
      <c r="P5007" s="2" t="s">
        <v>5614</v>
      </c>
      <c r="Q5007" s="7"/>
      <c r="R5007" s="1"/>
      <c r="S5007" s="1" t="str">
        <f>"J-UN-2022-2135"</f>
        <v>J-UN-2022-2135</v>
      </c>
      <c r="T5007" s="1" t="s">
        <v>32</v>
      </c>
    </row>
    <row r="5008" spans="1:20" ht="63.75" x14ac:dyDescent="0.25">
      <c r="A5008" s="6">
        <v>4987</v>
      </c>
      <c r="B5008" s="1" t="str">
        <f>"2022-1963"</f>
        <v>2022-1963</v>
      </c>
      <c r="C5008" s="1" t="s">
        <v>3209</v>
      </c>
      <c r="D5008" s="1" t="s">
        <v>741</v>
      </c>
      <c r="E5008" s="1" t="str">
        <f>""</f>
        <v/>
      </c>
      <c r="F5008" s="1" t="s">
        <v>1860</v>
      </c>
      <c r="G5008" s="1" t="str">
        <f>CONCATENATE(" CHROMOS-SVJETLOST D.O.O.,"," MIJATA STOJANOVIĆA 13,"," 35257 LUŽANI,"," OIB: 72579903288")</f>
        <v xml:space="preserve"> CHROMOS-SVJETLOST D.O.O., MIJATA STOJANOVIĆA 13, 35257 LUŽANI, OIB: 72579903288</v>
      </c>
      <c r="H5008" s="7"/>
      <c r="I5008" s="8" t="s">
        <v>146</v>
      </c>
      <c r="J5008" s="8" t="s">
        <v>2253</v>
      </c>
      <c r="K5008" s="6" t="str">
        <f>"2.460,00"</f>
        <v>2.460,00</v>
      </c>
      <c r="L5008" s="6" t="str">
        <f>"615,00"</f>
        <v>615,00</v>
      </c>
      <c r="M5008" s="6" t="str">
        <f>"3.075,00"</f>
        <v>3.075,00</v>
      </c>
      <c r="N5008" s="8" t="s">
        <v>124</v>
      </c>
      <c r="O5008" s="7"/>
      <c r="P5008" s="2" t="s">
        <v>5614</v>
      </c>
      <c r="Q5008" s="7"/>
      <c r="R5008" s="1"/>
      <c r="S5008" s="1" t="str">
        <f>"J-UN-2022-2136"</f>
        <v>J-UN-2022-2136</v>
      </c>
      <c r="T5008" s="1" t="s">
        <v>32</v>
      </c>
    </row>
    <row r="5009" spans="1:20" ht="51" x14ac:dyDescent="0.25">
      <c r="A5009" s="6">
        <v>4988</v>
      </c>
      <c r="B5009" s="1" t="str">
        <f>"2022-716"</f>
        <v>2022-716</v>
      </c>
      <c r="C5009" s="1" t="s">
        <v>2563</v>
      </c>
      <c r="D5009" s="1" t="s">
        <v>914</v>
      </c>
      <c r="E5009" s="1" t="str">
        <f>""</f>
        <v/>
      </c>
      <c r="F5009" s="1" t="s">
        <v>1860</v>
      </c>
      <c r="G5009" s="1" t="str">
        <f>CONCATENATE(" D.R. AUTO D.O.O.,"," SELSKA CESTA 34,"," 10000 ZAGREB,"," OIB: 07523847158")</f>
        <v xml:space="preserve"> D.R. AUTO D.O.O., SELSKA CESTA 34, 10000 ZAGREB, OIB: 07523847158</v>
      </c>
      <c r="H5009" s="7"/>
      <c r="I5009" s="8" t="s">
        <v>553</v>
      </c>
      <c r="J5009" s="8" t="s">
        <v>3278</v>
      </c>
      <c r="K5009" s="6" t="str">
        <f>"789,60"</f>
        <v>789,60</v>
      </c>
      <c r="L5009" s="6" t="str">
        <f>"197,40"</f>
        <v>197,40</v>
      </c>
      <c r="M5009" s="6" t="str">
        <f>"987,00"</f>
        <v>987,00</v>
      </c>
      <c r="N5009" s="8" t="s">
        <v>124</v>
      </c>
      <c r="O5009" s="7"/>
      <c r="P5009" s="2" t="s">
        <v>5614</v>
      </c>
      <c r="Q5009" s="7"/>
      <c r="R5009" s="1"/>
      <c r="S5009" s="1" t="str">
        <f>"J-UN-2022-2137"</f>
        <v>J-UN-2022-2137</v>
      </c>
      <c r="T5009" s="1" t="s">
        <v>32</v>
      </c>
    </row>
    <row r="5010" spans="1:20" ht="51" x14ac:dyDescent="0.25">
      <c r="A5010" s="6">
        <v>4989</v>
      </c>
      <c r="B5010" s="1" t="str">
        <f>"2022-1986"</f>
        <v>2022-1986</v>
      </c>
      <c r="C5010" s="1" t="s">
        <v>3221</v>
      </c>
      <c r="D5010" s="1" t="s">
        <v>1304</v>
      </c>
      <c r="E5010" s="1" t="str">
        <f>""</f>
        <v/>
      </c>
      <c r="F5010" s="1" t="s">
        <v>1860</v>
      </c>
      <c r="G5010" s="1" t="str">
        <f>CONCATENATE(" VODOSKOK D.D.,"," ČULINEČKA CESTA 221/C,"," 10040 ZAGREB,"," OIB: 34134218058")</f>
        <v xml:space="preserve"> VODOSKOK D.D., ČULINEČKA CESTA 221/C, 10040 ZAGREB, OIB: 34134218058</v>
      </c>
      <c r="H5010" s="7"/>
      <c r="I5010" s="8" t="s">
        <v>433</v>
      </c>
      <c r="J5010" s="8" t="s">
        <v>3279</v>
      </c>
      <c r="K5010" s="6" t="str">
        <f>"30.050,00"</f>
        <v>30.050,00</v>
      </c>
      <c r="L5010" s="6" t="str">
        <f>"7.512,50"</f>
        <v>7.512,50</v>
      </c>
      <c r="M5010" s="6" t="str">
        <f>"37.562,50"</f>
        <v>37.562,50</v>
      </c>
      <c r="N5010" s="8" t="s">
        <v>124</v>
      </c>
      <c r="O5010" s="7"/>
      <c r="P5010" s="2" t="s">
        <v>5614</v>
      </c>
      <c r="Q5010" s="7"/>
      <c r="R5010" s="1"/>
      <c r="S5010" s="1" t="str">
        <f>"J-UN-2022-2138"</f>
        <v>J-UN-2022-2138</v>
      </c>
      <c r="T5010" s="1" t="s">
        <v>32</v>
      </c>
    </row>
    <row r="5011" spans="1:20" ht="38.25" x14ac:dyDescent="0.25">
      <c r="A5011" s="6">
        <v>4990</v>
      </c>
      <c r="B5011" s="1" t="str">
        <f>"2022-2060"</f>
        <v>2022-2060</v>
      </c>
      <c r="C5011" s="1" t="s">
        <v>2980</v>
      </c>
      <c r="D5011" s="1" t="s">
        <v>2981</v>
      </c>
      <c r="E5011" s="1" t="str">
        <f>""</f>
        <v/>
      </c>
      <c r="F5011" s="1" t="s">
        <v>1860</v>
      </c>
      <c r="G5011" s="1" t="str">
        <f>CONCATENATE(" ZET D.O.O.,"," OZALJSKA 105,"," 10000 ZAGREB,"," OIB: 82031999604")</f>
        <v xml:space="preserve"> ZET D.O.O., OZALJSKA 105, 10000 ZAGREB, OIB: 82031999604</v>
      </c>
      <c r="H5011" s="7"/>
      <c r="I5011" s="8" t="s">
        <v>553</v>
      </c>
      <c r="J5011" s="8" t="s">
        <v>3278</v>
      </c>
      <c r="K5011" s="6" t="str">
        <f>"29.410,00"</f>
        <v>29.410,00</v>
      </c>
      <c r="L5011" s="6" t="str">
        <f>"7.352,50"</f>
        <v>7.352,50</v>
      </c>
      <c r="M5011" s="6" t="str">
        <f>"36.762,50"</f>
        <v>36.762,50</v>
      </c>
      <c r="N5011" s="8" t="s">
        <v>124</v>
      </c>
      <c r="O5011" s="7"/>
      <c r="P5011" s="2" t="s">
        <v>5614</v>
      </c>
      <c r="Q5011" s="7"/>
      <c r="R5011" s="1"/>
      <c r="S5011" s="1" t="str">
        <f>"J-UN-2022-2139"</f>
        <v>J-UN-2022-2139</v>
      </c>
      <c r="T5011" s="1" t="s">
        <v>32</v>
      </c>
    </row>
    <row r="5012" spans="1:20" ht="63.75" x14ac:dyDescent="0.25">
      <c r="A5012" s="6">
        <v>4991</v>
      </c>
      <c r="B5012" s="1" t="str">
        <f>"2022-319"</f>
        <v>2022-319</v>
      </c>
      <c r="C5012" s="1" t="s">
        <v>2745</v>
      </c>
      <c r="D5012" s="1" t="s">
        <v>700</v>
      </c>
      <c r="E5012" s="1" t="str">
        <f>""</f>
        <v/>
      </c>
      <c r="F5012" s="1" t="s">
        <v>1860</v>
      </c>
      <c r="G5012" s="1" t="str">
        <f>CONCATENATE(" BRČIĆ PROIZVODNJA D.O.O.,"," SAMOBORSKA CESTA 107A,"," 10090 ZAGREB-SUSEDGRAD,"," OIB: 66878084788")</f>
        <v xml:space="preserve"> BRČIĆ PROIZVODNJA D.O.O., SAMOBORSKA CESTA 107A, 10090 ZAGREB-SUSEDGRAD, OIB: 66878084788</v>
      </c>
      <c r="H5012" s="7"/>
      <c r="I5012" s="8" t="s">
        <v>1147</v>
      </c>
      <c r="J5012" s="8" t="s">
        <v>2353</v>
      </c>
      <c r="K5012" s="6" t="str">
        <f>"3.250,00"</f>
        <v>3.250,00</v>
      </c>
      <c r="L5012" s="6" t="str">
        <f>"812,50"</f>
        <v>812,50</v>
      </c>
      <c r="M5012" s="6" t="str">
        <f>"4.062,50"</f>
        <v>4.062,50</v>
      </c>
      <c r="N5012" s="8" t="s">
        <v>124</v>
      </c>
      <c r="O5012" s="7"/>
      <c r="P5012" s="2" t="s">
        <v>5614</v>
      </c>
      <c r="Q5012" s="7"/>
      <c r="R5012" s="1"/>
      <c r="S5012" s="1" t="str">
        <f>"J-UN-2022-2140"</f>
        <v>J-UN-2022-2140</v>
      </c>
      <c r="T5012" s="1" t="s">
        <v>32</v>
      </c>
    </row>
    <row r="5013" spans="1:20" ht="51" x14ac:dyDescent="0.25">
      <c r="A5013" s="6">
        <v>4992</v>
      </c>
      <c r="B5013" s="1" t="str">
        <f>"2022-159"</f>
        <v>2022-159</v>
      </c>
      <c r="C5013" s="1" t="s">
        <v>2887</v>
      </c>
      <c r="D5013" s="1" t="s">
        <v>1322</v>
      </c>
      <c r="E5013" s="1" t="str">
        <f>""</f>
        <v/>
      </c>
      <c r="F5013" s="1" t="s">
        <v>1860</v>
      </c>
      <c r="G5013" s="1" t="str">
        <f>CONCATENATE(" ARBORI CULTURA D.O.O.,"," POKUPSKO 86,"," 10414 POKUPSKO,"," OIB: 16690651659")</f>
        <v xml:space="preserve"> ARBORI CULTURA D.O.O., POKUPSKO 86, 10414 POKUPSKO, OIB: 16690651659</v>
      </c>
      <c r="H5013" s="7"/>
      <c r="I5013" s="8" t="s">
        <v>146</v>
      </c>
      <c r="J5013" s="8" t="s">
        <v>2253</v>
      </c>
      <c r="K5013" s="6" t="str">
        <f>"7.250,00"</f>
        <v>7.250,00</v>
      </c>
      <c r="L5013" s="6" t="str">
        <f>"1.812,50"</f>
        <v>1.812,50</v>
      </c>
      <c r="M5013" s="6" t="str">
        <f>"9.062,50"</f>
        <v>9.062,50</v>
      </c>
      <c r="N5013" s="8" t="s">
        <v>124</v>
      </c>
      <c r="O5013" s="7"/>
      <c r="P5013" s="2" t="s">
        <v>5614</v>
      </c>
      <c r="Q5013" s="7"/>
      <c r="R5013" s="1"/>
      <c r="S5013" s="1" t="str">
        <f>"J-UN-2022-2141"</f>
        <v>J-UN-2022-2141</v>
      </c>
      <c r="T5013" s="1" t="s">
        <v>32</v>
      </c>
    </row>
    <row r="5014" spans="1:20" ht="51" x14ac:dyDescent="0.25">
      <c r="A5014" s="6">
        <v>4993</v>
      </c>
      <c r="B5014" s="1" t="str">
        <f>"2022-282"</f>
        <v>2022-282</v>
      </c>
      <c r="C5014" s="1" t="s">
        <v>2874</v>
      </c>
      <c r="D5014" s="1" t="s">
        <v>1428</v>
      </c>
      <c r="E5014" s="1" t="str">
        <f>""</f>
        <v/>
      </c>
      <c r="F5014" s="1" t="s">
        <v>1860</v>
      </c>
      <c r="G5014" s="1" t="str">
        <f>CONCATENATE(" INSAKO D.O.O.,"," PUŽEVA 11,"," 10000 ZAGREB,"," OIB: 39851720584")</f>
        <v xml:space="preserve"> INSAKO D.O.O., PUŽEVA 11, 10000 ZAGREB, OIB: 39851720584</v>
      </c>
      <c r="H5014" s="7"/>
      <c r="I5014" s="8" t="s">
        <v>146</v>
      </c>
      <c r="J5014" s="8" t="s">
        <v>2253</v>
      </c>
      <c r="K5014" s="6" t="str">
        <f>"19.900,00"</f>
        <v>19.900,00</v>
      </c>
      <c r="L5014" s="6" t="str">
        <f>"4.975,00"</f>
        <v>4.975,00</v>
      </c>
      <c r="M5014" s="6" t="str">
        <f>"24.875,00"</f>
        <v>24.875,00</v>
      </c>
      <c r="N5014" s="8" t="s">
        <v>124</v>
      </c>
      <c r="O5014" s="7"/>
      <c r="P5014" s="2" t="s">
        <v>5614</v>
      </c>
      <c r="Q5014" s="7"/>
      <c r="R5014" s="1"/>
      <c r="S5014" s="1" t="str">
        <f>"J-UN-2022-2142"</f>
        <v>J-UN-2022-2142</v>
      </c>
      <c r="T5014" s="1" t="s">
        <v>32</v>
      </c>
    </row>
    <row r="5015" spans="1:20" ht="51" x14ac:dyDescent="0.25">
      <c r="A5015" s="6">
        <v>4994</v>
      </c>
      <c r="B5015" s="1" t="str">
        <f>"2022-100"</f>
        <v>2022-100</v>
      </c>
      <c r="C5015" s="1" t="s">
        <v>2628</v>
      </c>
      <c r="D5015" s="1" t="s">
        <v>2010</v>
      </c>
      <c r="E5015" s="1" t="str">
        <f>""</f>
        <v/>
      </c>
      <c r="F5015" s="1" t="s">
        <v>1860</v>
      </c>
      <c r="G5015" s="1" t="str">
        <f>CONCATENATE(" INSTITUT IGH D.D.,"," JANKA RAKUŠE 1,"," 10000 ZAGREB,"," OIB: 79766124714")</f>
        <v xml:space="preserve"> INSTITUT IGH D.D., JANKA RAKUŠE 1, 10000 ZAGREB, OIB: 79766124714</v>
      </c>
      <c r="H5015" s="7"/>
      <c r="I5015" s="8" t="s">
        <v>1123</v>
      </c>
      <c r="J5015" s="8" t="s">
        <v>2251</v>
      </c>
      <c r="K5015" s="6" t="str">
        <f>"500,00"</f>
        <v>500,00</v>
      </c>
      <c r="L5015" s="6" t="str">
        <f>"125,00"</f>
        <v>125,00</v>
      </c>
      <c r="M5015" s="6" t="str">
        <f>"625,00"</f>
        <v>625,00</v>
      </c>
      <c r="N5015" s="8" t="s">
        <v>124</v>
      </c>
      <c r="O5015" s="7"/>
      <c r="P5015" s="2" t="s">
        <v>5614</v>
      </c>
      <c r="Q5015" s="7"/>
      <c r="R5015" s="1"/>
      <c r="S5015" s="1" t="str">
        <f>"J-UN-2022-2143"</f>
        <v>J-UN-2022-2143</v>
      </c>
      <c r="T5015" s="1" t="s">
        <v>32</v>
      </c>
    </row>
    <row r="5016" spans="1:20" ht="51" x14ac:dyDescent="0.25">
      <c r="A5016" s="6">
        <v>4995</v>
      </c>
      <c r="B5016" s="1" t="str">
        <f>"2022-1976"</f>
        <v>2022-1976</v>
      </c>
      <c r="C5016" s="1" t="s">
        <v>3242</v>
      </c>
      <c r="D5016" s="1" t="s">
        <v>766</v>
      </c>
      <c r="E5016" s="1" t="str">
        <f>""</f>
        <v/>
      </c>
      <c r="F5016" s="1" t="s">
        <v>1860</v>
      </c>
      <c r="G5016" s="1" t="str">
        <f>CONCATENATE(" TED D.O.O.,"," VRHOVČEV VIJENAC 84,"," 10000 ZAGREB,"," OIB: 22740118957")</f>
        <v xml:space="preserve"> TED D.O.O., VRHOVČEV VIJENAC 84, 10000 ZAGREB, OIB: 22740118957</v>
      </c>
      <c r="H5016" s="7"/>
      <c r="I5016" s="8" t="s">
        <v>146</v>
      </c>
      <c r="J5016" s="8" t="s">
        <v>2253</v>
      </c>
      <c r="K5016" s="6" t="str">
        <f>"54.514,80"</f>
        <v>54.514,80</v>
      </c>
      <c r="L5016" s="6" t="str">
        <f>"13.628,70"</f>
        <v>13.628,70</v>
      </c>
      <c r="M5016" s="6" t="str">
        <f>"68.143,50"</f>
        <v>68.143,50</v>
      </c>
      <c r="N5016" s="8" t="s">
        <v>124</v>
      </c>
      <c r="O5016" s="7"/>
      <c r="P5016" s="2" t="s">
        <v>5614</v>
      </c>
      <c r="Q5016" s="7"/>
      <c r="R5016" s="1"/>
      <c r="S5016" s="1" t="str">
        <f>"J-UN-2022-2144"</f>
        <v>J-UN-2022-2144</v>
      </c>
      <c r="T5016" s="1" t="s">
        <v>32</v>
      </c>
    </row>
    <row r="5017" spans="1:20" ht="51" x14ac:dyDescent="0.25">
      <c r="A5017" s="6">
        <v>4996</v>
      </c>
      <c r="B5017" s="1" t="str">
        <f>"2022-295"</f>
        <v>2022-295</v>
      </c>
      <c r="C5017" s="1" t="s">
        <v>2836</v>
      </c>
      <c r="D5017" s="1" t="s">
        <v>689</v>
      </c>
      <c r="E5017" s="1" t="str">
        <f>""</f>
        <v/>
      </c>
      <c r="F5017" s="1" t="s">
        <v>1860</v>
      </c>
      <c r="G5017" s="1" t="str">
        <f>CONCATENATE(" VODOSKOK D.D.,"," ČULINEČKA CESTA 221/C,"," 10040 ZAGREB,"," OIB: 34134218058")</f>
        <v xml:space="preserve"> VODOSKOK D.D., ČULINEČKA CESTA 221/C, 10040 ZAGREB, OIB: 34134218058</v>
      </c>
      <c r="H5017" s="7"/>
      <c r="I5017" s="8" t="s">
        <v>384</v>
      </c>
      <c r="J5017" s="8" t="s">
        <v>3281</v>
      </c>
      <c r="K5017" s="6" t="str">
        <f>"5.470,00"</f>
        <v>5.470,00</v>
      </c>
      <c r="L5017" s="6" t="str">
        <f>"1.367,50"</f>
        <v>1.367,50</v>
      </c>
      <c r="M5017" s="6" t="str">
        <f>"6.837,50"</f>
        <v>6.837,50</v>
      </c>
      <c r="N5017" s="8" t="s">
        <v>124</v>
      </c>
      <c r="O5017" s="7"/>
      <c r="P5017" s="2" t="s">
        <v>5614</v>
      </c>
      <c r="Q5017" s="7"/>
      <c r="R5017" s="1"/>
      <c r="S5017" s="1" t="str">
        <f>"J-UN-2022-2145"</f>
        <v>J-UN-2022-2145</v>
      </c>
      <c r="T5017" s="1" t="s">
        <v>32</v>
      </c>
    </row>
    <row r="5018" spans="1:20" ht="63.75" x14ac:dyDescent="0.25">
      <c r="A5018" s="6">
        <v>4997</v>
      </c>
      <c r="B5018" s="1" t="str">
        <f>"2022-506"</f>
        <v>2022-506</v>
      </c>
      <c r="C5018" s="1" t="s">
        <v>3119</v>
      </c>
      <c r="D5018" s="1" t="s">
        <v>750</v>
      </c>
      <c r="E5018" s="1" t="str">
        <f>""</f>
        <v/>
      </c>
      <c r="F5018" s="1" t="s">
        <v>1860</v>
      </c>
      <c r="G5018" s="1" t="str">
        <f>CONCATENATE(" HRVATSKE ŠUME D.O.O.,"," UL. KNEZA BRANIMIRA 1,"," 10000 ZAGREB,"," OIB: 69693144506")</f>
        <v xml:space="preserve"> HRVATSKE ŠUME D.O.O., UL. KNEZA BRANIMIRA 1, 10000 ZAGREB, OIB: 69693144506</v>
      </c>
      <c r="H5018" s="7"/>
      <c r="I5018" s="8" t="s">
        <v>146</v>
      </c>
      <c r="J5018" s="8" t="s">
        <v>2253</v>
      </c>
      <c r="K5018" s="6" t="str">
        <f>"1.975,29"</f>
        <v>1.975,29</v>
      </c>
      <c r="L5018" s="6" t="str">
        <f>"493,82"</f>
        <v>493,82</v>
      </c>
      <c r="M5018" s="6" t="str">
        <f>"2.469,11"</f>
        <v>2.469,11</v>
      </c>
      <c r="N5018" s="8" t="s">
        <v>124</v>
      </c>
      <c r="O5018" s="7"/>
      <c r="P5018" s="2" t="s">
        <v>5614</v>
      </c>
      <c r="Q5018" s="7"/>
      <c r="R5018" s="1"/>
      <c r="S5018" s="1" t="str">
        <f>"J-UN-2022-2146"</f>
        <v>J-UN-2022-2146</v>
      </c>
      <c r="T5018" s="1" t="s">
        <v>32</v>
      </c>
    </row>
    <row r="5019" spans="1:20" ht="114.75" x14ac:dyDescent="0.25">
      <c r="A5019" s="6">
        <v>4998</v>
      </c>
      <c r="B5019" s="1" t="str">
        <f>"2022-485"</f>
        <v>2022-485</v>
      </c>
      <c r="C5019" s="1" t="s">
        <v>2614</v>
      </c>
      <c r="D5019" s="1" t="s">
        <v>619</v>
      </c>
      <c r="E5019" s="1" t="str">
        <f>""</f>
        <v/>
      </c>
      <c r="F5019" s="1" t="s">
        <v>1860</v>
      </c>
      <c r="G5019" s="1" t="str">
        <f>CONCATENATE(" NORD POGONI DRUŠTVO S OGRANIČENOM ODGOVORNOŠĆU ZA TRGOVINU,"," SERVIS I MONTAŽU,"," FRANJE TUĐMANA 20,"," 48260 KRIŽEVCI,"," OIB: 01049893289")</f>
        <v xml:space="preserve"> NORD POGONI DRUŠTVO S OGRANIČENOM ODGOVORNOŠĆU ZA TRGOVINU, SERVIS I MONTAŽU, FRANJE TUĐMANA 20, 48260 KRIŽEVCI, OIB: 01049893289</v>
      </c>
      <c r="H5019" s="7"/>
      <c r="I5019" s="8" t="s">
        <v>1147</v>
      </c>
      <c r="J5019" s="8" t="s">
        <v>2353</v>
      </c>
      <c r="K5019" s="6" t="str">
        <f>"240,00"</f>
        <v>240,00</v>
      </c>
      <c r="L5019" s="6" t="str">
        <f>"60,00"</f>
        <v>60,00</v>
      </c>
      <c r="M5019" s="6" t="str">
        <f>"300,00"</f>
        <v>300,00</v>
      </c>
      <c r="N5019" s="8" t="s">
        <v>124</v>
      </c>
      <c r="O5019" s="7"/>
      <c r="P5019" s="2" t="s">
        <v>5614</v>
      </c>
      <c r="Q5019" s="7"/>
      <c r="R5019" s="1"/>
      <c r="S5019" s="1" t="str">
        <f>"J-UN-2022-2147"</f>
        <v>J-UN-2022-2147</v>
      </c>
      <c r="T5019" s="1" t="s">
        <v>32</v>
      </c>
    </row>
    <row r="5020" spans="1:20" ht="63.75" x14ac:dyDescent="0.25">
      <c r="A5020" s="6">
        <v>4999</v>
      </c>
      <c r="B5020" s="1" t="str">
        <f>"2022-1416"</f>
        <v>2022-1416</v>
      </c>
      <c r="C5020" s="1" t="s">
        <v>2991</v>
      </c>
      <c r="D5020" s="1" t="s">
        <v>2992</v>
      </c>
      <c r="E5020" s="1" t="str">
        <f>""</f>
        <v/>
      </c>
      <c r="F5020" s="1" t="s">
        <v>1860</v>
      </c>
      <c r="G5020" s="1" t="str">
        <f t="shared" ref="G5020:G5031" si="235">CONCATENATE(" LANIŠTE D.O.O.,"," ALEXANDERA VON HUMBOLDTA 4B,"," 10000 ZAGREB,"," OIB: 3755384865")</f>
        <v xml:space="preserve"> LANIŠTE D.O.O., ALEXANDERA VON HUMBOLDTA 4B, 10000 ZAGREB, OIB: 3755384865</v>
      </c>
      <c r="H5020" s="7"/>
      <c r="I5020" s="8" t="s">
        <v>146</v>
      </c>
      <c r="J5020" s="8" t="s">
        <v>2253</v>
      </c>
      <c r="K5020" s="6" t="str">
        <f>"3.636,00"</f>
        <v>3.636,00</v>
      </c>
      <c r="L5020" s="6" t="str">
        <f>"909,00"</f>
        <v>909,00</v>
      </c>
      <c r="M5020" s="6" t="str">
        <f>"4.545,00"</f>
        <v>4.545,00</v>
      </c>
      <c r="N5020" s="8" t="s">
        <v>124</v>
      </c>
      <c r="O5020" s="7"/>
      <c r="P5020" s="2" t="s">
        <v>5614</v>
      </c>
      <c r="Q5020" s="7"/>
      <c r="R5020" s="1"/>
      <c r="S5020" s="1" t="str">
        <f>"J-UN-2022-2148"</f>
        <v>J-UN-2022-2148</v>
      </c>
      <c r="T5020" s="1" t="s">
        <v>32</v>
      </c>
    </row>
    <row r="5021" spans="1:20" ht="63.75" x14ac:dyDescent="0.25">
      <c r="A5021" s="6">
        <v>5000</v>
      </c>
      <c r="B5021" s="1" t="str">
        <f>"2022-1429"</f>
        <v>2022-1429</v>
      </c>
      <c r="C5021" s="1" t="s">
        <v>2984</v>
      </c>
      <c r="D5021" s="1" t="s">
        <v>2985</v>
      </c>
      <c r="E5021" s="1" t="str">
        <f>""</f>
        <v/>
      </c>
      <c r="F5021" s="1" t="s">
        <v>1860</v>
      </c>
      <c r="G5021" s="1" t="str">
        <f t="shared" si="235"/>
        <v xml:space="preserve"> LANIŠTE D.O.O., ALEXANDERA VON HUMBOLDTA 4B, 10000 ZAGREB, OIB: 3755384865</v>
      </c>
      <c r="H5021" s="7"/>
      <c r="I5021" s="8" t="s">
        <v>146</v>
      </c>
      <c r="J5021" s="8" t="s">
        <v>2253</v>
      </c>
      <c r="K5021" s="6" t="str">
        <f>"4.032,00"</f>
        <v>4.032,00</v>
      </c>
      <c r="L5021" s="6" t="str">
        <f>"1.008,00"</f>
        <v>1.008,00</v>
      </c>
      <c r="M5021" s="6" t="str">
        <f>"5.040,00"</f>
        <v>5.040,00</v>
      </c>
      <c r="N5021" s="8" t="s">
        <v>124</v>
      </c>
      <c r="O5021" s="7"/>
      <c r="P5021" s="2" t="s">
        <v>5614</v>
      </c>
      <c r="Q5021" s="7"/>
      <c r="R5021" s="1"/>
      <c r="S5021" s="1" t="str">
        <f>"J-UN-2022-2149"</f>
        <v>J-UN-2022-2149</v>
      </c>
      <c r="T5021" s="1" t="s">
        <v>32</v>
      </c>
    </row>
    <row r="5022" spans="1:20" ht="63.75" x14ac:dyDescent="0.25">
      <c r="A5022" s="6">
        <v>5001</v>
      </c>
      <c r="B5022" s="1" t="str">
        <f>"2022-1430"</f>
        <v>2022-1430</v>
      </c>
      <c r="C5022" s="1" t="s">
        <v>2986</v>
      </c>
      <c r="D5022" s="1" t="s">
        <v>2985</v>
      </c>
      <c r="E5022" s="1" t="str">
        <f>""</f>
        <v/>
      </c>
      <c r="F5022" s="1" t="s">
        <v>1860</v>
      </c>
      <c r="G5022" s="1" t="str">
        <f t="shared" si="235"/>
        <v xml:space="preserve"> LANIŠTE D.O.O., ALEXANDERA VON HUMBOLDTA 4B, 10000 ZAGREB, OIB: 3755384865</v>
      </c>
      <c r="H5022" s="7"/>
      <c r="I5022" s="8" t="s">
        <v>146</v>
      </c>
      <c r="J5022" s="8" t="s">
        <v>2253</v>
      </c>
      <c r="K5022" s="6" t="str">
        <f>"4.032,00"</f>
        <v>4.032,00</v>
      </c>
      <c r="L5022" s="6" t="str">
        <f>"1.008,00"</f>
        <v>1.008,00</v>
      </c>
      <c r="M5022" s="6" t="str">
        <f>"5.040,00"</f>
        <v>5.040,00</v>
      </c>
      <c r="N5022" s="8" t="s">
        <v>124</v>
      </c>
      <c r="O5022" s="7"/>
      <c r="P5022" s="2" t="s">
        <v>5614</v>
      </c>
      <c r="Q5022" s="7"/>
      <c r="R5022" s="1"/>
      <c r="S5022" s="1" t="str">
        <f>"J-UN-2022-2150"</f>
        <v>J-UN-2022-2150</v>
      </c>
      <c r="T5022" s="1" t="s">
        <v>32</v>
      </c>
    </row>
    <row r="5023" spans="1:20" ht="63.75" x14ac:dyDescent="0.25">
      <c r="A5023" s="6">
        <v>5002</v>
      </c>
      <c r="B5023" s="1" t="str">
        <f>"2022-1321"</f>
        <v>2022-1321</v>
      </c>
      <c r="C5023" s="1" t="s">
        <v>2987</v>
      </c>
      <c r="D5023" s="1" t="s">
        <v>2988</v>
      </c>
      <c r="E5023" s="1" t="str">
        <f>""</f>
        <v/>
      </c>
      <c r="F5023" s="1" t="s">
        <v>1860</v>
      </c>
      <c r="G5023" s="1" t="str">
        <f t="shared" si="235"/>
        <v xml:space="preserve"> LANIŠTE D.O.O., ALEXANDERA VON HUMBOLDTA 4B, 10000 ZAGREB, OIB: 3755384865</v>
      </c>
      <c r="H5023" s="7"/>
      <c r="I5023" s="8" t="s">
        <v>146</v>
      </c>
      <c r="J5023" s="8" t="s">
        <v>2253</v>
      </c>
      <c r="K5023" s="6" t="str">
        <f>"4.032,00"</f>
        <v>4.032,00</v>
      </c>
      <c r="L5023" s="6" t="str">
        <f>"1.008,00"</f>
        <v>1.008,00</v>
      </c>
      <c r="M5023" s="6" t="str">
        <f>"5.040,00"</f>
        <v>5.040,00</v>
      </c>
      <c r="N5023" s="8" t="s">
        <v>124</v>
      </c>
      <c r="O5023" s="7"/>
      <c r="P5023" s="2" t="s">
        <v>5614</v>
      </c>
      <c r="Q5023" s="7"/>
      <c r="R5023" s="1"/>
      <c r="S5023" s="1" t="str">
        <f>"J-UN-2022-2151"</f>
        <v>J-UN-2022-2151</v>
      </c>
      <c r="T5023" s="1" t="s">
        <v>32</v>
      </c>
    </row>
    <row r="5024" spans="1:20" ht="63.75" x14ac:dyDescent="0.25">
      <c r="A5024" s="6">
        <v>5003</v>
      </c>
      <c r="B5024" s="1" t="str">
        <f>"2022-1289"</f>
        <v>2022-1289</v>
      </c>
      <c r="C5024" s="1" t="s">
        <v>2993</v>
      </c>
      <c r="D5024" s="1" t="s">
        <v>2994</v>
      </c>
      <c r="E5024" s="1" t="str">
        <f>""</f>
        <v/>
      </c>
      <c r="F5024" s="1" t="s">
        <v>1860</v>
      </c>
      <c r="G5024" s="1" t="str">
        <f t="shared" si="235"/>
        <v xml:space="preserve"> LANIŠTE D.O.O., ALEXANDERA VON HUMBOLDTA 4B, 10000 ZAGREB, OIB: 3755384865</v>
      </c>
      <c r="H5024" s="7"/>
      <c r="I5024" s="8" t="s">
        <v>489</v>
      </c>
      <c r="J5024" s="8" t="s">
        <v>1541</v>
      </c>
      <c r="K5024" s="6" t="str">
        <f>"3.632,00"</f>
        <v>3.632,00</v>
      </c>
      <c r="L5024" s="6" t="str">
        <f>"908,00"</f>
        <v>908,00</v>
      </c>
      <c r="M5024" s="6" t="str">
        <f>"4.540,00"</f>
        <v>4.540,00</v>
      </c>
      <c r="N5024" s="8" t="s">
        <v>124</v>
      </c>
      <c r="O5024" s="7"/>
      <c r="P5024" s="2" t="s">
        <v>5614</v>
      </c>
      <c r="Q5024" s="7"/>
      <c r="R5024" s="1"/>
      <c r="S5024" s="1" t="str">
        <f>"J-UN-2022-2152"</f>
        <v>J-UN-2022-2152</v>
      </c>
      <c r="T5024" s="1" t="s">
        <v>32</v>
      </c>
    </row>
    <row r="5025" spans="1:20" ht="63.75" x14ac:dyDescent="0.25">
      <c r="A5025" s="6">
        <v>5004</v>
      </c>
      <c r="B5025" s="1" t="str">
        <f>"2022-1291"</f>
        <v>2022-1291</v>
      </c>
      <c r="C5025" s="1" t="s">
        <v>2989</v>
      </c>
      <c r="D5025" s="1" t="s">
        <v>2990</v>
      </c>
      <c r="E5025" s="1" t="str">
        <f>""</f>
        <v/>
      </c>
      <c r="F5025" s="1" t="s">
        <v>1860</v>
      </c>
      <c r="G5025" s="1" t="str">
        <f t="shared" si="235"/>
        <v xml:space="preserve"> LANIŠTE D.O.O., ALEXANDERA VON HUMBOLDTA 4B, 10000 ZAGREB, OIB: 3755384865</v>
      </c>
      <c r="H5025" s="7"/>
      <c r="I5025" s="8" t="s">
        <v>489</v>
      </c>
      <c r="J5025" s="8" t="s">
        <v>1541</v>
      </c>
      <c r="K5025" s="6" t="str">
        <f>"3.636,00"</f>
        <v>3.636,00</v>
      </c>
      <c r="L5025" s="6" t="str">
        <f>"909,00"</f>
        <v>909,00</v>
      </c>
      <c r="M5025" s="6" t="str">
        <f>"4.545,00"</f>
        <v>4.545,00</v>
      </c>
      <c r="N5025" s="8" t="s">
        <v>124</v>
      </c>
      <c r="O5025" s="7"/>
      <c r="P5025" s="2" t="s">
        <v>5614</v>
      </c>
      <c r="Q5025" s="7"/>
      <c r="R5025" s="1"/>
      <c r="S5025" s="1" t="str">
        <f>"J-UN-2022-2153"</f>
        <v>J-UN-2022-2153</v>
      </c>
      <c r="T5025" s="1" t="s">
        <v>32</v>
      </c>
    </row>
    <row r="5026" spans="1:20" ht="63.75" x14ac:dyDescent="0.25">
      <c r="A5026" s="6">
        <v>5005</v>
      </c>
      <c r="B5026" s="1" t="str">
        <f>"2022-1416"</f>
        <v>2022-1416</v>
      </c>
      <c r="C5026" s="1" t="s">
        <v>2991</v>
      </c>
      <c r="D5026" s="1" t="s">
        <v>2992</v>
      </c>
      <c r="E5026" s="1" t="str">
        <f>""</f>
        <v/>
      </c>
      <c r="F5026" s="1" t="s">
        <v>1860</v>
      </c>
      <c r="G5026" s="1" t="str">
        <f t="shared" si="235"/>
        <v xml:space="preserve"> LANIŠTE D.O.O., ALEXANDERA VON HUMBOLDTA 4B, 10000 ZAGREB, OIB: 3755384865</v>
      </c>
      <c r="H5026" s="7"/>
      <c r="I5026" s="8" t="s">
        <v>489</v>
      </c>
      <c r="J5026" s="8" t="s">
        <v>1541</v>
      </c>
      <c r="K5026" s="6" t="str">
        <f>"3.636,00"</f>
        <v>3.636,00</v>
      </c>
      <c r="L5026" s="6" t="str">
        <f>"909,00"</f>
        <v>909,00</v>
      </c>
      <c r="M5026" s="6" t="str">
        <f>"4.545,00"</f>
        <v>4.545,00</v>
      </c>
      <c r="N5026" s="8" t="s">
        <v>124</v>
      </c>
      <c r="O5026" s="7"/>
      <c r="P5026" s="2" t="s">
        <v>5614</v>
      </c>
      <c r="Q5026" s="7"/>
      <c r="R5026" s="1"/>
      <c r="S5026" s="1" t="str">
        <f>"J-UN-2022-2154"</f>
        <v>J-UN-2022-2154</v>
      </c>
      <c r="T5026" s="1" t="s">
        <v>32</v>
      </c>
    </row>
    <row r="5027" spans="1:20" ht="63.75" x14ac:dyDescent="0.25">
      <c r="A5027" s="6">
        <v>5006</v>
      </c>
      <c r="B5027" s="1" t="str">
        <f>"2022-1429"</f>
        <v>2022-1429</v>
      </c>
      <c r="C5027" s="1" t="s">
        <v>2984</v>
      </c>
      <c r="D5027" s="1" t="s">
        <v>2985</v>
      </c>
      <c r="E5027" s="1" t="str">
        <f>""</f>
        <v/>
      </c>
      <c r="F5027" s="1" t="s">
        <v>1860</v>
      </c>
      <c r="G5027" s="1" t="str">
        <f t="shared" si="235"/>
        <v xml:space="preserve"> LANIŠTE D.O.O., ALEXANDERA VON HUMBOLDTA 4B, 10000 ZAGREB, OIB: 3755384865</v>
      </c>
      <c r="H5027" s="7"/>
      <c r="I5027" s="8" t="s">
        <v>489</v>
      </c>
      <c r="J5027" s="8" t="s">
        <v>1541</v>
      </c>
      <c r="K5027" s="6" t="str">
        <f>"4.032,00"</f>
        <v>4.032,00</v>
      </c>
      <c r="L5027" s="6" t="str">
        <f>"1.008,00"</f>
        <v>1.008,00</v>
      </c>
      <c r="M5027" s="6" t="str">
        <f>"5.040,00"</f>
        <v>5.040,00</v>
      </c>
      <c r="N5027" s="8" t="s">
        <v>124</v>
      </c>
      <c r="O5027" s="7"/>
      <c r="P5027" s="2" t="s">
        <v>5614</v>
      </c>
      <c r="Q5027" s="7"/>
      <c r="R5027" s="1"/>
      <c r="S5027" s="1" t="str">
        <f>"J-UN-2022-2155"</f>
        <v>J-UN-2022-2155</v>
      </c>
      <c r="T5027" s="1" t="s">
        <v>32</v>
      </c>
    </row>
    <row r="5028" spans="1:20" ht="63.75" x14ac:dyDescent="0.25">
      <c r="A5028" s="6">
        <v>5007</v>
      </c>
      <c r="B5028" s="1" t="str">
        <f>"2022-1430"</f>
        <v>2022-1430</v>
      </c>
      <c r="C5028" s="1" t="s">
        <v>2986</v>
      </c>
      <c r="D5028" s="1" t="s">
        <v>2985</v>
      </c>
      <c r="E5028" s="1" t="str">
        <f>""</f>
        <v/>
      </c>
      <c r="F5028" s="1" t="s">
        <v>1860</v>
      </c>
      <c r="G5028" s="1" t="str">
        <f t="shared" si="235"/>
        <v xml:space="preserve"> LANIŠTE D.O.O., ALEXANDERA VON HUMBOLDTA 4B, 10000 ZAGREB, OIB: 3755384865</v>
      </c>
      <c r="H5028" s="7"/>
      <c r="I5028" s="8" t="s">
        <v>489</v>
      </c>
      <c r="J5028" s="8" t="s">
        <v>1541</v>
      </c>
      <c r="K5028" s="6" t="str">
        <f>"4.032,00"</f>
        <v>4.032,00</v>
      </c>
      <c r="L5028" s="6" t="str">
        <f>"1.008,00"</f>
        <v>1.008,00</v>
      </c>
      <c r="M5028" s="6" t="str">
        <f>"5.040,00"</f>
        <v>5.040,00</v>
      </c>
      <c r="N5028" s="8" t="s">
        <v>124</v>
      </c>
      <c r="O5028" s="7"/>
      <c r="P5028" s="2" t="s">
        <v>5614</v>
      </c>
      <c r="Q5028" s="7"/>
      <c r="R5028" s="1"/>
      <c r="S5028" s="1" t="str">
        <f>"J-UN-2022-2156"</f>
        <v>J-UN-2022-2156</v>
      </c>
      <c r="T5028" s="1" t="s">
        <v>32</v>
      </c>
    </row>
    <row r="5029" spans="1:20" ht="63.75" x14ac:dyDescent="0.25">
      <c r="A5029" s="6">
        <v>5008</v>
      </c>
      <c r="B5029" s="1" t="str">
        <f>"2022-1321"</f>
        <v>2022-1321</v>
      </c>
      <c r="C5029" s="1" t="s">
        <v>2987</v>
      </c>
      <c r="D5029" s="1" t="s">
        <v>2988</v>
      </c>
      <c r="E5029" s="1" t="str">
        <f>""</f>
        <v/>
      </c>
      <c r="F5029" s="1" t="s">
        <v>1860</v>
      </c>
      <c r="G5029" s="1" t="str">
        <f t="shared" si="235"/>
        <v xml:space="preserve"> LANIŠTE D.O.O., ALEXANDERA VON HUMBOLDTA 4B, 10000 ZAGREB, OIB: 3755384865</v>
      </c>
      <c r="H5029" s="7"/>
      <c r="I5029" s="8" t="s">
        <v>384</v>
      </c>
      <c r="J5029" s="8" t="s">
        <v>3281</v>
      </c>
      <c r="K5029" s="6" t="str">
        <f>"4.032,00"</f>
        <v>4.032,00</v>
      </c>
      <c r="L5029" s="6" t="str">
        <f>"1.008,00"</f>
        <v>1.008,00</v>
      </c>
      <c r="M5029" s="6" t="str">
        <f>"5.040,00"</f>
        <v>5.040,00</v>
      </c>
      <c r="N5029" s="8" t="s">
        <v>124</v>
      </c>
      <c r="O5029" s="7"/>
      <c r="P5029" s="2" t="s">
        <v>5614</v>
      </c>
      <c r="Q5029" s="7"/>
      <c r="R5029" s="1"/>
      <c r="S5029" s="1" t="str">
        <f>"J-UN-2022-2157"</f>
        <v>J-UN-2022-2157</v>
      </c>
      <c r="T5029" s="1" t="s">
        <v>32</v>
      </c>
    </row>
    <row r="5030" spans="1:20" ht="63.75" x14ac:dyDescent="0.25">
      <c r="A5030" s="6">
        <v>5009</v>
      </c>
      <c r="B5030" s="1" t="str">
        <f>"2022-1289"</f>
        <v>2022-1289</v>
      </c>
      <c r="C5030" s="1" t="s">
        <v>2993</v>
      </c>
      <c r="D5030" s="1" t="s">
        <v>2994</v>
      </c>
      <c r="E5030" s="1" t="str">
        <f>""</f>
        <v/>
      </c>
      <c r="F5030" s="1" t="s">
        <v>1860</v>
      </c>
      <c r="G5030" s="1" t="str">
        <f t="shared" si="235"/>
        <v xml:space="preserve"> LANIŠTE D.O.O., ALEXANDERA VON HUMBOLDTA 4B, 10000 ZAGREB, OIB: 3755384865</v>
      </c>
      <c r="H5030" s="7"/>
      <c r="I5030" s="8" t="s">
        <v>384</v>
      </c>
      <c r="J5030" s="8" t="s">
        <v>3281</v>
      </c>
      <c r="K5030" s="6" t="str">
        <f>"3.632,00"</f>
        <v>3.632,00</v>
      </c>
      <c r="L5030" s="6" t="str">
        <f>"908,00"</f>
        <v>908,00</v>
      </c>
      <c r="M5030" s="6" t="str">
        <f>"4.540,00"</f>
        <v>4.540,00</v>
      </c>
      <c r="N5030" s="8" t="s">
        <v>124</v>
      </c>
      <c r="O5030" s="7"/>
      <c r="P5030" s="2" t="s">
        <v>5614</v>
      </c>
      <c r="Q5030" s="7"/>
      <c r="R5030" s="1"/>
      <c r="S5030" s="1" t="str">
        <f>"J-UN-2022-2158"</f>
        <v>J-UN-2022-2158</v>
      </c>
      <c r="T5030" s="1" t="s">
        <v>32</v>
      </c>
    </row>
    <row r="5031" spans="1:20" ht="63.75" x14ac:dyDescent="0.25">
      <c r="A5031" s="6">
        <v>5010</v>
      </c>
      <c r="B5031" s="1" t="str">
        <f>"2022-1291"</f>
        <v>2022-1291</v>
      </c>
      <c r="C5031" s="1" t="s">
        <v>2989</v>
      </c>
      <c r="D5031" s="1" t="s">
        <v>2990</v>
      </c>
      <c r="E5031" s="1" t="str">
        <f>""</f>
        <v/>
      </c>
      <c r="F5031" s="1" t="s">
        <v>1860</v>
      </c>
      <c r="G5031" s="1" t="str">
        <f t="shared" si="235"/>
        <v xml:space="preserve"> LANIŠTE D.O.O., ALEXANDERA VON HUMBOLDTA 4B, 10000 ZAGREB, OIB: 3755384865</v>
      </c>
      <c r="H5031" s="7"/>
      <c r="I5031" s="8" t="s">
        <v>384</v>
      </c>
      <c r="J5031" s="8" t="s">
        <v>3281</v>
      </c>
      <c r="K5031" s="6" t="str">
        <f>"3.636,00"</f>
        <v>3.636,00</v>
      </c>
      <c r="L5031" s="6" t="str">
        <f>"909,00"</f>
        <v>909,00</v>
      </c>
      <c r="M5031" s="6" t="str">
        <f>"4.545,00"</f>
        <v>4.545,00</v>
      </c>
      <c r="N5031" s="8" t="s">
        <v>124</v>
      </c>
      <c r="O5031" s="7"/>
      <c r="P5031" s="2" t="s">
        <v>5614</v>
      </c>
      <c r="Q5031" s="7"/>
      <c r="R5031" s="1"/>
      <c r="S5031" s="1" t="str">
        <f>"J-UN-2022-2159"</f>
        <v>J-UN-2022-2159</v>
      </c>
      <c r="T5031" s="1" t="s">
        <v>32</v>
      </c>
    </row>
    <row r="5032" spans="1:20" ht="51" x14ac:dyDescent="0.25">
      <c r="A5032" s="6">
        <v>5011</v>
      </c>
      <c r="B5032" s="1" t="str">
        <f>"2022-1191"</f>
        <v>2022-1191</v>
      </c>
      <c r="C5032" s="1" t="s">
        <v>2641</v>
      </c>
      <c r="D5032" s="1" t="s">
        <v>515</v>
      </c>
      <c r="E5032" s="1" t="str">
        <f>""</f>
        <v/>
      </c>
      <c r="F5032" s="1" t="s">
        <v>1860</v>
      </c>
      <c r="G5032" s="1" t="str">
        <f>CONCATENATE(" INSTITUT IGH D.D.,"," JANKA RAKUŠE 1,"," 10000 ZAGREB,"," OIB: 79766124714")</f>
        <v xml:space="preserve"> INSTITUT IGH D.D., JANKA RAKUŠE 1, 10000 ZAGREB, OIB: 79766124714</v>
      </c>
      <c r="H5032" s="7"/>
      <c r="I5032" s="8" t="s">
        <v>1123</v>
      </c>
      <c r="J5032" s="8" t="s">
        <v>2251</v>
      </c>
      <c r="K5032" s="6" t="str">
        <f>"16.000,00"</f>
        <v>16.000,00</v>
      </c>
      <c r="L5032" s="6" t="str">
        <f>"4.000,00"</f>
        <v>4.000,00</v>
      </c>
      <c r="M5032" s="6" t="str">
        <f>"20.000,00"</f>
        <v>20.000,00</v>
      </c>
      <c r="N5032" s="8" t="s">
        <v>124</v>
      </c>
      <c r="O5032" s="7"/>
      <c r="P5032" s="2" t="s">
        <v>5614</v>
      </c>
      <c r="Q5032" s="7"/>
      <c r="R5032" s="1"/>
      <c r="S5032" s="1" t="str">
        <f>"J-UN-2022-2160"</f>
        <v>J-UN-2022-2160</v>
      </c>
      <c r="T5032" s="1" t="s">
        <v>32</v>
      </c>
    </row>
    <row r="5033" spans="1:20" ht="51" x14ac:dyDescent="0.25">
      <c r="A5033" s="6">
        <v>5012</v>
      </c>
      <c r="B5033" s="1" t="str">
        <f>"2022-1191"</f>
        <v>2022-1191</v>
      </c>
      <c r="C5033" s="1" t="s">
        <v>2641</v>
      </c>
      <c r="D5033" s="1" t="s">
        <v>515</v>
      </c>
      <c r="E5033" s="1" t="str">
        <f>""</f>
        <v/>
      </c>
      <c r="F5033" s="1" t="s">
        <v>1860</v>
      </c>
      <c r="G5033" s="1" t="str">
        <f>CONCATENATE(" INSTITUT IGH D.D.,"," JANKA RAKUŠE 1,"," 10000 ZAGREB,"," OIB: 79766124714")</f>
        <v xml:space="preserve"> INSTITUT IGH D.D., JANKA RAKUŠE 1, 10000 ZAGREB, OIB: 79766124714</v>
      </c>
      <c r="H5033" s="7"/>
      <c r="I5033" s="8" t="s">
        <v>1147</v>
      </c>
      <c r="J5033" s="8" t="s">
        <v>2353</v>
      </c>
      <c r="K5033" s="6" t="str">
        <f>"21.016,00"</f>
        <v>21.016,00</v>
      </c>
      <c r="L5033" s="6" t="str">
        <f>"5.254,00"</f>
        <v>5.254,00</v>
      </c>
      <c r="M5033" s="6" t="str">
        <f>"26.270,00"</f>
        <v>26.270,00</v>
      </c>
      <c r="N5033" s="8" t="s">
        <v>124</v>
      </c>
      <c r="O5033" s="7"/>
      <c r="P5033" s="2" t="s">
        <v>5614</v>
      </c>
      <c r="Q5033" s="7"/>
      <c r="R5033" s="1"/>
      <c r="S5033" s="1" t="str">
        <f>"J-UN-2022-2161"</f>
        <v>J-UN-2022-2161</v>
      </c>
      <c r="T5033" s="1" t="s">
        <v>32</v>
      </c>
    </row>
    <row r="5034" spans="1:20" ht="63.75" x14ac:dyDescent="0.25">
      <c r="A5034" s="6">
        <v>5013</v>
      </c>
      <c r="B5034" s="1" t="str">
        <f>"2022-710"</f>
        <v>2022-710</v>
      </c>
      <c r="C5034" s="1" t="s">
        <v>2782</v>
      </c>
      <c r="D5034" s="1" t="s">
        <v>815</v>
      </c>
      <c r="E5034" s="1" t="str">
        <f>""</f>
        <v/>
      </c>
      <c r="F5034" s="1" t="s">
        <v>1860</v>
      </c>
      <c r="G5034" s="1" t="str">
        <f>CONCATENATE(" LAUS INTERNATIONAL D.O.O.,"," DR. FRANJE TUĐMANA 16B,"," 10431 SVETA NEDELJA,"," OIB: 93039509752")</f>
        <v xml:space="preserve"> LAUS INTERNATIONAL D.O.O., DR. FRANJE TUĐMANA 16B, 10431 SVETA NEDELJA, OIB: 93039509752</v>
      </c>
      <c r="H5034" s="7"/>
      <c r="I5034" s="8" t="s">
        <v>1147</v>
      </c>
      <c r="J5034" s="8" t="s">
        <v>2353</v>
      </c>
      <c r="K5034" s="6" t="str">
        <f>"782,63"</f>
        <v>782,63</v>
      </c>
      <c r="L5034" s="6" t="str">
        <f>"195,66"</f>
        <v>195,66</v>
      </c>
      <c r="M5034" s="6" t="str">
        <f>"978,29"</f>
        <v>978,29</v>
      </c>
      <c r="N5034" s="8" t="s">
        <v>124</v>
      </c>
      <c r="O5034" s="7"/>
      <c r="P5034" s="2" t="s">
        <v>5614</v>
      </c>
      <c r="Q5034" s="7"/>
      <c r="R5034" s="1"/>
      <c r="S5034" s="1" t="str">
        <f>"J-UN-2022-2162"</f>
        <v>J-UN-2022-2162</v>
      </c>
      <c r="T5034" s="1" t="s">
        <v>32</v>
      </c>
    </row>
    <row r="5035" spans="1:20" ht="63.75" x14ac:dyDescent="0.25">
      <c r="A5035" s="6">
        <v>5014</v>
      </c>
      <c r="B5035" s="1" t="str">
        <f>"2022-706"</f>
        <v>2022-706</v>
      </c>
      <c r="C5035" s="1" t="s">
        <v>2670</v>
      </c>
      <c r="D5035" s="1" t="s">
        <v>2671</v>
      </c>
      <c r="E5035" s="1" t="str">
        <f>""</f>
        <v/>
      </c>
      <c r="F5035" s="1" t="s">
        <v>1860</v>
      </c>
      <c r="G5035" s="1" t="str">
        <f>CONCATENATE(" TOKIĆ D.O.O.,"," ULICA 144. BRIGADE HRVATSKE VOJSKE 1A,"," 10360 SESVETE,"," OIB: 7486748762")</f>
        <v xml:space="preserve"> TOKIĆ D.O.O., ULICA 144. BRIGADE HRVATSKE VOJSKE 1A, 10360 SESVETE, OIB: 7486748762</v>
      </c>
      <c r="H5035" s="7"/>
      <c r="I5035" s="8" t="s">
        <v>489</v>
      </c>
      <c r="J5035" s="8" t="s">
        <v>1541</v>
      </c>
      <c r="K5035" s="6" t="str">
        <f>"1.316,00"</f>
        <v>1.316,00</v>
      </c>
      <c r="L5035" s="6" t="str">
        <f>"329,00"</f>
        <v>329,00</v>
      </c>
      <c r="M5035" s="6" t="str">
        <f>"1.645,00"</f>
        <v>1.645,00</v>
      </c>
      <c r="N5035" s="8" t="s">
        <v>124</v>
      </c>
      <c r="O5035" s="7"/>
      <c r="P5035" s="2" t="s">
        <v>5614</v>
      </c>
      <c r="Q5035" s="7"/>
      <c r="R5035" s="1"/>
      <c r="S5035" s="1" t="str">
        <f>"J-UN-2022-2164"</f>
        <v>J-UN-2022-2164</v>
      </c>
      <c r="T5035" s="1" t="s">
        <v>32</v>
      </c>
    </row>
    <row r="5036" spans="1:20" ht="63.75" x14ac:dyDescent="0.25">
      <c r="A5036" s="6">
        <v>5015</v>
      </c>
      <c r="B5036" s="1" t="str">
        <f>"2022-1416"</f>
        <v>2022-1416</v>
      </c>
      <c r="C5036" s="1" t="s">
        <v>2991</v>
      </c>
      <c r="D5036" s="1" t="s">
        <v>2992</v>
      </c>
      <c r="E5036" s="1" t="str">
        <f>""</f>
        <v/>
      </c>
      <c r="F5036" s="1" t="s">
        <v>1860</v>
      </c>
      <c r="G5036" s="1" t="str">
        <f t="shared" ref="G5036:G5053" si="236">CONCATENATE(" LANIŠTE D.O.O.,"," ALEXANDERA VON HUMBOLDTA 4B,"," 10000 ZAGREB,"," OIB: 3755384865")</f>
        <v xml:space="preserve"> LANIŠTE D.O.O., ALEXANDERA VON HUMBOLDTA 4B, 10000 ZAGREB, OIB: 3755384865</v>
      </c>
      <c r="H5036" s="7"/>
      <c r="I5036" s="8" t="s">
        <v>384</v>
      </c>
      <c r="J5036" s="8" t="s">
        <v>3281</v>
      </c>
      <c r="K5036" s="6" t="str">
        <f>"3.636,00"</f>
        <v>3.636,00</v>
      </c>
      <c r="L5036" s="6" t="str">
        <f>"909,00"</f>
        <v>909,00</v>
      </c>
      <c r="M5036" s="6" t="str">
        <f>"4.545,00"</f>
        <v>4.545,00</v>
      </c>
      <c r="N5036" s="8" t="s">
        <v>124</v>
      </c>
      <c r="O5036" s="7"/>
      <c r="P5036" s="2" t="s">
        <v>5614</v>
      </c>
      <c r="Q5036" s="7"/>
      <c r="R5036" s="1"/>
      <c r="S5036" s="1" t="str">
        <f>"J-UN-2022-2166"</f>
        <v>J-UN-2022-2166</v>
      </c>
      <c r="T5036" s="1" t="s">
        <v>32</v>
      </c>
    </row>
    <row r="5037" spans="1:20" ht="63.75" x14ac:dyDescent="0.25">
      <c r="A5037" s="6">
        <v>5016</v>
      </c>
      <c r="B5037" s="1" t="str">
        <f>"2022-1429"</f>
        <v>2022-1429</v>
      </c>
      <c r="C5037" s="1" t="s">
        <v>2984</v>
      </c>
      <c r="D5037" s="1" t="s">
        <v>2985</v>
      </c>
      <c r="E5037" s="1" t="str">
        <f>""</f>
        <v/>
      </c>
      <c r="F5037" s="1" t="s">
        <v>1860</v>
      </c>
      <c r="G5037" s="1" t="str">
        <f t="shared" si="236"/>
        <v xml:space="preserve"> LANIŠTE D.O.O., ALEXANDERA VON HUMBOLDTA 4B, 10000 ZAGREB, OIB: 3755384865</v>
      </c>
      <c r="H5037" s="7"/>
      <c r="I5037" s="8" t="s">
        <v>384</v>
      </c>
      <c r="J5037" s="8" t="s">
        <v>3281</v>
      </c>
      <c r="K5037" s="6" t="str">
        <f>"4.032,00"</f>
        <v>4.032,00</v>
      </c>
      <c r="L5037" s="6" t="str">
        <f>"1.008,00"</f>
        <v>1.008,00</v>
      </c>
      <c r="M5037" s="6" t="str">
        <f>"5.040,00"</f>
        <v>5.040,00</v>
      </c>
      <c r="N5037" s="8" t="s">
        <v>124</v>
      </c>
      <c r="O5037" s="7"/>
      <c r="P5037" s="2" t="s">
        <v>5614</v>
      </c>
      <c r="Q5037" s="7"/>
      <c r="R5037" s="1"/>
      <c r="S5037" s="1" t="str">
        <f>"J-UN-2022-2167"</f>
        <v>J-UN-2022-2167</v>
      </c>
      <c r="T5037" s="1" t="s">
        <v>32</v>
      </c>
    </row>
    <row r="5038" spans="1:20" ht="63.75" x14ac:dyDescent="0.25">
      <c r="A5038" s="6">
        <v>5017</v>
      </c>
      <c r="B5038" s="1" t="str">
        <f>"2022-1430"</f>
        <v>2022-1430</v>
      </c>
      <c r="C5038" s="1" t="s">
        <v>2986</v>
      </c>
      <c r="D5038" s="1" t="s">
        <v>2985</v>
      </c>
      <c r="E5038" s="1" t="str">
        <f>""</f>
        <v/>
      </c>
      <c r="F5038" s="1" t="s">
        <v>1860</v>
      </c>
      <c r="G5038" s="1" t="str">
        <f t="shared" si="236"/>
        <v xml:space="preserve"> LANIŠTE D.O.O., ALEXANDERA VON HUMBOLDTA 4B, 10000 ZAGREB, OIB: 3755384865</v>
      </c>
      <c r="H5038" s="7"/>
      <c r="I5038" s="8" t="s">
        <v>383</v>
      </c>
      <c r="J5038" s="8" t="s">
        <v>1547</v>
      </c>
      <c r="K5038" s="6" t="str">
        <f>"4.032,00"</f>
        <v>4.032,00</v>
      </c>
      <c r="L5038" s="6" t="str">
        <f>"1.008,00"</f>
        <v>1.008,00</v>
      </c>
      <c r="M5038" s="6" t="str">
        <f>"5.040,00"</f>
        <v>5.040,00</v>
      </c>
      <c r="N5038" s="8" t="s">
        <v>124</v>
      </c>
      <c r="O5038" s="7"/>
      <c r="P5038" s="2" t="s">
        <v>5614</v>
      </c>
      <c r="Q5038" s="7"/>
      <c r="R5038" s="1"/>
      <c r="S5038" s="1" t="str">
        <f>"J-UN-2022-2168"</f>
        <v>J-UN-2022-2168</v>
      </c>
      <c r="T5038" s="1" t="s">
        <v>32</v>
      </c>
    </row>
    <row r="5039" spans="1:20" ht="63.75" x14ac:dyDescent="0.25">
      <c r="A5039" s="6">
        <v>5018</v>
      </c>
      <c r="B5039" s="1" t="str">
        <f>"2022-1321"</f>
        <v>2022-1321</v>
      </c>
      <c r="C5039" s="1" t="s">
        <v>2987</v>
      </c>
      <c r="D5039" s="1" t="s">
        <v>2988</v>
      </c>
      <c r="E5039" s="1" t="str">
        <f>""</f>
        <v/>
      </c>
      <c r="F5039" s="1" t="s">
        <v>1860</v>
      </c>
      <c r="G5039" s="1" t="str">
        <f t="shared" si="236"/>
        <v xml:space="preserve"> LANIŠTE D.O.O., ALEXANDERA VON HUMBOLDTA 4B, 10000 ZAGREB, OIB: 3755384865</v>
      </c>
      <c r="H5039" s="7"/>
      <c r="I5039" s="8" t="s">
        <v>1123</v>
      </c>
      <c r="J5039" s="8" t="s">
        <v>2251</v>
      </c>
      <c r="K5039" s="6" t="str">
        <f>"4.032,00"</f>
        <v>4.032,00</v>
      </c>
      <c r="L5039" s="6" t="str">
        <f>"1.008,00"</f>
        <v>1.008,00</v>
      </c>
      <c r="M5039" s="6" t="str">
        <f>"5.040,00"</f>
        <v>5.040,00</v>
      </c>
      <c r="N5039" s="8" t="s">
        <v>124</v>
      </c>
      <c r="O5039" s="7"/>
      <c r="P5039" s="2" t="s">
        <v>5614</v>
      </c>
      <c r="Q5039" s="7"/>
      <c r="R5039" s="1"/>
      <c r="S5039" s="1" t="str">
        <f>"J-UN-2022-2169"</f>
        <v>J-UN-2022-2169</v>
      </c>
      <c r="T5039" s="1" t="s">
        <v>32</v>
      </c>
    </row>
    <row r="5040" spans="1:20" ht="63.75" x14ac:dyDescent="0.25">
      <c r="A5040" s="6">
        <v>5019</v>
      </c>
      <c r="B5040" s="1" t="str">
        <f>"2022-1289"</f>
        <v>2022-1289</v>
      </c>
      <c r="C5040" s="1" t="s">
        <v>2993</v>
      </c>
      <c r="D5040" s="1" t="s">
        <v>2994</v>
      </c>
      <c r="E5040" s="1" t="str">
        <f>""</f>
        <v/>
      </c>
      <c r="F5040" s="1" t="s">
        <v>1860</v>
      </c>
      <c r="G5040" s="1" t="str">
        <f t="shared" si="236"/>
        <v xml:space="preserve"> LANIŠTE D.O.O., ALEXANDERA VON HUMBOLDTA 4B, 10000 ZAGREB, OIB: 3755384865</v>
      </c>
      <c r="H5040" s="7"/>
      <c r="I5040" s="8" t="s">
        <v>146</v>
      </c>
      <c r="J5040" s="8" t="s">
        <v>2253</v>
      </c>
      <c r="K5040" s="6" t="str">
        <f>"3.632,00"</f>
        <v>3.632,00</v>
      </c>
      <c r="L5040" s="6" t="str">
        <f>"908,00"</f>
        <v>908,00</v>
      </c>
      <c r="M5040" s="6" t="str">
        <f>"4.540,00"</f>
        <v>4.540,00</v>
      </c>
      <c r="N5040" s="8" t="s">
        <v>124</v>
      </c>
      <c r="O5040" s="7"/>
      <c r="P5040" s="2" t="s">
        <v>5614</v>
      </c>
      <c r="Q5040" s="7"/>
      <c r="R5040" s="1"/>
      <c r="S5040" s="1" t="str">
        <f>"J-UN-2022-2170"</f>
        <v>J-UN-2022-2170</v>
      </c>
      <c r="T5040" s="1" t="s">
        <v>32</v>
      </c>
    </row>
    <row r="5041" spans="1:20" ht="63.75" x14ac:dyDescent="0.25">
      <c r="A5041" s="6">
        <v>5020</v>
      </c>
      <c r="B5041" s="1" t="str">
        <f>"2022-1291"</f>
        <v>2022-1291</v>
      </c>
      <c r="C5041" s="1" t="s">
        <v>2989</v>
      </c>
      <c r="D5041" s="1" t="s">
        <v>2990</v>
      </c>
      <c r="E5041" s="1" t="str">
        <f>""</f>
        <v/>
      </c>
      <c r="F5041" s="1" t="s">
        <v>1860</v>
      </c>
      <c r="G5041" s="1" t="str">
        <f t="shared" si="236"/>
        <v xml:space="preserve"> LANIŠTE D.O.O., ALEXANDERA VON HUMBOLDTA 4B, 10000 ZAGREB, OIB: 3755384865</v>
      </c>
      <c r="H5041" s="7"/>
      <c r="I5041" s="8" t="s">
        <v>1123</v>
      </c>
      <c r="J5041" s="8" t="s">
        <v>2251</v>
      </c>
      <c r="K5041" s="6" t="str">
        <f>"3.636,00"</f>
        <v>3.636,00</v>
      </c>
      <c r="L5041" s="6" t="str">
        <f>"909,00"</f>
        <v>909,00</v>
      </c>
      <c r="M5041" s="6" t="str">
        <f>"4.545,00"</f>
        <v>4.545,00</v>
      </c>
      <c r="N5041" s="8" t="s">
        <v>124</v>
      </c>
      <c r="O5041" s="7"/>
      <c r="P5041" s="2" t="s">
        <v>5614</v>
      </c>
      <c r="Q5041" s="7"/>
      <c r="R5041" s="1"/>
      <c r="S5041" s="1" t="str">
        <f>"J-UN-2022-2171"</f>
        <v>J-UN-2022-2171</v>
      </c>
      <c r="T5041" s="1" t="s">
        <v>32</v>
      </c>
    </row>
    <row r="5042" spans="1:20" ht="63.75" x14ac:dyDescent="0.25">
      <c r="A5042" s="6">
        <v>5021</v>
      </c>
      <c r="B5042" s="1" t="str">
        <f>"2022-1416"</f>
        <v>2022-1416</v>
      </c>
      <c r="C5042" s="1" t="s">
        <v>2991</v>
      </c>
      <c r="D5042" s="1" t="s">
        <v>2992</v>
      </c>
      <c r="E5042" s="1" t="str">
        <f>""</f>
        <v/>
      </c>
      <c r="F5042" s="1" t="s">
        <v>1860</v>
      </c>
      <c r="G5042" s="1" t="str">
        <f t="shared" si="236"/>
        <v xml:space="preserve"> LANIŠTE D.O.O., ALEXANDERA VON HUMBOLDTA 4B, 10000 ZAGREB, OIB: 3755384865</v>
      </c>
      <c r="H5042" s="7"/>
      <c r="I5042" s="8" t="s">
        <v>1123</v>
      </c>
      <c r="J5042" s="8" t="s">
        <v>2251</v>
      </c>
      <c r="K5042" s="6" t="str">
        <f>"3.636,00"</f>
        <v>3.636,00</v>
      </c>
      <c r="L5042" s="6" t="str">
        <f>"909,00"</f>
        <v>909,00</v>
      </c>
      <c r="M5042" s="6" t="str">
        <f>"4.545,00"</f>
        <v>4.545,00</v>
      </c>
      <c r="N5042" s="8" t="s">
        <v>124</v>
      </c>
      <c r="O5042" s="7"/>
      <c r="P5042" s="2" t="s">
        <v>5614</v>
      </c>
      <c r="Q5042" s="7"/>
      <c r="R5042" s="1"/>
      <c r="S5042" s="1" t="str">
        <f>"J-UN-2022-2172"</f>
        <v>J-UN-2022-2172</v>
      </c>
      <c r="T5042" s="1" t="s">
        <v>32</v>
      </c>
    </row>
    <row r="5043" spans="1:20" ht="63.75" x14ac:dyDescent="0.25">
      <c r="A5043" s="6">
        <v>5022</v>
      </c>
      <c r="B5043" s="1" t="str">
        <f>"2022-1429"</f>
        <v>2022-1429</v>
      </c>
      <c r="C5043" s="1" t="s">
        <v>2984</v>
      </c>
      <c r="D5043" s="1" t="s">
        <v>2985</v>
      </c>
      <c r="E5043" s="1" t="str">
        <f>""</f>
        <v/>
      </c>
      <c r="F5043" s="1" t="s">
        <v>1860</v>
      </c>
      <c r="G5043" s="1" t="str">
        <f t="shared" si="236"/>
        <v xml:space="preserve"> LANIŠTE D.O.O., ALEXANDERA VON HUMBOLDTA 4B, 10000 ZAGREB, OIB: 3755384865</v>
      </c>
      <c r="H5043" s="7"/>
      <c r="I5043" s="8" t="s">
        <v>1123</v>
      </c>
      <c r="J5043" s="8" t="s">
        <v>2251</v>
      </c>
      <c r="K5043" s="6" t="str">
        <f>"4.032,00"</f>
        <v>4.032,00</v>
      </c>
      <c r="L5043" s="6" t="str">
        <f>"1.008,00"</f>
        <v>1.008,00</v>
      </c>
      <c r="M5043" s="6" t="str">
        <f>"5.040,00"</f>
        <v>5.040,00</v>
      </c>
      <c r="N5043" s="8" t="s">
        <v>124</v>
      </c>
      <c r="O5043" s="7"/>
      <c r="P5043" s="2" t="s">
        <v>5614</v>
      </c>
      <c r="Q5043" s="7"/>
      <c r="R5043" s="1"/>
      <c r="S5043" s="1" t="str">
        <f>"J-UN-2022-2173"</f>
        <v>J-UN-2022-2173</v>
      </c>
      <c r="T5043" s="1" t="s">
        <v>32</v>
      </c>
    </row>
    <row r="5044" spans="1:20" ht="63.75" x14ac:dyDescent="0.25">
      <c r="A5044" s="6">
        <v>5023</v>
      </c>
      <c r="B5044" s="1" t="str">
        <f>"2022-1430"</f>
        <v>2022-1430</v>
      </c>
      <c r="C5044" s="1" t="s">
        <v>2986</v>
      </c>
      <c r="D5044" s="1" t="s">
        <v>2985</v>
      </c>
      <c r="E5044" s="1" t="str">
        <f>""</f>
        <v/>
      </c>
      <c r="F5044" s="1" t="s">
        <v>1860</v>
      </c>
      <c r="G5044" s="1" t="str">
        <f t="shared" si="236"/>
        <v xml:space="preserve"> LANIŠTE D.O.O., ALEXANDERA VON HUMBOLDTA 4B, 10000 ZAGREB, OIB: 3755384865</v>
      </c>
      <c r="H5044" s="7"/>
      <c r="I5044" s="8" t="s">
        <v>1123</v>
      </c>
      <c r="J5044" s="8" t="s">
        <v>2251</v>
      </c>
      <c r="K5044" s="6" t="str">
        <f>"4.032,00"</f>
        <v>4.032,00</v>
      </c>
      <c r="L5044" s="6" t="str">
        <f>"1.008,00"</f>
        <v>1.008,00</v>
      </c>
      <c r="M5044" s="6" t="str">
        <f>"5.040,00"</f>
        <v>5.040,00</v>
      </c>
      <c r="N5044" s="8" t="s">
        <v>124</v>
      </c>
      <c r="O5044" s="7"/>
      <c r="P5044" s="2" t="s">
        <v>5614</v>
      </c>
      <c r="Q5044" s="7"/>
      <c r="R5044" s="1"/>
      <c r="S5044" s="1" t="str">
        <f>"J-UN-2022-2174"</f>
        <v>J-UN-2022-2174</v>
      </c>
      <c r="T5044" s="1" t="s">
        <v>32</v>
      </c>
    </row>
    <row r="5045" spans="1:20" ht="63.75" x14ac:dyDescent="0.25">
      <c r="A5045" s="6">
        <v>5024</v>
      </c>
      <c r="B5045" s="1" t="str">
        <f>"2022-1321"</f>
        <v>2022-1321</v>
      </c>
      <c r="C5045" s="1" t="s">
        <v>2987</v>
      </c>
      <c r="D5045" s="1" t="s">
        <v>2988</v>
      </c>
      <c r="E5045" s="1" t="str">
        <f>""</f>
        <v/>
      </c>
      <c r="F5045" s="1" t="s">
        <v>1860</v>
      </c>
      <c r="G5045" s="1" t="str">
        <f t="shared" si="236"/>
        <v xml:space="preserve"> LANIŠTE D.O.O., ALEXANDERA VON HUMBOLDTA 4B, 10000 ZAGREB, OIB: 3755384865</v>
      </c>
      <c r="H5045" s="7"/>
      <c r="I5045" s="8" t="s">
        <v>1123</v>
      </c>
      <c r="J5045" s="8" t="s">
        <v>2251</v>
      </c>
      <c r="K5045" s="6" t="str">
        <f>"4.032,00"</f>
        <v>4.032,00</v>
      </c>
      <c r="L5045" s="6" t="str">
        <f>"1.008,00"</f>
        <v>1.008,00</v>
      </c>
      <c r="M5045" s="6" t="str">
        <f>"5.040,00"</f>
        <v>5.040,00</v>
      </c>
      <c r="N5045" s="8" t="s">
        <v>124</v>
      </c>
      <c r="O5045" s="7"/>
      <c r="P5045" s="2" t="s">
        <v>5614</v>
      </c>
      <c r="Q5045" s="7"/>
      <c r="R5045" s="1"/>
      <c r="S5045" s="1" t="str">
        <f>"J-UN-2022-2175"</f>
        <v>J-UN-2022-2175</v>
      </c>
      <c r="T5045" s="1" t="s">
        <v>32</v>
      </c>
    </row>
    <row r="5046" spans="1:20" ht="63.75" x14ac:dyDescent="0.25">
      <c r="A5046" s="6">
        <v>5025</v>
      </c>
      <c r="B5046" s="1" t="str">
        <f>"2022-1289"</f>
        <v>2022-1289</v>
      </c>
      <c r="C5046" s="1" t="s">
        <v>2993</v>
      </c>
      <c r="D5046" s="1" t="s">
        <v>2994</v>
      </c>
      <c r="E5046" s="1" t="str">
        <f>""</f>
        <v/>
      </c>
      <c r="F5046" s="1" t="s">
        <v>1860</v>
      </c>
      <c r="G5046" s="1" t="str">
        <f t="shared" si="236"/>
        <v xml:space="preserve"> LANIŠTE D.O.O., ALEXANDERA VON HUMBOLDTA 4B, 10000 ZAGREB, OIB: 3755384865</v>
      </c>
      <c r="H5046" s="7"/>
      <c r="I5046" s="8" t="s">
        <v>553</v>
      </c>
      <c r="J5046" s="8" t="s">
        <v>3278</v>
      </c>
      <c r="K5046" s="6" t="str">
        <f>"3.632,00"</f>
        <v>3.632,00</v>
      </c>
      <c r="L5046" s="6" t="str">
        <f>"908,00"</f>
        <v>908,00</v>
      </c>
      <c r="M5046" s="6" t="str">
        <f>"4.540,00"</f>
        <v>4.540,00</v>
      </c>
      <c r="N5046" s="8" t="s">
        <v>124</v>
      </c>
      <c r="O5046" s="7"/>
      <c r="P5046" s="2" t="s">
        <v>5614</v>
      </c>
      <c r="Q5046" s="7"/>
      <c r="R5046" s="1"/>
      <c r="S5046" s="1" t="str">
        <f>"J-UN-2022-2176"</f>
        <v>J-UN-2022-2176</v>
      </c>
      <c r="T5046" s="1" t="s">
        <v>32</v>
      </c>
    </row>
    <row r="5047" spans="1:20" ht="63.75" x14ac:dyDescent="0.25">
      <c r="A5047" s="6">
        <v>5026</v>
      </c>
      <c r="B5047" s="1" t="str">
        <f>"2022-1291"</f>
        <v>2022-1291</v>
      </c>
      <c r="C5047" s="1" t="s">
        <v>2989</v>
      </c>
      <c r="D5047" s="1" t="s">
        <v>2990</v>
      </c>
      <c r="E5047" s="1" t="str">
        <f>""</f>
        <v/>
      </c>
      <c r="F5047" s="1" t="s">
        <v>1860</v>
      </c>
      <c r="G5047" s="1" t="str">
        <f t="shared" si="236"/>
        <v xml:space="preserve"> LANIŠTE D.O.O., ALEXANDERA VON HUMBOLDTA 4B, 10000 ZAGREB, OIB: 3755384865</v>
      </c>
      <c r="H5047" s="7"/>
      <c r="I5047" s="8" t="s">
        <v>553</v>
      </c>
      <c r="J5047" s="8" t="s">
        <v>3278</v>
      </c>
      <c r="K5047" s="6" t="str">
        <f>"3.636,00"</f>
        <v>3.636,00</v>
      </c>
      <c r="L5047" s="6" t="str">
        <f>"909,00"</f>
        <v>909,00</v>
      </c>
      <c r="M5047" s="6" t="str">
        <f>"4.545,00"</f>
        <v>4.545,00</v>
      </c>
      <c r="N5047" s="8" t="s">
        <v>124</v>
      </c>
      <c r="O5047" s="7"/>
      <c r="P5047" s="2" t="s">
        <v>5614</v>
      </c>
      <c r="Q5047" s="7"/>
      <c r="R5047" s="1"/>
      <c r="S5047" s="1" t="str">
        <f>"J-UN-2022-2177"</f>
        <v>J-UN-2022-2177</v>
      </c>
      <c r="T5047" s="1" t="s">
        <v>32</v>
      </c>
    </row>
    <row r="5048" spans="1:20" ht="63.75" x14ac:dyDescent="0.25">
      <c r="A5048" s="6">
        <v>5027</v>
      </c>
      <c r="B5048" s="1" t="str">
        <f>"2022-1416"</f>
        <v>2022-1416</v>
      </c>
      <c r="C5048" s="1" t="s">
        <v>2991</v>
      </c>
      <c r="D5048" s="1" t="s">
        <v>2992</v>
      </c>
      <c r="E5048" s="1" t="str">
        <f>""</f>
        <v/>
      </c>
      <c r="F5048" s="1" t="s">
        <v>1860</v>
      </c>
      <c r="G5048" s="1" t="str">
        <f t="shared" si="236"/>
        <v xml:space="preserve"> LANIŠTE D.O.O., ALEXANDERA VON HUMBOLDTA 4B, 10000 ZAGREB, OIB: 3755384865</v>
      </c>
      <c r="H5048" s="7"/>
      <c r="I5048" s="8" t="s">
        <v>553</v>
      </c>
      <c r="J5048" s="8" t="s">
        <v>3278</v>
      </c>
      <c r="K5048" s="6" t="str">
        <f>"3.636,00"</f>
        <v>3.636,00</v>
      </c>
      <c r="L5048" s="6" t="str">
        <f>"909,00"</f>
        <v>909,00</v>
      </c>
      <c r="M5048" s="6" t="str">
        <f>"4.545,00"</f>
        <v>4.545,00</v>
      </c>
      <c r="N5048" s="8" t="s">
        <v>124</v>
      </c>
      <c r="O5048" s="7"/>
      <c r="P5048" s="2" t="s">
        <v>5614</v>
      </c>
      <c r="Q5048" s="7"/>
      <c r="R5048" s="1"/>
      <c r="S5048" s="1" t="str">
        <f>"J-UN-2022-2178"</f>
        <v>J-UN-2022-2178</v>
      </c>
      <c r="T5048" s="1" t="s">
        <v>32</v>
      </c>
    </row>
    <row r="5049" spans="1:20" ht="63.75" x14ac:dyDescent="0.25">
      <c r="A5049" s="6">
        <v>5028</v>
      </c>
      <c r="B5049" s="1" t="str">
        <f>"2022-1429"</f>
        <v>2022-1429</v>
      </c>
      <c r="C5049" s="1" t="s">
        <v>2984</v>
      </c>
      <c r="D5049" s="1" t="s">
        <v>2985</v>
      </c>
      <c r="E5049" s="1" t="str">
        <f>""</f>
        <v/>
      </c>
      <c r="F5049" s="1" t="s">
        <v>1860</v>
      </c>
      <c r="G5049" s="1" t="str">
        <f t="shared" si="236"/>
        <v xml:space="preserve"> LANIŠTE D.O.O., ALEXANDERA VON HUMBOLDTA 4B, 10000 ZAGREB, OIB: 3755384865</v>
      </c>
      <c r="H5049" s="7"/>
      <c r="I5049" s="8" t="s">
        <v>553</v>
      </c>
      <c r="J5049" s="8" t="s">
        <v>3278</v>
      </c>
      <c r="K5049" s="6" t="str">
        <f>"4.032,00"</f>
        <v>4.032,00</v>
      </c>
      <c r="L5049" s="6" t="str">
        <f>"1.008,00"</f>
        <v>1.008,00</v>
      </c>
      <c r="M5049" s="6" t="str">
        <f>"5.040,00"</f>
        <v>5.040,00</v>
      </c>
      <c r="N5049" s="8" t="s">
        <v>124</v>
      </c>
      <c r="O5049" s="7"/>
      <c r="P5049" s="2" t="s">
        <v>5614</v>
      </c>
      <c r="Q5049" s="7"/>
      <c r="R5049" s="1"/>
      <c r="S5049" s="1" t="str">
        <f>"J-UN-2022-2179"</f>
        <v>J-UN-2022-2179</v>
      </c>
      <c r="T5049" s="1" t="s">
        <v>32</v>
      </c>
    </row>
    <row r="5050" spans="1:20" ht="63.75" x14ac:dyDescent="0.25">
      <c r="A5050" s="6">
        <v>5029</v>
      </c>
      <c r="B5050" s="1" t="str">
        <f>"2022-1430"</f>
        <v>2022-1430</v>
      </c>
      <c r="C5050" s="1" t="s">
        <v>2986</v>
      </c>
      <c r="D5050" s="1" t="s">
        <v>2985</v>
      </c>
      <c r="E5050" s="1" t="str">
        <f>""</f>
        <v/>
      </c>
      <c r="F5050" s="1" t="s">
        <v>1860</v>
      </c>
      <c r="G5050" s="1" t="str">
        <f t="shared" si="236"/>
        <v xml:space="preserve"> LANIŠTE D.O.O., ALEXANDERA VON HUMBOLDTA 4B, 10000 ZAGREB, OIB: 3755384865</v>
      </c>
      <c r="H5050" s="7"/>
      <c r="I5050" s="8" t="s">
        <v>553</v>
      </c>
      <c r="J5050" s="8" t="s">
        <v>3278</v>
      </c>
      <c r="K5050" s="6" t="str">
        <f>"4.032,00"</f>
        <v>4.032,00</v>
      </c>
      <c r="L5050" s="6" t="str">
        <f>"1.008,00"</f>
        <v>1.008,00</v>
      </c>
      <c r="M5050" s="6" t="str">
        <f>"5.040,00"</f>
        <v>5.040,00</v>
      </c>
      <c r="N5050" s="8" t="s">
        <v>124</v>
      </c>
      <c r="O5050" s="7"/>
      <c r="P5050" s="2" t="s">
        <v>5614</v>
      </c>
      <c r="Q5050" s="7"/>
      <c r="R5050" s="1"/>
      <c r="S5050" s="1" t="str">
        <f>"J-UN-2022-2180"</f>
        <v>J-UN-2022-2180</v>
      </c>
      <c r="T5050" s="1" t="s">
        <v>32</v>
      </c>
    </row>
    <row r="5051" spans="1:20" ht="63.75" x14ac:dyDescent="0.25">
      <c r="A5051" s="6">
        <v>5030</v>
      </c>
      <c r="B5051" s="1" t="str">
        <f>"2022-1321"</f>
        <v>2022-1321</v>
      </c>
      <c r="C5051" s="1" t="s">
        <v>2987</v>
      </c>
      <c r="D5051" s="1" t="s">
        <v>2988</v>
      </c>
      <c r="E5051" s="1" t="str">
        <f>""</f>
        <v/>
      </c>
      <c r="F5051" s="1" t="s">
        <v>1860</v>
      </c>
      <c r="G5051" s="1" t="str">
        <f t="shared" si="236"/>
        <v xml:space="preserve"> LANIŠTE D.O.O., ALEXANDERA VON HUMBOLDTA 4B, 10000 ZAGREB, OIB: 3755384865</v>
      </c>
      <c r="H5051" s="7"/>
      <c r="I5051" s="8" t="s">
        <v>553</v>
      </c>
      <c r="J5051" s="8" t="s">
        <v>3278</v>
      </c>
      <c r="K5051" s="6" t="str">
        <f>"4.032,00"</f>
        <v>4.032,00</v>
      </c>
      <c r="L5051" s="6" t="str">
        <f>"1.008,00"</f>
        <v>1.008,00</v>
      </c>
      <c r="M5051" s="6" t="str">
        <f>"5.040,00"</f>
        <v>5.040,00</v>
      </c>
      <c r="N5051" s="8" t="s">
        <v>124</v>
      </c>
      <c r="O5051" s="7"/>
      <c r="P5051" s="2" t="s">
        <v>5614</v>
      </c>
      <c r="Q5051" s="7"/>
      <c r="R5051" s="1"/>
      <c r="S5051" s="1" t="str">
        <f>"J-UN-2022-2181"</f>
        <v>J-UN-2022-2181</v>
      </c>
      <c r="T5051" s="1" t="s">
        <v>32</v>
      </c>
    </row>
    <row r="5052" spans="1:20" ht="63.75" x14ac:dyDescent="0.25">
      <c r="A5052" s="6">
        <v>5031</v>
      </c>
      <c r="B5052" s="1" t="str">
        <f>"2022-1289"</f>
        <v>2022-1289</v>
      </c>
      <c r="C5052" s="1" t="s">
        <v>2993</v>
      </c>
      <c r="D5052" s="1" t="s">
        <v>2994</v>
      </c>
      <c r="E5052" s="1" t="str">
        <f>""</f>
        <v/>
      </c>
      <c r="F5052" s="1" t="s">
        <v>1860</v>
      </c>
      <c r="G5052" s="1" t="str">
        <f t="shared" si="236"/>
        <v xml:space="preserve"> LANIŠTE D.O.O., ALEXANDERA VON HUMBOLDTA 4B, 10000 ZAGREB, OIB: 3755384865</v>
      </c>
      <c r="H5052" s="7"/>
      <c r="I5052" s="8" t="s">
        <v>1147</v>
      </c>
      <c r="J5052" s="8" t="s">
        <v>2353</v>
      </c>
      <c r="K5052" s="6" t="str">
        <f>"3.632,00"</f>
        <v>3.632,00</v>
      </c>
      <c r="L5052" s="6" t="str">
        <f>"908,00"</f>
        <v>908,00</v>
      </c>
      <c r="M5052" s="6" t="str">
        <f>"4.540,00"</f>
        <v>4.540,00</v>
      </c>
      <c r="N5052" s="8" t="s">
        <v>124</v>
      </c>
      <c r="O5052" s="7"/>
      <c r="P5052" s="2" t="s">
        <v>5614</v>
      </c>
      <c r="Q5052" s="7"/>
      <c r="R5052" s="1"/>
      <c r="S5052" s="1" t="str">
        <f>"J-UN-2022-2182"</f>
        <v>J-UN-2022-2182</v>
      </c>
      <c r="T5052" s="1" t="s">
        <v>32</v>
      </c>
    </row>
    <row r="5053" spans="1:20" ht="63.75" x14ac:dyDescent="0.25">
      <c r="A5053" s="6">
        <v>5032</v>
      </c>
      <c r="B5053" s="1" t="str">
        <f>"2022-1291"</f>
        <v>2022-1291</v>
      </c>
      <c r="C5053" s="1" t="s">
        <v>2989</v>
      </c>
      <c r="D5053" s="1" t="s">
        <v>2990</v>
      </c>
      <c r="E5053" s="1" t="str">
        <f>""</f>
        <v/>
      </c>
      <c r="F5053" s="1" t="s">
        <v>1860</v>
      </c>
      <c r="G5053" s="1" t="str">
        <f t="shared" si="236"/>
        <v xml:space="preserve"> LANIŠTE D.O.O., ALEXANDERA VON HUMBOLDTA 4B, 10000 ZAGREB, OIB: 3755384865</v>
      </c>
      <c r="H5053" s="7"/>
      <c r="I5053" s="8" t="s">
        <v>1147</v>
      </c>
      <c r="J5053" s="8" t="s">
        <v>2353</v>
      </c>
      <c r="K5053" s="6" t="str">
        <f>"3.636,00"</f>
        <v>3.636,00</v>
      </c>
      <c r="L5053" s="6" t="str">
        <f>"909,00"</f>
        <v>909,00</v>
      </c>
      <c r="M5053" s="6" t="str">
        <f>"4.545,00"</f>
        <v>4.545,00</v>
      </c>
      <c r="N5053" s="8" t="s">
        <v>124</v>
      </c>
      <c r="O5053" s="7"/>
      <c r="P5053" s="2" t="s">
        <v>5614</v>
      </c>
      <c r="Q5053" s="7"/>
      <c r="R5053" s="1"/>
      <c r="S5053" s="1" t="str">
        <f>"J-UN-2022-2183"</f>
        <v>J-UN-2022-2183</v>
      </c>
      <c r="T5053" s="1" t="s">
        <v>32</v>
      </c>
    </row>
    <row r="5054" spans="1:20" ht="76.5" x14ac:dyDescent="0.25">
      <c r="A5054" s="6">
        <v>5033</v>
      </c>
      <c r="B5054" s="1" t="str">
        <f>"2022-383"</f>
        <v>2022-383</v>
      </c>
      <c r="C5054" s="1" t="s">
        <v>3282</v>
      </c>
      <c r="D5054" s="1" t="s">
        <v>2701</v>
      </c>
      <c r="E5054" s="1" t="str">
        <f>""</f>
        <v/>
      </c>
      <c r="F5054" s="1" t="s">
        <v>1860</v>
      </c>
      <c r="G5054" s="1" t="str">
        <f>CONCATENATE(" SMIT-COMMERCE D.O.O.,"," GORNJOSTUPNIČKA 9B,"," 10255 GORNJI STUPNIK,"," OIB: 9524348214")</f>
        <v xml:space="preserve"> SMIT-COMMERCE D.O.O., GORNJOSTUPNIČKA 9B, 10255 GORNJI STUPNIK, OIB: 9524348214</v>
      </c>
      <c r="H5054" s="7"/>
      <c r="I5054" s="8" t="s">
        <v>489</v>
      </c>
      <c r="J5054" s="8" t="s">
        <v>1541</v>
      </c>
      <c r="K5054" s="6" t="str">
        <f>"1.953,20"</f>
        <v>1.953,20</v>
      </c>
      <c r="L5054" s="6" t="str">
        <f>"488,30"</f>
        <v>488,30</v>
      </c>
      <c r="M5054" s="6" t="str">
        <f>"2.441,50"</f>
        <v>2.441,50</v>
      </c>
      <c r="N5054" s="8" t="s">
        <v>124</v>
      </c>
      <c r="O5054" s="7"/>
      <c r="P5054" s="2" t="s">
        <v>5614</v>
      </c>
      <c r="Q5054" s="7"/>
      <c r="R5054" s="1"/>
      <c r="S5054" s="1" t="str">
        <f>"J-UN-2022-2184"</f>
        <v>J-UN-2022-2184</v>
      </c>
      <c r="T5054" s="1" t="s">
        <v>32</v>
      </c>
    </row>
    <row r="5055" spans="1:20" ht="63.75" x14ac:dyDescent="0.25">
      <c r="A5055" s="6">
        <v>5034</v>
      </c>
      <c r="B5055" s="1" t="str">
        <f>"2022-100"</f>
        <v>2022-100</v>
      </c>
      <c r="C5055" s="1" t="s">
        <v>2628</v>
      </c>
      <c r="D5055" s="1" t="s">
        <v>2010</v>
      </c>
      <c r="E5055" s="1" t="str">
        <f>""</f>
        <v/>
      </c>
      <c r="F5055" s="1" t="s">
        <v>1860</v>
      </c>
      <c r="G5055" s="1" t="str">
        <f>CONCATENATE(" INFRATEST ADRIA D.O.O.,"," BALOKOVIĆEVA 29,"," 10020 ZAGREB-NOVI ZAGREB,"," OIB: 95203221549")</f>
        <v xml:space="preserve"> INFRATEST ADRIA D.O.O., BALOKOVIĆEVA 29, 10020 ZAGREB-NOVI ZAGREB, OIB: 95203221549</v>
      </c>
      <c r="H5055" s="7"/>
      <c r="I5055" s="8" t="s">
        <v>383</v>
      </c>
      <c r="J5055" s="8" t="s">
        <v>1547</v>
      </c>
      <c r="K5055" s="6" t="str">
        <f>"9.907,43"</f>
        <v>9.907,43</v>
      </c>
      <c r="L5055" s="6" t="str">
        <f>"2.476,86"</f>
        <v>2.476,86</v>
      </c>
      <c r="M5055" s="6" t="str">
        <f>"12.384,29"</f>
        <v>12.384,29</v>
      </c>
      <c r="N5055" s="8" t="s">
        <v>124</v>
      </c>
      <c r="O5055" s="7"/>
      <c r="P5055" s="2" t="s">
        <v>5614</v>
      </c>
      <c r="Q5055" s="7"/>
      <c r="R5055" s="1"/>
      <c r="S5055" s="1" t="str">
        <f>"J-UN-2022-2185"</f>
        <v>J-UN-2022-2185</v>
      </c>
      <c r="T5055" s="1" t="s">
        <v>32</v>
      </c>
    </row>
    <row r="5056" spans="1:20" ht="51" x14ac:dyDescent="0.25">
      <c r="A5056" s="6">
        <v>5035</v>
      </c>
      <c r="B5056" s="1" t="str">
        <f>"2022-1986"</f>
        <v>2022-1986</v>
      </c>
      <c r="C5056" s="1" t="s">
        <v>3221</v>
      </c>
      <c r="D5056" s="1" t="s">
        <v>1304</v>
      </c>
      <c r="E5056" s="1" t="str">
        <f>""</f>
        <v/>
      </c>
      <c r="F5056" s="1" t="s">
        <v>1860</v>
      </c>
      <c r="G5056" s="1" t="str">
        <f>CONCATENATE(" VODOSKOK D.D.,"," ČULINEČKA CESTA 221/C,"," 10040 ZAGREB,"," OIB: 34134218058")</f>
        <v xml:space="preserve"> VODOSKOK D.D., ČULINEČKA CESTA 221/C, 10040 ZAGREB, OIB: 34134218058</v>
      </c>
      <c r="H5056" s="7"/>
      <c r="I5056" s="8" t="s">
        <v>489</v>
      </c>
      <c r="J5056" s="8" t="s">
        <v>1541</v>
      </c>
      <c r="K5056" s="6" t="str">
        <f>"1.224,00"</f>
        <v>1.224,00</v>
      </c>
      <c r="L5056" s="6" t="str">
        <f>"306,00"</f>
        <v>306,00</v>
      </c>
      <c r="M5056" s="6" t="str">
        <f>"1.530,00"</f>
        <v>1.530,00</v>
      </c>
      <c r="N5056" s="8" t="s">
        <v>124</v>
      </c>
      <c r="O5056" s="7"/>
      <c r="P5056" s="2" t="s">
        <v>5614</v>
      </c>
      <c r="Q5056" s="7"/>
      <c r="R5056" s="1"/>
      <c r="S5056" s="1" t="str">
        <f>"J-UN-2022-2186"</f>
        <v>J-UN-2022-2186</v>
      </c>
      <c r="T5056" s="1" t="s">
        <v>32</v>
      </c>
    </row>
    <row r="5057" spans="1:20" ht="63.75" x14ac:dyDescent="0.25">
      <c r="A5057" s="6">
        <v>5036</v>
      </c>
      <c r="B5057" s="1" t="str">
        <f>"2022-369"</f>
        <v>2022-369</v>
      </c>
      <c r="C5057" s="1" t="s">
        <v>2930</v>
      </c>
      <c r="D5057" s="1" t="s">
        <v>1334</v>
      </c>
      <c r="E5057" s="1" t="str">
        <f>""</f>
        <v/>
      </c>
      <c r="F5057" s="1" t="s">
        <v>1860</v>
      </c>
      <c r="G5057" s="1" t="str">
        <f>CONCATENATE(" SUMAMETRIK D.O.O.,"," ULICA ANTUNA KANIŽLIĆA 10,"," 34000 POŽEGA,"," OIB: 23559088148")</f>
        <v xml:space="preserve"> SUMAMETRIK D.O.O., ULICA ANTUNA KANIŽLIĆA 10, 34000 POŽEGA, OIB: 23559088148</v>
      </c>
      <c r="H5057" s="7"/>
      <c r="I5057" s="8" t="s">
        <v>384</v>
      </c>
      <c r="J5057" s="8" t="s">
        <v>3281</v>
      </c>
      <c r="K5057" s="6" t="str">
        <f>"5.840,00"</f>
        <v>5.840,00</v>
      </c>
      <c r="L5057" s="6" t="str">
        <f>"1.460,00"</f>
        <v>1.460,00</v>
      </c>
      <c r="M5057" s="6" t="str">
        <f>"7.300,00"</f>
        <v>7.300,00</v>
      </c>
      <c r="N5057" s="8" t="s">
        <v>124</v>
      </c>
      <c r="O5057" s="7"/>
      <c r="P5057" s="2" t="s">
        <v>5614</v>
      </c>
      <c r="Q5057" s="7"/>
      <c r="R5057" s="1"/>
      <c r="S5057" s="1" t="str">
        <f>"J-UN-2022-2187"</f>
        <v>J-UN-2022-2187</v>
      </c>
      <c r="T5057" s="1" t="s">
        <v>32</v>
      </c>
    </row>
    <row r="5058" spans="1:20" ht="76.5" x14ac:dyDescent="0.25">
      <c r="A5058" s="6">
        <v>5037</v>
      </c>
      <c r="B5058" s="1" t="str">
        <f>"2022-348"</f>
        <v>2022-348</v>
      </c>
      <c r="C5058" s="1" t="s">
        <v>2616</v>
      </c>
      <c r="D5058" s="1" t="s">
        <v>2617</v>
      </c>
      <c r="E5058" s="1" t="str">
        <f>""</f>
        <v/>
      </c>
      <c r="F5058" s="1" t="s">
        <v>1860</v>
      </c>
      <c r="G5058" s="1" t="str">
        <f>CONCATENATE(" SMIT-COMMERCE D.O.O.,"," GORNJOSTUPNIČKA 9B,"," 10255 GORNJI STUPNIK,"," OIB: 9524348214")</f>
        <v xml:space="preserve"> SMIT-COMMERCE D.O.O., GORNJOSTUPNIČKA 9B, 10255 GORNJI STUPNIK, OIB: 9524348214</v>
      </c>
      <c r="H5058" s="7"/>
      <c r="I5058" s="8" t="s">
        <v>489</v>
      </c>
      <c r="J5058" s="8" t="s">
        <v>1541</v>
      </c>
      <c r="K5058" s="6" t="str">
        <f>"881,30"</f>
        <v>881,30</v>
      </c>
      <c r="L5058" s="6" t="str">
        <f>"220,33"</f>
        <v>220,33</v>
      </c>
      <c r="M5058" s="6" t="str">
        <f>"1.101,63"</f>
        <v>1.101,63</v>
      </c>
      <c r="N5058" s="8" t="s">
        <v>124</v>
      </c>
      <c r="O5058" s="7"/>
      <c r="P5058" s="2" t="s">
        <v>5614</v>
      </c>
      <c r="Q5058" s="7"/>
      <c r="R5058" s="1"/>
      <c r="S5058" s="1" t="str">
        <f>"J-UN-2022-2189"</f>
        <v>J-UN-2022-2189</v>
      </c>
      <c r="T5058" s="1" t="s">
        <v>32</v>
      </c>
    </row>
    <row r="5059" spans="1:20" ht="63.75" x14ac:dyDescent="0.25">
      <c r="A5059" s="6">
        <v>5038</v>
      </c>
      <c r="B5059" s="1" t="str">
        <f>"2022-1975"</f>
        <v>2022-1975</v>
      </c>
      <c r="C5059" s="1" t="s">
        <v>3251</v>
      </c>
      <c r="D5059" s="1" t="s">
        <v>766</v>
      </c>
      <c r="E5059" s="1" t="str">
        <f>""</f>
        <v/>
      </c>
      <c r="F5059" s="1" t="s">
        <v>1860</v>
      </c>
      <c r="G5059" s="1" t="str">
        <f>CONCATENATE(" TOKIĆ D.O.O.,"," ULICA 144. BRIGADE HRVATSKE VOJSKE 1A,"," 10360 SESVETE,"," OIB: 7486748762")</f>
        <v xml:space="preserve"> TOKIĆ D.O.O., ULICA 144. BRIGADE HRVATSKE VOJSKE 1A, 10360 SESVETE, OIB: 7486748762</v>
      </c>
      <c r="H5059" s="7"/>
      <c r="I5059" s="8" t="s">
        <v>383</v>
      </c>
      <c r="J5059" s="8" t="s">
        <v>1547</v>
      </c>
      <c r="K5059" s="6" t="str">
        <f>"17.220,00"</f>
        <v>17.220,00</v>
      </c>
      <c r="L5059" s="6" t="str">
        <f>"4.305,00"</f>
        <v>4.305,00</v>
      </c>
      <c r="M5059" s="6" t="str">
        <f>"21.525,00"</f>
        <v>21.525,00</v>
      </c>
      <c r="N5059" s="8" t="s">
        <v>124</v>
      </c>
      <c r="O5059" s="7"/>
      <c r="P5059" s="2" t="s">
        <v>5614</v>
      </c>
      <c r="Q5059" s="7"/>
      <c r="R5059" s="1"/>
      <c r="S5059" s="1" t="str">
        <f>"J-UN-2022-2190"</f>
        <v>J-UN-2022-2190</v>
      </c>
      <c r="T5059" s="1" t="s">
        <v>32</v>
      </c>
    </row>
    <row r="5060" spans="1:20" ht="51" x14ac:dyDescent="0.25">
      <c r="A5060" s="6">
        <v>5039</v>
      </c>
      <c r="B5060" s="1" t="str">
        <f>"2022-734"</f>
        <v>2022-734</v>
      </c>
      <c r="C5060" s="1" t="s">
        <v>2707</v>
      </c>
      <c r="D5060" s="1" t="s">
        <v>2708</v>
      </c>
      <c r="E5060" s="1" t="str">
        <f>""</f>
        <v/>
      </c>
      <c r="F5060" s="1" t="s">
        <v>1860</v>
      </c>
      <c r="G5060" s="1" t="str">
        <f>CONCATENATE(" TED D.O.O.,"," VRHOVČEV VIJENAC 84,"," 10000 ZAGREB,"," OIB: 22740118957")</f>
        <v xml:space="preserve"> TED D.O.O., VRHOVČEV VIJENAC 84, 10000 ZAGREB, OIB: 22740118957</v>
      </c>
      <c r="H5060" s="7"/>
      <c r="I5060" s="8" t="s">
        <v>384</v>
      </c>
      <c r="J5060" s="8" t="s">
        <v>3281</v>
      </c>
      <c r="K5060" s="6" t="str">
        <f>"4.904,00"</f>
        <v>4.904,00</v>
      </c>
      <c r="L5060" s="6" t="str">
        <f>"1.226,00"</f>
        <v>1.226,00</v>
      </c>
      <c r="M5060" s="6" t="str">
        <f>"6.130,00"</f>
        <v>6.130,00</v>
      </c>
      <c r="N5060" s="8" t="s">
        <v>124</v>
      </c>
      <c r="O5060" s="7"/>
      <c r="P5060" s="2" t="s">
        <v>5614</v>
      </c>
      <c r="Q5060" s="7"/>
      <c r="R5060" s="1"/>
      <c r="S5060" s="1" t="str">
        <f>"J-UN-2022-2191"</f>
        <v>J-UN-2022-2191</v>
      </c>
      <c r="T5060" s="1" t="s">
        <v>32</v>
      </c>
    </row>
    <row r="5061" spans="1:20" ht="63.75" x14ac:dyDescent="0.25">
      <c r="A5061" s="6">
        <v>5040</v>
      </c>
      <c r="B5061" s="1" t="str">
        <f>"2022-207"</f>
        <v>2022-207</v>
      </c>
      <c r="C5061" s="1" t="s">
        <v>2734</v>
      </c>
      <c r="D5061" s="1" t="s">
        <v>2735</v>
      </c>
      <c r="E5061" s="1" t="str">
        <f>""</f>
        <v/>
      </c>
      <c r="F5061" s="1" t="s">
        <v>1860</v>
      </c>
      <c r="G5061" s="1" t="str">
        <f>CONCATENATE(" KEMOBOJA-DUBRAVA D.O.O.,"," AVENIJA DUBRAVA 37,"," 10000 ZAGREB,"," OIB: 6402157427")</f>
        <v xml:space="preserve"> KEMOBOJA-DUBRAVA D.O.O., AVENIJA DUBRAVA 37, 10000 ZAGREB, OIB: 6402157427</v>
      </c>
      <c r="H5061" s="7"/>
      <c r="I5061" s="8" t="s">
        <v>489</v>
      </c>
      <c r="J5061" s="8" t="s">
        <v>1541</v>
      </c>
      <c r="K5061" s="6" t="str">
        <f>"392,00"</f>
        <v>392,00</v>
      </c>
      <c r="L5061" s="6" t="str">
        <f>"98,00"</f>
        <v>98,00</v>
      </c>
      <c r="M5061" s="6" t="str">
        <f>"490,00"</f>
        <v>490,00</v>
      </c>
      <c r="N5061" s="8" t="s">
        <v>124</v>
      </c>
      <c r="O5061" s="7"/>
      <c r="P5061" s="2" t="s">
        <v>5614</v>
      </c>
      <c r="Q5061" s="7"/>
      <c r="R5061" s="1"/>
      <c r="S5061" s="1" t="str">
        <f>"J-UN-2022-2192"</f>
        <v>J-UN-2022-2192</v>
      </c>
      <c r="T5061" s="1" t="s">
        <v>32</v>
      </c>
    </row>
    <row r="5062" spans="1:20" ht="63.75" x14ac:dyDescent="0.25">
      <c r="A5062" s="6">
        <v>5041</v>
      </c>
      <c r="B5062" s="1" t="str">
        <f>"2022-1973"</f>
        <v>2022-1973</v>
      </c>
      <c r="C5062" s="1" t="s">
        <v>3217</v>
      </c>
      <c r="D5062" s="1" t="s">
        <v>1039</v>
      </c>
      <c r="E5062" s="1" t="str">
        <f>""</f>
        <v/>
      </c>
      <c r="F5062" s="1" t="s">
        <v>1860</v>
      </c>
      <c r="G5062" s="1" t="str">
        <f>CONCATENATE(" EM TEHNOLOGIJA D.O.O.,"," BANA JOSIPA JELAČIĆA 69,"," 31550 VALPOVO,"," OIB: 92280374275")</f>
        <v xml:space="preserve"> EM TEHNOLOGIJA D.O.O., BANA JOSIPA JELAČIĆA 69, 31550 VALPOVO, OIB: 92280374275</v>
      </c>
      <c r="H5062" s="7"/>
      <c r="I5062" s="8" t="s">
        <v>384</v>
      </c>
      <c r="J5062" s="8" t="s">
        <v>3281</v>
      </c>
      <c r="K5062" s="6" t="str">
        <f>"38.400,00"</f>
        <v>38.400,00</v>
      </c>
      <c r="L5062" s="6" t="str">
        <f>"9.600,00"</f>
        <v>9.600,00</v>
      </c>
      <c r="M5062" s="6" t="str">
        <f>"48.000,00"</f>
        <v>48.000,00</v>
      </c>
      <c r="N5062" s="8" t="s">
        <v>124</v>
      </c>
      <c r="O5062" s="7"/>
      <c r="P5062" s="2" t="s">
        <v>5614</v>
      </c>
      <c r="Q5062" s="7"/>
      <c r="R5062" s="1"/>
      <c r="S5062" s="1" t="str">
        <f>"J-UN-2022-2193"</f>
        <v>J-UN-2022-2193</v>
      </c>
      <c r="T5062" s="1" t="s">
        <v>32</v>
      </c>
    </row>
    <row r="5063" spans="1:20" ht="51" x14ac:dyDescent="0.25">
      <c r="A5063" s="6">
        <v>5042</v>
      </c>
      <c r="B5063" s="1" t="str">
        <f>"2022-413"</f>
        <v>2022-413</v>
      </c>
      <c r="C5063" s="1" t="s">
        <v>2773</v>
      </c>
      <c r="D5063" s="1" t="s">
        <v>2774</v>
      </c>
      <c r="E5063" s="1" t="str">
        <f>""</f>
        <v/>
      </c>
      <c r="F5063" s="1" t="s">
        <v>1860</v>
      </c>
      <c r="G5063" s="1" t="str">
        <f>CONCATENATE(" VODOSKOK D.D.,"," ČULINEČKA CESTA 221/C,"," 10040 ZAGREB,"," OIB: 34134218058")</f>
        <v xml:space="preserve"> VODOSKOK D.D., ČULINEČKA CESTA 221/C, 10040 ZAGREB, OIB: 34134218058</v>
      </c>
      <c r="H5063" s="7"/>
      <c r="I5063" s="8" t="s">
        <v>384</v>
      </c>
      <c r="J5063" s="8" t="s">
        <v>3281</v>
      </c>
      <c r="K5063" s="6" t="str">
        <f>"1.190,00"</f>
        <v>1.190,00</v>
      </c>
      <c r="L5063" s="6" t="str">
        <f>"297,50"</f>
        <v>297,50</v>
      </c>
      <c r="M5063" s="6" t="str">
        <f>"1.487,50"</f>
        <v>1.487,50</v>
      </c>
      <c r="N5063" s="8" t="s">
        <v>146</v>
      </c>
      <c r="O5063" s="7"/>
      <c r="P5063" s="2" t="s">
        <v>5645</v>
      </c>
      <c r="Q5063" s="7"/>
      <c r="R5063" s="1"/>
      <c r="S5063" s="1" t="str">
        <f>"J-UN-2022-2194"</f>
        <v>J-UN-2022-2194</v>
      </c>
      <c r="T5063" s="1" t="s">
        <v>32</v>
      </c>
    </row>
    <row r="5064" spans="1:20" ht="51" x14ac:dyDescent="0.25">
      <c r="A5064" s="6">
        <v>5043</v>
      </c>
      <c r="B5064" s="1" t="str">
        <f>"2022-755"</f>
        <v>2022-755</v>
      </c>
      <c r="C5064" s="1" t="s">
        <v>2615</v>
      </c>
      <c r="D5064" s="1" t="s">
        <v>999</v>
      </c>
      <c r="E5064" s="1" t="str">
        <f>""</f>
        <v/>
      </c>
      <c r="F5064" s="1" t="s">
        <v>1860</v>
      </c>
      <c r="G5064" s="1" t="str">
        <f>CONCATENATE(" INSAKO D.O.O.,"," PUŽEVA 11,"," 10000 ZAGREB,"," OIB: 39851720584")</f>
        <v xml:space="preserve"> INSAKO D.O.O., PUŽEVA 11, 10000 ZAGREB, OIB: 39851720584</v>
      </c>
      <c r="H5064" s="7"/>
      <c r="I5064" s="8" t="s">
        <v>384</v>
      </c>
      <c r="J5064" s="8" t="s">
        <v>3281</v>
      </c>
      <c r="K5064" s="6" t="str">
        <f>"1.500,00"</f>
        <v>1.500,00</v>
      </c>
      <c r="L5064" s="6" t="str">
        <f>"375,00"</f>
        <v>375,00</v>
      </c>
      <c r="M5064" s="6" t="str">
        <f>"1.875,00"</f>
        <v>1.875,00</v>
      </c>
      <c r="N5064" s="8" t="s">
        <v>146</v>
      </c>
      <c r="O5064" s="7"/>
      <c r="P5064" s="2" t="s">
        <v>6378</v>
      </c>
      <c r="Q5064" s="7"/>
      <c r="R5064" s="1"/>
      <c r="S5064" s="1" t="str">
        <f>"J-UN-2022-2195"</f>
        <v>J-UN-2022-2195</v>
      </c>
      <c r="T5064" s="1" t="s">
        <v>32</v>
      </c>
    </row>
    <row r="5065" spans="1:20" ht="51" x14ac:dyDescent="0.25">
      <c r="A5065" s="6">
        <v>5044</v>
      </c>
      <c r="B5065" s="1" t="str">
        <f>"2022-894"</f>
        <v>2022-894</v>
      </c>
      <c r="C5065" s="1" t="s">
        <v>2863</v>
      </c>
      <c r="D5065" s="1" t="s">
        <v>1209</v>
      </c>
      <c r="E5065" s="1" t="str">
        <f>""</f>
        <v/>
      </c>
      <c r="F5065" s="1" t="s">
        <v>1860</v>
      </c>
      <c r="G5065" s="1" t="str">
        <f>CONCATENATE(" LABORING D.O.O.,"," VIRJANSKA 22,"," 10000 ZAGREB,"," OIB: 24467257339")</f>
        <v xml:space="preserve"> LABORING D.O.O., VIRJANSKA 22, 10000 ZAGREB, OIB: 24467257339</v>
      </c>
      <c r="H5065" s="7"/>
      <c r="I5065" s="8" t="s">
        <v>1123</v>
      </c>
      <c r="J5065" s="8" t="s">
        <v>2251</v>
      </c>
      <c r="K5065" s="6" t="str">
        <f>"3.980,00"</f>
        <v>3.980,00</v>
      </c>
      <c r="L5065" s="6" t="str">
        <f>"995,00"</f>
        <v>995,00</v>
      </c>
      <c r="M5065" s="6" t="str">
        <f>"4.975,00"</f>
        <v>4.975,00</v>
      </c>
      <c r="N5065" s="8" t="s">
        <v>124</v>
      </c>
      <c r="O5065" s="7"/>
      <c r="P5065" s="2" t="s">
        <v>5614</v>
      </c>
      <c r="Q5065" s="7"/>
      <c r="R5065" s="1"/>
      <c r="S5065" s="1" t="str">
        <f>"J-UN-2022-2197"</f>
        <v>J-UN-2022-2197</v>
      </c>
      <c r="T5065" s="1" t="s">
        <v>32</v>
      </c>
    </row>
    <row r="5066" spans="1:20" ht="51" x14ac:dyDescent="0.25">
      <c r="A5066" s="6">
        <v>5045</v>
      </c>
      <c r="B5066" s="1" t="str">
        <f>"2022-828"</f>
        <v>2022-828</v>
      </c>
      <c r="C5066" s="1" t="s">
        <v>2720</v>
      </c>
      <c r="D5066" s="1" t="s">
        <v>21</v>
      </c>
      <c r="E5066" s="1" t="str">
        <f>""</f>
        <v/>
      </c>
      <c r="F5066" s="1" t="s">
        <v>1860</v>
      </c>
      <c r="G5066" s="1" t="str">
        <f>CONCATENATE(" STAR IMPORT D.O.O.,"," KOVINSKA 5,"," 10090 ZAGREB-SUSEDGRAD,"," OIB: 783122799")</f>
        <v xml:space="preserve"> STAR IMPORT D.O.O., KOVINSKA 5, 10090 ZAGREB-SUSEDGRAD, OIB: 783122799</v>
      </c>
      <c r="H5066" s="7"/>
      <c r="I5066" s="8" t="s">
        <v>1147</v>
      </c>
      <c r="J5066" s="8" t="s">
        <v>2353</v>
      </c>
      <c r="K5066" s="6" t="str">
        <f>"17.233,38"</f>
        <v>17.233,38</v>
      </c>
      <c r="L5066" s="6" t="str">
        <f>"4.308,35"</f>
        <v>4.308,35</v>
      </c>
      <c r="M5066" s="6" t="str">
        <f>"21.541,73"</f>
        <v>21.541,73</v>
      </c>
      <c r="N5066" s="8" t="s">
        <v>124</v>
      </c>
      <c r="O5066" s="7"/>
      <c r="P5066" s="2" t="s">
        <v>5614</v>
      </c>
      <c r="Q5066" s="7"/>
      <c r="R5066" s="1"/>
      <c r="S5066" s="1" t="str">
        <f>"J-UN-2022-2198"</f>
        <v>J-UN-2022-2198</v>
      </c>
      <c r="T5066" s="1" t="s">
        <v>32</v>
      </c>
    </row>
    <row r="5067" spans="1:20" ht="63.75" x14ac:dyDescent="0.25">
      <c r="A5067" s="6">
        <v>5046</v>
      </c>
      <c r="B5067" s="1" t="str">
        <f>"2022-1416"</f>
        <v>2022-1416</v>
      </c>
      <c r="C5067" s="1" t="s">
        <v>2991</v>
      </c>
      <c r="D5067" s="1" t="s">
        <v>2992</v>
      </c>
      <c r="E5067" s="1" t="str">
        <f>""</f>
        <v/>
      </c>
      <c r="F5067" s="1" t="s">
        <v>1860</v>
      </c>
      <c r="G5067" s="1" t="str">
        <f t="shared" ref="G5067:G5072" si="237">CONCATENATE(" LANIŠTE D.O.O.,"," ALEXANDERA VON HUMBOLDTA 4B,"," 10000 ZAGREB,"," OIB: 3755384865")</f>
        <v xml:space="preserve"> LANIŠTE D.O.O., ALEXANDERA VON HUMBOLDTA 4B, 10000 ZAGREB, OIB: 3755384865</v>
      </c>
      <c r="H5067" s="7"/>
      <c r="I5067" s="8" t="s">
        <v>1147</v>
      </c>
      <c r="J5067" s="8" t="s">
        <v>2353</v>
      </c>
      <c r="K5067" s="6" t="str">
        <f>"3.636,00"</f>
        <v>3.636,00</v>
      </c>
      <c r="L5067" s="6" t="str">
        <f>"909,00"</f>
        <v>909,00</v>
      </c>
      <c r="M5067" s="6" t="str">
        <f>"4.545,00"</f>
        <v>4.545,00</v>
      </c>
      <c r="N5067" s="8" t="s">
        <v>124</v>
      </c>
      <c r="O5067" s="7"/>
      <c r="P5067" s="2" t="s">
        <v>5614</v>
      </c>
      <c r="Q5067" s="7"/>
      <c r="R5067" s="1"/>
      <c r="S5067" s="1" t="str">
        <f>"J-UN-2022-2199"</f>
        <v>J-UN-2022-2199</v>
      </c>
      <c r="T5067" s="1" t="s">
        <v>32</v>
      </c>
    </row>
    <row r="5068" spans="1:20" ht="63.75" x14ac:dyDescent="0.25">
      <c r="A5068" s="6">
        <v>5047</v>
      </c>
      <c r="B5068" s="1" t="str">
        <f>"2022-1429"</f>
        <v>2022-1429</v>
      </c>
      <c r="C5068" s="1" t="s">
        <v>2984</v>
      </c>
      <c r="D5068" s="1" t="s">
        <v>2985</v>
      </c>
      <c r="E5068" s="1" t="str">
        <f>""</f>
        <v/>
      </c>
      <c r="F5068" s="1" t="s">
        <v>1860</v>
      </c>
      <c r="G5068" s="1" t="str">
        <f t="shared" si="237"/>
        <v xml:space="preserve"> LANIŠTE D.O.O., ALEXANDERA VON HUMBOLDTA 4B, 10000 ZAGREB, OIB: 3755384865</v>
      </c>
      <c r="H5068" s="7"/>
      <c r="I5068" s="8" t="s">
        <v>1147</v>
      </c>
      <c r="J5068" s="8" t="s">
        <v>2353</v>
      </c>
      <c r="K5068" s="6" t="str">
        <f>"4.032,00"</f>
        <v>4.032,00</v>
      </c>
      <c r="L5068" s="6" t="str">
        <f>"1.008,00"</f>
        <v>1.008,00</v>
      </c>
      <c r="M5068" s="6" t="str">
        <f>"5.040,00"</f>
        <v>5.040,00</v>
      </c>
      <c r="N5068" s="8" t="s">
        <v>124</v>
      </c>
      <c r="O5068" s="7"/>
      <c r="P5068" s="2" t="s">
        <v>5614</v>
      </c>
      <c r="Q5068" s="7"/>
      <c r="R5068" s="1"/>
      <c r="S5068" s="1" t="str">
        <f>"J-UN-2022-2200"</f>
        <v>J-UN-2022-2200</v>
      </c>
      <c r="T5068" s="1" t="s">
        <v>32</v>
      </c>
    </row>
    <row r="5069" spans="1:20" ht="63.75" x14ac:dyDescent="0.25">
      <c r="A5069" s="6">
        <v>5048</v>
      </c>
      <c r="B5069" s="1" t="str">
        <f>"2022-1430"</f>
        <v>2022-1430</v>
      </c>
      <c r="C5069" s="1" t="s">
        <v>2986</v>
      </c>
      <c r="D5069" s="1" t="s">
        <v>2985</v>
      </c>
      <c r="E5069" s="1" t="str">
        <f>""</f>
        <v/>
      </c>
      <c r="F5069" s="1" t="s">
        <v>1860</v>
      </c>
      <c r="G5069" s="1" t="str">
        <f t="shared" si="237"/>
        <v xml:space="preserve"> LANIŠTE D.O.O., ALEXANDERA VON HUMBOLDTA 4B, 10000 ZAGREB, OIB: 3755384865</v>
      </c>
      <c r="H5069" s="7"/>
      <c r="I5069" s="8" t="s">
        <v>1147</v>
      </c>
      <c r="J5069" s="8" t="s">
        <v>2353</v>
      </c>
      <c r="K5069" s="6" t="str">
        <f>"7.452,00"</f>
        <v>7.452,00</v>
      </c>
      <c r="L5069" s="6" t="str">
        <f>"1.863,00"</f>
        <v>1.863,00</v>
      </c>
      <c r="M5069" s="6" t="str">
        <f>"9.315,00"</f>
        <v>9.315,00</v>
      </c>
      <c r="N5069" s="8" t="s">
        <v>124</v>
      </c>
      <c r="O5069" s="7"/>
      <c r="P5069" s="2" t="s">
        <v>5614</v>
      </c>
      <c r="Q5069" s="7"/>
      <c r="R5069" s="1"/>
      <c r="S5069" s="1" t="str">
        <f>"J-UN-2022-2201"</f>
        <v>J-UN-2022-2201</v>
      </c>
      <c r="T5069" s="1" t="s">
        <v>32</v>
      </c>
    </row>
    <row r="5070" spans="1:20" ht="63.75" x14ac:dyDescent="0.25">
      <c r="A5070" s="6">
        <v>5049</v>
      </c>
      <c r="B5070" s="1" t="str">
        <f>"2022-1321"</f>
        <v>2022-1321</v>
      </c>
      <c r="C5070" s="1" t="s">
        <v>2987</v>
      </c>
      <c r="D5070" s="1" t="s">
        <v>2988</v>
      </c>
      <c r="E5070" s="1" t="str">
        <f>""</f>
        <v/>
      </c>
      <c r="F5070" s="1" t="s">
        <v>1860</v>
      </c>
      <c r="G5070" s="1" t="str">
        <f t="shared" si="237"/>
        <v xml:space="preserve"> LANIŠTE D.O.O., ALEXANDERA VON HUMBOLDTA 4B, 10000 ZAGREB, OIB: 3755384865</v>
      </c>
      <c r="H5070" s="7"/>
      <c r="I5070" s="8" t="s">
        <v>1147</v>
      </c>
      <c r="J5070" s="8" t="s">
        <v>2353</v>
      </c>
      <c r="K5070" s="6" t="str">
        <f>"7.452,00"</f>
        <v>7.452,00</v>
      </c>
      <c r="L5070" s="6" t="str">
        <f>"1.863,00"</f>
        <v>1.863,00</v>
      </c>
      <c r="M5070" s="6" t="str">
        <f>"9.315,00"</f>
        <v>9.315,00</v>
      </c>
      <c r="N5070" s="8" t="s">
        <v>124</v>
      </c>
      <c r="O5070" s="7"/>
      <c r="P5070" s="2" t="s">
        <v>5614</v>
      </c>
      <c r="Q5070" s="7"/>
      <c r="R5070" s="1"/>
      <c r="S5070" s="1" t="str">
        <f>"J-UN-2022-2202"</f>
        <v>J-UN-2022-2202</v>
      </c>
      <c r="T5070" s="1" t="s">
        <v>32</v>
      </c>
    </row>
    <row r="5071" spans="1:20" ht="63.75" x14ac:dyDescent="0.25">
      <c r="A5071" s="6">
        <v>5050</v>
      </c>
      <c r="B5071" s="1" t="str">
        <f>"2022-1289"</f>
        <v>2022-1289</v>
      </c>
      <c r="C5071" s="1" t="s">
        <v>2993</v>
      </c>
      <c r="D5071" s="1" t="s">
        <v>2994</v>
      </c>
      <c r="E5071" s="1" t="str">
        <f>""</f>
        <v/>
      </c>
      <c r="F5071" s="1" t="s">
        <v>1860</v>
      </c>
      <c r="G5071" s="1" t="str">
        <f t="shared" si="237"/>
        <v xml:space="preserve"> LANIŠTE D.O.O., ALEXANDERA VON HUMBOLDTA 4B, 10000 ZAGREB, OIB: 3755384865</v>
      </c>
      <c r="H5071" s="7"/>
      <c r="I5071" s="8" t="s">
        <v>1147</v>
      </c>
      <c r="J5071" s="8" t="s">
        <v>2353</v>
      </c>
      <c r="K5071" s="6" t="str">
        <f>"6.712,00"</f>
        <v>6.712,00</v>
      </c>
      <c r="L5071" s="6" t="str">
        <f>"1.678,00"</f>
        <v>1.678,00</v>
      </c>
      <c r="M5071" s="6" t="str">
        <f>"8.390,00"</f>
        <v>8.390,00</v>
      </c>
      <c r="N5071" s="8" t="s">
        <v>124</v>
      </c>
      <c r="O5071" s="7"/>
      <c r="P5071" s="2" t="s">
        <v>5614</v>
      </c>
      <c r="Q5071" s="7"/>
      <c r="R5071" s="1"/>
      <c r="S5071" s="1" t="str">
        <f>"J-UN-2022-2203"</f>
        <v>J-UN-2022-2203</v>
      </c>
      <c r="T5071" s="1" t="s">
        <v>32</v>
      </c>
    </row>
    <row r="5072" spans="1:20" ht="63.75" x14ac:dyDescent="0.25">
      <c r="A5072" s="6">
        <v>5051</v>
      </c>
      <c r="B5072" s="1" t="str">
        <f>"2022-1291"</f>
        <v>2022-1291</v>
      </c>
      <c r="C5072" s="1" t="s">
        <v>2989</v>
      </c>
      <c r="D5072" s="1" t="s">
        <v>2990</v>
      </c>
      <c r="E5072" s="1" t="str">
        <f>""</f>
        <v/>
      </c>
      <c r="F5072" s="1" t="s">
        <v>1860</v>
      </c>
      <c r="G5072" s="1" t="str">
        <f t="shared" si="237"/>
        <v xml:space="preserve"> LANIŠTE D.O.O., ALEXANDERA VON HUMBOLDTA 4B, 10000 ZAGREB, OIB: 3755384865</v>
      </c>
      <c r="H5072" s="7"/>
      <c r="I5072" s="8" t="s">
        <v>1147</v>
      </c>
      <c r="J5072" s="8" t="s">
        <v>2353</v>
      </c>
      <c r="K5072" s="6" t="str">
        <f>"6.716,00"</f>
        <v>6.716,00</v>
      </c>
      <c r="L5072" s="6" t="str">
        <f>"1.679,00"</f>
        <v>1.679,00</v>
      </c>
      <c r="M5072" s="6" t="str">
        <f>"8.395,00"</f>
        <v>8.395,00</v>
      </c>
      <c r="N5072" s="8" t="s">
        <v>124</v>
      </c>
      <c r="O5072" s="7"/>
      <c r="P5072" s="2" t="s">
        <v>5614</v>
      </c>
      <c r="Q5072" s="7"/>
      <c r="R5072" s="1"/>
      <c r="S5072" s="1" t="str">
        <f>"J-UN-2022-2204"</f>
        <v>J-UN-2022-2204</v>
      </c>
      <c r="T5072" s="1" t="s">
        <v>32</v>
      </c>
    </row>
    <row r="5073" spans="1:20" ht="51" x14ac:dyDescent="0.25">
      <c r="A5073" s="6">
        <v>5052</v>
      </c>
      <c r="B5073" s="1" t="str">
        <f>"2022-828"</f>
        <v>2022-828</v>
      </c>
      <c r="C5073" s="1" t="s">
        <v>2720</v>
      </c>
      <c r="D5073" s="1" t="s">
        <v>21</v>
      </c>
      <c r="E5073" s="1" t="str">
        <f>""</f>
        <v/>
      </c>
      <c r="F5073" s="1" t="s">
        <v>1860</v>
      </c>
      <c r="G5073" s="1" t="str">
        <f>CONCATENATE(" STAR IMPORT D.O.O.,"," KOVINSKA 5,"," 10090 ZAGREB-SUSEDGRAD,"," OIB: 783122799")</f>
        <v xml:space="preserve"> STAR IMPORT D.O.O., KOVINSKA 5, 10090 ZAGREB-SUSEDGRAD, OIB: 783122799</v>
      </c>
      <c r="H5073" s="7"/>
      <c r="I5073" s="8" t="s">
        <v>1147</v>
      </c>
      <c r="J5073" s="8" t="s">
        <v>2353</v>
      </c>
      <c r="K5073" s="6" t="str">
        <f>"25.410,55"</f>
        <v>25.410,55</v>
      </c>
      <c r="L5073" s="6" t="str">
        <f>"6.352,64"</f>
        <v>6.352,64</v>
      </c>
      <c r="M5073" s="6" t="str">
        <f>"31.763,19"</f>
        <v>31.763,19</v>
      </c>
      <c r="N5073" s="8" t="s">
        <v>124</v>
      </c>
      <c r="O5073" s="7"/>
      <c r="P5073" s="2" t="s">
        <v>8414</v>
      </c>
      <c r="Q5073" s="7"/>
      <c r="R5073" s="1"/>
      <c r="S5073" s="1" t="str">
        <f>"J-UN-2022-2205"</f>
        <v>J-UN-2022-2205</v>
      </c>
      <c r="T5073" s="1" t="s">
        <v>32</v>
      </c>
    </row>
    <row r="5074" spans="1:20" ht="51" x14ac:dyDescent="0.25">
      <c r="A5074" s="6">
        <v>5053</v>
      </c>
      <c r="B5074" s="1" t="str">
        <f>"2022-476"</f>
        <v>2022-476</v>
      </c>
      <c r="C5074" s="1" t="s">
        <v>2946</v>
      </c>
      <c r="D5074" s="1" t="s">
        <v>2947</v>
      </c>
      <c r="E5074" s="1" t="str">
        <f>""</f>
        <v/>
      </c>
      <c r="F5074" s="1" t="s">
        <v>1860</v>
      </c>
      <c r="G5074" s="1" t="str">
        <f>CONCATENATE(" PRVOMAJSKA ZAGREB D.O.O.,"," PRIGORNICA 25,"," 10419 VUKOVINA,"," OIB: 58937342416")</f>
        <v xml:space="preserve"> PRVOMAJSKA ZAGREB D.O.O., PRIGORNICA 25, 10419 VUKOVINA, OIB: 58937342416</v>
      </c>
      <c r="H5074" s="7"/>
      <c r="I5074" s="8" t="s">
        <v>1147</v>
      </c>
      <c r="J5074" s="8" t="s">
        <v>2353</v>
      </c>
      <c r="K5074" s="6" t="str">
        <f>"10.338,00"</f>
        <v>10.338,00</v>
      </c>
      <c r="L5074" s="6" t="str">
        <f>"2.584,50"</f>
        <v>2.584,50</v>
      </c>
      <c r="M5074" s="6" t="str">
        <f>"12.922,50"</f>
        <v>12.922,50</v>
      </c>
      <c r="N5074" s="8" t="s">
        <v>124</v>
      </c>
      <c r="O5074" s="7"/>
      <c r="P5074" s="2" t="s">
        <v>5614</v>
      </c>
      <c r="Q5074" s="7"/>
      <c r="R5074" s="1"/>
      <c r="S5074" s="1" t="str">
        <f>"J-UN-2022-2206"</f>
        <v>J-UN-2022-2206</v>
      </c>
      <c r="T5074" s="1" t="s">
        <v>32</v>
      </c>
    </row>
    <row r="5075" spans="1:20" ht="51" x14ac:dyDescent="0.25">
      <c r="A5075" s="6">
        <v>5054</v>
      </c>
      <c r="B5075" s="1" t="str">
        <f>"2022-1976"</f>
        <v>2022-1976</v>
      </c>
      <c r="C5075" s="1" t="s">
        <v>3242</v>
      </c>
      <c r="D5075" s="1" t="s">
        <v>766</v>
      </c>
      <c r="E5075" s="1" t="str">
        <f>""</f>
        <v/>
      </c>
      <c r="F5075" s="1" t="s">
        <v>1860</v>
      </c>
      <c r="G5075" s="1" t="str">
        <f>CONCATENATE(" INA MAZIVA D.O.O.,"," RADNIČKA CESTA 175,"," 10000 ZAGREB,"," OIB: 63988426425")</f>
        <v xml:space="preserve"> INA MAZIVA D.O.O., RADNIČKA CESTA 175, 10000 ZAGREB, OIB: 63988426425</v>
      </c>
      <c r="H5075" s="7"/>
      <c r="I5075" s="8" t="s">
        <v>146</v>
      </c>
      <c r="J5075" s="8" t="s">
        <v>2253</v>
      </c>
      <c r="K5075" s="6" t="str">
        <f>"689,30"</f>
        <v>689,30</v>
      </c>
      <c r="L5075" s="6" t="str">
        <f>"172,33"</f>
        <v>172,33</v>
      </c>
      <c r="M5075" s="6" t="str">
        <f>"861,63"</f>
        <v>861,63</v>
      </c>
      <c r="N5075" s="8" t="s">
        <v>124</v>
      </c>
      <c r="O5075" s="7"/>
      <c r="P5075" s="2" t="s">
        <v>5614</v>
      </c>
      <c r="Q5075" s="7"/>
      <c r="R5075" s="1"/>
      <c r="S5075" s="1" t="str">
        <f>"J-UN-2022-2207"</f>
        <v>J-UN-2022-2207</v>
      </c>
      <c r="T5075" s="1" t="s">
        <v>32</v>
      </c>
    </row>
    <row r="5076" spans="1:20" ht="63.75" x14ac:dyDescent="0.25">
      <c r="A5076" s="6">
        <v>5055</v>
      </c>
      <c r="B5076" s="1" t="str">
        <f>"2022-376"</f>
        <v>2022-376</v>
      </c>
      <c r="C5076" s="1" t="s">
        <v>2730</v>
      </c>
      <c r="D5076" s="1" t="s">
        <v>1203</v>
      </c>
      <c r="E5076" s="1" t="str">
        <f>""</f>
        <v/>
      </c>
      <c r="F5076" s="1" t="s">
        <v>1860</v>
      </c>
      <c r="G5076" s="1" t="str">
        <f>CONCATENATE(" POLJOOPSKRBA-TEHNO D.D.,"," SAMOBORSKA 96,"," 10000 ZAGREB,"," OIB: 5372167324")</f>
        <v xml:space="preserve"> POLJOOPSKRBA-TEHNO D.D., SAMOBORSKA 96, 10000 ZAGREB, OIB: 5372167324</v>
      </c>
      <c r="H5076" s="7"/>
      <c r="I5076" s="8" t="s">
        <v>433</v>
      </c>
      <c r="J5076" s="8" t="s">
        <v>3279</v>
      </c>
      <c r="K5076" s="6" t="str">
        <f>"12.600,00"</f>
        <v>12.600,00</v>
      </c>
      <c r="L5076" s="6" t="str">
        <f>"3.150,00"</f>
        <v>3.150,00</v>
      </c>
      <c r="M5076" s="6" t="str">
        <f>"15.750,00"</f>
        <v>15.750,00</v>
      </c>
      <c r="N5076" s="8" t="s">
        <v>124</v>
      </c>
      <c r="O5076" s="7"/>
      <c r="P5076" s="2" t="s">
        <v>5614</v>
      </c>
      <c r="Q5076" s="7"/>
      <c r="R5076" s="1"/>
      <c r="S5076" s="1" t="str">
        <f>"J-UN-2022-2208"</f>
        <v>J-UN-2022-2208</v>
      </c>
      <c r="T5076" s="1" t="s">
        <v>32</v>
      </c>
    </row>
    <row r="5077" spans="1:20" ht="63.75" x14ac:dyDescent="0.25">
      <c r="A5077" s="6">
        <v>5056</v>
      </c>
      <c r="B5077" s="1" t="str">
        <f>"2022-1212"</f>
        <v>2022-1212</v>
      </c>
      <c r="C5077" s="1" t="s">
        <v>2632</v>
      </c>
      <c r="D5077" s="1" t="s">
        <v>2633</v>
      </c>
      <c r="E5077" s="1" t="str">
        <f>""</f>
        <v/>
      </c>
      <c r="F5077" s="1" t="s">
        <v>1860</v>
      </c>
      <c r="G5077" s="1" t="str">
        <f>CONCATENATE(" VIBROTEH D.O.O.,"," ULICA DON FRANE BULIĆA 31,"," 10410 VELIKA GORICA,"," OIB: 6099326029")</f>
        <v xml:space="preserve"> VIBROTEH D.O.O., ULICA DON FRANE BULIĆA 31, 10410 VELIKA GORICA, OIB: 6099326029</v>
      </c>
      <c r="H5077" s="7"/>
      <c r="I5077" s="8" t="s">
        <v>1123</v>
      </c>
      <c r="J5077" s="8" t="s">
        <v>2251</v>
      </c>
      <c r="K5077" s="6" t="str">
        <f>"19.500,00"</f>
        <v>19.500,00</v>
      </c>
      <c r="L5077" s="6" t="str">
        <f>"4.875,00"</f>
        <v>4.875,00</v>
      </c>
      <c r="M5077" s="6" t="str">
        <f>"24.375,00"</f>
        <v>24.375,00</v>
      </c>
      <c r="N5077" s="8" t="s">
        <v>124</v>
      </c>
      <c r="O5077" s="7"/>
      <c r="P5077" s="2" t="s">
        <v>5614</v>
      </c>
      <c r="Q5077" s="7"/>
      <c r="R5077" s="1"/>
      <c r="S5077" s="1" t="str">
        <f>"J-UN-2022-2209"</f>
        <v>J-UN-2022-2209</v>
      </c>
      <c r="T5077" s="1" t="s">
        <v>32</v>
      </c>
    </row>
    <row r="5078" spans="1:20" ht="76.5" x14ac:dyDescent="0.25">
      <c r="A5078" s="6">
        <v>5057</v>
      </c>
      <c r="B5078" s="1" t="str">
        <f>"2022-382"</f>
        <v>2022-382</v>
      </c>
      <c r="C5078" s="1" t="s">
        <v>2700</v>
      </c>
      <c r="D5078" s="1" t="s">
        <v>2701</v>
      </c>
      <c r="E5078" s="1" t="str">
        <f>""</f>
        <v/>
      </c>
      <c r="F5078" s="1" t="s">
        <v>1860</v>
      </c>
      <c r="G5078" s="1" t="str">
        <f>CONCATENATE(" SMIT-COMMERCE D.O.O.,"," GORNJOSTUPNIČKA 9B,"," 10255 GORNJI STUPNIK,"," OIB: 9524348214")</f>
        <v xml:space="preserve"> SMIT-COMMERCE D.O.O., GORNJOSTUPNIČKA 9B, 10255 GORNJI STUPNIK, OIB: 9524348214</v>
      </c>
      <c r="H5078" s="7"/>
      <c r="I5078" s="8" t="s">
        <v>384</v>
      </c>
      <c r="J5078" s="8" t="s">
        <v>3281</v>
      </c>
      <c r="K5078" s="6" t="str">
        <f>"820,60"</f>
        <v>820,60</v>
      </c>
      <c r="L5078" s="6" t="str">
        <f>"205,15"</f>
        <v>205,15</v>
      </c>
      <c r="M5078" s="6" t="str">
        <f>"1.025,75"</f>
        <v>1.025,75</v>
      </c>
      <c r="N5078" s="8" t="s">
        <v>124</v>
      </c>
      <c r="O5078" s="7"/>
      <c r="P5078" s="2" t="s">
        <v>5614</v>
      </c>
      <c r="Q5078" s="7"/>
      <c r="R5078" s="1"/>
      <c r="S5078" s="1" t="str">
        <f>"J-UN-2022-2210"</f>
        <v>J-UN-2022-2210</v>
      </c>
      <c r="T5078" s="1" t="s">
        <v>32</v>
      </c>
    </row>
    <row r="5079" spans="1:20" ht="63.75" x14ac:dyDescent="0.25">
      <c r="A5079" s="6">
        <v>5058</v>
      </c>
      <c r="B5079" s="1" t="str">
        <f>"2022-374"</f>
        <v>2022-374</v>
      </c>
      <c r="C5079" s="1" t="s">
        <v>2706</v>
      </c>
      <c r="D5079" s="1" t="s">
        <v>1334</v>
      </c>
      <c r="E5079" s="1" t="str">
        <f>""</f>
        <v/>
      </c>
      <c r="F5079" s="1" t="s">
        <v>1860</v>
      </c>
      <c r="G5079" s="1" t="str">
        <f>CONCATENATE(" KEMOBOJA-DUBRAVA D.O.O.,"," AVENIJA DUBRAVA 37,"," 10000 ZAGREB,"," OIB: 6402157427")</f>
        <v xml:space="preserve"> KEMOBOJA-DUBRAVA D.O.O., AVENIJA DUBRAVA 37, 10000 ZAGREB, OIB: 6402157427</v>
      </c>
      <c r="H5079" s="7"/>
      <c r="I5079" s="8" t="s">
        <v>384</v>
      </c>
      <c r="J5079" s="8" t="s">
        <v>3281</v>
      </c>
      <c r="K5079" s="6" t="str">
        <f>"932,74"</f>
        <v>932,74</v>
      </c>
      <c r="L5079" s="6" t="str">
        <f>"233,19"</f>
        <v>233,19</v>
      </c>
      <c r="M5079" s="6" t="str">
        <f>"1.165,93"</f>
        <v>1.165,93</v>
      </c>
      <c r="N5079" s="8" t="s">
        <v>124</v>
      </c>
      <c r="O5079" s="7"/>
      <c r="P5079" s="2" t="s">
        <v>5614</v>
      </c>
      <c r="Q5079" s="7"/>
      <c r="R5079" s="1"/>
      <c r="S5079" s="1" t="str">
        <f>"J-UN-2022-2211"</f>
        <v>J-UN-2022-2211</v>
      </c>
      <c r="T5079" s="1" t="s">
        <v>32</v>
      </c>
    </row>
    <row r="5080" spans="1:20" ht="76.5" x14ac:dyDescent="0.25">
      <c r="A5080" s="6">
        <v>5059</v>
      </c>
      <c r="B5080" s="1" t="str">
        <f>"2022-192"</f>
        <v>2022-192</v>
      </c>
      <c r="C5080" s="1" t="s">
        <v>2790</v>
      </c>
      <c r="D5080" s="1" t="s">
        <v>2791</v>
      </c>
      <c r="E5080" s="1" t="str">
        <f>""</f>
        <v/>
      </c>
      <c r="F5080" s="1" t="s">
        <v>1860</v>
      </c>
      <c r="G5080" s="1" t="str">
        <f>CONCATENATE(" SMIT-COMMERCE D.O.O.,"," GORNJOSTUPNIČKA 9B,"," 10255 GORNJI STUPNIK,"," OIB: 9524348214")</f>
        <v xml:space="preserve"> SMIT-COMMERCE D.O.O., GORNJOSTUPNIČKA 9B, 10255 GORNJI STUPNIK, OIB: 9524348214</v>
      </c>
      <c r="H5080" s="7"/>
      <c r="I5080" s="8" t="s">
        <v>489</v>
      </c>
      <c r="J5080" s="8" t="s">
        <v>1541</v>
      </c>
      <c r="K5080" s="6" t="str">
        <f>"451,00"</f>
        <v>451,00</v>
      </c>
      <c r="L5080" s="6" t="str">
        <f>"112,75"</f>
        <v>112,75</v>
      </c>
      <c r="M5080" s="6" t="str">
        <f>"563,75"</f>
        <v>563,75</v>
      </c>
      <c r="N5080" s="8" t="s">
        <v>124</v>
      </c>
      <c r="O5080" s="7"/>
      <c r="P5080" s="2" t="s">
        <v>5614</v>
      </c>
      <c r="Q5080" s="7"/>
      <c r="R5080" s="1"/>
      <c r="S5080" s="1" t="str">
        <f>"J-UN-2022-2212"</f>
        <v>J-UN-2022-2212</v>
      </c>
      <c r="T5080" s="1" t="s">
        <v>32</v>
      </c>
    </row>
    <row r="5081" spans="1:20" ht="51" x14ac:dyDescent="0.25">
      <c r="A5081" s="6">
        <v>5060</v>
      </c>
      <c r="B5081" s="1" t="str">
        <f>"2022-984"</f>
        <v>2022-984</v>
      </c>
      <c r="C5081" s="1" t="s">
        <v>2638</v>
      </c>
      <c r="D5081" s="1" t="s">
        <v>1458</v>
      </c>
      <c r="E5081" s="1" t="str">
        <f>""</f>
        <v/>
      </c>
      <c r="F5081" s="1" t="s">
        <v>1860</v>
      </c>
      <c r="G5081" s="1" t="str">
        <f>CONCATENATE(" TEPESCO D.O.O.,"," JASENA 11A,"," 10040 ZAGREB,"," OIB: 7691411318")</f>
        <v xml:space="preserve"> TEPESCO D.O.O., JASENA 11A, 10040 ZAGREB, OIB: 7691411318</v>
      </c>
      <c r="H5081" s="7"/>
      <c r="I5081" s="8" t="s">
        <v>1123</v>
      </c>
      <c r="J5081" s="8" t="s">
        <v>2251</v>
      </c>
      <c r="K5081" s="6" t="str">
        <f>"1.600,00"</f>
        <v>1.600,00</v>
      </c>
      <c r="L5081" s="6" t="str">
        <f>"400,00"</f>
        <v>400,00</v>
      </c>
      <c r="M5081" s="6" t="str">
        <f>"2.000,00"</f>
        <v>2.000,00</v>
      </c>
      <c r="N5081" s="8" t="s">
        <v>124</v>
      </c>
      <c r="O5081" s="7"/>
      <c r="P5081" s="2" t="s">
        <v>5614</v>
      </c>
      <c r="Q5081" s="7"/>
      <c r="R5081" s="1"/>
      <c r="S5081" s="1" t="str">
        <f>"J-UN-2022-2213"</f>
        <v>J-UN-2022-2213</v>
      </c>
      <c r="T5081" s="1" t="s">
        <v>32</v>
      </c>
    </row>
    <row r="5082" spans="1:20" ht="51" x14ac:dyDescent="0.25">
      <c r="A5082" s="6">
        <v>5061</v>
      </c>
      <c r="B5082" s="1" t="str">
        <f>"2022-1091"</f>
        <v>2022-1091</v>
      </c>
      <c r="C5082" s="1" t="s">
        <v>3034</v>
      </c>
      <c r="D5082" s="1" t="s">
        <v>74</v>
      </c>
      <c r="E5082" s="1" t="str">
        <f>""</f>
        <v/>
      </c>
      <c r="F5082" s="1" t="s">
        <v>1860</v>
      </c>
      <c r="G5082" s="1" t="str">
        <f>CONCATENATE(" INFOBIT D.O.O.,"," MEDVEŠČAK 47,"," 10000 ZAGREB,"," OIB: 859794267")</f>
        <v xml:space="preserve"> INFOBIT D.O.O., MEDVEŠČAK 47, 10000 ZAGREB, OIB: 859794267</v>
      </c>
      <c r="H5082" s="7"/>
      <c r="I5082" s="8" t="s">
        <v>1147</v>
      </c>
      <c r="J5082" s="8" t="s">
        <v>2353</v>
      </c>
      <c r="K5082" s="6" t="str">
        <f>"28.800,00"</f>
        <v>28.800,00</v>
      </c>
      <c r="L5082" s="6" t="str">
        <f>"7.200,00"</f>
        <v>7.200,00</v>
      </c>
      <c r="M5082" s="6" t="str">
        <f>"36.000,00"</f>
        <v>36.000,00</v>
      </c>
      <c r="N5082" s="8" t="s">
        <v>124</v>
      </c>
      <c r="O5082" s="7"/>
      <c r="P5082" s="2" t="s">
        <v>5614</v>
      </c>
      <c r="Q5082" s="7"/>
      <c r="R5082" s="1"/>
      <c r="S5082" s="1" t="str">
        <f>"J-UN-2022-2214"</f>
        <v>J-UN-2022-2214</v>
      </c>
      <c r="T5082" s="1" t="s">
        <v>32</v>
      </c>
    </row>
    <row r="5083" spans="1:20" ht="51" x14ac:dyDescent="0.25">
      <c r="A5083" s="6">
        <v>5062</v>
      </c>
      <c r="B5083" s="1" t="str">
        <f>"2022-915"</f>
        <v>2022-915</v>
      </c>
      <c r="C5083" s="1" t="s">
        <v>3024</v>
      </c>
      <c r="D5083" s="1" t="s">
        <v>1007</v>
      </c>
      <c r="E5083" s="1" t="str">
        <f>""</f>
        <v/>
      </c>
      <c r="F5083" s="1" t="s">
        <v>1860</v>
      </c>
      <c r="G5083" s="1" t="str">
        <f>CONCATENATE(" AUREL D.O.O.,"," BORONGAJSKA CESTA bb,"," 10000 ZAGREB,"," OIB: 62871653225")</f>
        <v xml:space="preserve"> AUREL D.O.O., BORONGAJSKA CESTA bb, 10000 ZAGREB, OIB: 62871653225</v>
      </c>
      <c r="H5083" s="7"/>
      <c r="I5083" s="8" t="s">
        <v>1147</v>
      </c>
      <c r="J5083" s="8" t="s">
        <v>2353</v>
      </c>
      <c r="K5083" s="6" t="str">
        <f>"2.500,00"</f>
        <v>2.500,00</v>
      </c>
      <c r="L5083" s="6" t="str">
        <f>"625,00"</f>
        <v>625,00</v>
      </c>
      <c r="M5083" s="6" t="str">
        <f>"3.125,00"</f>
        <v>3.125,00</v>
      </c>
      <c r="N5083" s="8" t="s">
        <v>124</v>
      </c>
      <c r="O5083" s="7"/>
      <c r="P5083" s="2" t="s">
        <v>5614</v>
      </c>
      <c r="Q5083" s="7"/>
      <c r="R5083" s="1"/>
      <c r="S5083" s="1" t="str">
        <f>"J-UN-2022-2215"</f>
        <v>J-UN-2022-2215</v>
      </c>
      <c r="T5083" s="1" t="s">
        <v>32</v>
      </c>
    </row>
    <row r="5084" spans="1:20" ht="51" x14ac:dyDescent="0.25">
      <c r="A5084" s="6">
        <v>5063</v>
      </c>
      <c r="B5084" s="1" t="str">
        <f>"2022-95"</f>
        <v>2022-95</v>
      </c>
      <c r="C5084" s="1" t="s">
        <v>2761</v>
      </c>
      <c r="D5084" s="1" t="s">
        <v>2762</v>
      </c>
      <c r="E5084" s="1" t="str">
        <f>""</f>
        <v/>
      </c>
      <c r="F5084" s="1" t="s">
        <v>1860</v>
      </c>
      <c r="G5084" s="1" t="str">
        <f>CONCATENATE(" METIS D.D.,"," KUKULJANOVO 414,"," 51227 KUKULJANOVO,"," OIB: 19158233033")</f>
        <v xml:space="preserve"> METIS D.D., KUKULJANOVO 414, 51227 KUKULJANOVO, OIB: 19158233033</v>
      </c>
      <c r="H5084" s="7"/>
      <c r="I5084" s="8" t="s">
        <v>553</v>
      </c>
      <c r="J5084" s="8" t="s">
        <v>3278</v>
      </c>
      <c r="K5084" s="6" t="str">
        <f>"1.250,00"</f>
        <v>1.250,00</v>
      </c>
      <c r="L5084" s="6" t="str">
        <f>"312,50"</f>
        <v>312,50</v>
      </c>
      <c r="M5084" s="6" t="str">
        <f>"1.562,50"</f>
        <v>1.562,50</v>
      </c>
      <c r="N5084" s="8" t="s">
        <v>124</v>
      </c>
      <c r="O5084" s="7"/>
      <c r="P5084" s="2" t="s">
        <v>5614</v>
      </c>
      <c r="Q5084" s="7"/>
      <c r="R5084" s="1"/>
      <c r="S5084" s="1" t="str">
        <f>"J-UN-2022-2216"</f>
        <v>J-UN-2022-2216</v>
      </c>
      <c r="T5084" s="1" t="s">
        <v>32</v>
      </c>
    </row>
    <row r="5085" spans="1:20" ht="63.75" x14ac:dyDescent="0.25">
      <c r="A5085" s="6">
        <v>5064</v>
      </c>
      <c r="B5085" s="1" t="str">
        <f>"2022-2064"</f>
        <v>2022-2064</v>
      </c>
      <c r="C5085" s="1" t="s">
        <v>3283</v>
      </c>
      <c r="D5085" s="1" t="s">
        <v>1198</v>
      </c>
      <c r="E5085" s="1" t="str">
        <f>""</f>
        <v/>
      </c>
      <c r="F5085" s="1" t="s">
        <v>1860</v>
      </c>
      <c r="G5085" s="1" t="str">
        <f>CONCATENATE(" PISMORAD D.O.O.,"," INDUSTRIJSKA 5,"," 10431 SVETA NEDELJA-NOVAKI,"," OIB: 33260306505")</f>
        <v xml:space="preserve"> PISMORAD D.O.O., INDUSTRIJSKA 5, 10431 SVETA NEDELJA-NOVAKI, OIB: 33260306505</v>
      </c>
      <c r="H5085" s="7"/>
      <c r="I5085" s="8" t="s">
        <v>489</v>
      </c>
      <c r="J5085" s="8" t="s">
        <v>1541</v>
      </c>
      <c r="K5085" s="6" t="str">
        <f>"188.860,00"</f>
        <v>188.860,00</v>
      </c>
      <c r="L5085" s="6" t="str">
        <f>"47.215,00"</f>
        <v>47.215,00</v>
      </c>
      <c r="M5085" s="6" t="str">
        <f>"236.075,00"</f>
        <v>236.075,00</v>
      </c>
      <c r="N5085" s="8" t="s">
        <v>124</v>
      </c>
      <c r="O5085" s="7"/>
      <c r="P5085" s="2" t="s">
        <v>5614</v>
      </c>
      <c r="Q5085" s="7"/>
      <c r="R5085" s="1"/>
      <c r="S5085" s="1" t="str">
        <f>"J-UN-2022-2219"</f>
        <v>J-UN-2022-2219</v>
      </c>
      <c r="T5085" s="1" t="s">
        <v>32</v>
      </c>
    </row>
    <row r="5086" spans="1:20" ht="63.75" x14ac:dyDescent="0.25">
      <c r="A5086" s="6">
        <v>5065</v>
      </c>
      <c r="B5086" s="1" t="str">
        <f>"2022-374"</f>
        <v>2022-374</v>
      </c>
      <c r="C5086" s="1" t="s">
        <v>2706</v>
      </c>
      <c r="D5086" s="1" t="s">
        <v>1334</v>
      </c>
      <c r="E5086" s="1" t="str">
        <f>""</f>
        <v/>
      </c>
      <c r="F5086" s="1" t="s">
        <v>1860</v>
      </c>
      <c r="G5086" s="1" t="str">
        <f>CONCATENATE(" KEMOBOJA-DUBRAVA D.O.O.,"," AVENIJA DUBRAVA 37,"," 10000 ZAGREB,"," OIB: 6402157427")</f>
        <v xml:space="preserve"> KEMOBOJA-DUBRAVA D.O.O., AVENIJA DUBRAVA 37, 10000 ZAGREB, OIB: 6402157427</v>
      </c>
      <c r="H5086" s="7"/>
      <c r="I5086" s="8" t="s">
        <v>489</v>
      </c>
      <c r="J5086" s="8" t="s">
        <v>1541</v>
      </c>
      <c r="K5086" s="6" t="str">
        <f>"331,00"</f>
        <v>331,00</v>
      </c>
      <c r="L5086" s="6" t="str">
        <f>"82,75"</f>
        <v>82,75</v>
      </c>
      <c r="M5086" s="6" t="str">
        <f>"413,75"</f>
        <v>413,75</v>
      </c>
      <c r="N5086" s="8" t="s">
        <v>124</v>
      </c>
      <c r="O5086" s="7"/>
      <c r="P5086" s="2" t="s">
        <v>5614</v>
      </c>
      <c r="Q5086" s="7"/>
      <c r="R5086" s="1"/>
      <c r="S5086" s="1" t="str">
        <f>"J-UN-2022-2220"</f>
        <v>J-UN-2022-2220</v>
      </c>
      <c r="T5086" s="1" t="s">
        <v>32</v>
      </c>
    </row>
    <row r="5087" spans="1:20" ht="51" x14ac:dyDescent="0.25">
      <c r="A5087" s="6">
        <v>5066</v>
      </c>
      <c r="B5087" s="1" t="str">
        <f>"2022-603"</f>
        <v>2022-603</v>
      </c>
      <c r="C5087" s="1" t="s">
        <v>3235</v>
      </c>
      <c r="D5087" s="1" t="s">
        <v>1236</v>
      </c>
      <c r="E5087" s="1" t="str">
        <f>""</f>
        <v/>
      </c>
      <c r="F5087" s="1" t="s">
        <v>1860</v>
      </c>
      <c r="G5087" s="1" t="str">
        <f>CONCATENATE(" SWARCO CROATIA D.O.O.,"," SPREČKA 8,"," 10000 ZAGREB,"," OIB: 79421023865")</f>
        <v xml:space="preserve"> SWARCO CROATIA D.O.O., SPREČKA 8, 10000 ZAGREB, OIB: 79421023865</v>
      </c>
      <c r="H5087" s="7"/>
      <c r="I5087" s="8" t="s">
        <v>489</v>
      </c>
      <c r="J5087" s="8" t="s">
        <v>1541</v>
      </c>
      <c r="K5087" s="6" t="str">
        <f>"3.350,00"</f>
        <v>3.350,00</v>
      </c>
      <c r="L5087" s="6" t="str">
        <f>"837,50"</f>
        <v>837,50</v>
      </c>
      <c r="M5087" s="6" t="str">
        <f>"4.187,50"</f>
        <v>4.187,50</v>
      </c>
      <c r="N5087" s="8" t="s">
        <v>124</v>
      </c>
      <c r="O5087" s="7"/>
      <c r="P5087" s="2" t="s">
        <v>5614</v>
      </c>
      <c r="Q5087" s="7"/>
      <c r="R5087" s="1"/>
      <c r="S5087" s="1" t="str">
        <f>"J-UN-2022-2221"</f>
        <v>J-UN-2022-2221</v>
      </c>
      <c r="T5087" s="1" t="s">
        <v>32</v>
      </c>
    </row>
    <row r="5088" spans="1:20" ht="63.75" x14ac:dyDescent="0.25">
      <c r="A5088" s="6">
        <v>5067</v>
      </c>
      <c r="B5088" s="1" t="str">
        <f>"2022-603"</f>
        <v>2022-603</v>
      </c>
      <c r="C5088" s="1" t="s">
        <v>3235</v>
      </c>
      <c r="D5088" s="1" t="s">
        <v>1236</v>
      </c>
      <c r="E5088" s="1" t="str">
        <f>""</f>
        <v/>
      </c>
      <c r="F5088" s="1" t="s">
        <v>1860</v>
      </c>
      <c r="G5088" s="1" t="str">
        <f>CONCATENATE(" ELEKTRO-KOMUNIKACIJE D.O.O.,"," 14. PODBREŽJE 4,"," 10000 ZAGREB,"," OIB: 76412373309")</f>
        <v xml:space="preserve"> ELEKTRO-KOMUNIKACIJE D.O.O., 14. PODBREŽJE 4, 10000 ZAGREB, OIB: 76412373309</v>
      </c>
      <c r="H5088" s="7"/>
      <c r="I5088" s="8" t="s">
        <v>489</v>
      </c>
      <c r="J5088" s="8" t="s">
        <v>1541</v>
      </c>
      <c r="K5088" s="6" t="str">
        <f>"1.246,00"</f>
        <v>1.246,00</v>
      </c>
      <c r="L5088" s="6" t="str">
        <f>"311,50"</f>
        <v>311,50</v>
      </c>
      <c r="M5088" s="6" t="str">
        <f>"1.557,50"</f>
        <v>1.557,50</v>
      </c>
      <c r="N5088" s="8" t="s">
        <v>124</v>
      </c>
      <c r="O5088" s="7"/>
      <c r="P5088" s="2" t="s">
        <v>5614</v>
      </c>
      <c r="Q5088" s="7"/>
      <c r="R5088" s="1"/>
      <c r="S5088" s="1" t="str">
        <f>"J-UN-2022-2222"</f>
        <v>J-UN-2022-2222</v>
      </c>
      <c r="T5088" s="1" t="s">
        <v>32</v>
      </c>
    </row>
    <row r="5089" spans="1:20" ht="51" x14ac:dyDescent="0.25">
      <c r="A5089" s="6">
        <v>5068</v>
      </c>
      <c r="B5089" s="1" t="str">
        <f>"2022-1123"</f>
        <v>2022-1123</v>
      </c>
      <c r="C5089" s="1" t="s">
        <v>2779</v>
      </c>
      <c r="D5089" s="1" t="s">
        <v>2780</v>
      </c>
      <c r="E5089" s="1" t="str">
        <f>""</f>
        <v/>
      </c>
      <c r="F5089" s="1" t="s">
        <v>1860</v>
      </c>
      <c r="G5089" s="1" t="str">
        <f>CONCATENATE(" VEČERNJI LIST D.O.O.,"," OREŠKOVIĆEVA 6H1,"," 10000 ZAGREB,"," OIB: 92276133102")</f>
        <v xml:space="preserve"> VEČERNJI LIST D.O.O., OREŠKOVIĆEVA 6H1, 10000 ZAGREB, OIB: 92276133102</v>
      </c>
      <c r="H5089" s="7"/>
      <c r="I5089" s="8" t="s">
        <v>1147</v>
      </c>
      <c r="J5089" s="8" t="s">
        <v>2353</v>
      </c>
      <c r="K5089" s="6" t="str">
        <f>"854,29"</f>
        <v>854,29</v>
      </c>
      <c r="L5089" s="6" t="str">
        <f>"213,57"</f>
        <v>213,57</v>
      </c>
      <c r="M5089" s="6" t="str">
        <f>"1.067,86"</f>
        <v>1.067,86</v>
      </c>
      <c r="N5089" s="8" t="s">
        <v>124</v>
      </c>
      <c r="O5089" s="7"/>
      <c r="P5089" s="2" t="s">
        <v>5614</v>
      </c>
      <c r="Q5089" s="7"/>
      <c r="R5089" s="1"/>
      <c r="S5089" s="1" t="str">
        <f>"J-UN-2022-2227"</f>
        <v>J-UN-2022-2227</v>
      </c>
      <c r="T5089" s="1" t="s">
        <v>32</v>
      </c>
    </row>
    <row r="5090" spans="1:20" ht="51" x14ac:dyDescent="0.25">
      <c r="A5090" s="6">
        <v>5069</v>
      </c>
      <c r="B5090" s="1" t="str">
        <f>"2022-1123"</f>
        <v>2022-1123</v>
      </c>
      <c r="C5090" s="1" t="s">
        <v>2779</v>
      </c>
      <c r="D5090" s="1" t="s">
        <v>2780</v>
      </c>
      <c r="E5090" s="1" t="str">
        <f>""</f>
        <v/>
      </c>
      <c r="F5090" s="1" t="s">
        <v>1860</v>
      </c>
      <c r="G5090" s="1" t="str">
        <f>CONCATENATE(" HANZA MEDIA D.O.O.,"," KORANSKA 2,"," 10000 ZAGREB,"," OIB: 79517545745")</f>
        <v xml:space="preserve"> HANZA MEDIA D.O.O., KORANSKA 2, 10000 ZAGREB, OIB: 79517545745</v>
      </c>
      <c r="H5090" s="7"/>
      <c r="I5090" s="8" t="s">
        <v>1147</v>
      </c>
      <c r="J5090" s="8" t="s">
        <v>2353</v>
      </c>
      <c r="K5090" s="6" t="str">
        <f>"445,71"</f>
        <v>445,71</v>
      </c>
      <c r="L5090" s="6" t="str">
        <f>"111,43"</f>
        <v>111,43</v>
      </c>
      <c r="M5090" s="6" t="str">
        <f>"557,14"</f>
        <v>557,14</v>
      </c>
      <c r="N5090" s="8" t="s">
        <v>124</v>
      </c>
      <c r="O5090" s="7"/>
      <c r="P5090" s="2" t="s">
        <v>5614</v>
      </c>
      <c r="Q5090" s="7"/>
      <c r="R5090" s="1"/>
      <c r="S5090" s="1" t="str">
        <f>"J-UN-2022-2228"</f>
        <v>J-UN-2022-2228</v>
      </c>
      <c r="T5090" s="1" t="s">
        <v>32</v>
      </c>
    </row>
    <row r="5091" spans="1:20" ht="51" x14ac:dyDescent="0.25">
      <c r="A5091" s="6">
        <v>5070</v>
      </c>
      <c r="B5091" s="1" t="str">
        <f>"2022-1123"</f>
        <v>2022-1123</v>
      </c>
      <c r="C5091" s="1" t="s">
        <v>2779</v>
      </c>
      <c r="D5091" s="1" t="s">
        <v>2780</v>
      </c>
      <c r="E5091" s="1" t="str">
        <f>""</f>
        <v/>
      </c>
      <c r="F5091" s="1" t="s">
        <v>1860</v>
      </c>
      <c r="G5091" s="1" t="str">
        <f>CONCATENATE(" 24SATA D.O.O.,"," OREŠKOVIĆEVA 6H/I,"," 10000 ZAGREB,"," OIB: 7809304765")</f>
        <v xml:space="preserve"> 24SATA D.O.O., OREŠKOVIĆEVA 6H/I, 10000 ZAGREB, OIB: 7809304765</v>
      </c>
      <c r="H5091" s="7"/>
      <c r="I5091" s="8" t="s">
        <v>1123</v>
      </c>
      <c r="J5091" s="8" t="s">
        <v>2251</v>
      </c>
      <c r="K5091" s="6" t="str">
        <f>"189,52"</f>
        <v>189,52</v>
      </c>
      <c r="L5091" s="6" t="str">
        <f>"47,38"</f>
        <v>47,38</v>
      </c>
      <c r="M5091" s="6" t="str">
        <f>"236,90"</f>
        <v>236,90</v>
      </c>
      <c r="N5091" s="8" t="s">
        <v>124</v>
      </c>
      <c r="O5091" s="7"/>
      <c r="P5091" s="2" t="s">
        <v>5614</v>
      </c>
      <c r="Q5091" s="7"/>
      <c r="R5091" s="1"/>
      <c r="S5091" s="1" t="str">
        <f>"J-UN-2022-2229"</f>
        <v>J-UN-2022-2229</v>
      </c>
      <c r="T5091" s="1" t="s">
        <v>32</v>
      </c>
    </row>
    <row r="5092" spans="1:20" ht="51" x14ac:dyDescent="0.25">
      <c r="A5092" s="6">
        <v>5071</v>
      </c>
      <c r="B5092" s="1" t="str">
        <f>"2022-293"</f>
        <v>2022-293</v>
      </c>
      <c r="C5092" s="1" t="s">
        <v>2302</v>
      </c>
      <c r="D5092" s="1" t="s">
        <v>689</v>
      </c>
      <c r="E5092" s="1" t="str">
        <f>""</f>
        <v/>
      </c>
      <c r="F5092" s="1" t="s">
        <v>1860</v>
      </c>
      <c r="G5092" s="1" t="str">
        <f>CONCATENATE(" TRAG DUO D.O.O.,"," NOVA CESTA 184,"," 10000 ZAGREB,"," OIB: 24169331637")</f>
        <v xml:space="preserve"> TRAG DUO D.O.O., NOVA CESTA 184, 10000 ZAGREB, OIB: 24169331637</v>
      </c>
      <c r="H5092" s="7"/>
      <c r="I5092" s="8" t="s">
        <v>1147</v>
      </c>
      <c r="J5092" s="8" t="s">
        <v>2353</v>
      </c>
      <c r="K5092" s="6" t="str">
        <f>"1.750,00"</f>
        <v>1.750,00</v>
      </c>
      <c r="L5092" s="6" t="str">
        <f>"437,50"</f>
        <v>437,50</v>
      </c>
      <c r="M5092" s="6" t="str">
        <f>"2.187,50"</f>
        <v>2.187,50</v>
      </c>
      <c r="N5092" s="8" t="s">
        <v>124</v>
      </c>
      <c r="O5092" s="7"/>
      <c r="P5092" s="2" t="s">
        <v>5614</v>
      </c>
      <c r="Q5092" s="7"/>
      <c r="R5092" s="1"/>
      <c r="S5092" s="1" t="str">
        <f>"J-UN-2022-2230"</f>
        <v>J-UN-2022-2230</v>
      </c>
      <c r="T5092" s="1" t="s">
        <v>32</v>
      </c>
    </row>
    <row r="5093" spans="1:20" ht="63.75" x14ac:dyDescent="0.25">
      <c r="A5093" s="6">
        <v>5072</v>
      </c>
      <c r="B5093" s="1" t="str">
        <f>"2022-2078"</f>
        <v>2022-2078</v>
      </c>
      <c r="C5093" s="1" t="s">
        <v>3284</v>
      </c>
      <c r="D5093" s="1" t="s">
        <v>914</v>
      </c>
      <c r="E5093" s="1" t="str">
        <f>""</f>
        <v/>
      </c>
      <c r="F5093" s="1" t="s">
        <v>1860</v>
      </c>
      <c r="G5093" s="1" t="str">
        <f>CONCATENATE(" SKUBA HRVATSKA D.O.O.,"," KOVINSKA 20,"," 10000 ZAGREB,"," OIB: 42350572912")</f>
        <v xml:space="preserve"> SKUBA HRVATSKA D.O.O., KOVINSKA 20, 10000 ZAGREB, OIB: 42350572912</v>
      </c>
      <c r="H5093" s="7"/>
      <c r="I5093" s="8" t="s">
        <v>433</v>
      </c>
      <c r="J5093" s="8" t="s">
        <v>3279</v>
      </c>
      <c r="K5093" s="6" t="str">
        <f>"79.666,10"</f>
        <v>79.666,10</v>
      </c>
      <c r="L5093" s="6" t="str">
        <f>"19.916,53"</f>
        <v>19.916,53</v>
      </c>
      <c r="M5093" s="6" t="str">
        <f>"99.582,63"</f>
        <v>99.582,63</v>
      </c>
      <c r="N5093" s="8" t="s">
        <v>124</v>
      </c>
      <c r="O5093" s="7"/>
      <c r="P5093" s="2" t="s">
        <v>5614</v>
      </c>
      <c r="Q5093" s="7"/>
      <c r="R5093" s="1"/>
      <c r="S5093" s="1" t="str">
        <f>"J-UN-2022-2232"</f>
        <v>J-UN-2022-2232</v>
      </c>
      <c r="T5093" s="1" t="s">
        <v>32</v>
      </c>
    </row>
    <row r="5094" spans="1:20" ht="63.75" x14ac:dyDescent="0.25">
      <c r="A5094" s="6">
        <v>5073</v>
      </c>
      <c r="B5094" s="1" t="str">
        <f>"2022-2077"</f>
        <v>2022-2077</v>
      </c>
      <c r="C5094" s="1" t="s">
        <v>3285</v>
      </c>
      <c r="D5094" s="1" t="s">
        <v>914</v>
      </c>
      <c r="E5094" s="1" t="str">
        <f>""</f>
        <v/>
      </c>
      <c r="F5094" s="1" t="s">
        <v>1860</v>
      </c>
      <c r="G5094" s="1" t="str">
        <f>CONCATENATE(" SKUBA HRVATSKA D.O.O.,"," KOVINSKA 20,"," 10000 ZAGREB,"," OIB: 42350572912")</f>
        <v xml:space="preserve"> SKUBA HRVATSKA D.O.O., KOVINSKA 20, 10000 ZAGREB, OIB: 42350572912</v>
      </c>
      <c r="H5094" s="7"/>
      <c r="I5094" s="8" t="s">
        <v>433</v>
      </c>
      <c r="J5094" s="8" t="s">
        <v>3279</v>
      </c>
      <c r="K5094" s="6" t="str">
        <f>"145.634,00"</f>
        <v>145.634,00</v>
      </c>
      <c r="L5094" s="6" t="str">
        <f>"36.408,50"</f>
        <v>36.408,50</v>
      </c>
      <c r="M5094" s="6" t="str">
        <f>"182.042,50"</f>
        <v>182.042,50</v>
      </c>
      <c r="N5094" s="8" t="s">
        <v>124</v>
      </c>
      <c r="O5094" s="7"/>
      <c r="P5094" s="2" t="s">
        <v>5614</v>
      </c>
      <c r="Q5094" s="7"/>
      <c r="R5094" s="1"/>
      <c r="S5094" s="1" t="str">
        <f>"J-UN-2022-2233"</f>
        <v>J-UN-2022-2233</v>
      </c>
      <c r="T5094" s="1" t="s">
        <v>32</v>
      </c>
    </row>
    <row r="5095" spans="1:20" ht="63.75" x14ac:dyDescent="0.25">
      <c r="A5095" s="6">
        <v>5074</v>
      </c>
      <c r="B5095" s="1" t="str">
        <f>"2022-188"</f>
        <v>2022-188</v>
      </c>
      <c r="C5095" s="1" t="s">
        <v>2685</v>
      </c>
      <c r="D5095" s="1" t="s">
        <v>2686</v>
      </c>
      <c r="E5095" s="1" t="str">
        <f>""</f>
        <v/>
      </c>
      <c r="F5095" s="1" t="s">
        <v>1860</v>
      </c>
      <c r="G5095" s="1" t="str">
        <f>CONCATENATE(" URIHO - ZAGREB,"," AVENIJA MARINA DRŽIĆA 1,"," 10000 ZAGREB,"," OIB: 77931216562")</f>
        <v xml:space="preserve"> URIHO - ZAGREB, AVENIJA MARINA DRŽIĆA 1, 10000 ZAGREB, OIB: 77931216562</v>
      </c>
      <c r="H5095" s="7"/>
      <c r="I5095" s="8" t="s">
        <v>433</v>
      </c>
      <c r="J5095" s="8" t="s">
        <v>3279</v>
      </c>
      <c r="K5095" s="6" t="str">
        <f>"28.560,00"</f>
        <v>28.560,00</v>
      </c>
      <c r="L5095" s="6" t="str">
        <f>"7.140,00"</f>
        <v>7.140,00</v>
      </c>
      <c r="M5095" s="6" t="str">
        <f>"35.700,00"</f>
        <v>35.700,00</v>
      </c>
      <c r="N5095" s="8" t="s">
        <v>124</v>
      </c>
      <c r="O5095" s="7"/>
      <c r="P5095" s="2" t="s">
        <v>5614</v>
      </c>
      <c r="Q5095" s="7"/>
      <c r="R5095" s="1"/>
      <c r="S5095" s="1" t="str">
        <f>"J-UN-2022-2234"</f>
        <v>J-UN-2022-2234</v>
      </c>
      <c r="T5095" s="1" t="s">
        <v>32</v>
      </c>
    </row>
    <row r="5096" spans="1:20" ht="63.75" x14ac:dyDescent="0.25">
      <c r="A5096" s="6">
        <v>5075</v>
      </c>
      <c r="B5096" s="1" t="str">
        <f>"2022-535"</f>
        <v>2022-535</v>
      </c>
      <c r="C5096" s="1" t="s">
        <v>2561</v>
      </c>
      <c r="D5096" s="1" t="s">
        <v>2156</v>
      </c>
      <c r="E5096" s="1" t="str">
        <f>""</f>
        <v/>
      </c>
      <c r="F5096" s="1" t="s">
        <v>1860</v>
      </c>
      <c r="G5096" s="1" t="str">
        <f>CONCATENATE(" IQ CENTAR ZAGRIA D.O.O.,"," SLAVONSKA AVENIJA 26/9,"," 10000 ZAGREB,"," OIB: 85805332078")</f>
        <v xml:space="preserve"> IQ CENTAR ZAGRIA D.O.O., SLAVONSKA AVENIJA 26/9, 10000 ZAGREB, OIB: 85805332078</v>
      </c>
      <c r="H5096" s="7"/>
      <c r="I5096" s="8" t="s">
        <v>553</v>
      </c>
      <c r="J5096" s="8" t="s">
        <v>3278</v>
      </c>
      <c r="K5096" s="6" t="str">
        <f>"228,00"</f>
        <v>228,00</v>
      </c>
      <c r="L5096" s="6" t="str">
        <f>"57,00"</f>
        <v>57,00</v>
      </c>
      <c r="M5096" s="6" t="str">
        <f>"285,00"</f>
        <v>285,00</v>
      </c>
      <c r="N5096" s="8" t="s">
        <v>124</v>
      </c>
      <c r="O5096" s="7"/>
      <c r="P5096" s="2" t="s">
        <v>5614</v>
      </c>
      <c r="Q5096" s="7"/>
      <c r="R5096" s="1"/>
      <c r="S5096" s="1" t="str">
        <f>"J-UN-2022-2236"</f>
        <v>J-UN-2022-2236</v>
      </c>
      <c r="T5096" s="1" t="s">
        <v>32</v>
      </c>
    </row>
    <row r="5097" spans="1:20" ht="76.5" x14ac:dyDescent="0.25">
      <c r="A5097" s="6">
        <v>5076</v>
      </c>
      <c r="B5097" s="1" t="str">
        <f>"2022-1310"</f>
        <v>2022-1310</v>
      </c>
      <c r="C5097" s="1" t="s">
        <v>3085</v>
      </c>
      <c r="D5097" s="1" t="s">
        <v>2549</v>
      </c>
      <c r="E5097" s="1" t="str">
        <f>""</f>
        <v/>
      </c>
      <c r="F5097" s="1" t="s">
        <v>1860</v>
      </c>
      <c r="G5097" s="1" t="str">
        <f>CONCATENATE(" ANA BURAZIN,"," OBRT ZA USLUGE,"," VL. ANA BURAZIN,",","," ULICA PAŠKALA BUCONJIĆA 28,"," 10000 ZAGREB,"," OIB: 7113479897")</f>
        <v xml:space="preserve"> ANA BURAZIN, OBRT ZA USLUGE, VL. ANA BURAZIN,, ULICA PAŠKALA BUCONJIĆA 28, 10000 ZAGREB, OIB: 7113479897</v>
      </c>
      <c r="H5097" s="7"/>
      <c r="I5097" s="8" t="s">
        <v>383</v>
      </c>
      <c r="J5097" s="8" t="s">
        <v>1547</v>
      </c>
      <c r="K5097" s="6" t="str">
        <f>"1.372,80"</f>
        <v>1.372,80</v>
      </c>
      <c r="L5097" s="6" t="str">
        <f>"343,20"</f>
        <v>343,20</v>
      </c>
      <c r="M5097" s="6" t="str">
        <f>"1.716,00"</f>
        <v>1.716,00</v>
      </c>
      <c r="N5097" s="8" t="s">
        <v>124</v>
      </c>
      <c r="O5097" s="7"/>
      <c r="P5097" s="2" t="s">
        <v>5614</v>
      </c>
      <c r="Q5097" s="7"/>
      <c r="R5097" s="1"/>
      <c r="S5097" s="1" t="str">
        <f>"J-UN-2022-2240"</f>
        <v>J-UN-2022-2240</v>
      </c>
      <c r="T5097" s="1" t="s">
        <v>32</v>
      </c>
    </row>
    <row r="5098" spans="1:20" ht="63.75" x14ac:dyDescent="0.25">
      <c r="A5098" s="6">
        <v>5077</v>
      </c>
      <c r="B5098" s="1" t="str">
        <f>"2022-217"</f>
        <v>2022-217</v>
      </c>
      <c r="C5098" s="1" t="s">
        <v>3099</v>
      </c>
      <c r="D5098" s="1" t="s">
        <v>2596</v>
      </c>
      <c r="E5098" s="1" t="str">
        <f>""</f>
        <v/>
      </c>
      <c r="F5098" s="1" t="s">
        <v>1860</v>
      </c>
      <c r="G5098" s="1" t="str">
        <f>CONCATENATE(" GRADSKA LJEKARNA ZAGREB,"," KRALJA DRŽISLAVA 6,"," 10000 ZAGREB,"," OIB: 37268254106")</f>
        <v xml:space="preserve"> GRADSKA LJEKARNA ZAGREB, KRALJA DRŽISLAVA 6, 10000 ZAGREB, OIB: 37268254106</v>
      </c>
      <c r="H5098" s="7"/>
      <c r="I5098" s="8" t="s">
        <v>383</v>
      </c>
      <c r="J5098" s="8" t="s">
        <v>1547</v>
      </c>
      <c r="K5098" s="6" t="str">
        <f>"5.114,88"</f>
        <v>5.114,88</v>
      </c>
      <c r="L5098" s="6" t="str">
        <f>"1.278,72"</f>
        <v>1.278,72</v>
      </c>
      <c r="M5098" s="6" t="str">
        <f>"6.393,60"</f>
        <v>6.393,60</v>
      </c>
      <c r="N5098" s="8" t="s">
        <v>124</v>
      </c>
      <c r="O5098" s="7"/>
      <c r="P5098" s="2" t="s">
        <v>5614</v>
      </c>
      <c r="Q5098" s="7"/>
      <c r="R5098" s="1"/>
      <c r="S5098" s="1" t="str">
        <f>"J-UN-2022-2241"</f>
        <v>J-UN-2022-2241</v>
      </c>
      <c r="T5098" s="1" t="s">
        <v>32</v>
      </c>
    </row>
    <row r="5099" spans="1:20" ht="51" x14ac:dyDescent="0.25">
      <c r="A5099" s="6">
        <v>5078</v>
      </c>
      <c r="B5099" s="1" t="str">
        <f>"2022-1338"</f>
        <v>2022-1338</v>
      </c>
      <c r="C5099" s="1" t="s">
        <v>2753</v>
      </c>
      <c r="D5099" s="1" t="s">
        <v>2331</v>
      </c>
      <c r="E5099" s="1" t="str">
        <f>""</f>
        <v/>
      </c>
      <c r="F5099" s="1" t="s">
        <v>1860</v>
      </c>
      <c r="G5099" s="1" t="str">
        <f>CONCATENATE(" KERSCHOFFSET D.O.O.,"," JEŽDOVEČKA 112,"," 10250 LUČKO,"," OIB: 84934386922")</f>
        <v xml:space="preserve"> KERSCHOFFSET D.O.O., JEŽDOVEČKA 112, 10250 LUČKO, OIB: 84934386922</v>
      </c>
      <c r="H5099" s="7"/>
      <c r="I5099" s="8" t="s">
        <v>146</v>
      </c>
      <c r="J5099" s="8" t="s">
        <v>2253</v>
      </c>
      <c r="K5099" s="6" t="str">
        <f>"65.675,00"</f>
        <v>65.675,00</v>
      </c>
      <c r="L5099" s="6" t="str">
        <f>"16.418,75"</f>
        <v>16.418,75</v>
      </c>
      <c r="M5099" s="6" t="str">
        <f>"82.093,75"</f>
        <v>82.093,75</v>
      </c>
      <c r="N5099" s="8" t="s">
        <v>124</v>
      </c>
      <c r="O5099" s="7"/>
      <c r="P5099" s="2" t="s">
        <v>5614</v>
      </c>
      <c r="Q5099" s="7"/>
      <c r="R5099" s="1"/>
      <c r="S5099" s="1" t="str">
        <f>"J-UN-2022-2242"</f>
        <v>J-UN-2022-2242</v>
      </c>
      <c r="T5099" s="1" t="s">
        <v>32</v>
      </c>
    </row>
    <row r="5100" spans="1:20" ht="51" x14ac:dyDescent="0.25">
      <c r="A5100" s="6">
        <v>5079</v>
      </c>
      <c r="B5100" s="1" t="str">
        <f>"2022-75"</f>
        <v>2022-75</v>
      </c>
      <c r="C5100" s="1" t="s">
        <v>2483</v>
      </c>
      <c r="D5100" s="1" t="s">
        <v>2484</v>
      </c>
      <c r="E5100" s="1" t="str">
        <f>""</f>
        <v/>
      </c>
      <c r="F5100" s="1" t="s">
        <v>1860</v>
      </c>
      <c r="G5100" s="1" t="str">
        <f>CONCATENATE(" PRESSCUT D.O.O.,"," DOMAGOJEVA 2,"," 10000 ZAGREB,"," OIB: 34672089688")</f>
        <v xml:space="preserve"> PRESSCUT D.O.O., DOMAGOJEVA 2, 10000 ZAGREB, OIB: 34672089688</v>
      </c>
      <c r="H5100" s="7"/>
      <c r="I5100" s="8" t="s">
        <v>146</v>
      </c>
      <c r="J5100" s="8" t="s">
        <v>2253</v>
      </c>
      <c r="K5100" s="6" t="str">
        <f>"106.191,36"</f>
        <v>106.191,36</v>
      </c>
      <c r="L5100" s="6" t="str">
        <f>"26.547,84"</f>
        <v>26.547,84</v>
      </c>
      <c r="M5100" s="6" t="str">
        <f>"132.739,20"</f>
        <v>132.739,20</v>
      </c>
      <c r="N5100" s="8" t="s">
        <v>124</v>
      </c>
      <c r="O5100" s="7"/>
      <c r="P5100" s="2" t="s">
        <v>5614</v>
      </c>
      <c r="Q5100" s="7"/>
      <c r="R5100" s="1"/>
      <c r="S5100" s="1" t="str">
        <f>"J-UN-2022-2243"</f>
        <v>J-UN-2022-2243</v>
      </c>
      <c r="T5100" s="1" t="s">
        <v>32</v>
      </c>
    </row>
    <row r="5101" spans="1:20" ht="63.75" x14ac:dyDescent="0.25">
      <c r="A5101" s="6">
        <v>5080</v>
      </c>
      <c r="B5101" s="1" t="str">
        <f>"2022-217"</f>
        <v>2022-217</v>
      </c>
      <c r="C5101" s="1" t="s">
        <v>3099</v>
      </c>
      <c r="D5101" s="1" t="s">
        <v>2596</v>
      </c>
      <c r="E5101" s="1" t="str">
        <f>""</f>
        <v/>
      </c>
      <c r="F5101" s="1" t="s">
        <v>1860</v>
      </c>
      <c r="G5101" s="1" t="str">
        <f>CONCATENATE(" GRADSKA LJEKARNA ZAGREB,"," KRALJA DRŽISLAVA 6,"," 10000 ZAGREB,"," OIB: 37268254106")</f>
        <v xml:space="preserve"> GRADSKA LJEKARNA ZAGREB, KRALJA DRŽISLAVA 6, 10000 ZAGREB, OIB: 37268254106</v>
      </c>
      <c r="H5101" s="7"/>
      <c r="I5101" s="8" t="s">
        <v>383</v>
      </c>
      <c r="J5101" s="8" t="s">
        <v>1547</v>
      </c>
      <c r="K5101" s="6" t="str">
        <f>"7.339,76"</f>
        <v>7.339,76</v>
      </c>
      <c r="L5101" s="6" t="str">
        <f>"1.834,94"</f>
        <v>1.834,94</v>
      </c>
      <c r="M5101" s="6" t="str">
        <f>"9.174,70"</f>
        <v>9.174,70</v>
      </c>
      <c r="N5101" s="8" t="s">
        <v>124</v>
      </c>
      <c r="O5101" s="7"/>
      <c r="P5101" s="2" t="s">
        <v>5614</v>
      </c>
      <c r="Q5101" s="7"/>
      <c r="R5101" s="1"/>
      <c r="S5101" s="1" t="str">
        <f>"J-UN-2022-2244"</f>
        <v>J-UN-2022-2244</v>
      </c>
      <c r="T5101" s="1" t="s">
        <v>32</v>
      </c>
    </row>
    <row r="5102" spans="1:20" ht="51" x14ac:dyDescent="0.25">
      <c r="A5102" s="6">
        <v>5081</v>
      </c>
      <c r="B5102" s="1" t="str">
        <f>"2022-213"</f>
        <v>2022-213</v>
      </c>
      <c r="C5102" s="1" t="s">
        <v>2672</v>
      </c>
      <c r="D5102" s="1" t="s">
        <v>2673</v>
      </c>
      <c r="E5102" s="1" t="str">
        <f>""</f>
        <v/>
      </c>
      <c r="F5102" s="1" t="s">
        <v>1860</v>
      </c>
      <c r="G5102" s="1" t="str">
        <f>CONCATENATE(" ROSIP D.O.O.,"," DR. M. ROJCA 24,"," 10000 ZAGREB,"," OIB: 89811416156")</f>
        <v xml:space="preserve"> ROSIP D.O.O., DR. M. ROJCA 24, 10000 ZAGREB, OIB: 89811416156</v>
      </c>
      <c r="H5102" s="7"/>
      <c r="I5102" s="8" t="s">
        <v>170</v>
      </c>
      <c r="J5102" s="8" t="s">
        <v>1538</v>
      </c>
      <c r="K5102" s="6" t="str">
        <f>"1.370,00"</f>
        <v>1.370,00</v>
      </c>
      <c r="L5102" s="6" t="str">
        <f>"342,50"</f>
        <v>342,50</v>
      </c>
      <c r="M5102" s="6" t="str">
        <f>"1.712,50"</f>
        <v>1.712,50</v>
      </c>
      <c r="N5102" s="8" t="s">
        <v>124</v>
      </c>
      <c r="O5102" s="7"/>
      <c r="P5102" s="2" t="s">
        <v>5614</v>
      </c>
      <c r="Q5102" s="7"/>
      <c r="R5102" s="1"/>
      <c r="S5102" s="1" t="str">
        <f>"J-UN-2022-2245"</f>
        <v>J-UN-2022-2245</v>
      </c>
      <c r="T5102" s="1" t="s">
        <v>32</v>
      </c>
    </row>
    <row r="5103" spans="1:20" ht="51" x14ac:dyDescent="0.25">
      <c r="A5103" s="6">
        <v>5082</v>
      </c>
      <c r="B5103" s="1" t="str">
        <f>"2022-213"</f>
        <v>2022-213</v>
      </c>
      <c r="C5103" s="1" t="s">
        <v>2672</v>
      </c>
      <c r="D5103" s="1" t="s">
        <v>2673</v>
      </c>
      <c r="E5103" s="1" t="str">
        <f>""</f>
        <v/>
      </c>
      <c r="F5103" s="1" t="s">
        <v>1860</v>
      </c>
      <c r="G5103" s="1" t="str">
        <f>CONCATENATE(" LEXPERA D.O.O.,"," TUŠKANOVA 37,"," 10000 ZAGREB,"," OIB: 79506290597")</f>
        <v xml:space="preserve"> LEXPERA D.O.O., TUŠKANOVA 37, 10000 ZAGREB, OIB: 79506290597</v>
      </c>
      <c r="H5103" s="7"/>
      <c r="I5103" s="8" t="s">
        <v>170</v>
      </c>
      <c r="J5103" s="8" t="s">
        <v>1538</v>
      </c>
      <c r="K5103" s="6" t="str">
        <f>"150,00"</f>
        <v>150,00</v>
      </c>
      <c r="L5103" s="6" t="str">
        <f>"37,50"</f>
        <v>37,50</v>
      </c>
      <c r="M5103" s="6" t="str">
        <f>"187,50"</f>
        <v>187,50</v>
      </c>
      <c r="N5103" s="8" t="s">
        <v>124</v>
      </c>
      <c r="O5103" s="7"/>
      <c r="P5103" s="2" t="s">
        <v>5614</v>
      </c>
      <c r="Q5103" s="7"/>
      <c r="R5103" s="1"/>
      <c r="S5103" s="1" t="str">
        <f>"J-UN-2022-2246"</f>
        <v>J-UN-2022-2246</v>
      </c>
      <c r="T5103" s="1" t="s">
        <v>32</v>
      </c>
    </row>
    <row r="5104" spans="1:20" ht="89.25" x14ac:dyDescent="0.25">
      <c r="A5104" s="6">
        <v>5083</v>
      </c>
      <c r="B5104" s="1" t="str">
        <f>"2022-432"</f>
        <v>2022-432</v>
      </c>
      <c r="C5104" s="1" t="s">
        <v>3071</v>
      </c>
      <c r="D5104" s="1" t="s">
        <v>2577</v>
      </c>
      <c r="E5104" s="1" t="str">
        <f>""</f>
        <v/>
      </c>
      <c r="F5104" s="1" t="s">
        <v>1860</v>
      </c>
      <c r="G5104" s="1" t="str">
        <f>CONCATENATE(" AUTO HRVATSKA PRODAJNO SERVISNI CENTRI D.O.O.,"," ZASTAVNICE 25/C,"," 10251 HRVATSKI LESKOVAC,"," OIB: 87682591133")</f>
        <v xml:space="preserve"> AUTO HRVATSKA PRODAJNO SERVISNI CENTRI D.O.O., ZASTAVNICE 25/C, 10251 HRVATSKI LESKOVAC, OIB: 87682591133</v>
      </c>
      <c r="H5104" s="7"/>
      <c r="I5104" s="8" t="s">
        <v>489</v>
      </c>
      <c r="J5104" s="8" t="s">
        <v>1541</v>
      </c>
      <c r="K5104" s="6" t="str">
        <f>"4.468,60"</f>
        <v>4.468,60</v>
      </c>
      <c r="L5104" s="6" t="str">
        <f>"1.117,15"</f>
        <v>1.117,15</v>
      </c>
      <c r="M5104" s="6" t="str">
        <f>"5.585,75"</f>
        <v>5.585,75</v>
      </c>
      <c r="N5104" s="8" t="s">
        <v>124</v>
      </c>
      <c r="O5104" s="7"/>
      <c r="P5104" s="2" t="s">
        <v>5614</v>
      </c>
      <c r="Q5104" s="7"/>
      <c r="R5104" s="1"/>
      <c r="S5104" s="1" t="str">
        <f>"J-UN-2022-2248"</f>
        <v>J-UN-2022-2248</v>
      </c>
      <c r="T5104" s="1" t="s">
        <v>32</v>
      </c>
    </row>
    <row r="5105" spans="1:20" ht="63.75" x14ac:dyDescent="0.25">
      <c r="A5105" s="6">
        <v>5084</v>
      </c>
      <c r="B5105" s="1" t="str">
        <f>"2022-912"</f>
        <v>2022-912</v>
      </c>
      <c r="C5105" s="1" t="s">
        <v>2485</v>
      </c>
      <c r="D5105" s="1" t="s">
        <v>1007</v>
      </c>
      <c r="E5105" s="1" t="str">
        <f>""</f>
        <v/>
      </c>
      <c r="F5105" s="1" t="s">
        <v>1860</v>
      </c>
      <c r="G5105" s="1" t="str">
        <f>CONCATENATE(" DRÄGER SAFETY D.O.O.,"," AVENIJA VEĆESLAVA HOLJEVCA 40,"," 10010 ZAGREB,"," OIB: 32874587842")</f>
        <v xml:space="preserve"> DRÄGER SAFETY D.O.O., AVENIJA VEĆESLAVA HOLJEVCA 40, 10010 ZAGREB, OIB: 32874587842</v>
      </c>
      <c r="H5105" s="7"/>
      <c r="I5105" s="8" t="s">
        <v>146</v>
      </c>
      <c r="J5105" s="8" t="s">
        <v>2253</v>
      </c>
      <c r="K5105" s="6" t="str">
        <f>"15.451,28"</f>
        <v>15.451,28</v>
      </c>
      <c r="L5105" s="6" t="str">
        <f>"3.862,82"</f>
        <v>3.862,82</v>
      </c>
      <c r="M5105" s="6" t="str">
        <f>"19.314,10"</f>
        <v>19.314,10</v>
      </c>
      <c r="N5105" s="8" t="s">
        <v>124</v>
      </c>
      <c r="O5105" s="7"/>
      <c r="P5105" s="2" t="s">
        <v>5614</v>
      </c>
      <c r="Q5105" s="7"/>
      <c r="R5105" s="1"/>
      <c r="S5105" s="1" t="str">
        <f>"J-UN-2022-2249"</f>
        <v>J-UN-2022-2249</v>
      </c>
      <c r="T5105" s="1" t="s">
        <v>32</v>
      </c>
    </row>
    <row r="5106" spans="1:20" ht="51" x14ac:dyDescent="0.25">
      <c r="A5106" s="6">
        <v>5085</v>
      </c>
      <c r="B5106" s="1" t="str">
        <f>"2022-909"</f>
        <v>2022-909</v>
      </c>
      <c r="C5106" s="1" t="s">
        <v>2718</v>
      </c>
      <c r="D5106" s="1" t="s">
        <v>1102</v>
      </c>
      <c r="E5106" s="1" t="str">
        <f>""</f>
        <v/>
      </c>
      <c r="F5106" s="1" t="s">
        <v>1860</v>
      </c>
      <c r="G5106" s="1" t="str">
        <f>CONCATENATE(" ITM D.O.O.,"," TRAKOŠĆANSKA 2,"," 10000 ZAGREB,"," OIB: 59759844999")</f>
        <v xml:space="preserve"> ITM D.O.O., TRAKOŠĆANSKA 2, 10000 ZAGREB, OIB: 59759844999</v>
      </c>
      <c r="H5106" s="7"/>
      <c r="I5106" s="8" t="s">
        <v>433</v>
      </c>
      <c r="J5106" s="8" t="s">
        <v>3279</v>
      </c>
      <c r="K5106" s="6" t="str">
        <f>"8.070,00"</f>
        <v>8.070,00</v>
      </c>
      <c r="L5106" s="6" t="str">
        <f>"2.017,50"</f>
        <v>2.017,50</v>
      </c>
      <c r="M5106" s="6" t="str">
        <f>"10.087,50"</f>
        <v>10.087,50</v>
      </c>
      <c r="N5106" s="8" t="s">
        <v>124</v>
      </c>
      <c r="O5106" s="7"/>
      <c r="P5106" s="2" t="s">
        <v>5614</v>
      </c>
      <c r="Q5106" s="7"/>
      <c r="R5106" s="1"/>
      <c r="S5106" s="1" t="str">
        <f>"J-UN-2022-2250"</f>
        <v>J-UN-2022-2250</v>
      </c>
      <c r="T5106" s="1" t="s">
        <v>32</v>
      </c>
    </row>
    <row r="5107" spans="1:20" ht="51" x14ac:dyDescent="0.25">
      <c r="A5107" s="6">
        <v>5086</v>
      </c>
      <c r="B5107" s="1" t="str">
        <f>"2022-1106"</f>
        <v>2022-1106</v>
      </c>
      <c r="C5107" s="1" t="s">
        <v>3023</v>
      </c>
      <c r="D5107" s="1" t="s">
        <v>74</v>
      </c>
      <c r="E5107" s="1" t="str">
        <f>""</f>
        <v/>
      </c>
      <c r="F5107" s="1" t="s">
        <v>1860</v>
      </c>
      <c r="G5107" s="1" t="str">
        <f>CONCATENATE(" FORTIUS INFO D.O.O.,"," BAŠTIJANOVA 52A/3,"," 10000 ZAGREB,"," OIB: 15956530643")</f>
        <v xml:space="preserve"> FORTIUS INFO D.O.O., BAŠTIJANOVA 52A/3, 10000 ZAGREB, OIB: 15956530643</v>
      </c>
      <c r="H5107" s="7"/>
      <c r="I5107" s="8" t="s">
        <v>121</v>
      </c>
      <c r="J5107" s="8" t="s">
        <v>3286</v>
      </c>
      <c r="K5107" s="6" t="str">
        <f>"90.000,00"</f>
        <v>90.000,00</v>
      </c>
      <c r="L5107" s="6" t="str">
        <f>"22.500,00"</f>
        <v>22.500,00</v>
      </c>
      <c r="M5107" s="6" t="str">
        <f>"112.500,00"</f>
        <v>112.500,00</v>
      </c>
      <c r="N5107" s="8" t="s">
        <v>124</v>
      </c>
      <c r="O5107" s="7"/>
      <c r="P5107" s="2" t="s">
        <v>5614</v>
      </c>
      <c r="Q5107" s="7"/>
      <c r="R5107" s="1"/>
      <c r="S5107" s="1" t="str">
        <f>"J-UN-2022-2251"</f>
        <v>J-UN-2022-2251</v>
      </c>
      <c r="T5107" s="1" t="s">
        <v>32</v>
      </c>
    </row>
    <row r="5108" spans="1:20" ht="63.75" x14ac:dyDescent="0.25">
      <c r="A5108" s="6">
        <v>5087</v>
      </c>
      <c r="B5108" s="1" t="str">
        <f>"2022-2001"</f>
        <v>2022-2001</v>
      </c>
      <c r="C5108" s="1" t="s">
        <v>3287</v>
      </c>
      <c r="D5108" s="1" t="s">
        <v>34</v>
      </c>
      <c r="E5108" s="1" t="str">
        <f>""</f>
        <v/>
      </c>
      <c r="F5108" s="1" t="s">
        <v>1860</v>
      </c>
      <c r="G5108" s="1" t="str">
        <f>CONCATENATE(" URIHO - ZAGREB,"," AVENIJA MARINA DRŽIĆA 1,"," 10000 ZAGREB,"," OIB: 77931216562")</f>
        <v xml:space="preserve"> URIHO - ZAGREB, AVENIJA MARINA DRŽIĆA 1, 10000 ZAGREB, OIB: 77931216562</v>
      </c>
      <c r="H5108" s="7"/>
      <c r="I5108" s="8" t="s">
        <v>121</v>
      </c>
      <c r="J5108" s="8" t="s">
        <v>3286</v>
      </c>
      <c r="K5108" s="6" t="str">
        <f>"4.050,00"</f>
        <v>4.050,00</v>
      </c>
      <c r="L5108" s="6" t="str">
        <f>"1.012,50"</f>
        <v>1.012,50</v>
      </c>
      <c r="M5108" s="6" t="str">
        <f>"5.062,50"</f>
        <v>5.062,50</v>
      </c>
      <c r="N5108" s="8" t="s">
        <v>124</v>
      </c>
      <c r="O5108" s="7"/>
      <c r="P5108" s="2" t="s">
        <v>5614</v>
      </c>
      <c r="Q5108" s="7"/>
      <c r="R5108" s="1"/>
      <c r="S5108" s="1" t="str">
        <f>"J-UN-2022-2253"</f>
        <v>J-UN-2022-2253</v>
      </c>
      <c r="T5108" s="1" t="s">
        <v>32</v>
      </c>
    </row>
    <row r="5109" spans="1:20" ht="63.75" x14ac:dyDescent="0.25">
      <c r="A5109" s="6">
        <v>5088</v>
      </c>
      <c r="B5109" s="1" t="str">
        <f>"2022-511"</f>
        <v>2022-511</v>
      </c>
      <c r="C5109" s="1" t="s">
        <v>2572</v>
      </c>
      <c r="D5109" s="1" t="s">
        <v>2573</v>
      </c>
      <c r="E5109" s="1" t="str">
        <f>""</f>
        <v/>
      </c>
      <c r="F5109" s="1" t="s">
        <v>1860</v>
      </c>
      <c r="G5109" s="1" t="str">
        <f>CONCATENATE(" TEHNOZAVOD-MARUŠIĆ D.O.O.,"," XIII PODBREŽJE 26,"," 10000 ZAGREB,"," OIB: 2192647279")</f>
        <v xml:space="preserve"> TEHNOZAVOD-MARUŠIĆ D.O.O., XIII PODBREŽJE 26, 10000 ZAGREB, OIB: 2192647279</v>
      </c>
      <c r="H5109" s="7"/>
      <c r="I5109" s="8" t="s">
        <v>170</v>
      </c>
      <c r="J5109" s="8" t="s">
        <v>1538</v>
      </c>
      <c r="K5109" s="6" t="str">
        <f>"700,00"</f>
        <v>700,00</v>
      </c>
      <c r="L5109" s="6" t="str">
        <f>"175,00"</f>
        <v>175,00</v>
      </c>
      <c r="M5109" s="6" t="str">
        <f>"875,00"</f>
        <v>875,00</v>
      </c>
      <c r="N5109" s="8" t="s">
        <v>124</v>
      </c>
      <c r="O5109" s="7"/>
      <c r="P5109" s="2" t="s">
        <v>5614</v>
      </c>
      <c r="Q5109" s="7"/>
      <c r="R5109" s="1"/>
      <c r="S5109" s="1" t="str">
        <f>"J-UN-2022-2255"</f>
        <v>J-UN-2022-2255</v>
      </c>
      <c r="T5109" s="1" t="s">
        <v>32</v>
      </c>
    </row>
    <row r="5110" spans="1:20" ht="51" x14ac:dyDescent="0.25">
      <c r="A5110" s="6">
        <v>5089</v>
      </c>
      <c r="B5110" s="1" t="str">
        <f>"2022-852"</f>
        <v>2022-852</v>
      </c>
      <c r="C5110" s="1" t="s">
        <v>2469</v>
      </c>
      <c r="D5110" s="1" t="s">
        <v>2287</v>
      </c>
      <c r="E5110" s="1" t="str">
        <f>""</f>
        <v/>
      </c>
      <c r="F5110" s="1" t="s">
        <v>1860</v>
      </c>
      <c r="G5110" s="1" t="str">
        <f>CONCATENATE(" KING ICT D.O.O.,"," BUZINSKI PRILAZ 10,"," 10010 ZAGREB,"," OIB: 67001695549")</f>
        <v xml:space="preserve"> KING ICT D.O.O., BUZINSKI PRILAZ 10, 10010 ZAGREB, OIB: 67001695549</v>
      </c>
      <c r="H5110" s="7"/>
      <c r="I5110" s="8" t="s">
        <v>146</v>
      </c>
      <c r="J5110" s="8" t="s">
        <v>2253</v>
      </c>
      <c r="K5110" s="6" t="str">
        <f>"2.152,32"</f>
        <v>2.152,32</v>
      </c>
      <c r="L5110" s="6" t="str">
        <f>"538,08"</f>
        <v>538,08</v>
      </c>
      <c r="M5110" s="6" t="str">
        <f>"2.690,40"</f>
        <v>2.690,40</v>
      </c>
      <c r="N5110" s="8" t="s">
        <v>124</v>
      </c>
      <c r="O5110" s="7"/>
      <c r="P5110" s="2" t="s">
        <v>5614</v>
      </c>
      <c r="Q5110" s="7"/>
      <c r="R5110" s="1"/>
      <c r="S5110" s="1" t="str">
        <f>"J-UN-2022-2256"</f>
        <v>J-UN-2022-2256</v>
      </c>
      <c r="T5110" s="1" t="s">
        <v>32</v>
      </c>
    </row>
    <row r="5111" spans="1:20" ht="51" x14ac:dyDescent="0.25">
      <c r="A5111" s="6">
        <v>5090</v>
      </c>
      <c r="B5111" s="1" t="str">
        <f>"2022-535"</f>
        <v>2022-535</v>
      </c>
      <c r="C5111" s="1" t="s">
        <v>2561</v>
      </c>
      <c r="D5111" s="1" t="s">
        <v>2156</v>
      </c>
      <c r="E5111" s="1" t="str">
        <f>""</f>
        <v/>
      </c>
      <c r="F5111" s="1" t="s">
        <v>1860</v>
      </c>
      <c r="G5111" s="1" t="str">
        <f>CONCATENATE(" PRIMAT-RD D.O.O.,"," ZASTAVNICE 11,"," 10251 HRVATSKI LESKOVAC,"," OIB: 03868412563")</f>
        <v xml:space="preserve"> PRIMAT-RD D.O.O., ZASTAVNICE 11, 10251 HRVATSKI LESKOVAC, OIB: 03868412563</v>
      </c>
      <c r="H5111" s="7"/>
      <c r="I5111" s="8" t="s">
        <v>433</v>
      </c>
      <c r="J5111" s="8" t="s">
        <v>3279</v>
      </c>
      <c r="K5111" s="6" t="str">
        <f>"12.204,75"</f>
        <v>12.204,75</v>
      </c>
      <c r="L5111" s="6" t="str">
        <f>"3.051,19"</f>
        <v>3.051,19</v>
      </c>
      <c r="M5111" s="6" t="str">
        <f>"15.255,94"</f>
        <v>15.255,94</v>
      </c>
      <c r="N5111" s="8" t="s">
        <v>124</v>
      </c>
      <c r="O5111" s="7"/>
      <c r="P5111" s="2" t="s">
        <v>5614</v>
      </c>
      <c r="Q5111" s="7"/>
      <c r="R5111" s="1"/>
      <c r="S5111" s="1" t="str">
        <f>"J-UN-2022-2258"</f>
        <v>J-UN-2022-2258</v>
      </c>
      <c r="T5111" s="1" t="s">
        <v>32</v>
      </c>
    </row>
    <row r="5112" spans="1:20" ht="63.75" x14ac:dyDescent="0.25">
      <c r="A5112" s="6">
        <v>5091</v>
      </c>
      <c r="B5112" s="1" t="str">
        <f>"2022-900"</f>
        <v>2022-900</v>
      </c>
      <c r="C5112" s="1" t="s">
        <v>2702</v>
      </c>
      <c r="D5112" s="1" t="s">
        <v>1209</v>
      </c>
      <c r="E5112" s="1" t="str">
        <f>""</f>
        <v/>
      </c>
      <c r="F5112" s="1" t="s">
        <v>1860</v>
      </c>
      <c r="G5112" s="1" t="str">
        <f>CONCATENATE(" DRÄGER SAFETY D.O.O.,"," AVENIJA VEĆESLAVA HOLJEVCA 40,"," 10010 ZAGREB,"," OIB: 32874587842")</f>
        <v xml:space="preserve"> DRÄGER SAFETY D.O.O., AVENIJA VEĆESLAVA HOLJEVCA 40, 10010 ZAGREB, OIB: 32874587842</v>
      </c>
      <c r="H5112" s="7"/>
      <c r="I5112" s="8" t="s">
        <v>121</v>
      </c>
      <c r="J5112" s="8" t="s">
        <v>3286</v>
      </c>
      <c r="K5112" s="6" t="str">
        <f>"963,00"</f>
        <v>963,00</v>
      </c>
      <c r="L5112" s="6" t="str">
        <f>"240,75"</f>
        <v>240,75</v>
      </c>
      <c r="M5112" s="6" t="str">
        <f>"1.203,75"</f>
        <v>1.203,75</v>
      </c>
      <c r="N5112" s="8" t="s">
        <v>124</v>
      </c>
      <c r="O5112" s="7"/>
      <c r="P5112" s="2" t="s">
        <v>5614</v>
      </c>
      <c r="Q5112" s="7"/>
      <c r="R5112" s="1"/>
      <c r="S5112" s="1" t="str">
        <f>"J-UN-2022-2259"</f>
        <v>J-UN-2022-2259</v>
      </c>
      <c r="T5112" s="1" t="s">
        <v>32</v>
      </c>
    </row>
    <row r="5113" spans="1:20" ht="76.5" x14ac:dyDescent="0.25">
      <c r="A5113" s="6">
        <v>5092</v>
      </c>
      <c r="B5113" s="1" t="str">
        <f>"2022-732"</f>
        <v>2022-732</v>
      </c>
      <c r="C5113" s="1" t="s">
        <v>2806</v>
      </c>
      <c r="D5113" s="1" t="s">
        <v>914</v>
      </c>
      <c r="E5113" s="1" t="str">
        <f>""</f>
        <v/>
      </c>
      <c r="F5113" s="1" t="s">
        <v>1860</v>
      </c>
      <c r="G5113" s="1" t="str">
        <f>CONCATENATE(" METALNO PLASTIČNA GALANTERIJA,"," VL. KREŠIMIR CVETKOVIĆ,"," CVETKOVIĆEV PUT 13,"," 10000 ZAGREB,"," OIB: 47166610982")</f>
        <v xml:space="preserve"> METALNO PLASTIČNA GALANTERIJA, VL. KREŠIMIR CVETKOVIĆ, CVETKOVIĆEV PUT 13, 10000 ZAGREB, OIB: 47166610982</v>
      </c>
      <c r="H5113" s="7"/>
      <c r="I5113" s="8" t="s">
        <v>170</v>
      </c>
      <c r="J5113" s="8" t="s">
        <v>1538</v>
      </c>
      <c r="K5113" s="6" t="str">
        <f>"19.030,00"</f>
        <v>19.030,00</v>
      </c>
      <c r="L5113" s="6" t="str">
        <f>"4.757,50"</f>
        <v>4.757,50</v>
      </c>
      <c r="M5113" s="6" t="str">
        <f>"23.787,50"</f>
        <v>23.787,50</v>
      </c>
      <c r="N5113" s="8" t="s">
        <v>124</v>
      </c>
      <c r="O5113" s="7"/>
      <c r="P5113" s="2" t="s">
        <v>5614</v>
      </c>
      <c r="Q5113" s="7"/>
      <c r="R5113" s="1"/>
      <c r="S5113" s="1" t="str">
        <f>"J-UN-2022-2260"</f>
        <v>J-UN-2022-2260</v>
      </c>
      <c r="T5113" s="1" t="s">
        <v>32</v>
      </c>
    </row>
    <row r="5114" spans="1:20" ht="51" x14ac:dyDescent="0.25">
      <c r="A5114" s="6">
        <v>5093</v>
      </c>
      <c r="B5114" s="1" t="str">
        <f>"2022-1191"</f>
        <v>2022-1191</v>
      </c>
      <c r="C5114" s="1" t="s">
        <v>2641</v>
      </c>
      <c r="D5114" s="1" t="s">
        <v>515</v>
      </c>
      <c r="E5114" s="1" t="str">
        <f>""</f>
        <v/>
      </c>
      <c r="F5114" s="1" t="s">
        <v>1860</v>
      </c>
      <c r="G5114" s="1" t="str">
        <f>CONCATENATE(" INSTITUT IGH D.D.,"," JANKA RAKUŠE 1,"," 10000 ZAGREB,"," OIB: 79766124714")</f>
        <v xml:space="preserve"> INSTITUT IGH D.D., JANKA RAKUŠE 1, 10000 ZAGREB, OIB: 79766124714</v>
      </c>
      <c r="H5114" s="7"/>
      <c r="I5114" s="8" t="s">
        <v>433</v>
      </c>
      <c r="J5114" s="8" t="s">
        <v>3279</v>
      </c>
      <c r="K5114" s="6" t="str">
        <f>"55.000,00"</f>
        <v>55.000,00</v>
      </c>
      <c r="L5114" s="6" t="str">
        <f>"13.750,00"</f>
        <v>13.750,00</v>
      </c>
      <c r="M5114" s="6" t="str">
        <f>"68.750,00"</f>
        <v>68.750,00</v>
      </c>
      <c r="N5114" s="8" t="s">
        <v>124</v>
      </c>
      <c r="O5114" s="7"/>
      <c r="P5114" s="2" t="s">
        <v>5614</v>
      </c>
      <c r="Q5114" s="7"/>
      <c r="R5114" s="1"/>
      <c r="S5114" s="1" t="str">
        <f>"J-UN-2022-2261"</f>
        <v>J-UN-2022-2261</v>
      </c>
      <c r="T5114" s="1" t="s">
        <v>32</v>
      </c>
    </row>
    <row r="5115" spans="1:20" ht="51" x14ac:dyDescent="0.25">
      <c r="A5115" s="6">
        <v>5094</v>
      </c>
      <c r="B5115" s="1" t="str">
        <f>"2022-488"</f>
        <v>2022-488</v>
      </c>
      <c r="C5115" s="1" t="s">
        <v>2714</v>
      </c>
      <c r="D5115" s="1" t="s">
        <v>619</v>
      </c>
      <c r="E5115" s="1" t="str">
        <f>""</f>
        <v/>
      </c>
      <c r="F5115" s="1" t="s">
        <v>1860</v>
      </c>
      <c r="G5115" s="1" t="str">
        <f>CONCATENATE(" NIACO D.O.O.,"," IVANA KAMENARIĆA 9,"," 10380 SVETI IVAN ZELINA,"," OIB: 61876916009")</f>
        <v xml:space="preserve"> NIACO D.O.O., IVANA KAMENARIĆA 9, 10380 SVETI IVAN ZELINA, OIB: 61876916009</v>
      </c>
      <c r="H5115" s="7"/>
      <c r="I5115" s="8" t="s">
        <v>121</v>
      </c>
      <c r="J5115" s="8" t="s">
        <v>3286</v>
      </c>
      <c r="K5115" s="6" t="str">
        <f>"1.360,00"</f>
        <v>1.360,00</v>
      </c>
      <c r="L5115" s="6" t="str">
        <f>"340,00"</f>
        <v>340,00</v>
      </c>
      <c r="M5115" s="6" t="str">
        <f>"1.700,00"</f>
        <v>1.700,00</v>
      </c>
      <c r="N5115" s="8" t="s">
        <v>124</v>
      </c>
      <c r="O5115" s="7"/>
      <c r="P5115" s="2" t="s">
        <v>5614</v>
      </c>
      <c r="Q5115" s="7"/>
      <c r="R5115" s="1"/>
      <c r="S5115" s="1" t="str">
        <f>"J-UN-2022-2263"</f>
        <v>J-UN-2022-2263</v>
      </c>
      <c r="T5115" s="1" t="s">
        <v>32</v>
      </c>
    </row>
    <row r="5116" spans="1:20" ht="63.75" x14ac:dyDescent="0.25">
      <c r="A5116" s="6">
        <v>5095</v>
      </c>
      <c r="B5116" s="1" t="str">
        <f>"2022-600"</f>
        <v>2022-600</v>
      </c>
      <c r="C5116" s="1" t="s">
        <v>2817</v>
      </c>
      <c r="D5116" s="1" t="s">
        <v>2818</v>
      </c>
      <c r="E5116" s="1" t="str">
        <f>""</f>
        <v/>
      </c>
      <c r="F5116" s="1" t="s">
        <v>1860</v>
      </c>
      <c r="G5116" s="1" t="str">
        <f>CONCATENATE(" TOKIĆ D.O.O.,"," ULICA 144. BRIGADE HRVATSKE VOJSKE 1A,"," 10360 SESVETE,"," OIB: 7486748762")</f>
        <v xml:space="preserve"> TOKIĆ D.O.O., ULICA 144. BRIGADE HRVATSKE VOJSKE 1A, 10360 SESVETE, OIB: 7486748762</v>
      </c>
      <c r="H5116" s="7"/>
      <c r="I5116" s="8" t="s">
        <v>121</v>
      </c>
      <c r="J5116" s="8" t="s">
        <v>3286</v>
      </c>
      <c r="K5116" s="6" t="str">
        <f>"2.356,20"</f>
        <v>2.356,20</v>
      </c>
      <c r="L5116" s="6" t="str">
        <f>"589,05"</f>
        <v>589,05</v>
      </c>
      <c r="M5116" s="6" t="str">
        <f>"2.945,25"</f>
        <v>2.945,25</v>
      </c>
      <c r="N5116" s="8" t="s">
        <v>124</v>
      </c>
      <c r="O5116" s="7"/>
      <c r="P5116" s="2" t="s">
        <v>5614</v>
      </c>
      <c r="Q5116" s="7"/>
      <c r="R5116" s="1"/>
      <c r="S5116" s="1" t="str">
        <f>"J-UN-2022-2264"</f>
        <v>J-UN-2022-2264</v>
      </c>
      <c r="T5116" s="1" t="s">
        <v>32</v>
      </c>
    </row>
    <row r="5117" spans="1:20" ht="51" x14ac:dyDescent="0.25">
      <c r="A5117" s="6">
        <v>5096</v>
      </c>
      <c r="B5117" s="1" t="str">
        <f>"2022-2045"</f>
        <v>2022-2045</v>
      </c>
      <c r="C5117" s="1" t="s">
        <v>2363</v>
      </c>
      <c r="D5117" s="1" t="s">
        <v>673</v>
      </c>
      <c r="E5117" s="1" t="str">
        <f>""</f>
        <v/>
      </c>
      <c r="F5117" s="1" t="s">
        <v>1860</v>
      </c>
      <c r="G5117" s="1" t="str">
        <f>CONCATENATE(" HALKIĆ INTERIJERI J.D.O.O.,"," V. KOZARI PUT 12,"," 10000 ZAGREB,"," OIB: 54232082773")</f>
        <v xml:space="preserve"> HALKIĆ INTERIJERI J.D.O.O., V. KOZARI PUT 12, 10000 ZAGREB, OIB: 54232082773</v>
      </c>
      <c r="H5117" s="7"/>
      <c r="I5117" s="8" t="s">
        <v>146</v>
      </c>
      <c r="J5117" s="8" t="s">
        <v>2253</v>
      </c>
      <c r="K5117" s="6" t="str">
        <f>"20.083,00"</f>
        <v>20.083,00</v>
      </c>
      <c r="L5117" s="6" t="str">
        <f>"5.020,75"</f>
        <v>5.020,75</v>
      </c>
      <c r="M5117" s="6" t="str">
        <f>"25.103,75"</f>
        <v>25.103,75</v>
      </c>
      <c r="N5117" s="8" t="s">
        <v>124</v>
      </c>
      <c r="O5117" s="7"/>
      <c r="P5117" s="2" t="s">
        <v>5614</v>
      </c>
      <c r="Q5117" s="7"/>
      <c r="R5117" s="1"/>
      <c r="S5117" s="1" t="str">
        <f>"J-UN-2022-2265"</f>
        <v>J-UN-2022-2265</v>
      </c>
      <c r="T5117" s="1" t="s">
        <v>32</v>
      </c>
    </row>
    <row r="5118" spans="1:20" ht="63.75" x14ac:dyDescent="0.25">
      <c r="A5118" s="6">
        <v>5097</v>
      </c>
      <c r="B5118" s="1" t="str">
        <f>"2022-1416"</f>
        <v>2022-1416</v>
      </c>
      <c r="C5118" s="1" t="s">
        <v>2991</v>
      </c>
      <c r="D5118" s="1" t="s">
        <v>2992</v>
      </c>
      <c r="E5118" s="1" t="str">
        <f>""</f>
        <v/>
      </c>
      <c r="F5118" s="1" t="s">
        <v>1860</v>
      </c>
      <c r="G5118" s="1" t="str">
        <f t="shared" ref="G5118:G5123" si="238">CONCATENATE(" LANIŠTE D.O.O.,"," ALEXANDERA VON HUMBOLDTA 4B,"," 10000 ZAGREB,"," OIB: 3755384865")</f>
        <v xml:space="preserve"> LANIŠTE D.O.O., ALEXANDERA VON HUMBOLDTA 4B, 10000 ZAGREB, OIB: 3755384865</v>
      </c>
      <c r="H5118" s="7"/>
      <c r="I5118" s="8" t="s">
        <v>121</v>
      </c>
      <c r="J5118" s="8" t="s">
        <v>3286</v>
      </c>
      <c r="K5118" s="6" t="str">
        <f>"3.636,00"</f>
        <v>3.636,00</v>
      </c>
      <c r="L5118" s="6" t="str">
        <f>"909,00"</f>
        <v>909,00</v>
      </c>
      <c r="M5118" s="6" t="str">
        <f>"4.545,00"</f>
        <v>4.545,00</v>
      </c>
      <c r="N5118" s="8" t="s">
        <v>124</v>
      </c>
      <c r="O5118" s="7"/>
      <c r="P5118" s="2" t="s">
        <v>5614</v>
      </c>
      <c r="Q5118" s="7"/>
      <c r="R5118" s="1"/>
      <c r="S5118" s="1" t="str">
        <f>"J-UN-2022-2266"</f>
        <v>J-UN-2022-2266</v>
      </c>
      <c r="T5118" s="1" t="s">
        <v>32</v>
      </c>
    </row>
    <row r="5119" spans="1:20" ht="63.75" x14ac:dyDescent="0.25">
      <c r="A5119" s="6">
        <v>5098</v>
      </c>
      <c r="B5119" s="1" t="str">
        <f>"2022-1429"</f>
        <v>2022-1429</v>
      </c>
      <c r="C5119" s="1" t="s">
        <v>2984</v>
      </c>
      <c r="D5119" s="1" t="s">
        <v>2985</v>
      </c>
      <c r="E5119" s="1" t="str">
        <f>""</f>
        <v/>
      </c>
      <c r="F5119" s="1" t="s">
        <v>1860</v>
      </c>
      <c r="G5119" s="1" t="str">
        <f t="shared" si="238"/>
        <v xml:space="preserve"> LANIŠTE D.O.O., ALEXANDERA VON HUMBOLDTA 4B, 10000 ZAGREB, OIB: 3755384865</v>
      </c>
      <c r="H5119" s="7"/>
      <c r="I5119" s="8" t="s">
        <v>121</v>
      </c>
      <c r="J5119" s="8" t="s">
        <v>3286</v>
      </c>
      <c r="K5119" s="6" t="str">
        <f>"4.032,00"</f>
        <v>4.032,00</v>
      </c>
      <c r="L5119" s="6" t="str">
        <f>"1.008,00"</f>
        <v>1.008,00</v>
      </c>
      <c r="M5119" s="6" t="str">
        <f>"5.040,00"</f>
        <v>5.040,00</v>
      </c>
      <c r="N5119" s="8" t="s">
        <v>124</v>
      </c>
      <c r="O5119" s="7"/>
      <c r="P5119" s="2" t="s">
        <v>5614</v>
      </c>
      <c r="Q5119" s="7"/>
      <c r="R5119" s="1"/>
      <c r="S5119" s="1" t="str">
        <f>"J-UN-2022-2267"</f>
        <v>J-UN-2022-2267</v>
      </c>
      <c r="T5119" s="1" t="s">
        <v>32</v>
      </c>
    </row>
    <row r="5120" spans="1:20" ht="63.75" x14ac:dyDescent="0.25">
      <c r="A5120" s="6">
        <v>5099</v>
      </c>
      <c r="B5120" s="1" t="str">
        <f>"2022-1430"</f>
        <v>2022-1430</v>
      </c>
      <c r="C5120" s="1" t="s">
        <v>2986</v>
      </c>
      <c r="D5120" s="1" t="s">
        <v>2985</v>
      </c>
      <c r="E5120" s="1" t="str">
        <f>""</f>
        <v/>
      </c>
      <c r="F5120" s="1" t="s">
        <v>1860</v>
      </c>
      <c r="G5120" s="1" t="str">
        <f t="shared" si="238"/>
        <v xml:space="preserve"> LANIŠTE D.O.O., ALEXANDERA VON HUMBOLDTA 4B, 10000 ZAGREB, OIB: 3755384865</v>
      </c>
      <c r="H5120" s="7"/>
      <c r="I5120" s="8" t="s">
        <v>121</v>
      </c>
      <c r="J5120" s="8" t="s">
        <v>3286</v>
      </c>
      <c r="K5120" s="6" t="str">
        <f>"4.032,00"</f>
        <v>4.032,00</v>
      </c>
      <c r="L5120" s="6" t="str">
        <f>"1.008,00"</f>
        <v>1.008,00</v>
      </c>
      <c r="M5120" s="6" t="str">
        <f>"5.040,00"</f>
        <v>5.040,00</v>
      </c>
      <c r="N5120" s="8" t="s">
        <v>124</v>
      </c>
      <c r="O5120" s="7"/>
      <c r="P5120" s="2" t="s">
        <v>5614</v>
      </c>
      <c r="Q5120" s="7"/>
      <c r="R5120" s="1"/>
      <c r="S5120" s="1" t="str">
        <f>"J-UN-2022-2268"</f>
        <v>J-UN-2022-2268</v>
      </c>
      <c r="T5120" s="1" t="s">
        <v>32</v>
      </c>
    </row>
    <row r="5121" spans="1:20" ht="63.75" x14ac:dyDescent="0.25">
      <c r="A5121" s="6">
        <v>5100</v>
      </c>
      <c r="B5121" s="1" t="str">
        <f>"2022-1321"</f>
        <v>2022-1321</v>
      </c>
      <c r="C5121" s="1" t="s">
        <v>2987</v>
      </c>
      <c r="D5121" s="1" t="s">
        <v>2988</v>
      </c>
      <c r="E5121" s="1" t="str">
        <f>""</f>
        <v/>
      </c>
      <c r="F5121" s="1" t="s">
        <v>1860</v>
      </c>
      <c r="G5121" s="1" t="str">
        <f t="shared" si="238"/>
        <v xml:space="preserve"> LANIŠTE D.O.O., ALEXANDERA VON HUMBOLDTA 4B, 10000 ZAGREB, OIB: 3755384865</v>
      </c>
      <c r="H5121" s="7"/>
      <c r="I5121" s="8" t="s">
        <v>170</v>
      </c>
      <c r="J5121" s="8" t="s">
        <v>1538</v>
      </c>
      <c r="K5121" s="6" t="str">
        <f>"4.032,00"</f>
        <v>4.032,00</v>
      </c>
      <c r="L5121" s="6" t="str">
        <f>"1.008,00"</f>
        <v>1.008,00</v>
      </c>
      <c r="M5121" s="6" t="str">
        <f>"5.040,00"</f>
        <v>5.040,00</v>
      </c>
      <c r="N5121" s="8" t="s">
        <v>124</v>
      </c>
      <c r="O5121" s="7"/>
      <c r="P5121" s="2" t="s">
        <v>5614</v>
      </c>
      <c r="Q5121" s="7"/>
      <c r="R5121" s="1"/>
      <c r="S5121" s="1" t="str">
        <f>"J-UN-2022-2269"</f>
        <v>J-UN-2022-2269</v>
      </c>
      <c r="T5121" s="1" t="s">
        <v>32</v>
      </c>
    </row>
    <row r="5122" spans="1:20" ht="63.75" x14ac:dyDescent="0.25">
      <c r="A5122" s="6">
        <v>5101</v>
      </c>
      <c r="B5122" s="1" t="str">
        <f>"2022-1289"</f>
        <v>2022-1289</v>
      </c>
      <c r="C5122" s="1" t="s">
        <v>2993</v>
      </c>
      <c r="D5122" s="1" t="s">
        <v>2994</v>
      </c>
      <c r="E5122" s="1" t="str">
        <f>""</f>
        <v/>
      </c>
      <c r="F5122" s="1" t="s">
        <v>1860</v>
      </c>
      <c r="G5122" s="1" t="str">
        <f t="shared" si="238"/>
        <v xml:space="preserve"> LANIŠTE D.O.O., ALEXANDERA VON HUMBOLDTA 4B, 10000 ZAGREB, OIB: 3755384865</v>
      </c>
      <c r="H5122" s="7"/>
      <c r="I5122" s="8" t="s">
        <v>170</v>
      </c>
      <c r="J5122" s="8" t="s">
        <v>1538</v>
      </c>
      <c r="K5122" s="6" t="str">
        <f>"3.632,00"</f>
        <v>3.632,00</v>
      </c>
      <c r="L5122" s="6" t="str">
        <f>"908,00"</f>
        <v>908,00</v>
      </c>
      <c r="M5122" s="6" t="str">
        <f>"4.540,00"</f>
        <v>4.540,00</v>
      </c>
      <c r="N5122" s="8" t="s">
        <v>124</v>
      </c>
      <c r="O5122" s="7"/>
      <c r="P5122" s="2" t="s">
        <v>5614</v>
      </c>
      <c r="Q5122" s="7"/>
      <c r="R5122" s="1"/>
      <c r="S5122" s="1" t="str">
        <f>"J-UN-2022-2270"</f>
        <v>J-UN-2022-2270</v>
      </c>
      <c r="T5122" s="1" t="s">
        <v>32</v>
      </c>
    </row>
    <row r="5123" spans="1:20" ht="63.75" x14ac:dyDescent="0.25">
      <c r="A5123" s="6">
        <v>5102</v>
      </c>
      <c r="B5123" s="1" t="str">
        <f>"2022-1291"</f>
        <v>2022-1291</v>
      </c>
      <c r="C5123" s="1" t="s">
        <v>2989</v>
      </c>
      <c r="D5123" s="1" t="s">
        <v>2990</v>
      </c>
      <c r="E5123" s="1" t="str">
        <f>""</f>
        <v/>
      </c>
      <c r="F5123" s="1" t="s">
        <v>1860</v>
      </c>
      <c r="G5123" s="1" t="str">
        <f t="shared" si="238"/>
        <v xml:space="preserve"> LANIŠTE D.O.O., ALEXANDERA VON HUMBOLDTA 4B, 10000 ZAGREB, OIB: 3755384865</v>
      </c>
      <c r="H5123" s="7"/>
      <c r="I5123" s="8" t="s">
        <v>433</v>
      </c>
      <c r="J5123" s="8" t="s">
        <v>3279</v>
      </c>
      <c r="K5123" s="6" t="str">
        <f>"3.636,00"</f>
        <v>3.636,00</v>
      </c>
      <c r="L5123" s="6" t="str">
        <f>"909,00"</f>
        <v>909,00</v>
      </c>
      <c r="M5123" s="6" t="str">
        <f>"4.545,00"</f>
        <v>4.545,00</v>
      </c>
      <c r="N5123" s="8" t="s">
        <v>124</v>
      </c>
      <c r="O5123" s="7"/>
      <c r="P5123" s="2" t="s">
        <v>5614</v>
      </c>
      <c r="Q5123" s="7"/>
      <c r="R5123" s="1"/>
      <c r="S5123" s="1" t="str">
        <f>"J-UN-2022-2271"</f>
        <v>J-UN-2022-2271</v>
      </c>
      <c r="T5123" s="1" t="s">
        <v>32</v>
      </c>
    </row>
    <row r="5124" spans="1:20" ht="51" x14ac:dyDescent="0.25">
      <c r="A5124" s="6">
        <v>5103</v>
      </c>
      <c r="B5124" s="1" t="str">
        <f>"2022-1975"</f>
        <v>2022-1975</v>
      </c>
      <c r="C5124" s="1" t="s">
        <v>3251</v>
      </c>
      <c r="D5124" s="1" t="s">
        <v>766</v>
      </c>
      <c r="E5124" s="1" t="str">
        <f>""</f>
        <v/>
      </c>
      <c r="F5124" s="1" t="s">
        <v>1860</v>
      </c>
      <c r="G5124" s="1" t="str">
        <f>CONCATENATE(" INA MAZIVA D.O.O.,"," RADNIČKA CESTA 175,"," 10000 ZAGREB,"," OIB: 63988426425")</f>
        <v xml:space="preserve"> INA MAZIVA D.O.O., RADNIČKA CESTA 175, 10000 ZAGREB, OIB: 63988426425</v>
      </c>
      <c r="H5124" s="7"/>
      <c r="I5124" s="8" t="s">
        <v>170</v>
      </c>
      <c r="J5124" s="8" t="s">
        <v>1538</v>
      </c>
      <c r="K5124" s="6" t="str">
        <f>"6.900,00"</f>
        <v>6.900,00</v>
      </c>
      <c r="L5124" s="6" t="str">
        <f>"1.725,00"</f>
        <v>1.725,00</v>
      </c>
      <c r="M5124" s="6" t="str">
        <f>"8.625,00"</f>
        <v>8.625,00</v>
      </c>
      <c r="N5124" s="8" t="s">
        <v>124</v>
      </c>
      <c r="O5124" s="7"/>
      <c r="P5124" s="2" t="s">
        <v>5614</v>
      </c>
      <c r="Q5124" s="7"/>
      <c r="R5124" s="1"/>
      <c r="S5124" s="1" t="str">
        <f>"J-UN-2022-2273"</f>
        <v>J-UN-2022-2273</v>
      </c>
      <c r="T5124" s="1" t="s">
        <v>32</v>
      </c>
    </row>
    <row r="5125" spans="1:20" ht="63.75" x14ac:dyDescent="0.25">
      <c r="A5125" s="6">
        <v>5104</v>
      </c>
      <c r="B5125" s="1" t="str">
        <f>"2022-1805"</f>
        <v>2022-1805</v>
      </c>
      <c r="C5125" s="1" t="s">
        <v>3113</v>
      </c>
      <c r="D5125" s="1" t="s">
        <v>34</v>
      </c>
      <c r="E5125" s="1" t="str">
        <f>""</f>
        <v/>
      </c>
      <c r="F5125" s="1" t="s">
        <v>1860</v>
      </c>
      <c r="G5125" s="1" t="str">
        <f>CONCATENATE(" URIHO - ZAGREB,"," AVENIJA MARINA DRŽIĆA 1,"," 10000 ZAGREB,"," OIB: 77931216562")</f>
        <v xml:space="preserve"> URIHO - ZAGREB, AVENIJA MARINA DRŽIĆA 1, 10000 ZAGREB, OIB: 77931216562</v>
      </c>
      <c r="H5125" s="7"/>
      <c r="I5125" s="8" t="s">
        <v>146</v>
      </c>
      <c r="J5125" s="8" t="s">
        <v>2253</v>
      </c>
      <c r="K5125" s="6" t="str">
        <f>"15.300,00"</f>
        <v>15.300,00</v>
      </c>
      <c r="L5125" s="6" t="str">
        <f>"3.825,00"</f>
        <v>3.825,00</v>
      </c>
      <c r="M5125" s="6" t="str">
        <f>"19.125,00"</f>
        <v>19.125,00</v>
      </c>
      <c r="N5125" s="8" t="s">
        <v>124</v>
      </c>
      <c r="O5125" s="7"/>
      <c r="P5125" s="2" t="s">
        <v>5614</v>
      </c>
      <c r="Q5125" s="7"/>
      <c r="R5125" s="1"/>
      <c r="S5125" s="1" t="str">
        <f>"J-UN-2022-2274"</f>
        <v>J-UN-2022-2274</v>
      </c>
      <c r="T5125" s="1" t="s">
        <v>32</v>
      </c>
    </row>
    <row r="5126" spans="1:20" ht="51" x14ac:dyDescent="0.25">
      <c r="A5126" s="6">
        <v>5105</v>
      </c>
      <c r="B5126" s="1" t="str">
        <f>"2022-1410"</f>
        <v>2022-1410</v>
      </c>
      <c r="C5126" s="1" t="s">
        <v>2757</v>
      </c>
      <c r="D5126" s="1" t="s">
        <v>2724</v>
      </c>
      <c r="E5126" s="1" t="str">
        <f>""</f>
        <v/>
      </c>
      <c r="F5126" s="1" t="s">
        <v>1860</v>
      </c>
      <c r="G5126" s="1" t="str">
        <f>CONCATENATE(" METROALFA D.O.O.,"," KARLOVAČKA CESTA 4L,"," 10000 ZAGREB,"," OIB: 539008974")</f>
        <v xml:space="preserve"> METROALFA D.O.O., KARLOVAČKA CESTA 4L, 10000 ZAGREB, OIB: 539008974</v>
      </c>
      <c r="H5126" s="7"/>
      <c r="I5126" s="8" t="s">
        <v>489</v>
      </c>
      <c r="J5126" s="8" t="s">
        <v>1541</v>
      </c>
      <c r="K5126" s="6" t="str">
        <f>"51.200,00"</f>
        <v>51.200,00</v>
      </c>
      <c r="L5126" s="6" t="str">
        <f>"12.800,00"</f>
        <v>12.800,00</v>
      </c>
      <c r="M5126" s="6" t="str">
        <f>"64.000,00"</f>
        <v>64.000,00</v>
      </c>
      <c r="N5126" s="8" t="s">
        <v>124</v>
      </c>
      <c r="O5126" s="7"/>
      <c r="P5126" s="2" t="s">
        <v>5614</v>
      </c>
      <c r="Q5126" s="7"/>
      <c r="R5126" s="1"/>
      <c r="S5126" s="1" t="str">
        <f>"J-UN-2022-2275"</f>
        <v>J-UN-2022-2275</v>
      </c>
      <c r="T5126" s="1" t="s">
        <v>32</v>
      </c>
    </row>
    <row r="5127" spans="1:20" ht="63.75" x14ac:dyDescent="0.25">
      <c r="A5127" s="6">
        <v>5106</v>
      </c>
      <c r="B5127" s="1" t="str">
        <f>"2022-1434"</f>
        <v>2022-1434</v>
      </c>
      <c r="C5127" s="1" t="s">
        <v>2558</v>
      </c>
      <c r="D5127" s="1" t="s">
        <v>860</v>
      </c>
      <c r="E5127" s="1" t="str">
        <f>""</f>
        <v/>
      </c>
      <c r="F5127" s="1" t="s">
        <v>1860</v>
      </c>
      <c r="G5127" s="1" t="str">
        <f>CONCATENATE(" STROJOGRADNJA,"," VL. DORA PERŠI,"," RAKITJE,"," RADNIČKA 9,"," 10431 SVETA NEDJELJA,"," OIB: 72791562742")</f>
        <v xml:space="preserve"> STROJOGRADNJA, VL. DORA PERŠI, RAKITJE, RADNIČKA 9, 10431 SVETA NEDJELJA, OIB: 72791562742</v>
      </c>
      <c r="H5127" s="7"/>
      <c r="I5127" s="8" t="s">
        <v>433</v>
      </c>
      <c r="J5127" s="8" t="s">
        <v>3279</v>
      </c>
      <c r="K5127" s="6" t="str">
        <f>"4.425,00"</f>
        <v>4.425,00</v>
      </c>
      <c r="L5127" s="6" t="str">
        <f>"1.106,25"</f>
        <v>1.106,25</v>
      </c>
      <c r="M5127" s="6" t="str">
        <f>"5.531,25"</f>
        <v>5.531,25</v>
      </c>
      <c r="N5127" s="8" t="s">
        <v>124</v>
      </c>
      <c r="O5127" s="7"/>
      <c r="P5127" s="2" t="s">
        <v>5614</v>
      </c>
      <c r="Q5127" s="7"/>
      <c r="R5127" s="1"/>
      <c r="S5127" s="1" t="str">
        <f>"J-UN-2022-2276"</f>
        <v>J-UN-2022-2276</v>
      </c>
      <c r="T5127" s="1" t="s">
        <v>32</v>
      </c>
    </row>
    <row r="5128" spans="1:20" ht="51" x14ac:dyDescent="0.25">
      <c r="A5128" s="6">
        <v>5107</v>
      </c>
      <c r="B5128" s="1" t="str">
        <f>"2022-427"</f>
        <v>2022-427</v>
      </c>
      <c r="C5128" s="1" t="s">
        <v>3082</v>
      </c>
      <c r="D5128" s="1" t="s">
        <v>2577</v>
      </c>
      <c r="E5128" s="1" t="str">
        <f>""</f>
        <v/>
      </c>
      <c r="F5128" s="1" t="s">
        <v>1860</v>
      </c>
      <c r="G5128" s="1" t="str">
        <f>CONCATENATE(" VISINA DIR D.O.O.,"," SAVSKA CESTA 1A,"," 10437 BRESTOVJE,"," OIB: 69154724516")</f>
        <v xml:space="preserve"> VISINA DIR D.O.O., SAVSKA CESTA 1A, 10437 BRESTOVJE, OIB: 69154724516</v>
      </c>
      <c r="H5128" s="7"/>
      <c r="I5128" s="8" t="s">
        <v>489</v>
      </c>
      <c r="J5128" s="8" t="s">
        <v>1541</v>
      </c>
      <c r="K5128" s="6" t="str">
        <f>"1.876,12"</f>
        <v>1.876,12</v>
      </c>
      <c r="L5128" s="6" t="str">
        <f>"469,03"</f>
        <v>469,03</v>
      </c>
      <c r="M5128" s="6" t="str">
        <f>"2.345,15"</f>
        <v>2.345,15</v>
      </c>
      <c r="N5128" s="8" t="s">
        <v>124</v>
      </c>
      <c r="O5128" s="7"/>
      <c r="P5128" s="2" t="s">
        <v>5614</v>
      </c>
      <c r="Q5128" s="7"/>
      <c r="R5128" s="1"/>
      <c r="S5128" s="1" t="str">
        <f>"J-UN-2022-2277"</f>
        <v>J-UN-2022-2277</v>
      </c>
      <c r="T5128" s="1" t="s">
        <v>32</v>
      </c>
    </row>
    <row r="5129" spans="1:20" ht="51" x14ac:dyDescent="0.25">
      <c r="A5129" s="6">
        <v>5108</v>
      </c>
      <c r="B5129" s="1" t="str">
        <f>"2022-2069"</f>
        <v>2022-2069</v>
      </c>
      <c r="C5129" s="1" t="s">
        <v>3288</v>
      </c>
      <c r="D5129" s="1" t="s">
        <v>3289</v>
      </c>
      <c r="E5129" s="1" t="str">
        <f>""</f>
        <v/>
      </c>
      <c r="F5129" s="1" t="s">
        <v>1860</v>
      </c>
      <c r="G5129" s="1" t="str">
        <f>CONCATENATE(" AUREL D.O.O.,"," BORONGAJSKA CESTA bb,"," 10000 ZAGREB,"," OIB: 62871653225")</f>
        <v xml:space="preserve"> AUREL D.O.O., BORONGAJSKA CESTA bb, 10000 ZAGREB, OIB: 62871653225</v>
      </c>
      <c r="H5129" s="7"/>
      <c r="I5129" s="8" t="s">
        <v>112</v>
      </c>
      <c r="J5129" s="8" t="s">
        <v>1488</v>
      </c>
      <c r="K5129" s="6" t="str">
        <f>"24.000,00"</f>
        <v>24.000,00</v>
      </c>
      <c r="L5129" s="6" t="str">
        <f>"6.000,00"</f>
        <v>6.000,00</v>
      </c>
      <c r="M5129" s="6" t="str">
        <f>"30.000,00"</f>
        <v>30.000,00</v>
      </c>
      <c r="N5129" s="8" t="s">
        <v>124</v>
      </c>
      <c r="O5129" s="7"/>
      <c r="P5129" s="2" t="s">
        <v>5614</v>
      </c>
      <c r="Q5129" s="7"/>
      <c r="R5129" s="1"/>
      <c r="S5129" s="1" t="str">
        <f>"J-UN-2022-2278"</f>
        <v>J-UN-2022-2278</v>
      </c>
      <c r="T5129" s="1" t="s">
        <v>32</v>
      </c>
    </row>
    <row r="5130" spans="1:20" ht="76.5" x14ac:dyDescent="0.25">
      <c r="A5130" s="6">
        <v>5109</v>
      </c>
      <c r="B5130" s="1" t="str">
        <f>"2022-2067"</f>
        <v>2022-2067</v>
      </c>
      <c r="C5130" s="1" t="s">
        <v>3290</v>
      </c>
      <c r="D5130" s="1" t="s">
        <v>1150</v>
      </c>
      <c r="E5130" s="1" t="str">
        <f>""</f>
        <v/>
      </c>
      <c r="F5130" s="1" t="s">
        <v>1860</v>
      </c>
      <c r="G5130" s="1" t="str">
        <f>CONCATENATE(" ZAGREBAČKO ELEKTROTEHNIČKO PODUZEĆE D.D.,"," DRAŠKOVIĆEVA 54,"," 10000 ZAGREB,"," OIB: 04058897454")</f>
        <v xml:space="preserve"> ZAGREBAČKO ELEKTROTEHNIČKO PODUZEĆE D.D., DRAŠKOVIĆEVA 54, 10000 ZAGREB, OIB: 04058897454</v>
      </c>
      <c r="H5130" s="7"/>
      <c r="I5130" s="8" t="s">
        <v>146</v>
      </c>
      <c r="J5130" s="8" t="s">
        <v>2253</v>
      </c>
      <c r="K5130" s="6" t="str">
        <f>"51.480,00"</f>
        <v>51.480,00</v>
      </c>
      <c r="L5130" s="6" t="str">
        <f>"12.870,00"</f>
        <v>12.870,00</v>
      </c>
      <c r="M5130" s="6" t="str">
        <f>"64.350,00"</f>
        <v>64.350,00</v>
      </c>
      <c r="N5130" s="8" t="s">
        <v>124</v>
      </c>
      <c r="O5130" s="7"/>
      <c r="P5130" s="2" t="s">
        <v>5614</v>
      </c>
      <c r="Q5130" s="7"/>
      <c r="R5130" s="1"/>
      <c r="S5130" s="1" t="str">
        <f>"J-UN-2022-2279"</f>
        <v>J-UN-2022-2279</v>
      </c>
      <c r="T5130" s="1" t="s">
        <v>32</v>
      </c>
    </row>
    <row r="5131" spans="1:20" ht="63.75" x14ac:dyDescent="0.25">
      <c r="A5131" s="6">
        <v>5110</v>
      </c>
      <c r="B5131" s="1" t="str">
        <f>"2022-2068"</f>
        <v>2022-2068</v>
      </c>
      <c r="C5131" s="1" t="s">
        <v>3291</v>
      </c>
      <c r="D5131" s="1" t="s">
        <v>2493</v>
      </c>
      <c r="E5131" s="1" t="str">
        <f>""</f>
        <v/>
      </c>
      <c r="F5131" s="1" t="s">
        <v>1860</v>
      </c>
      <c r="G5131" s="1" t="str">
        <f>CONCATENATE(" HIDRAULIKA KURELJA D.O.O.,"," MATENAČKA CESTA 41,"," 49290 DONJA STUBICA,"," OIB: 3092900595")</f>
        <v xml:space="preserve"> HIDRAULIKA KURELJA D.O.O., MATENAČKA CESTA 41, 49290 DONJA STUBICA, OIB: 3092900595</v>
      </c>
      <c r="H5131" s="7"/>
      <c r="I5131" s="8" t="s">
        <v>146</v>
      </c>
      <c r="J5131" s="8" t="s">
        <v>2253</v>
      </c>
      <c r="K5131" s="6" t="str">
        <f>"44.222,67"</f>
        <v>44.222,67</v>
      </c>
      <c r="L5131" s="6" t="str">
        <f>"11.055,67"</f>
        <v>11.055,67</v>
      </c>
      <c r="M5131" s="6" t="str">
        <f>"55.278,34"</f>
        <v>55.278,34</v>
      </c>
      <c r="N5131" s="8" t="s">
        <v>124</v>
      </c>
      <c r="O5131" s="7"/>
      <c r="P5131" s="2" t="s">
        <v>5614</v>
      </c>
      <c r="Q5131" s="7"/>
      <c r="R5131" s="1"/>
      <c r="S5131" s="1" t="str">
        <f>"J-UN-2022-2280"</f>
        <v>J-UN-2022-2280</v>
      </c>
      <c r="T5131" s="1" t="s">
        <v>32</v>
      </c>
    </row>
    <row r="5132" spans="1:20" ht="51" x14ac:dyDescent="0.25">
      <c r="A5132" s="6">
        <v>5111</v>
      </c>
      <c r="B5132" s="1" t="str">
        <f>"2022-709"</f>
        <v>2022-709</v>
      </c>
      <c r="C5132" s="1" t="s">
        <v>2798</v>
      </c>
      <c r="D5132" s="1" t="s">
        <v>914</v>
      </c>
      <c r="E5132" s="1" t="str">
        <f>""</f>
        <v/>
      </c>
      <c r="F5132" s="1" t="s">
        <v>1860</v>
      </c>
      <c r="G5132" s="1" t="str">
        <f>CONCATENATE(" GRAND AUTO D.O.O.,"," LJUBLJANSKA AVENIJA 4,"," 10000 ZAGREB,"," OIB: 30176496729")</f>
        <v xml:space="preserve"> GRAND AUTO D.O.O., LJUBLJANSKA AVENIJA 4, 10000 ZAGREB, OIB: 30176496729</v>
      </c>
      <c r="H5132" s="7"/>
      <c r="I5132" s="8" t="s">
        <v>146</v>
      </c>
      <c r="J5132" s="8" t="s">
        <v>2253</v>
      </c>
      <c r="K5132" s="6" t="str">
        <f>"7.545,08"</f>
        <v>7.545,08</v>
      </c>
      <c r="L5132" s="6" t="str">
        <f>"1.886,27"</f>
        <v>1.886,27</v>
      </c>
      <c r="M5132" s="6" t="str">
        <f>"9.431,35"</f>
        <v>9.431,35</v>
      </c>
      <c r="N5132" s="8" t="s">
        <v>124</v>
      </c>
      <c r="O5132" s="7"/>
      <c r="P5132" s="2" t="s">
        <v>5614</v>
      </c>
      <c r="Q5132" s="7"/>
      <c r="R5132" s="1"/>
      <c r="S5132" s="1" t="str">
        <f>"J-UN-2022-2281"</f>
        <v>J-UN-2022-2281</v>
      </c>
      <c r="T5132" s="1" t="s">
        <v>32</v>
      </c>
    </row>
    <row r="5133" spans="1:20" ht="76.5" x14ac:dyDescent="0.25">
      <c r="A5133" s="6">
        <v>5112</v>
      </c>
      <c r="B5133" s="1" t="str">
        <f>"2022-1381"</f>
        <v>2022-1381</v>
      </c>
      <c r="C5133" s="1" t="s">
        <v>2405</v>
      </c>
      <c r="D5133" s="1" t="s">
        <v>880</v>
      </c>
      <c r="E5133" s="1" t="str">
        <f>""</f>
        <v/>
      </c>
      <c r="F5133" s="1" t="s">
        <v>1860</v>
      </c>
      <c r="G5133" s="1" t="str">
        <f>CONCATENATE(" USTANOVA ZA ZDRAVSTVENU SKRB VAŠ PREGLED,"," TRPINJSKA 5A,"," 10000 ZAGREB,"," OIB: 83321839235")</f>
        <v xml:space="preserve"> USTANOVA ZA ZDRAVSTVENU SKRB VAŠ PREGLED, TRPINJSKA 5A, 10000 ZAGREB, OIB: 83321839235</v>
      </c>
      <c r="H5133" s="7"/>
      <c r="I5133" s="8" t="s">
        <v>433</v>
      </c>
      <c r="J5133" s="8" t="s">
        <v>3279</v>
      </c>
      <c r="K5133" s="6" t="str">
        <f>"1.235,00"</f>
        <v>1.235,00</v>
      </c>
      <c r="L5133" s="6" t="str">
        <f>"308,75"</f>
        <v>308,75</v>
      </c>
      <c r="M5133" s="6" t="str">
        <f>"1.543,75"</f>
        <v>1.543,75</v>
      </c>
      <c r="N5133" s="8" t="s">
        <v>124</v>
      </c>
      <c r="O5133" s="7"/>
      <c r="P5133" s="2" t="s">
        <v>5614</v>
      </c>
      <c r="Q5133" s="7"/>
      <c r="R5133" s="1"/>
      <c r="S5133" s="1" t="str">
        <f>"J-UN-2022-2282"</f>
        <v>J-UN-2022-2282</v>
      </c>
      <c r="T5133" s="1" t="s">
        <v>32</v>
      </c>
    </row>
    <row r="5134" spans="1:20" ht="51" x14ac:dyDescent="0.25">
      <c r="A5134" s="6">
        <v>5113</v>
      </c>
      <c r="B5134" s="1" t="str">
        <f>"2022-963"</f>
        <v>2022-963</v>
      </c>
      <c r="C5134" s="1" t="s">
        <v>2922</v>
      </c>
      <c r="D5134" s="1" t="s">
        <v>1373</v>
      </c>
      <c r="E5134" s="1" t="str">
        <f>""</f>
        <v/>
      </c>
      <c r="F5134" s="1" t="s">
        <v>1860</v>
      </c>
      <c r="G5134" s="1" t="str">
        <f>CONCATENATE(" MEGA MONT D.O.O.,"," POPOVIĆEV PUT 2/D,"," 51211 MATULJI,"," OIB: 64536314217")</f>
        <v xml:space="preserve"> MEGA MONT D.O.O., POPOVIĆEV PUT 2/D, 51211 MATULJI, OIB: 64536314217</v>
      </c>
      <c r="H5134" s="7"/>
      <c r="I5134" s="8" t="s">
        <v>121</v>
      </c>
      <c r="J5134" s="8" t="s">
        <v>3286</v>
      </c>
      <c r="K5134" s="6" t="str">
        <f>"2.310,00"</f>
        <v>2.310,00</v>
      </c>
      <c r="L5134" s="6" t="str">
        <f>"577,50"</f>
        <v>577,50</v>
      </c>
      <c r="M5134" s="6" t="str">
        <f>"2.887,50"</f>
        <v>2.887,50</v>
      </c>
      <c r="N5134" s="8" t="s">
        <v>124</v>
      </c>
      <c r="O5134" s="7"/>
      <c r="P5134" s="2" t="s">
        <v>5614</v>
      </c>
      <c r="Q5134" s="7"/>
      <c r="R5134" s="1"/>
      <c r="S5134" s="1" t="str">
        <f>"J-UN-2022-2283"</f>
        <v>J-UN-2022-2283</v>
      </c>
      <c r="T5134" s="1" t="s">
        <v>32</v>
      </c>
    </row>
    <row r="5135" spans="1:20" ht="51" x14ac:dyDescent="0.25">
      <c r="A5135" s="6">
        <v>5114</v>
      </c>
      <c r="B5135" s="1" t="str">
        <f>"2022-828"</f>
        <v>2022-828</v>
      </c>
      <c r="C5135" s="1" t="s">
        <v>2720</v>
      </c>
      <c r="D5135" s="1" t="s">
        <v>21</v>
      </c>
      <c r="E5135" s="1" t="str">
        <f>""</f>
        <v/>
      </c>
      <c r="F5135" s="1" t="s">
        <v>1860</v>
      </c>
      <c r="G5135" s="1" t="str">
        <f>CONCATENATE(" STAR IMPORT D.O.O.,"," KOVINSKA 5,"," 10090 ZAGREB-SUSEDGRAD,"," OIB: 783122799")</f>
        <v xml:space="preserve"> STAR IMPORT D.O.O., KOVINSKA 5, 10090 ZAGREB-SUSEDGRAD, OIB: 783122799</v>
      </c>
      <c r="H5135" s="7"/>
      <c r="I5135" s="8" t="s">
        <v>433</v>
      </c>
      <c r="J5135" s="8" t="s">
        <v>3279</v>
      </c>
      <c r="K5135" s="6" t="str">
        <f>"40.144,71"</f>
        <v>40.144,71</v>
      </c>
      <c r="L5135" s="6" t="str">
        <f>"10.036,18"</f>
        <v>10.036,18</v>
      </c>
      <c r="M5135" s="6" t="str">
        <f>"50.180,89"</f>
        <v>50.180,89</v>
      </c>
      <c r="N5135" s="8" t="s">
        <v>124</v>
      </c>
      <c r="O5135" s="7"/>
      <c r="P5135" s="2" t="s">
        <v>5614</v>
      </c>
      <c r="Q5135" s="7"/>
      <c r="R5135" s="1"/>
      <c r="S5135" s="1" t="str">
        <f>"J-UN-2022-2284"</f>
        <v>J-UN-2022-2284</v>
      </c>
      <c r="T5135" s="1" t="s">
        <v>32</v>
      </c>
    </row>
    <row r="5136" spans="1:20" ht="51" x14ac:dyDescent="0.25">
      <c r="A5136" s="6">
        <v>5115</v>
      </c>
      <c r="B5136" s="1" t="str">
        <f>"2022-489"</f>
        <v>2022-489</v>
      </c>
      <c r="C5136" s="1" t="s">
        <v>2679</v>
      </c>
      <c r="D5136" s="1" t="s">
        <v>619</v>
      </c>
      <c r="E5136" s="1" t="str">
        <f>""</f>
        <v/>
      </c>
      <c r="F5136" s="1" t="s">
        <v>1860</v>
      </c>
      <c r="G5136" s="1" t="str">
        <f>CONCATENATE(" TORBARINA D.O.O.,"," NOVA CESTA 3,"," 10412 DONJA LOMNICA,"," OIB: 02603292627")</f>
        <v xml:space="preserve"> TORBARINA D.O.O., NOVA CESTA 3, 10412 DONJA LOMNICA, OIB: 02603292627</v>
      </c>
      <c r="H5136" s="7"/>
      <c r="I5136" s="8" t="s">
        <v>489</v>
      </c>
      <c r="J5136" s="8" t="s">
        <v>1541</v>
      </c>
      <c r="K5136" s="6" t="str">
        <f>"54.291,20"</f>
        <v>54.291,20</v>
      </c>
      <c r="L5136" s="6" t="str">
        <f>"13.572,80"</f>
        <v>13.572,80</v>
      </c>
      <c r="M5136" s="6" t="str">
        <f>"67.864,00"</f>
        <v>67.864,00</v>
      </c>
      <c r="N5136" s="8" t="s">
        <v>124</v>
      </c>
      <c r="O5136" s="7"/>
      <c r="P5136" s="2" t="s">
        <v>5614</v>
      </c>
      <c r="Q5136" s="7"/>
      <c r="R5136" s="1"/>
      <c r="S5136" s="1" t="str">
        <f>"J-UN-2022-2285"</f>
        <v>J-UN-2022-2285</v>
      </c>
      <c r="T5136" s="1" t="s">
        <v>32</v>
      </c>
    </row>
    <row r="5137" spans="1:20" ht="63.75" x14ac:dyDescent="0.25">
      <c r="A5137" s="6">
        <v>5116</v>
      </c>
      <c r="B5137" s="1" t="str">
        <f>"2022-261"</f>
        <v>2022-261</v>
      </c>
      <c r="C5137" s="1" t="s">
        <v>2870</v>
      </c>
      <c r="D5137" s="1" t="s">
        <v>2871</v>
      </c>
      <c r="E5137" s="1" t="str">
        <f>""</f>
        <v/>
      </c>
      <c r="F5137" s="1" t="s">
        <v>1860</v>
      </c>
      <c r="G5137" s="1" t="str">
        <f>CONCATENATE(" GUMIIMPEX - GRP D.O.O.,"," PAVLEKA MIŠKINE 64C,"," 42000 VARAŽDIN,"," OIB: 8229856262")</f>
        <v xml:space="preserve"> GUMIIMPEX - GRP D.O.O., PAVLEKA MIŠKINE 64C, 42000 VARAŽDIN, OIB: 8229856262</v>
      </c>
      <c r="H5137" s="7"/>
      <c r="I5137" s="8" t="s">
        <v>489</v>
      </c>
      <c r="J5137" s="8" t="s">
        <v>1541</v>
      </c>
      <c r="K5137" s="6" t="str">
        <f>"30.532,60"</f>
        <v>30.532,60</v>
      </c>
      <c r="L5137" s="6" t="str">
        <f>"7.633,15"</f>
        <v>7.633,15</v>
      </c>
      <c r="M5137" s="6" t="str">
        <f>"38.165,75"</f>
        <v>38.165,75</v>
      </c>
      <c r="N5137" s="8" t="s">
        <v>124</v>
      </c>
      <c r="O5137" s="7"/>
      <c r="P5137" s="2" t="s">
        <v>5614</v>
      </c>
      <c r="Q5137" s="7"/>
      <c r="R5137" s="1"/>
      <c r="S5137" s="1" t="str">
        <f>"J-UN-2022-2286"</f>
        <v>J-UN-2022-2286</v>
      </c>
      <c r="T5137" s="1" t="s">
        <v>32</v>
      </c>
    </row>
    <row r="5138" spans="1:20" ht="51" x14ac:dyDescent="0.25">
      <c r="A5138" s="6">
        <v>5117</v>
      </c>
      <c r="B5138" s="1" t="str">
        <f>"2022-950"</f>
        <v>2022-950</v>
      </c>
      <c r="C5138" s="1" t="s">
        <v>2854</v>
      </c>
      <c r="D5138" s="1" t="s">
        <v>2855</v>
      </c>
      <c r="E5138" s="1" t="str">
        <f>""</f>
        <v/>
      </c>
      <c r="F5138" s="1" t="s">
        <v>1860</v>
      </c>
      <c r="G5138" s="1" t="str">
        <f>CONCATENATE(" TEHNO-HIDRAULIK D.O.O.,"," SAVIŠĆE 2,"," 10000 ZAGREB,"," OIB: 09925328419")</f>
        <v xml:space="preserve"> TEHNO-HIDRAULIK D.O.O., SAVIŠĆE 2, 10000 ZAGREB, OIB: 09925328419</v>
      </c>
      <c r="H5138" s="7"/>
      <c r="I5138" s="8" t="s">
        <v>433</v>
      </c>
      <c r="J5138" s="8" t="s">
        <v>3279</v>
      </c>
      <c r="K5138" s="6" t="str">
        <f>"1.873,87"</f>
        <v>1.873,87</v>
      </c>
      <c r="L5138" s="6" t="str">
        <f>"468,47"</f>
        <v>468,47</v>
      </c>
      <c r="M5138" s="6" t="str">
        <f>"2.342,34"</f>
        <v>2.342,34</v>
      </c>
      <c r="N5138" s="8" t="s">
        <v>124</v>
      </c>
      <c r="O5138" s="7"/>
      <c r="P5138" s="2" t="s">
        <v>5614</v>
      </c>
      <c r="Q5138" s="7"/>
      <c r="R5138" s="1"/>
      <c r="S5138" s="1" t="str">
        <f>"J-UN-2022-2287"</f>
        <v>J-UN-2022-2287</v>
      </c>
      <c r="T5138" s="1" t="s">
        <v>32</v>
      </c>
    </row>
    <row r="5139" spans="1:20" ht="51" x14ac:dyDescent="0.25">
      <c r="A5139" s="6">
        <v>5118</v>
      </c>
      <c r="B5139" s="1" t="str">
        <f>"2022-2044"</f>
        <v>2022-2044</v>
      </c>
      <c r="C5139" s="1" t="s">
        <v>3257</v>
      </c>
      <c r="D5139" s="1" t="s">
        <v>673</v>
      </c>
      <c r="E5139" s="1" t="str">
        <f>""</f>
        <v/>
      </c>
      <c r="F5139" s="1" t="s">
        <v>1860</v>
      </c>
      <c r="G5139" s="1" t="str">
        <f>CONCATENATE(" HALKIĆ INTERIJERI J.D.O.O.,"," V. KOZARI PUT 12,"," 10000 ZAGREB,"," OIB: 54232082773")</f>
        <v xml:space="preserve"> HALKIĆ INTERIJERI J.D.O.O., V. KOZARI PUT 12, 10000 ZAGREB, OIB: 54232082773</v>
      </c>
      <c r="H5139" s="7"/>
      <c r="I5139" s="8" t="s">
        <v>489</v>
      </c>
      <c r="J5139" s="8" t="s">
        <v>1541</v>
      </c>
      <c r="K5139" s="6" t="str">
        <f>"7.400,00"</f>
        <v>7.400,00</v>
      </c>
      <c r="L5139" s="6" t="str">
        <f>"1.850,00"</f>
        <v>1.850,00</v>
      </c>
      <c r="M5139" s="6" t="str">
        <f>"9.250,00"</f>
        <v>9.250,00</v>
      </c>
      <c r="N5139" s="8" t="s">
        <v>124</v>
      </c>
      <c r="O5139" s="7"/>
      <c r="P5139" s="2" t="s">
        <v>5614</v>
      </c>
      <c r="Q5139" s="7"/>
      <c r="R5139" s="1"/>
      <c r="S5139" s="1" t="str">
        <f>"J-UN-2022-2288"</f>
        <v>J-UN-2022-2288</v>
      </c>
      <c r="T5139" s="1" t="s">
        <v>32</v>
      </c>
    </row>
    <row r="5140" spans="1:20" ht="51" x14ac:dyDescent="0.25">
      <c r="A5140" s="6">
        <v>5119</v>
      </c>
      <c r="B5140" s="1" t="str">
        <f>"2022-452"</f>
        <v>2022-452</v>
      </c>
      <c r="C5140" s="1" t="s">
        <v>2881</v>
      </c>
      <c r="D5140" s="1" t="s">
        <v>2882</v>
      </c>
      <c r="E5140" s="1" t="str">
        <f>""</f>
        <v/>
      </c>
      <c r="F5140" s="1" t="s">
        <v>1860</v>
      </c>
      <c r="G5140" s="1" t="str">
        <f>CONCATENATE(" DEBENC PLUS D. O. O.,"," OSJEČKA 39,"," 51000 RIJEKA,"," OIB: 82510351433")</f>
        <v xml:space="preserve"> DEBENC PLUS D. O. O., OSJEČKA 39, 51000 RIJEKA, OIB: 82510351433</v>
      </c>
      <c r="H5140" s="7"/>
      <c r="I5140" s="8" t="s">
        <v>146</v>
      </c>
      <c r="J5140" s="8" t="s">
        <v>2253</v>
      </c>
      <c r="K5140" s="6" t="str">
        <f>"14.681,40"</f>
        <v>14.681,40</v>
      </c>
      <c r="L5140" s="6" t="str">
        <f>"3.670,35"</f>
        <v>3.670,35</v>
      </c>
      <c r="M5140" s="6" t="str">
        <f>"18.351,75"</f>
        <v>18.351,75</v>
      </c>
      <c r="N5140" s="8" t="s">
        <v>124</v>
      </c>
      <c r="O5140" s="7"/>
      <c r="P5140" s="2" t="s">
        <v>5614</v>
      </c>
      <c r="Q5140" s="7"/>
      <c r="R5140" s="1"/>
      <c r="S5140" s="1" t="str">
        <f>"J-UN-2022-2289"</f>
        <v>J-UN-2022-2289</v>
      </c>
      <c r="T5140" s="1" t="s">
        <v>32</v>
      </c>
    </row>
    <row r="5141" spans="1:20" ht="51" x14ac:dyDescent="0.25">
      <c r="A5141" s="6">
        <v>5120</v>
      </c>
      <c r="B5141" s="1" t="str">
        <f>"2022-950"</f>
        <v>2022-950</v>
      </c>
      <c r="C5141" s="1" t="s">
        <v>2854</v>
      </c>
      <c r="D5141" s="1" t="s">
        <v>2855</v>
      </c>
      <c r="E5141" s="1" t="str">
        <f>""</f>
        <v/>
      </c>
      <c r="F5141" s="1" t="s">
        <v>1860</v>
      </c>
      <c r="G5141" s="1" t="str">
        <f>CONCATENATE(" TEHNO-HIDRAULIK D.O.O.,"," SAVIŠĆE 2,"," 10000 ZAGREB,"," OIB: 09925328419")</f>
        <v xml:space="preserve"> TEHNO-HIDRAULIK D.O.O., SAVIŠĆE 2, 10000 ZAGREB, OIB: 09925328419</v>
      </c>
      <c r="H5141" s="7"/>
      <c r="I5141" s="8" t="s">
        <v>433</v>
      </c>
      <c r="J5141" s="8" t="s">
        <v>3279</v>
      </c>
      <c r="K5141" s="6" t="str">
        <f>"1.513,28"</f>
        <v>1.513,28</v>
      </c>
      <c r="L5141" s="6" t="str">
        <f>"378,32"</f>
        <v>378,32</v>
      </c>
      <c r="M5141" s="6" t="str">
        <f>"1.891,60"</f>
        <v>1.891,60</v>
      </c>
      <c r="N5141" s="8" t="s">
        <v>124</v>
      </c>
      <c r="O5141" s="7"/>
      <c r="P5141" s="2" t="s">
        <v>5614</v>
      </c>
      <c r="Q5141" s="7"/>
      <c r="R5141" s="1"/>
      <c r="S5141" s="1" t="str">
        <f>"J-UN-2022-2290"</f>
        <v>J-UN-2022-2290</v>
      </c>
      <c r="T5141" s="1" t="s">
        <v>32</v>
      </c>
    </row>
    <row r="5142" spans="1:20" ht="63.75" x14ac:dyDescent="0.25">
      <c r="A5142" s="6">
        <v>5121</v>
      </c>
      <c r="B5142" s="1" t="str">
        <f>"2022-1407"</f>
        <v>2022-1407</v>
      </c>
      <c r="C5142" s="1" t="s">
        <v>2923</v>
      </c>
      <c r="D5142" s="1" t="s">
        <v>2924</v>
      </c>
      <c r="E5142" s="1" t="str">
        <f>""</f>
        <v/>
      </c>
      <c r="F5142" s="1" t="s">
        <v>1860</v>
      </c>
      <c r="G5142" s="1" t="str">
        <f>CONCATENATE(" VODOOPSKRBA I ODVODNJA D.O.O.,"," FOLNEGOVIĆEVA 1B,"," 10000 ZAGREB,"," OIB: 83416546499")</f>
        <v xml:space="preserve"> VODOOPSKRBA I ODVODNJA D.O.O., FOLNEGOVIĆEVA 1B, 10000 ZAGREB, OIB: 83416546499</v>
      </c>
      <c r="H5142" s="7"/>
      <c r="I5142" s="8" t="s">
        <v>433</v>
      </c>
      <c r="J5142" s="8" t="s">
        <v>3279</v>
      </c>
      <c r="K5142" s="6" t="str">
        <f>"23.390,00"</f>
        <v>23.390,00</v>
      </c>
      <c r="L5142" s="6" t="str">
        <f>"5.847,50"</f>
        <v>5.847,50</v>
      </c>
      <c r="M5142" s="6" t="str">
        <f>"29.237,50"</f>
        <v>29.237,50</v>
      </c>
      <c r="N5142" s="8" t="s">
        <v>124</v>
      </c>
      <c r="O5142" s="7"/>
      <c r="P5142" s="2" t="s">
        <v>5614</v>
      </c>
      <c r="Q5142" s="7"/>
      <c r="R5142" s="1"/>
      <c r="S5142" s="1" t="str">
        <f>"J-UN-2022-2291"</f>
        <v>J-UN-2022-2291</v>
      </c>
      <c r="T5142" s="1" t="s">
        <v>32</v>
      </c>
    </row>
    <row r="5143" spans="1:20" ht="89.25" x14ac:dyDescent="0.25">
      <c r="A5143" s="6">
        <v>5122</v>
      </c>
      <c r="B5143" s="1" t="str">
        <f>"2022-1410"</f>
        <v>2022-1410</v>
      </c>
      <c r="C5143" s="1" t="s">
        <v>2757</v>
      </c>
      <c r="D5143" s="1" t="s">
        <v>2724</v>
      </c>
      <c r="E5143" s="1" t="str">
        <f>""</f>
        <v/>
      </c>
      <c r="F5143" s="1" t="s">
        <v>1860</v>
      </c>
      <c r="G5143" s="1" t="str">
        <f>CONCATENATE(" ZAVOD ZA ISTRAŽIVANJE I RAZVOJ SIGURNOSTI D.O.O.,"," ULICA GRADA VUKOVARA 68,"," 10000 ZAGREB,"," OIB: 05494093403")</f>
        <v xml:space="preserve"> ZAVOD ZA ISTRAŽIVANJE I RAZVOJ SIGURNOSTI D.O.O., ULICA GRADA VUKOVARA 68, 10000 ZAGREB, OIB: 05494093403</v>
      </c>
      <c r="H5143" s="7"/>
      <c r="I5143" s="8" t="s">
        <v>489</v>
      </c>
      <c r="J5143" s="8" t="s">
        <v>1541</v>
      </c>
      <c r="K5143" s="6" t="str">
        <f>"1.200,00"</f>
        <v>1.200,00</v>
      </c>
      <c r="L5143" s="6" t="str">
        <f>"300,00"</f>
        <v>300,00</v>
      </c>
      <c r="M5143" s="6" t="str">
        <f>"1.500,00"</f>
        <v>1.500,00</v>
      </c>
      <c r="N5143" s="8" t="s">
        <v>124</v>
      </c>
      <c r="O5143" s="7"/>
      <c r="P5143" s="2" t="s">
        <v>5614</v>
      </c>
      <c r="Q5143" s="7"/>
      <c r="R5143" s="1"/>
      <c r="S5143" s="1" t="str">
        <f>"J-UN-2022-2292"</f>
        <v>J-UN-2022-2292</v>
      </c>
      <c r="T5143" s="1" t="s">
        <v>32</v>
      </c>
    </row>
    <row r="5144" spans="1:20" ht="63.75" x14ac:dyDescent="0.25">
      <c r="A5144" s="6">
        <v>5123</v>
      </c>
      <c r="B5144" s="1" t="str">
        <f>"2022-900"</f>
        <v>2022-900</v>
      </c>
      <c r="C5144" s="1" t="s">
        <v>2702</v>
      </c>
      <c r="D5144" s="1" t="s">
        <v>1209</v>
      </c>
      <c r="E5144" s="1" t="str">
        <f>""</f>
        <v/>
      </c>
      <c r="F5144" s="1" t="s">
        <v>1860</v>
      </c>
      <c r="G5144" s="1" t="str">
        <f>CONCATENATE(" DRÄGER SAFETY D.O.O.,"," AVENIJA VEĆESLAVA HOLJEVCA 40,"," 10010 ZAGREB,"," OIB: 32874587842")</f>
        <v xml:space="preserve"> DRÄGER SAFETY D.O.O., AVENIJA VEĆESLAVA HOLJEVCA 40, 10010 ZAGREB, OIB: 32874587842</v>
      </c>
      <c r="H5144" s="7"/>
      <c r="I5144" s="8" t="s">
        <v>433</v>
      </c>
      <c r="J5144" s="8" t="s">
        <v>3279</v>
      </c>
      <c r="K5144" s="6" t="str">
        <f>"7.077,01"</f>
        <v>7.077,01</v>
      </c>
      <c r="L5144" s="6" t="str">
        <f>"1.769,25"</f>
        <v>1.769,25</v>
      </c>
      <c r="M5144" s="6" t="str">
        <f>"8.846,26"</f>
        <v>8.846,26</v>
      </c>
      <c r="N5144" s="8" t="s">
        <v>124</v>
      </c>
      <c r="O5144" s="7"/>
      <c r="P5144" s="2" t="s">
        <v>5614</v>
      </c>
      <c r="Q5144" s="7"/>
      <c r="R5144" s="1"/>
      <c r="S5144" s="1" t="str">
        <f>"J-UN-2022-2294"</f>
        <v>J-UN-2022-2294</v>
      </c>
      <c r="T5144" s="1" t="s">
        <v>32</v>
      </c>
    </row>
    <row r="5145" spans="1:20" ht="51" x14ac:dyDescent="0.25">
      <c r="A5145" s="6">
        <v>5124</v>
      </c>
      <c r="B5145" s="1" t="str">
        <f>"2022-559"</f>
        <v>2022-559</v>
      </c>
      <c r="C5145" s="1" t="s">
        <v>2877</v>
      </c>
      <c r="D5145" s="1" t="s">
        <v>794</v>
      </c>
      <c r="E5145" s="1" t="str">
        <f>""</f>
        <v/>
      </c>
      <c r="F5145" s="1" t="s">
        <v>1860</v>
      </c>
      <c r="G5145" s="1" t="str">
        <f>CONCATENATE(" PURIĆ D.O.O.,"," ANDRIJE HEBRANGA 54,"," 10430 SAMOBOR,"," OIB: 56717147376")</f>
        <v xml:space="preserve"> PURIĆ D.O.O., ANDRIJE HEBRANGA 54, 10430 SAMOBOR, OIB: 56717147376</v>
      </c>
      <c r="H5145" s="7"/>
      <c r="I5145" s="8" t="s">
        <v>433</v>
      </c>
      <c r="J5145" s="8" t="s">
        <v>3279</v>
      </c>
      <c r="K5145" s="6" t="str">
        <f>"14.432,13"</f>
        <v>14.432,13</v>
      </c>
      <c r="L5145" s="6" t="str">
        <f>"3.608,03"</f>
        <v>3.608,03</v>
      </c>
      <c r="M5145" s="6" t="str">
        <f>"18.040,16"</f>
        <v>18.040,16</v>
      </c>
      <c r="N5145" s="8" t="s">
        <v>124</v>
      </c>
      <c r="O5145" s="7"/>
      <c r="P5145" s="2" t="s">
        <v>5614</v>
      </c>
      <c r="Q5145" s="7"/>
      <c r="R5145" s="1"/>
      <c r="S5145" s="1" t="str">
        <f>"J-UN-2022-2295"</f>
        <v>J-UN-2022-2295</v>
      </c>
      <c r="T5145" s="1" t="s">
        <v>32</v>
      </c>
    </row>
    <row r="5146" spans="1:20" ht="51" x14ac:dyDescent="0.25">
      <c r="A5146" s="6">
        <v>5125</v>
      </c>
      <c r="B5146" s="1" t="str">
        <f>"2022-488"</f>
        <v>2022-488</v>
      </c>
      <c r="C5146" s="1" t="s">
        <v>2714</v>
      </c>
      <c r="D5146" s="1" t="s">
        <v>619</v>
      </c>
      <c r="E5146" s="1" t="str">
        <f>""</f>
        <v/>
      </c>
      <c r="F5146" s="1" t="s">
        <v>1860</v>
      </c>
      <c r="G5146" s="1" t="str">
        <f>CONCATENATE(" SUFIKS D.O.O.,"," MILANA REIZERA 6,"," 10430 SAMOBOR,"," OIB: 79050489204")</f>
        <v xml:space="preserve"> SUFIKS D.O.O., MILANA REIZERA 6, 10430 SAMOBOR, OIB: 79050489204</v>
      </c>
      <c r="H5146" s="7"/>
      <c r="I5146" s="8" t="s">
        <v>112</v>
      </c>
      <c r="J5146" s="8" t="s">
        <v>1488</v>
      </c>
      <c r="K5146" s="6" t="str">
        <f>"29.806,00"</f>
        <v>29.806,00</v>
      </c>
      <c r="L5146" s="6" t="str">
        <f>"7.451,50"</f>
        <v>7.451,50</v>
      </c>
      <c r="M5146" s="6" t="str">
        <f>"37.257,50"</f>
        <v>37.257,50</v>
      </c>
      <c r="N5146" s="8" t="s">
        <v>124</v>
      </c>
      <c r="O5146" s="7"/>
      <c r="P5146" s="2" t="s">
        <v>5614</v>
      </c>
      <c r="Q5146" s="7"/>
      <c r="R5146" s="1"/>
      <c r="S5146" s="1" t="str">
        <f>"J-UN-2022-2296"</f>
        <v>J-UN-2022-2296</v>
      </c>
      <c r="T5146" s="1" t="s">
        <v>32</v>
      </c>
    </row>
    <row r="5147" spans="1:20" ht="51" x14ac:dyDescent="0.25">
      <c r="A5147" s="6">
        <v>5126</v>
      </c>
      <c r="B5147" s="1" t="str">
        <f>"2022-266"</f>
        <v>2022-266</v>
      </c>
      <c r="C5147" s="1" t="s">
        <v>2513</v>
      </c>
      <c r="D5147" s="1" t="s">
        <v>665</v>
      </c>
      <c r="E5147" s="1" t="str">
        <f>""</f>
        <v/>
      </c>
      <c r="F5147" s="1" t="s">
        <v>1860</v>
      </c>
      <c r="G5147" s="1" t="str">
        <f>CONCATENATE(" OLEUM FLEX D.O.O.,"," PUŠKARIĆEVA ULICA 11F,"," 10250 LUČKO,"," OIB: 53785632625")</f>
        <v xml:space="preserve"> OLEUM FLEX D.O.O., PUŠKARIĆEVA ULICA 11F, 10250 LUČKO, OIB: 53785632625</v>
      </c>
      <c r="H5147" s="7"/>
      <c r="I5147" s="8" t="s">
        <v>170</v>
      </c>
      <c r="J5147" s="8" t="s">
        <v>1538</v>
      </c>
      <c r="K5147" s="6" t="str">
        <f>"35.262,70"</f>
        <v>35.262,70</v>
      </c>
      <c r="L5147" s="6" t="str">
        <f>"8.815,68"</f>
        <v>8.815,68</v>
      </c>
      <c r="M5147" s="6" t="str">
        <f>"44.078,38"</f>
        <v>44.078,38</v>
      </c>
      <c r="N5147" s="8" t="s">
        <v>124</v>
      </c>
      <c r="O5147" s="7"/>
      <c r="P5147" s="2" t="s">
        <v>5614</v>
      </c>
      <c r="Q5147" s="7"/>
      <c r="R5147" s="1"/>
      <c r="S5147" s="1" t="str">
        <f>"J-UN-2022-2297"</f>
        <v>J-UN-2022-2297</v>
      </c>
      <c r="T5147" s="1" t="s">
        <v>32</v>
      </c>
    </row>
    <row r="5148" spans="1:20" ht="51" x14ac:dyDescent="0.25">
      <c r="A5148" s="6">
        <v>5127</v>
      </c>
      <c r="B5148" s="1" t="str">
        <f>"2022-511"</f>
        <v>2022-511</v>
      </c>
      <c r="C5148" s="1" t="s">
        <v>2572</v>
      </c>
      <c r="D5148" s="1" t="s">
        <v>2573</v>
      </c>
      <c r="E5148" s="1" t="str">
        <f>""</f>
        <v/>
      </c>
      <c r="F5148" s="1" t="s">
        <v>1860</v>
      </c>
      <c r="G5148" s="1" t="str">
        <f>CONCATENATE(" INTIS D.O.O.,"," BUZIN,"," UL. BANI 73/A,"," 10010 ZAGREB-SLOBOŠTINA,"," OIB: 12987689544")</f>
        <v xml:space="preserve"> INTIS D.O.O., BUZIN, UL. BANI 73/A, 10010 ZAGREB-SLOBOŠTINA, OIB: 12987689544</v>
      </c>
      <c r="H5148" s="7"/>
      <c r="I5148" s="8" t="s">
        <v>146</v>
      </c>
      <c r="J5148" s="8" t="s">
        <v>2253</v>
      </c>
      <c r="K5148" s="6" t="str">
        <f>"1.080,00"</f>
        <v>1.080,00</v>
      </c>
      <c r="L5148" s="6" t="str">
        <f>"270,00"</f>
        <v>270,00</v>
      </c>
      <c r="M5148" s="6" t="str">
        <f>"1.350,00"</f>
        <v>1.350,00</v>
      </c>
      <c r="N5148" s="8" t="s">
        <v>124</v>
      </c>
      <c r="O5148" s="7"/>
      <c r="P5148" s="2" t="s">
        <v>5614</v>
      </c>
      <c r="Q5148" s="7"/>
      <c r="R5148" s="1"/>
      <c r="S5148" s="1" t="str">
        <f>"J-UN-2022-2298"</f>
        <v>J-UN-2022-2298</v>
      </c>
      <c r="T5148" s="1" t="s">
        <v>32</v>
      </c>
    </row>
    <row r="5149" spans="1:20" ht="51" x14ac:dyDescent="0.25">
      <c r="A5149" s="6">
        <v>5128</v>
      </c>
      <c r="B5149" s="1" t="str">
        <f>"2022-950"</f>
        <v>2022-950</v>
      </c>
      <c r="C5149" s="1" t="s">
        <v>2854</v>
      </c>
      <c r="D5149" s="1" t="s">
        <v>2855</v>
      </c>
      <c r="E5149" s="1" t="str">
        <f>""</f>
        <v/>
      </c>
      <c r="F5149" s="1" t="s">
        <v>1860</v>
      </c>
      <c r="G5149" s="1" t="str">
        <f>CONCATENATE(" TEHNO-HIDRAULIK D.O.O.,"," SAVIŠĆE 2,"," 10000 ZAGREB,"," OIB: 09925328419")</f>
        <v xml:space="preserve"> TEHNO-HIDRAULIK D.O.O., SAVIŠĆE 2, 10000 ZAGREB, OIB: 09925328419</v>
      </c>
      <c r="H5149" s="7"/>
      <c r="I5149" s="8" t="s">
        <v>146</v>
      </c>
      <c r="J5149" s="8" t="s">
        <v>2253</v>
      </c>
      <c r="K5149" s="6" t="str">
        <f>"245,00"</f>
        <v>245,00</v>
      </c>
      <c r="L5149" s="6" t="str">
        <f>"61,25"</f>
        <v>61,25</v>
      </c>
      <c r="M5149" s="6" t="str">
        <f>"306,25"</f>
        <v>306,25</v>
      </c>
      <c r="N5149" s="8" t="s">
        <v>124</v>
      </c>
      <c r="O5149" s="7"/>
      <c r="P5149" s="2" t="s">
        <v>5614</v>
      </c>
      <c r="Q5149" s="7"/>
      <c r="R5149" s="1"/>
      <c r="S5149" s="1" t="str">
        <f>"J-UN-2022-2300"</f>
        <v>J-UN-2022-2300</v>
      </c>
      <c r="T5149" s="1" t="s">
        <v>32</v>
      </c>
    </row>
    <row r="5150" spans="1:20" ht="63.75" x14ac:dyDescent="0.25">
      <c r="A5150" s="6">
        <v>5129</v>
      </c>
      <c r="B5150" s="1" t="str">
        <f>"2022-101"</f>
        <v>2022-101</v>
      </c>
      <c r="C5150" s="1" t="s">
        <v>2914</v>
      </c>
      <c r="D5150" s="1" t="s">
        <v>2915</v>
      </c>
      <c r="E5150" s="1" t="str">
        <f>""</f>
        <v/>
      </c>
      <c r="F5150" s="1" t="s">
        <v>1860</v>
      </c>
      <c r="G5150" s="1" t="str">
        <f>CONCATENATE(" LATEKS D.O.O.,"," G. LADUČ,"," VLADIMIRA NAZORA 17,"," 10292 ŠENKOVEC,"," OIB: 15590766668")</f>
        <v xml:space="preserve"> LATEKS D.O.O., G. LADUČ, VLADIMIRA NAZORA 17, 10292 ŠENKOVEC, OIB: 15590766668</v>
      </c>
      <c r="H5150" s="7"/>
      <c r="I5150" s="8" t="s">
        <v>121</v>
      </c>
      <c r="J5150" s="8" t="s">
        <v>3286</v>
      </c>
      <c r="K5150" s="6" t="str">
        <f>"11.440,00"</f>
        <v>11.440,00</v>
      </c>
      <c r="L5150" s="6" t="str">
        <f>"2.860,00"</f>
        <v>2.860,00</v>
      </c>
      <c r="M5150" s="6" t="str">
        <f>"14.300,00"</f>
        <v>14.300,00</v>
      </c>
      <c r="N5150" s="8" t="s">
        <v>124</v>
      </c>
      <c r="O5150" s="7"/>
      <c r="P5150" s="2" t="s">
        <v>5614</v>
      </c>
      <c r="Q5150" s="7"/>
      <c r="R5150" s="1"/>
      <c r="S5150" s="1" t="str">
        <f>"J-UN-2022-2301"</f>
        <v>J-UN-2022-2301</v>
      </c>
      <c r="T5150" s="1" t="s">
        <v>32</v>
      </c>
    </row>
    <row r="5151" spans="1:20" ht="51" x14ac:dyDescent="0.25">
      <c r="A5151" s="6">
        <v>5130</v>
      </c>
      <c r="B5151" s="1" t="str">
        <f>"2022-712"</f>
        <v>2022-712</v>
      </c>
      <c r="C5151" s="1" t="s">
        <v>2828</v>
      </c>
      <c r="D5151" s="1" t="s">
        <v>914</v>
      </c>
      <c r="E5151" s="1" t="str">
        <f>""</f>
        <v/>
      </c>
      <c r="F5151" s="1" t="s">
        <v>1860</v>
      </c>
      <c r="G5151" s="1" t="str">
        <f>CONCATENATE(" AUTO ARBANAS D.O.O.,"," SISAČKA 45,"," 10410 VELIKA GORICA,"," OIB: 98352441242")</f>
        <v xml:space="preserve"> AUTO ARBANAS D.O.O., SISAČKA 45, 10410 VELIKA GORICA, OIB: 98352441242</v>
      </c>
      <c r="H5151" s="7"/>
      <c r="I5151" s="8" t="s">
        <v>146</v>
      </c>
      <c r="J5151" s="8" t="s">
        <v>2253</v>
      </c>
      <c r="K5151" s="6" t="str">
        <f>"4.969,73"</f>
        <v>4.969,73</v>
      </c>
      <c r="L5151" s="6" t="str">
        <f>"1.242,43"</f>
        <v>1.242,43</v>
      </c>
      <c r="M5151" s="6" t="str">
        <f>"6.212,16"</f>
        <v>6.212,16</v>
      </c>
      <c r="N5151" s="8" t="s">
        <v>124</v>
      </c>
      <c r="O5151" s="7"/>
      <c r="P5151" s="2" t="s">
        <v>5614</v>
      </c>
      <c r="Q5151" s="7"/>
      <c r="R5151" s="1"/>
      <c r="S5151" s="1" t="str">
        <f>"J-UN-2022-2302"</f>
        <v>J-UN-2022-2302</v>
      </c>
      <c r="T5151" s="1" t="s">
        <v>32</v>
      </c>
    </row>
    <row r="5152" spans="1:20" ht="76.5" x14ac:dyDescent="0.25">
      <c r="A5152" s="6">
        <v>5131</v>
      </c>
      <c r="B5152" s="1" t="str">
        <f>"2022-413"</f>
        <v>2022-413</v>
      </c>
      <c r="C5152" s="1" t="s">
        <v>2773</v>
      </c>
      <c r="D5152" s="1" t="s">
        <v>2774</v>
      </c>
      <c r="E5152" s="1" t="str">
        <f>""</f>
        <v/>
      </c>
      <c r="F5152" s="1" t="s">
        <v>1860</v>
      </c>
      <c r="G5152" s="1" t="str">
        <f>CONCATENATE(" SMIT-COMMERCE D.O.O.,"," GORNJOSTUPNIČKA 9B,"," 10255 GORNJI STUPNIK,"," OIB: 9524348214")</f>
        <v xml:space="preserve"> SMIT-COMMERCE D.O.O., GORNJOSTUPNIČKA 9B, 10255 GORNJI STUPNIK, OIB: 9524348214</v>
      </c>
      <c r="H5152" s="7"/>
      <c r="I5152" s="8" t="s">
        <v>112</v>
      </c>
      <c r="J5152" s="8" t="s">
        <v>1488</v>
      </c>
      <c r="K5152" s="6" t="str">
        <f>"762,61"</f>
        <v>762,61</v>
      </c>
      <c r="L5152" s="6" t="str">
        <f>"190,65"</f>
        <v>190,65</v>
      </c>
      <c r="M5152" s="6" t="str">
        <f>"953,26"</f>
        <v>953,26</v>
      </c>
      <c r="N5152" s="8" t="s">
        <v>124</v>
      </c>
      <c r="O5152" s="7"/>
      <c r="P5152" s="2" t="s">
        <v>5614</v>
      </c>
      <c r="Q5152" s="7"/>
      <c r="R5152" s="1"/>
      <c r="S5152" s="1" t="str">
        <f>"J-UN-2022-2303"</f>
        <v>J-UN-2022-2303</v>
      </c>
      <c r="T5152" s="1" t="s">
        <v>32</v>
      </c>
    </row>
    <row r="5153" spans="1:20" ht="63.75" x14ac:dyDescent="0.25">
      <c r="A5153" s="6">
        <v>5132</v>
      </c>
      <c r="B5153" s="1" t="str">
        <f>"2022-186"</f>
        <v>2022-186</v>
      </c>
      <c r="C5153" s="1" t="s">
        <v>2534</v>
      </c>
      <c r="D5153" s="1" t="s">
        <v>2535</v>
      </c>
      <c r="E5153" s="1" t="str">
        <f>""</f>
        <v/>
      </c>
      <c r="F5153" s="1" t="s">
        <v>1860</v>
      </c>
      <c r="G5153" s="1" t="str">
        <f>CONCATENATE(" JULIUS MEINL BONFANTI D.O.O.,"," LJUBLJANSKA ULICA 4,"," 10431 SVETA NEDELJA,"," OIB: 39546130894")</f>
        <v xml:space="preserve"> JULIUS MEINL BONFANTI D.O.O., LJUBLJANSKA ULICA 4, 10431 SVETA NEDELJA, OIB: 39546130894</v>
      </c>
      <c r="H5153" s="7"/>
      <c r="I5153" s="8" t="s">
        <v>433</v>
      </c>
      <c r="J5153" s="8" t="s">
        <v>3279</v>
      </c>
      <c r="K5153" s="6" t="str">
        <f>"12.960,00"</f>
        <v>12.960,00</v>
      </c>
      <c r="L5153" s="6" t="str">
        <f>"3.240,00"</f>
        <v>3.240,00</v>
      </c>
      <c r="M5153" s="6" t="str">
        <f>"16.200,00"</f>
        <v>16.200,00</v>
      </c>
      <c r="N5153" s="8" t="s">
        <v>124</v>
      </c>
      <c r="O5153" s="7"/>
      <c r="P5153" s="2" t="s">
        <v>5614</v>
      </c>
      <c r="Q5153" s="7"/>
      <c r="R5153" s="1"/>
      <c r="S5153" s="1" t="str">
        <f>"J-UN-2022-2304"</f>
        <v>J-UN-2022-2304</v>
      </c>
      <c r="T5153" s="1" t="s">
        <v>32</v>
      </c>
    </row>
    <row r="5154" spans="1:20" ht="51" x14ac:dyDescent="0.25">
      <c r="A5154" s="6">
        <v>5133</v>
      </c>
      <c r="B5154" s="1" t="str">
        <f>"2022-2081"</f>
        <v>2022-2081</v>
      </c>
      <c r="C5154" s="1" t="s">
        <v>3292</v>
      </c>
      <c r="D5154" s="1" t="s">
        <v>1391</v>
      </c>
      <c r="E5154" s="1" t="str">
        <f>""</f>
        <v/>
      </c>
      <c r="F5154" s="1" t="s">
        <v>1860</v>
      </c>
      <c r="G5154" s="1" t="str">
        <f>CONCATENATE(" APIS IT D.O.O.,"," PALJETKOVA 18,"," 10000 ZAGREB,"," OIB: 02994650199")</f>
        <v xml:space="preserve"> APIS IT D.O.O., PALJETKOVA 18, 10000 ZAGREB, OIB: 02994650199</v>
      </c>
      <c r="H5154" s="7"/>
      <c r="I5154" s="8" t="s">
        <v>146</v>
      </c>
      <c r="J5154" s="8" t="s">
        <v>305</v>
      </c>
      <c r="K5154" s="6" t="str">
        <f>"190.891,80"</f>
        <v>190.891,80</v>
      </c>
      <c r="L5154" s="6" t="str">
        <f>"47.722,95"</f>
        <v>47.722,95</v>
      </c>
      <c r="M5154" s="6" t="str">
        <f>"238.614,75"</f>
        <v>238.614,75</v>
      </c>
      <c r="N5154" s="8" t="s">
        <v>124</v>
      </c>
      <c r="O5154" s="7"/>
      <c r="P5154" s="2" t="s">
        <v>5614</v>
      </c>
      <c r="Q5154" s="7"/>
      <c r="R5154" s="1"/>
      <c r="S5154" s="1" t="str">
        <f>"J-UN-2022-2307"</f>
        <v>J-UN-2022-2307</v>
      </c>
      <c r="T5154" s="1" t="s">
        <v>43</v>
      </c>
    </row>
    <row r="5155" spans="1:20" ht="63.75" x14ac:dyDescent="0.25">
      <c r="A5155" s="6">
        <v>5134</v>
      </c>
      <c r="B5155" s="1" t="str">
        <f>"2022-2076"</f>
        <v>2022-2076</v>
      </c>
      <c r="C5155" s="1" t="s">
        <v>3293</v>
      </c>
      <c r="D5155" s="1" t="s">
        <v>914</v>
      </c>
      <c r="E5155" s="1" t="str">
        <f>""</f>
        <v/>
      </c>
      <c r="F5155" s="1" t="s">
        <v>1860</v>
      </c>
      <c r="G5155" s="1" t="str">
        <f>CONCATENATE(" SKUBA HRVATSKA D.O.O.,"," KOVINSKA 20,"," 10000 ZAGREB,"," OIB: 42350572912")</f>
        <v xml:space="preserve"> SKUBA HRVATSKA D.O.O., KOVINSKA 20, 10000 ZAGREB, OIB: 42350572912</v>
      </c>
      <c r="H5155" s="7"/>
      <c r="I5155" s="8" t="s">
        <v>170</v>
      </c>
      <c r="J5155" s="8" t="s">
        <v>1538</v>
      </c>
      <c r="K5155" s="6" t="str">
        <f>"86.408,00"</f>
        <v>86.408,00</v>
      </c>
      <c r="L5155" s="6" t="str">
        <f>"21.602,00"</f>
        <v>21.602,00</v>
      </c>
      <c r="M5155" s="6" t="str">
        <f>"108.010,00"</f>
        <v>108.010,00</v>
      </c>
      <c r="N5155" s="8" t="s">
        <v>124</v>
      </c>
      <c r="O5155" s="7"/>
      <c r="P5155" s="2" t="s">
        <v>5614</v>
      </c>
      <c r="Q5155" s="7"/>
      <c r="R5155" s="1"/>
      <c r="S5155" s="1" t="str">
        <f>"J-UN-2022-2308"</f>
        <v>J-UN-2022-2308</v>
      </c>
      <c r="T5155" s="1" t="s">
        <v>32</v>
      </c>
    </row>
    <row r="5156" spans="1:20" ht="51" x14ac:dyDescent="0.25">
      <c r="A5156" s="6">
        <v>5135</v>
      </c>
      <c r="B5156" s="1" t="str">
        <f>"2022-2074"</f>
        <v>2022-2074</v>
      </c>
      <c r="C5156" s="1" t="s">
        <v>3294</v>
      </c>
      <c r="D5156" s="1" t="s">
        <v>2838</v>
      </c>
      <c r="E5156" s="1" t="str">
        <f>""</f>
        <v/>
      </c>
      <c r="F5156" s="1" t="s">
        <v>1860</v>
      </c>
      <c r="G5156" s="1" t="str">
        <f>CONCATENATE(" TRAFEX D.O.O.,"," ZVONIGRADSKA ULICA 14,"," 10000 ZAGREB,"," OIB: 66711243036")</f>
        <v xml:space="preserve"> TRAFEX D.O.O., ZVONIGRADSKA ULICA 14, 10000 ZAGREB, OIB: 66711243036</v>
      </c>
      <c r="H5156" s="7"/>
      <c r="I5156" s="8" t="s">
        <v>112</v>
      </c>
      <c r="J5156" s="8" t="s">
        <v>1488</v>
      </c>
      <c r="K5156" s="6" t="str">
        <f>"178.800,00"</f>
        <v>178.800,00</v>
      </c>
      <c r="L5156" s="6" t="str">
        <f>"44.700,00"</f>
        <v>44.700,00</v>
      </c>
      <c r="M5156" s="6" t="str">
        <f>"223.500,00"</f>
        <v>223.500,00</v>
      </c>
      <c r="N5156" s="8" t="s">
        <v>124</v>
      </c>
      <c r="O5156" s="7"/>
      <c r="P5156" s="2" t="s">
        <v>5614</v>
      </c>
      <c r="Q5156" s="7"/>
      <c r="R5156" s="1"/>
      <c r="S5156" s="1" t="str">
        <f>"J-UN-2022-2309"</f>
        <v>J-UN-2022-2309</v>
      </c>
      <c r="T5156" s="1" t="s">
        <v>32</v>
      </c>
    </row>
    <row r="5157" spans="1:20" ht="76.5" x14ac:dyDescent="0.25">
      <c r="A5157" s="6">
        <v>5136</v>
      </c>
      <c r="B5157" s="1" t="str">
        <f>"2022-153"</f>
        <v>2022-153</v>
      </c>
      <c r="C5157" s="1" t="s">
        <v>2510</v>
      </c>
      <c r="D5157" s="1" t="s">
        <v>1387</v>
      </c>
      <c r="E5157" s="1" t="str">
        <f>""</f>
        <v/>
      </c>
      <c r="F5157" s="1" t="s">
        <v>1860</v>
      </c>
      <c r="G5157" s="1" t="str">
        <f>CONCATENATE(" SERVIS IMP CRPKE,"," vl. Dražen Kovačić,"," STROSSMAYEROV TRG 12,"," 10450 JASTREBARSKO,"," OIB: 13145108322")</f>
        <v xml:space="preserve"> SERVIS IMP CRPKE, vl. Dražen Kovačić, STROSSMAYEROV TRG 12, 10450 JASTREBARSKO, OIB: 13145108322</v>
      </c>
      <c r="H5157" s="7"/>
      <c r="I5157" s="8" t="s">
        <v>489</v>
      </c>
      <c r="J5157" s="8" t="s">
        <v>1541</v>
      </c>
      <c r="K5157" s="6" t="str">
        <f>"880,00"</f>
        <v>880,00</v>
      </c>
      <c r="L5157" s="6" t="str">
        <f>"220,00"</f>
        <v>220,00</v>
      </c>
      <c r="M5157" s="6" t="str">
        <f>"1.100,00"</f>
        <v>1.100,00</v>
      </c>
      <c r="N5157" s="8" t="s">
        <v>124</v>
      </c>
      <c r="O5157" s="7"/>
      <c r="P5157" s="2" t="s">
        <v>5614</v>
      </c>
      <c r="Q5157" s="7"/>
      <c r="R5157" s="1"/>
      <c r="S5157" s="1" t="str">
        <f>"J-UN-2022-2310"</f>
        <v>J-UN-2022-2310</v>
      </c>
      <c r="T5157" s="1" t="s">
        <v>32</v>
      </c>
    </row>
    <row r="5158" spans="1:20" ht="76.5" x14ac:dyDescent="0.25">
      <c r="A5158" s="6">
        <v>5137</v>
      </c>
      <c r="B5158" s="1" t="str">
        <f>"2022-593"</f>
        <v>2022-593</v>
      </c>
      <c r="C5158" s="1" t="s">
        <v>2834</v>
      </c>
      <c r="D5158" s="1" t="s">
        <v>2835</v>
      </c>
      <c r="E5158" s="1" t="str">
        <f>""</f>
        <v/>
      </c>
      <c r="F5158" s="1" t="s">
        <v>1860</v>
      </c>
      <c r="G5158" s="1" t="str">
        <f>CONCATENATE(" SMIT-COMMERCE D.O.O.,"," GORNJOSTUPNIČKA 9B,"," 10255 GORNJI STUPNIK,"," OIB: 9524348214")</f>
        <v xml:space="preserve"> SMIT-COMMERCE D.O.O., GORNJOSTUPNIČKA 9B, 10255 GORNJI STUPNIK, OIB: 9524348214</v>
      </c>
      <c r="H5158" s="7"/>
      <c r="I5158" s="8" t="s">
        <v>112</v>
      </c>
      <c r="J5158" s="8" t="s">
        <v>1488</v>
      </c>
      <c r="K5158" s="6" t="str">
        <f>"680,30"</f>
        <v>680,30</v>
      </c>
      <c r="L5158" s="6" t="str">
        <f>"170,08"</f>
        <v>170,08</v>
      </c>
      <c r="M5158" s="6" t="str">
        <f>"850,38"</f>
        <v>850,38</v>
      </c>
      <c r="N5158" s="8" t="s">
        <v>124</v>
      </c>
      <c r="O5158" s="7"/>
      <c r="P5158" s="2" t="s">
        <v>5614</v>
      </c>
      <c r="Q5158" s="7"/>
      <c r="R5158" s="1"/>
      <c r="S5158" s="1" t="str">
        <f>"J-UN-2022-2311"</f>
        <v>J-UN-2022-2311</v>
      </c>
      <c r="T5158" s="1" t="s">
        <v>32</v>
      </c>
    </row>
    <row r="5159" spans="1:20" ht="63.75" x14ac:dyDescent="0.25">
      <c r="A5159" s="6">
        <v>5138</v>
      </c>
      <c r="B5159" s="1" t="str">
        <f>"2022-2080"</f>
        <v>2022-2080</v>
      </c>
      <c r="C5159" s="1" t="s">
        <v>3295</v>
      </c>
      <c r="D5159" s="1" t="s">
        <v>3296</v>
      </c>
      <c r="E5159" s="1" t="str">
        <f>""</f>
        <v/>
      </c>
      <c r="F5159" s="1" t="s">
        <v>1860</v>
      </c>
      <c r="G5159" s="1" t="str">
        <f>CONCATENATE(" ACQUISITUIM MAGNUM D.O.O.,"," JORDANOVAC 42,"," 10000 ZAGREB,"," OIB: 8983662307")</f>
        <v xml:space="preserve"> ACQUISITUIM MAGNUM D.O.O., JORDANOVAC 42, 10000 ZAGREB, OIB: 8983662307</v>
      </c>
      <c r="H5159" s="7"/>
      <c r="I5159" s="8" t="s">
        <v>146</v>
      </c>
      <c r="J5159" s="8" t="s">
        <v>2253</v>
      </c>
      <c r="K5159" s="6" t="str">
        <f>"23.808,50"</f>
        <v>23.808,50</v>
      </c>
      <c r="L5159" s="6" t="str">
        <f>"5.952,13"</f>
        <v>5.952,13</v>
      </c>
      <c r="M5159" s="6" t="str">
        <f>"29.760,63"</f>
        <v>29.760,63</v>
      </c>
      <c r="N5159" s="8" t="s">
        <v>124</v>
      </c>
      <c r="O5159" s="7"/>
      <c r="P5159" s="2" t="s">
        <v>5614</v>
      </c>
      <c r="Q5159" s="7"/>
      <c r="R5159" s="1"/>
      <c r="S5159" s="1" t="str">
        <f>"J-UN-2022-2312"</f>
        <v>J-UN-2022-2312</v>
      </c>
      <c r="T5159" s="1" t="s">
        <v>43</v>
      </c>
    </row>
    <row r="5160" spans="1:20" ht="51" x14ac:dyDescent="0.25">
      <c r="A5160" s="6">
        <v>5139</v>
      </c>
      <c r="B5160" s="1" t="str">
        <f>"2022-1784"</f>
        <v>2022-1784</v>
      </c>
      <c r="C5160" s="1" t="s">
        <v>3255</v>
      </c>
      <c r="D5160" s="1" t="s">
        <v>3256</v>
      </c>
      <c r="E5160" s="1" t="str">
        <f>""</f>
        <v/>
      </c>
      <c r="F5160" s="1" t="s">
        <v>1860</v>
      </c>
      <c r="G5160" s="1" t="str">
        <f>CONCATENATE(" MLAKAR VILIČARI D.O.O.,"," SAVSKA CESTA 1A,"," 10437 BESTOVJE,"," OIB: 02429758404")</f>
        <v xml:space="preserve"> MLAKAR VILIČARI D.O.O., SAVSKA CESTA 1A, 10437 BESTOVJE, OIB: 02429758404</v>
      </c>
      <c r="H5160" s="7"/>
      <c r="I5160" s="8" t="s">
        <v>112</v>
      </c>
      <c r="J5160" s="8" t="s">
        <v>1488</v>
      </c>
      <c r="K5160" s="6" t="str">
        <f>"4.617,50"</f>
        <v>4.617,50</v>
      </c>
      <c r="L5160" s="6" t="str">
        <f>"1.154,38"</f>
        <v>1.154,38</v>
      </c>
      <c r="M5160" s="6" t="str">
        <f>"5.771,88"</f>
        <v>5.771,88</v>
      </c>
      <c r="N5160" s="8" t="s">
        <v>124</v>
      </c>
      <c r="O5160" s="7"/>
      <c r="P5160" s="2" t="s">
        <v>5614</v>
      </c>
      <c r="Q5160" s="7"/>
      <c r="R5160" s="1"/>
      <c r="S5160" s="1" t="str">
        <f>"J-UN-2022-2315"</f>
        <v>J-UN-2022-2315</v>
      </c>
      <c r="T5160" s="1" t="s">
        <v>32</v>
      </c>
    </row>
    <row r="5161" spans="1:20" ht="63.75" x14ac:dyDescent="0.25">
      <c r="A5161" s="6">
        <v>5140</v>
      </c>
      <c r="B5161" s="1" t="str">
        <f>"2022-959"</f>
        <v>2022-959</v>
      </c>
      <c r="C5161" s="1" t="s">
        <v>2784</v>
      </c>
      <c r="D5161" s="1" t="s">
        <v>2785</v>
      </c>
      <c r="E5161" s="1" t="str">
        <f>""</f>
        <v/>
      </c>
      <c r="F5161" s="1" t="s">
        <v>1860</v>
      </c>
      <c r="G5161" s="1" t="str">
        <f>CONCATENATE(" KAESER KOMPRESSOREN D.O.O.,"," RIMSKI PUT 11/D,"," 10360 SESVETE,"," OIB: 42572807012")</f>
        <v xml:space="preserve"> KAESER KOMPRESSOREN D.O.O., RIMSKI PUT 11/D, 10360 SESVETE, OIB: 42572807012</v>
      </c>
      <c r="H5161" s="7"/>
      <c r="I5161" s="8" t="s">
        <v>433</v>
      </c>
      <c r="J5161" s="8" t="s">
        <v>3279</v>
      </c>
      <c r="K5161" s="6" t="str">
        <f>"21.596,10"</f>
        <v>21.596,10</v>
      </c>
      <c r="L5161" s="6" t="str">
        <f>"5.399,03"</f>
        <v>5.399,03</v>
      </c>
      <c r="M5161" s="6" t="str">
        <f>"26.995,13"</f>
        <v>26.995,13</v>
      </c>
      <c r="N5161" s="8" t="s">
        <v>124</v>
      </c>
      <c r="O5161" s="7"/>
      <c r="P5161" s="2" t="s">
        <v>5614</v>
      </c>
      <c r="Q5161" s="7"/>
      <c r="R5161" s="1"/>
      <c r="S5161" s="1" t="str">
        <f>"J-UN-2022-2316"</f>
        <v>J-UN-2022-2316</v>
      </c>
      <c r="T5161" s="1" t="s">
        <v>32</v>
      </c>
    </row>
    <row r="5162" spans="1:20" ht="51" x14ac:dyDescent="0.25">
      <c r="A5162" s="6">
        <v>5141</v>
      </c>
      <c r="B5162" s="1" t="str">
        <f>"2022-535"</f>
        <v>2022-535</v>
      </c>
      <c r="C5162" s="1" t="s">
        <v>2561</v>
      </c>
      <c r="D5162" s="1" t="s">
        <v>2156</v>
      </c>
      <c r="E5162" s="1" t="str">
        <f>""</f>
        <v/>
      </c>
      <c r="F5162" s="1" t="s">
        <v>1860</v>
      </c>
      <c r="G5162" s="1" t="str">
        <f>CONCATENATE(" TIP - ZAGREB D.O.O.,"," VINOGRADSKA 34,"," 10431 SVETA NEDELJA,"," OIB: 36198195227")</f>
        <v xml:space="preserve"> TIP - ZAGREB D.O.O., VINOGRADSKA 34, 10431 SVETA NEDELJA, OIB: 36198195227</v>
      </c>
      <c r="H5162" s="7"/>
      <c r="I5162" s="8" t="s">
        <v>170</v>
      </c>
      <c r="J5162" s="8" t="s">
        <v>1538</v>
      </c>
      <c r="K5162" s="6" t="str">
        <f>"24.768,00"</f>
        <v>24.768,00</v>
      </c>
      <c r="L5162" s="6" t="str">
        <f>"6.192,00"</f>
        <v>6.192,00</v>
      </c>
      <c r="M5162" s="6" t="str">
        <f>"30.960,00"</f>
        <v>30.960,00</v>
      </c>
      <c r="N5162" s="8" t="s">
        <v>124</v>
      </c>
      <c r="O5162" s="7"/>
      <c r="P5162" s="2" t="s">
        <v>5614</v>
      </c>
      <c r="Q5162" s="7"/>
      <c r="R5162" s="1"/>
      <c r="S5162" s="1" t="str">
        <f>"J-UN-2022-2317"</f>
        <v>J-UN-2022-2317</v>
      </c>
      <c r="T5162" s="1" t="s">
        <v>32</v>
      </c>
    </row>
    <row r="5163" spans="1:20" ht="51" x14ac:dyDescent="0.25">
      <c r="A5163" s="6">
        <v>5142</v>
      </c>
      <c r="B5163" s="1" t="str">
        <f>"2022-369"</f>
        <v>2022-369</v>
      </c>
      <c r="C5163" s="1" t="s">
        <v>2930</v>
      </c>
      <c r="D5163" s="1" t="s">
        <v>1334</v>
      </c>
      <c r="E5163" s="1" t="str">
        <f>""</f>
        <v/>
      </c>
      <c r="F5163" s="1" t="s">
        <v>1860</v>
      </c>
      <c r="G5163" s="1" t="str">
        <f>CONCATENATE(" SCHEDA D.O.O.,"," LJUDEVITA POSAVSKOG 29,"," 10360 SESVETE,"," OIB: 76219817247")</f>
        <v xml:space="preserve"> SCHEDA D.O.O., LJUDEVITA POSAVSKOG 29, 10360 SESVETE, OIB: 76219817247</v>
      </c>
      <c r="H5163" s="7"/>
      <c r="I5163" s="8" t="s">
        <v>112</v>
      </c>
      <c r="J5163" s="8" t="s">
        <v>1488</v>
      </c>
      <c r="K5163" s="6" t="str">
        <f>"1.274,70"</f>
        <v>1.274,70</v>
      </c>
      <c r="L5163" s="6" t="str">
        <f>"318,68"</f>
        <v>318,68</v>
      </c>
      <c r="M5163" s="6" t="str">
        <f>"1.593,38"</f>
        <v>1.593,38</v>
      </c>
      <c r="N5163" s="8" t="s">
        <v>124</v>
      </c>
      <c r="O5163" s="7"/>
      <c r="P5163" s="2" t="s">
        <v>5614</v>
      </c>
      <c r="Q5163" s="7"/>
      <c r="R5163" s="1"/>
      <c r="S5163" s="1" t="str">
        <f>"J-UN-2022-2319"</f>
        <v>J-UN-2022-2319</v>
      </c>
      <c r="T5163" s="1" t="s">
        <v>32</v>
      </c>
    </row>
    <row r="5164" spans="1:20" ht="51" x14ac:dyDescent="0.25">
      <c r="A5164" s="6">
        <v>5143</v>
      </c>
      <c r="B5164" s="1" t="str">
        <f>"2022-486"</f>
        <v>2022-486</v>
      </c>
      <c r="C5164" s="1" t="s">
        <v>3193</v>
      </c>
      <c r="D5164" s="1" t="s">
        <v>619</v>
      </c>
      <c r="E5164" s="1" t="str">
        <f>""</f>
        <v/>
      </c>
      <c r="F5164" s="1" t="s">
        <v>1860</v>
      </c>
      <c r="G5164" s="1" t="str">
        <f>CONCATENATE(" R-PIM D.O.O.,"," ZAGREBAČKA 12,"," 10437 BESTOVJE,"," OIB: 38514700472")</f>
        <v xml:space="preserve"> R-PIM D.O.O., ZAGREBAČKA 12, 10437 BESTOVJE, OIB: 38514700472</v>
      </c>
      <c r="H5164" s="7"/>
      <c r="I5164" s="8" t="s">
        <v>489</v>
      </c>
      <c r="J5164" s="8" t="s">
        <v>1541</v>
      </c>
      <c r="K5164" s="6" t="str">
        <f>"64.637,00"</f>
        <v>64.637,00</v>
      </c>
      <c r="L5164" s="6" t="str">
        <f>"16.159,25"</f>
        <v>16.159,25</v>
      </c>
      <c r="M5164" s="6" t="str">
        <f>"80.796,25"</f>
        <v>80.796,25</v>
      </c>
      <c r="N5164" s="8" t="s">
        <v>124</v>
      </c>
      <c r="O5164" s="7"/>
      <c r="P5164" s="2" t="s">
        <v>5614</v>
      </c>
      <c r="Q5164" s="7"/>
      <c r="R5164" s="1"/>
      <c r="S5164" s="1" t="str">
        <f>"J-UN-2022-2320"</f>
        <v>J-UN-2022-2320</v>
      </c>
      <c r="T5164" s="1" t="s">
        <v>32</v>
      </c>
    </row>
    <row r="5165" spans="1:20" ht="51" x14ac:dyDescent="0.25">
      <c r="A5165" s="6">
        <v>5144</v>
      </c>
      <c r="B5165" s="1" t="str">
        <f>"2022-189"</f>
        <v>2022-189</v>
      </c>
      <c r="C5165" s="1" t="s">
        <v>2612</v>
      </c>
      <c r="D5165" s="1" t="s">
        <v>2613</v>
      </c>
      <c r="E5165" s="1" t="str">
        <f>""</f>
        <v/>
      </c>
      <c r="F5165" s="1" t="s">
        <v>1860</v>
      </c>
      <c r="G5165" s="1" t="str">
        <f>CONCATENATE(" ELCON D.O.O.,"," MEĐIMURSKA 2,"," 42000 VARAŽDIN,"," OIB: 69554624078")</f>
        <v xml:space="preserve"> ELCON D.O.O., MEĐIMURSKA 2, 42000 VARAŽDIN, OIB: 69554624078</v>
      </c>
      <c r="H5165" s="7"/>
      <c r="I5165" s="8" t="s">
        <v>433</v>
      </c>
      <c r="J5165" s="8" t="s">
        <v>3279</v>
      </c>
      <c r="K5165" s="6" t="str">
        <f>"18.975,00"</f>
        <v>18.975,00</v>
      </c>
      <c r="L5165" s="6" t="str">
        <f>"4.743,75"</f>
        <v>4.743,75</v>
      </c>
      <c r="M5165" s="6" t="str">
        <f>"23.718,75"</f>
        <v>23.718,75</v>
      </c>
      <c r="N5165" s="8" t="s">
        <v>124</v>
      </c>
      <c r="O5165" s="7"/>
      <c r="P5165" s="2" t="s">
        <v>5614</v>
      </c>
      <c r="Q5165" s="7"/>
      <c r="R5165" s="1"/>
      <c r="S5165" s="1" t="str">
        <f>"J-UN-2022-2321"</f>
        <v>J-UN-2022-2321</v>
      </c>
      <c r="T5165" s="1" t="s">
        <v>32</v>
      </c>
    </row>
    <row r="5166" spans="1:20" ht="51" x14ac:dyDescent="0.25">
      <c r="A5166" s="6">
        <v>5145</v>
      </c>
      <c r="B5166" s="1" t="str">
        <f>"2022-913"</f>
        <v>2022-913</v>
      </c>
      <c r="C5166" s="1" t="s">
        <v>2879</v>
      </c>
      <c r="D5166" s="1" t="s">
        <v>1007</v>
      </c>
      <c r="E5166" s="1" t="str">
        <f>""</f>
        <v/>
      </c>
      <c r="F5166" s="1" t="s">
        <v>1860</v>
      </c>
      <c r="G5166" s="1" t="str">
        <f>CONCATENATE(" TEHNOPLAM D.O.O.,"," USKOČKA 29,"," 10000 ZAGREB,"," OIB: 95347519849")</f>
        <v xml:space="preserve"> TEHNOPLAM D.O.O., USKOČKA 29, 10000 ZAGREB, OIB: 95347519849</v>
      </c>
      <c r="H5166" s="7"/>
      <c r="I5166" s="8" t="s">
        <v>146</v>
      </c>
      <c r="J5166" s="8" t="s">
        <v>2253</v>
      </c>
      <c r="K5166" s="6" t="str">
        <f>"5.440,00"</f>
        <v>5.440,00</v>
      </c>
      <c r="L5166" s="6" t="str">
        <f>"1.360,00"</f>
        <v>1.360,00</v>
      </c>
      <c r="M5166" s="6" t="str">
        <f>"6.800,00"</f>
        <v>6.800,00</v>
      </c>
      <c r="N5166" s="8" t="s">
        <v>124</v>
      </c>
      <c r="O5166" s="7"/>
      <c r="P5166" s="2" t="s">
        <v>5614</v>
      </c>
      <c r="Q5166" s="7"/>
      <c r="R5166" s="1"/>
      <c r="S5166" s="1" t="str">
        <f>"J-UN-2022-2322"</f>
        <v>J-UN-2022-2322</v>
      </c>
      <c r="T5166" s="1" t="s">
        <v>32</v>
      </c>
    </row>
    <row r="5167" spans="1:20" ht="51" x14ac:dyDescent="0.25">
      <c r="A5167" s="6">
        <v>5146</v>
      </c>
      <c r="B5167" s="1" t="str">
        <f>"2022-391"</f>
        <v>2022-391</v>
      </c>
      <c r="C5167" s="1" t="s">
        <v>2516</v>
      </c>
      <c r="D5167" s="1" t="s">
        <v>537</v>
      </c>
      <c r="E5167" s="1" t="str">
        <f>""</f>
        <v/>
      </c>
      <c r="F5167" s="1" t="s">
        <v>1860</v>
      </c>
      <c r="G5167" s="1" t="str">
        <f>CONCATENATE(" BETON-LUČKO RBG D.O.O.,"," PUŠKARIĆEVA 1B,"," 10250 LUČKO,"," OIB: 3801245143")</f>
        <v xml:space="preserve"> BETON-LUČKO RBG D.O.O., PUŠKARIĆEVA 1B, 10250 LUČKO, OIB: 3801245143</v>
      </c>
      <c r="H5167" s="7"/>
      <c r="I5167" s="8" t="s">
        <v>433</v>
      </c>
      <c r="J5167" s="8" t="s">
        <v>3279</v>
      </c>
      <c r="K5167" s="6" t="str">
        <f>"49.846,50"</f>
        <v>49.846,50</v>
      </c>
      <c r="L5167" s="6" t="str">
        <f>"12.461,63"</f>
        <v>12.461,63</v>
      </c>
      <c r="M5167" s="6" t="str">
        <f>"62.308,13"</f>
        <v>62.308,13</v>
      </c>
      <c r="N5167" s="8" t="s">
        <v>124</v>
      </c>
      <c r="O5167" s="7"/>
      <c r="P5167" s="2" t="s">
        <v>5614</v>
      </c>
      <c r="Q5167" s="7"/>
      <c r="R5167" s="1"/>
      <c r="S5167" s="1" t="str">
        <f>"J-UN-2022-2323"</f>
        <v>J-UN-2022-2323</v>
      </c>
      <c r="T5167" s="1" t="s">
        <v>32</v>
      </c>
    </row>
    <row r="5168" spans="1:20" ht="63.75" x14ac:dyDescent="0.25">
      <c r="A5168" s="6">
        <v>5147</v>
      </c>
      <c r="B5168" s="1" t="str">
        <f>"2022-925"</f>
        <v>2022-925</v>
      </c>
      <c r="C5168" s="1" t="s">
        <v>2889</v>
      </c>
      <c r="D5168" s="1" t="s">
        <v>1007</v>
      </c>
      <c r="E5168" s="1" t="str">
        <f>""</f>
        <v/>
      </c>
      <c r="F5168" s="1" t="s">
        <v>1860</v>
      </c>
      <c r="G5168" s="1" t="str">
        <f>CONCATENATE(" MERKANTILE D.D.,"," VRTNI PUT 8,"," 10000 ZAGREB,"," OIB: 44448417567")</f>
        <v xml:space="preserve"> MERKANTILE D.D., VRTNI PUT 8, 10000 ZAGREB, OIB: 44448417567</v>
      </c>
      <c r="H5168" s="7"/>
      <c r="I5168" s="8" t="s">
        <v>146</v>
      </c>
      <c r="J5168" s="8" t="s">
        <v>2253</v>
      </c>
      <c r="K5168" s="6" t="str">
        <f>"53.916,07"</f>
        <v>53.916,07</v>
      </c>
      <c r="L5168" s="6" t="str">
        <f>"13.479,02"</f>
        <v>13.479,02</v>
      </c>
      <c r="M5168" s="6" t="str">
        <f>"67.395,09"</f>
        <v>67.395,09</v>
      </c>
      <c r="N5168" s="8" t="s">
        <v>124</v>
      </c>
      <c r="O5168" s="7"/>
      <c r="P5168" s="2" t="s">
        <v>5614</v>
      </c>
      <c r="Q5168" s="7"/>
      <c r="R5168" s="1"/>
      <c r="S5168" s="1" t="str">
        <f>"J-UN-2022-2324"</f>
        <v>J-UN-2022-2324</v>
      </c>
      <c r="T5168" s="1" t="s">
        <v>32</v>
      </c>
    </row>
    <row r="5169" spans="1:20" ht="63.75" x14ac:dyDescent="0.25">
      <c r="A5169" s="6">
        <v>5148</v>
      </c>
      <c r="B5169" s="1" t="str">
        <f>"2022-1805"</f>
        <v>2022-1805</v>
      </c>
      <c r="C5169" s="1" t="s">
        <v>3113</v>
      </c>
      <c r="D5169" s="1" t="s">
        <v>34</v>
      </c>
      <c r="E5169" s="1" t="str">
        <f>""</f>
        <v/>
      </c>
      <c r="F5169" s="1" t="s">
        <v>1860</v>
      </c>
      <c r="G5169" s="1" t="str">
        <f>CONCATENATE(" URIHO - ZAGREB,"," AVENIJA MARINA DRŽIĆA 1,"," 10000 ZAGREB,"," OIB: 77931216562")</f>
        <v xml:space="preserve"> URIHO - ZAGREB, AVENIJA MARINA DRŽIĆA 1, 10000 ZAGREB, OIB: 77931216562</v>
      </c>
      <c r="H5169" s="7"/>
      <c r="I5169" s="8" t="s">
        <v>146</v>
      </c>
      <c r="J5169" s="8" t="s">
        <v>2253</v>
      </c>
      <c r="K5169" s="6" t="str">
        <f>"17.300,00"</f>
        <v>17.300,00</v>
      </c>
      <c r="L5169" s="6" t="str">
        <f>"4.325,00"</f>
        <v>4.325,00</v>
      </c>
      <c r="M5169" s="6" t="str">
        <f>"21.625,00"</f>
        <v>21.625,00</v>
      </c>
      <c r="N5169" s="8" t="s">
        <v>124</v>
      </c>
      <c r="O5169" s="7"/>
      <c r="P5169" s="2" t="s">
        <v>5614</v>
      </c>
      <c r="Q5169" s="7"/>
      <c r="R5169" s="1"/>
      <c r="S5169" s="1" t="str">
        <f>"J-UN-2022-2325"</f>
        <v>J-UN-2022-2325</v>
      </c>
      <c r="T5169" s="1" t="s">
        <v>32</v>
      </c>
    </row>
    <row r="5170" spans="1:20" ht="51" x14ac:dyDescent="0.25">
      <c r="A5170" s="6">
        <v>5149</v>
      </c>
      <c r="B5170" s="1" t="str">
        <f>"2022-511"</f>
        <v>2022-511</v>
      </c>
      <c r="C5170" s="1" t="s">
        <v>2572</v>
      </c>
      <c r="D5170" s="1" t="s">
        <v>2573</v>
      </c>
      <c r="E5170" s="1" t="str">
        <f>""</f>
        <v/>
      </c>
      <c r="F5170" s="1" t="s">
        <v>1860</v>
      </c>
      <c r="G5170" s="1" t="str">
        <f>CONCATENATE(" AKD-ZAŠTITA D.O.O.,"," SAVSKA 28,"," 10000 ZAGREB,"," OIB: 09253797076")</f>
        <v xml:space="preserve"> AKD-ZAŠTITA D.O.O., SAVSKA 28, 10000 ZAGREB, OIB: 09253797076</v>
      </c>
      <c r="H5170" s="7"/>
      <c r="I5170" s="8" t="s">
        <v>170</v>
      </c>
      <c r="J5170" s="8" t="s">
        <v>1538</v>
      </c>
      <c r="K5170" s="6" t="str">
        <f>"1.690,00"</f>
        <v>1.690,00</v>
      </c>
      <c r="L5170" s="6" t="str">
        <f>"422,50"</f>
        <v>422,50</v>
      </c>
      <c r="M5170" s="6" t="str">
        <f>"2.112,50"</f>
        <v>2.112,50</v>
      </c>
      <c r="N5170" s="8" t="s">
        <v>124</v>
      </c>
      <c r="O5170" s="7"/>
      <c r="P5170" s="2" t="s">
        <v>5614</v>
      </c>
      <c r="Q5170" s="7"/>
      <c r="R5170" s="1"/>
      <c r="S5170" s="1" t="str">
        <f>"J-UN-2022-2350"</f>
        <v>J-UN-2022-2350</v>
      </c>
      <c r="T5170" s="1" t="s">
        <v>32</v>
      </c>
    </row>
    <row r="5171" spans="1:20" ht="51" x14ac:dyDescent="0.25">
      <c r="A5171" s="6">
        <v>5150</v>
      </c>
      <c r="B5171" s="1" t="str">
        <f>"2022-913"</f>
        <v>2022-913</v>
      </c>
      <c r="C5171" s="1" t="s">
        <v>2879</v>
      </c>
      <c r="D5171" s="1" t="s">
        <v>1007</v>
      </c>
      <c r="E5171" s="1" t="str">
        <f>""</f>
        <v/>
      </c>
      <c r="F5171" s="1" t="s">
        <v>1860</v>
      </c>
      <c r="G5171" s="1" t="str">
        <f>CONCATENATE(" EUROPLAMEN D.O.O.,"," RUDOLFOV BREG 6,"," 10430 SAMOBOR,"," OIB: 69942917335")</f>
        <v xml:space="preserve"> EUROPLAMEN D.O.O., RUDOLFOV BREG 6, 10430 SAMOBOR, OIB: 69942917335</v>
      </c>
      <c r="H5171" s="7"/>
      <c r="I5171" s="8" t="s">
        <v>112</v>
      </c>
      <c r="J5171" s="8" t="s">
        <v>1488</v>
      </c>
      <c r="K5171" s="6" t="str">
        <f>"15.560,00"</f>
        <v>15.560,00</v>
      </c>
      <c r="L5171" s="6" t="str">
        <f>"3.890,00"</f>
        <v>3.890,00</v>
      </c>
      <c r="M5171" s="6" t="str">
        <f>"19.450,00"</f>
        <v>19.450,00</v>
      </c>
      <c r="N5171" s="8" t="s">
        <v>124</v>
      </c>
      <c r="O5171" s="7"/>
      <c r="P5171" s="2" t="s">
        <v>5614</v>
      </c>
      <c r="Q5171" s="7"/>
      <c r="R5171" s="1"/>
      <c r="S5171" s="1" t="str">
        <f>"J-UN-2022-2355"</f>
        <v>J-UN-2022-2355</v>
      </c>
      <c r="T5171" s="1" t="s">
        <v>32</v>
      </c>
    </row>
    <row r="5172" spans="1:20" ht="63.75" x14ac:dyDescent="0.25">
      <c r="A5172" s="6">
        <v>5151</v>
      </c>
      <c r="B5172" s="1" t="str">
        <f>"2022-460"</f>
        <v>2022-460</v>
      </c>
      <c r="C5172" s="1" t="s">
        <v>2793</v>
      </c>
      <c r="D5172" s="1" t="s">
        <v>1619</v>
      </c>
      <c r="E5172" s="1" t="str">
        <f>""</f>
        <v/>
      </c>
      <c r="F5172" s="1" t="s">
        <v>1860</v>
      </c>
      <c r="G5172" s="1" t="str">
        <f>CONCATENATE(" HIDROMEHANIKA D.O.O.,"," SLAVONSKA AVENIJA 26/10,"," 10000 ZAGREB,"," OIB: 9178029895")</f>
        <v xml:space="preserve"> HIDROMEHANIKA D.O.O., SLAVONSKA AVENIJA 26/10, 10000 ZAGREB, OIB: 9178029895</v>
      </c>
      <c r="H5172" s="7"/>
      <c r="I5172" s="8" t="s">
        <v>170</v>
      </c>
      <c r="J5172" s="8" t="s">
        <v>1538</v>
      </c>
      <c r="K5172" s="6" t="str">
        <f>"8.497,18"</f>
        <v>8.497,18</v>
      </c>
      <c r="L5172" s="6" t="str">
        <f>"2.124,30"</f>
        <v>2.124,30</v>
      </c>
      <c r="M5172" s="6" t="str">
        <f>"10.621,48"</f>
        <v>10.621,48</v>
      </c>
      <c r="N5172" s="8" t="s">
        <v>124</v>
      </c>
      <c r="O5172" s="7"/>
      <c r="P5172" s="2" t="s">
        <v>5614</v>
      </c>
      <c r="Q5172" s="7"/>
      <c r="R5172" s="1"/>
      <c r="S5172" s="1" t="str">
        <f>"J-UN-2022-2356"</f>
        <v>J-UN-2022-2356</v>
      </c>
      <c r="T5172" s="1" t="s">
        <v>32</v>
      </c>
    </row>
    <row r="5173" spans="1:20" ht="51" x14ac:dyDescent="0.25">
      <c r="A5173" s="6">
        <v>5152</v>
      </c>
      <c r="B5173" s="1" t="str">
        <f>"2022-452"</f>
        <v>2022-452</v>
      </c>
      <c r="C5173" s="1" t="s">
        <v>2881</v>
      </c>
      <c r="D5173" s="1" t="s">
        <v>2882</v>
      </c>
      <c r="E5173" s="1" t="str">
        <f>""</f>
        <v/>
      </c>
      <c r="F5173" s="1" t="s">
        <v>1860</v>
      </c>
      <c r="G5173" s="1" t="str">
        <f>CONCATENATE(" DEBENC PLUS D. O. O.,"," OSJEČKA 39,"," 51000 RIJEKA,"," OIB: 82510351433")</f>
        <v xml:space="preserve"> DEBENC PLUS D. O. O., OSJEČKA 39, 51000 RIJEKA, OIB: 82510351433</v>
      </c>
      <c r="H5173" s="7"/>
      <c r="I5173" s="8" t="s">
        <v>170</v>
      </c>
      <c r="J5173" s="8" t="s">
        <v>1538</v>
      </c>
      <c r="K5173" s="6" t="str">
        <f>"7.624,40"</f>
        <v>7.624,40</v>
      </c>
      <c r="L5173" s="6" t="str">
        <f>"1.906,10"</f>
        <v>1.906,10</v>
      </c>
      <c r="M5173" s="6" t="str">
        <f>"9.530,50"</f>
        <v>9.530,50</v>
      </c>
      <c r="N5173" s="8" t="s">
        <v>124</v>
      </c>
      <c r="O5173" s="7"/>
      <c r="P5173" s="2" t="s">
        <v>5614</v>
      </c>
      <c r="Q5173" s="7"/>
      <c r="R5173" s="1"/>
      <c r="S5173" s="1" t="str">
        <f>"J-UN-2022-2358"</f>
        <v>J-UN-2022-2358</v>
      </c>
      <c r="T5173" s="1" t="s">
        <v>32</v>
      </c>
    </row>
    <row r="5174" spans="1:20" ht="51" x14ac:dyDescent="0.25">
      <c r="A5174" s="6">
        <v>5153</v>
      </c>
      <c r="B5174" s="1" t="str">
        <f>"2022-813"</f>
        <v>2022-813</v>
      </c>
      <c r="C5174" s="1" t="s">
        <v>2844</v>
      </c>
      <c r="D5174" s="1" t="s">
        <v>2716</v>
      </c>
      <c r="E5174" s="1" t="str">
        <f>""</f>
        <v/>
      </c>
      <c r="F5174" s="1" t="s">
        <v>1860</v>
      </c>
      <c r="G5174" s="1" t="str">
        <f>CONCATENATE(" LAGER BAŠIĆ D.O.O.,"," TRGOVAČKA 3,"," 10255 DONJI STUPNIK,"," OIB: 49617677906")</f>
        <v xml:space="preserve"> LAGER BAŠIĆ D.O.O., TRGOVAČKA 3, 10255 DONJI STUPNIK, OIB: 49617677906</v>
      </c>
      <c r="H5174" s="7"/>
      <c r="I5174" s="8" t="s">
        <v>170</v>
      </c>
      <c r="J5174" s="8" t="s">
        <v>1538</v>
      </c>
      <c r="K5174" s="6" t="str">
        <f>"1.004,50"</f>
        <v>1.004,50</v>
      </c>
      <c r="L5174" s="6" t="str">
        <f>"251,13"</f>
        <v>251,13</v>
      </c>
      <c r="M5174" s="6" t="str">
        <f>"1.255,63"</f>
        <v>1.255,63</v>
      </c>
      <c r="N5174" s="8" t="s">
        <v>124</v>
      </c>
      <c r="O5174" s="7"/>
      <c r="P5174" s="2" t="s">
        <v>5614</v>
      </c>
      <c r="Q5174" s="7"/>
      <c r="R5174" s="1"/>
      <c r="S5174" s="1" t="str">
        <f>"J-UN-2022-2363"</f>
        <v>J-UN-2022-2363</v>
      </c>
      <c r="T5174" s="1" t="s">
        <v>32</v>
      </c>
    </row>
    <row r="5175" spans="1:20" ht="63.75" x14ac:dyDescent="0.25">
      <c r="A5175" s="6">
        <v>5154</v>
      </c>
      <c r="B5175" s="1" t="str">
        <f>"2022-1407"</f>
        <v>2022-1407</v>
      </c>
      <c r="C5175" s="1" t="s">
        <v>2923</v>
      </c>
      <c r="D5175" s="1" t="s">
        <v>2924</v>
      </c>
      <c r="E5175" s="1" t="str">
        <f>""</f>
        <v/>
      </c>
      <c r="F5175" s="1" t="s">
        <v>1860</v>
      </c>
      <c r="G5175" s="1" t="str">
        <f>CONCATENATE(" VODOOPSKRBA I ODVODNJA D.O.O.,"," FOLNEGOVIĆEVA 1B,"," 10000 ZAGREB,"," OIB: 83416546499")</f>
        <v xml:space="preserve"> VODOOPSKRBA I ODVODNJA D.O.O., FOLNEGOVIĆEVA 1B, 10000 ZAGREB, OIB: 83416546499</v>
      </c>
      <c r="H5175" s="7"/>
      <c r="I5175" s="8" t="s">
        <v>112</v>
      </c>
      <c r="J5175" s="8" t="s">
        <v>1488</v>
      </c>
      <c r="K5175" s="6" t="str">
        <f>"149.309,00"</f>
        <v>149.309,00</v>
      </c>
      <c r="L5175" s="6" t="str">
        <f>"37.327,25"</f>
        <v>37.327,25</v>
      </c>
      <c r="M5175" s="6" t="str">
        <f>"186.636,25"</f>
        <v>186.636,25</v>
      </c>
      <c r="N5175" s="8" t="s">
        <v>124</v>
      </c>
      <c r="O5175" s="7"/>
      <c r="P5175" s="2" t="s">
        <v>5614</v>
      </c>
      <c r="Q5175" s="7"/>
      <c r="R5175" s="1"/>
      <c r="S5175" s="1" t="str">
        <f>"J-UN-2022-2365"</f>
        <v>J-UN-2022-2365</v>
      </c>
      <c r="T5175" s="1" t="s">
        <v>32</v>
      </c>
    </row>
    <row r="5176" spans="1:20" ht="63.75" x14ac:dyDescent="0.25">
      <c r="A5176" s="6">
        <v>5155</v>
      </c>
      <c r="B5176" s="1" t="str">
        <f>"2022-485"</f>
        <v>2022-485</v>
      </c>
      <c r="C5176" s="1" t="s">
        <v>2614</v>
      </c>
      <c r="D5176" s="1" t="s">
        <v>619</v>
      </c>
      <c r="E5176" s="1" t="str">
        <f>""</f>
        <v/>
      </c>
      <c r="F5176" s="1" t="s">
        <v>1860</v>
      </c>
      <c r="G5176" s="1" t="str">
        <f>CONCATENATE(" KUM TRADE ENGINEERING D.O.O.,"," SAVSKI GAJ XIII PUT 2,"," 10000 ZAGREB,"," OIB: 15856331916")</f>
        <v xml:space="preserve"> KUM TRADE ENGINEERING D.O.O., SAVSKI GAJ XIII PUT 2, 10000 ZAGREB, OIB: 15856331916</v>
      </c>
      <c r="H5176" s="7"/>
      <c r="I5176" s="8" t="s">
        <v>170</v>
      </c>
      <c r="J5176" s="8" t="s">
        <v>1538</v>
      </c>
      <c r="K5176" s="6" t="str">
        <f>"3.030,00"</f>
        <v>3.030,00</v>
      </c>
      <c r="L5176" s="6" t="str">
        <f>"757,50"</f>
        <v>757,50</v>
      </c>
      <c r="M5176" s="6" t="str">
        <f>"3.787,50"</f>
        <v>3.787,50</v>
      </c>
      <c r="N5176" s="8" t="s">
        <v>124</v>
      </c>
      <c r="O5176" s="7"/>
      <c r="P5176" s="2" t="s">
        <v>5614</v>
      </c>
      <c r="Q5176" s="7"/>
      <c r="R5176" s="1"/>
      <c r="S5176" s="1" t="str">
        <f>"J-UN-2022-2368"</f>
        <v>J-UN-2022-2368</v>
      </c>
      <c r="T5176" s="1" t="s">
        <v>32</v>
      </c>
    </row>
    <row r="5177" spans="1:20" ht="89.25" x14ac:dyDescent="0.25">
      <c r="A5177" s="6">
        <v>5156</v>
      </c>
      <c r="B5177" s="1" t="str">
        <f>"2022-1410"</f>
        <v>2022-1410</v>
      </c>
      <c r="C5177" s="1" t="s">
        <v>2757</v>
      </c>
      <c r="D5177" s="1" t="s">
        <v>2724</v>
      </c>
      <c r="E5177" s="1" t="str">
        <f>""</f>
        <v/>
      </c>
      <c r="F5177" s="1" t="s">
        <v>1860</v>
      </c>
      <c r="G5177" s="1" t="str">
        <f>CONCATENATE(" ZAVOD ZA ISTRAŽIVANJE I RAZVOJ SIGURNOSTI D.O.O.,"," ULICA GRADA VUKOVARA 68,"," 10000 ZAGREB,"," OIB: 05494093403")</f>
        <v xml:space="preserve"> ZAVOD ZA ISTRAŽIVANJE I RAZVOJ SIGURNOSTI D.O.O., ULICA GRADA VUKOVARA 68, 10000 ZAGREB, OIB: 05494093403</v>
      </c>
      <c r="H5177" s="7"/>
      <c r="I5177" s="8" t="s">
        <v>170</v>
      </c>
      <c r="J5177" s="8" t="s">
        <v>1538</v>
      </c>
      <c r="K5177" s="6" t="str">
        <f>"25.500,00"</f>
        <v>25.500,00</v>
      </c>
      <c r="L5177" s="6" t="str">
        <f>"6.375,00"</f>
        <v>6.375,00</v>
      </c>
      <c r="M5177" s="6" t="str">
        <f>"31.875,00"</f>
        <v>31.875,00</v>
      </c>
      <c r="N5177" s="8" t="s">
        <v>124</v>
      </c>
      <c r="O5177" s="7"/>
      <c r="P5177" s="2" t="s">
        <v>5614</v>
      </c>
      <c r="Q5177" s="7"/>
      <c r="R5177" s="1"/>
      <c r="S5177" s="1" t="str">
        <f>"J-UN-2022-2370"</f>
        <v>J-UN-2022-2370</v>
      </c>
      <c r="T5177" s="1" t="s">
        <v>32</v>
      </c>
    </row>
    <row r="5178" spans="1:20" ht="51" x14ac:dyDescent="0.25">
      <c r="A5178" s="6">
        <v>5157</v>
      </c>
      <c r="B5178" s="1" t="str">
        <f>"2022-1238"</f>
        <v>2022-1238</v>
      </c>
      <c r="C5178" s="1" t="s">
        <v>3102</v>
      </c>
      <c r="D5178" s="1" t="s">
        <v>2631</v>
      </c>
      <c r="E5178" s="1" t="str">
        <f>""</f>
        <v/>
      </c>
      <c r="F5178" s="1" t="s">
        <v>1860</v>
      </c>
      <c r="G5178" s="1" t="str">
        <f>CONCATENATE(" INVENTA D.O.O.,"," ULICA GRADA VUKOVARA 284,"," 10000 ZAGREB,"," OIB: 99213847706")</f>
        <v xml:space="preserve"> INVENTA D.O.O., ULICA GRADA VUKOVARA 284, 10000 ZAGREB, OIB: 99213847706</v>
      </c>
      <c r="H5178" s="7"/>
      <c r="I5178" s="8" t="s">
        <v>170</v>
      </c>
      <c r="J5178" s="8" t="s">
        <v>1538</v>
      </c>
      <c r="K5178" s="6" t="str">
        <f>"10.150,00"</f>
        <v>10.150,00</v>
      </c>
      <c r="L5178" s="6" t="str">
        <f>"2.537,50"</f>
        <v>2.537,50</v>
      </c>
      <c r="M5178" s="6" t="str">
        <f>"12.687,50"</f>
        <v>12.687,50</v>
      </c>
      <c r="N5178" s="8" t="s">
        <v>124</v>
      </c>
      <c r="O5178" s="7"/>
      <c r="P5178" s="2" t="s">
        <v>5614</v>
      </c>
      <c r="Q5178" s="7"/>
      <c r="R5178" s="1"/>
      <c r="S5178" s="1" t="str">
        <f>"J-UN-2022-2373"</f>
        <v>J-UN-2022-2373</v>
      </c>
      <c r="T5178" s="1" t="s">
        <v>32</v>
      </c>
    </row>
    <row r="5179" spans="1:20" ht="63.75" x14ac:dyDescent="0.25">
      <c r="A5179" s="6">
        <v>5158</v>
      </c>
      <c r="B5179" s="1" t="str">
        <f>"2022-959"</f>
        <v>2022-959</v>
      </c>
      <c r="C5179" s="1" t="s">
        <v>2784</v>
      </c>
      <c r="D5179" s="1" t="s">
        <v>2785</v>
      </c>
      <c r="E5179" s="1" t="str">
        <f>""</f>
        <v/>
      </c>
      <c r="F5179" s="1" t="s">
        <v>1860</v>
      </c>
      <c r="G5179" s="1" t="str">
        <f>CONCATENATE(" KUM TRADE ENGINEERING D.O.O.,"," SAVSKI GAJ XIII PUT 2,"," 10000 ZAGREB,"," OIB: 15856331916")</f>
        <v xml:space="preserve"> KUM TRADE ENGINEERING D.O.O., SAVSKI GAJ XIII PUT 2, 10000 ZAGREB, OIB: 15856331916</v>
      </c>
      <c r="H5179" s="7"/>
      <c r="I5179" s="8" t="s">
        <v>170</v>
      </c>
      <c r="J5179" s="8" t="s">
        <v>1538</v>
      </c>
      <c r="K5179" s="6" t="str">
        <f>"51.125,00"</f>
        <v>51.125,00</v>
      </c>
      <c r="L5179" s="6" t="str">
        <f>"12.781,25"</f>
        <v>12.781,25</v>
      </c>
      <c r="M5179" s="6" t="str">
        <f>"63.906,25"</f>
        <v>63.906,25</v>
      </c>
      <c r="N5179" s="8" t="s">
        <v>124</v>
      </c>
      <c r="O5179" s="7"/>
      <c r="P5179" s="2" t="s">
        <v>5614</v>
      </c>
      <c r="Q5179" s="7"/>
      <c r="R5179" s="1"/>
      <c r="S5179" s="1" t="str">
        <f>"J-UN-2022-2374"</f>
        <v>J-UN-2022-2374</v>
      </c>
      <c r="T5179" s="1" t="s">
        <v>32</v>
      </c>
    </row>
    <row r="5180" spans="1:20" ht="89.25" x14ac:dyDescent="0.25">
      <c r="A5180" s="6">
        <v>5159</v>
      </c>
      <c r="B5180" s="1" t="str">
        <f>"2022-234"</f>
        <v>2022-234</v>
      </c>
      <c r="C5180" s="1" t="s">
        <v>3059</v>
      </c>
      <c r="D5180" s="1" t="s">
        <v>3060</v>
      </c>
      <c r="E5180" s="1" t="str">
        <f>""</f>
        <v/>
      </c>
      <c r="F5180" s="1" t="s">
        <v>1860</v>
      </c>
      <c r="G5180" s="1" t="str">
        <f>CONCATENATE(" EFEKTIVNI MIKROORGANIZMI ORIGINALNA TEHNOLOGIJA RIJEKA D.O.O.,"," F. ČANDEKA 33,"," 51000 RIJEKA,"," OIB: 5176600402")</f>
        <v xml:space="preserve"> EFEKTIVNI MIKROORGANIZMI ORIGINALNA TEHNOLOGIJA RIJEKA D.O.O., F. ČANDEKA 33, 51000 RIJEKA, OIB: 5176600402</v>
      </c>
      <c r="H5180" s="7"/>
      <c r="I5180" s="8" t="s">
        <v>170</v>
      </c>
      <c r="J5180" s="8" t="s">
        <v>1538</v>
      </c>
      <c r="K5180" s="6" t="str">
        <f>"16.864,00"</f>
        <v>16.864,00</v>
      </c>
      <c r="L5180" s="6" t="str">
        <f>"4.216,00"</f>
        <v>4.216,00</v>
      </c>
      <c r="M5180" s="6" t="str">
        <f>"21.080,00"</f>
        <v>21.080,00</v>
      </c>
      <c r="N5180" s="8" t="s">
        <v>124</v>
      </c>
      <c r="O5180" s="7"/>
      <c r="P5180" s="2" t="s">
        <v>5614</v>
      </c>
      <c r="Q5180" s="7"/>
      <c r="R5180" s="1"/>
      <c r="S5180" s="1" t="str">
        <f>"J-UN-2022-2375"</f>
        <v>J-UN-2022-2375</v>
      </c>
      <c r="T5180" s="1" t="s">
        <v>32</v>
      </c>
    </row>
    <row r="5181" spans="1:20" ht="63.75" x14ac:dyDescent="0.25">
      <c r="A5181" s="6">
        <v>5160</v>
      </c>
      <c r="B5181" s="1" t="str">
        <f>"2022-1458"</f>
        <v>2022-1458</v>
      </c>
      <c r="C5181" s="1" t="s">
        <v>2851</v>
      </c>
      <c r="D5181" s="1" t="s">
        <v>1007</v>
      </c>
      <c r="E5181" s="1" t="str">
        <f>""</f>
        <v/>
      </c>
      <c r="F5181" s="1" t="s">
        <v>1860</v>
      </c>
      <c r="G5181" s="1" t="str">
        <f>CONCATENATE(" TEHNOZAVOD-MARUŠIĆ D.O.O.,"," XIII PODBREŽJE 26,"," 10000 ZAGREB,"," OIB: 2192647279")</f>
        <v xml:space="preserve"> TEHNOZAVOD-MARUŠIĆ D.O.O., XIII PODBREŽJE 26, 10000 ZAGREB, OIB: 2192647279</v>
      </c>
      <c r="H5181" s="7"/>
      <c r="I5181" s="8" t="s">
        <v>170</v>
      </c>
      <c r="J5181" s="8" t="s">
        <v>1538</v>
      </c>
      <c r="K5181" s="6" t="str">
        <f>"11.919,00"</f>
        <v>11.919,00</v>
      </c>
      <c r="L5181" s="6" t="str">
        <f>"2.979,75"</f>
        <v>2.979,75</v>
      </c>
      <c r="M5181" s="6" t="str">
        <f>"14.898,75"</f>
        <v>14.898,75</v>
      </c>
      <c r="N5181" s="8" t="s">
        <v>124</v>
      </c>
      <c r="O5181" s="7"/>
      <c r="P5181" s="2" t="s">
        <v>5614</v>
      </c>
      <c r="Q5181" s="7"/>
      <c r="R5181" s="1"/>
      <c r="S5181" s="1" t="str">
        <f>"J-UN-2022-2376"</f>
        <v>J-UN-2022-2376</v>
      </c>
      <c r="T5181" s="1" t="s">
        <v>32</v>
      </c>
    </row>
    <row r="5182" spans="1:20" ht="51" x14ac:dyDescent="0.25">
      <c r="A5182" s="6">
        <v>5161</v>
      </c>
      <c r="B5182" s="1" t="str">
        <f>"2022-1745"</f>
        <v>2022-1745</v>
      </c>
      <c r="C5182" s="1" t="s">
        <v>3297</v>
      </c>
      <c r="D5182" s="1" t="s">
        <v>3298</v>
      </c>
      <c r="E5182" s="1" t="str">
        <f>""</f>
        <v/>
      </c>
      <c r="F5182" s="1" t="s">
        <v>1860</v>
      </c>
      <c r="G5182" s="1" t="str">
        <f>CONCATENATE(" STAKLO GALANTERIJA,"," VL. SENKA ROŽMAN,"," GOSPODSKA 84,"," 10000 ZAGREB")</f>
        <v xml:space="preserve"> STAKLO GALANTERIJA, VL. SENKA ROŽMAN, GOSPODSKA 84, 10000 ZAGREB</v>
      </c>
      <c r="H5182" s="7"/>
      <c r="I5182" s="8" t="s">
        <v>170</v>
      </c>
      <c r="J5182" s="8" t="s">
        <v>1538</v>
      </c>
      <c r="K5182" s="6" t="str">
        <f>"1.234,93"</f>
        <v>1.234,93</v>
      </c>
      <c r="L5182" s="6" t="str">
        <f>"308,73"</f>
        <v>308,73</v>
      </c>
      <c r="M5182" s="6" t="str">
        <f>"1.543,66"</f>
        <v>1.543,66</v>
      </c>
      <c r="N5182" s="8" t="s">
        <v>124</v>
      </c>
      <c r="O5182" s="7"/>
      <c r="P5182" s="2" t="s">
        <v>5614</v>
      </c>
      <c r="Q5182" s="7"/>
      <c r="R5182" s="1"/>
      <c r="S5182" s="1" t="str">
        <f>"J-UN-2022-2377"</f>
        <v>J-UN-2022-2377</v>
      </c>
      <c r="T5182" s="1" t="s">
        <v>32</v>
      </c>
    </row>
    <row r="5183" spans="1:20" ht="63.75" x14ac:dyDescent="0.25">
      <c r="A5183" s="6">
        <v>5162</v>
      </c>
      <c r="B5183" s="1" t="str">
        <f>"2022-831"</f>
        <v>2022-831</v>
      </c>
      <c r="C5183" s="1" t="s">
        <v>3299</v>
      </c>
      <c r="D5183" s="1" t="s">
        <v>21</v>
      </c>
      <c r="E5183" s="1" t="str">
        <f>""</f>
        <v/>
      </c>
      <c r="F5183" s="1" t="s">
        <v>1860</v>
      </c>
      <c r="G5183" s="1" t="str">
        <f>CONCATENATE(" GRA-PO D.O.O.,"," GOSPODARSKA 5B,"," 10255 ZAGREB - STUPNIK,"," OIB: 05364995085")</f>
        <v xml:space="preserve"> GRA-PO D.O.O., GOSPODARSKA 5B, 10255 ZAGREB - STUPNIK, OIB: 05364995085</v>
      </c>
      <c r="H5183" s="7"/>
      <c r="I5183" s="8" t="s">
        <v>170</v>
      </c>
      <c r="J5183" s="8" t="s">
        <v>1538</v>
      </c>
      <c r="K5183" s="6" t="str">
        <f>"40.249,00"</f>
        <v>40.249,00</v>
      </c>
      <c r="L5183" s="6" t="str">
        <f>"10.062,25"</f>
        <v>10.062,25</v>
      </c>
      <c r="M5183" s="6" t="str">
        <f>"50.311,25"</f>
        <v>50.311,25</v>
      </c>
      <c r="N5183" s="8" t="s">
        <v>124</v>
      </c>
      <c r="O5183" s="7"/>
      <c r="P5183" s="2" t="s">
        <v>5614</v>
      </c>
      <c r="Q5183" s="7"/>
      <c r="R5183" s="1"/>
      <c r="S5183" s="1" t="str">
        <f>"J-UN-2022-2378"</f>
        <v>J-UN-2022-2378</v>
      </c>
      <c r="T5183" s="1" t="s">
        <v>32</v>
      </c>
    </row>
    <row r="5184" spans="1:20" ht="63.75" x14ac:dyDescent="0.25">
      <c r="A5184" s="6">
        <v>5163</v>
      </c>
      <c r="B5184" s="1" t="str">
        <f>"2022-835"</f>
        <v>2022-835</v>
      </c>
      <c r="C5184" s="1" t="s">
        <v>3300</v>
      </c>
      <c r="D5184" s="1" t="s">
        <v>21</v>
      </c>
      <c r="E5184" s="1" t="str">
        <f>""</f>
        <v/>
      </c>
      <c r="F5184" s="1" t="s">
        <v>1860</v>
      </c>
      <c r="G5184" s="1" t="str">
        <f>CONCATENATE(" GRA-PO D.O.O.,"," GOSPODARSKA 5B,"," 10255 ZAGREB - STUPNIK,"," OIB: 05364995085")</f>
        <v xml:space="preserve"> GRA-PO D.O.O., GOSPODARSKA 5B, 10255 ZAGREB - STUPNIK, OIB: 05364995085</v>
      </c>
      <c r="H5184" s="7"/>
      <c r="I5184" s="8" t="s">
        <v>170</v>
      </c>
      <c r="J5184" s="8" t="s">
        <v>1538</v>
      </c>
      <c r="K5184" s="6" t="str">
        <f>"74.843,00"</f>
        <v>74.843,00</v>
      </c>
      <c r="L5184" s="6" t="str">
        <f>"18.710,75"</f>
        <v>18.710,75</v>
      </c>
      <c r="M5184" s="6" t="str">
        <f>"93.553,75"</f>
        <v>93.553,75</v>
      </c>
      <c r="N5184" s="8" t="s">
        <v>124</v>
      </c>
      <c r="O5184" s="7"/>
      <c r="P5184" s="2" t="s">
        <v>5614</v>
      </c>
      <c r="Q5184" s="7"/>
      <c r="R5184" s="1"/>
      <c r="S5184" s="1" t="str">
        <f>"J-UN-2022-2379"</f>
        <v>J-UN-2022-2379</v>
      </c>
      <c r="T5184" s="1" t="s">
        <v>32</v>
      </c>
    </row>
    <row r="5185" spans="1:20" ht="51" x14ac:dyDescent="0.25">
      <c r="A5185" s="6">
        <v>5164</v>
      </c>
      <c r="B5185" s="1" t="str">
        <f>"2022-2023"</f>
        <v>2022-2023</v>
      </c>
      <c r="C5185" s="1" t="s">
        <v>3250</v>
      </c>
      <c r="D5185" s="1" t="s">
        <v>1619</v>
      </c>
      <c r="E5185" s="1" t="str">
        <f>""</f>
        <v/>
      </c>
      <c r="F5185" s="1" t="s">
        <v>1860</v>
      </c>
      <c r="G5185" s="1" t="str">
        <f>CONCATENATE(" TRIDION D.O.O.,"," ZAPADNA LOZICA 10,"," 10000 ZAGREB,"," OIB: 79247590666")</f>
        <v xml:space="preserve"> TRIDION D.O.O., ZAPADNA LOZICA 10, 10000 ZAGREB, OIB: 79247590666</v>
      </c>
      <c r="H5185" s="7"/>
      <c r="I5185" s="8" t="s">
        <v>170</v>
      </c>
      <c r="J5185" s="8" t="s">
        <v>1538</v>
      </c>
      <c r="K5185" s="6" t="str">
        <f>"62.190,44"</f>
        <v>62.190,44</v>
      </c>
      <c r="L5185" s="6" t="str">
        <f>"15.547,61"</f>
        <v>15.547,61</v>
      </c>
      <c r="M5185" s="6" t="str">
        <f>"77.738,05"</f>
        <v>77.738,05</v>
      </c>
      <c r="N5185" s="8" t="s">
        <v>124</v>
      </c>
      <c r="O5185" s="7"/>
      <c r="P5185" s="2" t="s">
        <v>5614</v>
      </c>
      <c r="Q5185" s="7"/>
      <c r="R5185" s="1"/>
      <c r="S5185" s="1" t="str">
        <f>"J-UN-2022-2380"</f>
        <v>J-UN-2022-2380</v>
      </c>
      <c r="T5185" s="1" t="s">
        <v>32</v>
      </c>
    </row>
    <row r="5186" spans="1:20" ht="63.75" x14ac:dyDescent="0.25">
      <c r="A5186" s="6">
        <v>5165</v>
      </c>
      <c r="B5186" s="1" t="str">
        <f>"2022-2090"</f>
        <v>2022-2090</v>
      </c>
      <c r="C5186" s="1" t="s">
        <v>3301</v>
      </c>
      <c r="D5186" s="1" t="s">
        <v>3167</v>
      </c>
      <c r="E5186" s="1" t="str">
        <f>""</f>
        <v/>
      </c>
      <c r="F5186" s="1" t="s">
        <v>1860</v>
      </c>
      <c r="G5186" s="1" t="str">
        <f>CONCATENATE(" INFO-KOD d.o.o.,"," DINARSKI PUT 1B,"," 10090 ZAGREB-SUSEDGRAD,"," OIB: 87565323632")</f>
        <v xml:space="preserve"> INFO-KOD d.o.o., DINARSKI PUT 1B, 10090 ZAGREB-SUSEDGRAD, OIB: 87565323632</v>
      </c>
      <c r="H5186" s="7"/>
      <c r="I5186" s="8" t="s">
        <v>170</v>
      </c>
      <c r="J5186" s="8" t="s">
        <v>1538</v>
      </c>
      <c r="K5186" s="6" t="str">
        <f>"69.214,80"</f>
        <v>69.214,80</v>
      </c>
      <c r="L5186" s="6" t="str">
        <f>"17.303,70"</f>
        <v>17.303,70</v>
      </c>
      <c r="M5186" s="6" t="str">
        <f>"86.518,50"</f>
        <v>86.518,50</v>
      </c>
      <c r="N5186" s="8" t="s">
        <v>124</v>
      </c>
      <c r="O5186" s="7"/>
      <c r="P5186" s="2" t="s">
        <v>5614</v>
      </c>
      <c r="Q5186" s="7"/>
      <c r="R5186" s="1"/>
      <c r="S5186" s="1" t="str">
        <f>"J-UN-2022-2385"</f>
        <v>J-UN-2022-2385</v>
      </c>
      <c r="T5186" s="1" t="s">
        <v>32</v>
      </c>
    </row>
    <row r="5187" spans="1:20" ht="51" x14ac:dyDescent="0.25">
      <c r="A5187" s="6">
        <v>5166</v>
      </c>
      <c r="B5187" s="1" t="str">
        <f>"2022-859"</f>
        <v>2022-859</v>
      </c>
      <c r="C5187" s="1" t="s">
        <v>3238</v>
      </c>
      <c r="D5187" s="1" t="s">
        <v>471</v>
      </c>
      <c r="E5187" s="1" t="str">
        <f>""</f>
        <v/>
      </c>
      <c r="F5187" s="1" t="s">
        <v>1860</v>
      </c>
      <c r="G5187" s="1" t="str">
        <f>CONCATENATE(" KING ICT D.O.O.,"," BUZINSKI PRILAZ 10,"," 10010 ZAGREB,"," OIB: 67001695549")</f>
        <v xml:space="preserve"> KING ICT D.O.O., BUZINSKI PRILAZ 10, 10010 ZAGREB, OIB: 67001695549</v>
      </c>
      <c r="H5187" s="7"/>
      <c r="I5187" s="8" t="s">
        <v>112</v>
      </c>
      <c r="J5187" s="8" t="s">
        <v>1488</v>
      </c>
      <c r="K5187" s="6" t="str">
        <f>"40.299,60"</f>
        <v>40.299,60</v>
      </c>
      <c r="L5187" s="6" t="str">
        <f>"10.074,90"</f>
        <v>10.074,90</v>
      </c>
      <c r="M5187" s="6" t="str">
        <f>"50.374,50"</f>
        <v>50.374,50</v>
      </c>
      <c r="N5187" s="8" t="s">
        <v>124</v>
      </c>
      <c r="O5187" s="7"/>
      <c r="P5187" s="2" t="s">
        <v>5614</v>
      </c>
      <c r="Q5187" s="7"/>
      <c r="R5187" s="1"/>
      <c r="S5187" s="1" t="str">
        <f>"J-UN-2022-2395"</f>
        <v>J-UN-2022-2395</v>
      </c>
      <c r="T5187" s="1" t="s">
        <v>32</v>
      </c>
    </row>
    <row r="5188" spans="1:20" ht="63.75" x14ac:dyDescent="0.25">
      <c r="A5188" s="6">
        <v>5167</v>
      </c>
      <c r="B5188" s="1" t="str">
        <f>"2022-1089"</f>
        <v>2022-1089</v>
      </c>
      <c r="C5188" s="1" t="s">
        <v>3302</v>
      </c>
      <c r="D5188" s="1" t="s">
        <v>74</v>
      </c>
      <c r="E5188" s="1" t="str">
        <f>""</f>
        <v/>
      </c>
      <c r="F5188" s="1" t="s">
        <v>1860</v>
      </c>
      <c r="G5188" s="1" t="str">
        <f>CONCATENATE(" PELCOM D.O.O.,"," MEDARSKA 69,"," 10000 ZAGREB,"," OIB: 5697909333")</f>
        <v xml:space="preserve"> PELCOM D.O.O., MEDARSKA 69, 10000 ZAGREB, OIB: 5697909333</v>
      </c>
      <c r="H5188" s="7"/>
      <c r="I5188" s="8" t="s">
        <v>112</v>
      </c>
      <c r="J5188" s="8" t="s">
        <v>1488</v>
      </c>
      <c r="K5188" s="6" t="str">
        <f>"6.404,33"</f>
        <v>6.404,33</v>
      </c>
      <c r="L5188" s="6" t="str">
        <f>"1.601,08"</f>
        <v>1.601,08</v>
      </c>
      <c r="M5188" s="6" t="str">
        <f>"8.005,41"</f>
        <v>8.005,41</v>
      </c>
      <c r="N5188" s="8" t="s">
        <v>124</v>
      </c>
      <c r="O5188" s="7"/>
      <c r="P5188" s="2" t="s">
        <v>5614</v>
      </c>
      <c r="Q5188" s="7"/>
      <c r="R5188" s="1"/>
      <c r="S5188" s="1" t="str">
        <f>"J-UN-2022-2396"</f>
        <v>J-UN-2022-2396</v>
      </c>
      <c r="T5188" s="1" t="s">
        <v>32</v>
      </c>
    </row>
    <row r="5189" spans="1:20" ht="51" x14ac:dyDescent="0.25">
      <c r="A5189" s="6">
        <v>5168</v>
      </c>
      <c r="B5189" s="1" t="str">
        <f>"2022-555"</f>
        <v>2022-555</v>
      </c>
      <c r="C5189" s="1" t="s">
        <v>2876</v>
      </c>
      <c r="D5189" s="1" t="s">
        <v>794</v>
      </c>
      <c r="E5189" s="1" t="str">
        <f>""</f>
        <v/>
      </c>
      <c r="F5189" s="1" t="s">
        <v>1860</v>
      </c>
      <c r="G5189" s="1" t="str">
        <f>CONCATENATE(" STAR IMPORT D.O.O.,"," KOVINSKA 5,"," 10090 ZAGREB-SUSEDGRAD,"," OIB: 783122799")</f>
        <v xml:space="preserve"> STAR IMPORT D.O.O., KOVINSKA 5, 10090 ZAGREB-SUSEDGRAD, OIB: 783122799</v>
      </c>
      <c r="H5189" s="7"/>
      <c r="I5189" s="8" t="s">
        <v>121</v>
      </c>
      <c r="J5189" s="8" t="s">
        <v>3286</v>
      </c>
      <c r="K5189" s="6" t="str">
        <f>"22.780,00"</f>
        <v>22.780,00</v>
      </c>
      <c r="L5189" s="6" t="str">
        <f>"5.695,00"</f>
        <v>5.695,00</v>
      </c>
      <c r="M5189" s="6" t="str">
        <f>"28.475,00"</f>
        <v>28.475,00</v>
      </c>
      <c r="N5189" s="8" t="s">
        <v>124</v>
      </c>
      <c r="O5189" s="7"/>
      <c r="P5189" s="2" t="s">
        <v>5614</v>
      </c>
      <c r="Q5189" s="7"/>
      <c r="R5189" s="1"/>
      <c r="S5189" s="1" t="str">
        <f>"J-UN-2022-2402"</f>
        <v>J-UN-2022-2402</v>
      </c>
      <c r="T5189" s="1" t="s">
        <v>32</v>
      </c>
    </row>
    <row r="5190" spans="1:20" ht="51" x14ac:dyDescent="0.25">
      <c r="A5190" s="6">
        <v>5169</v>
      </c>
      <c r="B5190" s="1" t="str">
        <f>"2022-2075"</f>
        <v>2022-2075</v>
      </c>
      <c r="C5190" s="1" t="s">
        <v>209</v>
      </c>
      <c r="D5190" s="1" t="s">
        <v>78</v>
      </c>
      <c r="E5190" s="1" t="str">
        <f>""</f>
        <v/>
      </c>
      <c r="F5190" s="1" t="s">
        <v>1860</v>
      </c>
      <c r="G5190" s="1" t="str">
        <f>CONCATENATE(" INFOART D.O.O.,"," LASTOVSKA 23,"," 10000 ZAGREB,"," OIB: 88255578438")</f>
        <v xml:space="preserve"> INFOART D.O.O., LASTOVSKA 23, 10000 ZAGREB, OIB: 88255578438</v>
      </c>
      <c r="H5190" s="7"/>
      <c r="I5190" s="8" t="s">
        <v>1092</v>
      </c>
      <c r="J5190" s="8" t="s">
        <v>123</v>
      </c>
      <c r="K5190" s="6" t="str">
        <f>"90.000,00"</f>
        <v>90.000,00</v>
      </c>
      <c r="L5190" s="6" t="str">
        <f>"22.500,00"</f>
        <v>22.500,00</v>
      </c>
      <c r="M5190" s="6" t="str">
        <f>"112.500,00"</f>
        <v>112.500,00</v>
      </c>
      <c r="N5190" s="8" t="s">
        <v>124</v>
      </c>
      <c r="O5190" s="7"/>
      <c r="P5190" s="2" t="s">
        <v>5614</v>
      </c>
      <c r="Q5190" s="7"/>
      <c r="R5190" s="1"/>
      <c r="S5190" s="1" t="str">
        <f>"J-UN-2022-2407"</f>
        <v>J-UN-2022-2407</v>
      </c>
      <c r="T5190" s="1" t="s">
        <v>32</v>
      </c>
    </row>
    <row r="5191" spans="1:20" ht="63.75" x14ac:dyDescent="0.25">
      <c r="A5191" s="6">
        <v>5170</v>
      </c>
      <c r="B5191" s="1" t="str">
        <f>"2022-988"</f>
        <v>2022-988</v>
      </c>
      <c r="C5191" s="1" t="s">
        <v>2845</v>
      </c>
      <c r="D5191" s="1" t="s">
        <v>2846</v>
      </c>
      <c r="E5191" s="1" t="str">
        <f>""</f>
        <v/>
      </c>
      <c r="F5191" s="1" t="s">
        <v>1860</v>
      </c>
      <c r="G5191" s="1" t="str">
        <f>CONCATENATE(" MAT-TOPS D.O.O.,"," J.KOVAČIĆA 5,"," 10413 KRAVARSKO(ŠILJAKOVINA),"," OIB: 99349765216")</f>
        <v xml:space="preserve"> MAT-TOPS D.O.O., J.KOVAČIĆA 5, 10413 KRAVARSKO(ŠILJAKOVINA), OIB: 99349765216</v>
      </c>
      <c r="H5191" s="7"/>
      <c r="I5191" s="8" t="s">
        <v>121</v>
      </c>
      <c r="J5191" s="8" t="s">
        <v>3286</v>
      </c>
      <c r="K5191" s="6" t="str">
        <f>"18.070,00"</f>
        <v>18.070,00</v>
      </c>
      <c r="L5191" s="6" t="str">
        <f>"4.517,50"</f>
        <v>4.517,50</v>
      </c>
      <c r="M5191" s="6" t="str">
        <f>"22.587,50"</f>
        <v>22.587,50</v>
      </c>
      <c r="N5191" s="8" t="s">
        <v>124</v>
      </c>
      <c r="O5191" s="7"/>
      <c r="P5191" s="2" t="s">
        <v>5614</v>
      </c>
      <c r="Q5191" s="7"/>
      <c r="R5191" s="1"/>
      <c r="S5191" s="1" t="str">
        <f>"J-UN-2022-2411"</f>
        <v>J-UN-2022-2411</v>
      </c>
      <c r="T5191" s="1" t="s">
        <v>32</v>
      </c>
    </row>
    <row r="5192" spans="1:20" ht="51" x14ac:dyDescent="0.25">
      <c r="A5192" s="6">
        <v>5171</v>
      </c>
      <c r="B5192" s="1" t="str">
        <f>"2022-1975"</f>
        <v>2022-1975</v>
      </c>
      <c r="C5192" s="1" t="s">
        <v>3251</v>
      </c>
      <c r="D5192" s="1" t="s">
        <v>766</v>
      </c>
      <c r="E5192" s="1" t="str">
        <f>""</f>
        <v/>
      </c>
      <c r="F5192" s="1" t="s">
        <v>1860</v>
      </c>
      <c r="G5192" s="1" t="str">
        <f>CONCATENATE(" INA MAZIVA D.O.O.,"," RADNIČKA CESTA 175,"," 10000 ZAGREB,"," OIB: 63988426425")</f>
        <v xml:space="preserve"> INA MAZIVA D.O.O., RADNIČKA CESTA 175, 10000 ZAGREB, OIB: 63988426425</v>
      </c>
      <c r="H5192" s="7"/>
      <c r="I5192" s="8" t="s">
        <v>121</v>
      </c>
      <c r="J5192" s="8" t="s">
        <v>3286</v>
      </c>
      <c r="K5192" s="6" t="str">
        <f>"7.667,00"</f>
        <v>7.667,00</v>
      </c>
      <c r="L5192" s="6" t="str">
        <f>"1.916,75"</f>
        <v>1.916,75</v>
      </c>
      <c r="M5192" s="6" t="str">
        <f>"9.583,75"</f>
        <v>9.583,75</v>
      </c>
      <c r="N5192" s="8" t="s">
        <v>124</v>
      </c>
      <c r="O5192" s="7"/>
      <c r="P5192" s="2" t="s">
        <v>5614</v>
      </c>
      <c r="Q5192" s="7"/>
      <c r="R5192" s="1"/>
      <c r="S5192" s="1" t="str">
        <f>"J-UN-2022-2415"</f>
        <v>J-UN-2022-2415</v>
      </c>
      <c r="T5192" s="1" t="s">
        <v>32</v>
      </c>
    </row>
    <row r="5193" spans="1:20" ht="63.75" x14ac:dyDescent="0.25">
      <c r="A5193" s="6">
        <v>5172</v>
      </c>
      <c r="B5193" s="1" t="str">
        <f>"2022-984"</f>
        <v>2022-984</v>
      </c>
      <c r="C5193" s="1" t="s">
        <v>2638</v>
      </c>
      <c r="D5193" s="1" t="s">
        <v>1458</v>
      </c>
      <c r="E5193" s="1" t="str">
        <f>""</f>
        <v/>
      </c>
      <c r="F5193" s="1" t="s">
        <v>1860</v>
      </c>
      <c r="G5193" s="1" t="str">
        <f>CONCATENATE(" MAG COMMERCE D.O.O.,"," ŠENKOVEC,"," MARŠALA TITA 6,"," 40000 ČAKOVEC,"," OIB: 57269622478")</f>
        <v xml:space="preserve"> MAG COMMERCE D.O.O., ŠENKOVEC, MARŠALA TITA 6, 40000 ČAKOVEC, OIB: 57269622478</v>
      </c>
      <c r="H5193" s="7"/>
      <c r="I5193" s="8" t="s">
        <v>121</v>
      </c>
      <c r="J5193" s="8" t="s">
        <v>3286</v>
      </c>
      <c r="K5193" s="6" t="str">
        <f>"2.968,00"</f>
        <v>2.968,00</v>
      </c>
      <c r="L5193" s="6" t="str">
        <f>"742,00"</f>
        <v>742,00</v>
      </c>
      <c r="M5193" s="6" t="str">
        <f>"3.710,00"</f>
        <v>3.710,00</v>
      </c>
      <c r="N5193" s="8" t="s">
        <v>124</v>
      </c>
      <c r="O5193" s="7"/>
      <c r="P5193" s="2" t="s">
        <v>5614</v>
      </c>
      <c r="Q5193" s="7"/>
      <c r="R5193" s="1"/>
      <c r="S5193" s="1" t="str">
        <f>"J-UN-2022-2416"</f>
        <v>J-UN-2022-2416</v>
      </c>
      <c r="T5193" s="1" t="s">
        <v>32</v>
      </c>
    </row>
    <row r="5194" spans="1:20" ht="51" x14ac:dyDescent="0.25">
      <c r="A5194" s="6">
        <v>5173</v>
      </c>
      <c r="B5194" s="1" t="str">
        <f>"2021-74"</f>
        <v>2021-74</v>
      </c>
      <c r="C5194" s="1" t="s">
        <v>2685</v>
      </c>
      <c r="D5194" s="1" t="s">
        <v>2686</v>
      </c>
      <c r="E5194" s="1" t="str">
        <f>""</f>
        <v/>
      </c>
      <c r="F5194" s="1" t="s">
        <v>1860</v>
      </c>
      <c r="G5194" s="1" t="str">
        <f>CONCATENATE(" ARBORI CULTURA D.O.O.,"," POKUPSKO 86,"," 10414 POKUPSKO,"," OIB: 16690651659")</f>
        <v xml:space="preserve"> ARBORI CULTURA D.O.O., POKUPSKO 86, 10414 POKUPSKO, OIB: 16690651659</v>
      </c>
      <c r="H5194" s="7"/>
      <c r="I5194" s="8" t="s">
        <v>930</v>
      </c>
      <c r="J5194" s="8" t="s">
        <v>3035</v>
      </c>
      <c r="K5194" s="6" t="str">
        <f>"12.250,00"</f>
        <v>12.250,00</v>
      </c>
      <c r="L5194" s="6" t="str">
        <f>"3.062,50"</f>
        <v>3.062,50</v>
      </c>
      <c r="M5194" s="6" t="str">
        <f>"15.312,50"</f>
        <v>15.312,50</v>
      </c>
      <c r="N5194" s="8" t="s">
        <v>124</v>
      </c>
      <c r="O5194" s="7"/>
      <c r="P5194" s="2" t="s">
        <v>8415</v>
      </c>
      <c r="Q5194" s="7"/>
      <c r="R5194" s="1"/>
      <c r="S5194" s="1" t="str">
        <f>"JNU-2022-58"</f>
        <v>JNU-2022-58</v>
      </c>
      <c r="T5194" s="1" t="s">
        <v>32</v>
      </c>
    </row>
    <row r="5195" spans="1:20" ht="51" x14ac:dyDescent="0.25">
      <c r="A5195" s="6">
        <v>5174</v>
      </c>
      <c r="B5195" s="1" t="str">
        <f>"2020-1814"</f>
        <v>2020-1814</v>
      </c>
      <c r="C5195" s="1" t="s">
        <v>2435</v>
      </c>
      <c r="D5195" s="1" t="s">
        <v>2436</v>
      </c>
      <c r="E5195" s="1" t="str">
        <f>""</f>
        <v/>
      </c>
      <c r="F5195" s="1" t="s">
        <v>1860</v>
      </c>
      <c r="G5195" s="1" t="str">
        <f>CONCATENATE(" BIOVIT D.O.O.,"," MATKA LAGINJE 13,"," 42000 VARAŽDIN,"," OIB: 7327541289")</f>
        <v xml:space="preserve"> BIOVIT D.O.O., MATKA LAGINJE 13, 42000 VARAŽDIN, OIB: 7327541289</v>
      </c>
      <c r="H5195" s="7"/>
      <c r="I5195" s="8" t="s">
        <v>1278</v>
      </c>
      <c r="J5195" s="8" t="s">
        <v>1072</v>
      </c>
      <c r="K5195" s="6" t="str">
        <f>"45.643,85"</f>
        <v>45.643,85</v>
      </c>
      <c r="L5195" s="6" t="str">
        <f>"11.410,96"</f>
        <v>11.410,96</v>
      </c>
      <c r="M5195" s="6" t="str">
        <f>"57.054,81"</f>
        <v>57.054,81</v>
      </c>
      <c r="N5195" s="8" t="s">
        <v>182</v>
      </c>
      <c r="O5195" s="7"/>
      <c r="P5195" s="2" t="s">
        <v>8416</v>
      </c>
      <c r="Q5195" s="7"/>
      <c r="R5195" s="1"/>
      <c r="S5195" s="1" t="str">
        <f>"GZ-43/2021"</f>
        <v>GZ-43/2021</v>
      </c>
      <c r="T5195" s="1" t="s">
        <v>55</v>
      </c>
    </row>
    <row r="5196" spans="1:20" ht="51" x14ac:dyDescent="0.25">
      <c r="A5196" s="6">
        <v>5175</v>
      </c>
      <c r="B5196" s="1" t="str">
        <f>"2021-2166"</f>
        <v>2021-2166</v>
      </c>
      <c r="C5196" s="1" t="s">
        <v>3303</v>
      </c>
      <c r="D5196" s="1" t="s">
        <v>467</v>
      </c>
      <c r="E5196" s="1" t="str">
        <f>""</f>
        <v/>
      </c>
      <c r="F5196" s="1" t="s">
        <v>1860</v>
      </c>
      <c r="G5196" s="1" t="str">
        <f>CONCATENATE(" COMBIS D.O.O.,"," RADNIČKA CESTA 21,"," 10000 ZAGREB,"," OIB: 91678676896")</f>
        <v xml:space="preserve"> COMBIS D.O.O., RADNIČKA CESTA 21, 10000 ZAGREB, OIB: 91678676896</v>
      </c>
      <c r="H5196" s="7"/>
      <c r="I5196" s="8" t="s">
        <v>1356</v>
      </c>
      <c r="J5196" s="8" t="s">
        <v>2084</v>
      </c>
      <c r="K5196" s="6" t="str">
        <f>"174.000,00"</f>
        <v>174.000,00</v>
      </c>
      <c r="L5196" s="6" t="str">
        <f>"43.500,00"</f>
        <v>43.500,00</v>
      </c>
      <c r="M5196" s="6" t="str">
        <f>"217.500,00"</f>
        <v>217.500,00</v>
      </c>
      <c r="N5196" s="8" t="s">
        <v>428</v>
      </c>
      <c r="O5196" s="7"/>
      <c r="P5196" s="2" t="s">
        <v>8417</v>
      </c>
      <c r="Q5196" s="7"/>
      <c r="R5196" s="1"/>
      <c r="S5196" s="1" t="str">
        <f>"GZ-785/2021"</f>
        <v>GZ-785/2021</v>
      </c>
      <c r="T5196" s="1" t="s">
        <v>43</v>
      </c>
    </row>
    <row r="5197" spans="1:20" ht="63.75" x14ac:dyDescent="0.25">
      <c r="A5197" s="6">
        <v>5176</v>
      </c>
      <c r="B5197" s="1" t="str">
        <f>"2021-2312"</f>
        <v>2021-2312</v>
      </c>
      <c r="C5197" s="1" t="s">
        <v>3304</v>
      </c>
      <c r="D5197" s="1" t="s">
        <v>486</v>
      </c>
      <c r="E5197" s="1" t="str">
        <f>""</f>
        <v/>
      </c>
      <c r="F5197" s="1" t="s">
        <v>1860</v>
      </c>
      <c r="G5197" s="1" t="str">
        <f>CONCATENATE("TEMPORIUM GRADNJA D.O.O.,"," LJUTOMERSKA ULICA 33A,"," 10000 ZAGREB,"," OIB: 6285048268")</f>
        <v>TEMPORIUM GRADNJA D.O.O., LJUTOMERSKA ULICA 33A, 10000 ZAGREB, OIB: 6285048268</v>
      </c>
      <c r="H5197" s="7"/>
      <c r="I5197" s="8" t="s">
        <v>117</v>
      </c>
      <c r="J5197" s="7"/>
      <c r="K5197" s="6" t="str">
        <f>"205.419,53"</f>
        <v>205.419,53</v>
      </c>
      <c r="L5197" s="6" t="str">
        <f>"0,00"</f>
        <v>0,00</v>
      </c>
      <c r="M5197" s="6" t="str">
        <f>"205.419,53"</f>
        <v>205.419,53</v>
      </c>
      <c r="N5197" s="8" t="s">
        <v>401</v>
      </c>
      <c r="O5197" s="7"/>
      <c r="P5197" s="2" t="s">
        <v>5614</v>
      </c>
      <c r="Q5197" s="7"/>
      <c r="R5197" s="1"/>
      <c r="S5197" s="1" t="str">
        <f>"2022-1"</f>
        <v>2022-1</v>
      </c>
      <c r="T5197" s="1" t="s">
        <v>55</v>
      </c>
    </row>
    <row r="5198" spans="1:20" ht="51" x14ac:dyDescent="0.25">
      <c r="A5198" s="6">
        <v>5177</v>
      </c>
      <c r="B5198" s="1" t="str">
        <f>"2021-322"</f>
        <v>2021-322</v>
      </c>
      <c r="C5198" s="1" t="s">
        <v>3305</v>
      </c>
      <c r="D5198" s="1" t="s">
        <v>1206</v>
      </c>
      <c r="E5198" s="1" t="str">
        <f>""</f>
        <v/>
      </c>
      <c r="F5198" s="1" t="s">
        <v>1860</v>
      </c>
      <c r="G5198" s="1" t="str">
        <f>CONCATENATE("INTERVEKTOR D.O.O.,"," OBREŠKA CESTA 51,"," 10000 ZAGREB,"," OIB: 91653777677")</f>
        <v>INTERVEKTOR D.O.O., OBREŠKA CESTA 51, 10000 ZAGREB, OIB: 91653777677</v>
      </c>
      <c r="H5198" s="7"/>
      <c r="I5198" s="8" t="s">
        <v>137</v>
      </c>
      <c r="J5198" s="7"/>
      <c r="K5198" s="6" t="str">
        <f>"6.540,00"</f>
        <v>6.540,00</v>
      </c>
      <c r="L5198" s="6" t="str">
        <f>"1.635,00"</f>
        <v>1.635,00</v>
      </c>
      <c r="M5198" s="6" t="str">
        <f>"8.175,00"</f>
        <v>8.175,00</v>
      </c>
      <c r="N5198" s="8" t="s">
        <v>855</v>
      </c>
      <c r="O5198" s="7"/>
      <c r="P5198" s="2">
        <v>8175</v>
      </c>
      <c r="Q5198" s="7"/>
      <c r="R5198" s="1"/>
      <c r="S5198" s="1" t="str">
        <f>"2022-24"</f>
        <v>2022-24</v>
      </c>
      <c r="T5198" s="1" t="s">
        <v>55</v>
      </c>
    </row>
    <row r="5199" spans="1:20" ht="51" x14ac:dyDescent="0.25">
      <c r="A5199" s="6">
        <v>5178</v>
      </c>
      <c r="B5199" s="1" t="str">
        <f>"2021-317"</f>
        <v>2021-317</v>
      </c>
      <c r="C5199" s="1" t="s">
        <v>2730</v>
      </c>
      <c r="D5199" s="1" t="s">
        <v>1206</v>
      </c>
      <c r="E5199" s="1" t="str">
        <f>""</f>
        <v/>
      </c>
      <c r="F5199" s="1" t="s">
        <v>1860</v>
      </c>
      <c r="G5199" s="1" t="str">
        <f>CONCATENATE("INTERVEKTOR D.O.O.,"," OBREŠKA CESTA 51,"," 10000 ZAGREB,"," OIB: 91653777677")</f>
        <v>INTERVEKTOR D.O.O., OBREŠKA CESTA 51, 10000 ZAGREB, OIB: 91653777677</v>
      </c>
      <c r="H5199" s="7"/>
      <c r="I5199" s="8" t="s">
        <v>137</v>
      </c>
      <c r="J5199" s="7"/>
      <c r="K5199" s="6" t="str">
        <f>"14.986,00"</f>
        <v>14.986,00</v>
      </c>
      <c r="L5199" s="6" t="str">
        <f>"3.746,50"</f>
        <v>3.746,50</v>
      </c>
      <c r="M5199" s="6" t="str">
        <f>"18.732,50"</f>
        <v>18.732,50</v>
      </c>
      <c r="N5199" s="8" t="s">
        <v>261</v>
      </c>
      <c r="O5199" s="7"/>
      <c r="P5199" s="2">
        <v>18732.5</v>
      </c>
      <c r="Q5199" s="7"/>
      <c r="R5199" s="1"/>
      <c r="S5199" s="1" t="str">
        <f>"2022-25"</f>
        <v>2022-25</v>
      </c>
      <c r="T5199" s="1" t="s">
        <v>55</v>
      </c>
    </row>
    <row r="5200" spans="1:20" ht="51" x14ac:dyDescent="0.25">
      <c r="A5200" s="6">
        <v>5179</v>
      </c>
      <c r="B5200" s="1" t="str">
        <f>"2021-576"</f>
        <v>2021-576</v>
      </c>
      <c r="C5200" s="1" t="s">
        <v>2561</v>
      </c>
      <c r="D5200" s="1" t="s">
        <v>2156</v>
      </c>
      <c r="E5200" s="1" t="str">
        <f>""</f>
        <v/>
      </c>
      <c r="F5200" s="1" t="s">
        <v>1860</v>
      </c>
      <c r="G5200" s="1" t="str">
        <f>CONCATENATE("KOPI-AS D.O.O.,"," CERNIČKA 4,"," 10000 ZAGREB,"," OIB: 96605206988")</f>
        <v>KOPI-AS D.O.O., CERNIČKA 4, 10000 ZAGREB, OIB: 96605206988</v>
      </c>
      <c r="H5200" s="7"/>
      <c r="I5200" s="8" t="s">
        <v>137</v>
      </c>
      <c r="J5200" s="7"/>
      <c r="K5200" s="6" t="str">
        <f>"5.075,90"</f>
        <v>5.075,90</v>
      </c>
      <c r="L5200" s="6" t="str">
        <f>"1.268,97"</f>
        <v>1.268,97</v>
      </c>
      <c r="M5200" s="6" t="str">
        <f>"6.344,87"</f>
        <v>6.344,87</v>
      </c>
      <c r="N5200" s="8" t="s">
        <v>62</v>
      </c>
      <c r="O5200" s="7"/>
      <c r="P5200" s="2">
        <v>6344.87</v>
      </c>
      <c r="Q5200" s="7"/>
      <c r="R5200" s="1"/>
      <c r="S5200" s="1" t="str">
        <f>"2022-29"</f>
        <v>2022-29</v>
      </c>
      <c r="T5200" s="1" t="s">
        <v>55</v>
      </c>
    </row>
    <row r="5201" spans="1:20" ht="51" x14ac:dyDescent="0.25">
      <c r="A5201" s="6">
        <v>5180</v>
      </c>
      <c r="B5201" s="1" t="str">
        <f>"2021-907"</f>
        <v>2021-907</v>
      </c>
      <c r="C5201" s="1" t="s">
        <v>2956</v>
      </c>
      <c r="D5201" s="1" t="s">
        <v>815</v>
      </c>
      <c r="E5201" s="1" t="str">
        <f>""</f>
        <v/>
      </c>
      <c r="F5201" s="1" t="s">
        <v>1860</v>
      </c>
      <c r="G5201" s="1" t="str">
        <f>CONCATENATE("M.B. AUTO  d.o.o.,"," KOLEDOVČINA 8,"," 10000 ZAGREB,"," OIB: 8902734372")</f>
        <v>M.B. AUTO  d.o.o., KOLEDOVČINA 8, 10000 ZAGREB, OIB: 8902734372</v>
      </c>
      <c r="H5201" s="7"/>
      <c r="I5201" s="8" t="s">
        <v>137</v>
      </c>
      <c r="J5201" s="7"/>
      <c r="K5201" s="6" t="str">
        <f>"17.066,80"</f>
        <v>17.066,80</v>
      </c>
      <c r="L5201" s="6" t="str">
        <f>"4.466,70"</f>
        <v>4.466,70</v>
      </c>
      <c r="M5201" s="6" t="str">
        <f>"21.533,50"</f>
        <v>21.533,50</v>
      </c>
      <c r="N5201" s="8" t="s">
        <v>675</v>
      </c>
      <c r="O5201" s="7"/>
      <c r="P5201" s="2">
        <v>21533.5</v>
      </c>
      <c r="Q5201" s="7"/>
      <c r="R5201" s="1"/>
      <c r="S5201" s="1" t="str">
        <f>"2022-34"</f>
        <v>2022-34</v>
      </c>
      <c r="T5201" s="1" t="s">
        <v>55</v>
      </c>
    </row>
    <row r="5202" spans="1:20" ht="51" x14ac:dyDescent="0.25">
      <c r="A5202" s="6">
        <v>5181</v>
      </c>
      <c r="B5202" s="1" t="str">
        <f>"2021-2145"</f>
        <v>2021-2145</v>
      </c>
      <c r="C5202" s="1" t="s">
        <v>2694</v>
      </c>
      <c r="D5202" s="1" t="s">
        <v>3306</v>
      </c>
      <c r="E5202" s="1" t="str">
        <f>""</f>
        <v/>
      </c>
      <c r="F5202" s="1" t="s">
        <v>1860</v>
      </c>
      <c r="G5202" s="1" t="str">
        <f>CONCATENATE("ELEKTRO PAVIKO D.O.O.,"," BAŠTIJANOVA 1A,"," 10000 ZAGREB,"," OIB: 49100698114")</f>
        <v>ELEKTRO PAVIKO D.O.O., BAŠTIJANOVA 1A, 10000 ZAGREB, OIB: 49100698114</v>
      </c>
      <c r="H5202" s="7"/>
      <c r="I5202" s="8" t="s">
        <v>137</v>
      </c>
      <c r="J5202" s="7"/>
      <c r="K5202" s="6" t="str">
        <f>"29.896,00"</f>
        <v>29.896,00</v>
      </c>
      <c r="L5202" s="6" t="str">
        <f>"7.474,00"</f>
        <v>7.474,00</v>
      </c>
      <c r="M5202" s="6" t="str">
        <f>"37.370,00"</f>
        <v>37.370,00</v>
      </c>
      <c r="N5202" s="8" t="s">
        <v>696</v>
      </c>
      <c r="O5202" s="7"/>
      <c r="P5202" s="2">
        <v>37370</v>
      </c>
      <c r="Q5202" s="7"/>
      <c r="R5202" s="1"/>
      <c r="S5202" s="1" t="str">
        <f>"2022-35"</f>
        <v>2022-35</v>
      </c>
      <c r="T5202" s="1" t="s">
        <v>55</v>
      </c>
    </row>
    <row r="5203" spans="1:20" ht="76.5" x14ac:dyDescent="0.25">
      <c r="A5203" s="6">
        <v>5182</v>
      </c>
      <c r="B5203" s="1" t="str">
        <f>"2021-177"</f>
        <v>2021-177</v>
      </c>
      <c r="C5203" s="1" t="s">
        <v>3307</v>
      </c>
      <c r="D5203" s="1" t="s">
        <v>3308</v>
      </c>
      <c r="E5203" s="1" t="str">
        <f>""</f>
        <v/>
      </c>
      <c r="F5203" s="1" t="s">
        <v>1860</v>
      </c>
      <c r="G5203" s="1" t="str">
        <f>CONCATENATE("SMIT-COMMERCE D.O.O.,"," GORNJOSTUPNIČKA 9B,"," 10255 GORNJI STUPNIK,"," OIB: 9524348214")</f>
        <v>SMIT-COMMERCE D.O.O., GORNJOSTUPNIČKA 9B, 10255 GORNJI STUPNIK, OIB: 9524348214</v>
      </c>
      <c r="H5203" s="7"/>
      <c r="I5203" s="8" t="s">
        <v>137</v>
      </c>
      <c r="J5203" s="7"/>
      <c r="K5203" s="6" t="str">
        <f>"705,75"</f>
        <v>705,75</v>
      </c>
      <c r="L5203" s="6" t="str">
        <f>"176,44"</f>
        <v>176,44</v>
      </c>
      <c r="M5203" s="6" t="str">
        <f>"882,19"</f>
        <v>882,19</v>
      </c>
      <c r="N5203" s="8" t="s">
        <v>1320</v>
      </c>
      <c r="O5203" s="7"/>
      <c r="P5203" s="2">
        <v>882.19</v>
      </c>
      <c r="Q5203" s="7"/>
      <c r="R5203" s="1"/>
      <c r="S5203" s="1" t="str">
        <f>"2022-36"</f>
        <v>2022-36</v>
      </c>
      <c r="T5203" s="1" t="s">
        <v>55</v>
      </c>
    </row>
    <row r="5204" spans="1:20" ht="51" x14ac:dyDescent="0.25">
      <c r="A5204" s="6">
        <v>5183</v>
      </c>
      <c r="B5204" s="1" t="str">
        <f>"2021-915"</f>
        <v>2021-915</v>
      </c>
      <c r="C5204" s="1" t="s">
        <v>2563</v>
      </c>
      <c r="D5204" s="1" t="s">
        <v>815</v>
      </c>
      <c r="E5204" s="1" t="str">
        <f>""</f>
        <v/>
      </c>
      <c r="F5204" s="1" t="s">
        <v>1860</v>
      </c>
      <c r="G5204" s="1" t="str">
        <f>CONCATENATE("ZUBAK GRUPA D.O.O.,"," ZAGREBAČKA 117,"," 10410 VELIKA GORICA,"," OIB: 39135989747")</f>
        <v>ZUBAK GRUPA D.O.O., ZAGREBAČKA 117, 10410 VELIKA GORICA, OIB: 39135989747</v>
      </c>
      <c r="H5204" s="7"/>
      <c r="I5204" s="8" t="s">
        <v>137</v>
      </c>
      <c r="J5204" s="7"/>
      <c r="K5204" s="6" t="str">
        <f>"6.867,96"</f>
        <v>6.867,96</v>
      </c>
      <c r="L5204" s="6" t="str">
        <f>"0,00"</f>
        <v>0,00</v>
      </c>
      <c r="M5204" s="6" t="str">
        <f>"6.867,96"</f>
        <v>6.867,96</v>
      </c>
      <c r="N5204" s="8" t="s">
        <v>124</v>
      </c>
      <c r="O5204" s="7"/>
      <c r="P5204" s="2" t="s">
        <v>5614</v>
      </c>
      <c r="Q5204" s="7"/>
      <c r="R5204" s="1"/>
      <c r="S5204" s="1" t="str">
        <f>"2022-37"</f>
        <v>2022-37</v>
      </c>
      <c r="T5204" s="1" t="s">
        <v>55</v>
      </c>
    </row>
    <row r="5205" spans="1:20" ht="51" x14ac:dyDescent="0.25">
      <c r="A5205" s="6">
        <v>5184</v>
      </c>
      <c r="B5205" s="1" t="str">
        <f>"2021-221"</f>
        <v>2021-221</v>
      </c>
      <c r="C5205" s="1" t="s">
        <v>2692</v>
      </c>
      <c r="D5205" s="1" t="s">
        <v>3309</v>
      </c>
      <c r="E5205" s="1" t="str">
        <f>""</f>
        <v/>
      </c>
      <c r="F5205" s="1" t="s">
        <v>1860</v>
      </c>
      <c r="G5205" s="1" t="str">
        <f>CONCATENATE("INTERVEKTOR D.O.O.,"," OBREŠKA CESTA 51,"," 10000 ZAGREB,"," OIB: 91653777677")</f>
        <v>INTERVEKTOR D.O.O., OBREŠKA CESTA 51, 10000 ZAGREB, OIB: 91653777677</v>
      </c>
      <c r="H5205" s="7"/>
      <c r="I5205" s="8" t="s">
        <v>137</v>
      </c>
      <c r="J5205" s="7"/>
      <c r="K5205" s="6" t="str">
        <f>"823,50"</f>
        <v>823,50</v>
      </c>
      <c r="L5205" s="6" t="str">
        <f>"205,88"</f>
        <v>205,88</v>
      </c>
      <c r="M5205" s="6" t="str">
        <f>"1.029,38"</f>
        <v>1.029,38</v>
      </c>
      <c r="N5205" s="8" t="s">
        <v>667</v>
      </c>
      <c r="O5205" s="7"/>
      <c r="P5205" s="2">
        <v>1029.3800000000001</v>
      </c>
      <c r="Q5205" s="7"/>
      <c r="R5205" s="1"/>
      <c r="S5205" s="1" t="str">
        <f>"2022-38"</f>
        <v>2022-38</v>
      </c>
      <c r="T5205" s="1" t="s">
        <v>55</v>
      </c>
    </row>
    <row r="5206" spans="1:20" ht="51" x14ac:dyDescent="0.25">
      <c r="A5206" s="6">
        <v>5185</v>
      </c>
      <c r="B5206" s="1" t="str">
        <f>"2021-1188"</f>
        <v>2021-1188</v>
      </c>
      <c r="C5206" s="1" t="s">
        <v>3310</v>
      </c>
      <c r="D5206" s="1" t="s">
        <v>1373</v>
      </c>
      <c r="E5206" s="1" t="str">
        <f>""</f>
        <v/>
      </c>
      <c r="F5206" s="1" t="s">
        <v>1860</v>
      </c>
      <c r="G5206" s="1" t="str">
        <f>CONCATENATE("NIROSTA D.O.O.,"," NAŠIČKA 6,"," 31000 OSIJEK,"," OIB: 82823351319")</f>
        <v>NIROSTA D.O.O., NAŠIČKA 6, 31000 OSIJEK, OIB: 82823351319</v>
      </c>
      <c r="H5206" s="7"/>
      <c r="I5206" s="8" t="s">
        <v>137</v>
      </c>
      <c r="J5206" s="7"/>
      <c r="K5206" s="6" t="str">
        <f>"11.300,00"</f>
        <v>11.300,00</v>
      </c>
      <c r="L5206" s="6" t="str">
        <f>"0,00"</f>
        <v>0,00</v>
      </c>
      <c r="M5206" s="6" t="str">
        <f>"11.300,00"</f>
        <v>11.300,00</v>
      </c>
      <c r="N5206" s="8" t="s">
        <v>124</v>
      </c>
      <c r="O5206" s="7"/>
      <c r="P5206" s="2" t="s">
        <v>5614</v>
      </c>
      <c r="Q5206" s="7"/>
      <c r="R5206" s="1"/>
      <c r="S5206" s="1" t="str">
        <f>"2022-39"</f>
        <v>2022-39</v>
      </c>
      <c r="T5206" s="1" t="s">
        <v>55</v>
      </c>
    </row>
    <row r="5207" spans="1:20" ht="51" x14ac:dyDescent="0.25">
      <c r="A5207" s="6">
        <v>5186</v>
      </c>
      <c r="B5207" s="1" t="str">
        <f>"2021-125"</f>
        <v>2021-125</v>
      </c>
      <c r="C5207" s="1" t="s">
        <v>2463</v>
      </c>
      <c r="D5207" s="1" t="s">
        <v>3311</v>
      </c>
      <c r="E5207" s="1" t="str">
        <f>""</f>
        <v/>
      </c>
      <c r="F5207" s="1" t="s">
        <v>1860</v>
      </c>
      <c r="G5207" s="1" t="str">
        <f>CONCATENATE("KEMIKA D.D.,"," HEINZELOVA 53,"," 10000 ZAGREB,"," OIB: 38181641213")</f>
        <v>KEMIKA D.D., HEINZELOVA 53, 10000 ZAGREB, OIB: 38181641213</v>
      </c>
      <c r="H5207" s="7"/>
      <c r="I5207" s="8" t="s">
        <v>2019</v>
      </c>
      <c r="J5207" s="7"/>
      <c r="K5207" s="6" t="str">
        <f>"2.304,50"</f>
        <v>2.304,50</v>
      </c>
      <c r="L5207" s="6" t="str">
        <f>"576,13"</f>
        <v>576,13</v>
      </c>
      <c r="M5207" s="6" t="str">
        <f>"2.880,63"</f>
        <v>2.880,63</v>
      </c>
      <c r="N5207" s="8" t="s">
        <v>800</v>
      </c>
      <c r="O5207" s="7"/>
      <c r="P5207" s="2">
        <v>2880.63</v>
      </c>
      <c r="Q5207" s="7"/>
      <c r="R5207" s="1"/>
      <c r="S5207" s="1" t="str">
        <f>"2022-80"</f>
        <v>2022-80</v>
      </c>
      <c r="T5207" s="1" t="s">
        <v>55</v>
      </c>
    </row>
    <row r="5208" spans="1:20" ht="51" x14ac:dyDescent="0.25">
      <c r="A5208" s="6">
        <v>5187</v>
      </c>
      <c r="B5208" s="1" t="str">
        <f>"2021-695"</f>
        <v>2021-695</v>
      </c>
      <c r="C5208" s="1" t="s">
        <v>2683</v>
      </c>
      <c r="D5208" s="1" t="s">
        <v>2684</v>
      </c>
      <c r="E5208" s="1" t="str">
        <f>""</f>
        <v/>
      </c>
      <c r="F5208" s="1" t="s">
        <v>1860</v>
      </c>
      <c r="G5208" s="1" t="str">
        <f>CONCATENATE("PAKLENICA PROMET D.O.O.,"," ŠTRIGINA 15,"," 10000 ZAGREB,"," OIB: 72364126469")</f>
        <v>PAKLENICA PROMET D.O.O., ŠTRIGINA 15, 10000 ZAGREB, OIB: 72364126469</v>
      </c>
      <c r="H5208" s="7"/>
      <c r="I5208" s="8" t="s">
        <v>2019</v>
      </c>
      <c r="J5208" s="7"/>
      <c r="K5208" s="6" t="str">
        <f>"27.440,00"</f>
        <v>27.440,00</v>
      </c>
      <c r="L5208" s="6" t="str">
        <f>"6.860,00"</f>
        <v>6.860,00</v>
      </c>
      <c r="M5208" s="6" t="str">
        <f>"34.300,00"</f>
        <v>34.300,00</v>
      </c>
      <c r="N5208" s="8" t="s">
        <v>450</v>
      </c>
      <c r="O5208" s="7"/>
      <c r="P5208" s="2">
        <v>34300</v>
      </c>
      <c r="Q5208" s="7"/>
      <c r="R5208" s="1"/>
      <c r="S5208" s="1" t="str">
        <f>"2022-82"</f>
        <v>2022-82</v>
      </c>
      <c r="T5208" s="1" t="s">
        <v>55</v>
      </c>
    </row>
    <row r="5209" spans="1:20" ht="76.5" x14ac:dyDescent="0.25">
      <c r="A5209" s="6">
        <v>5188</v>
      </c>
      <c r="B5209" s="1" t="str">
        <f>"2021-1023"</f>
        <v>2021-1023</v>
      </c>
      <c r="C5209" s="1" t="s">
        <v>3312</v>
      </c>
      <c r="D5209" s="1" t="s">
        <v>21</v>
      </c>
      <c r="E5209" s="1" t="str">
        <f>""</f>
        <v/>
      </c>
      <c r="F5209" s="1" t="s">
        <v>1860</v>
      </c>
      <c r="G5209" s="1" t="str">
        <f>CONCATENATE("ZAGREBAČKI HOLDING D.O.O.,"," PODRUŽNICA ČISTOĆA,"," RADNIČKA CESTA 82,"," 10000 ZAGREB,"," OIB: 85584865987")</f>
        <v>ZAGREBAČKI HOLDING D.O.O., PODRUŽNICA ČISTOĆA, RADNIČKA CESTA 82, 10000 ZAGREB, OIB: 85584865987</v>
      </c>
      <c r="H5209" s="7"/>
      <c r="I5209" s="8" t="s">
        <v>2019</v>
      </c>
      <c r="J5209" s="7"/>
      <c r="K5209" s="6" t="str">
        <f>"13.009,50"</f>
        <v>13.009,50</v>
      </c>
      <c r="L5209" s="6" t="str">
        <f>"1.290,12"</f>
        <v>1.290,12</v>
      </c>
      <c r="M5209" s="6" t="str">
        <f>"14.299,62"</f>
        <v>14.299,62</v>
      </c>
      <c r="N5209" s="8" t="s">
        <v>1135</v>
      </c>
      <c r="O5209" s="7"/>
      <c r="P5209" s="2">
        <v>6450.56</v>
      </c>
      <c r="Q5209" s="7"/>
      <c r="R5209" s="1"/>
      <c r="S5209" s="1" t="str">
        <f>"2022-85"</f>
        <v>2022-85</v>
      </c>
      <c r="T5209" s="1" t="s">
        <v>55</v>
      </c>
    </row>
    <row r="5210" spans="1:20" ht="51" x14ac:dyDescent="0.25">
      <c r="A5210" s="6">
        <v>5189</v>
      </c>
      <c r="B5210" s="1" t="str">
        <f>"2021-1943"</f>
        <v>2021-1943</v>
      </c>
      <c r="C5210" s="1" t="s">
        <v>3313</v>
      </c>
      <c r="D5210" s="1" t="s">
        <v>1383</v>
      </c>
      <c r="E5210" s="1" t="str">
        <f>""</f>
        <v/>
      </c>
      <c r="F5210" s="1" t="s">
        <v>1860</v>
      </c>
      <c r="G5210" s="1" t="str">
        <f>CONCATENATE("LEO GRAD D.O.O.,"," ZELINSKA 8,"," 10360 LUŽAN,"," OIB: 85068601099")</f>
        <v>LEO GRAD D.O.O., ZELINSKA 8, 10360 LUŽAN, OIB: 85068601099</v>
      </c>
      <c r="H5210" s="7"/>
      <c r="I5210" s="8" t="s">
        <v>2019</v>
      </c>
      <c r="J5210" s="7"/>
      <c r="K5210" s="6" t="str">
        <f>"952,00"</f>
        <v>952,00</v>
      </c>
      <c r="L5210" s="6" t="str">
        <f>"0,00"</f>
        <v>0,00</v>
      </c>
      <c r="M5210" s="6" t="str">
        <f>"952,00"</f>
        <v>952,00</v>
      </c>
      <c r="N5210" s="8" t="s">
        <v>124</v>
      </c>
      <c r="O5210" s="7"/>
      <c r="P5210" s="2" t="s">
        <v>5614</v>
      </c>
      <c r="Q5210" s="7"/>
      <c r="R5210" s="1"/>
      <c r="S5210" s="1" t="str">
        <f>"2022-89"</f>
        <v>2022-89</v>
      </c>
      <c r="T5210" s="1" t="s">
        <v>86</v>
      </c>
    </row>
    <row r="5211" spans="1:20" ht="63.75" x14ac:dyDescent="0.25">
      <c r="A5211" s="6">
        <v>5190</v>
      </c>
      <c r="B5211" s="1" t="str">
        <f>"2021-557"</f>
        <v>2021-557</v>
      </c>
      <c r="C5211" s="1" t="s">
        <v>3314</v>
      </c>
      <c r="D5211" s="1" t="s">
        <v>3315</v>
      </c>
      <c r="E5211" s="1" t="str">
        <f>""</f>
        <v/>
      </c>
      <c r="F5211" s="1" t="s">
        <v>1860</v>
      </c>
      <c r="G5211" s="1" t="str">
        <f>CONCATENATE("3 M D.O.O.,"," GORNJE PODOTOČJE,"," ŠKOLSKA 60,"," 10410 VELIKA GORICA,"," OIB: 45975769859")</f>
        <v>3 M D.O.O., GORNJE PODOTOČJE, ŠKOLSKA 60, 10410 VELIKA GORICA, OIB: 45975769859</v>
      </c>
      <c r="H5211" s="7"/>
      <c r="I5211" s="8" t="s">
        <v>2019</v>
      </c>
      <c r="J5211" s="7"/>
      <c r="K5211" s="6" t="str">
        <f>"26.797,56"</f>
        <v>26.797,56</v>
      </c>
      <c r="L5211" s="6" t="str">
        <f>"6.699,39"</f>
        <v>6.699,39</v>
      </c>
      <c r="M5211" s="6" t="str">
        <f>"33.496,95"</f>
        <v>33.496,95</v>
      </c>
      <c r="N5211" s="8" t="s">
        <v>202</v>
      </c>
      <c r="O5211" s="7"/>
      <c r="P5211" s="2">
        <v>33496.949999999997</v>
      </c>
      <c r="Q5211" s="7"/>
      <c r="R5211" s="1"/>
      <c r="S5211" s="1" t="str">
        <f>"2022-90"</f>
        <v>2022-90</v>
      </c>
      <c r="T5211" s="1" t="s">
        <v>55</v>
      </c>
    </row>
    <row r="5212" spans="1:20" ht="63.75" x14ac:dyDescent="0.25">
      <c r="A5212" s="6">
        <v>5191</v>
      </c>
      <c r="B5212" s="1" t="str">
        <f>"2021-914"</f>
        <v>2021-914</v>
      </c>
      <c r="C5212" s="1" t="s">
        <v>2733</v>
      </c>
      <c r="D5212" s="1" t="s">
        <v>815</v>
      </c>
      <c r="E5212" s="1" t="str">
        <f>""</f>
        <v/>
      </c>
      <c r="F5212" s="1" t="s">
        <v>1860</v>
      </c>
      <c r="G5212" s="1" t="str">
        <f>CONCATENATE("ACCL AUTO D.O.O.,"," AVENIJA HRVATSKIH BRANITELJA 30,"," 10290 ZAPREŠIĆ,"," OIB: 32966713543")</f>
        <v>ACCL AUTO D.O.O., AVENIJA HRVATSKIH BRANITELJA 30, 10290 ZAPREŠIĆ, OIB: 32966713543</v>
      </c>
      <c r="H5212" s="7"/>
      <c r="I5212" s="8" t="s">
        <v>392</v>
      </c>
      <c r="J5212" s="7"/>
      <c r="K5212" s="6" t="str">
        <f>"2.228,45"</f>
        <v>2.228,45</v>
      </c>
      <c r="L5212" s="6" t="str">
        <f>"0,00"</f>
        <v>0,00</v>
      </c>
      <c r="M5212" s="6" t="str">
        <f>"2.228,45"</f>
        <v>2.228,45</v>
      </c>
      <c r="N5212" s="8" t="s">
        <v>124</v>
      </c>
      <c r="O5212" s="7"/>
      <c r="P5212" s="2" t="s">
        <v>5614</v>
      </c>
      <c r="Q5212" s="7"/>
      <c r="R5212" s="1"/>
      <c r="S5212" s="1" t="str">
        <f>"2022-98"</f>
        <v>2022-98</v>
      </c>
      <c r="T5212" s="1" t="s">
        <v>55</v>
      </c>
    </row>
    <row r="5213" spans="1:20" ht="51" x14ac:dyDescent="0.25">
      <c r="A5213" s="6">
        <v>5192</v>
      </c>
      <c r="B5213" s="1" t="str">
        <f>"2021-126"</f>
        <v>2021-126</v>
      </c>
      <c r="C5213" s="1" t="s">
        <v>2459</v>
      </c>
      <c r="D5213" s="1" t="s">
        <v>3311</v>
      </c>
      <c r="E5213" s="1" t="str">
        <f>""</f>
        <v/>
      </c>
      <c r="F5213" s="1" t="s">
        <v>1860</v>
      </c>
      <c r="G5213" s="1" t="str">
        <f>CONCATENATE("MEDIC D.O.O.,"," TRG DRAŽENA PETROVIĆA 3,"," 10000 ZAGREB,"," OIB: 36228944903")</f>
        <v>MEDIC D.O.O., TRG DRAŽENA PETROVIĆA 3, 10000 ZAGREB, OIB: 36228944903</v>
      </c>
      <c r="H5213" s="7"/>
      <c r="I5213" s="8" t="s">
        <v>392</v>
      </c>
      <c r="J5213" s="7"/>
      <c r="K5213" s="6" t="str">
        <f>"4.374,00"</f>
        <v>4.374,00</v>
      </c>
      <c r="L5213" s="6" t="str">
        <f>"1.093,50"</f>
        <v>1.093,50</v>
      </c>
      <c r="M5213" s="6" t="str">
        <f>"5.467,50"</f>
        <v>5.467,50</v>
      </c>
      <c r="N5213" s="8" t="s">
        <v>253</v>
      </c>
      <c r="O5213" s="7"/>
      <c r="P5213" s="2">
        <v>5467.5</v>
      </c>
      <c r="Q5213" s="7"/>
      <c r="R5213" s="1"/>
      <c r="S5213" s="1" t="str">
        <f>"2022-104"</f>
        <v>2022-104</v>
      </c>
      <c r="T5213" s="1" t="s">
        <v>55</v>
      </c>
    </row>
    <row r="5214" spans="1:20" ht="51" x14ac:dyDescent="0.25">
      <c r="A5214" s="6">
        <v>5193</v>
      </c>
      <c r="B5214" s="1" t="str">
        <f>"2021-907"</f>
        <v>2021-907</v>
      </c>
      <c r="C5214" s="1" t="s">
        <v>2956</v>
      </c>
      <c r="D5214" s="1" t="s">
        <v>815</v>
      </c>
      <c r="E5214" s="1" t="str">
        <f>""</f>
        <v/>
      </c>
      <c r="F5214" s="1" t="s">
        <v>1860</v>
      </c>
      <c r="G5214" s="1" t="str">
        <f>CONCATENATE("M.B. AUTO  d.o.o.,"," KOLEDOVČINA 8,"," 10000 ZAGREB,"," OIB: 8902734372")</f>
        <v>M.B. AUTO  d.o.o., KOLEDOVČINA 8, 10000 ZAGREB, OIB: 8902734372</v>
      </c>
      <c r="H5214" s="7"/>
      <c r="I5214" s="8" t="s">
        <v>392</v>
      </c>
      <c r="J5214" s="7"/>
      <c r="K5214" s="6" t="str">
        <f>"1.175,56"</f>
        <v>1.175,56</v>
      </c>
      <c r="L5214" s="6" t="str">
        <f>"293,89"</f>
        <v>293,89</v>
      </c>
      <c r="M5214" s="6" t="str">
        <f>"1.469,45"</f>
        <v>1.469,45</v>
      </c>
      <c r="N5214" s="8" t="s">
        <v>663</v>
      </c>
      <c r="O5214" s="7"/>
      <c r="P5214" s="2">
        <v>1469.45</v>
      </c>
      <c r="Q5214" s="7"/>
      <c r="R5214" s="1"/>
      <c r="S5214" s="1" t="str">
        <f>"2022-106"</f>
        <v>2022-106</v>
      </c>
      <c r="T5214" s="1" t="s">
        <v>55</v>
      </c>
    </row>
    <row r="5215" spans="1:20" ht="51" x14ac:dyDescent="0.25">
      <c r="A5215" s="6">
        <v>5194</v>
      </c>
      <c r="B5215" s="1" t="str">
        <f>"2021-998"</f>
        <v>2021-998</v>
      </c>
      <c r="C5215" s="1" t="s">
        <v>2844</v>
      </c>
      <c r="D5215" s="1" t="s">
        <v>2716</v>
      </c>
      <c r="E5215" s="1" t="str">
        <f>""</f>
        <v/>
      </c>
      <c r="F5215" s="1" t="s">
        <v>1860</v>
      </c>
      <c r="G5215" s="1" t="str">
        <f>CONCATENATE("AUTOKUĆA-ŠTARKELJ D.O.O.,"," UKRAJINSKA 17,"," 10000 ZAGREB,"," OIB: 87340407905")</f>
        <v>AUTOKUĆA-ŠTARKELJ D.O.O., UKRAJINSKA 17, 10000 ZAGREB, OIB: 87340407905</v>
      </c>
      <c r="H5215" s="7"/>
      <c r="I5215" s="8" t="s">
        <v>392</v>
      </c>
      <c r="J5215" s="7"/>
      <c r="K5215" s="6" t="str">
        <f>"1.380,30"</f>
        <v>1.380,30</v>
      </c>
      <c r="L5215" s="6" t="str">
        <f>"345,08"</f>
        <v>345,08</v>
      </c>
      <c r="M5215" s="6" t="str">
        <f>"1.725,38"</f>
        <v>1.725,38</v>
      </c>
      <c r="N5215" s="8" t="s">
        <v>1118</v>
      </c>
      <c r="O5215" s="7"/>
      <c r="P5215" s="2">
        <v>1725.38</v>
      </c>
      <c r="Q5215" s="7"/>
      <c r="R5215" s="1"/>
      <c r="S5215" s="1" t="str">
        <f>"2022-107"</f>
        <v>2022-107</v>
      </c>
      <c r="T5215" s="1" t="s">
        <v>55</v>
      </c>
    </row>
    <row r="5216" spans="1:20" ht="51" x14ac:dyDescent="0.25">
      <c r="A5216" s="6">
        <v>5195</v>
      </c>
      <c r="B5216" s="1" t="str">
        <f>"2021-915"</f>
        <v>2021-915</v>
      </c>
      <c r="C5216" s="1" t="s">
        <v>2563</v>
      </c>
      <c r="D5216" s="1" t="s">
        <v>815</v>
      </c>
      <c r="E5216" s="1" t="str">
        <f>""</f>
        <v/>
      </c>
      <c r="F5216" s="1" t="s">
        <v>1860</v>
      </c>
      <c r="G5216" s="1" t="str">
        <f>CONCATENATE("M.B. AUTO  d.o.o.,"," KOLEDOVČINA 8,"," 10000 ZAGREB,"," OIB: 8902734372")</f>
        <v>M.B. AUTO  d.o.o., KOLEDOVČINA 8, 10000 ZAGREB, OIB: 8902734372</v>
      </c>
      <c r="H5216" s="7"/>
      <c r="I5216" s="8" t="s">
        <v>392</v>
      </c>
      <c r="J5216" s="7"/>
      <c r="K5216" s="6" t="str">
        <f>"3.158,16"</f>
        <v>3.158,16</v>
      </c>
      <c r="L5216" s="6" t="str">
        <f>"789,54"</f>
        <v>789,54</v>
      </c>
      <c r="M5216" s="6" t="str">
        <f>"3.947,70"</f>
        <v>3.947,70</v>
      </c>
      <c r="N5216" s="8" t="s">
        <v>663</v>
      </c>
      <c r="O5216" s="7"/>
      <c r="P5216" s="2">
        <v>3947.7</v>
      </c>
      <c r="Q5216" s="7"/>
      <c r="R5216" s="1"/>
      <c r="S5216" s="1" t="str">
        <f>"2022-109"</f>
        <v>2022-109</v>
      </c>
      <c r="T5216" s="1" t="s">
        <v>55</v>
      </c>
    </row>
    <row r="5217" spans="1:20" ht="51" x14ac:dyDescent="0.25">
      <c r="A5217" s="6">
        <v>5196</v>
      </c>
      <c r="B5217" s="1" t="str">
        <f>"2021-1095"</f>
        <v>2021-1095</v>
      </c>
      <c r="C5217" s="1" t="s">
        <v>2863</v>
      </c>
      <c r="D5217" s="1" t="s">
        <v>1209</v>
      </c>
      <c r="E5217" s="1" t="str">
        <f>""</f>
        <v/>
      </c>
      <c r="F5217" s="1" t="s">
        <v>1860</v>
      </c>
      <c r="G5217" s="1" t="str">
        <f>CONCATENATE("MI-STAR D.O.O.,"," NOVSKA 24,"," 10000 ZAGREB,"," OIB: 44816778493")</f>
        <v>MI-STAR D.O.O., NOVSKA 24, 10000 ZAGREB, OIB: 44816778493</v>
      </c>
      <c r="H5217" s="7"/>
      <c r="I5217" s="8" t="s">
        <v>392</v>
      </c>
      <c r="J5217" s="7"/>
      <c r="K5217" s="6" t="str">
        <f>"3.489,00"</f>
        <v>3.489,00</v>
      </c>
      <c r="L5217" s="6" t="str">
        <f>"1.309,75"</f>
        <v>1.309,75</v>
      </c>
      <c r="M5217" s="6" t="str">
        <f>"4.798,75"</f>
        <v>4.798,75</v>
      </c>
      <c r="N5217" s="8" t="s">
        <v>202</v>
      </c>
      <c r="O5217" s="7"/>
      <c r="P5217" s="2">
        <v>4798.75</v>
      </c>
      <c r="Q5217" s="7"/>
      <c r="R5217" s="1"/>
      <c r="S5217" s="1" t="str">
        <f>"2022-110"</f>
        <v>2022-110</v>
      </c>
      <c r="T5217" s="1" t="s">
        <v>55</v>
      </c>
    </row>
    <row r="5218" spans="1:20" ht="63.75" x14ac:dyDescent="0.25">
      <c r="A5218" s="6">
        <v>5197</v>
      </c>
      <c r="B5218" s="1" t="str">
        <f>"2021-1124"</f>
        <v>2021-1124</v>
      </c>
      <c r="C5218" s="1" t="s">
        <v>3316</v>
      </c>
      <c r="D5218" s="1" t="s">
        <v>1007</v>
      </c>
      <c r="E5218" s="1" t="str">
        <f>""</f>
        <v/>
      </c>
      <c r="F5218" s="1" t="s">
        <v>1860</v>
      </c>
      <c r="G5218" s="1" t="str">
        <f>CONCATENATE("HENNLICH D.O.O.,"," STUPNIČKOOBREŠKA 17,"," 10255 GORNJI STUPNIK,"," OIB: 44725135398")</f>
        <v>HENNLICH D.O.O., STUPNIČKOOBREŠKA 17, 10255 GORNJI STUPNIK, OIB: 44725135398</v>
      </c>
      <c r="H5218" s="7"/>
      <c r="I5218" s="8" t="s">
        <v>392</v>
      </c>
      <c r="J5218" s="7"/>
      <c r="K5218" s="6" t="str">
        <f>"27.258,64"</f>
        <v>27.258,64</v>
      </c>
      <c r="L5218" s="6" t="str">
        <f>"6.814,66"</f>
        <v>6.814,66</v>
      </c>
      <c r="M5218" s="6" t="str">
        <f>"34.073,30"</f>
        <v>34.073,30</v>
      </c>
      <c r="N5218" s="8" t="s">
        <v>1240</v>
      </c>
      <c r="O5218" s="7"/>
      <c r="P5218" s="2">
        <v>34073.300000000003</v>
      </c>
      <c r="Q5218" s="7"/>
      <c r="R5218" s="1"/>
      <c r="S5218" s="1" t="str">
        <f>"2022-112"</f>
        <v>2022-112</v>
      </c>
      <c r="T5218" s="1" t="s">
        <v>55</v>
      </c>
    </row>
    <row r="5219" spans="1:20" ht="51" x14ac:dyDescent="0.25">
      <c r="A5219" s="6">
        <v>5198</v>
      </c>
      <c r="B5219" s="1" t="str">
        <f>"2021-126"</f>
        <v>2021-126</v>
      </c>
      <c r="C5219" s="1" t="s">
        <v>2459</v>
      </c>
      <c r="D5219" s="1" t="s">
        <v>3311</v>
      </c>
      <c r="E5219" s="1" t="str">
        <f>""</f>
        <v/>
      </c>
      <c r="F5219" s="1" t="s">
        <v>1860</v>
      </c>
      <c r="G5219" s="1" t="str">
        <f>CONCATENATE("MEDIC D.O.O.,"," TRG DRAŽENA PETROVIĆA 3,"," 10000 ZAGREB,"," OIB: 36228944903")</f>
        <v>MEDIC D.O.O., TRG DRAŽENA PETROVIĆA 3, 10000 ZAGREB, OIB: 36228944903</v>
      </c>
      <c r="H5219" s="7"/>
      <c r="I5219" s="8" t="s">
        <v>392</v>
      </c>
      <c r="J5219" s="7"/>
      <c r="K5219" s="6" t="str">
        <f>"11.070,00"</f>
        <v>11.070,00</v>
      </c>
      <c r="L5219" s="6" t="str">
        <f>"2.235,00"</f>
        <v>2.235,00</v>
      </c>
      <c r="M5219" s="6" t="str">
        <f>"13.305,00"</f>
        <v>13.305,00</v>
      </c>
      <c r="N5219" s="8" t="s">
        <v>41</v>
      </c>
      <c r="O5219" s="7"/>
      <c r="P5219" s="2">
        <v>11175</v>
      </c>
      <c r="Q5219" s="7"/>
      <c r="R5219" s="1"/>
      <c r="S5219" s="1" t="str">
        <f>"2022-113"</f>
        <v>2022-113</v>
      </c>
      <c r="T5219" s="1" t="s">
        <v>55</v>
      </c>
    </row>
    <row r="5220" spans="1:20" ht="38.25" x14ac:dyDescent="0.25">
      <c r="A5220" s="6">
        <v>5199</v>
      </c>
      <c r="B5220" s="1" t="str">
        <f>"2021-164"</f>
        <v>2021-164</v>
      </c>
      <c r="C5220" s="1" t="s">
        <v>1793</v>
      </c>
      <c r="D5220" s="1" t="s">
        <v>1792</v>
      </c>
      <c r="E5220" s="1" t="str">
        <f>""</f>
        <v/>
      </c>
      <c r="F5220" s="1" t="s">
        <v>1860</v>
      </c>
      <c r="G5220" s="1" t="str">
        <f>CONCATENATE("INSAKO D.O.O.,"," PUŽEVA 11,"," 10000 ZAGREB,"," OIB: 39851720584")</f>
        <v>INSAKO D.O.O., PUŽEVA 11, 10000 ZAGREB, OIB: 39851720584</v>
      </c>
      <c r="H5220" s="7"/>
      <c r="I5220" s="8" t="s">
        <v>392</v>
      </c>
      <c r="J5220" s="7"/>
      <c r="K5220" s="6" t="str">
        <f>"3.496,00"</f>
        <v>3.496,00</v>
      </c>
      <c r="L5220" s="6" t="str">
        <f>"873,15"</f>
        <v>873,15</v>
      </c>
      <c r="M5220" s="6" t="str">
        <f>"4.369,15"</f>
        <v>4.369,15</v>
      </c>
      <c r="N5220" s="8" t="s">
        <v>2310</v>
      </c>
      <c r="O5220" s="7"/>
      <c r="P5220" s="2">
        <v>4365.75</v>
      </c>
      <c r="Q5220" s="7"/>
      <c r="R5220" s="1"/>
      <c r="S5220" s="1" t="str">
        <f>"2022-114"</f>
        <v>2022-114</v>
      </c>
      <c r="T5220" s="1" t="s">
        <v>55</v>
      </c>
    </row>
    <row r="5221" spans="1:20" ht="63.75" x14ac:dyDescent="0.25">
      <c r="A5221" s="6">
        <v>5200</v>
      </c>
      <c r="B5221" s="1" t="str">
        <f>"2021-1015"</f>
        <v>2021-1015</v>
      </c>
      <c r="C5221" s="1" t="s">
        <v>2492</v>
      </c>
      <c r="D5221" s="1" t="s">
        <v>2493</v>
      </c>
      <c r="E5221" s="1" t="str">
        <f>""</f>
        <v/>
      </c>
      <c r="F5221" s="1" t="s">
        <v>1860</v>
      </c>
      <c r="G5221" s="1" t="str">
        <f>CONCATENATE("EMIL FREY AUTO CENTAR D.O.O.,"," KOVINSKA 5,"," 10000 ZAGREB,"," OIB: 01930677284")</f>
        <v>EMIL FREY AUTO CENTAR D.O.O., KOVINSKA 5, 10000 ZAGREB, OIB: 01930677284</v>
      </c>
      <c r="H5221" s="7"/>
      <c r="I5221" s="8" t="s">
        <v>392</v>
      </c>
      <c r="J5221" s="7"/>
      <c r="K5221" s="6" t="str">
        <f>"2.860,23"</f>
        <v>2.860,23</v>
      </c>
      <c r="L5221" s="6" t="str">
        <f>"472,90"</f>
        <v>472,90</v>
      </c>
      <c r="M5221" s="6" t="str">
        <f>"3.333,13"</f>
        <v>3.333,13</v>
      </c>
      <c r="N5221" s="8" t="s">
        <v>1240</v>
      </c>
      <c r="O5221" s="7"/>
      <c r="P5221" s="2">
        <v>2364.4899999999998</v>
      </c>
      <c r="Q5221" s="7"/>
      <c r="R5221" s="1"/>
      <c r="S5221" s="1" t="str">
        <f>"2022-115"</f>
        <v>2022-115</v>
      </c>
      <c r="T5221" s="1" t="s">
        <v>55</v>
      </c>
    </row>
    <row r="5222" spans="1:20" ht="76.5" x14ac:dyDescent="0.25">
      <c r="A5222" s="6">
        <v>5201</v>
      </c>
      <c r="B5222" s="1" t="str">
        <f>"2021-58"</f>
        <v>2021-58</v>
      </c>
      <c r="C5222" s="1" t="s">
        <v>1573</v>
      </c>
      <c r="D5222" s="1" t="s">
        <v>547</v>
      </c>
      <c r="E5222" s="1" t="str">
        <f>""</f>
        <v/>
      </c>
      <c r="F5222" s="1" t="s">
        <v>1860</v>
      </c>
      <c r="G5222" s="1" t="str">
        <f>CONCATENATE("SMIT-COMMERCE D.O.O.,"," GORNJOSTUPNIČKA 9B,"," 10255 GORNJI STUPNIK,"," OIB: 9524348214")</f>
        <v>SMIT-COMMERCE D.O.O., GORNJOSTUPNIČKA 9B, 10255 GORNJI STUPNIK, OIB: 9524348214</v>
      </c>
      <c r="H5222" s="7"/>
      <c r="I5222" s="8" t="s">
        <v>392</v>
      </c>
      <c r="J5222" s="7"/>
      <c r="K5222" s="6" t="str">
        <f>"4.500,00"</f>
        <v>4.500,00</v>
      </c>
      <c r="L5222" s="6" t="str">
        <f>"1.011,00"</f>
        <v>1.011,00</v>
      </c>
      <c r="M5222" s="6" t="str">
        <f>"5.511,00"</f>
        <v>5.511,00</v>
      </c>
      <c r="N5222" s="8" t="s">
        <v>681</v>
      </c>
      <c r="O5222" s="7"/>
      <c r="P5222" s="2">
        <v>5055</v>
      </c>
      <c r="Q5222" s="7"/>
      <c r="R5222" s="1"/>
      <c r="S5222" s="1" t="str">
        <f>"2022-116"</f>
        <v>2022-116</v>
      </c>
      <c r="T5222" s="1" t="s">
        <v>55</v>
      </c>
    </row>
    <row r="5223" spans="1:20" ht="51" x14ac:dyDescent="0.25">
      <c r="A5223" s="6">
        <v>5202</v>
      </c>
      <c r="B5223" s="1" t="str">
        <f>"2021-1113"</f>
        <v>2021-1113</v>
      </c>
      <c r="C5223" s="1" t="s">
        <v>3317</v>
      </c>
      <c r="D5223" s="1" t="s">
        <v>1102</v>
      </c>
      <c r="E5223" s="1" t="str">
        <f>""</f>
        <v/>
      </c>
      <c r="F5223" s="1" t="s">
        <v>1860</v>
      </c>
      <c r="G5223" s="1" t="str">
        <f>CONCATENATE("BOVJE,"," VL. FRANJO TRUMBETAŠ,"," ILICA 54,"," 10000 ZAGREB,"," OIB: 6592101552")</f>
        <v>BOVJE, VL. FRANJO TRUMBETAŠ, ILICA 54, 10000 ZAGREB, OIB: 6592101552</v>
      </c>
      <c r="H5223" s="7"/>
      <c r="I5223" s="8" t="s">
        <v>392</v>
      </c>
      <c r="J5223" s="7"/>
      <c r="K5223" s="6" t="str">
        <f>"19.400,00"</f>
        <v>19.400,00</v>
      </c>
      <c r="L5223" s="6" t="str">
        <f>"4.850,00"</f>
        <v>4.850,00</v>
      </c>
      <c r="M5223" s="6" t="str">
        <f>"24.250,00"</f>
        <v>24.250,00</v>
      </c>
      <c r="N5223" s="8" t="s">
        <v>258</v>
      </c>
      <c r="O5223" s="7"/>
      <c r="P5223" s="2">
        <v>24250</v>
      </c>
      <c r="Q5223" s="7"/>
      <c r="R5223" s="1"/>
      <c r="S5223" s="1" t="str">
        <f>"2022-118"</f>
        <v>2022-118</v>
      </c>
      <c r="T5223" s="1" t="s">
        <v>55</v>
      </c>
    </row>
    <row r="5224" spans="1:20" ht="51" x14ac:dyDescent="0.25">
      <c r="A5224" s="6">
        <v>5203</v>
      </c>
      <c r="B5224" s="1" t="str">
        <f>"2021-998"</f>
        <v>2021-998</v>
      </c>
      <c r="C5224" s="1" t="s">
        <v>2844</v>
      </c>
      <c r="D5224" s="1" t="s">
        <v>2716</v>
      </c>
      <c r="E5224" s="1" t="str">
        <f>""</f>
        <v/>
      </c>
      <c r="F5224" s="1" t="s">
        <v>1860</v>
      </c>
      <c r="G5224" s="1" t="str">
        <f>CONCATENATE("AUTOKUĆA-ŠTARKELJ D.O.O.,"," UKRAJINSKA 17,"," 10000 ZAGREB,"," OIB: 87340407905")</f>
        <v>AUTOKUĆA-ŠTARKELJ D.O.O., UKRAJINSKA 17, 10000 ZAGREB, OIB: 87340407905</v>
      </c>
      <c r="H5224" s="7"/>
      <c r="I5224" s="8" t="s">
        <v>392</v>
      </c>
      <c r="J5224" s="7"/>
      <c r="K5224" s="6" t="str">
        <f>"7.554,77"</f>
        <v>7.554,77</v>
      </c>
      <c r="L5224" s="6" t="str">
        <f>"1.888,69"</f>
        <v>1.888,69</v>
      </c>
      <c r="M5224" s="6" t="str">
        <f>"9.443,46"</f>
        <v>9.443,46</v>
      </c>
      <c r="N5224" s="8" t="s">
        <v>663</v>
      </c>
      <c r="O5224" s="7"/>
      <c r="P5224" s="2">
        <v>9443.4599999999991</v>
      </c>
      <c r="Q5224" s="7"/>
      <c r="R5224" s="1"/>
      <c r="S5224" s="1" t="str">
        <f>"2022-119"</f>
        <v>2022-119</v>
      </c>
      <c r="T5224" s="1" t="s">
        <v>55</v>
      </c>
    </row>
    <row r="5225" spans="1:20" ht="51" x14ac:dyDescent="0.25">
      <c r="A5225" s="6">
        <v>5204</v>
      </c>
      <c r="B5225" s="1" t="str">
        <f>"2021-463"</f>
        <v>2021-463</v>
      </c>
      <c r="C5225" s="1" t="s">
        <v>2600</v>
      </c>
      <c r="D5225" s="1" t="s">
        <v>3318</v>
      </c>
      <c r="E5225" s="1" t="str">
        <f>""</f>
        <v/>
      </c>
      <c r="F5225" s="1" t="s">
        <v>1860</v>
      </c>
      <c r="G5225" s="1" t="str">
        <f>CONCATENATE("POLJOOPSKRBA-TEHNO D.D.,"," SAMOBORSKA 96,"," 10000 ZAGREB,"," OIB: 5372167324")</f>
        <v>POLJOOPSKRBA-TEHNO D.D., SAMOBORSKA 96, 10000 ZAGREB, OIB: 5372167324</v>
      </c>
      <c r="H5225" s="7"/>
      <c r="I5225" s="8" t="s">
        <v>392</v>
      </c>
      <c r="J5225" s="7"/>
      <c r="K5225" s="6" t="str">
        <f>"3.705,60"</f>
        <v>3.705,60</v>
      </c>
      <c r="L5225" s="6" t="str">
        <f>"0,00"</f>
        <v>0,00</v>
      </c>
      <c r="M5225" s="6" t="str">
        <f>"3.705,60"</f>
        <v>3.705,60</v>
      </c>
      <c r="N5225" s="8" t="s">
        <v>124</v>
      </c>
      <c r="O5225" s="7"/>
      <c r="P5225" s="2">
        <v>0</v>
      </c>
      <c r="Q5225" s="7"/>
      <c r="R5225" s="1"/>
      <c r="S5225" s="1" t="str">
        <f>"2022-120"</f>
        <v>2022-120</v>
      </c>
      <c r="T5225" s="1" t="s">
        <v>55</v>
      </c>
    </row>
    <row r="5226" spans="1:20" ht="63.75" x14ac:dyDescent="0.25">
      <c r="A5226" s="6">
        <v>5205</v>
      </c>
      <c r="B5226" s="1" t="str">
        <f>"2021-690"</f>
        <v>2021-690</v>
      </c>
      <c r="C5226" s="1" t="s">
        <v>3319</v>
      </c>
      <c r="D5226" s="1" t="s">
        <v>3320</v>
      </c>
      <c r="E5226" s="1" t="str">
        <f>""</f>
        <v/>
      </c>
      <c r="F5226" s="1" t="s">
        <v>1860</v>
      </c>
      <c r="G5226" s="1" t="str">
        <f>CONCATENATE("ELEKTRO-KOMUNIKACIJE D.O.O.,"," 14. PODBREŽJE 4,"," 10000 ZAGREB,"," OIB: 76412373309")</f>
        <v>ELEKTRO-KOMUNIKACIJE D.O.O., 14. PODBREŽJE 4, 10000 ZAGREB, OIB: 76412373309</v>
      </c>
      <c r="H5226" s="7"/>
      <c r="I5226" s="8" t="s">
        <v>392</v>
      </c>
      <c r="J5226" s="7"/>
      <c r="K5226" s="6" t="str">
        <f>"9.641,00"</f>
        <v>9.641,00</v>
      </c>
      <c r="L5226" s="6" t="str">
        <f>"2.410,25"</f>
        <v>2.410,25</v>
      </c>
      <c r="M5226" s="6" t="str">
        <f>"12.051,25"</f>
        <v>12.051,25</v>
      </c>
      <c r="N5226" s="8" t="s">
        <v>919</v>
      </c>
      <c r="O5226" s="7"/>
      <c r="P5226" s="2">
        <v>12051.25</v>
      </c>
      <c r="Q5226" s="7"/>
      <c r="R5226" s="1"/>
      <c r="S5226" s="1" t="str">
        <f>"2022-121"</f>
        <v>2022-121</v>
      </c>
      <c r="T5226" s="1" t="s">
        <v>55</v>
      </c>
    </row>
    <row r="5227" spans="1:20" ht="51" x14ac:dyDescent="0.25">
      <c r="A5227" s="6">
        <v>5206</v>
      </c>
      <c r="B5227" s="1" t="str">
        <f>"2021-318"</f>
        <v>2021-318</v>
      </c>
      <c r="C5227" s="1" t="s">
        <v>2608</v>
      </c>
      <c r="D5227" s="1" t="s">
        <v>1206</v>
      </c>
      <c r="E5227" s="1" t="str">
        <f>""</f>
        <v/>
      </c>
      <c r="F5227" s="1" t="s">
        <v>1860</v>
      </c>
      <c r="G5227" s="1" t="str">
        <f>CONCATENATE("POLJOOPSKRBA-TEHNO D.D.,"," SAMOBORSKA 96,"," 10000 ZAGREB,"," OIB: 5372167324")</f>
        <v>POLJOOPSKRBA-TEHNO D.D., SAMOBORSKA 96, 10000 ZAGREB, OIB: 5372167324</v>
      </c>
      <c r="H5227" s="7"/>
      <c r="I5227" s="8" t="s">
        <v>392</v>
      </c>
      <c r="J5227" s="7"/>
      <c r="K5227" s="6" t="str">
        <f>"2.832,00"</f>
        <v>2.832,00</v>
      </c>
      <c r="L5227" s="6" t="str">
        <f>"708,00"</f>
        <v>708,00</v>
      </c>
      <c r="M5227" s="6" t="str">
        <f>"3.540,00"</f>
        <v>3.540,00</v>
      </c>
      <c r="N5227" s="8" t="s">
        <v>902</v>
      </c>
      <c r="O5227" s="7"/>
      <c r="P5227" s="2">
        <v>3540</v>
      </c>
      <c r="Q5227" s="7"/>
      <c r="R5227" s="1"/>
      <c r="S5227" s="1" t="str">
        <f>"2022-124"</f>
        <v>2022-124</v>
      </c>
      <c r="T5227" s="1" t="s">
        <v>55</v>
      </c>
    </row>
    <row r="5228" spans="1:20" ht="63.75" x14ac:dyDescent="0.25">
      <c r="A5228" s="6">
        <v>5207</v>
      </c>
      <c r="B5228" s="1" t="str">
        <f>"2021-2154"</f>
        <v>2021-2154</v>
      </c>
      <c r="C5228" s="1" t="s">
        <v>3321</v>
      </c>
      <c r="D5228" s="1" t="s">
        <v>1642</v>
      </c>
      <c r="E5228" s="1" t="str">
        <f>""</f>
        <v/>
      </c>
      <c r="F5228" s="1" t="s">
        <v>1860</v>
      </c>
      <c r="G5228" s="1" t="str">
        <f>CONCATENATE("PROMETNICE ZAGREB D.O.O.,"," GUNDULIĆEVE DUBRAVKE 28,"," 10020 ZAGREB,"," OIB: 28111148974")</f>
        <v>PROMETNICE ZAGREB D.O.O., GUNDULIĆEVE DUBRAVKE 28, 10020 ZAGREB, OIB: 28111148974</v>
      </c>
      <c r="H5228" s="7"/>
      <c r="I5228" s="8" t="s">
        <v>392</v>
      </c>
      <c r="J5228" s="7"/>
      <c r="K5228" s="6" t="str">
        <f>"5.300,00"</f>
        <v>5.300,00</v>
      </c>
      <c r="L5228" s="6" t="str">
        <f>"0,00"</f>
        <v>0,00</v>
      </c>
      <c r="M5228" s="6" t="str">
        <f>"5.300,00"</f>
        <v>5.300,00</v>
      </c>
      <c r="N5228" s="8" t="s">
        <v>124</v>
      </c>
      <c r="O5228" s="7"/>
      <c r="P5228" s="2">
        <v>3551</v>
      </c>
      <c r="Q5228" s="7"/>
      <c r="R5228" s="1"/>
      <c r="S5228" s="1" t="str">
        <f>"2022-125"</f>
        <v>2022-125</v>
      </c>
      <c r="T5228" s="1" t="s">
        <v>55</v>
      </c>
    </row>
    <row r="5229" spans="1:20" ht="51" x14ac:dyDescent="0.25">
      <c r="A5229" s="6">
        <v>5208</v>
      </c>
      <c r="B5229" s="1" t="str">
        <f>"2021-1114"</f>
        <v>2021-1114</v>
      </c>
      <c r="C5229" s="1" t="s">
        <v>2485</v>
      </c>
      <c r="D5229" s="1" t="s">
        <v>1007</v>
      </c>
      <c r="E5229" s="1" t="str">
        <f>""</f>
        <v/>
      </c>
      <c r="F5229" s="1" t="s">
        <v>1860</v>
      </c>
      <c r="G5229" s="1" t="str">
        <f>CONCATENATE("MESSER CROATIA PLIN  D.O.O.,"," INDUSTRIJSKA 1,"," 10290 ZAPREŠIĆ,"," OIB: 32179081874")</f>
        <v>MESSER CROATIA PLIN  D.O.O., INDUSTRIJSKA 1, 10290 ZAPREŠIĆ, OIB: 32179081874</v>
      </c>
      <c r="H5229" s="7"/>
      <c r="I5229" s="8" t="s">
        <v>392</v>
      </c>
      <c r="J5229" s="7"/>
      <c r="K5229" s="6" t="str">
        <f>"2.000,00"</f>
        <v>2.000,00</v>
      </c>
      <c r="L5229" s="6" t="str">
        <f>"0,00"</f>
        <v>0,00</v>
      </c>
      <c r="M5229" s="6" t="str">
        <f>"2.000,00"</f>
        <v>2.000,00</v>
      </c>
      <c r="N5229" s="8" t="s">
        <v>124</v>
      </c>
      <c r="O5229" s="7"/>
      <c r="P5229" s="2">
        <v>0</v>
      </c>
      <c r="Q5229" s="7"/>
      <c r="R5229" s="1"/>
      <c r="S5229" s="1" t="str">
        <f>"2022-126"</f>
        <v>2022-126</v>
      </c>
      <c r="T5229" s="1" t="s">
        <v>55</v>
      </c>
    </row>
    <row r="5230" spans="1:20" ht="51" x14ac:dyDescent="0.25">
      <c r="A5230" s="6">
        <v>5209</v>
      </c>
      <c r="B5230" s="1" t="str">
        <f>"2021-983"</f>
        <v>2021-983</v>
      </c>
      <c r="C5230" s="1" t="s">
        <v>2690</v>
      </c>
      <c r="D5230" s="1" t="s">
        <v>3322</v>
      </c>
      <c r="E5230" s="1" t="str">
        <f>""</f>
        <v/>
      </c>
      <c r="F5230" s="1" t="s">
        <v>1860</v>
      </c>
      <c r="G5230" s="1" t="str">
        <f>CONCATENATE("KERA TERM TRGOVINA D.O.O.,"," 14. TROKUT 19,"," 10000 ZAGREB,"," OIB: 42570728116")</f>
        <v>KERA TERM TRGOVINA D.O.O., 14. TROKUT 19, 10000 ZAGREB, OIB: 42570728116</v>
      </c>
      <c r="H5230" s="7"/>
      <c r="I5230" s="8" t="s">
        <v>392</v>
      </c>
      <c r="J5230" s="7"/>
      <c r="K5230" s="6" t="str">
        <f>"15.556,72"</f>
        <v>15.556,72</v>
      </c>
      <c r="L5230" s="6" t="str">
        <f>"0,00"</f>
        <v>0,00</v>
      </c>
      <c r="M5230" s="6" t="str">
        <f>"15.556,72"</f>
        <v>15.556,72</v>
      </c>
      <c r="N5230" s="8" t="s">
        <v>124</v>
      </c>
      <c r="O5230" s="7"/>
      <c r="P5230" s="2">
        <v>0</v>
      </c>
      <c r="Q5230" s="7"/>
      <c r="R5230" s="1"/>
      <c r="S5230" s="1" t="str">
        <f>"2022-129"</f>
        <v>2022-129</v>
      </c>
      <c r="T5230" s="1" t="s">
        <v>55</v>
      </c>
    </row>
    <row r="5231" spans="1:20" ht="51" x14ac:dyDescent="0.25">
      <c r="A5231" s="6">
        <v>5210</v>
      </c>
      <c r="B5231" s="1" t="str">
        <f>"2021-145"</f>
        <v>2021-145</v>
      </c>
      <c r="C5231" s="1" t="s">
        <v>2435</v>
      </c>
      <c r="D5231" s="1" t="s">
        <v>3323</v>
      </c>
      <c r="E5231" s="1" t="str">
        <f>""</f>
        <v/>
      </c>
      <c r="F5231" s="1" t="s">
        <v>1860</v>
      </c>
      <c r="G5231" s="1" t="str">
        <f>CONCATENATE("BIOVIT D.O.O.,"," MATKA LAGINJE 13,"," 42000 VARAŽDIN,"," OIB: 7327541289")</f>
        <v>BIOVIT D.O.O., MATKA LAGINJE 13, 42000 VARAŽDIN, OIB: 7327541289</v>
      </c>
      <c r="H5231" s="7"/>
      <c r="I5231" s="8" t="s">
        <v>392</v>
      </c>
      <c r="J5231" s="7"/>
      <c r="K5231" s="6" t="str">
        <f>"17.673,60"</f>
        <v>17.673,60</v>
      </c>
      <c r="L5231" s="6" t="str">
        <f>"4.418,43"</f>
        <v>4.418,43</v>
      </c>
      <c r="M5231" s="6" t="str">
        <f>"22.092,03"</f>
        <v>22.092,03</v>
      </c>
      <c r="N5231" s="8" t="s">
        <v>308</v>
      </c>
      <c r="O5231" s="7"/>
      <c r="P5231" s="2">
        <v>22092.03</v>
      </c>
      <c r="Q5231" s="7"/>
      <c r="R5231" s="1"/>
      <c r="S5231" s="1" t="str">
        <f>"2022-135"</f>
        <v>2022-135</v>
      </c>
      <c r="T5231" s="1" t="s">
        <v>55</v>
      </c>
    </row>
    <row r="5232" spans="1:20" ht="38.25" x14ac:dyDescent="0.25">
      <c r="A5232" s="6">
        <v>5211</v>
      </c>
      <c r="B5232" s="1" t="str">
        <f>"2021-359"</f>
        <v>2021-359</v>
      </c>
      <c r="C5232" s="1" t="s">
        <v>3324</v>
      </c>
      <c r="D5232" s="1" t="s">
        <v>1244</v>
      </c>
      <c r="E5232" s="1" t="str">
        <f>""</f>
        <v/>
      </c>
      <c r="F5232" s="1" t="s">
        <v>1860</v>
      </c>
      <c r="G5232" s="1" t="str">
        <f>CONCATENATE("TTK d.o.o.,"," VRAZOVA 53,"," 47000 KARLOVAC,"," OIB: 32258484464")</f>
        <v>TTK d.o.o., VRAZOVA 53, 47000 KARLOVAC, OIB: 32258484464</v>
      </c>
      <c r="H5232" s="7"/>
      <c r="I5232" s="8" t="s">
        <v>496</v>
      </c>
      <c r="J5232" s="7"/>
      <c r="K5232" s="6" t="str">
        <f>"109.895,00"</f>
        <v>109.895,00</v>
      </c>
      <c r="L5232" s="6" t="str">
        <f>"27.473,75"</f>
        <v>27.473,75</v>
      </c>
      <c r="M5232" s="6" t="str">
        <f>"137.368,75"</f>
        <v>137.368,75</v>
      </c>
      <c r="N5232" s="8" t="s">
        <v>506</v>
      </c>
      <c r="O5232" s="7"/>
      <c r="P5232" s="2">
        <v>137368.75</v>
      </c>
      <c r="Q5232" s="7"/>
      <c r="R5232" s="1"/>
      <c r="S5232" s="1" t="str">
        <f>"2022-164"</f>
        <v>2022-164</v>
      </c>
      <c r="T5232" s="1" t="s">
        <v>55</v>
      </c>
    </row>
    <row r="5233" spans="1:20" ht="63.75" x14ac:dyDescent="0.25">
      <c r="A5233" s="6">
        <v>5212</v>
      </c>
      <c r="B5233" s="1" t="str">
        <f>"2021-2119"</f>
        <v>2021-2119</v>
      </c>
      <c r="C5233" s="1" t="s">
        <v>3325</v>
      </c>
      <c r="D5233" s="1" t="s">
        <v>3326</v>
      </c>
      <c r="E5233" s="1" t="str">
        <f>""</f>
        <v/>
      </c>
      <c r="F5233" s="1" t="s">
        <v>1860</v>
      </c>
      <c r="G5233" s="1" t="str">
        <f>CONCATENATE("MAŠINOPROJEKT D.O.O.,"," BRAĆE DOMANY 8,"," 10000 ZAGREB,"," OIB: 673908426")</f>
        <v>MAŠINOPROJEKT D.O.O., BRAĆE DOMANY 8, 10000 ZAGREB, OIB: 673908426</v>
      </c>
      <c r="H5233" s="7"/>
      <c r="I5233" s="8" t="s">
        <v>496</v>
      </c>
      <c r="J5233" s="7"/>
      <c r="K5233" s="6" t="str">
        <f>"105.000,00"</f>
        <v>105.000,00</v>
      </c>
      <c r="L5233" s="6" t="str">
        <f>"0,00"</f>
        <v>0,00</v>
      </c>
      <c r="M5233" s="6" t="str">
        <f>"105.000,00"</f>
        <v>105.000,00</v>
      </c>
      <c r="N5233" s="8" t="s">
        <v>124</v>
      </c>
      <c r="O5233" s="7"/>
      <c r="P5233" s="2">
        <v>0</v>
      </c>
      <c r="Q5233" s="7"/>
      <c r="R5233" s="1"/>
      <c r="S5233" s="1" t="str">
        <f>"2022-169"</f>
        <v>2022-169</v>
      </c>
      <c r="T5233" s="1" t="s">
        <v>55</v>
      </c>
    </row>
    <row r="5234" spans="1:20" ht="51" x14ac:dyDescent="0.25">
      <c r="A5234" s="6">
        <v>5213</v>
      </c>
      <c r="B5234" s="1" t="str">
        <f>"2021-2034"</f>
        <v>2021-2034</v>
      </c>
      <c r="C5234" s="1" t="s">
        <v>3327</v>
      </c>
      <c r="D5234" s="1" t="s">
        <v>486</v>
      </c>
      <c r="E5234" s="1" t="str">
        <f>""</f>
        <v/>
      </c>
      <c r="F5234" s="1" t="s">
        <v>1860</v>
      </c>
      <c r="G5234" s="1" t="str">
        <f>CONCATENATE("NERING D.O.O.,"," LIVADARSKI PUT 24,"," 10360 SESVETE,"," OIB: 85965934616")</f>
        <v>NERING D.O.O., LIVADARSKI PUT 24, 10360 SESVETE, OIB: 85965934616</v>
      </c>
      <c r="H5234" s="7"/>
      <c r="I5234" s="8" t="s">
        <v>416</v>
      </c>
      <c r="J5234" s="7"/>
      <c r="K5234" s="6" t="str">
        <f>"75.884,70"</f>
        <v>75.884,70</v>
      </c>
      <c r="L5234" s="6" t="str">
        <f>"16.993,02"</f>
        <v>16.993,02</v>
      </c>
      <c r="M5234" s="6" t="str">
        <f>"92.877,72"</f>
        <v>92.877,72</v>
      </c>
      <c r="N5234" s="8" t="s">
        <v>124</v>
      </c>
      <c r="O5234" s="7"/>
      <c r="P5234" s="2">
        <v>84965.09</v>
      </c>
      <c r="Q5234" s="7"/>
      <c r="R5234" s="1"/>
      <c r="S5234" s="1" t="str">
        <f>"2022-173"</f>
        <v>2022-173</v>
      </c>
      <c r="T5234" s="1" t="s">
        <v>55</v>
      </c>
    </row>
    <row r="5235" spans="1:20" ht="63.75" x14ac:dyDescent="0.25">
      <c r="A5235" s="6">
        <v>5214</v>
      </c>
      <c r="B5235" s="1" t="str">
        <f>"2021-2036"</f>
        <v>2021-2036</v>
      </c>
      <c r="C5235" s="1" t="s">
        <v>3328</v>
      </c>
      <c r="D5235" s="1" t="s">
        <v>486</v>
      </c>
      <c r="E5235" s="1" t="str">
        <f>""</f>
        <v/>
      </c>
      <c r="F5235" s="1" t="s">
        <v>1860</v>
      </c>
      <c r="G5235" s="1" t="str">
        <f>CONCATENATE("HIDRO GRAD D.O.O.,"," GUSTAVA KRKLECA,"," RAKITJE 6,"," 10437 BESTOVJE,"," OIB: 49528301725")</f>
        <v>HIDRO GRAD D.O.O., GUSTAVA KRKLECA, RAKITJE 6, 10437 BESTOVJE, OIB: 49528301725</v>
      </c>
      <c r="H5235" s="7"/>
      <c r="I5235" s="8" t="s">
        <v>708</v>
      </c>
      <c r="J5235" s="7"/>
      <c r="K5235" s="6" t="str">
        <f>"78.707,00"</f>
        <v>78.707,00</v>
      </c>
      <c r="L5235" s="6" t="str">
        <f>"0,00"</f>
        <v>0,00</v>
      </c>
      <c r="M5235" s="6" t="str">
        <f>"78.707,00"</f>
        <v>78.707,00</v>
      </c>
      <c r="N5235" s="8" t="s">
        <v>124</v>
      </c>
      <c r="O5235" s="7"/>
      <c r="P5235" s="2">
        <v>66945.73</v>
      </c>
      <c r="Q5235" s="7"/>
      <c r="R5235" s="1"/>
      <c r="S5235" s="1" t="str">
        <f>"2022-190"</f>
        <v>2022-190</v>
      </c>
      <c r="T5235" s="1" t="s">
        <v>55</v>
      </c>
    </row>
    <row r="5236" spans="1:20" ht="63.75" x14ac:dyDescent="0.25">
      <c r="A5236" s="6">
        <v>5215</v>
      </c>
      <c r="B5236" s="1" t="str">
        <f>"2021-2035"</f>
        <v>2021-2035</v>
      </c>
      <c r="C5236" s="1" t="s">
        <v>3329</v>
      </c>
      <c r="D5236" s="1" t="s">
        <v>486</v>
      </c>
      <c r="E5236" s="1" t="str">
        <f>""</f>
        <v/>
      </c>
      <c r="F5236" s="1" t="s">
        <v>1860</v>
      </c>
      <c r="G5236" s="1" t="str">
        <f>CONCATENATE("NERING D.O.O.,"," LIVADARSKI PUT 24,"," 10360 SESVETE,"," OIB: 85965934616")</f>
        <v>NERING D.O.O., LIVADARSKI PUT 24, 10360 SESVETE, OIB: 85965934616</v>
      </c>
      <c r="H5236" s="7"/>
      <c r="I5236" s="8" t="s">
        <v>930</v>
      </c>
      <c r="J5236" s="7"/>
      <c r="K5236" s="6" t="str">
        <f>"66.817,10"</f>
        <v>66.817,10</v>
      </c>
      <c r="L5236" s="6" t="str">
        <f>"0,00"</f>
        <v>0,00</v>
      </c>
      <c r="M5236" s="6" t="str">
        <f>"66.817,10"</f>
        <v>66.817,10</v>
      </c>
      <c r="N5236" s="8" t="s">
        <v>124</v>
      </c>
      <c r="O5236" s="7"/>
      <c r="P5236" s="2">
        <v>59952.85</v>
      </c>
      <c r="Q5236" s="7"/>
      <c r="R5236" s="1"/>
      <c r="S5236" s="1" t="str">
        <f>"2022-203"</f>
        <v>2022-203</v>
      </c>
      <c r="T5236" s="1" t="s">
        <v>55</v>
      </c>
    </row>
    <row r="5237" spans="1:20" ht="63.75" x14ac:dyDescent="0.25">
      <c r="A5237" s="6">
        <v>5216</v>
      </c>
      <c r="B5237" s="1" t="str">
        <f>"2021-2024"</f>
        <v>2021-2024</v>
      </c>
      <c r="C5237" s="1" t="s">
        <v>3330</v>
      </c>
      <c r="D5237" s="1" t="s">
        <v>486</v>
      </c>
      <c r="E5237" s="1" t="str">
        <f>""</f>
        <v/>
      </c>
      <c r="F5237" s="1" t="s">
        <v>1860</v>
      </c>
      <c r="G5237" s="1" t="str">
        <f>CONCATENATE("HIDRO GRAD D.O.O.,"," GUSTAVA KRKLECA,"," RAKITJE 6,"," 10437 BESTOVJE,"," OIB: 49528301725")</f>
        <v>HIDRO GRAD D.O.O., GUSTAVA KRKLECA, RAKITJE 6, 10437 BESTOVJE, OIB: 49528301725</v>
      </c>
      <c r="H5237" s="7"/>
      <c r="I5237" s="8" t="s">
        <v>1549</v>
      </c>
      <c r="J5237" s="7"/>
      <c r="K5237" s="6" t="str">
        <f>"197.777,00"</f>
        <v>197.777,00</v>
      </c>
      <c r="L5237" s="6" t="str">
        <f>"0,00"</f>
        <v>0,00</v>
      </c>
      <c r="M5237" s="6" t="str">
        <f>"197.777,00"</f>
        <v>197.777,00</v>
      </c>
      <c r="N5237" s="8" t="s">
        <v>124</v>
      </c>
      <c r="O5237" s="7"/>
      <c r="P5237" s="2">
        <v>152018.84</v>
      </c>
      <c r="Q5237" s="7"/>
      <c r="R5237" s="1"/>
      <c r="S5237" s="1" t="str">
        <f>"2022-219"</f>
        <v>2022-219</v>
      </c>
      <c r="T5237" s="1" t="s">
        <v>55</v>
      </c>
    </row>
    <row r="5238" spans="1:20" ht="51" x14ac:dyDescent="0.25">
      <c r="A5238" s="6">
        <v>5217</v>
      </c>
      <c r="B5238" s="1" t="str">
        <f>"2021-1533"</f>
        <v>2021-1533</v>
      </c>
      <c r="C5238" s="1" t="s">
        <v>2697</v>
      </c>
      <c r="D5238" s="1" t="s">
        <v>51</v>
      </c>
      <c r="E5238" s="1" t="str">
        <f>""</f>
        <v/>
      </c>
      <c r="F5238" s="1" t="s">
        <v>1860</v>
      </c>
      <c r="G5238" s="1" t="str">
        <f>CONCATENATE("TPK-ZAVOD D.D.,"," SLAVONSKA AVENIJA 20,"," 10000 ZAGREB,"," OIB: 95418386802")</f>
        <v>TPK-ZAVOD D.D., SLAVONSKA AVENIJA 20, 10000 ZAGREB, OIB: 95418386802</v>
      </c>
      <c r="H5238" s="7"/>
      <c r="I5238" s="8" t="s">
        <v>801</v>
      </c>
      <c r="J5238" s="7"/>
      <c r="K5238" s="6" t="str">
        <f>"25.165,00"</f>
        <v>25.165,00</v>
      </c>
      <c r="L5238" s="6" t="str">
        <f>"4.016,25"</f>
        <v>4.016,25</v>
      </c>
      <c r="M5238" s="6" t="str">
        <f>"29.181,25"</f>
        <v>29.181,25</v>
      </c>
      <c r="N5238" s="8" t="s">
        <v>922</v>
      </c>
      <c r="O5238" s="7"/>
      <c r="P5238" s="2">
        <v>20081.25</v>
      </c>
      <c r="Q5238" s="7"/>
      <c r="R5238" s="1"/>
      <c r="S5238" s="1" t="str">
        <f>"2022-235"</f>
        <v>2022-235</v>
      </c>
      <c r="T5238" s="1" t="s">
        <v>55</v>
      </c>
    </row>
    <row r="5239" spans="1:20" ht="63.75" x14ac:dyDescent="0.25">
      <c r="A5239" s="6">
        <v>5218</v>
      </c>
      <c r="B5239" s="1" t="str">
        <f>"2021-1143"</f>
        <v>2021-1143</v>
      </c>
      <c r="C5239" s="1" t="s">
        <v>3331</v>
      </c>
      <c r="D5239" s="1" t="s">
        <v>1150</v>
      </c>
      <c r="E5239" s="1" t="str">
        <f>""</f>
        <v/>
      </c>
      <c r="F5239" s="1" t="s">
        <v>1860</v>
      </c>
      <c r="G5239" s="1" t="str">
        <f>CONCATENATE("HIDRO-METAL,"," VL. BISERKA BEJDIĆ,"," SLAVKA KOLARA 24,"," 47250 DUGA RESA,"," OIB: 2551798954")</f>
        <v>HIDRO-METAL, VL. BISERKA BEJDIĆ, SLAVKA KOLARA 24, 47250 DUGA RESA, OIB: 2551798954</v>
      </c>
      <c r="H5239" s="7"/>
      <c r="I5239" s="8" t="s">
        <v>801</v>
      </c>
      <c r="J5239" s="7"/>
      <c r="K5239" s="6" t="str">
        <f>"9.369,60"</f>
        <v>9.369,60</v>
      </c>
      <c r="L5239" s="6" t="str">
        <f>"2.342,40"</f>
        <v>2.342,40</v>
      </c>
      <c r="M5239" s="6" t="str">
        <f>"11.712,00"</f>
        <v>11.712,00</v>
      </c>
      <c r="N5239" s="8" t="s">
        <v>681</v>
      </c>
      <c r="O5239" s="7"/>
      <c r="P5239" s="2">
        <v>11712</v>
      </c>
      <c r="Q5239" s="7"/>
      <c r="R5239" s="1"/>
      <c r="S5239" s="1" t="str">
        <f>"2022-240"</f>
        <v>2022-240</v>
      </c>
      <c r="T5239" s="1" t="s">
        <v>55</v>
      </c>
    </row>
    <row r="5240" spans="1:20" ht="63.75" x14ac:dyDescent="0.25">
      <c r="A5240" s="6">
        <v>5219</v>
      </c>
      <c r="B5240" s="1" t="str">
        <f>"2021-2228"</f>
        <v>2021-2228</v>
      </c>
      <c r="C5240" s="1" t="s">
        <v>3332</v>
      </c>
      <c r="D5240" s="1" t="s">
        <v>3326</v>
      </c>
      <c r="E5240" s="1" t="str">
        <f>""</f>
        <v/>
      </c>
      <c r="F5240" s="1" t="s">
        <v>1860</v>
      </c>
      <c r="G5240" s="1" t="str">
        <f>CONCATENATE("KOPIMA D.O.O.,"," VRBIK 8B,"," 10000 ZAGREB,"," OIB: 04662252043")</f>
        <v>KOPIMA D.O.O., VRBIK 8B, 10000 ZAGREB, OIB: 04662252043</v>
      </c>
      <c r="H5240" s="7"/>
      <c r="I5240" s="8" t="s">
        <v>801</v>
      </c>
      <c r="J5240" s="7"/>
      <c r="K5240" s="6" t="str">
        <f>"49.200,00"</f>
        <v>49.200,00</v>
      </c>
      <c r="L5240" s="6" t="str">
        <f>"0,00"</f>
        <v>0,00</v>
      </c>
      <c r="M5240" s="6" t="str">
        <f>"49.200,00"</f>
        <v>49.200,00</v>
      </c>
      <c r="N5240" s="8" t="s">
        <v>124</v>
      </c>
      <c r="O5240" s="7"/>
      <c r="P5240" s="2">
        <v>31980</v>
      </c>
      <c r="Q5240" s="7"/>
      <c r="R5240" s="1"/>
      <c r="S5240" s="1" t="str">
        <f>"2022-241"</f>
        <v>2022-241</v>
      </c>
      <c r="T5240" s="1" t="s">
        <v>55</v>
      </c>
    </row>
    <row r="5241" spans="1:20" ht="51" x14ac:dyDescent="0.25">
      <c r="A5241" s="6">
        <v>5220</v>
      </c>
      <c r="B5241" s="1" t="str">
        <f>"2021-129"</f>
        <v>2021-129</v>
      </c>
      <c r="C5241" s="1" t="s">
        <v>3333</v>
      </c>
      <c r="D5241" s="1" t="s">
        <v>3334</v>
      </c>
      <c r="E5241" s="1" t="str">
        <f>""</f>
        <v/>
      </c>
      <c r="F5241" s="1" t="s">
        <v>1860</v>
      </c>
      <c r="G5241" s="1" t="str">
        <f>CONCATENATE("IVERO D.O.O.,"," PLANINSKA 13,"," 10360 SESVETE,"," OIB: 8920645596")</f>
        <v>IVERO D.O.O., PLANINSKA 13, 10360 SESVETE, OIB: 8920645596</v>
      </c>
      <c r="H5241" s="7"/>
      <c r="I5241" s="8" t="s">
        <v>561</v>
      </c>
      <c r="J5241" s="7"/>
      <c r="K5241" s="6" t="str">
        <f>"7.700,00"</f>
        <v>7.700,00</v>
      </c>
      <c r="L5241" s="6" t="str">
        <f>"1.925,00"</f>
        <v>1.925,00</v>
      </c>
      <c r="M5241" s="6" t="str">
        <f>"9.625,00"</f>
        <v>9.625,00</v>
      </c>
      <c r="N5241" s="8" t="s">
        <v>284</v>
      </c>
      <c r="O5241" s="7"/>
      <c r="P5241" s="2">
        <v>9625</v>
      </c>
      <c r="Q5241" s="7"/>
      <c r="R5241" s="1"/>
      <c r="S5241" s="1" t="str">
        <f>"2022-242"</f>
        <v>2022-242</v>
      </c>
      <c r="T5241" s="1" t="s">
        <v>55</v>
      </c>
    </row>
    <row r="5242" spans="1:20" ht="51" x14ac:dyDescent="0.25">
      <c r="A5242" s="6">
        <v>5221</v>
      </c>
      <c r="B5242" s="1" t="str">
        <f>"2021-221"</f>
        <v>2021-221</v>
      </c>
      <c r="C5242" s="1" t="s">
        <v>2692</v>
      </c>
      <c r="D5242" s="1" t="s">
        <v>3309</v>
      </c>
      <c r="E5242" s="1" t="str">
        <f>""</f>
        <v/>
      </c>
      <c r="F5242" s="1" t="s">
        <v>1860</v>
      </c>
      <c r="G5242" s="1" t="str">
        <f>CONCATENATE("POLJOOPSKRBA-TEHNO D.D.,"," SAMOBORSKA 96,"," 10000 ZAGREB,"," OIB: 5372167324")</f>
        <v>POLJOOPSKRBA-TEHNO D.D., SAMOBORSKA 96, 10000 ZAGREB, OIB: 5372167324</v>
      </c>
      <c r="H5242" s="7"/>
      <c r="I5242" s="8" t="s">
        <v>561</v>
      </c>
      <c r="J5242" s="7"/>
      <c r="K5242" s="6" t="str">
        <f>"336,00"</f>
        <v>336,00</v>
      </c>
      <c r="L5242" s="6" t="str">
        <f>"84,00"</f>
        <v>84,00</v>
      </c>
      <c r="M5242" s="6" t="str">
        <f>"420,00"</f>
        <v>420,00</v>
      </c>
      <c r="N5242" s="8" t="s">
        <v>421</v>
      </c>
      <c r="O5242" s="7"/>
      <c r="P5242" s="2">
        <v>420</v>
      </c>
      <c r="Q5242" s="7"/>
      <c r="R5242" s="1"/>
      <c r="S5242" s="1" t="str">
        <f>"2022-243"</f>
        <v>2022-243</v>
      </c>
      <c r="T5242" s="1" t="s">
        <v>55</v>
      </c>
    </row>
    <row r="5243" spans="1:20" ht="38.25" x14ac:dyDescent="0.25">
      <c r="A5243" s="6">
        <v>5222</v>
      </c>
      <c r="B5243" s="1" t="str">
        <f>"2021-441"</f>
        <v>2021-441</v>
      </c>
      <c r="C5243" s="1" t="s">
        <v>3335</v>
      </c>
      <c r="D5243" s="1" t="s">
        <v>3336</v>
      </c>
      <c r="E5243" s="1" t="str">
        <f>""</f>
        <v/>
      </c>
      <c r="F5243" s="1" t="s">
        <v>1860</v>
      </c>
      <c r="G5243" s="1" t="str">
        <f>CONCATENATE("PROFI-AL,"," MIKULINCI 4A,"," 10000 ZAGREB,"," OIB: 43661159989")</f>
        <v>PROFI-AL, MIKULINCI 4A, 10000 ZAGREB, OIB: 43661159989</v>
      </c>
      <c r="H5243" s="7"/>
      <c r="I5243" s="8" t="s">
        <v>561</v>
      </c>
      <c r="J5243" s="7"/>
      <c r="K5243" s="6" t="str">
        <f>"3.176,50"</f>
        <v>3.176,50</v>
      </c>
      <c r="L5243" s="6" t="str">
        <f>"794,13"</f>
        <v>794,13</v>
      </c>
      <c r="M5243" s="6" t="str">
        <f>"3.970,63"</f>
        <v>3.970,63</v>
      </c>
      <c r="N5243" s="8" t="s">
        <v>775</v>
      </c>
      <c r="O5243" s="7"/>
      <c r="P5243" s="2">
        <v>3970.63</v>
      </c>
      <c r="Q5243" s="7"/>
      <c r="R5243" s="1"/>
      <c r="S5243" s="1" t="str">
        <f>"2022-245"</f>
        <v>2022-245</v>
      </c>
      <c r="T5243" s="1" t="s">
        <v>55</v>
      </c>
    </row>
    <row r="5244" spans="1:20" ht="76.5" x14ac:dyDescent="0.25">
      <c r="A5244" s="6">
        <v>5223</v>
      </c>
      <c r="B5244" s="1" t="str">
        <f>"2021-92"</f>
        <v>2021-92</v>
      </c>
      <c r="C5244" s="1" t="s">
        <v>1603</v>
      </c>
      <c r="D5244" s="1" t="s">
        <v>1324</v>
      </c>
      <c r="E5244" s="1" t="str">
        <f>""</f>
        <v/>
      </c>
      <c r="F5244" s="1" t="s">
        <v>1860</v>
      </c>
      <c r="G5244" s="1" t="str">
        <f>CONCATENATE("SMIT-COMMERCE D.O.O.,"," GORNJOSTUPNIČKA 9B,"," 10255 GORNJI STUPNIK,"," OIB: 9524348214")</f>
        <v>SMIT-COMMERCE D.O.O., GORNJOSTUPNIČKA 9B, 10255 GORNJI STUPNIK, OIB: 9524348214</v>
      </c>
      <c r="H5244" s="7"/>
      <c r="I5244" s="8" t="s">
        <v>561</v>
      </c>
      <c r="J5244" s="7"/>
      <c r="K5244" s="6" t="str">
        <f>"29.323,12"</f>
        <v>29.323,12</v>
      </c>
      <c r="L5244" s="6" t="str">
        <f>"526,58"</f>
        <v>526,58</v>
      </c>
      <c r="M5244" s="6" t="str">
        <f>"29.849,70"</f>
        <v>29.849,70</v>
      </c>
      <c r="N5244" s="8" t="s">
        <v>414</v>
      </c>
      <c r="O5244" s="7"/>
      <c r="P5244" s="2">
        <v>2632.88</v>
      </c>
      <c r="Q5244" s="7"/>
      <c r="R5244" s="1"/>
      <c r="S5244" s="1" t="str">
        <f>"2022-246"</f>
        <v>2022-246</v>
      </c>
      <c r="T5244" s="1" t="s">
        <v>55</v>
      </c>
    </row>
    <row r="5245" spans="1:20" ht="51" x14ac:dyDescent="0.25">
      <c r="A5245" s="6">
        <v>5224</v>
      </c>
      <c r="B5245" s="1" t="str">
        <f>"2021-123"</f>
        <v>2021-123</v>
      </c>
      <c r="C5245" s="1" t="s">
        <v>2464</v>
      </c>
      <c r="D5245" s="1" t="s">
        <v>3311</v>
      </c>
      <c r="E5245" s="1" t="str">
        <f>""</f>
        <v/>
      </c>
      <c r="F5245" s="1" t="s">
        <v>1860</v>
      </c>
      <c r="G5245" s="1" t="str">
        <f>CONCATENATE("GESTA D.O.O.,"," IVANA SEVERA bb,"," 42000 VARAŽDIN,"," OIB: 3349091397")</f>
        <v>GESTA D.O.O., IVANA SEVERA bb, 42000 VARAŽDIN, OIB: 3349091397</v>
      </c>
      <c r="H5245" s="7"/>
      <c r="I5245" s="8" t="s">
        <v>561</v>
      </c>
      <c r="J5245" s="7"/>
      <c r="K5245" s="6" t="str">
        <f>"8.800,00"</f>
        <v>8.800,00</v>
      </c>
      <c r="L5245" s="6" t="str">
        <f>"2.200,00"</f>
        <v>2.200,00</v>
      </c>
      <c r="M5245" s="6" t="str">
        <f>"11.000,00"</f>
        <v>11.000,00</v>
      </c>
      <c r="N5245" s="8" t="s">
        <v>284</v>
      </c>
      <c r="O5245" s="7"/>
      <c r="P5245" s="2">
        <v>11000</v>
      </c>
      <c r="Q5245" s="7"/>
      <c r="R5245" s="1"/>
      <c r="S5245" s="1" t="str">
        <f>"2022-247"</f>
        <v>2022-247</v>
      </c>
      <c r="T5245" s="1" t="s">
        <v>55</v>
      </c>
    </row>
    <row r="5246" spans="1:20" ht="51" x14ac:dyDescent="0.25">
      <c r="A5246" s="6">
        <v>5225</v>
      </c>
      <c r="B5246" s="1" t="str">
        <f>"2021-437"</f>
        <v>2021-437</v>
      </c>
      <c r="C5246" s="1" t="s">
        <v>2795</v>
      </c>
      <c r="D5246" s="1" t="s">
        <v>1621</v>
      </c>
      <c r="E5246" s="1" t="str">
        <f>""</f>
        <v/>
      </c>
      <c r="F5246" s="1" t="s">
        <v>1860</v>
      </c>
      <c r="G5246" s="1" t="str">
        <f>CONCATENATE("POLJOOPSKRBA-TEHNO D.D.,"," SAMOBORSKA 96,"," 10000 ZAGREB,"," OIB: 5372167324")</f>
        <v>POLJOOPSKRBA-TEHNO D.D., SAMOBORSKA 96, 10000 ZAGREB, OIB: 5372167324</v>
      </c>
      <c r="H5246" s="7"/>
      <c r="I5246" s="8" t="s">
        <v>561</v>
      </c>
      <c r="J5246" s="7"/>
      <c r="K5246" s="6" t="str">
        <f>"3.069,60"</f>
        <v>3.069,60</v>
      </c>
      <c r="L5246" s="6" t="str">
        <f>"502,50"</f>
        <v>502,50</v>
      </c>
      <c r="M5246" s="6" t="str">
        <f>"3.572,10"</f>
        <v>3.572,10</v>
      </c>
      <c r="N5246" s="8" t="s">
        <v>681</v>
      </c>
      <c r="O5246" s="7"/>
      <c r="P5246" s="2">
        <v>2512.5</v>
      </c>
      <c r="Q5246" s="7"/>
      <c r="R5246" s="1"/>
      <c r="S5246" s="1" t="str">
        <f>"2022-249"</f>
        <v>2022-249</v>
      </c>
      <c r="T5246" s="1" t="s">
        <v>55</v>
      </c>
    </row>
    <row r="5247" spans="1:20" ht="51" x14ac:dyDescent="0.25">
      <c r="A5247" s="6">
        <v>5226</v>
      </c>
      <c r="B5247" s="1" t="str">
        <f>"2021-463"</f>
        <v>2021-463</v>
      </c>
      <c r="C5247" s="1" t="s">
        <v>2600</v>
      </c>
      <c r="D5247" s="1" t="s">
        <v>3318</v>
      </c>
      <c r="E5247" s="1" t="str">
        <f>""</f>
        <v/>
      </c>
      <c r="F5247" s="1" t="s">
        <v>1860</v>
      </c>
      <c r="G5247" s="1" t="str">
        <f>CONCATENATE("POLJOOPSKRBA-TEHNO D.D.,"," SAMOBORSKA 96,"," 10000 ZAGREB,"," OIB: 5372167324")</f>
        <v>POLJOOPSKRBA-TEHNO D.D., SAMOBORSKA 96, 10000 ZAGREB, OIB: 5372167324</v>
      </c>
      <c r="H5247" s="7"/>
      <c r="I5247" s="8" t="s">
        <v>561</v>
      </c>
      <c r="J5247" s="7"/>
      <c r="K5247" s="6" t="str">
        <f>"714,00"</f>
        <v>714,00</v>
      </c>
      <c r="L5247" s="6" t="str">
        <f>"0,00"</f>
        <v>0,00</v>
      </c>
      <c r="M5247" s="6" t="str">
        <f>"714,00"</f>
        <v>714,00</v>
      </c>
      <c r="N5247" s="8" t="s">
        <v>124</v>
      </c>
      <c r="O5247" s="7"/>
      <c r="P5247" s="2">
        <v>0</v>
      </c>
      <c r="Q5247" s="7"/>
      <c r="R5247" s="1"/>
      <c r="S5247" s="1" t="str">
        <f>"2022-250"</f>
        <v>2022-250</v>
      </c>
      <c r="T5247" s="1" t="s">
        <v>55</v>
      </c>
    </row>
    <row r="5248" spans="1:20" ht="63.75" x14ac:dyDescent="0.25">
      <c r="A5248" s="6">
        <v>5227</v>
      </c>
      <c r="B5248" s="1" t="str">
        <f>"2021-2134"</f>
        <v>2021-2134</v>
      </c>
      <c r="C5248" s="1" t="s">
        <v>3057</v>
      </c>
      <c r="D5248" s="1" t="s">
        <v>1111</v>
      </c>
      <c r="E5248" s="1" t="str">
        <f>""</f>
        <v/>
      </c>
      <c r="F5248" s="1" t="s">
        <v>1860</v>
      </c>
      <c r="G5248" s="1" t="str">
        <f>CONCATENATE("GRADSKA PLINARA ZAGREB d.o.o.,"," RADNIČKA CESTA 1,"," 10000 ZAGREB,"," OIB: 20985255037")</f>
        <v>GRADSKA PLINARA ZAGREB d.o.o., RADNIČKA CESTA 1, 10000 ZAGREB, OIB: 20985255037</v>
      </c>
      <c r="H5248" s="7"/>
      <c r="I5248" s="8" t="s">
        <v>561</v>
      </c>
      <c r="J5248" s="7"/>
      <c r="K5248" s="6" t="str">
        <f>"2.545,26"</f>
        <v>2.545,26</v>
      </c>
      <c r="L5248" s="6" t="str">
        <f>"0,00"</f>
        <v>0,00</v>
      </c>
      <c r="M5248" s="6" t="str">
        <f>"2.545,26"</f>
        <v>2.545,26</v>
      </c>
      <c r="N5248" s="8" t="s">
        <v>124</v>
      </c>
      <c r="O5248" s="7"/>
      <c r="P5248" s="2">
        <v>0</v>
      </c>
      <c r="Q5248" s="7"/>
      <c r="R5248" s="1"/>
      <c r="S5248" s="1" t="str">
        <f>"2022-251"</f>
        <v>2022-251</v>
      </c>
      <c r="T5248" s="1" t="s">
        <v>55</v>
      </c>
    </row>
    <row r="5249" spans="1:20" ht="51" x14ac:dyDescent="0.25">
      <c r="A5249" s="6">
        <v>5228</v>
      </c>
      <c r="B5249" s="1" t="str">
        <f>"2021-325"</f>
        <v>2021-325</v>
      </c>
      <c r="C5249" s="1" t="s">
        <v>2700</v>
      </c>
      <c r="D5249" s="1" t="s">
        <v>3337</v>
      </c>
      <c r="E5249" s="1" t="str">
        <f>""</f>
        <v/>
      </c>
      <c r="F5249" s="1" t="s">
        <v>1860</v>
      </c>
      <c r="G5249" s="1" t="str">
        <f>CONCATENATE("POLJOOPSKRBA-TEHNO D.D.,"," SAMOBORSKA 96,"," 10000 ZAGREB,"," OIB: 5372167324")</f>
        <v>POLJOOPSKRBA-TEHNO D.D., SAMOBORSKA 96, 10000 ZAGREB, OIB: 5372167324</v>
      </c>
      <c r="H5249" s="7"/>
      <c r="I5249" s="8" t="s">
        <v>561</v>
      </c>
      <c r="J5249" s="7"/>
      <c r="K5249" s="6" t="str">
        <f>"2.220,90"</f>
        <v>2.220,90</v>
      </c>
      <c r="L5249" s="6" t="str">
        <f>"555,23"</f>
        <v>555,23</v>
      </c>
      <c r="M5249" s="6" t="str">
        <f>"2.776,13"</f>
        <v>2.776,13</v>
      </c>
      <c r="N5249" s="8" t="s">
        <v>398</v>
      </c>
      <c r="O5249" s="7"/>
      <c r="P5249" s="2">
        <v>2776.13</v>
      </c>
      <c r="Q5249" s="7"/>
      <c r="R5249" s="1"/>
      <c r="S5249" s="1" t="str">
        <f>"2022-253"</f>
        <v>2022-253</v>
      </c>
      <c r="T5249" s="1" t="s">
        <v>55</v>
      </c>
    </row>
    <row r="5250" spans="1:20" ht="76.5" x14ac:dyDescent="0.25">
      <c r="A5250" s="6">
        <v>5229</v>
      </c>
      <c r="B5250" s="1" t="str">
        <f>"2021-330"</f>
        <v>2021-330</v>
      </c>
      <c r="C5250" s="1" t="s">
        <v>3338</v>
      </c>
      <c r="D5250" s="1" t="s">
        <v>1306</v>
      </c>
      <c r="E5250" s="1" t="str">
        <f>""</f>
        <v/>
      </c>
      <c r="F5250" s="1" t="s">
        <v>1860</v>
      </c>
      <c r="G5250" s="1" t="str">
        <f>CONCATENATE("SMIT-COMMERCE D.O.O.,"," GORNJOSTUPNIČKA 9B,"," 10255 GORNJI STUPNIK,"," OIB: 9524348214")</f>
        <v>SMIT-COMMERCE D.O.O., GORNJOSTUPNIČKA 9B, 10255 GORNJI STUPNIK, OIB: 9524348214</v>
      </c>
      <c r="H5250" s="7"/>
      <c r="I5250" s="8" t="s">
        <v>2019</v>
      </c>
      <c r="J5250" s="7"/>
      <c r="K5250" s="6" t="str">
        <f>"5.785,79"</f>
        <v>5.785,79</v>
      </c>
      <c r="L5250" s="6" t="str">
        <f>"0,00"</f>
        <v>0,00</v>
      </c>
      <c r="M5250" s="6" t="str">
        <f>"5.785,79"</f>
        <v>5.785,79</v>
      </c>
      <c r="N5250" s="8" t="s">
        <v>124</v>
      </c>
      <c r="O5250" s="7"/>
      <c r="P5250" s="2">
        <v>0</v>
      </c>
      <c r="Q5250" s="7"/>
      <c r="R5250" s="1"/>
      <c r="S5250" s="1" t="str">
        <f>"2022-254"</f>
        <v>2022-254</v>
      </c>
      <c r="T5250" s="1" t="s">
        <v>55</v>
      </c>
    </row>
    <row r="5251" spans="1:20" ht="51" x14ac:dyDescent="0.25">
      <c r="A5251" s="6">
        <v>5230</v>
      </c>
      <c r="B5251" s="1" t="str">
        <f>"2021-326"</f>
        <v>2021-326</v>
      </c>
      <c r="C5251" s="1" t="s">
        <v>3282</v>
      </c>
      <c r="D5251" s="1" t="s">
        <v>3337</v>
      </c>
      <c r="E5251" s="1" t="str">
        <f>""</f>
        <v/>
      </c>
      <c r="F5251" s="1" t="s">
        <v>1860</v>
      </c>
      <c r="G5251" s="1" t="str">
        <f>CONCATENATE("IDEJA D.O.O.,"," JANKA POLIĆ KAMOVA 103,"," 51000 RIJEKA,"," OIB: 58724835598")</f>
        <v>IDEJA D.O.O., JANKA POLIĆ KAMOVA 103, 51000 RIJEKA, OIB: 58724835598</v>
      </c>
      <c r="H5251" s="7"/>
      <c r="I5251" s="8" t="s">
        <v>561</v>
      </c>
      <c r="J5251" s="7"/>
      <c r="K5251" s="6" t="str">
        <f>"31.795,00"</f>
        <v>31.795,00</v>
      </c>
      <c r="L5251" s="6" t="str">
        <f>"7.248,75"</f>
        <v>7.248,75</v>
      </c>
      <c r="M5251" s="6" t="str">
        <f>"39.043,75"</f>
        <v>39.043,75</v>
      </c>
      <c r="N5251" s="8" t="s">
        <v>403</v>
      </c>
      <c r="O5251" s="7"/>
      <c r="P5251" s="2">
        <v>36243.75</v>
      </c>
      <c r="Q5251" s="7"/>
      <c r="R5251" s="1"/>
      <c r="S5251" s="1" t="str">
        <f>"2022-255"</f>
        <v>2022-255</v>
      </c>
      <c r="T5251" s="1" t="s">
        <v>55</v>
      </c>
    </row>
    <row r="5252" spans="1:20" ht="51" x14ac:dyDescent="0.25">
      <c r="A5252" s="6">
        <v>5231</v>
      </c>
      <c r="B5252" s="1" t="str">
        <f>"2021-322"</f>
        <v>2021-322</v>
      </c>
      <c r="C5252" s="1" t="s">
        <v>3305</v>
      </c>
      <c r="D5252" s="1" t="s">
        <v>1206</v>
      </c>
      <c r="E5252" s="1" t="str">
        <f>""</f>
        <v/>
      </c>
      <c r="F5252" s="1" t="s">
        <v>1860</v>
      </c>
      <c r="G5252" s="1" t="str">
        <f>CONCATENATE("POLJOOPSKRBA-TEHNO D.D.,"," SAMOBORSKA 96,"," 10000 ZAGREB,"," OIB: 5372167324")</f>
        <v>POLJOOPSKRBA-TEHNO D.D., SAMOBORSKA 96, 10000 ZAGREB, OIB: 5372167324</v>
      </c>
      <c r="H5252" s="7"/>
      <c r="I5252" s="8" t="s">
        <v>675</v>
      </c>
      <c r="J5252" s="7"/>
      <c r="K5252" s="6" t="str">
        <f>"1.622,16"</f>
        <v>1.622,16</v>
      </c>
      <c r="L5252" s="6" t="str">
        <f>"405,54"</f>
        <v>405,54</v>
      </c>
      <c r="M5252" s="6" t="str">
        <f>"2.027,70"</f>
        <v>2.027,70</v>
      </c>
      <c r="N5252" s="8" t="s">
        <v>1320</v>
      </c>
      <c r="O5252" s="7"/>
      <c r="P5252" s="2">
        <v>2027.7</v>
      </c>
      <c r="Q5252" s="7"/>
      <c r="R5252" s="1"/>
      <c r="S5252" s="1" t="str">
        <f>"2022-258"</f>
        <v>2022-258</v>
      </c>
      <c r="T5252" s="1" t="s">
        <v>55</v>
      </c>
    </row>
    <row r="5253" spans="1:20" ht="63.75" x14ac:dyDescent="0.25">
      <c r="A5253" s="6">
        <v>5232</v>
      </c>
      <c r="B5253" s="1" t="str">
        <f>"2021-695"</f>
        <v>2021-695</v>
      </c>
      <c r="C5253" s="1" t="s">
        <v>2683</v>
      </c>
      <c r="D5253" s="1" t="s">
        <v>2684</v>
      </c>
      <c r="E5253" s="1" t="str">
        <f>""</f>
        <v/>
      </c>
      <c r="F5253" s="1" t="s">
        <v>1860</v>
      </c>
      <c r="G5253" s="1" t="str">
        <f>CONCATENATE("ELEKTRO-KOMUNIKACIJE D.O.O.,"," 14. PODBREŽJE 4,"," 10000 ZAGREB,"," OIB: 76412373309")</f>
        <v>ELEKTRO-KOMUNIKACIJE D.O.O., 14. PODBREŽJE 4, 10000 ZAGREB, OIB: 76412373309</v>
      </c>
      <c r="H5253" s="7"/>
      <c r="I5253" s="8" t="s">
        <v>675</v>
      </c>
      <c r="J5253" s="7"/>
      <c r="K5253" s="6" t="str">
        <f>"5.148,00"</f>
        <v>5.148,00</v>
      </c>
      <c r="L5253" s="6" t="str">
        <f>"1.287,00"</f>
        <v>1.287,00</v>
      </c>
      <c r="M5253" s="6" t="str">
        <f>"6.435,00"</f>
        <v>6.435,00</v>
      </c>
      <c r="N5253" s="8" t="s">
        <v>397</v>
      </c>
      <c r="O5253" s="7"/>
      <c r="P5253" s="2">
        <v>6435</v>
      </c>
      <c r="Q5253" s="7"/>
      <c r="R5253" s="1"/>
      <c r="S5253" s="1" t="str">
        <f>"2022-259"</f>
        <v>2022-259</v>
      </c>
      <c r="T5253" s="1" t="s">
        <v>55</v>
      </c>
    </row>
    <row r="5254" spans="1:20" ht="51" x14ac:dyDescent="0.25">
      <c r="A5254" s="6">
        <v>5233</v>
      </c>
      <c r="B5254" s="1" t="str">
        <f>"2021-695"</f>
        <v>2021-695</v>
      </c>
      <c r="C5254" s="1" t="s">
        <v>2683</v>
      </c>
      <c r="D5254" s="1" t="s">
        <v>2684</v>
      </c>
      <c r="E5254" s="1" t="str">
        <f>""</f>
        <v/>
      </c>
      <c r="F5254" s="1" t="s">
        <v>1860</v>
      </c>
      <c r="G5254" s="1" t="str">
        <f>CONCATENATE("PAKLENICA PROMET D.O.O.,"," ŠTRIGINA 15,"," 10000 ZAGREB,"," OIB: 72364126469")</f>
        <v>PAKLENICA PROMET D.O.O., ŠTRIGINA 15, 10000 ZAGREB, OIB: 72364126469</v>
      </c>
      <c r="H5254" s="7"/>
      <c r="I5254" s="8" t="s">
        <v>675</v>
      </c>
      <c r="J5254" s="7"/>
      <c r="K5254" s="6" t="str">
        <f>"5.325,00"</f>
        <v>5.325,00</v>
      </c>
      <c r="L5254" s="6" t="str">
        <f>"1.331,25"</f>
        <v>1.331,25</v>
      </c>
      <c r="M5254" s="6" t="str">
        <f>"6.656,25"</f>
        <v>6.656,25</v>
      </c>
      <c r="N5254" s="8" t="s">
        <v>1139</v>
      </c>
      <c r="O5254" s="7"/>
      <c r="P5254" s="2">
        <v>6656.25</v>
      </c>
      <c r="Q5254" s="7"/>
      <c r="R5254" s="1"/>
      <c r="S5254" s="1" t="str">
        <f>"2022-260"</f>
        <v>2022-260</v>
      </c>
      <c r="T5254" s="1" t="s">
        <v>55</v>
      </c>
    </row>
    <row r="5255" spans="1:20" ht="89.25" x14ac:dyDescent="0.25">
      <c r="A5255" s="6">
        <v>5234</v>
      </c>
      <c r="B5255" s="1" t="str">
        <f>"2021-40"</f>
        <v>2021-40</v>
      </c>
      <c r="C5255" s="1" t="s">
        <v>3014</v>
      </c>
      <c r="D5255" s="1" t="s">
        <v>1492</v>
      </c>
      <c r="E5255" s="1" t="str">
        <f>""</f>
        <v/>
      </c>
      <c r="F5255" s="1" t="s">
        <v>1860</v>
      </c>
      <c r="G5255" s="1" t="str">
        <f>CONCATENATE("ZAGREBAČKI HOLDING D.O.O.,"," PODRUŽNICA ZRINJEVAC,"," ULICA GRADA VUKOVARA 41,"," REMETINEČKA CESTA 15,"," 10000 ZAGREB,"," OIB: 85584865987")</f>
        <v>ZAGREBAČKI HOLDING D.O.O., PODRUŽNICA ZRINJEVAC, ULICA GRADA VUKOVARA 41, REMETINEČKA CESTA 15, 10000 ZAGREB, OIB: 85584865987</v>
      </c>
      <c r="H5255" s="7"/>
      <c r="I5255" s="8" t="s">
        <v>675</v>
      </c>
      <c r="J5255" s="7"/>
      <c r="K5255" s="6" t="str">
        <f>"528,80"</f>
        <v>528,80</v>
      </c>
      <c r="L5255" s="6" t="str">
        <f>"132,20"</f>
        <v>132,20</v>
      </c>
      <c r="M5255" s="6" t="str">
        <f>"661,00"</f>
        <v>661,00</v>
      </c>
      <c r="N5255" s="8" t="s">
        <v>667</v>
      </c>
      <c r="O5255" s="7"/>
      <c r="P5255" s="2">
        <v>661</v>
      </c>
      <c r="Q5255" s="7"/>
      <c r="R5255" s="1"/>
      <c r="S5255" s="1" t="str">
        <f>"2022-261"</f>
        <v>2022-261</v>
      </c>
      <c r="T5255" s="1" t="s">
        <v>55</v>
      </c>
    </row>
    <row r="5256" spans="1:20" ht="89.25" x14ac:dyDescent="0.25">
      <c r="A5256" s="6">
        <v>5235</v>
      </c>
      <c r="B5256" s="1" t="str">
        <f>"2021-2356"</f>
        <v>2021-2356</v>
      </c>
      <c r="C5256" s="1" t="s">
        <v>3339</v>
      </c>
      <c r="D5256" s="1" t="s">
        <v>1826</v>
      </c>
      <c r="E5256" s="1" t="str">
        <f>""</f>
        <v/>
      </c>
      <c r="F5256" s="1" t="s">
        <v>1860</v>
      </c>
      <c r="G5256" s="1" t="str">
        <f>CONCATENATE("SVEUČILIŠTE U ZAGREBU - GRAĐEVINSKI FAKULTET,"," FRA ANDRIJE KAČIĆA MIOŠIĆA 26,"," 10000 ZAGREB,"," OIB: 6292415342")</f>
        <v>SVEUČILIŠTE U ZAGREBU - GRAĐEVINSKI FAKULTET, FRA ANDRIJE KAČIĆA MIOŠIĆA 26, 10000 ZAGREB, OIB: 6292415342</v>
      </c>
      <c r="H5256" s="7"/>
      <c r="I5256" s="8" t="s">
        <v>675</v>
      </c>
      <c r="J5256" s="7"/>
      <c r="K5256" s="6" t="str">
        <f>"184.000,00"</f>
        <v>184.000,00</v>
      </c>
      <c r="L5256" s="6" t="str">
        <f>"92.000,00"</f>
        <v>92.000,00</v>
      </c>
      <c r="M5256" s="6" t="str">
        <f>"276.000,00"</f>
        <v>276.000,00</v>
      </c>
      <c r="N5256" s="8" t="s">
        <v>503</v>
      </c>
      <c r="O5256" s="7"/>
      <c r="P5256" s="2">
        <v>460000</v>
      </c>
      <c r="Q5256" s="7"/>
      <c r="R5256" s="1"/>
      <c r="S5256" s="1" t="str">
        <f>"2022-262"</f>
        <v>2022-262</v>
      </c>
      <c r="T5256" s="1" t="s">
        <v>55</v>
      </c>
    </row>
    <row r="5257" spans="1:20" ht="51" x14ac:dyDescent="0.25">
      <c r="A5257" s="6">
        <v>5236</v>
      </c>
      <c r="B5257" s="1" t="str">
        <f>"2021-177"</f>
        <v>2021-177</v>
      </c>
      <c r="C5257" s="1" t="s">
        <v>3307</v>
      </c>
      <c r="D5257" s="1" t="s">
        <v>3308</v>
      </c>
      <c r="E5257" s="1" t="str">
        <f>""</f>
        <v/>
      </c>
      <c r="F5257" s="1" t="s">
        <v>1860</v>
      </c>
      <c r="G5257" s="1" t="str">
        <f>CONCATENATE("POLJOOPSKRBA-TEHNO D.D.,"," SAMOBORSKA 96,"," 10000 ZAGREB,"," OIB: 5372167324")</f>
        <v>POLJOOPSKRBA-TEHNO D.D., SAMOBORSKA 96, 10000 ZAGREB, OIB: 5372167324</v>
      </c>
      <c r="H5257" s="7"/>
      <c r="I5257" s="8" t="s">
        <v>675</v>
      </c>
      <c r="J5257" s="7"/>
      <c r="K5257" s="6" t="str">
        <f>"1.160,00"</f>
        <v>1.160,00</v>
      </c>
      <c r="L5257" s="6" t="str">
        <f>"290,00"</f>
        <v>290,00</v>
      </c>
      <c r="M5257" s="6" t="str">
        <f>"1.450,00"</f>
        <v>1.450,00</v>
      </c>
      <c r="N5257" s="8" t="s">
        <v>1320</v>
      </c>
      <c r="O5257" s="7"/>
      <c r="P5257" s="2">
        <v>1450</v>
      </c>
      <c r="Q5257" s="7"/>
      <c r="R5257" s="1"/>
      <c r="S5257" s="1" t="str">
        <f>"2022-263"</f>
        <v>2022-263</v>
      </c>
      <c r="T5257" s="1" t="s">
        <v>55</v>
      </c>
    </row>
    <row r="5258" spans="1:20" ht="51" x14ac:dyDescent="0.25">
      <c r="A5258" s="6">
        <v>5237</v>
      </c>
      <c r="B5258" s="1" t="str">
        <f>"2021-123"</f>
        <v>2021-123</v>
      </c>
      <c r="C5258" s="1" t="s">
        <v>2464</v>
      </c>
      <c r="D5258" s="1" t="s">
        <v>3311</v>
      </c>
      <c r="E5258" s="1" t="str">
        <f>""</f>
        <v/>
      </c>
      <c r="F5258" s="1" t="s">
        <v>1860</v>
      </c>
      <c r="G5258" s="1" t="str">
        <f>CONCATENATE("KEMOLAB D.O.O.,"," NADINSKA 11,"," 10000 ZAGREB,"," OIB: 45816750516")</f>
        <v>KEMOLAB D.O.O., NADINSKA 11, 10000 ZAGREB, OIB: 45816750516</v>
      </c>
      <c r="H5258" s="7"/>
      <c r="I5258" s="8" t="s">
        <v>1118</v>
      </c>
      <c r="J5258" s="7"/>
      <c r="K5258" s="6" t="str">
        <f>"11.583,00"</f>
        <v>11.583,00</v>
      </c>
      <c r="L5258" s="6" t="str">
        <f>"2.895,75"</f>
        <v>2.895,75</v>
      </c>
      <c r="M5258" s="6" t="str">
        <f>"14.478,75"</f>
        <v>14.478,75</v>
      </c>
      <c r="N5258" s="8" t="s">
        <v>667</v>
      </c>
      <c r="O5258" s="7"/>
      <c r="P5258" s="2">
        <v>14478.75</v>
      </c>
      <c r="Q5258" s="7"/>
      <c r="R5258" s="1"/>
      <c r="S5258" s="1" t="str">
        <f>"2022-266"</f>
        <v>2022-266</v>
      </c>
      <c r="T5258" s="1" t="s">
        <v>55</v>
      </c>
    </row>
    <row r="5259" spans="1:20" ht="51" x14ac:dyDescent="0.25">
      <c r="A5259" s="6">
        <v>5238</v>
      </c>
      <c r="B5259" s="1" t="str">
        <f>"2021-437"</f>
        <v>2021-437</v>
      </c>
      <c r="C5259" s="1" t="s">
        <v>2795</v>
      </c>
      <c r="D5259" s="1" t="s">
        <v>1621</v>
      </c>
      <c r="E5259" s="1" t="str">
        <f>""</f>
        <v/>
      </c>
      <c r="F5259" s="1" t="s">
        <v>1860</v>
      </c>
      <c r="G5259" s="1" t="str">
        <f>CONCATENATE("COMLAND D.O.O.,"," BREZOVIČKA CESTA 21,"," 10020 ZAGREB,"," OIB: 96293861644")</f>
        <v>COMLAND D.O.O., BREZOVIČKA CESTA 21, 10020 ZAGREB, OIB: 96293861644</v>
      </c>
      <c r="H5259" s="7"/>
      <c r="I5259" s="8" t="s">
        <v>1118</v>
      </c>
      <c r="J5259" s="7"/>
      <c r="K5259" s="6" t="str">
        <f>"17.600,00"</f>
        <v>17.600,00</v>
      </c>
      <c r="L5259" s="6" t="str">
        <f>"4.400,00"</f>
        <v>4.400,00</v>
      </c>
      <c r="M5259" s="6" t="str">
        <f>"22.000,00"</f>
        <v>22.000,00</v>
      </c>
      <c r="N5259" s="8" t="s">
        <v>1139</v>
      </c>
      <c r="O5259" s="7"/>
      <c r="P5259" s="2">
        <v>22000</v>
      </c>
      <c r="Q5259" s="7"/>
      <c r="R5259" s="1"/>
      <c r="S5259" s="1" t="str">
        <f>"2022-267"</f>
        <v>2022-267</v>
      </c>
      <c r="T5259" s="1" t="s">
        <v>55</v>
      </c>
    </row>
    <row r="5260" spans="1:20" ht="51" x14ac:dyDescent="0.25">
      <c r="A5260" s="6">
        <v>5239</v>
      </c>
      <c r="B5260" s="1" t="str">
        <f>"2021-14"</f>
        <v>2021-14</v>
      </c>
      <c r="C5260" s="1" t="s">
        <v>3340</v>
      </c>
      <c r="D5260" s="1" t="s">
        <v>973</v>
      </c>
      <c r="E5260" s="1" t="str">
        <f>""</f>
        <v/>
      </c>
      <c r="F5260" s="1" t="s">
        <v>1860</v>
      </c>
      <c r="G5260" s="1" t="str">
        <f>CONCATENATE("SOKOL D.O.O.,"," TRG REPUBLIKE HRVATSKE 8/II,"," 10000 ZAGREB,"," OIB: 82812328597")</f>
        <v>SOKOL D.O.O., TRG REPUBLIKE HRVATSKE 8/II, 10000 ZAGREB, OIB: 82812328597</v>
      </c>
      <c r="H5260" s="7"/>
      <c r="I5260" s="8" t="s">
        <v>1118</v>
      </c>
      <c r="J5260" s="7"/>
      <c r="K5260" s="6" t="str">
        <f>"37.992,36"</f>
        <v>37.992,36</v>
      </c>
      <c r="L5260" s="6" t="str">
        <f>"3.063,90"</f>
        <v>3.063,90</v>
      </c>
      <c r="M5260" s="6" t="str">
        <f>"41.056,26"</f>
        <v>41.056,26</v>
      </c>
      <c r="N5260" s="8" t="s">
        <v>163</v>
      </c>
      <c r="O5260" s="7"/>
      <c r="P5260" s="2">
        <v>15319.5</v>
      </c>
      <c r="Q5260" s="7"/>
      <c r="R5260" s="1"/>
      <c r="S5260" s="1" t="str">
        <f>"2022-269"</f>
        <v>2022-269</v>
      </c>
      <c r="T5260" s="1" t="s">
        <v>43</v>
      </c>
    </row>
    <row r="5261" spans="1:20" ht="51" x14ac:dyDescent="0.25">
      <c r="A5261" s="6">
        <v>5240</v>
      </c>
      <c r="B5261" s="1" t="str">
        <f>"2021-576"</f>
        <v>2021-576</v>
      </c>
      <c r="C5261" s="1" t="s">
        <v>2561</v>
      </c>
      <c r="D5261" s="1" t="s">
        <v>2156</v>
      </c>
      <c r="E5261" s="1" t="str">
        <f>""</f>
        <v/>
      </c>
      <c r="F5261" s="1" t="s">
        <v>1860</v>
      </c>
      <c r="G5261" s="1" t="str">
        <f>CONCATENATE("INFOART D.O.O.,"," LASTOVSKA 23,"," 10000 ZAGREB,"," OIB: 88255578438")</f>
        <v>INFOART D.O.O., LASTOVSKA 23, 10000 ZAGREB, OIB: 88255578438</v>
      </c>
      <c r="H5261" s="7"/>
      <c r="I5261" s="8" t="s">
        <v>663</v>
      </c>
      <c r="J5261" s="7"/>
      <c r="K5261" s="6" t="str">
        <f>"67.000,00"</f>
        <v>67.000,00</v>
      </c>
      <c r="L5261" s="6" t="str">
        <f>"16.750,00"</f>
        <v>16.750,00</v>
      </c>
      <c r="M5261" s="6" t="str">
        <f>"83.750,00"</f>
        <v>83.750,00</v>
      </c>
      <c r="N5261" s="8" t="s">
        <v>598</v>
      </c>
      <c r="O5261" s="7"/>
      <c r="P5261" s="2">
        <v>83750</v>
      </c>
      <c r="Q5261" s="7"/>
      <c r="R5261" s="1"/>
      <c r="S5261" s="1" t="str">
        <f>"2022-274"</f>
        <v>2022-274</v>
      </c>
      <c r="T5261" s="1" t="s">
        <v>55</v>
      </c>
    </row>
    <row r="5262" spans="1:20" ht="63.75" x14ac:dyDescent="0.25">
      <c r="A5262" s="6">
        <v>5241</v>
      </c>
      <c r="B5262" s="1" t="str">
        <f>"2021-1073"</f>
        <v>2021-1073</v>
      </c>
      <c r="C5262" s="1" t="s">
        <v>2819</v>
      </c>
      <c r="D5262" s="1" t="s">
        <v>3341</v>
      </c>
      <c r="E5262" s="1" t="str">
        <f>""</f>
        <v/>
      </c>
      <c r="F5262" s="1" t="s">
        <v>1860</v>
      </c>
      <c r="G5262" s="1" t="str">
        <f>CONCATENATE("GUTEL,"," VL. DAMIR GUŽVINEC,"," ANTE TOPIĆ MIMARE 7,"," 10090 ZAGREB-SUSEDGRAD,"," OIB: 63743810909")</f>
        <v>GUTEL, VL. DAMIR GUŽVINEC, ANTE TOPIĆ MIMARE 7, 10090 ZAGREB-SUSEDGRAD, OIB: 63743810909</v>
      </c>
      <c r="H5262" s="7"/>
      <c r="I5262" s="8" t="s">
        <v>2310</v>
      </c>
      <c r="J5262" s="7"/>
      <c r="K5262" s="6" t="str">
        <f>"2.230,50"</f>
        <v>2.230,50</v>
      </c>
      <c r="L5262" s="6" t="str">
        <f>"0,00"</f>
        <v>0,00</v>
      </c>
      <c r="M5262" s="6" t="str">
        <f>"2.230,50"</f>
        <v>2.230,50</v>
      </c>
      <c r="N5262" s="8" t="s">
        <v>124</v>
      </c>
      <c r="O5262" s="7"/>
      <c r="P5262" s="2">
        <v>0</v>
      </c>
      <c r="Q5262" s="7"/>
      <c r="R5262" s="1"/>
      <c r="S5262" s="1" t="str">
        <f>"2022-280"</f>
        <v>2022-280</v>
      </c>
      <c r="T5262" s="1" t="s">
        <v>86</v>
      </c>
    </row>
    <row r="5263" spans="1:20" ht="63.75" x14ac:dyDescent="0.25">
      <c r="A5263" s="6">
        <v>5242</v>
      </c>
      <c r="B5263" s="1" t="str">
        <f>"2021-1983"</f>
        <v>2021-1983</v>
      </c>
      <c r="C5263" s="1" t="s">
        <v>3342</v>
      </c>
      <c r="D5263" s="1" t="s">
        <v>1642</v>
      </c>
      <c r="E5263" s="1" t="str">
        <f>""</f>
        <v/>
      </c>
      <c r="F5263" s="1" t="s">
        <v>1860</v>
      </c>
      <c r="G5263" s="1" t="str">
        <f>CONCATENATE("M.V.M. ZVON D.O.O.,"," TOPNIČKA 4,"," 10000 ZAGREB,"," OIB: 34963795933")</f>
        <v>M.V.M. ZVON D.O.O., TOPNIČKA 4, 10000 ZAGREB, OIB: 34963795933</v>
      </c>
      <c r="H5263" s="7"/>
      <c r="I5263" s="8" t="s">
        <v>1139</v>
      </c>
      <c r="J5263" s="7"/>
      <c r="K5263" s="6" t="str">
        <f>"72.625,00"</f>
        <v>72.625,00</v>
      </c>
      <c r="L5263" s="6" t="str">
        <f>"18.156,25"</f>
        <v>18.156,25</v>
      </c>
      <c r="M5263" s="6" t="str">
        <f>"90.781,25"</f>
        <v>90.781,25</v>
      </c>
      <c r="N5263" s="8" t="s">
        <v>124</v>
      </c>
      <c r="O5263" s="7"/>
      <c r="P5263" s="2">
        <v>90781.25</v>
      </c>
      <c r="Q5263" s="7"/>
      <c r="R5263" s="1"/>
      <c r="S5263" s="1" t="str">
        <f>"2022-391"</f>
        <v>2022-391</v>
      </c>
      <c r="T5263" s="1" t="s">
        <v>55</v>
      </c>
    </row>
    <row r="5264" spans="1:20" ht="63.75" x14ac:dyDescent="0.25">
      <c r="A5264" s="6">
        <v>5243</v>
      </c>
      <c r="B5264" s="1" t="str">
        <f>"2021-690"</f>
        <v>2021-690</v>
      </c>
      <c r="C5264" s="1" t="s">
        <v>3319</v>
      </c>
      <c r="D5264" s="1" t="s">
        <v>3320</v>
      </c>
      <c r="E5264" s="1" t="str">
        <f>""</f>
        <v/>
      </c>
      <c r="F5264" s="1" t="s">
        <v>1860</v>
      </c>
      <c r="G5264" s="1" t="str">
        <f>CONCATENATE("PELMEN D.O.O.,"," GARIĆGRADSKA 14,"," 10000 ZAGREB,"," OIB: 29980501016")</f>
        <v>PELMEN D.O.O., GARIĆGRADSKA 14, 10000 ZAGREB, OIB: 29980501016</v>
      </c>
      <c r="H5264" s="7"/>
      <c r="I5264" s="8" t="s">
        <v>1139</v>
      </c>
      <c r="J5264" s="7"/>
      <c r="K5264" s="6" t="str">
        <f>"68.773,14"</f>
        <v>68.773,14</v>
      </c>
      <c r="L5264" s="6" t="str">
        <f>"15.931,74"</f>
        <v>15.931,74</v>
      </c>
      <c r="M5264" s="6" t="str">
        <f>"84.704,88"</f>
        <v>84.704,88</v>
      </c>
      <c r="N5264" s="8" t="s">
        <v>523</v>
      </c>
      <c r="O5264" s="7"/>
      <c r="P5264" s="2">
        <v>79658.679999999993</v>
      </c>
      <c r="Q5264" s="7"/>
      <c r="R5264" s="1"/>
      <c r="S5264" s="1" t="str">
        <f>"2022-393"</f>
        <v>2022-393</v>
      </c>
      <c r="T5264" s="1" t="s">
        <v>55</v>
      </c>
    </row>
    <row r="5265" spans="1:20" ht="51" x14ac:dyDescent="0.25">
      <c r="A5265" s="6">
        <v>5244</v>
      </c>
      <c r="B5265" s="1" t="str">
        <f>"2021-581"</f>
        <v>2021-581</v>
      </c>
      <c r="C5265" s="1" t="s">
        <v>3343</v>
      </c>
      <c r="D5265" s="1" t="s">
        <v>854</v>
      </c>
      <c r="E5265" s="1" t="str">
        <f>""</f>
        <v/>
      </c>
      <c r="F5265" s="1" t="s">
        <v>1860</v>
      </c>
      <c r="G5265" s="1" t="str">
        <f>CONCATENATE("NARODNE NOVINE D.D.,"," SAVSKI GAJ XIII. PUT br. 6,"," 10000 ZAGREB,"," OIB: 64546066176")</f>
        <v>NARODNE NOVINE D.D., SAVSKI GAJ XIII. PUT br. 6, 10000 ZAGREB, OIB: 64546066176</v>
      </c>
      <c r="H5265" s="7"/>
      <c r="I5265" s="8" t="s">
        <v>757</v>
      </c>
      <c r="J5265" s="7"/>
      <c r="K5265" s="6" t="str">
        <f>"44.375,00"</f>
        <v>44.375,00</v>
      </c>
      <c r="L5265" s="6" t="str">
        <f>"11.093,75"</f>
        <v>11.093,75</v>
      </c>
      <c r="M5265" s="6" t="str">
        <f>"55.468,75"</f>
        <v>55.468,75</v>
      </c>
      <c r="N5265" s="8" t="s">
        <v>253</v>
      </c>
      <c r="O5265" s="7"/>
      <c r="P5265" s="2">
        <v>55468.75</v>
      </c>
      <c r="Q5265" s="7"/>
      <c r="R5265" s="1"/>
      <c r="S5265" s="1" t="str">
        <f>"2022-429"</f>
        <v>2022-429</v>
      </c>
      <c r="T5265" s="1" t="s">
        <v>55</v>
      </c>
    </row>
    <row r="5266" spans="1:20" ht="63.75" x14ac:dyDescent="0.25">
      <c r="A5266" s="6">
        <v>5245</v>
      </c>
      <c r="B5266" s="1" t="str">
        <f>"2021-693"</f>
        <v>2021-693</v>
      </c>
      <c r="C5266" s="1" t="s">
        <v>2898</v>
      </c>
      <c r="D5266" s="1" t="s">
        <v>2899</v>
      </c>
      <c r="E5266" s="1" t="str">
        <f>""</f>
        <v/>
      </c>
      <c r="F5266" s="1" t="s">
        <v>1860</v>
      </c>
      <c r="G5266" s="1" t="str">
        <f>CONCATENATE("ELEKTRO-KOMUNIKACIJE D.O.O.,"," 14. PODBREŽJE 4,"," 10000 ZAGREB,"," OIB: 76412373309")</f>
        <v>ELEKTRO-KOMUNIKACIJE D.O.O., 14. PODBREŽJE 4, 10000 ZAGREB, OIB: 76412373309</v>
      </c>
      <c r="H5266" s="7"/>
      <c r="I5266" s="8" t="s">
        <v>1240</v>
      </c>
      <c r="J5266" s="7"/>
      <c r="K5266" s="6" t="str">
        <f>"168.240,00"</f>
        <v>168.240,00</v>
      </c>
      <c r="L5266" s="6" t="str">
        <f>"42.060,00"</f>
        <v>42.060,00</v>
      </c>
      <c r="M5266" s="6" t="str">
        <f>"210.300,00"</f>
        <v>210.300,00</v>
      </c>
      <c r="N5266" s="8" t="s">
        <v>124</v>
      </c>
      <c r="O5266" s="7"/>
      <c r="P5266" s="2">
        <v>210300</v>
      </c>
      <c r="Q5266" s="7"/>
      <c r="R5266" s="1"/>
      <c r="S5266" s="1" t="str">
        <f>"2022-449"</f>
        <v>2022-449</v>
      </c>
      <c r="T5266" s="1" t="s">
        <v>55</v>
      </c>
    </row>
    <row r="5267" spans="1:20" ht="63.75" x14ac:dyDescent="0.25">
      <c r="A5267" s="6">
        <v>5246</v>
      </c>
      <c r="B5267" s="1" t="str">
        <f>"2021-2120"</f>
        <v>2021-2120</v>
      </c>
      <c r="C5267" s="1" t="s">
        <v>3344</v>
      </c>
      <c r="D5267" s="1" t="s">
        <v>3326</v>
      </c>
      <c r="E5267" s="1" t="str">
        <f>""</f>
        <v/>
      </c>
      <c r="F5267" s="1" t="s">
        <v>1860</v>
      </c>
      <c r="G5267" s="1" t="str">
        <f>CONCATENATE("PROJEKTNI URED MI2A D.O.O.,"," ULICA OTONA IVEKOVIĆA 25,"," 10 360 ZAGREB,"," OIB: 038974508")</f>
        <v>PROJEKTNI URED MI2A D.O.O., ULICA OTONA IVEKOVIĆA 25, 10 360 ZAGREB, OIB: 038974508</v>
      </c>
      <c r="H5267" s="7"/>
      <c r="I5267" s="8" t="s">
        <v>775</v>
      </c>
      <c r="J5267" s="7"/>
      <c r="K5267" s="6" t="str">
        <f>"58.800,00"</f>
        <v>58.800,00</v>
      </c>
      <c r="L5267" s="6" t="str">
        <f>"0,00"</f>
        <v>0,00</v>
      </c>
      <c r="M5267" s="6" t="str">
        <f>"58.800,00"</f>
        <v>58.800,00</v>
      </c>
      <c r="N5267" s="8" t="s">
        <v>509</v>
      </c>
      <c r="O5267" s="7"/>
      <c r="P5267" s="2">
        <v>8820</v>
      </c>
      <c r="Q5267" s="7"/>
      <c r="R5267" s="1"/>
      <c r="S5267" s="1" t="str">
        <f>"2022-672"</f>
        <v>2022-672</v>
      </c>
      <c r="T5267" s="1" t="s">
        <v>55</v>
      </c>
    </row>
    <row r="5268" spans="1:20" ht="63.75" x14ac:dyDescent="0.25">
      <c r="A5268" s="6">
        <v>5247</v>
      </c>
      <c r="B5268" s="1" t="str">
        <f>"2021-2031"</f>
        <v>2021-2031</v>
      </c>
      <c r="C5268" s="1" t="s">
        <v>3345</v>
      </c>
      <c r="D5268" s="1" t="s">
        <v>486</v>
      </c>
      <c r="E5268" s="1" t="str">
        <f>""</f>
        <v/>
      </c>
      <c r="F5268" s="1" t="s">
        <v>1860</v>
      </c>
      <c r="G5268" s="1" t="str">
        <f>CONCATENATE("HIDRO GRAD D.O.O.,"," GUSTAVA KRKLECA,"," RAKITJE 6,"," 10437 BESTOVJE,"," OIB: 49528301725")</f>
        <v>HIDRO GRAD D.O.O., GUSTAVA KRKLECA, RAKITJE 6, 10437 BESTOVJE, OIB: 49528301725</v>
      </c>
      <c r="H5268" s="7"/>
      <c r="I5268" s="8" t="s">
        <v>698</v>
      </c>
      <c r="J5268" s="7"/>
      <c r="K5268" s="6" t="str">
        <f>"117.770,00"</f>
        <v>117.770,00</v>
      </c>
      <c r="L5268" s="6" t="str">
        <f>"0,00"</f>
        <v>0,00</v>
      </c>
      <c r="M5268" s="6" t="str">
        <f>"117.770,00"</f>
        <v>117.770,00</v>
      </c>
      <c r="N5268" s="8" t="s">
        <v>124</v>
      </c>
      <c r="O5268" s="7"/>
      <c r="P5268" s="2">
        <v>99584.77</v>
      </c>
      <c r="Q5268" s="7"/>
      <c r="R5268" s="1"/>
      <c r="S5268" s="1" t="str">
        <f>"2022-872"</f>
        <v>2022-872</v>
      </c>
      <c r="T5268" s="1" t="s">
        <v>55</v>
      </c>
    </row>
    <row r="5269" spans="1:20" ht="63.75" x14ac:dyDescent="0.25">
      <c r="A5269" s="6">
        <v>5248</v>
      </c>
      <c r="B5269" s="1" t="str">
        <f>"2022-909"</f>
        <v>2022-909</v>
      </c>
      <c r="C5269" s="1" t="s">
        <v>2718</v>
      </c>
      <c r="D5269" s="1" t="s">
        <v>1102</v>
      </c>
      <c r="E5269" s="1" t="str">
        <f>""</f>
        <v/>
      </c>
      <c r="F5269" s="1" t="s">
        <v>1860</v>
      </c>
      <c r="G5269" s="1" t="str">
        <f>CONCATENATE("ADEO d.o.o. Osijek,"," ULICA KRALJA TOMISLAVA 81,"," 31327 BILJE,"," OIB: 6242811405")</f>
        <v>ADEO d.o.o. Osijek, ULICA KRALJA TOMISLAVA 81, 31327 BILJE, OIB: 6242811405</v>
      </c>
      <c r="H5269" s="7"/>
      <c r="I5269" s="8" t="s">
        <v>219</v>
      </c>
      <c r="J5269" s="7"/>
      <c r="K5269" s="6" t="str">
        <f>"62.810,00"</f>
        <v>62.810,00</v>
      </c>
      <c r="L5269" s="6" t="str">
        <f>"15.702,50"</f>
        <v>15.702,50</v>
      </c>
      <c r="M5269" s="6" t="str">
        <f>"78.512,50"</f>
        <v>78.512,50</v>
      </c>
      <c r="N5269" s="8" t="s">
        <v>480</v>
      </c>
      <c r="O5269" s="7"/>
      <c r="P5269" s="2">
        <v>78512.5</v>
      </c>
      <c r="Q5269" s="7"/>
      <c r="R5269" s="1"/>
      <c r="S5269" s="1" t="str">
        <f>"2022-1265"</f>
        <v>2022-1265</v>
      </c>
      <c r="T5269" s="1" t="s">
        <v>55</v>
      </c>
    </row>
    <row r="5270" spans="1:20" ht="51" x14ac:dyDescent="0.25">
      <c r="A5270" s="6">
        <v>5249</v>
      </c>
      <c r="B5270" s="1" t="str">
        <f>"2022-70"</f>
        <v>2022-70</v>
      </c>
      <c r="C5270" s="1" t="s">
        <v>3346</v>
      </c>
      <c r="D5270" s="1" t="s">
        <v>3347</v>
      </c>
      <c r="E5270" s="1" t="str">
        <f>""</f>
        <v/>
      </c>
      <c r="F5270" s="1" t="s">
        <v>1860</v>
      </c>
      <c r="G5270" s="1" t="str">
        <f>CONCATENATE("KING ICT D.O.O.,"," BUZINSKI PRILAZ 10,"," 10010 ZAGREB,"," OIB: 67001695549")</f>
        <v>KING ICT D.O.O., BUZINSKI PRILAZ 10, 10010 ZAGREB, OIB: 67001695549</v>
      </c>
      <c r="H5270" s="7"/>
      <c r="I5270" s="8" t="s">
        <v>219</v>
      </c>
      <c r="J5270" s="7"/>
      <c r="K5270" s="6" t="str">
        <f>"189.000,00"</f>
        <v>189.000,00</v>
      </c>
      <c r="L5270" s="6" t="str">
        <f>"47.250,00"</f>
        <v>47.250,00</v>
      </c>
      <c r="M5270" s="6" t="str">
        <f>"236.250,00"</f>
        <v>236.250,00</v>
      </c>
      <c r="N5270" s="8" t="s">
        <v>625</v>
      </c>
      <c r="O5270" s="7"/>
      <c r="P5270" s="2">
        <v>236250</v>
      </c>
      <c r="Q5270" s="7"/>
      <c r="R5270" s="1"/>
      <c r="S5270" s="1" t="str">
        <f>"2022-1272"</f>
        <v>2022-1272</v>
      </c>
      <c r="T5270" s="1" t="s">
        <v>55</v>
      </c>
    </row>
    <row r="5271" spans="1:20" ht="51" x14ac:dyDescent="0.25">
      <c r="A5271" s="6">
        <v>5250</v>
      </c>
      <c r="B5271" s="1" t="str">
        <f>"2022-1467"</f>
        <v>2022-1467</v>
      </c>
      <c r="C5271" s="1" t="s">
        <v>3348</v>
      </c>
      <c r="D5271" s="1" t="s">
        <v>1783</v>
      </c>
      <c r="E5271" s="1" t="str">
        <f>""</f>
        <v/>
      </c>
      <c r="F5271" s="1" t="s">
        <v>1860</v>
      </c>
      <c r="G5271" s="1" t="str">
        <f>CONCATENATE("VODOSKOK D.D.,"," ČULINEČKA CESTA 221/C,"," 10040 ZAGREB,"," OIB: 34134218058")</f>
        <v>VODOSKOK D.D., ČULINEČKA CESTA 221/C, 10040 ZAGREB, OIB: 34134218058</v>
      </c>
      <c r="H5271" s="7"/>
      <c r="I5271" s="8" t="s">
        <v>768</v>
      </c>
      <c r="J5271" s="7"/>
      <c r="K5271" s="6" t="str">
        <f>"169.899,00"</f>
        <v>169.899,00</v>
      </c>
      <c r="L5271" s="6" t="str">
        <f>"42.474,75"</f>
        <v>42.474,75</v>
      </c>
      <c r="M5271" s="6" t="str">
        <f>"212.373,75"</f>
        <v>212.373,75</v>
      </c>
      <c r="N5271" s="8" t="s">
        <v>291</v>
      </c>
      <c r="O5271" s="7"/>
      <c r="P5271" s="2">
        <v>212373.75</v>
      </c>
      <c r="Q5271" s="7"/>
      <c r="R5271" s="1"/>
      <c r="S5271" s="1" t="str">
        <f>"2022-1417"</f>
        <v>2022-1417</v>
      </c>
      <c r="T5271" s="1" t="s">
        <v>55</v>
      </c>
    </row>
    <row r="5272" spans="1:20" ht="76.5" x14ac:dyDescent="0.25">
      <c r="A5272" s="6">
        <v>5251</v>
      </c>
      <c r="B5272" s="1" t="str">
        <f>"2022-1477"</f>
        <v>2022-1477</v>
      </c>
      <c r="C5272" s="1" t="s">
        <v>3349</v>
      </c>
      <c r="D5272" s="1" t="s">
        <v>3350</v>
      </c>
      <c r="E5272" s="1" t="str">
        <f>""</f>
        <v/>
      </c>
      <c r="F5272" s="1" t="s">
        <v>1860</v>
      </c>
      <c r="G5272" s="1" t="str">
        <f>CONCATENATE("SMIT-COMMERCE D.O.O.,"," GORNJOSTUPNIČKA 9B,"," 10255 GORNJI STUPNIK,"," OIB: 9524348214")</f>
        <v>SMIT-COMMERCE D.O.O., GORNJOSTUPNIČKA 9B, 10255 GORNJI STUPNIK, OIB: 9524348214</v>
      </c>
      <c r="H5272" s="7"/>
      <c r="I5272" s="8" t="s">
        <v>90</v>
      </c>
      <c r="J5272" s="7"/>
      <c r="K5272" s="6" t="str">
        <f>"141.493,86"</f>
        <v>141.493,86</v>
      </c>
      <c r="L5272" s="6" t="str">
        <f>"35.732,65"</f>
        <v>35.732,65</v>
      </c>
      <c r="M5272" s="6" t="str">
        <f>"177.226,51"</f>
        <v>177.226,51</v>
      </c>
      <c r="N5272" s="8" t="s">
        <v>273</v>
      </c>
      <c r="O5272" s="7"/>
      <c r="P5272" s="2">
        <v>178663.21</v>
      </c>
      <c r="Q5272" s="1"/>
      <c r="R5272" s="1"/>
      <c r="S5272" s="1" t="str">
        <f>"2022-1434"</f>
        <v>2022-1434</v>
      </c>
      <c r="T5272" s="1" t="s">
        <v>55</v>
      </c>
    </row>
    <row r="5273" spans="1:20" ht="76.5" x14ac:dyDescent="0.25">
      <c r="A5273" s="6">
        <v>5252</v>
      </c>
      <c r="B5273" s="1" t="str">
        <f>"2022-1480"</f>
        <v>2022-1480</v>
      </c>
      <c r="C5273" s="1" t="s">
        <v>3351</v>
      </c>
      <c r="D5273" s="1" t="s">
        <v>3352</v>
      </c>
      <c r="E5273" s="1" t="str">
        <f>""</f>
        <v/>
      </c>
      <c r="F5273" s="1" t="s">
        <v>1860</v>
      </c>
      <c r="G5273" s="1" t="str">
        <f>CONCATENATE("SMIT-COMMERCE D.O.O.,"," GORNJOSTUPNIČKA 9B,"," 10255 GORNJI STUPNIK,"," OIB: 9524348214")</f>
        <v>SMIT-COMMERCE D.O.O., GORNJOSTUPNIČKA 9B, 10255 GORNJI STUPNIK, OIB: 9524348214</v>
      </c>
      <c r="H5273" s="7"/>
      <c r="I5273" s="8" t="s">
        <v>752</v>
      </c>
      <c r="J5273" s="7"/>
      <c r="K5273" s="6" t="str">
        <f>"145.884,61"</f>
        <v>145.884,61</v>
      </c>
      <c r="L5273" s="6" t="str">
        <f>"36.207,39"</f>
        <v>36.207,39</v>
      </c>
      <c r="M5273" s="6" t="str">
        <f>"182.092,00"</f>
        <v>182.092,00</v>
      </c>
      <c r="N5273" s="8" t="s">
        <v>291</v>
      </c>
      <c r="O5273" s="7"/>
      <c r="P5273" s="2">
        <v>181036.92</v>
      </c>
      <c r="Q5273" s="7"/>
      <c r="R5273" s="1"/>
      <c r="S5273" s="1" t="str">
        <f>"2022-1441"</f>
        <v>2022-1441</v>
      </c>
      <c r="T5273" s="1" t="s">
        <v>55</v>
      </c>
    </row>
    <row r="5274" spans="1:20" ht="51" x14ac:dyDescent="0.25">
      <c r="A5274" s="6">
        <v>5253</v>
      </c>
      <c r="B5274" s="1" t="str">
        <f>"2022-1476"</f>
        <v>2022-1476</v>
      </c>
      <c r="C5274" s="1" t="s">
        <v>3353</v>
      </c>
      <c r="D5274" s="1" t="s">
        <v>545</v>
      </c>
      <c r="E5274" s="1" t="str">
        <f>""</f>
        <v/>
      </c>
      <c r="F5274" s="1" t="s">
        <v>1860</v>
      </c>
      <c r="G5274" s="1" t="str">
        <f>CONCATENATE("VODOSKOK D.D.,"," ČULINEČKA CESTA 221/C,"," 10040 ZAGREB,"," OIB: 34134218058")</f>
        <v>VODOSKOK D.D., ČULINEČKA CESTA 221/C, 10040 ZAGREB, OIB: 34134218058</v>
      </c>
      <c r="H5274" s="7"/>
      <c r="I5274" s="8" t="s">
        <v>831</v>
      </c>
      <c r="J5274" s="7"/>
      <c r="K5274" s="6" t="str">
        <f>"165.849,00"</f>
        <v>165.849,00</v>
      </c>
      <c r="L5274" s="6" t="str">
        <f>"36.502,50"</f>
        <v>36.502,50</v>
      </c>
      <c r="M5274" s="6" t="str">
        <f>"202.351,50"</f>
        <v>202.351,50</v>
      </c>
      <c r="N5274" s="8" t="s">
        <v>895</v>
      </c>
      <c r="O5274" s="7"/>
      <c r="P5274" s="2">
        <v>182512.5</v>
      </c>
      <c r="Q5274" s="7"/>
      <c r="R5274" s="1"/>
      <c r="S5274" s="1" t="str">
        <f>"2022-1485"</f>
        <v>2022-1485</v>
      </c>
      <c r="T5274" s="1" t="s">
        <v>55</v>
      </c>
    </row>
    <row r="5275" spans="1:20" ht="51" x14ac:dyDescent="0.25">
      <c r="A5275" s="6">
        <v>5254</v>
      </c>
      <c r="B5275" s="1" t="str">
        <f>"2022-1469"</f>
        <v>2022-1469</v>
      </c>
      <c r="C5275" s="1" t="s">
        <v>3354</v>
      </c>
      <c r="D5275" s="1" t="s">
        <v>1810</v>
      </c>
      <c r="E5275" s="1" t="str">
        <f>""</f>
        <v/>
      </c>
      <c r="F5275" s="1" t="s">
        <v>1860</v>
      </c>
      <c r="G5275" s="1" t="str">
        <f>CONCATENATE("VODOSKOK D.D.,"," ČULINEČKA CESTA 221/C,"," 10040 ZAGREB,"," OIB: 34134218058")</f>
        <v>VODOSKOK D.D., ČULINEČKA CESTA 221/C, 10040 ZAGREB, OIB: 34134218058</v>
      </c>
      <c r="H5275" s="7"/>
      <c r="I5275" s="8" t="s">
        <v>421</v>
      </c>
      <c r="J5275" s="7"/>
      <c r="K5275" s="6" t="str">
        <f>"198.906,00"</f>
        <v>198.906,00</v>
      </c>
      <c r="L5275" s="6" t="str">
        <f>"49.726,50"</f>
        <v>49.726,50</v>
      </c>
      <c r="M5275" s="6" t="str">
        <f>"248.632,50"</f>
        <v>248.632,50</v>
      </c>
      <c r="N5275" s="8" t="s">
        <v>424</v>
      </c>
      <c r="O5275" s="7"/>
      <c r="P5275" s="2">
        <v>248632.5</v>
      </c>
      <c r="Q5275" s="7"/>
      <c r="R5275" s="1"/>
      <c r="S5275" s="1" t="str">
        <f>"2022-1544"</f>
        <v>2022-1544</v>
      </c>
      <c r="T5275" s="1" t="s">
        <v>55</v>
      </c>
    </row>
    <row r="5276" spans="1:20" ht="51" x14ac:dyDescent="0.25">
      <c r="A5276" s="6">
        <v>5255</v>
      </c>
      <c r="B5276" s="1" t="str">
        <f>"2022-59"</f>
        <v>2022-59</v>
      </c>
      <c r="C5276" s="1" t="s">
        <v>2547</v>
      </c>
      <c r="D5276" s="1" t="s">
        <v>78</v>
      </c>
      <c r="E5276" s="1" t="str">
        <f>""</f>
        <v/>
      </c>
      <c r="F5276" s="1" t="s">
        <v>1860</v>
      </c>
      <c r="G5276" s="1" t="str">
        <f>CONCATENATE("BARREK D.O.O.,"," HORVATI,"," PREVENDARI 16,"," 10000 ZAGREB,"," OIB: 01726613039")</f>
        <v>BARREK D.O.O., HORVATI, PREVENDARI 16, 10000 ZAGREB, OIB: 01726613039</v>
      </c>
      <c r="H5276" s="7"/>
      <c r="I5276" s="8" t="s">
        <v>748</v>
      </c>
      <c r="J5276" s="7"/>
      <c r="K5276" s="6" t="str">
        <f>"115.800,00"</f>
        <v>115.800,00</v>
      </c>
      <c r="L5276" s="6" t="str">
        <f>"12.062,50"</f>
        <v>12.062,50</v>
      </c>
      <c r="M5276" s="6" t="str">
        <f>"127.862,50"</f>
        <v>127.862,50</v>
      </c>
      <c r="N5276" s="8" t="s">
        <v>489</v>
      </c>
      <c r="O5276" s="7"/>
      <c r="P5276" s="2">
        <v>60312.5</v>
      </c>
      <c r="Q5276" s="7"/>
      <c r="R5276" s="1"/>
      <c r="S5276" s="1" t="str">
        <f>"2022-1650"</f>
        <v>2022-1650</v>
      </c>
      <c r="T5276" s="1" t="s">
        <v>43</v>
      </c>
    </row>
    <row r="5277" spans="1:20" ht="51" x14ac:dyDescent="0.25">
      <c r="A5277" s="6">
        <v>5256</v>
      </c>
      <c r="B5277" s="1" t="str">
        <f>"2022-1483"</f>
        <v>2022-1483</v>
      </c>
      <c r="C5277" s="1" t="s">
        <v>3355</v>
      </c>
      <c r="D5277" s="1" t="s">
        <v>1381</v>
      </c>
      <c r="E5277" s="1" t="str">
        <f>""</f>
        <v/>
      </c>
      <c r="F5277" s="1" t="s">
        <v>1860</v>
      </c>
      <c r="G5277" s="1" t="str">
        <f>CONCATENATE("IKOM D.O.O.,"," KOVINSKA 7,"," 10090 ZAGREB-SUSEDGRAD,"," OIB: 86247075815")</f>
        <v>IKOM D.O.O., KOVINSKA 7, 10090 ZAGREB-SUSEDGRAD, OIB: 86247075815</v>
      </c>
      <c r="H5277" s="7"/>
      <c r="I5277" s="8" t="s">
        <v>163</v>
      </c>
      <c r="J5277" s="7"/>
      <c r="K5277" s="6" t="str">
        <f>"197.505,00"</f>
        <v>197.505,00</v>
      </c>
      <c r="L5277" s="6" t="str">
        <f>"49.376,25"</f>
        <v>49.376,25</v>
      </c>
      <c r="M5277" s="6" t="str">
        <f>"246.881,25"</f>
        <v>246.881,25</v>
      </c>
      <c r="N5277" s="8" t="s">
        <v>257</v>
      </c>
      <c r="O5277" s="7"/>
      <c r="P5277" s="2">
        <v>246881.25</v>
      </c>
      <c r="Q5277" s="7"/>
      <c r="R5277" s="1"/>
      <c r="S5277" s="1" t="str">
        <f>"2022-1684"</f>
        <v>2022-1684</v>
      </c>
      <c r="T5277" s="1" t="s">
        <v>55</v>
      </c>
    </row>
    <row r="5278" spans="1:20" ht="51" x14ac:dyDescent="0.25">
      <c r="A5278" s="6">
        <v>5257</v>
      </c>
      <c r="B5278" s="1" t="str">
        <f>"2022-798"</f>
        <v>2022-798</v>
      </c>
      <c r="C5278" s="1" t="s">
        <v>2858</v>
      </c>
      <c r="D5278" s="1" t="s">
        <v>1863</v>
      </c>
      <c r="E5278" s="1" t="str">
        <f>""</f>
        <v/>
      </c>
      <c r="F5278" s="1" t="s">
        <v>1860</v>
      </c>
      <c r="G5278" s="1" t="str">
        <f>CONCATENATE("LEO GRAD D.O.O.,"," ZELINSKA 8,"," 10360 LUŽAN,"," OIB: 85068601099")</f>
        <v>LEO GRAD D.O.O., ZELINSKA 8, 10360 LUŽAN, OIB: 85068601099</v>
      </c>
      <c r="H5278" s="7"/>
      <c r="I5278" s="8" t="s">
        <v>127</v>
      </c>
      <c r="J5278" s="7"/>
      <c r="K5278" s="6" t="str">
        <f>"2.000,00"</f>
        <v>2.000,00</v>
      </c>
      <c r="L5278" s="6" t="str">
        <f>"0,00"</f>
        <v>0,00</v>
      </c>
      <c r="M5278" s="6" t="str">
        <f>"2.000,00"</f>
        <v>2.000,00</v>
      </c>
      <c r="N5278" s="8" t="s">
        <v>124</v>
      </c>
      <c r="O5278" s="7"/>
      <c r="P5278" s="2">
        <v>0</v>
      </c>
      <c r="Q5278" s="7"/>
      <c r="R5278" s="1"/>
      <c r="S5278" s="1" t="str">
        <f>"2022-1766"</f>
        <v>2022-1766</v>
      </c>
      <c r="T5278" s="1" t="s">
        <v>86</v>
      </c>
    </row>
    <row r="5279" spans="1:20" ht="51" x14ac:dyDescent="0.25">
      <c r="A5279" s="6">
        <v>5258</v>
      </c>
      <c r="B5279" s="1" t="str">
        <f>"2022-1495"</f>
        <v>2022-1495</v>
      </c>
      <c r="C5279" s="1" t="s">
        <v>2458</v>
      </c>
      <c r="D5279" s="1" t="s">
        <v>267</v>
      </c>
      <c r="E5279" s="1" t="str">
        <f>""</f>
        <v/>
      </c>
      <c r="F5279" s="1" t="s">
        <v>1860</v>
      </c>
      <c r="G5279" s="1" t="str">
        <f>CONCATENATE("SIGET DIZALA D.O.O.,"," PREČKO 61,"," 10000 ZAGREB,"," OIB: 19841995263")</f>
        <v>SIGET DIZALA D.O.O., PREČKO 61, 10000 ZAGREB, OIB: 19841995263</v>
      </c>
      <c r="H5279" s="7"/>
      <c r="I5279" s="8" t="s">
        <v>127</v>
      </c>
      <c r="J5279" s="7"/>
      <c r="K5279" s="6" t="str">
        <f>"54.600,00"</f>
        <v>54.600,00</v>
      </c>
      <c r="L5279" s="6" t="str">
        <f>"0,00"</f>
        <v>0,00</v>
      </c>
      <c r="M5279" s="6" t="str">
        <f>"54.600,00"</f>
        <v>54.600,00</v>
      </c>
      <c r="N5279" s="8" t="s">
        <v>124</v>
      </c>
      <c r="O5279" s="7"/>
      <c r="P5279" s="2">
        <v>0</v>
      </c>
      <c r="Q5279" s="7"/>
      <c r="R5279" s="1"/>
      <c r="S5279" s="1" t="str">
        <f>"2022-1767"</f>
        <v>2022-1767</v>
      </c>
      <c r="T5279" s="1" t="s">
        <v>86</v>
      </c>
    </row>
    <row r="5280" spans="1:20" ht="63.75" x14ac:dyDescent="0.25">
      <c r="A5280" s="6">
        <v>5259</v>
      </c>
      <c r="B5280" s="1" t="str">
        <f>"2022-1495"</f>
        <v>2022-1495</v>
      </c>
      <c r="C5280" s="1" t="s">
        <v>2458</v>
      </c>
      <c r="D5280" s="1" t="s">
        <v>267</v>
      </c>
      <c r="E5280" s="1" t="str">
        <f>""</f>
        <v/>
      </c>
      <c r="F5280" s="1" t="s">
        <v>1860</v>
      </c>
      <c r="G5280" s="1" t="str">
        <f>CONCATENATE("TK ELEVATOR EASTERN EUROPE GMBH,"," FALLEROVO ŠETALIŠTE 22,"," 10000 ZAGREB,"," OIB: 94505281348")</f>
        <v>TK ELEVATOR EASTERN EUROPE GMBH, FALLEROVO ŠETALIŠTE 22, 10000 ZAGREB, OIB: 94505281348</v>
      </c>
      <c r="H5280" s="7"/>
      <c r="I5280" s="8" t="s">
        <v>127</v>
      </c>
      <c r="J5280" s="7"/>
      <c r="K5280" s="6" t="str">
        <f>"23.160,00"</f>
        <v>23.160,00</v>
      </c>
      <c r="L5280" s="6" t="str">
        <f>"0,00"</f>
        <v>0,00</v>
      </c>
      <c r="M5280" s="6" t="str">
        <f>"23.160,00"</f>
        <v>23.160,00</v>
      </c>
      <c r="N5280" s="8" t="s">
        <v>124</v>
      </c>
      <c r="O5280" s="7"/>
      <c r="P5280" s="2">
        <v>0</v>
      </c>
      <c r="Q5280" s="7"/>
      <c r="R5280" s="1"/>
      <c r="S5280" s="1" t="str">
        <f>"2022-1768"</f>
        <v>2022-1768</v>
      </c>
      <c r="T5280" s="1" t="s">
        <v>86</v>
      </c>
    </row>
    <row r="5281" spans="1:20" ht="51" x14ac:dyDescent="0.25">
      <c r="A5281" s="6">
        <v>5260</v>
      </c>
      <c r="B5281" s="1" t="str">
        <f>"2022-1495"</f>
        <v>2022-1495</v>
      </c>
      <c r="C5281" s="1" t="s">
        <v>2458</v>
      </c>
      <c r="D5281" s="1" t="s">
        <v>267</v>
      </c>
      <c r="E5281" s="1" t="str">
        <f>""</f>
        <v/>
      </c>
      <c r="F5281" s="1" t="s">
        <v>1860</v>
      </c>
      <c r="G5281" s="1" t="str">
        <f>CONCATENATE("LIFT ALARMI D.O.O.,"," NOVA CESTA 137A,"," 10000 ZAGREB,"," OIB: 1445997098")</f>
        <v>LIFT ALARMI D.O.O., NOVA CESTA 137A, 10000 ZAGREB, OIB: 1445997098</v>
      </c>
      <c r="H5281" s="7"/>
      <c r="I5281" s="8" t="s">
        <v>127</v>
      </c>
      <c r="J5281" s="7"/>
      <c r="K5281" s="6" t="str">
        <f>"21.960,00"</f>
        <v>21.960,00</v>
      </c>
      <c r="L5281" s="6" t="str">
        <f>"0,00"</f>
        <v>0,00</v>
      </c>
      <c r="M5281" s="6" t="str">
        <f>"21.960,00"</f>
        <v>21.960,00</v>
      </c>
      <c r="N5281" s="8" t="s">
        <v>124</v>
      </c>
      <c r="O5281" s="7"/>
      <c r="P5281" s="2">
        <v>0</v>
      </c>
      <c r="Q5281" s="7"/>
      <c r="R5281" s="1"/>
      <c r="S5281" s="1" t="str">
        <f>"2022-1772"</f>
        <v>2022-1772</v>
      </c>
      <c r="T5281" s="1" t="s">
        <v>86</v>
      </c>
    </row>
    <row r="5282" spans="1:20" ht="76.5" x14ac:dyDescent="0.25">
      <c r="A5282" s="6">
        <v>5261</v>
      </c>
      <c r="B5282" s="1" t="str">
        <f>"2022-1473"</f>
        <v>2022-1473</v>
      </c>
      <c r="C5282" s="1" t="s">
        <v>3356</v>
      </c>
      <c r="D5282" s="1" t="s">
        <v>1826</v>
      </c>
      <c r="E5282" s="1" t="str">
        <f>""</f>
        <v/>
      </c>
      <c r="F5282" s="1" t="s">
        <v>1860</v>
      </c>
      <c r="G5282" s="1" t="str">
        <f>CONCATENATE("FIDON D.O.O.,"," TRPINJSKA ULICA 5,"," 10000 ZAGREB,"," OIB: 61198189867")</f>
        <v>FIDON D.O.O., TRPINJSKA ULICA 5, 10000 ZAGREB, OIB: 61198189867</v>
      </c>
      <c r="H5282" s="7"/>
      <c r="I5282" s="8" t="s">
        <v>127</v>
      </c>
      <c r="J5282" s="7"/>
      <c r="K5282" s="6" t="str">
        <f>"27.000,00"</f>
        <v>27.000,00</v>
      </c>
      <c r="L5282" s="6" t="str">
        <f>"5.400,00"</f>
        <v>5.400,00</v>
      </c>
      <c r="M5282" s="6" t="str">
        <f>"32.400,00"</f>
        <v>32.400,00</v>
      </c>
      <c r="N5282" s="8" t="s">
        <v>124</v>
      </c>
      <c r="O5282" s="7"/>
      <c r="P5282" s="2">
        <v>27000</v>
      </c>
      <c r="Q5282" s="7"/>
      <c r="R5282" s="1"/>
      <c r="S5282" s="1" t="str">
        <f>"2022-1777"</f>
        <v>2022-1777</v>
      </c>
      <c r="T5282" s="1" t="s">
        <v>55</v>
      </c>
    </row>
    <row r="5283" spans="1:20" ht="51" x14ac:dyDescent="0.25">
      <c r="A5283" s="6">
        <v>5262</v>
      </c>
      <c r="B5283" s="1" t="str">
        <f>"2022-1501"</f>
        <v>2022-1501</v>
      </c>
      <c r="C5283" s="1" t="s">
        <v>3357</v>
      </c>
      <c r="D5283" s="1" t="s">
        <v>3358</v>
      </c>
      <c r="E5283" s="1" t="str">
        <f>""</f>
        <v/>
      </c>
      <c r="F5283" s="1" t="s">
        <v>1860</v>
      </c>
      <c r="G5283" s="1" t="str">
        <f>CONCATENATE("LEO GRAD D.O.O.,"," ZELINSKA 8,"," 10360 LUŽAN,"," OIB: 85068601099")</f>
        <v>LEO GRAD D.O.O., ZELINSKA 8, 10360 LUŽAN, OIB: 85068601099</v>
      </c>
      <c r="H5283" s="7"/>
      <c r="I5283" s="8" t="s">
        <v>127</v>
      </c>
      <c r="J5283" s="7"/>
      <c r="K5283" s="6" t="str">
        <f>"8.995,00"</f>
        <v>8.995,00</v>
      </c>
      <c r="L5283" s="6" t="str">
        <f>"0,00"</f>
        <v>0,00</v>
      </c>
      <c r="M5283" s="6" t="str">
        <f>"8.995,00"</f>
        <v>8.995,00</v>
      </c>
      <c r="N5283" s="8" t="s">
        <v>124</v>
      </c>
      <c r="O5283" s="7"/>
      <c r="P5283" s="2">
        <v>0</v>
      </c>
      <c r="Q5283" s="7"/>
      <c r="R5283" s="1"/>
      <c r="S5283" s="1" t="str">
        <f>"2022-1789"</f>
        <v>2022-1789</v>
      </c>
      <c r="T5283" s="1" t="s">
        <v>86</v>
      </c>
    </row>
    <row r="5284" spans="1:20" ht="51" x14ac:dyDescent="0.25">
      <c r="A5284" s="6">
        <v>5263</v>
      </c>
      <c r="B5284" s="1" t="str">
        <f>"2022-1481"</f>
        <v>2022-1481</v>
      </c>
      <c r="C5284" s="1" t="s">
        <v>3359</v>
      </c>
      <c r="D5284" s="1" t="s">
        <v>1306</v>
      </c>
      <c r="E5284" s="1" t="str">
        <f>""</f>
        <v/>
      </c>
      <c r="F5284" s="1" t="s">
        <v>1860</v>
      </c>
      <c r="G5284" s="1" t="str">
        <f>CONCATENATE("VODOSKOK D.D.,"," ČULINEČKA CESTA 221/C,"," 10040 ZAGREB,"," OIB: 34134218058")</f>
        <v>VODOSKOK D.D., ČULINEČKA CESTA 221/C, 10040 ZAGREB, OIB: 34134218058</v>
      </c>
      <c r="H5284" s="7"/>
      <c r="I5284" s="8" t="s">
        <v>242</v>
      </c>
      <c r="J5284" s="7"/>
      <c r="K5284" s="6" t="str">
        <f>"119.750,00"</f>
        <v>119.750,00</v>
      </c>
      <c r="L5284" s="6" t="str">
        <f>"29.937,50"</f>
        <v>29.937,50</v>
      </c>
      <c r="M5284" s="6" t="str">
        <f>"149.687,50"</f>
        <v>149.687,50</v>
      </c>
      <c r="N5284" s="8" t="s">
        <v>317</v>
      </c>
      <c r="O5284" s="7"/>
      <c r="P5284" s="2">
        <v>149687.5</v>
      </c>
      <c r="Q5284" s="7"/>
      <c r="R5284" s="1"/>
      <c r="S5284" s="1" t="str">
        <f>"2022-2047"</f>
        <v>2022-2047</v>
      </c>
      <c r="T5284" s="1" t="s">
        <v>55</v>
      </c>
    </row>
    <row r="5285" spans="1:20" ht="51" x14ac:dyDescent="0.25">
      <c r="A5285" s="6">
        <v>5264</v>
      </c>
      <c r="B5285" s="1" t="str">
        <f>"2022-761"</f>
        <v>2022-761</v>
      </c>
      <c r="C5285" s="1" t="s">
        <v>3360</v>
      </c>
      <c r="D5285" s="1" t="s">
        <v>3361</v>
      </c>
      <c r="E5285" s="1" t="str">
        <f>""</f>
        <v/>
      </c>
      <c r="F5285" s="1" t="s">
        <v>1860</v>
      </c>
      <c r="G5285" s="1" t="str">
        <f>CONCATENATE("TEMEX D.O.O.,"," LABINSKA 6A,"," 10000 ZAGREB,"," OIB: 89610149986")</f>
        <v>TEMEX D.O.O., LABINSKA 6A, 10000 ZAGREB, OIB: 89610149986</v>
      </c>
      <c r="H5285" s="7"/>
      <c r="I5285" s="8" t="s">
        <v>257</v>
      </c>
      <c r="J5285" s="7"/>
      <c r="K5285" s="6" t="str">
        <f>"44.380,00"</f>
        <v>44.380,00</v>
      </c>
      <c r="L5285" s="6" t="str">
        <f>"0,00"</f>
        <v>0,00</v>
      </c>
      <c r="M5285" s="6" t="str">
        <f>"44.380,00"</f>
        <v>44.380,00</v>
      </c>
      <c r="N5285" s="8" t="s">
        <v>124</v>
      </c>
      <c r="O5285" s="7"/>
      <c r="P5285" s="2">
        <v>17690.25</v>
      </c>
      <c r="Q5285" s="7"/>
      <c r="R5285" s="1"/>
      <c r="S5285" s="1" t="str">
        <f>"2022-2170"</f>
        <v>2022-2170</v>
      </c>
      <c r="T5285" s="1" t="s">
        <v>55</v>
      </c>
    </row>
    <row r="5286" spans="1:20" ht="51" x14ac:dyDescent="0.25">
      <c r="A5286" s="6">
        <v>5265</v>
      </c>
      <c r="B5286" s="1" t="str">
        <f>"2022-825"</f>
        <v>2022-825</v>
      </c>
      <c r="C5286" s="1" t="s">
        <v>2492</v>
      </c>
      <c r="D5286" s="1" t="s">
        <v>2493</v>
      </c>
      <c r="E5286" s="1" t="str">
        <f>""</f>
        <v/>
      </c>
      <c r="F5286" s="1" t="s">
        <v>1860</v>
      </c>
      <c r="G5286" s="1" t="str">
        <f>CONCATENATE("T.P.Z.  D.O.O.,"," NOVOSELSKA 25,"," 10040 ZAGREB,"," OIB: 68119083236")</f>
        <v>T.P.Z.  D.O.O., NOVOSELSKA 25, 10040 ZAGREB, OIB: 68119083236</v>
      </c>
      <c r="H5286" s="7"/>
      <c r="I5286" s="8" t="s">
        <v>273</v>
      </c>
      <c r="J5286" s="7"/>
      <c r="K5286" s="6" t="str">
        <f>"5.313,62"</f>
        <v>5.313,62</v>
      </c>
      <c r="L5286" s="6" t="str">
        <f>"1.328,41"</f>
        <v>1.328,41</v>
      </c>
      <c r="M5286" s="6" t="str">
        <f>"6.642,03"</f>
        <v>6.642,03</v>
      </c>
      <c r="N5286" s="8" t="s">
        <v>401</v>
      </c>
      <c r="O5286" s="7"/>
      <c r="P5286" s="2">
        <v>6642.03</v>
      </c>
      <c r="Q5286" s="7"/>
      <c r="R5286" s="1"/>
      <c r="S5286" s="1" t="str">
        <f>"2022-2418"</f>
        <v>2022-2418</v>
      </c>
      <c r="T5286" s="1" t="s">
        <v>55</v>
      </c>
    </row>
    <row r="5287" spans="1:20" ht="63.75" x14ac:dyDescent="0.25">
      <c r="A5287" s="6">
        <v>5266</v>
      </c>
      <c r="B5287" s="1" t="str">
        <f>"2022-525"</f>
        <v>2022-525</v>
      </c>
      <c r="C5287" s="1" t="s">
        <v>2497</v>
      </c>
      <c r="D5287" s="1" t="s">
        <v>3315</v>
      </c>
      <c r="E5287" s="1" t="str">
        <f>""</f>
        <v/>
      </c>
      <c r="F5287" s="1" t="s">
        <v>1860</v>
      </c>
      <c r="G5287" s="1" t="str">
        <f>CONCATENATE("3 M D.O.O.,"," GORNJE PODOTOČJE,"," ŠKOLSKA 60,"," 10410 VELIKA GORICA,"," OIB: 45975769859")</f>
        <v>3 M D.O.O., GORNJE PODOTOČJE, ŠKOLSKA 60, 10410 VELIKA GORICA, OIB: 45975769859</v>
      </c>
      <c r="H5287" s="7"/>
      <c r="I5287" s="8" t="s">
        <v>273</v>
      </c>
      <c r="J5287" s="7"/>
      <c r="K5287" s="6" t="str">
        <f>"2.408,80"</f>
        <v>2.408,80</v>
      </c>
      <c r="L5287" s="6" t="str">
        <f>"602,20"</f>
        <v>602,20</v>
      </c>
      <c r="M5287" s="6" t="str">
        <f>"3.011,00"</f>
        <v>3.011,00</v>
      </c>
      <c r="N5287" s="8" t="s">
        <v>293</v>
      </c>
      <c r="O5287" s="7"/>
      <c r="P5287" s="2">
        <v>3011</v>
      </c>
      <c r="Q5287" s="7"/>
      <c r="R5287" s="1"/>
      <c r="S5287" s="1" t="str">
        <f>"2022-2426"</f>
        <v>2022-2426</v>
      </c>
      <c r="T5287" s="1" t="s">
        <v>55</v>
      </c>
    </row>
    <row r="5288" spans="1:20" ht="51" x14ac:dyDescent="0.25">
      <c r="A5288" s="6">
        <v>5267</v>
      </c>
      <c r="B5288" s="1" t="str">
        <f>"2022-1742"</f>
        <v>2022-1742</v>
      </c>
      <c r="C5288" s="1" t="s">
        <v>682</v>
      </c>
      <c r="D5288" s="1" t="s">
        <v>683</v>
      </c>
      <c r="E5288" s="1" t="str">
        <f>""</f>
        <v/>
      </c>
      <c r="F5288" s="1" t="s">
        <v>1860</v>
      </c>
      <c r="G5288" s="1" t="str">
        <f>CONCATENATE("PRO-TEHNA D.O.O.,"," MAKSIMIRSKA 64,"," 10000 ZAGREB,"," OIB: 88951687357")</f>
        <v>PRO-TEHNA D.O.O., MAKSIMIRSKA 64, 10000 ZAGREB, OIB: 88951687357</v>
      </c>
      <c r="H5288" s="7"/>
      <c r="I5288" s="8" t="s">
        <v>273</v>
      </c>
      <c r="J5288" s="7"/>
      <c r="K5288" s="6" t="str">
        <f>"3.159,00"</f>
        <v>3.159,00</v>
      </c>
      <c r="L5288" s="6" t="str">
        <f>"789,75"</f>
        <v>789,75</v>
      </c>
      <c r="M5288" s="6" t="str">
        <f>"3.948,75"</f>
        <v>3.948,75</v>
      </c>
      <c r="N5288" s="8" t="s">
        <v>262</v>
      </c>
      <c r="O5288" s="7"/>
      <c r="P5288" s="2">
        <v>3948.75</v>
      </c>
      <c r="Q5288" s="7"/>
      <c r="R5288" s="1"/>
      <c r="S5288" s="1" t="str">
        <f>"2022-2437"</f>
        <v>2022-2437</v>
      </c>
      <c r="T5288" s="1" t="s">
        <v>55</v>
      </c>
    </row>
    <row r="5289" spans="1:20" ht="51" x14ac:dyDescent="0.25">
      <c r="A5289" s="6">
        <v>5268</v>
      </c>
      <c r="B5289" s="1" t="str">
        <f>"2022-887"</f>
        <v>2022-887</v>
      </c>
      <c r="C5289" s="1" t="s">
        <v>3362</v>
      </c>
      <c r="D5289" s="1" t="s">
        <v>2903</v>
      </c>
      <c r="E5289" s="1" t="str">
        <f>""</f>
        <v/>
      </c>
      <c r="F5289" s="1" t="s">
        <v>1860</v>
      </c>
      <c r="G5289" s="1" t="str">
        <f>CONCATENATE("MESSER CROATIA PLIN  D.O.O.,"," INDUSTRIJSKA 1,"," 10290 ZAPREŠIĆ,"," OIB: 32179081874")</f>
        <v>MESSER CROATIA PLIN  D.O.O., INDUSTRIJSKA 1, 10290 ZAPREŠIĆ, OIB: 32179081874</v>
      </c>
      <c r="H5289" s="7"/>
      <c r="I5289" s="8" t="s">
        <v>273</v>
      </c>
      <c r="J5289" s="7"/>
      <c r="K5289" s="6" t="str">
        <f>"4.118,00"</f>
        <v>4.118,00</v>
      </c>
      <c r="L5289" s="6" t="str">
        <f>"1.029,50"</f>
        <v>1.029,50</v>
      </c>
      <c r="M5289" s="6" t="str">
        <f>"5.147,50"</f>
        <v>5.147,50</v>
      </c>
      <c r="N5289" s="8" t="s">
        <v>1314</v>
      </c>
      <c r="O5289" s="7"/>
      <c r="P5289" s="2">
        <v>5147.5</v>
      </c>
      <c r="Q5289" s="7"/>
      <c r="R5289" s="1"/>
      <c r="S5289" s="1" t="str">
        <f>"2022-2443"</f>
        <v>2022-2443</v>
      </c>
      <c r="T5289" s="1" t="s">
        <v>55</v>
      </c>
    </row>
    <row r="5290" spans="1:20" ht="63.75" x14ac:dyDescent="0.25">
      <c r="A5290" s="6">
        <v>5269</v>
      </c>
      <c r="B5290" s="1" t="str">
        <f>"2022-767"</f>
        <v>2022-767</v>
      </c>
      <c r="C5290" s="1" t="s">
        <v>3057</v>
      </c>
      <c r="D5290" s="1" t="s">
        <v>1111</v>
      </c>
      <c r="E5290" s="1" t="str">
        <f>""</f>
        <v/>
      </c>
      <c r="F5290" s="1" t="s">
        <v>1860</v>
      </c>
      <c r="G5290" s="1" t="str">
        <f>CONCATENATE("GRADSKA PLINARA ZAGREB d.o.o.,"," RADNIČKA CESTA 1,"," 10000 ZAGREB,"," OIB: 20985255037")</f>
        <v>GRADSKA PLINARA ZAGREB d.o.o., RADNIČKA CESTA 1, 10000 ZAGREB, OIB: 20985255037</v>
      </c>
      <c r="H5290" s="7"/>
      <c r="I5290" s="8" t="s">
        <v>94</v>
      </c>
      <c r="J5290" s="7"/>
      <c r="K5290" s="6" t="str">
        <f>"6.540,39"</f>
        <v>6.540,39</v>
      </c>
      <c r="L5290" s="6" t="str">
        <f>"0,00"</f>
        <v>0,00</v>
      </c>
      <c r="M5290" s="6" t="str">
        <f>"6.540,39"</f>
        <v>6.540,39</v>
      </c>
      <c r="N5290" s="8" t="s">
        <v>124</v>
      </c>
      <c r="O5290" s="7"/>
      <c r="P5290" s="2">
        <v>0</v>
      </c>
      <c r="Q5290" s="7"/>
      <c r="R5290" s="1"/>
      <c r="S5290" s="1" t="str">
        <f>"2022-2451"</f>
        <v>2022-2451</v>
      </c>
      <c r="T5290" s="1" t="s">
        <v>55</v>
      </c>
    </row>
    <row r="5291" spans="1:20" ht="51" x14ac:dyDescent="0.25">
      <c r="A5291" s="6">
        <v>5270</v>
      </c>
      <c r="B5291" s="1" t="str">
        <f>"2022-535"</f>
        <v>2022-535</v>
      </c>
      <c r="C5291" s="1" t="s">
        <v>2561</v>
      </c>
      <c r="D5291" s="1" t="s">
        <v>2156</v>
      </c>
      <c r="E5291" s="1" t="str">
        <f>""</f>
        <v/>
      </c>
      <c r="F5291" s="1" t="s">
        <v>1860</v>
      </c>
      <c r="G5291" s="1" t="str">
        <f>CONCATENATE("ZINAM D.O.O.,"," IVANIĆGRADSKA 64,"," 10000 ZAGREB,"," OIB: 32559438722")</f>
        <v>ZINAM D.O.O., IVANIĆGRADSKA 64, 10000 ZAGREB, OIB: 32559438722</v>
      </c>
      <c r="H5291" s="7"/>
      <c r="I5291" s="8" t="s">
        <v>94</v>
      </c>
      <c r="J5291" s="7"/>
      <c r="K5291" s="6" t="str">
        <f>"2.932,00"</f>
        <v>2.932,00</v>
      </c>
      <c r="L5291" s="6" t="str">
        <f>"733,00"</f>
        <v>733,00</v>
      </c>
      <c r="M5291" s="6" t="str">
        <f>"3.665,00"</f>
        <v>3.665,00</v>
      </c>
      <c r="N5291" s="8" t="s">
        <v>384</v>
      </c>
      <c r="O5291" s="7"/>
      <c r="P5291" s="2">
        <v>3665</v>
      </c>
      <c r="Q5291" s="7"/>
      <c r="R5291" s="1"/>
      <c r="S5291" s="1" t="str">
        <f>"2022-2463"</f>
        <v>2022-2463</v>
      </c>
      <c r="T5291" s="1" t="s">
        <v>55</v>
      </c>
    </row>
    <row r="5292" spans="1:20" ht="51" x14ac:dyDescent="0.25">
      <c r="A5292" s="6">
        <v>5271</v>
      </c>
      <c r="B5292" s="1" t="str">
        <f>"2022-1003"</f>
        <v>2022-1003</v>
      </c>
      <c r="C5292" s="1" t="s">
        <v>3363</v>
      </c>
      <c r="D5292" s="1" t="s">
        <v>267</v>
      </c>
      <c r="E5292" s="1" t="str">
        <f>""</f>
        <v/>
      </c>
      <c r="F5292" s="1" t="s">
        <v>1860</v>
      </c>
      <c r="G5292" s="1" t="str">
        <f>CONCATENATE("METUS D.O.O.,"," POLOŽNICA 5,"," 10431 SVETA NEDELJA,"," OIB: 24690129373")</f>
        <v>METUS D.O.O., POLOŽNICA 5, 10431 SVETA NEDELJA, OIB: 24690129373</v>
      </c>
      <c r="H5292" s="7"/>
      <c r="I5292" s="8" t="s">
        <v>94</v>
      </c>
      <c r="J5292" s="7"/>
      <c r="K5292" s="6" t="str">
        <f>"840,00"</f>
        <v>840,00</v>
      </c>
      <c r="L5292" s="6" t="str">
        <f>"0,00"</f>
        <v>0,00</v>
      </c>
      <c r="M5292" s="6" t="str">
        <f>"840,00"</f>
        <v>840,00</v>
      </c>
      <c r="N5292" s="8" t="s">
        <v>124</v>
      </c>
      <c r="O5292" s="7"/>
      <c r="P5292" s="2">
        <v>0</v>
      </c>
      <c r="Q5292" s="7"/>
      <c r="R5292" s="1"/>
      <c r="S5292" s="1" t="str">
        <f>"2022-2470"</f>
        <v>2022-2470</v>
      </c>
      <c r="T5292" s="1" t="s">
        <v>55</v>
      </c>
    </row>
    <row r="5293" spans="1:20" ht="51" x14ac:dyDescent="0.25">
      <c r="A5293" s="6">
        <v>5272</v>
      </c>
      <c r="B5293" s="1" t="str">
        <f>"2022-767"</f>
        <v>2022-767</v>
      </c>
      <c r="C5293" s="1" t="s">
        <v>3057</v>
      </c>
      <c r="D5293" s="1" t="s">
        <v>1111</v>
      </c>
      <c r="E5293" s="1" t="str">
        <f>""</f>
        <v/>
      </c>
      <c r="F5293" s="1" t="s">
        <v>1860</v>
      </c>
      <c r="G5293" s="1" t="str">
        <f>CONCATENATE("HT D.D.,"," RADNIČKA CESTA 21,"," 10000 ZAGREB,"," OIB: 8179314656")</f>
        <v>HT D.D., RADNIČKA CESTA 21, 10000 ZAGREB, OIB: 8179314656</v>
      </c>
      <c r="H5293" s="7"/>
      <c r="I5293" s="8" t="s">
        <v>94</v>
      </c>
      <c r="J5293" s="7"/>
      <c r="K5293" s="6" t="str">
        <f>"6.241,27"</f>
        <v>6.241,27</v>
      </c>
      <c r="L5293" s="6" t="str">
        <f>"0,00"</f>
        <v>0,00</v>
      </c>
      <c r="M5293" s="6" t="str">
        <f>"6.241,27"</f>
        <v>6.241,27</v>
      </c>
      <c r="N5293" s="8" t="s">
        <v>124</v>
      </c>
      <c r="O5293" s="7"/>
      <c r="P5293" s="2">
        <v>0</v>
      </c>
      <c r="Q5293" s="7"/>
      <c r="R5293" s="1"/>
      <c r="S5293" s="1" t="str">
        <f>"2022-2471"</f>
        <v>2022-2471</v>
      </c>
      <c r="T5293" s="1" t="s">
        <v>55</v>
      </c>
    </row>
    <row r="5294" spans="1:20" ht="102" x14ac:dyDescent="0.25">
      <c r="A5294" s="6">
        <v>5273</v>
      </c>
      <c r="B5294" s="1" t="str">
        <f>"2022-1162"</f>
        <v>2022-1162</v>
      </c>
      <c r="C5294" s="1" t="s">
        <v>3364</v>
      </c>
      <c r="D5294" s="1" t="s">
        <v>3326</v>
      </c>
      <c r="E5294" s="1" t="str">
        <f>""</f>
        <v/>
      </c>
      <c r="F5294" s="1" t="s">
        <v>1860</v>
      </c>
      <c r="G5294" s="1" t="str">
        <f>CONCATENATE("APZ HIDRIA D.O.O.,"," ZAGREBAČKA 233,"," 10000 ZAGREB,"," OIB: 76901428643")</f>
        <v>APZ HIDRIA D.O.O., ZAGREBAČKA 233, 10000 ZAGREB, OIB: 76901428643</v>
      </c>
      <c r="H5294" s="7"/>
      <c r="I5294" s="8" t="s">
        <v>94</v>
      </c>
      <c r="J5294" s="7"/>
      <c r="K5294" s="6" t="str">
        <f>"17.800,00"</f>
        <v>17.800,00</v>
      </c>
      <c r="L5294" s="6" t="str">
        <f>"0,00"</f>
        <v>0,00</v>
      </c>
      <c r="M5294" s="6" t="str">
        <f>"17.800,00"</f>
        <v>17.800,00</v>
      </c>
      <c r="N5294" s="8" t="s">
        <v>124</v>
      </c>
      <c r="O5294" s="7"/>
      <c r="P5294" s="2">
        <v>0</v>
      </c>
      <c r="Q5294" s="7"/>
      <c r="R5294" s="1"/>
      <c r="S5294" s="1" t="str">
        <f>"2022-2472"</f>
        <v>2022-2472</v>
      </c>
      <c r="T5294" s="1" t="s">
        <v>55</v>
      </c>
    </row>
    <row r="5295" spans="1:20" ht="51" x14ac:dyDescent="0.25">
      <c r="A5295" s="6">
        <v>5274</v>
      </c>
      <c r="B5295" s="1" t="str">
        <f>"2022-910"</f>
        <v>2022-910</v>
      </c>
      <c r="C5295" s="1" t="s">
        <v>3365</v>
      </c>
      <c r="D5295" s="1" t="s">
        <v>1102</v>
      </c>
      <c r="E5295" s="1" t="str">
        <f>""</f>
        <v/>
      </c>
      <c r="F5295" s="1" t="s">
        <v>1860</v>
      </c>
      <c r="G5295" s="1" t="str">
        <f>CONCATENATE("KEMOLAB D.O.O.,"," NADINSKA 11,"," 10000 ZAGREB,"," OIB: 45816750516")</f>
        <v>KEMOLAB D.O.O., NADINSKA 11, 10000 ZAGREB, OIB: 45816750516</v>
      </c>
      <c r="H5295" s="7"/>
      <c r="I5295" s="8" t="s">
        <v>260</v>
      </c>
      <c r="J5295" s="7"/>
      <c r="K5295" s="6" t="str">
        <f>"12.660,00"</f>
        <v>12.660,00</v>
      </c>
      <c r="L5295" s="6" t="str">
        <f>"3.165,00"</f>
        <v>3.165,00</v>
      </c>
      <c r="M5295" s="6" t="str">
        <f>"15.825,00"</f>
        <v>15.825,00</v>
      </c>
      <c r="N5295" s="8" t="s">
        <v>293</v>
      </c>
      <c r="O5295" s="7"/>
      <c r="P5295" s="2">
        <v>15825</v>
      </c>
      <c r="Q5295" s="7"/>
      <c r="R5295" s="1"/>
      <c r="S5295" s="1" t="str">
        <f>"2022-2496"</f>
        <v>2022-2496</v>
      </c>
      <c r="T5295" s="1" t="s">
        <v>55</v>
      </c>
    </row>
    <row r="5296" spans="1:20" ht="51" x14ac:dyDescent="0.25">
      <c r="A5296" s="6">
        <v>5275</v>
      </c>
      <c r="B5296" s="1" t="str">
        <f>"2022-977"</f>
        <v>2022-977</v>
      </c>
      <c r="C5296" s="1" t="s">
        <v>3310</v>
      </c>
      <c r="D5296" s="1" t="s">
        <v>1373</v>
      </c>
      <c r="E5296" s="1" t="str">
        <f>""</f>
        <v/>
      </c>
      <c r="F5296" s="1" t="s">
        <v>1860</v>
      </c>
      <c r="G5296" s="1" t="str">
        <f>CONCATENATE("NIROSTA D.O.O.,"," NAŠIČKA 6,"," 31000 OSIJEK,"," OIB: 82823351319")</f>
        <v>NIROSTA D.O.O., NAŠIČKA 6, 31000 OSIJEK, OIB: 82823351319</v>
      </c>
      <c r="H5296" s="7"/>
      <c r="I5296" s="8" t="s">
        <v>260</v>
      </c>
      <c r="J5296" s="7"/>
      <c r="K5296" s="6" t="str">
        <f>"15.500,00"</f>
        <v>15.500,00</v>
      </c>
      <c r="L5296" s="6" t="str">
        <f>"3.875,00"</f>
        <v>3.875,00</v>
      </c>
      <c r="M5296" s="6" t="str">
        <f>"19.375,00"</f>
        <v>19.375,00</v>
      </c>
      <c r="N5296" s="8" t="s">
        <v>293</v>
      </c>
      <c r="O5296" s="7"/>
      <c r="P5296" s="2">
        <v>19375</v>
      </c>
      <c r="Q5296" s="7"/>
      <c r="R5296" s="1"/>
      <c r="S5296" s="1" t="str">
        <f>"2022-2497"</f>
        <v>2022-2497</v>
      </c>
      <c r="T5296" s="1" t="s">
        <v>55</v>
      </c>
    </row>
    <row r="5297" spans="1:20" ht="63.75" x14ac:dyDescent="0.25">
      <c r="A5297" s="6">
        <v>5276</v>
      </c>
      <c r="B5297" s="1" t="str">
        <f>"2022-894"</f>
        <v>2022-894</v>
      </c>
      <c r="C5297" s="1" t="s">
        <v>2863</v>
      </c>
      <c r="D5297" s="1" t="s">
        <v>1209</v>
      </c>
      <c r="E5297" s="1" t="str">
        <f>""</f>
        <v/>
      </c>
      <c r="F5297" s="1" t="s">
        <v>1860</v>
      </c>
      <c r="G5297" s="1" t="str">
        <f>CONCATENATE("EKOTEH DOZIMETRIJA D.O.O.,"," VLADIMIRA RUŽDJAKA 21,"," 10000 ZAGREB,"," OIB: 44716804217")</f>
        <v>EKOTEH DOZIMETRIJA D.O.O., VLADIMIRA RUŽDJAKA 21, 10000 ZAGREB, OIB: 44716804217</v>
      </c>
      <c r="H5297" s="7"/>
      <c r="I5297" s="8" t="s">
        <v>260</v>
      </c>
      <c r="J5297" s="7"/>
      <c r="K5297" s="6" t="str">
        <f>"1.000,00"</f>
        <v>1.000,00</v>
      </c>
      <c r="L5297" s="6" t="str">
        <f>"250,00"</f>
        <v>250,00</v>
      </c>
      <c r="M5297" s="6" t="str">
        <f>"1.250,00"</f>
        <v>1.250,00</v>
      </c>
      <c r="N5297" s="8" t="s">
        <v>635</v>
      </c>
      <c r="O5297" s="7"/>
      <c r="P5297" s="2">
        <v>1250</v>
      </c>
      <c r="Q5297" s="7"/>
      <c r="R5297" s="1"/>
      <c r="S5297" s="1" t="str">
        <f>"2022-2498"</f>
        <v>2022-2498</v>
      </c>
      <c r="T5297" s="1" t="s">
        <v>55</v>
      </c>
    </row>
    <row r="5298" spans="1:20" ht="89.25" x14ac:dyDescent="0.25">
      <c r="A5298" s="6">
        <v>5277</v>
      </c>
      <c r="B5298" s="1" t="str">
        <f>"2022-1161"</f>
        <v>2022-1161</v>
      </c>
      <c r="C5298" s="1" t="s">
        <v>3366</v>
      </c>
      <c r="D5298" s="1" t="s">
        <v>3326</v>
      </c>
      <c r="E5298" s="1" t="str">
        <f>""</f>
        <v/>
      </c>
      <c r="F5298" s="1" t="s">
        <v>1860</v>
      </c>
      <c r="G5298" s="1" t="str">
        <f>CONCATENATE("SVEUČILIŠTE U ZAGREBU - GRAĐEVINSKI FAKULTET,"," FRA ANDRIJE KAČIĆA MIOŠIĆA 26,"," 10000 ZAGREB,"," OIB: 6292415342")</f>
        <v>SVEUČILIŠTE U ZAGREBU - GRAĐEVINSKI FAKULTET, FRA ANDRIJE KAČIĆA MIOŠIĆA 26, 10000 ZAGREB, OIB: 6292415342</v>
      </c>
      <c r="H5298" s="7"/>
      <c r="I5298" s="8" t="s">
        <v>920</v>
      </c>
      <c r="J5298" s="7"/>
      <c r="K5298" s="6" t="str">
        <f>"10.000,00"</f>
        <v>10.000,00</v>
      </c>
      <c r="L5298" s="6" t="str">
        <f>"2.500,00"</f>
        <v>2.500,00</v>
      </c>
      <c r="M5298" s="6" t="str">
        <f>"12.500,00"</f>
        <v>12.500,00</v>
      </c>
      <c r="N5298" s="8" t="s">
        <v>354</v>
      </c>
      <c r="O5298" s="7"/>
      <c r="P5298" s="2">
        <v>22500</v>
      </c>
      <c r="Q5298" s="7"/>
      <c r="R5298" s="1"/>
      <c r="S5298" s="1" t="str">
        <f>"2022-2511"</f>
        <v>2022-2511</v>
      </c>
      <c r="T5298" s="1" t="s">
        <v>55</v>
      </c>
    </row>
    <row r="5299" spans="1:20" ht="63.75" x14ac:dyDescent="0.25">
      <c r="A5299" s="6">
        <v>5278</v>
      </c>
      <c r="B5299" s="1" t="str">
        <f>"2022-887"</f>
        <v>2022-887</v>
      </c>
      <c r="C5299" s="1" t="s">
        <v>3362</v>
      </c>
      <c r="D5299" s="1" t="s">
        <v>2903</v>
      </c>
      <c r="E5299" s="1" t="str">
        <f>""</f>
        <v/>
      </c>
      <c r="F5299" s="1" t="s">
        <v>1860</v>
      </c>
      <c r="G5299" s="1" t="str">
        <f>CONCATENATE("MUR-INŽENJERING D.O.O.,"," KRAJ DONJI,"," DUBRAVIČKA 162,"," 10299 MARIJA GORICA,"," OIB: 60553873554")</f>
        <v>MUR-INŽENJERING D.O.O., KRAJ DONJI, DUBRAVIČKA 162, 10299 MARIJA GORICA, OIB: 60553873554</v>
      </c>
      <c r="H5299" s="7"/>
      <c r="I5299" s="8" t="s">
        <v>920</v>
      </c>
      <c r="J5299" s="7"/>
      <c r="K5299" s="6" t="str">
        <f>"16.115,00"</f>
        <v>16.115,00</v>
      </c>
      <c r="L5299" s="6" t="str">
        <f>"4.028,75"</f>
        <v>4.028,75</v>
      </c>
      <c r="M5299" s="6" t="str">
        <f>"20.143,75"</f>
        <v>20.143,75</v>
      </c>
      <c r="N5299" s="8" t="s">
        <v>293</v>
      </c>
      <c r="O5299" s="7"/>
      <c r="P5299" s="2">
        <v>20143.75</v>
      </c>
      <c r="Q5299" s="7"/>
      <c r="R5299" s="1"/>
      <c r="S5299" s="1" t="str">
        <f>"2022-2512"</f>
        <v>2022-2512</v>
      </c>
      <c r="T5299" s="1" t="s">
        <v>55</v>
      </c>
    </row>
    <row r="5300" spans="1:20" ht="89.25" x14ac:dyDescent="0.25">
      <c r="A5300" s="6">
        <v>5279</v>
      </c>
      <c r="B5300" s="1" t="str">
        <f>"2022-1161"</f>
        <v>2022-1161</v>
      </c>
      <c r="C5300" s="1" t="s">
        <v>3366</v>
      </c>
      <c r="D5300" s="1" t="s">
        <v>3326</v>
      </c>
      <c r="E5300" s="1" t="str">
        <f>""</f>
        <v/>
      </c>
      <c r="F5300" s="1" t="s">
        <v>1860</v>
      </c>
      <c r="G5300" s="1" t="str">
        <f>CONCATENATE("SVEUČILIŠTE U ZAGREBU - GRAĐEVINSKI FAKULTET,"," FRA ANDRIJE KAČIĆA MIOŠIĆA 26,"," 10000 ZAGREB,"," OIB: 6292415342")</f>
        <v>SVEUČILIŠTE U ZAGREBU - GRAĐEVINSKI FAKULTET, FRA ANDRIJE KAČIĆA MIOŠIĆA 26, 10000 ZAGREB, OIB: 6292415342</v>
      </c>
      <c r="H5300" s="7"/>
      <c r="I5300" s="8" t="s">
        <v>920</v>
      </c>
      <c r="J5300" s="7"/>
      <c r="K5300" s="6" t="str">
        <f>"10.000,00"</f>
        <v>10.000,00</v>
      </c>
      <c r="L5300" s="6" t="str">
        <f>"0,00"</f>
        <v>0,00</v>
      </c>
      <c r="M5300" s="6" t="str">
        <f>"10.000,00"</f>
        <v>10.000,00</v>
      </c>
      <c r="N5300" s="8" t="s">
        <v>124</v>
      </c>
      <c r="O5300" s="7"/>
      <c r="P5300" s="2">
        <v>0</v>
      </c>
      <c r="Q5300" s="7"/>
      <c r="R5300" s="1"/>
      <c r="S5300" s="1" t="str">
        <f>"2022-2521"</f>
        <v>2022-2521</v>
      </c>
      <c r="T5300" s="1" t="s">
        <v>55</v>
      </c>
    </row>
    <row r="5301" spans="1:20" ht="63.75" x14ac:dyDescent="0.25">
      <c r="A5301" s="6">
        <v>5280</v>
      </c>
      <c r="B5301" s="1" t="str">
        <f>"2022-939"</f>
        <v>2022-939</v>
      </c>
      <c r="C5301" s="1" t="s">
        <v>3331</v>
      </c>
      <c r="D5301" s="1" t="s">
        <v>1150</v>
      </c>
      <c r="E5301" s="1" t="str">
        <f>""</f>
        <v/>
      </c>
      <c r="F5301" s="1" t="s">
        <v>1860</v>
      </c>
      <c r="G5301" s="1" t="str">
        <f>CONCATENATE("HIDRO-METAL,"," VL. BISERKA BEJDIĆ,"," SLAVKA KOLARA 24,"," 47250 DUGA RESA,"," OIB: 2551798954")</f>
        <v>HIDRO-METAL, VL. BISERKA BEJDIĆ, SLAVKA KOLARA 24, 47250 DUGA RESA, OIB: 2551798954</v>
      </c>
      <c r="H5301" s="7"/>
      <c r="I5301" s="8" t="s">
        <v>401</v>
      </c>
      <c r="J5301" s="7"/>
      <c r="K5301" s="6" t="str">
        <f>"4.684,80"</f>
        <v>4.684,80</v>
      </c>
      <c r="L5301" s="6" t="str">
        <f>"0,00"</f>
        <v>0,00</v>
      </c>
      <c r="M5301" s="6" t="str">
        <f>"4.684,80"</f>
        <v>4.684,80</v>
      </c>
      <c r="N5301" s="8" t="s">
        <v>124</v>
      </c>
      <c r="O5301" s="7"/>
      <c r="P5301" s="2">
        <v>0</v>
      </c>
      <c r="Q5301" s="7"/>
      <c r="R5301" s="1"/>
      <c r="S5301" s="1" t="str">
        <f>"2022-2601"</f>
        <v>2022-2601</v>
      </c>
      <c r="T5301" s="1" t="s">
        <v>55</v>
      </c>
    </row>
    <row r="5302" spans="1:20" ht="51" x14ac:dyDescent="0.25">
      <c r="A5302" s="6">
        <v>5281</v>
      </c>
      <c r="B5302" s="1" t="str">
        <f>"2022-823"</f>
        <v>2022-823</v>
      </c>
      <c r="C5302" s="1" t="s">
        <v>2675</v>
      </c>
      <c r="D5302" s="1" t="s">
        <v>2676</v>
      </c>
      <c r="E5302" s="1" t="str">
        <f>""</f>
        <v/>
      </c>
      <c r="F5302" s="1" t="s">
        <v>1860</v>
      </c>
      <c r="G5302" s="1" t="str">
        <f>CONCATENATE("AUTOKUĆA-ŠTARKELJ D.O.O.,"," UKRAJINSKA 17,"," 10000 ZAGREB,"," OIB: 87340407905")</f>
        <v>AUTOKUĆA-ŠTARKELJ D.O.O., UKRAJINSKA 17, 10000 ZAGREB, OIB: 87340407905</v>
      </c>
      <c r="H5302" s="7"/>
      <c r="I5302" s="8" t="s">
        <v>401</v>
      </c>
      <c r="J5302" s="7"/>
      <c r="K5302" s="6" t="str">
        <f>"2.164,12"</f>
        <v>2.164,12</v>
      </c>
      <c r="L5302" s="6" t="str">
        <f>"541,03"</f>
        <v>541,03</v>
      </c>
      <c r="M5302" s="6" t="str">
        <f>"2.705,15"</f>
        <v>2.705,15</v>
      </c>
      <c r="N5302" s="8" t="s">
        <v>1314</v>
      </c>
      <c r="O5302" s="7"/>
      <c r="P5302" s="2">
        <v>2705.15</v>
      </c>
      <c r="Q5302" s="7"/>
      <c r="R5302" s="1"/>
      <c r="S5302" s="1" t="str">
        <f>"2022-2602"</f>
        <v>2022-2602</v>
      </c>
      <c r="T5302" s="1" t="s">
        <v>55</v>
      </c>
    </row>
    <row r="5303" spans="1:20" ht="63.75" x14ac:dyDescent="0.25">
      <c r="A5303" s="6">
        <v>5282</v>
      </c>
      <c r="B5303" s="1" t="str">
        <f>"2022-186"</f>
        <v>2022-186</v>
      </c>
      <c r="C5303" s="1" t="s">
        <v>2534</v>
      </c>
      <c r="D5303" s="1" t="s">
        <v>2535</v>
      </c>
      <c r="E5303" s="1" t="str">
        <f>""</f>
        <v/>
      </c>
      <c r="F5303" s="1" t="s">
        <v>1860</v>
      </c>
      <c r="G5303" s="1" t="str">
        <f>CONCATENATE("JULIUS MEINL BONFANTI D.O.O.,"," LJUBLJANSKA ULICA 4,"," 10431 SVETA NEDELJA,"," OIB: 39546130894")</f>
        <v>JULIUS MEINL BONFANTI D.O.O., LJUBLJANSKA ULICA 4, 10431 SVETA NEDELJA, OIB: 39546130894</v>
      </c>
      <c r="H5303" s="7"/>
      <c r="I5303" s="8" t="s">
        <v>401</v>
      </c>
      <c r="J5303" s="7"/>
      <c r="K5303" s="6" t="str">
        <f>"20.200,00"</f>
        <v>20.200,00</v>
      </c>
      <c r="L5303" s="6" t="str">
        <f>"5.014,70"</f>
        <v>5.014,70</v>
      </c>
      <c r="M5303" s="6" t="str">
        <f>"25.214,70"</f>
        <v>25.214,70</v>
      </c>
      <c r="N5303" s="8" t="s">
        <v>478</v>
      </c>
      <c r="O5303" s="7"/>
      <c r="P5303" s="2">
        <v>25073.5</v>
      </c>
      <c r="Q5303" s="7"/>
      <c r="R5303" s="1"/>
      <c r="S5303" s="1" t="str">
        <f>"2022-2604"</f>
        <v>2022-2604</v>
      </c>
      <c r="T5303" s="1" t="s">
        <v>55</v>
      </c>
    </row>
    <row r="5304" spans="1:20" ht="51" x14ac:dyDescent="0.25">
      <c r="A5304" s="6">
        <v>5283</v>
      </c>
      <c r="B5304" s="1" t="str">
        <f>"2022-193"</f>
        <v>2022-193</v>
      </c>
      <c r="C5304" s="1" t="s">
        <v>2731</v>
      </c>
      <c r="D5304" s="1" t="s">
        <v>3367</v>
      </c>
      <c r="E5304" s="1" t="str">
        <f>""</f>
        <v/>
      </c>
      <c r="F5304" s="1" t="s">
        <v>1860</v>
      </c>
      <c r="G5304" s="1" t="str">
        <f>CONCATENATE("PRO-TEHNA D.O.O.,"," MAKSIMIRSKA 64,"," 10000 ZAGREB,"," OIB: 88951687357")</f>
        <v>PRO-TEHNA D.O.O., MAKSIMIRSKA 64, 10000 ZAGREB, OIB: 88951687357</v>
      </c>
      <c r="H5304" s="7"/>
      <c r="I5304" s="8" t="s">
        <v>401</v>
      </c>
      <c r="J5304" s="7"/>
      <c r="K5304" s="6" t="str">
        <f>"11.988,00"</f>
        <v>11.988,00</v>
      </c>
      <c r="L5304" s="6" t="str">
        <f>"2.997,01"</f>
        <v>2.997,01</v>
      </c>
      <c r="M5304" s="6" t="str">
        <f>"14.985,01"</f>
        <v>14.985,01</v>
      </c>
      <c r="N5304" s="8" t="s">
        <v>994</v>
      </c>
      <c r="O5304" s="7"/>
      <c r="P5304" s="2">
        <v>14985.01</v>
      </c>
      <c r="Q5304" s="7"/>
      <c r="R5304" s="1"/>
      <c r="S5304" s="1" t="str">
        <f>"2022-2606"</f>
        <v>2022-2606</v>
      </c>
      <c r="T5304" s="1" t="s">
        <v>55</v>
      </c>
    </row>
    <row r="5305" spans="1:20" ht="51" x14ac:dyDescent="0.25">
      <c r="A5305" s="6">
        <v>5284</v>
      </c>
      <c r="B5305" s="1" t="str">
        <f>"2022-1504"</f>
        <v>2022-1504</v>
      </c>
      <c r="C5305" s="1" t="s">
        <v>1626</v>
      </c>
      <c r="D5305" s="1" t="s">
        <v>87</v>
      </c>
      <c r="E5305" s="1" t="str">
        <f>""</f>
        <v/>
      </c>
      <c r="F5305" s="1" t="s">
        <v>1860</v>
      </c>
      <c r="G5305" s="1" t="str">
        <f>CONCATENATE("NIVETO D.O.O.,"," DRAGUTINA MANDLA 1,"," 10000 ZAGREB,"," OIB: 46572491389")</f>
        <v>NIVETO D.O.O., DRAGUTINA MANDLA 1, 10000 ZAGREB, OIB: 46572491389</v>
      </c>
      <c r="H5305" s="7"/>
      <c r="I5305" s="8" t="s">
        <v>401</v>
      </c>
      <c r="J5305" s="7"/>
      <c r="K5305" s="6" t="str">
        <f>"3.000,00"</f>
        <v>3.000,00</v>
      </c>
      <c r="L5305" s="6" t="str">
        <f>"750,00"</f>
        <v>750,00</v>
      </c>
      <c r="M5305" s="6" t="str">
        <f>"3.750,00"</f>
        <v>3.750,00</v>
      </c>
      <c r="N5305" s="8" t="s">
        <v>877</v>
      </c>
      <c r="O5305" s="7"/>
      <c r="P5305" s="2">
        <v>3750</v>
      </c>
      <c r="Q5305" s="7"/>
      <c r="R5305" s="1"/>
      <c r="S5305" s="1" t="str">
        <f>"2022-2608"</f>
        <v>2022-2608</v>
      </c>
      <c r="T5305" s="1" t="s">
        <v>86</v>
      </c>
    </row>
    <row r="5306" spans="1:20" ht="51" x14ac:dyDescent="0.25">
      <c r="A5306" s="6">
        <v>5285</v>
      </c>
      <c r="B5306" s="1" t="str">
        <f>"2022-715"</f>
        <v>2022-715</v>
      </c>
      <c r="C5306" s="1" t="s">
        <v>2733</v>
      </c>
      <c r="D5306" s="1" t="s">
        <v>815</v>
      </c>
      <c r="E5306" s="1" t="str">
        <f>""</f>
        <v/>
      </c>
      <c r="F5306" s="1" t="s">
        <v>1860</v>
      </c>
      <c r="G5306" s="1" t="str">
        <f>CONCATENATE("AUTOKUĆA-ŠTARKELJ D.O.O.,"," UKRAJINSKA 17,"," 10000 ZAGREB,"," OIB: 87340407905")</f>
        <v>AUTOKUĆA-ŠTARKELJ D.O.O., UKRAJINSKA 17, 10000 ZAGREB, OIB: 87340407905</v>
      </c>
      <c r="H5306" s="7"/>
      <c r="I5306" s="8" t="s">
        <v>401</v>
      </c>
      <c r="J5306" s="7"/>
      <c r="K5306" s="6" t="str">
        <f>"9.015,16"</f>
        <v>9.015,16</v>
      </c>
      <c r="L5306" s="6" t="str">
        <f>"2.253,80"</f>
        <v>2.253,80</v>
      </c>
      <c r="M5306" s="6" t="str">
        <f>"11.268,96"</f>
        <v>11.268,96</v>
      </c>
      <c r="N5306" s="8" t="s">
        <v>224</v>
      </c>
      <c r="O5306" s="7"/>
      <c r="P5306" s="2">
        <v>11268.96</v>
      </c>
      <c r="Q5306" s="7"/>
      <c r="R5306" s="1"/>
      <c r="S5306" s="1" t="str">
        <f>"2022-2609"</f>
        <v>2022-2609</v>
      </c>
      <c r="T5306" s="1" t="s">
        <v>55</v>
      </c>
    </row>
    <row r="5307" spans="1:20" ht="51" x14ac:dyDescent="0.25">
      <c r="A5307" s="6">
        <v>5286</v>
      </c>
      <c r="B5307" s="1" t="str">
        <f>"2022-478"</f>
        <v>2022-478</v>
      </c>
      <c r="C5307" s="1" t="s">
        <v>2600</v>
      </c>
      <c r="D5307" s="1" t="s">
        <v>3318</v>
      </c>
      <c r="E5307" s="1" t="str">
        <f>""</f>
        <v/>
      </c>
      <c r="F5307" s="1" t="s">
        <v>1860</v>
      </c>
      <c r="G5307" s="1" t="str">
        <f>CONCATENATE("POLJOOPSKRBA-TEHNO D.D.,"," SAMOBORSKA 96,"," 10000 ZAGREB,"," OIB: 5372167324")</f>
        <v>POLJOOPSKRBA-TEHNO D.D., SAMOBORSKA 96, 10000 ZAGREB, OIB: 5372167324</v>
      </c>
      <c r="H5307" s="7"/>
      <c r="I5307" s="8" t="s">
        <v>401</v>
      </c>
      <c r="J5307" s="7"/>
      <c r="K5307" s="6" t="str">
        <f>"1.848,00"</f>
        <v>1.848,00</v>
      </c>
      <c r="L5307" s="6" t="str">
        <f>"462,00"</f>
        <v>462,00</v>
      </c>
      <c r="M5307" s="6" t="str">
        <f>"2.310,00"</f>
        <v>2.310,00</v>
      </c>
      <c r="N5307" s="8" t="s">
        <v>102</v>
      </c>
      <c r="O5307" s="7"/>
      <c r="P5307" s="2">
        <v>2310</v>
      </c>
      <c r="Q5307" s="7"/>
      <c r="R5307" s="1"/>
      <c r="S5307" s="1" t="str">
        <f>"2022-2610"</f>
        <v>2022-2610</v>
      </c>
      <c r="T5307" s="1" t="s">
        <v>55</v>
      </c>
    </row>
    <row r="5308" spans="1:20" ht="51" x14ac:dyDescent="0.25">
      <c r="A5308" s="6">
        <v>5287</v>
      </c>
      <c r="B5308" s="1" t="str">
        <f>"2022-243"</f>
        <v>2022-243</v>
      </c>
      <c r="C5308" s="1" t="s">
        <v>2621</v>
      </c>
      <c r="D5308" s="1" t="s">
        <v>3368</v>
      </c>
      <c r="E5308" s="1" t="str">
        <f>""</f>
        <v/>
      </c>
      <c r="F5308" s="1" t="s">
        <v>1860</v>
      </c>
      <c r="G5308" s="1" t="str">
        <f>CONCATENATE("POLJOOPSKRBA-TEHNO D.D.,"," SAMOBORSKA 96,"," 10000 ZAGREB,"," OIB: 5372167324")</f>
        <v>POLJOOPSKRBA-TEHNO D.D., SAMOBORSKA 96, 10000 ZAGREB, OIB: 5372167324</v>
      </c>
      <c r="H5308" s="7"/>
      <c r="I5308" s="8" t="s">
        <v>401</v>
      </c>
      <c r="J5308" s="7"/>
      <c r="K5308" s="6" t="str">
        <f>"1.560,00"</f>
        <v>1.560,00</v>
      </c>
      <c r="L5308" s="6" t="str">
        <f>"390,00"</f>
        <v>390,00</v>
      </c>
      <c r="M5308" s="6" t="str">
        <f>"1.950,00"</f>
        <v>1.950,00</v>
      </c>
      <c r="N5308" s="8" t="s">
        <v>478</v>
      </c>
      <c r="O5308" s="7"/>
      <c r="P5308" s="2">
        <v>1950</v>
      </c>
      <c r="Q5308" s="7"/>
      <c r="R5308" s="1"/>
      <c r="S5308" s="1" t="str">
        <f>"2022-2611"</f>
        <v>2022-2611</v>
      </c>
      <c r="T5308" s="1" t="s">
        <v>55</v>
      </c>
    </row>
    <row r="5309" spans="1:20" ht="63.75" x14ac:dyDescent="0.25">
      <c r="A5309" s="6">
        <v>5288</v>
      </c>
      <c r="B5309" s="1" t="str">
        <f>"2022-1716"</f>
        <v>2022-1716</v>
      </c>
      <c r="C5309" s="1" t="s">
        <v>3369</v>
      </c>
      <c r="D5309" s="1" t="s">
        <v>745</v>
      </c>
      <c r="E5309" s="1" t="str">
        <f>""</f>
        <v/>
      </c>
      <c r="F5309" s="1" t="s">
        <v>1860</v>
      </c>
      <c r="G5309" s="1" t="str">
        <f>CONCATENATE("BAČELIĆ D.O.O.,"," AVENIJA VEĆESLAVA HOLJEVCA 54,"," 10000 ZAGREB,"," OIB: 6296953584")</f>
        <v>BAČELIĆ D.O.O., AVENIJA VEĆESLAVA HOLJEVCA 54, 10000 ZAGREB, OIB: 6296953584</v>
      </c>
      <c r="H5309" s="7"/>
      <c r="I5309" s="8" t="s">
        <v>401</v>
      </c>
      <c r="J5309" s="7"/>
      <c r="K5309" s="6" t="str">
        <f>"7.205,33"</f>
        <v>7.205,33</v>
      </c>
      <c r="L5309" s="6" t="str">
        <f>"1.890,22"</f>
        <v>1.890,22</v>
      </c>
      <c r="M5309" s="6" t="str">
        <f>"9.095,55"</f>
        <v>9.095,55</v>
      </c>
      <c r="N5309" s="8" t="s">
        <v>308</v>
      </c>
      <c r="O5309" s="7"/>
      <c r="P5309" s="2">
        <v>9451.08</v>
      </c>
      <c r="Q5309" s="1"/>
      <c r="R5309" s="1"/>
      <c r="S5309" s="1" t="str">
        <f>"2022-2612"</f>
        <v>2022-2612</v>
      </c>
      <c r="T5309" s="1" t="s">
        <v>55</v>
      </c>
    </row>
    <row r="5310" spans="1:20" ht="76.5" x14ac:dyDescent="0.25">
      <c r="A5310" s="6">
        <v>5289</v>
      </c>
      <c r="B5310" s="1" t="str">
        <f>"2022-1481"</f>
        <v>2022-1481</v>
      </c>
      <c r="C5310" s="1" t="s">
        <v>3359</v>
      </c>
      <c r="D5310" s="1" t="s">
        <v>1306</v>
      </c>
      <c r="E5310" s="1" t="str">
        <f>""</f>
        <v/>
      </c>
      <c r="F5310" s="1" t="s">
        <v>1860</v>
      </c>
      <c r="G5310" s="1" t="str">
        <f>CONCATENATE("SMIT-COMMERCE D.O.O.,"," GORNJOSTUPNIČKA 9B,"," 10255 GORNJI STUPNIK,"," OIB: 9524348214")</f>
        <v>SMIT-COMMERCE D.O.O., GORNJOSTUPNIČKA 9B, 10255 GORNJI STUPNIK, OIB: 9524348214</v>
      </c>
      <c r="H5310" s="7"/>
      <c r="I5310" s="8" t="s">
        <v>401</v>
      </c>
      <c r="J5310" s="7"/>
      <c r="K5310" s="6" t="str">
        <f>"921,99"</f>
        <v>921,99</v>
      </c>
      <c r="L5310" s="6" t="str">
        <f>"0,00"</f>
        <v>0,00</v>
      </c>
      <c r="M5310" s="6" t="str">
        <f>"921,99"</f>
        <v>921,99</v>
      </c>
      <c r="N5310" s="8" t="s">
        <v>124</v>
      </c>
      <c r="O5310" s="7"/>
      <c r="P5310" s="2">
        <v>0</v>
      </c>
      <c r="Q5310" s="7"/>
      <c r="R5310" s="1"/>
      <c r="S5310" s="1" t="str">
        <f>"2022-2613"</f>
        <v>2022-2613</v>
      </c>
      <c r="T5310" s="1" t="s">
        <v>55</v>
      </c>
    </row>
    <row r="5311" spans="1:20" ht="51" x14ac:dyDescent="0.25">
      <c r="A5311" s="6">
        <v>5290</v>
      </c>
      <c r="B5311" s="1" t="str">
        <f>"2022-503"</f>
        <v>2022-503</v>
      </c>
      <c r="C5311" s="1" t="s">
        <v>2699</v>
      </c>
      <c r="D5311" s="1" t="s">
        <v>3306</v>
      </c>
      <c r="E5311" s="1" t="str">
        <f>""</f>
        <v/>
      </c>
      <c r="F5311" s="1" t="s">
        <v>1860</v>
      </c>
      <c r="G5311" s="1" t="str">
        <f>CONCATENATE("ALATI MILIĆ D.O.O.,"," MIRKA VIRIUSA 2,"," 10000 ZAGREB,"," OIB: 53769098448")</f>
        <v>ALATI MILIĆ D.O.O., MIRKA VIRIUSA 2, 10000 ZAGREB, OIB: 53769098448</v>
      </c>
      <c r="H5311" s="7"/>
      <c r="I5311" s="8" t="s">
        <v>401</v>
      </c>
      <c r="J5311" s="7"/>
      <c r="K5311" s="6" t="str">
        <f>"174,00"</f>
        <v>174,00</v>
      </c>
      <c r="L5311" s="6" t="str">
        <f>"43,50"</f>
        <v>43,50</v>
      </c>
      <c r="M5311" s="6" t="str">
        <f>"217,50"</f>
        <v>217,50</v>
      </c>
      <c r="N5311" s="8" t="s">
        <v>625</v>
      </c>
      <c r="O5311" s="7"/>
      <c r="P5311" s="2">
        <v>217.5</v>
      </c>
      <c r="Q5311" s="7"/>
      <c r="R5311" s="1"/>
      <c r="S5311" s="1" t="str">
        <f>"2022-2615"</f>
        <v>2022-2615</v>
      </c>
      <c r="T5311" s="1" t="s">
        <v>55</v>
      </c>
    </row>
    <row r="5312" spans="1:20" ht="51" x14ac:dyDescent="0.25">
      <c r="A5312" s="6">
        <v>5291</v>
      </c>
      <c r="B5312" s="1" t="str">
        <f>"2022-894"</f>
        <v>2022-894</v>
      </c>
      <c r="C5312" s="1" t="s">
        <v>2863</v>
      </c>
      <c r="D5312" s="1" t="s">
        <v>1209</v>
      </c>
      <c r="E5312" s="1" t="str">
        <f>""</f>
        <v/>
      </c>
      <c r="F5312" s="1" t="s">
        <v>1860</v>
      </c>
      <c r="G5312" s="1" t="str">
        <f>CONCATENATE("MI-STAR D.O.O.,"," NOVSKA 24,"," 10000 ZAGREB,"," OIB: 44816778493")</f>
        <v>MI-STAR D.O.O., NOVSKA 24, 10000 ZAGREB, OIB: 44816778493</v>
      </c>
      <c r="H5312" s="7"/>
      <c r="I5312" s="8" t="s">
        <v>401</v>
      </c>
      <c r="J5312" s="7"/>
      <c r="K5312" s="6" t="str">
        <f>"9.000,00"</f>
        <v>9.000,00</v>
      </c>
      <c r="L5312" s="6" t="str">
        <f>"1.125,00"</f>
        <v>1.125,00</v>
      </c>
      <c r="M5312" s="6" t="str">
        <f>"10.125,00"</f>
        <v>10.125,00</v>
      </c>
      <c r="N5312" s="8" t="s">
        <v>535</v>
      </c>
      <c r="O5312" s="7"/>
      <c r="P5312" s="2">
        <v>5625</v>
      </c>
      <c r="Q5312" s="7"/>
      <c r="R5312" s="1"/>
      <c r="S5312" s="1" t="str">
        <f>"2022-2616"</f>
        <v>2022-2616</v>
      </c>
      <c r="T5312" s="1" t="s">
        <v>55</v>
      </c>
    </row>
    <row r="5313" spans="1:20" ht="51" x14ac:dyDescent="0.25">
      <c r="A5313" s="6">
        <v>5292</v>
      </c>
      <c r="B5313" s="1" t="str">
        <f>"2022-459"</f>
        <v>2022-459</v>
      </c>
      <c r="C5313" s="1" t="s">
        <v>2795</v>
      </c>
      <c r="D5313" s="1" t="s">
        <v>1621</v>
      </c>
      <c r="E5313" s="1" t="str">
        <f>""</f>
        <v/>
      </c>
      <c r="F5313" s="1" t="s">
        <v>1860</v>
      </c>
      <c r="G5313" s="1" t="str">
        <f>CONCATENATE("POLJOOPSKRBA-TEHNO D.D.,"," SAMOBORSKA 96,"," 10000 ZAGREB,"," OIB: 5372167324")</f>
        <v>POLJOOPSKRBA-TEHNO D.D., SAMOBORSKA 96, 10000 ZAGREB, OIB: 5372167324</v>
      </c>
      <c r="H5313" s="7"/>
      <c r="I5313" s="8" t="s">
        <v>401</v>
      </c>
      <c r="J5313" s="7"/>
      <c r="K5313" s="6" t="str">
        <f>"717,60"</f>
        <v>717,60</v>
      </c>
      <c r="L5313" s="6" t="str">
        <f>"179,40"</f>
        <v>179,40</v>
      </c>
      <c r="M5313" s="6" t="str">
        <f>"897,00"</f>
        <v>897,00</v>
      </c>
      <c r="N5313" s="8" t="s">
        <v>565</v>
      </c>
      <c r="O5313" s="7"/>
      <c r="P5313" s="2">
        <v>897</v>
      </c>
      <c r="Q5313" s="7"/>
      <c r="R5313" s="1"/>
      <c r="S5313" s="1" t="str">
        <f>"2022-2617"</f>
        <v>2022-2617</v>
      </c>
      <c r="T5313" s="1" t="s">
        <v>55</v>
      </c>
    </row>
    <row r="5314" spans="1:20" ht="51" x14ac:dyDescent="0.25">
      <c r="A5314" s="6">
        <v>5293</v>
      </c>
      <c r="B5314" s="1" t="str">
        <f>"2022-711"</f>
        <v>2022-711</v>
      </c>
      <c r="C5314" s="1" t="s">
        <v>2956</v>
      </c>
      <c r="D5314" s="1" t="s">
        <v>815</v>
      </c>
      <c r="E5314" s="1" t="str">
        <f>""</f>
        <v/>
      </c>
      <c r="F5314" s="1" t="s">
        <v>1860</v>
      </c>
      <c r="G5314" s="1" t="str">
        <f>CONCATENATE("M.B. AUTO  d.o.o.,"," KOLEDOVČINA 8,"," 10000 ZAGREB,"," OIB: 8902734372")</f>
        <v>M.B. AUTO  d.o.o., KOLEDOVČINA 8, 10000 ZAGREB, OIB: 8902734372</v>
      </c>
      <c r="H5314" s="7"/>
      <c r="I5314" s="8" t="s">
        <v>401</v>
      </c>
      <c r="J5314" s="7"/>
      <c r="K5314" s="6" t="str">
        <f>"4.659,30"</f>
        <v>4.659,30</v>
      </c>
      <c r="L5314" s="6" t="str">
        <f>"1.164,83"</f>
        <v>1.164,83</v>
      </c>
      <c r="M5314" s="6" t="str">
        <f>"5.824,13"</f>
        <v>5.824,13</v>
      </c>
      <c r="N5314" s="8" t="s">
        <v>72</v>
      </c>
      <c r="O5314" s="7"/>
      <c r="P5314" s="2">
        <v>5824.13</v>
      </c>
      <c r="Q5314" s="7"/>
      <c r="R5314" s="1"/>
      <c r="S5314" s="1" t="str">
        <f>"2022-2618"</f>
        <v>2022-2618</v>
      </c>
      <c r="T5314" s="1" t="s">
        <v>55</v>
      </c>
    </row>
    <row r="5315" spans="1:20" ht="51" x14ac:dyDescent="0.25">
      <c r="A5315" s="6">
        <v>5294</v>
      </c>
      <c r="B5315" s="1" t="str">
        <f>"2022-716"</f>
        <v>2022-716</v>
      </c>
      <c r="C5315" s="1" t="s">
        <v>2563</v>
      </c>
      <c r="D5315" s="1" t="s">
        <v>815</v>
      </c>
      <c r="E5315" s="1" t="str">
        <f>""</f>
        <v/>
      </c>
      <c r="F5315" s="1" t="s">
        <v>1860</v>
      </c>
      <c r="G5315" s="1" t="str">
        <f>CONCATENATE("ZUBAK GRUPA D.O.O.,"," ZAGREBAČKA 117,"," 10410 VELIKA GORICA,"," OIB: 39135989747")</f>
        <v>ZUBAK GRUPA D.O.O., ZAGREBAČKA 117, 10410 VELIKA GORICA, OIB: 39135989747</v>
      </c>
      <c r="H5315" s="7"/>
      <c r="I5315" s="8" t="s">
        <v>401</v>
      </c>
      <c r="J5315" s="7"/>
      <c r="K5315" s="6" t="str">
        <f>"11.297,89"</f>
        <v>11.297,89</v>
      </c>
      <c r="L5315" s="6" t="str">
        <f>"0,00"</f>
        <v>0,00</v>
      </c>
      <c r="M5315" s="6" t="str">
        <f>"11.297,89"</f>
        <v>11.297,89</v>
      </c>
      <c r="N5315" s="8" t="s">
        <v>124</v>
      </c>
      <c r="O5315" s="7"/>
      <c r="P5315" s="2">
        <v>0</v>
      </c>
      <c r="Q5315" s="7"/>
      <c r="R5315" s="1"/>
      <c r="S5315" s="1" t="str">
        <f>"2022-2619"</f>
        <v>2022-2619</v>
      </c>
      <c r="T5315" s="1" t="s">
        <v>55</v>
      </c>
    </row>
    <row r="5316" spans="1:20" ht="76.5" x14ac:dyDescent="0.25">
      <c r="A5316" s="6">
        <v>5295</v>
      </c>
      <c r="B5316" s="1" t="str">
        <f>"2022-830"</f>
        <v>2022-830</v>
      </c>
      <c r="C5316" s="1" t="s">
        <v>3312</v>
      </c>
      <c r="D5316" s="1" t="s">
        <v>21</v>
      </c>
      <c r="E5316" s="1" t="str">
        <f>""</f>
        <v/>
      </c>
      <c r="F5316" s="1" t="s">
        <v>1860</v>
      </c>
      <c r="G5316" s="1" t="str">
        <f>CONCATENATE("ZAGREBAČKI HOLDING D.O.O.,"," PODRUŽNICA ČISTOĆA,"," RADNIČKA CESTA 82,"," 10000 ZAGREB,"," OIB: 85584865987")</f>
        <v>ZAGREBAČKI HOLDING D.O.O., PODRUŽNICA ČISTOĆA, RADNIČKA CESTA 82, 10000 ZAGREB, OIB: 85584865987</v>
      </c>
      <c r="H5316" s="7"/>
      <c r="I5316" s="8" t="s">
        <v>855</v>
      </c>
      <c r="J5316" s="7"/>
      <c r="K5316" s="6" t="str">
        <f>"29.921,85"</f>
        <v>29.921,85</v>
      </c>
      <c r="L5316" s="6" t="str">
        <f>"1.029,92"</f>
        <v>1.029,92</v>
      </c>
      <c r="M5316" s="6" t="str">
        <f>"30.951,77"</f>
        <v>30.951,77</v>
      </c>
      <c r="N5316" s="8" t="s">
        <v>875</v>
      </c>
      <c r="O5316" s="7"/>
      <c r="P5316" s="2">
        <v>5149.6000000000004</v>
      </c>
      <c r="Q5316" s="7"/>
      <c r="R5316" s="1"/>
      <c r="S5316" s="1" t="str">
        <f>"2022-2626"</f>
        <v>2022-2626</v>
      </c>
      <c r="T5316" s="1" t="s">
        <v>55</v>
      </c>
    </row>
    <row r="5317" spans="1:20" ht="51" x14ac:dyDescent="0.25">
      <c r="A5317" s="6">
        <v>5296</v>
      </c>
      <c r="B5317" s="1" t="str">
        <f>"2022-452"</f>
        <v>2022-452</v>
      </c>
      <c r="C5317" s="1" t="s">
        <v>2881</v>
      </c>
      <c r="D5317" s="1" t="s">
        <v>3370</v>
      </c>
      <c r="E5317" s="1" t="str">
        <f>""</f>
        <v/>
      </c>
      <c r="F5317" s="1" t="s">
        <v>1860</v>
      </c>
      <c r="G5317" s="1" t="str">
        <f>CONCATENATE("IVERO D.O.O.,"," PLANINSKA 13,"," 10360 SESVETE,"," OIB: 8920645596")</f>
        <v>IVERO D.O.O., PLANINSKA 13, 10360 SESVETE, OIB: 8920645596</v>
      </c>
      <c r="H5317" s="7"/>
      <c r="I5317" s="8" t="s">
        <v>856</v>
      </c>
      <c r="J5317" s="7"/>
      <c r="K5317" s="6" t="str">
        <f>"1.650,00"</f>
        <v>1.650,00</v>
      </c>
      <c r="L5317" s="6" t="str">
        <f>"412,50"</f>
        <v>412,50</v>
      </c>
      <c r="M5317" s="6" t="str">
        <f>"2.062,50"</f>
        <v>2.062,50</v>
      </c>
      <c r="N5317" s="8" t="s">
        <v>57</v>
      </c>
      <c r="O5317" s="7"/>
      <c r="P5317" s="2">
        <v>2062.5</v>
      </c>
      <c r="Q5317" s="7"/>
      <c r="R5317" s="1"/>
      <c r="S5317" s="1" t="str">
        <f>"2022-2647"</f>
        <v>2022-2647</v>
      </c>
      <c r="T5317" s="1" t="s">
        <v>55</v>
      </c>
    </row>
    <row r="5318" spans="1:20" ht="63.75" x14ac:dyDescent="0.25">
      <c r="A5318" s="6">
        <v>5297</v>
      </c>
      <c r="B5318" s="1" t="str">
        <f>"2022-1561"</f>
        <v>2022-1561</v>
      </c>
      <c r="C5318" s="1" t="s">
        <v>3371</v>
      </c>
      <c r="D5318" s="1" t="s">
        <v>3372</v>
      </c>
      <c r="E5318" s="1" t="str">
        <f>""</f>
        <v/>
      </c>
      <c r="F5318" s="1" t="s">
        <v>1860</v>
      </c>
      <c r="G5318" s="1" t="str">
        <f>CONCATENATE("GRANDA PROJEKT D.O.O.,"," II. ZAGREBAČKI ODVOJAK 9,"," 10000 ZAGREB,"," OIB: 49276556488")</f>
        <v>GRANDA PROJEKT D.O.O., II. ZAGREBAČKI ODVOJAK 9, 10000 ZAGREB, OIB: 49276556488</v>
      </c>
      <c r="H5318" s="7"/>
      <c r="I5318" s="8" t="s">
        <v>856</v>
      </c>
      <c r="J5318" s="7"/>
      <c r="K5318" s="6" t="str">
        <f>"10.628,40"</f>
        <v>10.628,40</v>
      </c>
      <c r="L5318" s="6" t="str">
        <f>"0,00"</f>
        <v>0,00</v>
      </c>
      <c r="M5318" s="6" t="str">
        <f>"10.628,40"</f>
        <v>10.628,40</v>
      </c>
      <c r="N5318" s="8" t="s">
        <v>124</v>
      </c>
      <c r="O5318" s="7"/>
      <c r="P5318" s="2">
        <v>0</v>
      </c>
      <c r="Q5318" s="7"/>
      <c r="R5318" s="1"/>
      <c r="S5318" s="1" t="str">
        <f>"2022-2655"</f>
        <v>2022-2655</v>
      </c>
      <c r="T5318" s="1" t="s">
        <v>55</v>
      </c>
    </row>
    <row r="5319" spans="1:20" ht="51" x14ac:dyDescent="0.25">
      <c r="A5319" s="6">
        <v>5298</v>
      </c>
      <c r="B5319" s="1" t="str">
        <f>"2022-1123"</f>
        <v>2022-1123</v>
      </c>
      <c r="C5319" s="1" t="s">
        <v>2779</v>
      </c>
      <c r="D5319" s="1" t="s">
        <v>3373</v>
      </c>
      <c r="E5319" s="1" t="str">
        <f>""</f>
        <v/>
      </c>
      <c r="F5319" s="1" t="s">
        <v>1860</v>
      </c>
      <c r="G5319" s="1" t="str">
        <f>CONCATENATE("LEXPERA D.O.O.,"," TUŠKANOVA 37,"," 10000 ZAGREB,"," OIB: 79506290597")</f>
        <v>LEXPERA D.O.O., TUŠKANOVA 37, 10000 ZAGREB, OIB: 79506290597</v>
      </c>
      <c r="H5319" s="7"/>
      <c r="I5319" s="8" t="s">
        <v>856</v>
      </c>
      <c r="J5319" s="7"/>
      <c r="K5319" s="6" t="str">
        <f>"9.000,00"</f>
        <v>9.000,00</v>
      </c>
      <c r="L5319" s="6" t="str">
        <f>"2.250,00"</f>
        <v>2.250,00</v>
      </c>
      <c r="M5319" s="6" t="str">
        <f>"11.250,00"</f>
        <v>11.250,00</v>
      </c>
      <c r="N5319" s="8" t="s">
        <v>919</v>
      </c>
      <c r="O5319" s="7"/>
      <c r="P5319" s="2">
        <v>11250</v>
      </c>
      <c r="Q5319" s="7"/>
      <c r="R5319" s="1"/>
      <c r="S5319" s="1" t="str">
        <f>"2022-2660"</f>
        <v>2022-2660</v>
      </c>
      <c r="T5319" s="1" t="s">
        <v>43</v>
      </c>
    </row>
    <row r="5320" spans="1:20" ht="102" x14ac:dyDescent="0.25">
      <c r="A5320" s="6">
        <v>5299</v>
      </c>
      <c r="B5320" s="1" t="str">
        <f>"2022-1162"</f>
        <v>2022-1162</v>
      </c>
      <c r="C5320" s="1" t="s">
        <v>3364</v>
      </c>
      <c r="D5320" s="1" t="s">
        <v>3326</v>
      </c>
      <c r="E5320" s="1" t="str">
        <f>""</f>
        <v/>
      </c>
      <c r="F5320" s="1" t="s">
        <v>1860</v>
      </c>
      <c r="G5320" s="1" t="str">
        <f>CONCATENATE("TRAMES D.O.O.,"," ŠIPČINE 2,"," 20000 DUBROVNIK,"," OIB: 80480322314")</f>
        <v>TRAMES D.O.O., ŠIPČINE 2, 20000 DUBROVNIK, OIB: 80480322314</v>
      </c>
      <c r="H5320" s="7"/>
      <c r="I5320" s="8" t="s">
        <v>856</v>
      </c>
      <c r="J5320" s="7"/>
      <c r="K5320" s="6" t="str">
        <f>"2.900,00"</f>
        <v>2.900,00</v>
      </c>
      <c r="L5320" s="6" t="str">
        <f>"0,00"</f>
        <v>0,00</v>
      </c>
      <c r="M5320" s="6" t="str">
        <f>"2.900,00"</f>
        <v>2.900,00</v>
      </c>
      <c r="N5320" s="8" t="s">
        <v>124</v>
      </c>
      <c r="O5320" s="7"/>
      <c r="P5320" s="2">
        <v>2900</v>
      </c>
      <c r="Q5320" s="7"/>
      <c r="R5320" s="1"/>
      <c r="S5320" s="1" t="str">
        <f>"2022-2661"</f>
        <v>2022-2661</v>
      </c>
      <c r="T5320" s="1" t="s">
        <v>55</v>
      </c>
    </row>
    <row r="5321" spans="1:20" ht="51" x14ac:dyDescent="0.25">
      <c r="A5321" s="6">
        <v>5300</v>
      </c>
      <c r="B5321" s="1" t="str">
        <f>"2022-60"</f>
        <v>2022-60</v>
      </c>
      <c r="C5321" s="1" t="s">
        <v>3042</v>
      </c>
      <c r="D5321" s="1" t="s">
        <v>1371</v>
      </c>
      <c r="E5321" s="1" t="str">
        <f>""</f>
        <v/>
      </c>
      <c r="F5321" s="1" t="s">
        <v>1860</v>
      </c>
      <c r="G5321" s="1" t="str">
        <f>CONCATENATE("NARODNE NOVINE D.D.,"," SAVSKI GAJ XIII. PUT br. 6,"," 10000 ZAGREB,"," OIB: 64546066176")</f>
        <v>NARODNE NOVINE D.D., SAVSKI GAJ XIII. PUT br. 6, 10000 ZAGREB, OIB: 64546066176</v>
      </c>
      <c r="H5321" s="7"/>
      <c r="I5321" s="8" t="s">
        <v>856</v>
      </c>
      <c r="J5321" s="7"/>
      <c r="K5321" s="6" t="str">
        <f>"6.715,00"</f>
        <v>6.715,00</v>
      </c>
      <c r="L5321" s="6" t="str">
        <f>"1.678,75"</f>
        <v>1.678,75</v>
      </c>
      <c r="M5321" s="6" t="str">
        <f>"8.393,75"</f>
        <v>8.393,75</v>
      </c>
      <c r="N5321" s="8" t="s">
        <v>293</v>
      </c>
      <c r="O5321" s="7"/>
      <c r="P5321" s="2">
        <v>8393.75</v>
      </c>
      <c r="Q5321" s="7"/>
      <c r="R5321" s="1"/>
      <c r="S5321" s="1" t="str">
        <f>"2022-2694"</f>
        <v>2022-2694</v>
      </c>
      <c r="T5321" s="1" t="s">
        <v>43</v>
      </c>
    </row>
    <row r="5322" spans="1:20" ht="63.75" x14ac:dyDescent="0.25">
      <c r="A5322" s="6">
        <v>5301</v>
      </c>
      <c r="B5322" s="1" t="str">
        <f>"2022-711"</f>
        <v>2022-711</v>
      </c>
      <c r="C5322" s="1" t="s">
        <v>2956</v>
      </c>
      <c r="D5322" s="1" t="s">
        <v>815</v>
      </c>
      <c r="E5322" s="1" t="str">
        <f>""</f>
        <v/>
      </c>
      <c r="F5322" s="1" t="s">
        <v>1860</v>
      </c>
      <c r="G5322" s="1" t="str">
        <f>CONCATENATE("AUTO SERVIS PERIĆ VL. ZRINKO PERIĆ,"," DANKOVEČKA 87,"," 10000 ZAGREB,"," OIB: 13352879212")</f>
        <v>AUTO SERVIS PERIĆ VL. ZRINKO PERIĆ, DANKOVEČKA 87, 10000 ZAGREB, OIB: 13352879212</v>
      </c>
      <c r="H5322" s="7"/>
      <c r="I5322" s="8" t="s">
        <v>856</v>
      </c>
      <c r="J5322" s="7"/>
      <c r="K5322" s="6" t="str">
        <f>"2.856,86"</f>
        <v>2.856,86</v>
      </c>
      <c r="L5322" s="6" t="str">
        <f>"714,22"</f>
        <v>714,22</v>
      </c>
      <c r="M5322" s="6" t="str">
        <f>"3.571,08"</f>
        <v>3.571,08</v>
      </c>
      <c r="N5322" s="8" t="s">
        <v>247</v>
      </c>
      <c r="O5322" s="7"/>
      <c r="P5322" s="2">
        <v>3571.08</v>
      </c>
      <c r="Q5322" s="7"/>
      <c r="R5322" s="1"/>
      <c r="S5322" s="1" t="str">
        <f>"2022-2695"</f>
        <v>2022-2695</v>
      </c>
      <c r="T5322" s="1" t="s">
        <v>43</v>
      </c>
    </row>
    <row r="5323" spans="1:20" ht="51" x14ac:dyDescent="0.25">
      <c r="A5323" s="6">
        <v>5302</v>
      </c>
      <c r="B5323" s="1" t="str">
        <f>"2022-823"</f>
        <v>2022-823</v>
      </c>
      <c r="C5323" s="1" t="s">
        <v>2675</v>
      </c>
      <c r="D5323" s="1" t="s">
        <v>2676</v>
      </c>
      <c r="E5323" s="1" t="str">
        <f>""</f>
        <v/>
      </c>
      <c r="F5323" s="1" t="s">
        <v>1860</v>
      </c>
      <c r="G5323" s="1" t="str">
        <f>CONCATENATE("AUTOKUĆA-ŠTARKELJ D.O.O.,"," UKRAJINSKA 17,"," 10000 ZAGREB,"," OIB: 87340407905")</f>
        <v>AUTOKUĆA-ŠTARKELJ D.O.O., UKRAJINSKA 17, 10000 ZAGREB, OIB: 87340407905</v>
      </c>
      <c r="H5323" s="7"/>
      <c r="I5323" s="8" t="s">
        <v>856</v>
      </c>
      <c r="J5323" s="7"/>
      <c r="K5323" s="6" t="str">
        <f>"2.712,57"</f>
        <v>2.712,57</v>
      </c>
      <c r="L5323" s="6" t="str">
        <f>"678,14"</f>
        <v>678,14</v>
      </c>
      <c r="M5323" s="6" t="str">
        <f>"3.390,71"</f>
        <v>3.390,71</v>
      </c>
      <c r="N5323" s="8" t="s">
        <v>535</v>
      </c>
      <c r="O5323" s="7"/>
      <c r="P5323" s="2">
        <v>3390.71</v>
      </c>
      <c r="Q5323" s="7"/>
      <c r="R5323" s="1"/>
      <c r="S5323" s="1" t="str">
        <f>"2022-2698"</f>
        <v>2022-2698</v>
      </c>
      <c r="T5323" s="1" t="s">
        <v>55</v>
      </c>
    </row>
    <row r="5324" spans="1:20" ht="51" x14ac:dyDescent="0.25">
      <c r="A5324" s="6">
        <v>5303</v>
      </c>
      <c r="B5324" s="1" t="str">
        <f>"2022-715"</f>
        <v>2022-715</v>
      </c>
      <c r="C5324" s="1" t="s">
        <v>2733</v>
      </c>
      <c r="D5324" s="1" t="s">
        <v>815</v>
      </c>
      <c r="E5324" s="1" t="str">
        <f>""</f>
        <v/>
      </c>
      <c r="F5324" s="1" t="s">
        <v>1860</v>
      </c>
      <c r="G5324" s="1" t="str">
        <f>CONCATENATE("AUTOKUĆA-ŠTARKELJ D.O.O.,"," UKRAJINSKA 17,"," 10000 ZAGREB,"," OIB: 87340407905")</f>
        <v>AUTOKUĆA-ŠTARKELJ D.O.O., UKRAJINSKA 17, 10000 ZAGREB, OIB: 87340407905</v>
      </c>
      <c r="H5324" s="7"/>
      <c r="I5324" s="8" t="s">
        <v>856</v>
      </c>
      <c r="J5324" s="7"/>
      <c r="K5324" s="6" t="str">
        <f>"2.602,03"</f>
        <v>2.602,03</v>
      </c>
      <c r="L5324" s="6" t="str">
        <f>"0,00"</f>
        <v>0,00</v>
      </c>
      <c r="M5324" s="6" t="str">
        <f>"2.602,03"</f>
        <v>2.602,03</v>
      </c>
      <c r="N5324" s="8" t="s">
        <v>124</v>
      </c>
      <c r="O5324" s="7"/>
      <c r="P5324" s="2">
        <v>0</v>
      </c>
      <c r="Q5324" s="7"/>
      <c r="R5324" s="1"/>
      <c r="S5324" s="1" t="str">
        <f>"2022-2699"</f>
        <v>2022-2699</v>
      </c>
      <c r="T5324" s="1" t="s">
        <v>55</v>
      </c>
    </row>
    <row r="5325" spans="1:20" ht="51" x14ac:dyDescent="0.25">
      <c r="A5325" s="6">
        <v>5304</v>
      </c>
      <c r="B5325" s="1" t="str">
        <f>"2022-813"</f>
        <v>2022-813</v>
      </c>
      <c r="C5325" s="1" t="s">
        <v>2844</v>
      </c>
      <c r="D5325" s="1" t="s">
        <v>2716</v>
      </c>
      <c r="E5325" s="1" t="str">
        <f>""</f>
        <v/>
      </c>
      <c r="F5325" s="1" t="s">
        <v>1860</v>
      </c>
      <c r="G5325" s="1" t="str">
        <f>CONCATENATE("LAGER BAŠIĆ D.O.O.,"," TRGOVAČKA 3,"," 10255 DONJI STUPNIK,"," OIB: 49617677906")</f>
        <v>LAGER BAŠIĆ D.O.O., TRGOVAČKA 3, 10255 DONJI STUPNIK, OIB: 49617677906</v>
      </c>
      <c r="H5325" s="7"/>
      <c r="I5325" s="8" t="s">
        <v>856</v>
      </c>
      <c r="J5325" s="7"/>
      <c r="K5325" s="6" t="str">
        <f>"8.347,00"</f>
        <v>8.347,00</v>
      </c>
      <c r="L5325" s="6" t="str">
        <f>"2.086,75"</f>
        <v>2.086,75</v>
      </c>
      <c r="M5325" s="6" t="str">
        <f>"10.433,75"</f>
        <v>10.433,75</v>
      </c>
      <c r="N5325" s="8" t="s">
        <v>403</v>
      </c>
      <c r="O5325" s="7"/>
      <c r="P5325" s="2">
        <v>10433.75</v>
      </c>
      <c r="Q5325" s="7"/>
      <c r="R5325" s="1"/>
      <c r="S5325" s="1" t="str">
        <f>"2022-2700"</f>
        <v>2022-2700</v>
      </c>
      <c r="T5325" s="1" t="s">
        <v>55</v>
      </c>
    </row>
    <row r="5326" spans="1:20" ht="63.75" x14ac:dyDescent="0.25">
      <c r="A5326" s="6">
        <v>5305</v>
      </c>
      <c r="B5326" s="1" t="str">
        <f>"2022-767"</f>
        <v>2022-767</v>
      </c>
      <c r="C5326" s="1" t="s">
        <v>3057</v>
      </c>
      <c r="D5326" s="1" t="s">
        <v>1111</v>
      </c>
      <c r="E5326" s="1" t="str">
        <f>""</f>
        <v/>
      </c>
      <c r="F5326" s="1" t="s">
        <v>1860</v>
      </c>
      <c r="G5326" s="1" t="str">
        <f>CONCATENATE("MONTCOGIM - PLINARA D.O.O.,"," TRG ANTE STARČEVIĆA 2,"," 10431 SVETA NEDELJA,"," OIB: 8569042224")</f>
        <v>MONTCOGIM - PLINARA D.O.O., TRG ANTE STARČEVIĆA 2, 10431 SVETA NEDELJA, OIB: 8569042224</v>
      </c>
      <c r="H5326" s="7"/>
      <c r="I5326" s="8" t="s">
        <v>856</v>
      </c>
      <c r="J5326" s="7"/>
      <c r="K5326" s="6" t="str">
        <f>"4.646,76"</f>
        <v>4.646,76</v>
      </c>
      <c r="L5326" s="6" t="str">
        <f>"0,00"</f>
        <v>0,00</v>
      </c>
      <c r="M5326" s="6" t="str">
        <f>"4.646,76"</f>
        <v>4.646,76</v>
      </c>
      <c r="N5326" s="8" t="s">
        <v>124</v>
      </c>
      <c r="O5326" s="7"/>
      <c r="P5326" s="2">
        <v>0</v>
      </c>
      <c r="Q5326" s="7"/>
      <c r="R5326" s="1"/>
      <c r="S5326" s="1" t="str">
        <f>"2022-2701"</f>
        <v>2022-2701</v>
      </c>
      <c r="T5326" s="1" t="s">
        <v>55</v>
      </c>
    </row>
    <row r="5327" spans="1:20" ht="89.25" x14ac:dyDescent="0.25">
      <c r="A5327" s="6">
        <v>5306</v>
      </c>
      <c r="B5327" s="1" t="str">
        <f>"2022-160"</f>
        <v>2022-160</v>
      </c>
      <c r="C5327" s="1" t="s">
        <v>3014</v>
      </c>
      <c r="D5327" s="1" t="s">
        <v>1492</v>
      </c>
      <c r="E5327" s="1" t="str">
        <f>""</f>
        <v/>
      </c>
      <c r="F5327" s="1" t="s">
        <v>1860</v>
      </c>
      <c r="G5327" s="1" t="str">
        <f>CONCATENATE("ZAGREBAČKI HOLDING D.O.O.,"," PODRUŽNICA ZRINJEVAC,"," ULICA GRADA VUKOVARA 41,"," REMETINEČKA CESTA 15,"," 10000 ZAGREB,"," OIB: 85584865987")</f>
        <v>ZAGREBAČKI HOLDING D.O.O., PODRUŽNICA ZRINJEVAC, ULICA GRADA VUKOVARA 41, REMETINEČKA CESTA 15, 10000 ZAGREB, OIB: 85584865987</v>
      </c>
      <c r="H5327" s="7"/>
      <c r="I5327" s="8" t="s">
        <v>856</v>
      </c>
      <c r="J5327" s="7"/>
      <c r="K5327" s="6" t="str">
        <f>"5.904,80"</f>
        <v>5.904,80</v>
      </c>
      <c r="L5327" s="6" t="str">
        <f>"1.143,24"</f>
        <v>1.143,24</v>
      </c>
      <c r="M5327" s="6" t="str">
        <f>"7.048,04"</f>
        <v>7.048,04</v>
      </c>
      <c r="N5327" s="8" t="s">
        <v>403</v>
      </c>
      <c r="O5327" s="7"/>
      <c r="P5327" s="2">
        <v>7048.04</v>
      </c>
      <c r="Q5327" s="7"/>
      <c r="R5327" s="1"/>
      <c r="S5327" s="1" t="str">
        <f>"2022-2702"</f>
        <v>2022-2702</v>
      </c>
      <c r="T5327" s="1" t="s">
        <v>55</v>
      </c>
    </row>
    <row r="5328" spans="1:20" ht="63.75" x14ac:dyDescent="0.25">
      <c r="A5328" s="6">
        <v>5307</v>
      </c>
      <c r="B5328" s="1" t="str">
        <f>"2022-711"</f>
        <v>2022-711</v>
      </c>
      <c r="C5328" s="1" t="s">
        <v>2956</v>
      </c>
      <c r="D5328" s="1" t="s">
        <v>815</v>
      </c>
      <c r="E5328" s="1" t="str">
        <f>""</f>
        <v/>
      </c>
      <c r="F5328" s="1" t="s">
        <v>1860</v>
      </c>
      <c r="G5328" s="1" t="str">
        <f>CONCATENATE("AUTO SERVIS PERIĆ VL. ZRINKO PERIĆ,"," DANKOVEČKA 87,"," 10000 ZAGREB,"," OIB: 13352879212")</f>
        <v>AUTO SERVIS PERIĆ VL. ZRINKO PERIĆ, DANKOVEČKA 87, 10000 ZAGREB, OIB: 13352879212</v>
      </c>
      <c r="H5328" s="7"/>
      <c r="I5328" s="8" t="s">
        <v>856</v>
      </c>
      <c r="J5328" s="7"/>
      <c r="K5328" s="6" t="str">
        <f>"1.337,00"</f>
        <v>1.337,00</v>
      </c>
      <c r="L5328" s="6" t="str">
        <f>"334,25"</f>
        <v>334,25</v>
      </c>
      <c r="M5328" s="6" t="str">
        <f>"1.671,25"</f>
        <v>1.671,25</v>
      </c>
      <c r="N5328" s="8" t="s">
        <v>247</v>
      </c>
      <c r="O5328" s="7"/>
      <c r="P5328" s="2">
        <v>1671.25</v>
      </c>
      <c r="Q5328" s="7"/>
      <c r="R5328" s="1"/>
      <c r="S5328" s="1" t="str">
        <f>"2022-2705"</f>
        <v>2022-2705</v>
      </c>
      <c r="T5328" s="1" t="s">
        <v>43</v>
      </c>
    </row>
    <row r="5329" spans="1:20" ht="76.5" x14ac:dyDescent="0.25">
      <c r="A5329" s="6">
        <v>5308</v>
      </c>
      <c r="B5329" s="1" t="str">
        <f>"2022-459"</f>
        <v>2022-459</v>
      </c>
      <c r="C5329" s="1" t="s">
        <v>2795</v>
      </c>
      <c r="D5329" s="1" t="s">
        <v>1621</v>
      </c>
      <c r="E5329" s="1" t="str">
        <f>""</f>
        <v/>
      </c>
      <c r="F5329" s="1" t="s">
        <v>1860</v>
      </c>
      <c r="G5329" s="1" t="str">
        <f>CONCATENATE("TEKNOXGROUP HRVATSKA D.O.O.,"," ZASTAVNICE 25D,"," 10251 HRVATSKI LESKOVAC,"," OIB: 31826907316")</f>
        <v>TEKNOXGROUP HRVATSKA D.O.O., ZASTAVNICE 25D, 10251 HRVATSKI LESKOVAC, OIB: 31826907316</v>
      </c>
      <c r="H5329" s="7"/>
      <c r="I5329" s="8" t="s">
        <v>921</v>
      </c>
      <c r="J5329" s="7"/>
      <c r="K5329" s="6" t="str">
        <f>"6.580,34"</f>
        <v>6.580,34</v>
      </c>
      <c r="L5329" s="6" t="str">
        <f>"0,00"</f>
        <v>0,00</v>
      </c>
      <c r="M5329" s="6" t="str">
        <f>"6.580,34"</f>
        <v>6.580,34</v>
      </c>
      <c r="N5329" s="8" t="s">
        <v>124</v>
      </c>
      <c r="O5329" s="7"/>
      <c r="P5329" s="2">
        <v>0</v>
      </c>
      <c r="Q5329" s="7"/>
      <c r="R5329" s="1"/>
      <c r="S5329" s="1" t="str">
        <f>"2022-2708"</f>
        <v>2022-2708</v>
      </c>
      <c r="T5329" s="1" t="s">
        <v>55</v>
      </c>
    </row>
    <row r="5330" spans="1:20" ht="51" x14ac:dyDescent="0.25">
      <c r="A5330" s="6">
        <v>5309</v>
      </c>
      <c r="B5330" s="1" t="str">
        <f>"2022-891"</f>
        <v>2022-891</v>
      </c>
      <c r="C5330" s="1" t="s">
        <v>3374</v>
      </c>
      <c r="D5330" s="1" t="s">
        <v>2903</v>
      </c>
      <c r="E5330" s="1" t="str">
        <f>""</f>
        <v/>
      </c>
      <c r="F5330" s="1" t="s">
        <v>1860</v>
      </c>
      <c r="G5330" s="1" t="str">
        <f>CONCATENATE("JASIKA D.O.O.,"," DOLENICA 55,"," 10250 LUČKO,"," OIB: 62815184072")</f>
        <v>JASIKA D.O.O., DOLENICA 55, 10250 LUČKO, OIB: 62815184072</v>
      </c>
      <c r="H5330" s="7"/>
      <c r="I5330" s="8" t="s">
        <v>291</v>
      </c>
      <c r="J5330" s="7"/>
      <c r="K5330" s="6" t="str">
        <f>"45.675,20"</f>
        <v>45.675,20</v>
      </c>
      <c r="L5330" s="6" t="str">
        <f>"11.418,80"</f>
        <v>11.418,80</v>
      </c>
      <c r="M5330" s="6" t="str">
        <f>"57.094,00"</f>
        <v>57.094,00</v>
      </c>
      <c r="N5330" s="8" t="s">
        <v>902</v>
      </c>
      <c r="O5330" s="7"/>
      <c r="P5330" s="2">
        <v>57094</v>
      </c>
      <c r="Q5330" s="7"/>
      <c r="R5330" s="1"/>
      <c r="S5330" s="1" t="str">
        <f>"2022-2740"</f>
        <v>2022-2740</v>
      </c>
      <c r="T5330" s="1" t="s">
        <v>55</v>
      </c>
    </row>
    <row r="5331" spans="1:20" ht="51" x14ac:dyDescent="0.25">
      <c r="A5331" s="6">
        <v>5310</v>
      </c>
      <c r="B5331" s="1" t="str">
        <f>"2022-228"</f>
        <v>2022-228</v>
      </c>
      <c r="C5331" s="1" t="s">
        <v>2463</v>
      </c>
      <c r="D5331" s="1" t="s">
        <v>3311</v>
      </c>
      <c r="E5331" s="1" t="str">
        <f>""</f>
        <v/>
      </c>
      <c r="F5331" s="1" t="s">
        <v>1860</v>
      </c>
      <c r="G5331" s="1" t="str">
        <f>CONCATENATE("KEMIKA D.D.,"," HEINZELOVA 53,"," 10000 ZAGREB,"," OIB: 38181641213")</f>
        <v>KEMIKA D.D., HEINZELOVA 53, 10000 ZAGREB, OIB: 38181641213</v>
      </c>
      <c r="H5331" s="7"/>
      <c r="I5331" s="8" t="s">
        <v>261</v>
      </c>
      <c r="J5331" s="7"/>
      <c r="K5331" s="6" t="str">
        <f>"35.143,00"</f>
        <v>35.143,00</v>
      </c>
      <c r="L5331" s="6" t="str">
        <f>"0,00"</f>
        <v>0,00</v>
      </c>
      <c r="M5331" s="6" t="str">
        <f>"35.143,00"</f>
        <v>35.143,00</v>
      </c>
      <c r="N5331" s="8" t="s">
        <v>124</v>
      </c>
      <c r="O5331" s="7"/>
      <c r="P5331" s="2">
        <v>0</v>
      </c>
      <c r="Q5331" s="7"/>
      <c r="R5331" s="1"/>
      <c r="S5331" s="1" t="str">
        <f>"2022-2780"</f>
        <v>2022-2780</v>
      </c>
      <c r="T5331" s="1" t="s">
        <v>55</v>
      </c>
    </row>
    <row r="5332" spans="1:20" ht="89.25" x14ac:dyDescent="0.25">
      <c r="A5332" s="6">
        <v>5311</v>
      </c>
      <c r="B5332" s="1" t="str">
        <f>"2022-1325"</f>
        <v>2022-1325</v>
      </c>
      <c r="C5332" s="1" t="s">
        <v>3375</v>
      </c>
      <c r="D5332" s="1" t="s">
        <v>1438</v>
      </c>
      <c r="E5332" s="1" t="str">
        <f>""</f>
        <v/>
      </c>
      <c r="F5332" s="1" t="s">
        <v>1860</v>
      </c>
      <c r="G5332" s="1" t="str">
        <f>CONCATENATE("ZAGREBAČKI HOLDING D.O.O.,"," PODRUŽNICA ZRINJEVAC,"," ULICA GRADA VUKOVARA 41,"," REMETINEČKA CESTA 15,"," 10000 ZAGREB,"," OIB: 85584865987")</f>
        <v>ZAGREBAČKI HOLDING D.O.O., PODRUŽNICA ZRINJEVAC, ULICA GRADA VUKOVARA 41, REMETINEČKA CESTA 15, 10000 ZAGREB, OIB: 85584865987</v>
      </c>
      <c r="H5332" s="7"/>
      <c r="I5332" s="8" t="s">
        <v>262</v>
      </c>
      <c r="J5332" s="7"/>
      <c r="K5332" s="6" t="str">
        <f>"36.855,00"</f>
        <v>36.855,00</v>
      </c>
      <c r="L5332" s="6" t="str">
        <f>"5.805,25"</f>
        <v>5.805,25</v>
      </c>
      <c r="M5332" s="6" t="str">
        <f>"42.660,25"</f>
        <v>42.660,25</v>
      </c>
      <c r="N5332" s="8" t="s">
        <v>563</v>
      </c>
      <c r="O5332" s="7"/>
      <c r="P5332" s="2">
        <v>29026.25</v>
      </c>
      <c r="Q5332" s="7"/>
      <c r="R5332" s="1"/>
      <c r="S5332" s="1" t="str">
        <f>"2022-2804"</f>
        <v>2022-2804</v>
      </c>
      <c r="T5332" s="1" t="s">
        <v>55</v>
      </c>
    </row>
    <row r="5333" spans="1:20" ht="51" x14ac:dyDescent="0.25">
      <c r="A5333" s="6">
        <v>5312</v>
      </c>
      <c r="B5333" s="1" t="str">
        <f>"2022-1721"</f>
        <v>2022-1721</v>
      </c>
      <c r="C5333" s="1" t="s">
        <v>3376</v>
      </c>
      <c r="D5333" s="1" t="s">
        <v>3377</v>
      </c>
      <c r="E5333" s="1" t="str">
        <f>""</f>
        <v/>
      </c>
      <c r="F5333" s="1" t="s">
        <v>1860</v>
      </c>
      <c r="G5333" s="1" t="str">
        <f>CONCATENATE("GEOMODELING D.O.O.,"," ILICA 191/F,"," 10000 ZAGREB,"," OIB: 05649057963")</f>
        <v>GEOMODELING D.O.O., ILICA 191/F, 10000 ZAGREB, OIB: 05649057963</v>
      </c>
      <c r="H5333" s="7"/>
      <c r="I5333" s="8" t="s">
        <v>250</v>
      </c>
      <c r="J5333" s="7"/>
      <c r="K5333" s="6" t="str">
        <f>"199.880,00"</f>
        <v>199.880,00</v>
      </c>
      <c r="L5333" s="6" t="str">
        <f>"49.970,00"</f>
        <v>49.970,00</v>
      </c>
      <c r="M5333" s="6" t="str">
        <f>"249.850,00"</f>
        <v>249.850,00</v>
      </c>
      <c r="N5333" s="8" t="s">
        <v>425</v>
      </c>
      <c r="O5333" s="7"/>
      <c r="P5333" s="2">
        <v>249850</v>
      </c>
      <c r="Q5333" s="7"/>
      <c r="R5333" s="1"/>
      <c r="S5333" s="1" t="str">
        <f>"2022-2853"</f>
        <v>2022-2853</v>
      </c>
      <c r="T5333" s="1" t="s">
        <v>55</v>
      </c>
    </row>
    <row r="5334" spans="1:20" ht="51" x14ac:dyDescent="0.25">
      <c r="A5334" s="6">
        <v>5313</v>
      </c>
      <c r="B5334" s="1" t="str">
        <f>"2022-287"</f>
        <v>2022-287</v>
      </c>
      <c r="C5334" s="1" t="s">
        <v>3378</v>
      </c>
      <c r="D5334" s="1" t="s">
        <v>3379</v>
      </c>
      <c r="E5334" s="1" t="str">
        <f>""</f>
        <v/>
      </c>
      <c r="F5334" s="1" t="s">
        <v>1860</v>
      </c>
      <c r="G5334" s="1" t="str">
        <f>CONCATENATE("SHACKO D.O.O.,"," PARAĆEVA 21,"," 21000 SPLIT,"," OIB: 64696695028")</f>
        <v>SHACKO D.O.O., PARAĆEVA 21, 21000 SPLIT, OIB: 64696695028</v>
      </c>
      <c r="H5334" s="7"/>
      <c r="I5334" s="8" t="s">
        <v>250</v>
      </c>
      <c r="J5334" s="7"/>
      <c r="K5334" s="6" t="str">
        <f>"79.945,00"</f>
        <v>79.945,00</v>
      </c>
      <c r="L5334" s="6" t="str">
        <f>"19.986,25"</f>
        <v>19.986,25</v>
      </c>
      <c r="M5334" s="6" t="str">
        <f>"99.931,25"</f>
        <v>99.931,25</v>
      </c>
      <c r="N5334" s="8" t="s">
        <v>1112</v>
      </c>
      <c r="O5334" s="7"/>
      <c r="P5334" s="2">
        <v>99931.25</v>
      </c>
      <c r="Q5334" s="7"/>
      <c r="R5334" s="1"/>
      <c r="S5334" s="1" t="str">
        <f>"2022-2855"</f>
        <v>2022-2855</v>
      </c>
      <c r="T5334" s="1" t="s">
        <v>55</v>
      </c>
    </row>
    <row r="5335" spans="1:20" ht="51" x14ac:dyDescent="0.25">
      <c r="A5335" s="6">
        <v>5314</v>
      </c>
      <c r="B5335" s="1" t="str">
        <f>"2022-229"</f>
        <v>2022-229</v>
      </c>
      <c r="C5335" s="1" t="s">
        <v>2459</v>
      </c>
      <c r="D5335" s="1" t="s">
        <v>3311</v>
      </c>
      <c r="E5335" s="1" t="str">
        <f>""</f>
        <v/>
      </c>
      <c r="F5335" s="1" t="s">
        <v>1860</v>
      </c>
      <c r="G5335" s="1" t="str">
        <f>CONCATENATE("BIOVIT D.O.O.,"," MATKA LAGINJE 13,"," 42000 VARAŽDIN,"," OIB: 7327541289")</f>
        <v>BIOVIT D.O.O., MATKA LAGINJE 13, 42000 VARAŽDIN, OIB: 7327541289</v>
      </c>
      <c r="H5335" s="7"/>
      <c r="I5335" s="8" t="s">
        <v>403</v>
      </c>
      <c r="J5335" s="7"/>
      <c r="K5335" s="6" t="str">
        <f>"711,39"</f>
        <v>711,39</v>
      </c>
      <c r="L5335" s="6" t="str">
        <f>"177,85"</f>
        <v>177,85</v>
      </c>
      <c r="M5335" s="6" t="str">
        <f>"889,24"</f>
        <v>889,24</v>
      </c>
      <c r="N5335" s="8" t="s">
        <v>509</v>
      </c>
      <c r="O5335" s="7"/>
      <c r="P5335" s="2">
        <v>889.24</v>
      </c>
      <c r="Q5335" s="7"/>
      <c r="R5335" s="1"/>
      <c r="S5335" s="1" t="str">
        <f>"2022-2897"</f>
        <v>2022-2897</v>
      </c>
      <c r="T5335" s="1" t="s">
        <v>55</v>
      </c>
    </row>
    <row r="5336" spans="1:20" ht="51" x14ac:dyDescent="0.25">
      <c r="A5336" s="6">
        <v>5315</v>
      </c>
      <c r="B5336" s="1" t="str">
        <f>"2022-891"</f>
        <v>2022-891</v>
      </c>
      <c r="C5336" s="1" t="s">
        <v>3374</v>
      </c>
      <c r="D5336" s="1" t="s">
        <v>2903</v>
      </c>
      <c r="E5336" s="1" t="str">
        <f>""</f>
        <v/>
      </c>
      <c r="F5336" s="1" t="s">
        <v>1860</v>
      </c>
      <c r="G5336" s="1" t="str">
        <f>CONCATENATE("JASIKA D.O.O.,"," DOLENICA 55,"," 10250 LUČKO,"," OIB: 62815184072")</f>
        <v>JASIKA D.O.O., DOLENICA 55, 10250 LUČKO, OIB: 62815184072</v>
      </c>
      <c r="H5336" s="7"/>
      <c r="I5336" s="8" t="s">
        <v>403</v>
      </c>
      <c r="J5336" s="7"/>
      <c r="K5336" s="6" t="str">
        <f>"13.861,00"</f>
        <v>13.861,00</v>
      </c>
      <c r="L5336" s="6" t="str">
        <f>"3.465,25"</f>
        <v>3.465,25</v>
      </c>
      <c r="M5336" s="6" t="str">
        <f>"17.326,25"</f>
        <v>17.326,25</v>
      </c>
      <c r="N5336" s="8" t="s">
        <v>505</v>
      </c>
      <c r="O5336" s="7"/>
      <c r="P5336" s="2">
        <v>17326.25</v>
      </c>
      <c r="Q5336" s="7"/>
      <c r="R5336" s="1"/>
      <c r="S5336" s="1" t="str">
        <f>"2022-2909"</f>
        <v>2022-2909</v>
      </c>
      <c r="T5336" s="1" t="s">
        <v>55</v>
      </c>
    </row>
    <row r="5337" spans="1:20" ht="63.75" x14ac:dyDescent="0.25">
      <c r="A5337" s="6">
        <v>5316</v>
      </c>
      <c r="B5337" s="1" t="str">
        <f>"2022-1744"</f>
        <v>2022-1744</v>
      </c>
      <c r="C5337" s="1" t="s">
        <v>1793</v>
      </c>
      <c r="D5337" s="1" t="s">
        <v>1792</v>
      </c>
      <c r="E5337" s="1" t="str">
        <f>""</f>
        <v/>
      </c>
      <c r="F5337" s="1" t="s">
        <v>1860</v>
      </c>
      <c r="G5337" s="1" t="str">
        <f>CONCATENATE("TOKIĆ D.O.O.,"," ULICA 144. BRIGADE HRVATSKE VOJSKE 1A,"," 10360 SESVETE,"," OIB: 7486748762")</f>
        <v>TOKIĆ D.O.O., ULICA 144. BRIGADE HRVATSKE VOJSKE 1A, 10360 SESVETE, OIB: 7486748762</v>
      </c>
      <c r="H5337" s="7"/>
      <c r="I5337" s="8" t="s">
        <v>403</v>
      </c>
      <c r="J5337" s="7"/>
      <c r="K5337" s="6" t="str">
        <f>"8.803,00"</f>
        <v>8.803,00</v>
      </c>
      <c r="L5337" s="6" t="str">
        <f>"2.200,75"</f>
        <v>2.200,75</v>
      </c>
      <c r="M5337" s="6" t="str">
        <f>"11.003,75"</f>
        <v>11.003,75</v>
      </c>
      <c r="N5337" s="8" t="s">
        <v>501</v>
      </c>
      <c r="O5337" s="7"/>
      <c r="P5337" s="2">
        <v>11003.75</v>
      </c>
      <c r="Q5337" s="7"/>
      <c r="R5337" s="1"/>
      <c r="S5337" s="1" t="str">
        <f>"2022-2911"</f>
        <v>2022-2911</v>
      </c>
      <c r="T5337" s="1" t="s">
        <v>55</v>
      </c>
    </row>
    <row r="5338" spans="1:20" ht="51" x14ac:dyDescent="0.25">
      <c r="A5338" s="6">
        <v>5317</v>
      </c>
      <c r="B5338" s="1" t="str">
        <f>"2022-846"</f>
        <v>2022-846</v>
      </c>
      <c r="C5338" s="1" t="s">
        <v>3380</v>
      </c>
      <c r="D5338" s="1" t="s">
        <v>275</v>
      </c>
      <c r="E5338" s="1" t="str">
        <f>""</f>
        <v/>
      </c>
      <c r="F5338" s="1" t="s">
        <v>1860</v>
      </c>
      <c r="G5338" s="1" t="str">
        <f>CONCATENATE("PIRIĆ-PROMET D.O.O.,"," KOLAROVA 2,"," 10000 ZAGREB,"," OIB: 17094516543")</f>
        <v>PIRIĆ-PROMET D.O.O., KOLAROVA 2, 10000 ZAGREB, OIB: 17094516543</v>
      </c>
      <c r="H5338" s="7"/>
      <c r="I5338" s="8" t="s">
        <v>403</v>
      </c>
      <c r="J5338" s="7"/>
      <c r="K5338" s="6" t="str">
        <f>"69.060,00"</f>
        <v>69.060,00</v>
      </c>
      <c r="L5338" s="6" t="str">
        <f>"7.495,00"</f>
        <v>7.495,00</v>
      </c>
      <c r="M5338" s="6" t="str">
        <f>"76.555,00"</f>
        <v>76.555,00</v>
      </c>
      <c r="N5338" s="8" t="s">
        <v>562</v>
      </c>
      <c r="O5338" s="7"/>
      <c r="P5338" s="2">
        <v>37475</v>
      </c>
      <c r="Q5338" s="7"/>
      <c r="R5338" s="1"/>
      <c r="S5338" s="1" t="str">
        <f>"2022-2912"</f>
        <v>2022-2912</v>
      </c>
      <c r="T5338" s="1" t="s">
        <v>86</v>
      </c>
    </row>
    <row r="5339" spans="1:20" ht="63.75" x14ac:dyDescent="0.25">
      <c r="A5339" s="6">
        <v>5318</v>
      </c>
      <c r="B5339" s="1" t="str">
        <f>"2022-1371"</f>
        <v>2022-1371</v>
      </c>
      <c r="C5339" s="1" t="s">
        <v>2646</v>
      </c>
      <c r="D5339" s="1" t="s">
        <v>3381</v>
      </c>
      <c r="E5339" s="1" t="str">
        <f>""</f>
        <v/>
      </c>
      <c r="F5339" s="1" t="s">
        <v>1860</v>
      </c>
      <c r="G5339" s="1" t="str">
        <f>CONCATENATE("HRVATSKI ZAVOD ZA JAVNO ZDRAVSTVO - HZJZ,"," ROCKEFELLEROVA 7,"," 10000 ZAGREB,"," OIB: 7529753204")</f>
        <v>HRVATSKI ZAVOD ZA JAVNO ZDRAVSTVO - HZJZ, ROCKEFELLEROVA 7, 10000 ZAGREB, OIB: 7529753204</v>
      </c>
      <c r="H5339" s="7"/>
      <c r="I5339" s="8" t="s">
        <v>403</v>
      </c>
      <c r="J5339" s="7"/>
      <c r="K5339" s="6" t="str">
        <f>"11.433,60"</f>
        <v>11.433,60</v>
      </c>
      <c r="L5339" s="6" t="str">
        <f>"0,00"</f>
        <v>0,00</v>
      </c>
      <c r="M5339" s="6" t="str">
        <f>"11.433,60"</f>
        <v>11.433,60</v>
      </c>
      <c r="N5339" s="8" t="s">
        <v>124</v>
      </c>
      <c r="O5339" s="7"/>
      <c r="P5339" s="2">
        <v>0</v>
      </c>
      <c r="Q5339" s="7"/>
      <c r="R5339" s="1"/>
      <c r="S5339" s="1" t="str">
        <f>"2022-2915"</f>
        <v>2022-2915</v>
      </c>
      <c r="T5339" s="1" t="s">
        <v>55</v>
      </c>
    </row>
    <row r="5340" spans="1:20" ht="89.25" x14ac:dyDescent="0.25">
      <c r="A5340" s="6">
        <v>5319</v>
      </c>
      <c r="B5340" s="1" t="str">
        <f>"2022-160"</f>
        <v>2022-160</v>
      </c>
      <c r="C5340" s="1" t="s">
        <v>3014</v>
      </c>
      <c r="D5340" s="1" t="s">
        <v>1492</v>
      </c>
      <c r="E5340" s="1" t="str">
        <f>""</f>
        <v/>
      </c>
      <c r="F5340" s="1" t="s">
        <v>1860</v>
      </c>
      <c r="G5340" s="1" t="str">
        <f>CONCATENATE("ZAGREBAČKI HOLDING D.O.O.,"," PODRUŽNICA ZRINJEVAC,"," ULICA GRADA VUKOVARA 41,"," REMETINEČKA CESTA 15,"," 10000 ZAGREB,"," OIB: 85584865987")</f>
        <v>ZAGREBAČKI HOLDING D.O.O., PODRUŽNICA ZRINJEVAC, ULICA GRADA VUKOVARA 41, REMETINEČKA CESTA 15, 10000 ZAGREB, OIB: 85584865987</v>
      </c>
      <c r="H5340" s="7"/>
      <c r="I5340" s="8" t="s">
        <v>247</v>
      </c>
      <c r="J5340" s="7"/>
      <c r="K5340" s="6" t="str">
        <f>"448,80"</f>
        <v>448,80</v>
      </c>
      <c r="L5340" s="6" t="str">
        <f>"112,20"</f>
        <v>112,20</v>
      </c>
      <c r="M5340" s="6" t="str">
        <f>"561,00"</f>
        <v>561,00</v>
      </c>
      <c r="N5340" s="8" t="s">
        <v>224</v>
      </c>
      <c r="O5340" s="7"/>
      <c r="P5340" s="2">
        <v>561</v>
      </c>
      <c r="Q5340" s="7"/>
      <c r="R5340" s="1"/>
      <c r="S5340" s="1" t="str">
        <f>"2022-2943"</f>
        <v>2022-2943</v>
      </c>
      <c r="T5340" s="1" t="s">
        <v>55</v>
      </c>
    </row>
    <row r="5341" spans="1:20" ht="63.75" x14ac:dyDescent="0.25">
      <c r="A5341" s="6">
        <v>5320</v>
      </c>
      <c r="B5341" s="1" t="str">
        <f>"2022-894"</f>
        <v>2022-894</v>
      </c>
      <c r="C5341" s="1" t="s">
        <v>2863</v>
      </c>
      <c r="D5341" s="1" t="s">
        <v>1209</v>
      </c>
      <c r="E5341" s="1" t="str">
        <f>""</f>
        <v/>
      </c>
      <c r="F5341" s="1" t="s">
        <v>1860</v>
      </c>
      <c r="G5341" s="1" t="str">
        <f>CONCATENATE("DIV LABORATORIJ D.O.O.,"," DAVOR ZBILJSKOG 30,"," 10000 ZAGREB,"," OIB: 83157399243")</f>
        <v>DIV LABORATORIJ D.O.O., DAVOR ZBILJSKOG 30, 10000 ZAGREB, OIB: 83157399243</v>
      </c>
      <c r="H5341" s="7"/>
      <c r="I5341" s="8" t="s">
        <v>247</v>
      </c>
      <c r="J5341" s="7"/>
      <c r="K5341" s="6" t="str">
        <f>"1.500,00"</f>
        <v>1.500,00</v>
      </c>
      <c r="L5341" s="6" t="str">
        <f>"375,00"</f>
        <v>375,00</v>
      </c>
      <c r="M5341" s="6" t="str">
        <f>"1.875,00"</f>
        <v>1.875,00</v>
      </c>
      <c r="N5341" s="8" t="s">
        <v>469</v>
      </c>
      <c r="O5341" s="7"/>
      <c r="P5341" s="2">
        <v>1875</v>
      </c>
      <c r="Q5341" s="7"/>
      <c r="R5341" s="1"/>
      <c r="S5341" s="1" t="str">
        <f>"2022-2944"</f>
        <v>2022-2944</v>
      </c>
      <c r="T5341" s="1" t="s">
        <v>55</v>
      </c>
    </row>
    <row r="5342" spans="1:20" ht="89.25" x14ac:dyDescent="0.25">
      <c r="A5342" s="6">
        <v>5321</v>
      </c>
      <c r="B5342" s="1" t="str">
        <f>"2022-1161"</f>
        <v>2022-1161</v>
      </c>
      <c r="C5342" s="1" t="s">
        <v>3366</v>
      </c>
      <c r="D5342" s="1" t="s">
        <v>3326</v>
      </c>
      <c r="E5342" s="1" t="str">
        <f>""</f>
        <v/>
      </c>
      <c r="F5342" s="1" t="s">
        <v>1860</v>
      </c>
      <c r="G5342" s="1" t="str">
        <f>CONCATENATE("SVEUČILIŠTE U ZAGREBU - GRAĐEVINSKI FAKULTET,"," FRA ANDRIJE KAČIĆA MIOŠIĆA 26,"," 10000 ZAGREB,"," OIB: 6292415342")</f>
        <v>SVEUČILIŠTE U ZAGREBU - GRAĐEVINSKI FAKULTET, FRA ANDRIJE KAČIĆA MIOŠIĆA 26, 10000 ZAGREB, OIB: 6292415342</v>
      </c>
      <c r="H5342" s="7"/>
      <c r="I5342" s="8" t="s">
        <v>247</v>
      </c>
      <c r="J5342" s="7"/>
      <c r="K5342" s="6" t="str">
        <f>"10.000,00"</f>
        <v>10.000,00</v>
      </c>
      <c r="L5342" s="6" t="str">
        <f>"0,00"</f>
        <v>0,00</v>
      </c>
      <c r="M5342" s="6" t="str">
        <f>"10.000,00"</f>
        <v>10.000,00</v>
      </c>
      <c r="N5342" s="8" t="s">
        <v>124</v>
      </c>
      <c r="O5342" s="7"/>
      <c r="P5342" s="2">
        <v>0</v>
      </c>
      <c r="Q5342" s="7"/>
      <c r="R5342" s="1"/>
      <c r="S5342" s="1" t="str">
        <f>"2022-2945"</f>
        <v>2022-2945</v>
      </c>
      <c r="T5342" s="1" t="s">
        <v>55</v>
      </c>
    </row>
    <row r="5343" spans="1:20" ht="89.25" x14ac:dyDescent="0.25">
      <c r="A5343" s="6">
        <v>5322</v>
      </c>
      <c r="B5343" s="1" t="str">
        <f>"2022-1674"</f>
        <v>2022-1674</v>
      </c>
      <c r="C5343" s="1" t="s">
        <v>3382</v>
      </c>
      <c r="D5343" s="1" t="s">
        <v>1642</v>
      </c>
      <c r="E5343" s="1" t="str">
        <f>""</f>
        <v/>
      </c>
      <c r="F5343" s="1" t="s">
        <v>1860</v>
      </c>
      <c r="G5343" s="1" t="str">
        <f>CONCATENATE("PROMETNICE ZAGREB D.O.O.,"," GUNDULIĆEVE DUBRAVKE 28,"," 10020 ZAGREB,"," OIB: 28111148974")</f>
        <v>PROMETNICE ZAGREB D.O.O., GUNDULIĆEVE DUBRAVKE 28, 10020 ZAGREB, OIB: 28111148974</v>
      </c>
      <c r="H5343" s="7"/>
      <c r="I5343" s="8" t="s">
        <v>247</v>
      </c>
      <c r="J5343" s="7"/>
      <c r="K5343" s="6" t="str">
        <f>"9.200,00"</f>
        <v>9.200,00</v>
      </c>
      <c r="L5343" s="6" t="str">
        <f>"0,00"</f>
        <v>0,00</v>
      </c>
      <c r="M5343" s="6" t="str">
        <f>"9.200,00"</f>
        <v>9.200,00</v>
      </c>
      <c r="N5343" s="8" t="s">
        <v>124</v>
      </c>
      <c r="O5343" s="7"/>
      <c r="P5343" s="2">
        <v>0</v>
      </c>
      <c r="Q5343" s="7"/>
      <c r="R5343" s="1"/>
      <c r="S5343" s="1" t="str">
        <f>"2022-2946"</f>
        <v>2022-2946</v>
      </c>
      <c r="T5343" s="1" t="s">
        <v>55</v>
      </c>
    </row>
    <row r="5344" spans="1:20" ht="51" x14ac:dyDescent="0.25">
      <c r="A5344" s="6">
        <v>5323</v>
      </c>
      <c r="B5344" s="1" t="str">
        <f>"2022-31"</f>
        <v>2022-31</v>
      </c>
      <c r="C5344" s="1" t="s">
        <v>3383</v>
      </c>
      <c r="D5344" s="1" t="s">
        <v>541</v>
      </c>
      <c r="E5344" s="1" t="str">
        <f>""</f>
        <v/>
      </c>
      <c r="F5344" s="1" t="s">
        <v>1860</v>
      </c>
      <c r="G5344" s="1" t="str">
        <f>CONCATENATE("SAMOBORKA D.D.,"," ZAGREBAČKA 32/A,"," 10430 SAMOBOR,"," OIB: 53149109818")</f>
        <v>SAMOBORKA D.D., ZAGREBAČKA 32/A, 10430 SAMOBOR, OIB: 53149109818</v>
      </c>
      <c r="H5344" s="7"/>
      <c r="I5344" s="8" t="s">
        <v>247</v>
      </c>
      <c r="J5344" s="7"/>
      <c r="K5344" s="6" t="str">
        <f>"445,00"</f>
        <v>445,00</v>
      </c>
      <c r="L5344" s="6" t="str">
        <f>"0,00"</f>
        <v>0,00</v>
      </c>
      <c r="M5344" s="6" t="str">
        <f>"445,00"</f>
        <v>445,00</v>
      </c>
      <c r="N5344" s="8" t="s">
        <v>124</v>
      </c>
      <c r="O5344" s="7"/>
      <c r="P5344" s="2">
        <v>0</v>
      </c>
      <c r="Q5344" s="7"/>
      <c r="R5344" s="1"/>
      <c r="S5344" s="1" t="str">
        <f>"2022-2951"</f>
        <v>2022-2951</v>
      </c>
      <c r="T5344" s="1" t="s">
        <v>55</v>
      </c>
    </row>
    <row r="5345" spans="1:20" ht="63.75" x14ac:dyDescent="0.25">
      <c r="A5345" s="6">
        <v>5324</v>
      </c>
      <c r="B5345" s="1" t="str">
        <f>"2022-894"</f>
        <v>2022-894</v>
      </c>
      <c r="C5345" s="1" t="s">
        <v>2863</v>
      </c>
      <c r="D5345" s="1" t="s">
        <v>1209</v>
      </c>
      <c r="E5345" s="1" t="str">
        <f>""</f>
        <v/>
      </c>
      <c r="F5345" s="1" t="s">
        <v>1860</v>
      </c>
      <c r="G5345" s="1" t="str">
        <f>CONCATENATE("BMB,"," LABORATORIJ BRCKOVIĆ,"," VL. JOSIP BRCKOVIĆ,"," ČULINEČKA 87,"," 10000 ZAGREB,"," OIB: 47590958254")</f>
        <v>BMB, LABORATORIJ BRCKOVIĆ, VL. JOSIP BRCKOVIĆ, ČULINEČKA 87, 10000 ZAGREB, OIB: 47590958254</v>
      </c>
      <c r="H5345" s="7"/>
      <c r="I5345" s="8" t="s">
        <v>247</v>
      </c>
      <c r="J5345" s="7"/>
      <c r="K5345" s="6" t="str">
        <f>"1.100,00"</f>
        <v>1.100,00</v>
      </c>
      <c r="L5345" s="6" t="str">
        <f>"275,00"</f>
        <v>275,00</v>
      </c>
      <c r="M5345" s="6" t="str">
        <f>"1.375,00"</f>
        <v>1.375,00</v>
      </c>
      <c r="N5345" s="8" t="s">
        <v>426</v>
      </c>
      <c r="O5345" s="7"/>
      <c r="P5345" s="2">
        <v>1375</v>
      </c>
      <c r="Q5345" s="7"/>
      <c r="R5345" s="1"/>
      <c r="S5345" s="1" t="str">
        <f>"2022-2953"</f>
        <v>2022-2953</v>
      </c>
      <c r="T5345" s="1" t="s">
        <v>55</v>
      </c>
    </row>
    <row r="5346" spans="1:20" ht="63.75" x14ac:dyDescent="0.25">
      <c r="A5346" s="6">
        <v>5325</v>
      </c>
      <c r="B5346" s="1" t="str">
        <f>"2022-900"</f>
        <v>2022-900</v>
      </c>
      <c r="C5346" s="1" t="s">
        <v>2702</v>
      </c>
      <c r="D5346" s="1" t="s">
        <v>1209</v>
      </c>
      <c r="E5346" s="1" t="str">
        <f>""</f>
        <v/>
      </c>
      <c r="F5346" s="1" t="s">
        <v>1860</v>
      </c>
      <c r="G5346" s="1" t="str">
        <f>CONCATENATE("DRÄGER SAFETY D.O.O.,"," AVENIJA VEĆESLAVA HOLJEVCA 40,"," 10010 ZAGREB,"," OIB: 32874587842")</f>
        <v>DRÄGER SAFETY D.O.O., AVENIJA VEĆESLAVA HOLJEVCA 40, 10010 ZAGREB, OIB: 32874587842</v>
      </c>
      <c r="H5346" s="7"/>
      <c r="I5346" s="8" t="s">
        <v>247</v>
      </c>
      <c r="J5346" s="7"/>
      <c r="K5346" s="6" t="str">
        <f>"19.101,00"</f>
        <v>19.101,00</v>
      </c>
      <c r="L5346" s="6" t="str">
        <f>"4.775,25"</f>
        <v>4.775,25</v>
      </c>
      <c r="M5346" s="6" t="str">
        <f>"23.876,25"</f>
        <v>23.876,25</v>
      </c>
      <c r="N5346" s="8" t="s">
        <v>931</v>
      </c>
      <c r="O5346" s="7"/>
      <c r="P5346" s="2">
        <v>23876.25</v>
      </c>
      <c r="Q5346" s="7"/>
      <c r="R5346" s="1"/>
      <c r="S5346" s="1" t="str">
        <f>"2022-2958"</f>
        <v>2022-2958</v>
      </c>
      <c r="T5346" s="1" t="s">
        <v>55</v>
      </c>
    </row>
    <row r="5347" spans="1:20" ht="89.25" x14ac:dyDescent="0.25">
      <c r="A5347" s="6">
        <v>5326</v>
      </c>
      <c r="B5347" s="1" t="str">
        <f>"2022-1674"</f>
        <v>2022-1674</v>
      </c>
      <c r="C5347" s="1" t="s">
        <v>3382</v>
      </c>
      <c r="D5347" s="1" t="s">
        <v>1642</v>
      </c>
      <c r="E5347" s="1" t="str">
        <f>""</f>
        <v/>
      </c>
      <c r="F5347" s="1" t="s">
        <v>1860</v>
      </c>
      <c r="G5347" s="1" t="str">
        <f>CONCATENATE("SEDRA CONSULTING D.O.O.,"," USKOPSKA 11,"," 10010 ZAGREB,"," OIB: 09177957072")</f>
        <v>SEDRA CONSULTING D.O.O., USKOPSKA 11, 10010 ZAGREB, OIB: 09177957072</v>
      </c>
      <c r="H5347" s="7"/>
      <c r="I5347" s="8" t="s">
        <v>607</v>
      </c>
      <c r="J5347" s="7"/>
      <c r="K5347" s="6" t="str">
        <f>"12.000,00"</f>
        <v>12.000,00</v>
      </c>
      <c r="L5347" s="6" t="str">
        <f>"0,00"</f>
        <v>0,00</v>
      </c>
      <c r="M5347" s="6" t="str">
        <f>"12.000,00"</f>
        <v>12.000,00</v>
      </c>
      <c r="N5347" s="8" t="s">
        <v>124</v>
      </c>
      <c r="O5347" s="7"/>
      <c r="P5347" s="2">
        <v>12000</v>
      </c>
      <c r="Q5347" s="7"/>
      <c r="R5347" s="1"/>
      <c r="S5347" s="1" t="str">
        <f>"2022-2982"</f>
        <v>2022-2982</v>
      </c>
      <c r="T5347" s="1" t="s">
        <v>55</v>
      </c>
    </row>
    <row r="5348" spans="1:20" ht="51" x14ac:dyDescent="0.25">
      <c r="A5348" s="6">
        <v>5327</v>
      </c>
      <c r="B5348" s="1" t="str">
        <f>"2022-891"</f>
        <v>2022-891</v>
      </c>
      <c r="C5348" s="1" t="s">
        <v>3374</v>
      </c>
      <c r="D5348" s="1" t="s">
        <v>2903</v>
      </c>
      <c r="E5348" s="1" t="str">
        <f>""</f>
        <v/>
      </c>
      <c r="F5348" s="1" t="s">
        <v>1860</v>
      </c>
      <c r="G5348" s="1" t="str">
        <f>CONCATENATE("JASIKA D.O.O.,"," DOLENICA 55,"," 10250 LUČKO,"," OIB: 62815184072")</f>
        <v>JASIKA D.O.O., DOLENICA 55, 10250 LUČKO, OIB: 62815184072</v>
      </c>
      <c r="H5348" s="7"/>
      <c r="I5348" s="8" t="s">
        <v>30</v>
      </c>
      <c r="J5348" s="7"/>
      <c r="K5348" s="6" t="str">
        <f>"5.100,00"</f>
        <v>5.100,00</v>
      </c>
      <c r="L5348" s="6" t="str">
        <f>"1.275,00"</f>
        <v>1.275,00</v>
      </c>
      <c r="M5348" s="6" t="str">
        <f>"6.375,00"</f>
        <v>6.375,00</v>
      </c>
      <c r="N5348" s="8" t="s">
        <v>897</v>
      </c>
      <c r="O5348" s="7"/>
      <c r="P5348" s="2">
        <v>6375</v>
      </c>
      <c r="Q5348" s="7"/>
      <c r="R5348" s="1"/>
      <c r="S5348" s="1" t="str">
        <f>"2022-3006"</f>
        <v>2022-3006</v>
      </c>
      <c r="T5348" s="1" t="s">
        <v>55</v>
      </c>
    </row>
    <row r="5349" spans="1:20" ht="63.75" x14ac:dyDescent="0.25">
      <c r="A5349" s="6">
        <v>5328</v>
      </c>
      <c r="B5349" s="1" t="str">
        <f>"2022-1481"</f>
        <v>2022-1481</v>
      </c>
      <c r="C5349" s="1" t="s">
        <v>3359</v>
      </c>
      <c r="D5349" s="1" t="s">
        <v>1306</v>
      </c>
      <c r="E5349" s="1" t="str">
        <f>""</f>
        <v/>
      </c>
      <c r="F5349" s="1" t="s">
        <v>1860</v>
      </c>
      <c r="G5349" s="1" t="str">
        <f>CONCATENATE("VELEKEM D.D.,"," UL.KNEZA LJUDEVITA POSAVSKOG 13,"," 10360 SESVETE,"," OIB: 62347407589")</f>
        <v>VELEKEM D.D., UL.KNEZA LJUDEVITA POSAVSKOG 13, 10360 SESVETE, OIB: 62347407589</v>
      </c>
      <c r="H5349" s="7"/>
      <c r="I5349" s="8" t="s">
        <v>30</v>
      </c>
      <c r="J5349" s="7"/>
      <c r="K5349" s="6" t="str">
        <f>"2.544,70"</f>
        <v>2.544,70</v>
      </c>
      <c r="L5349" s="6" t="str">
        <f>"636,18"</f>
        <v>636,18</v>
      </c>
      <c r="M5349" s="6" t="str">
        <f>"3.180,88"</f>
        <v>3.180,88</v>
      </c>
      <c r="N5349" s="8" t="s">
        <v>272</v>
      </c>
      <c r="O5349" s="7"/>
      <c r="P5349" s="2">
        <v>3180.88</v>
      </c>
      <c r="Q5349" s="7"/>
      <c r="R5349" s="1"/>
      <c r="S5349" s="1" t="str">
        <f>"2022-3009"</f>
        <v>2022-3009</v>
      </c>
      <c r="T5349" s="1" t="s">
        <v>55</v>
      </c>
    </row>
    <row r="5350" spans="1:20" ht="89.25" x14ac:dyDescent="0.25">
      <c r="A5350" s="6">
        <v>5329</v>
      </c>
      <c r="B5350" s="1" t="str">
        <f>"2022-160"</f>
        <v>2022-160</v>
      </c>
      <c r="C5350" s="1" t="s">
        <v>3014</v>
      </c>
      <c r="D5350" s="1" t="s">
        <v>1492</v>
      </c>
      <c r="E5350" s="1" t="str">
        <f>""</f>
        <v/>
      </c>
      <c r="F5350" s="1" t="s">
        <v>1860</v>
      </c>
      <c r="G5350" s="1" t="str">
        <f>CONCATENATE("ZAGREBAČKI HOLDING D.O.O.,"," PODRUŽNICA ZRINJEVAC,"," ULICA GRADA VUKOVARA 41,"," REMETINEČKA CESTA 15,"," 10000 ZAGREB,"," OIB: 85584865987")</f>
        <v>ZAGREBAČKI HOLDING D.O.O., PODRUŽNICA ZRINJEVAC, ULICA GRADA VUKOVARA 41, REMETINEČKA CESTA 15, 10000 ZAGREB, OIB: 85584865987</v>
      </c>
      <c r="H5350" s="7"/>
      <c r="I5350" s="8" t="s">
        <v>30</v>
      </c>
      <c r="J5350" s="7"/>
      <c r="K5350" s="6" t="str">
        <f>"520,00"</f>
        <v>520,00</v>
      </c>
      <c r="L5350" s="6" t="str">
        <f>"130,00"</f>
        <v>130,00</v>
      </c>
      <c r="M5350" s="6" t="str">
        <f>"650,00"</f>
        <v>650,00</v>
      </c>
      <c r="N5350" s="8" t="s">
        <v>224</v>
      </c>
      <c r="O5350" s="7"/>
      <c r="P5350" s="2">
        <v>650</v>
      </c>
      <c r="Q5350" s="7"/>
      <c r="R5350" s="1"/>
      <c r="S5350" s="1" t="str">
        <f>"2022-3011"</f>
        <v>2022-3011</v>
      </c>
      <c r="T5350" s="1" t="s">
        <v>55</v>
      </c>
    </row>
    <row r="5351" spans="1:20" ht="51" x14ac:dyDescent="0.25">
      <c r="A5351" s="6">
        <v>5330</v>
      </c>
      <c r="B5351" s="1" t="str">
        <f>"2022-226"</f>
        <v>2022-226</v>
      </c>
      <c r="C5351" s="1" t="s">
        <v>2464</v>
      </c>
      <c r="D5351" s="1" t="s">
        <v>3311</v>
      </c>
      <c r="E5351" s="1" t="str">
        <f>""</f>
        <v/>
      </c>
      <c r="F5351" s="1" t="s">
        <v>1860</v>
      </c>
      <c r="G5351" s="1" t="str">
        <f>CONCATENATE("MEDIC D.O.O.,"," TRG DRAŽENA PETROVIĆA 3,"," 10000 ZAGREB,"," OIB: 36228944903")</f>
        <v>MEDIC D.O.O., TRG DRAŽENA PETROVIĆA 3, 10000 ZAGREB, OIB: 36228944903</v>
      </c>
      <c r="H5351" s="7"/>
      <c r="I5351" s="8" t="s">
        <v>30</v>
      </c>
      <c r="J5351" s="7"/>
      <c r="K5351" s="6" t="str">
        <f>"2.655,00"</f>
        <v>2.655,00</v>
      </c>
      <c r="L5351" s="6" t="str">
        <f>"663,75"</f>
        <v>663,75</v>
      </c>
      <c r="M5351" s="6" t="str">
        <f>"3.318,75"</f>
        <v>3.318,75</v>
      </c>
      <c r="N5351" s="8" t="s">
        <v>424</v>
      </c>
      <c r="O5351" s="7"/>
      <c r="P5351" s="2">
        <v>3318.75</v>
      </c>
      <c r="Q5351" s="7"/>
      <c r="R5351" s="1"/>
      <c r="S5351" s="1" t="str">
        <f>"2022-3014"</f>
        <v>2022-3014</v>
      </c>
      <c r="T5351" s="1" t="s">
        <v>55</v>
      </c>
    </row>
    <row r="5352" spans="1:20" ht="89.25" x14ac:dyDescent="0.25">
      <c r="A5352" s="6">
        <v>5331</v>
      </c>
      <c r="B5352" s="1" t="str">
        <f>"2022-160"</f>
        <v>2022-160</v>
      </c>
      <c r="C5352" s="1" t="s">
        <v>3014</v>
      </c>
      <c r="D5352" s="1" t="s">
        <v>1492</v>
      </c>
      <c r="E5352" s="1" t="str">
        <f>""</f>
        <v/>
      </c>
      <c r="F5352" s="1" t="s">
        <v>1860</v>
      </c>
      <c r="G5352" s="1" t="str">
        <f>CONCATENATE("ZAGREBAČKI HOLDING D.O.O.,"," PODRUŽNICA ZRINJEVAC,"," ULICA GRADA VUKOVARA 41,"," REMETINEČKA CESTA 15,"," 10000 ZAGREB,"," OIB: 85584865987")</f>
        <v>ZAGREBAČKI HOLDING D.O.O., PODRUŽNICA ZRINJEVAC, ULICA GRADA VUKOVARA 41, REMETINEČKA CESTA 15, 10000 ZAGREB, OIB: 85584865987</v>
      </c>
      <c r="H5352" s="7"/>
      <c r="I5352" s="8" t="s">
        <v>30</v>
      </c>
      <c r="J5352" s="7"/>
      <c r="K5352" s="6" t="str">
        <f>"27.640,00"</f>
        <v>27.640,00</v>
      </c>
      <c r="L5352" s="6" t="str">
        <f>"6.910,00"</f>
        <v>6.910,00</v>
      </c>
      <c r="M5352" s="6" t="str">
        <f>"34.550,00"</f>
        <v>34.550,00</v>
      </c>
      <c r="N5352" s="8" t="s">
        <v>350</v>
      </c>
      <c r="O5352" s="7"/>
      <c r="P5352" s="2">
        <v>34550</v>
      </c>
      <c r="Q5352" s="7"/>
      <c r="R5352" s="1"/>
      <c r="S5352" s="1" t="str">
        <f>"2022-3016"</f>
        <v>2022-3016</v>
      </c>
      <c r="T5352" s="1" t="s">
        <v>55</v>
      </c>
    </row>
    <row r="5353" spans="1:20" ht="63.75" x14ac:dyDescent="0.25">
      <c r="A5353" s="6">
        <v>5332</v>
      </c>
      <c r="B5353" s="1" t="str">
        <f>"2022-873"</f>
        <v>2022-873</v>
      </c>
      <c r="C5353" s="1" t="s">
        <v>2819</v>
      </c>
      <c r="D5353" s="1" t="s">
        <v>3341</v>
      </c>
      <c r="E5353" s="1" t="str">
        <f>""</f>
        <v/>
      </c>
      <c r="F5353" s="1" t="s">
        <v>1860</v>
      </c>
      <c r="G5353" s="1" t="str">
        <f>CONCATENATE("GUTEL,"," VL. DAMIR GUŽVINEC,"," ANTE TOPIĆ MIMARE 7,"," 10090 ZAGREB-SUSEDGRAD,"," OIB: 63743810909")</f>
        <v>GUTEL, VL. DAMIR GUŽVINEC, ANTE TOPIĆ MIMARE 7, 10090 ZAGREB-SUSEDGRAD, OIB: 63743810909</v>
      </c>
      <c r="H5353" s="7"/>
      <c r="I5353" s="8" t="s">
        <v>405</v>
      </c>
      <c r="J5353" s="7"/>
      <c r="K5353" s="6" t="str">
        <f>"2.960,30"</f>
        <v>2.960,30</v>
      </c>
      <c r="L5353" s="6" t="str">
        <f>"0,00"</f>
        <v>0,00</v>
      </c>
      <c r="M5353" s="6" t="str">
        <f>"2.960,30"</f>
        <v>2.960,30</v>
      </c>
      <c r="N5353" s="8" t="s">
        <v>124</v>
      </c>
      <c r="O5353" s="7"/>
      <c r="P5353" s="2">
        <v>0</v>
      </c>
      <c r="Q5353" s="7"/>
      <c r="R5353" s="1"/>
      <c r="S5353" s="1" t="str">
        <f>"2022-3021"</f>
        <v>2022-3021</v>
      </c>
      <c r="T5353" s="1" t="s">
        <v>86</v>
      </c>
    </row>
    <row r="5354" spans="1:20" ht="63.75" x14ac:dyDescent="0.25">
      <c r="A5354" s="6">
        <v>5333</v>
      </c>
      <c r="B5354" s="1" t="str">
        <f>"2022-873"</f>
        <v>2022-873</v>
      </c>
      <c r="C5354" s="1" t="s">
        <v>2819</v>
      </c>
      <c r="D5354" s="1" t="s">
        <v>3341</v>
      </c>
      <c r="E5354" s="1" t="str">
        <f>""</f>
        <v/>
      </c>
      <c r="F5354" s="1" t="s">
        <v>1860</v>
      </c>
      <c r="G5354" s="1" t="str">
        <f>CONCATENATE("GUTEL,"," VL. DAMIR GUŽVINEC,"," ANTE TOPIĆ MIMARE 7,"," 10090 ZAGREB-SUSEDGRAD,"," OIB: 63743810909")</f>
        <v>GUTEL, VL. DAMIR GUŽVINEC, ANTE TOPIĆ MIMARE 7, 10090 ZAGREB-SUSEDGRAD, OIB: 63743810909</v>
      </c>
      <c r="H5354" s="7"/>
      <c r="I5354" s="8" t="s">
        <v>1112</v>
      </c>
      <c r="J5354" s="7"/>
      <c r="K5354" s="6" t="str">
        <f>"241,20"</f>
        <v>241,20</v>
      </c>
      <c r="L5354" s="6" t="str">
        <f>"0,00"</f>
        <v>0,00</v>
      </c>
      <c r="M5354" s="6" t="str">
        <f>"241,20"</f>
        <v>241,20</v>
      </c>
      <c r="N5354" s="8" t="s">
        <v>124</v>
      </c>
      <c r="O5354" s="7"/>
      <c r="P5354" s="2">
        <v>0</v>
      </c>
      <c r="Q5354" s="7"/>
      <c r="R5354" s="1"/>
      <c r="S5354" s="1" t="str">
        <f>"2022-3164"</f>
        <v>2022-3164</v>
      </c>
      <c r="T5354" s="1" t="s">
        <v>86</v>
      </c>
    </row>
    <row r="5355" spans="1:20" ht="63.75" x14ac:dyDescent="0.25">
      <c r="A5355" s="6">
        <v>5334</v>
      </c>
      <c r="B5355" s="1" t="str">
        <f>"2022-873"</f>
        <v>2022-873</v>
      </c>
      <c r="C5355" s="1" t="s">
        <v>2819</v>
      </c>
      <c r="D5355" s="1" t="s">
        <v>3341</v>
      </c>
      <c r="E5355" s="1" t="str">
        <f>""</f>
        <v/>
      </c>
      <c r="F5355" s="1" t="s">
        <v>1860</v>
      </c>
      <c r="G5355" s="1" t="str">
        <f>CONCATENATE("GUTEL,"," VL. DAMIR GUŽVINEC,"," ANTE TOPIĆ MIMARE 7,"," 10090 ZAGREB-SUSEDGRAD,"," OIB: 63743810909")</f>
        <v>GUTEL, VL. DAMIR GUŽVINEC, ANTE TOPIĆ MIMARE 7, 10090 ZAGREB-SUSEDGRAD, OIB: 63743810909</v>
      </c>
      <c r="H5355" s="7"/>
      <c r="I5355" s="8" t="s">
        <v>308</v>
      </c>
      <c r="J5355" s="7"/>
      <c r="K5355" s="6" t="str">
        <f>"264,20"</f>
        <v>264,20</v>
      </c>
      <c r="L5355" s="6" t="str">
        <f>"0,00"</f>
        <v>0,00</v>
      </c>
      <c r="M5355" s="6" t="str">
        <f>"264,20"</f>
        <v>264,20</v>
      </c>
      <c r="N5355" s="8" t="s">
        <v>124</v>
      </c>
      <c r="O5355" s="7"/>
      <c r="P5355" s="2">
        <v>0</v>
      </c>
      <c r="Q5355" s="7"/>
      <c r="R5355" s="1"/>
      <c r="S5355" s="1" t="str">
        <f>"2022-3189"</f>
        <v>2022-3189</v>
      </c>
      <c r="T5355" s="1" t="s">
        <v>86</v>
      </c>
    </row>
    <row r="5356" spans="1:20" ht="89.25" x14ac:dyDescent="0.25">
      <c r="A5356" s="6">
        <v>5335</v>
      </c>
      <c r="B5356" s="1" t="str">
        <f>"2022-1325"</f>
        <v>2022-1325</v>
      </c>
      <c r="C5356" s="1" t="s">
        <v>3375</v>
      </c>
      <c r="D5356" s="1" t="s">
        <v>1438</v>
      </c>
      <c r="E5356" s="1" t="str">
        <f>""</f>
        <v/>
      </c>
      <c r="F5356" s="1" t="s">
        <v>1860</v>
      </c>
      <c r="G5356" s="1" t="str">
        <f>CONCATENATE("ZAGREBAČKI HOLDING D.O.O.,"," PODRUŽNICA ZRINJEVAC,"," ULICA GRADA VUKOVARA 41,"," REMETINEČKA CESTA 15,"," 10000 ZAGREB,"," OIB: 85584865987")</f>
        <v>ZAGREBAČKI HOLDING D.O.O., PODRUŽNICA ZRINJEVAC, ULICA GRADA VUKOVARA 41, REMETINEČKA CESTA 15, 10000 ZAGREB, OIB: 85584865987</v>
      </c>
      <c r="H5356" s="7"/>
      <c r="I5356" s="8" t="s">
        <v>404</v>
      </c>
      <c r="J5356" s="7"/>
      <c r="K5356" s="6" t="str">
        <f>"11.705,00"</f>
        <v>11.705,00</v>
      </c>
      <c r="L5356" s="6" t="str">
        <f>"2.926,25"</f>
        <v>2.926,25</v>
      </c>
      <c r="M5356" s="6" t="str">
        <f>"14.631,25"</f>
        <v>14.631,25</v>
      </c>
      <c r="N5356" s="8" t="s">
        <v>506</v>
      </c>
      <c r="O5356" s="7"/>
      <c r="P5356" s="2">
        <v>14631.25</v>
      </c>
      <c r="Q5356" s="7"/>
      <c r="R5356" s="1"/>
      <c r="S5356" s="1" t="str">
        <f>"2022-3267"</f>
        <v>2022-3267</v>
      </c>
      <c r="T5356" s="1" t="s">
        <v>55</v>
      </c>
    </row>
    <row r="5357" spans="1:20" ht="51" x14ac:dyDescent="0.25">
      <c r="A5357" s="6">
        <v>5336</v>
      </c>
      <c r="B5357" s="1" t="str">
        <f>"2022-825"</f>
        <v>2022-825</v>
      </c>
      <c r="C5357" s="1" t="s">
        <v>2492</v>
      </c>
      <c r="D5357" s="1" t="s">
        <v>2493</v>
      </c>
      <c r="E5357" s="1" t="str">
        <f>""</f>
        <v/>
      </c>
      <c r="F5357" s="1" t="s">
        <v>1860</v>
      </c>
      <c r="G5357" s="1" t="str">
        <f>CONCATENATE("T.P.Z.  D.O.O.,"," NOVOSELSKA 25,"," 10040 ZAGREB,"," OIB: 68119083236")</f>
        <v>T.P.Z.  D.O.O., NOVOSELSKA 25, 10040 ZAGREB, OIB: 68119083236</v>
      </c>
      <c r="H5357" s="7"/>
      <c r="I5357" s="8" t="s">
        <v>224</v>
      </c>
      <c r="J5357" s="7"/>
      <c r="K5357" s="6" t="str">
        <f>"10.080,61"</f>
        <v>10.080,61</v>
      </c>
      <c r="L5357" s="6" t="str">
        <f>"2.520,15"</f>
        <v>2.520,15</v>
      </c>
      <c r="M5357" s="6" t="str">
        <f>"12.600,76"</f>
        <v>12.600,76</v>
      </c>
      <c r="N5357" s="8" t="s">
        <v>57</v>
      </c>
      <c r="O5357" s="7"/>
      <c r="P5357" s="2">
        <v>12600.76</v>
      </c>
      <c r="Q5357" s="7"/>
      <c r="R5357" s="1"/>
      <c r="S5357" s="1" t="str">
        <f>"2022-3321"</f>
        <v>2022-3321</v>
      </c>
      <c r="T5357" s="1" t="s">
        <v>55</v>
      </c>
    </row>
    <row r="5358" spans="1:20" ht="51" x14ac:dyDescent="0.25">
      <c r="A5358" s="6">
        <v>5337</v>
      </c>
      <c r="B5358" s="1" t="str">
        <f>"2022-629"</f>
        <v>2022-629</v>
      </c>
      <c r="C5358" s="1" t="s">
        <v>3384</v>
      </c>
      <c r="D5358" s="1" t="s">
        <v>3385</v>
      </c>
      <c r="E5358" s="1" t="str">
        <f>""</f>
        <v/>
      </c>
      <c r="F5358" s="1" t="s">
        <v>1860</v>
      </c>
      <c r="G5358" s="1" t="str">
        <f>CONCATENATE("AGRA-TRGOVINA d.o.o.,"," KAČIĆEVA 6,"," 10000 ZAGREB,"," OIB: 9885929543")</f>
        <v>AGRA-TRGOVINA d.o.o., KAČIĆEVA 6, 10000 ZAGREB, OIB: 9885929543</v>
      </c>
      <c r="H5358" s="7"/>
      <c r="I5358" s="8" t="s">
        <v>224</v>
      </c>
      <c r="J5358" s="7"/>
      <c r="K5358" s="6" t="str">
        <f>"7.239,52"</f>
        <v>7.239,52</v>
      </c>
      <c r="L5358" s="6" t="str">
        <f>"1.809,88"</f>
        <v>1.809,88</v>
      </c>
      <c r="M5358" s="6" t="str">
        <f>"9.049,40"</f>
        <v>9.049,40</v>
      </c>
      <c r="N5358" s="8" t="s">
        <v>939</v>
      </c>
      <c r="O5358" s="7"/>
      <c r="P5358" s="2">
        <v>9049.4</v>
      </c>
      <c r="Q5358" s="7"/>
      <c r="R5358" s="1"/>
      <c r="S5358" s="1" t="str">
        <f>"2022-3326"</f>
        <v>2022-3326</v>
      </c>
      <c r="T5358" s="1" t="s">
        <v>55</v>
      </c>
    </row>
    <row r="5359" spans="1:20" ht="51" x14ac:dyDescent="0.25">
      <c r="A5359" s="6">
        <v>5338</v>
      </c>
      <c r="B5359" s="1" t="str">
        <f>"2022-894"</f>
        <v>2022-894</v>
      </c>
      <c r="C5359" s="1" t="s">
        <v>2863</v>
      </c>
      <c r="D5359" s="1" t="s">
        <v>1209</v>
      </c>
      <c r="E5359" s="1" t="str">
        <f>""</f>
        <v/>
      </c>
      <c r="F5359" s="1" t="s">
        <v>1860</v>
      </c>
      <c r="G5359" s="1" t="str">
        <f>CONCATENATE("MTB INŽENJERING D.O.O.,"," ČULINEČKA 87,"," 10000 ZAGREB,"," OIB: 67003741356")</f>
        <v>MTB INŽENJERING D.O.O., ČULINEČKA 87, 10000 ZAGREB, OIB: 67003741356</v>
      </c>
      <c r="H5359" s="7"/>
      <c r="I5359" s="8" t="s">
        <v>224</v>
      </c>
      <c r="J5359" s="7"/>
      <c r="K5359" s="6" t="str">
        <f>"620,00"</f>
        <v>620,00</v>
      </c>
      <c r="L5359" s="6" t="str">
        <f>"155,00"</f>
        <v>155,00</v>
      </c>
      <c r="M5359" s="6" t="str">
        <f>"775,00"</f>
        <v>775,00</v>
      </c>
      <c r="N5359" s="8" t="s">
        <v>426</v>
      </c>
      <c r="O5359" s="7"/>
      <c r="P5359" s="2">
        <v>775</v>
      </c>
      <c r="Q5359" s="7"/>
      <c r="R5359" s="1"/>
      <c r="S5359" s="1" t="str">
        <f>"2022-3330"</f>
        <v>2022-3330</v>
      </c>
      <c r="T5359" s="1" t="s">
        <v>55</v>
      </c>
    </row>
    <row r="5360" spans="1:20" ht="63.75" x14ac:dyDescent="0.25">
      <c r="A5360" s="6">
        <v>5339</v>
      </c>
      <c r="B5360" s="1" t="str">
        <f>"2022-816"</f>
        <v>2022-816</v>
      </c>
      <c r="C5360" s="1" t="s">
        <v>3386</v>
      </c>
      <c r="D5360" s="1" t="s">
        <v>2716</v>
      </c>
      <c r="E5360" s="1" t="str">
        <f>""</f>
        <v/>
      </c>
      <c r="F5360" s="1" t="s">
        <v>1860</v>
      </c>
      <c r="G5360" s="1" t="str">
        <f>CONCATENATE("TERRATOM D.O.O.,"," KERESTINEC,"," MIHOLIĆI 11,"," 10431 SVETA NEDJELJA,"," OIB: 44009719915")</f>
        <v>TERRATOM D.O.O., KERESTINEC, MIHOLIĆI 11, 10431 SVETA NEDJELJA, OIB: 44009719915</v>
      </c>
      <c r="H5360" s="7"/>
      <c r="I5360" s="8" t="s">
        <v>224</v>
      </c>
      <c r="J5360" s="7"/>
      <c r="K5360" s="6" t="str">
        <f>"5.995,43"</f>
        <v>5.995,43</v>
      </c>
      <c r="L5360" s="6" t="str">
        <f>"1.498,86"</f>
        <v>1.498,86</v>
      </c>
      <c r="M5360" s="6" t="str">
        <f>"7.494,29"</f>
        <v>7.494,29</v>
      </c>
      <c r="N5360" s="8" t="s">
        <v>487</v>
      </c>
      <c r="O5360" s="7"/>
      <c r="P5360" s="2">
        <v>7494.29</v>
      </c>
      <c r="Q5360" s="7"/>
      <c r="R5360" s="1"/>
      <c r="S5360" s="1" t="str">
        <f>"2022-3331"</f>
        <v>2022-3331</v>
      </c>
      <c r="T5360" s="1" t="s">
        <v>55</v>
      </c>
    </row>
    <row r="5361" spans="1:20" ht="63.75" x14ac:dyDescent="0.25">
      <c r="A5361" s="6">
        <v>5340</v>
      </c>
      <c r="B5361" s="1" t="str">
        <f>"2022-873"</f>
        <v>2022-873</v>
      </c>
      <c r="C5361" s="1" t="s">
        <v>2819</v>
      </c>
      <c r="D5361" s="1" t="s">
        <v>3341</v>
      </c>
      <c r="E5361" s="1" t="str">
        <f>""</f>
        <v/>
      </c>
      <c r="F5361" s="1" t="s">
        <v>1860</v>
      </c>
      <c r="G5361" s="1" t="str">
        <f>CONCATENATE("GUTEL,"," VL. DAMIR GUŽVINEC,"," ANTE TOPIĆ MIMARE 7,"," 10090 ZAGREB-SUSEDGRAD,"," OIB: 63743810909")</f>
        <v>GUTEL, VL. DAMIR GUŽVINEC, ANTE TOPIĆ MIMARE 7, 10090 ZAGREB-SUSEDGRAD, OIB: 63743810909</v>
      </c>
      <c r="H5361" s="7"/>
      <c r="I5361" s="8" t="s">
        <v>224</v>
      </c>
      <c r="J5361" s="7"/>
      <c r="K5361" s="6" t="str">
        <f>"529,20"</f>
        <v>529,20</v>
      </c>
      <c r="L5361" s="6" t="str">
        <f>"0,00"</f>
        <v>0,00</v>
      </c>
      <c r="M5361" s="6" t="str">
        <f>"529,20"</f>
        <v>529,20</v>
      </c>
      <c r="N5361" s="8" t="s">
        <v>124</v>
      </c>
      <c r="O5361" s="7"/>
      <c r="P5361" s="2">
        <v>0</v>
      </c>
      <c r="Q5361" s="7"/>
      <c r="R5361" s="1"/>
      <c r="S5361" s="1" t="str">
        <f>"2022-3332"</f>
        <v>2022-3332</v>
      </c>
      <c r="T5361" s="1" t="s">
        <v>86</v>
      </c>
    </row>
    <row r="5362" spans="1:20" ht="51" x14ac:dyDescent="0.25">
      <c r="A5362" s="6">
        <v>5341</v>
      </c>
      <c r="B5362" s="1" t="str">
        <f>"2022-228"</f>
        <v>2022-228</v>
      </c>
      <c r="C5362" s="1" t="s">
        <v>2463</v>
      </c>
      <c r="D5362" s="1" t="s">
        <v>3311</v>
      </c>
      <c r="E5362" s="1" t="str">
        <f>""</f>
        <v/>
      </c>
      <c r="F5362" s="1" t="s">
        <v>1860</v>
      </c>
      <c r="G5362" s="1" t="str">
        <f>CONCATENATE("KEMIKA D.D.,"," HEINZELOVA 53,"," 10000 ZAGREB,"," OIB: 38181641213")</f>
        <v>KEMIKA D.D., HEINZELOVA 53, 10000 ZAGREB, OIB: 38181641213</v>
      </c>
      <c r="H5362" s="7"/>
      <c r="I5362" s="8" t="s">
        <v>224</v>
      </c>
      <c r="J5362" s="7"/>
      <c r="K5362" s="6" t="str">
        <f>"1.333,50"</f>
        <v>1.333,50</v>
      </c>
      <c r="L5362" s="6" t="str">
        <f>"333,38"</f>
        <v>333,38</v>
      </c>
      <c r="M5362" s="6" t="str">
        <f>"1.666,88"</f>
        <v>1.666,88</v>
      </c>
      <c r="N5362" s="8" t="s">
        <v>57</v>
      </c>
      <c r="O5362" s="7"/>
      <c r="P5362" s="2">
        <v>1666.88</v>
      </c>
      <c r="Q5362" s="7"/>
      <c r="R5362" s="1"/>
      <c r="S5362" s="1" t="str">
        <f>"2022-3334"</f>
        <v>2022-3334</v>
      </c>
      <c r="T5362" s="1" t="s">
        <v>55</v>
      </c>
    </row>
    <row r="5363" spans="1:20" ht="51" x14ac:dyDescent="0.25">
      <c r="A5363" s="6">
        <v>5342</v>
      </c>
      <c r="B5363" s="1" t="str">
        <f>"2022-825"</f>
        <v>2022-825</v>
      </c>
      <c r="C5363" s="1" t="s">
        <v>2492</v>
      </c>
      <c r="D5363" s="1" t="s">
        <v>2493</v>
      </c>
      <c r="E5363" s="1" t="str">
        <f>""</f>
        <v/>
      </c>
      <c r="F5363" s="1" t="s">
        <v>1860</v>
      </c>
      <c r="G5363" s="1" t="str">
        <f>CONCATENATE("M.B. AUTO  d.o.o.,"," KOLEDOVČINA 8,"," 10000 ZAGREB,"," OIB: 8902734372")</f>
        <v>M.B. AUTO  d.o.o., KOLEDOVČINA 8, 10000 ZAGREB, OIB: 8902734372</v>
      </c>
      <c r="H5363" s="7"/>
      <c r="I5363" s="8" t="s">
        <v>224</v>
      </c>
      <c r="J5363" s="7"/>
      <c r="K5363" s="6" t="str">
        <f>"4.094,66"</f>
        <v>4.094,66</v>
      </c>
      <c r="L5363" s="6" t="str">
        <f>"1.023,67"</f>
        <v>1.023,67</v>
      </c>
      <c r="M5363" s="6" t="str">
        <f>"5.118,33"</f>
        <v>5.118,33</v>
      </c>
      <c r="N5363" s="8" t="s">
        <v>458</v>
      </c>
      <c r="O5363" s="7"/>
      <c r="P5363" s="2">
        <v>5118.33</v>
      </c>
      <c r="Q5363" s="7"/>
      <c r="R5363" s="1"/>
      <c r="S5363" s="1" t="str">
        <f>"2022-3336"</f>
        <v>2022-3336</v>
      </c>
      <c r="T5363" s="1" t="s">
        <v>55</v>
      </c>
    </row>
    <row r="5364" spans="1:20" ht="51" x14ac:dyDescent="0.25">
      <c r="A5364" s="6">
        <v>5343</v>
      </c>
      <c r="B5364" s="1" t="str">
        <f>"2022-1713"</f>
        <v>2022-1713</v>
      </c>
      <c r="C5364" s="1" t="s">
        <v>3387</v>
      </c>
      <c r="D5364" s="1" t="s">
        <v>837</v>
      </c>
      <c r="E5364" s="1" t="str">
        <f>""</f>
        <v/>
      </c>
      <c r="F5364" s="1" t="s">
        <v>1860</v>
      </c>
      <c r="G5364" s="1" t="str">
        <f>CONCATENATE("ZAGREBAČKE PEKARNE KLARA D.D.,"," UTINJSKA 48,"," 10000 ZAGREB,"," OIB: 76842508189")</f>
        <v>ZAGREBAČKE PEKARNE KLARA D.D., UTINJSKA 48, 10000 ZAGREB, OIB: 76842508189</v>
      </c>
      <c r="H5364" s="7"/>
      <c r="I5364" s="8" t="s">
        <v>224</v>
      </c>
      <c r="J5364" s="7"/>
      <c r="K5364" s="6" t="str">
        <f>"19.925,00"</f>
        <v>19.925,00</v>
      </c>
      <c r="L5364" s="6" t="str">
        <f>"208,77"</f>
        <v>208,77</v>
      </c>
      <c r="M5364" s="6" t="str">
        <f>"20.133,77"</f>
        <v>20.133,77</v>
      </c>
      <c r="N5364" s="8" t="s">
        <v>1123</v>
      </c>
      <c r="O5364" s="7"/>
      <c r="P5364" s="2">
        <v>4383.87</v>
      </c>
      <c r="Q5364" s="1" t="s">
        <v>3388</v>
      </c>
      <c r="R5364" s="1"/>
      <c r="S5364" s="1" t="str">
        <f>"2022-3339"</f>
        <v>2022-3339</v>
      </c>
      <c r="T5364" s="1" t="s">
        <v>55</v>
      </c>
    </row>
    <row r="5365" spans="1:20" ht="63.75" x14ac:dyDescent="0.25">
      <c r="A5365" s="6">
        <v>5344</v>
      </c>
      <c r="B5365" s="1" t="str">
        <f>"2022-740"</f>
        <v>2022-740</v>
      </c>
      <c r="C5365" s="1" t="s">
        <v>3389</v>
      </c>
      <c r="D5365" s="1" t="s">
        <v>3390</v>
      </c>
      <c r="E5365" s="1" t="str">
        <f>""</f>
        <v/>
      </c>
      <c r="F5365" s="1" t="s">
        <v>1860</v>
      </c>
      <c r="G5365" s="1" t="str">
        <f>CONCATENATE("ELEKTRO-KOMUNIKACIJE D.O.O.,"," 14. PODBREŽJE 4,"," 10000 ZAGREB,"," OIB: 76412373309")</f>
        <v>ELEKTRO-KOMUNIKACIJE D.O.O., 14. PODBREŽJE 4, 10000 ZAGREB, OIB: 76412373309</v>
      </c>
      <c r="H5365" s="7"/>
      <c r="I5365" s="8" t="s">
        <v>224</v>
      </c>
      <c r="J5365" s="7"/>
      <c r="K5365" s="6" t="str">
        <f>"3.980,00"</f>
        <v>3.980,00</v>
      </c>
      <c r="L5365" s="6" t="str">
        <f>"995,00"</f>
        <v>995,00</v>
      </c>
      <c r="M5365" s="6" t="str">
        <f>"4.975,00"</f>
        <v>4.975,00</v>
      </c>
      <c r="N5365" s="8" t="s">
        <v>424</v>
      </c>
      <c r="O5365" s="7"/>
      <c r="P5365" s="2">
        <v>4975</v>
      </c>
      <c r="Q5365" s="7"/>
      <c r="R5365" s="1"/>
      <c r="S5365" s="1" t="str">
        <f>"2022-3342"</f>
        <v>2022-3342</v>
      </c>
      <c r="T5365" s="1" t="s">
        <v>55</v>
      </c>
    </row>
    <row r="5366" spans="1:20" ht="51" x14ac:dyDescent="0.25">
      <c r="A5366" s="6">
        <v>5345</v>
      </c>
      <c r="B5366" s="1" t="str">
        <f>"2022-503"</f>
        <v>2022-503</v>
      </c>
      <c r="C5366" s="1" t="s">
        <v>2699</v>
      </c>
      <c r="D5366" s="1" t="s">
        <v>3306</v>
      </c>
      <c r="E5366" s="1" t="str">
        <f>""</f>
        <v/>
      </c>
      <c r="F5366" s="1" t="s">
        <v>1860</v>
      </c>
      <c r="G5366" s="1" t="str">
        <f>CONCATENATE("ALATI MILIĆ D.O.O.,"," MIRKA VIRIUSA 2,"," 10000 ZAGREB,"," OIB: 53769098448")</f>
        <v>ALATI MILIĆ D.O.O., MIRKA VIRIUSA 2, 10000 ZAGREB, OIB: 53769098448</v>
      </c>
      <c r="H5366" s="7"/>
      <c r="I5366" s="8" t="s">
        <v>224</v>
      </c>
      <c r="J5366" s="7"/>
      <c r="K5366" s="6" t="str">
        <f>"820,50"</f>
        <v>820,50</v>
      </c>
      <c r="L5366" s="6" t="str">
        <f>"205,13"</f>
        <v>205,13</v>
      </c>
      <c r="M5366" s="6" t="str">
        <f>"1.025,63"</f>
        <v>1.025,63</v>
      </c>
      <c r="N5366" s="8" t="s">
        <v>625</v>
      </c>
      <c r="O5366" s="7"/>
      <c r="P5366" s="2">
        <v>1025.6300000000001</v>
      </c>
      <c r="Q5366" s="7"/>
      <c r="R5366" s="1"/>
      <c r="S5366" s="1" t="str">
        <f>"2022-3344"</f>
        <v>2022-3344</v>
      </c>
      <c r="T5366" s="1" t="s">
        <v>55</v>
      </c>
    </row>
    <row r="5367" spans="1:20" ht="63.75" x14ac:dyDescent="0.25">
      <c r="A5367" s="6">
        <v>5346</v>
      </c>
      <c r="B5367" s="1" t="str">
        <f>"2022-873"</f>
        <v>2022-873</v>
      </c>
      <c r="C5367" s="1" t="s">
        <v>2819</v>
      </c>
      <c r="D5367" s="1" t="s">
        <v>3341</v>
      </c>
      <c r="E5367" s="1" t="str">
        <f>""</f>
        <v/>
      </c>
      <c r="F5367" s="1" t="s">
        <v>1860</v>
      </c>
      <c r="G5367" s="1" t="str">
        <f>CONCATENATE("GUTEL,"," VL. DAMIR GUŽVINEC,"," ANTE TOPIĆ MIMARE 7,"," 10090 ZAGREB-SUSEDGRAD,"," OIB: 63743810909")</f>
        <v>GUTEL, VL. DAMIR GUŽVINEC, ANTE TOPIĆ MIMARE 7, 10090 ZAGREB-SUSEDGRAD, OIB: 63743810909</v>
      </c>
      <c r="H5367" s="7"/>
      <c r="I5367" s="8" t="s">
        <v>224</v>
      </c>
      <c r="J5367" s="7"/>
      <c r="K5367" s="6" t="str">
        <f>"344,40"</f>
        <v>344,40</v>
      </c>
      <c r="L5367" s="6" t="str">
        <f>"0,00"</f>
        <v>0,00</v>
      </c>
      <c r="M5367" s="6" t="str">
        <f>"344,40"</f>
        <v>344,40</v>
      </c>
      <c r="N5367" s="8" t="s">
        <v>124</v>
      </c>
      <c r="O5367" s="7"/>
      <c r="P5367" s="2">
        <v>0</v>
      </c>
      <c r="Q5367" s="7"/>
      <c r="R5367" s="1"/>
      <c r="S5367" s="1" t="str">
        <f>"2022-3346"</f>
        <v>2022-3346</v>
      </c>
      <c r="T5367" s="1" t="s">
        <v>86</v>
      </c>
    </row>
    <row r="5368" spans="1:20" ht="76.5" x14ac:dyDescent="0.25">
      <c r="A5368" s="6">
        <v>5347</v>
      </c>
      <c r="B5368" s="1" t="str">
        <f>"2022-852"</f>
        <v>2022-852</v>
      </c>
      <c r="C5368" s="1" t="s">
        <v>2469</v>
      </c>
      <c r="D5368" s="1" t="s">
        <v>2287</v>
      </c>
      <c r="E5368" s="1" t="str">
        <f>""</f>
        <v/>
      </c>
      <c r="F5368" s="1" t="s">
        <v>1860</v>
      </c>
      <c r="G5368" s="1" t="str">
        <f>CONCATENATE("SALON BANKARSKE OPREME - OZIMEC D.O.O.,"," REMETINEČKA CESTA 28,"," 10000 ZAGREB,"," OIB: 743642364")</f>
        <v>SALON BANKARSKE OPREME - OZIMEC D.O.O., REMETINEČKA CESTA 28, 10000 ZAGREB, OIB: 743642364</v>
      </c>
      <c r="H5368" s="7"/>
      <c r="I5368" s="8" t="s">
        <v>224</v>
      </c>
      <c r="J5368" s="7"/>
      <c r="K5368" s="6" t="str">
        <f>"11.000,00"</f>
        <v>11.000,00</v>
      </c>
      <c r="L5368" s="6" t="str">
        <f>"1.150,00"</f>
        <v>1.150,00</v>
      </c>
      <c r="M5368" s="6" t="str">
        <f>"12.150,00"</f>
        <v>12.150,00</v>
      </c>
      <c r="N5368" s="8" t="s">
        <v>892</v>
      </c>
      <c r="O5368" s="7"/>
      <c r="P5368" s="2">
        <v>5750</v>
      </c>
      <c r="Q5368" s="7"/>
      <c r="R5368" s="1"/>
      <c r="S5368" s="1" t="str">
        <f>"2022-3348"</f>
        <v>2022-3348</v>
      </c>
      <c r="T5368" s="1" t="s">
        <v>43</v>
      </c>
    </row>
    <row r="5369" spans="1:20" ht="63.75" x14ac:dyDescent="0.25">
      <c r="A5369" s="6">
        <v>5348</v>
      </c>
      <c r="B5369" s="1" t="str">
        <f>"2022-1171"</f>
        <v>2022-1171</v>
      </c>
      <c r="C5369" s="1" t="s">
        <v>3391</v>
      </c>
      <c r="D5369" s="1" t="s">
        <v>1642</v>
      </c>
      <c r="E5369" s="1" t="str">
        <f>""</f>
        <v/>
      </c>
      <c r="F5369" s="1" t="s">
        <v>1860</v>
      </c>
      <c r="G5369" s="1" t="str">
        <f>CONCATENATE("ZET D.O.O.,"," OZALJSKA 105,"," 10000 ZAGREB,"," OIB: 82031999604")</f>
        <v>ZET D.O.O., OZALJSKA 105, 10000 ZAGREB, OIB: 82031999604</v>
      </c>
      <c r="H5369" s="7"/>
      <c r="I5369" s="8" t="s">
        <v>224</v>
      </c>
      <c r="J5369" s="7"/>
      <c r="K5369" s="6" t="str">
        <f>"2.800,00"</f>
        <v>2.800,00</v>
      </c>
      <c r="L5369" s="6" t="str">
        <f>"700,00"</f>
        <v>700,00</v>
      </c>
      <c r="M5369" s="6" t="str">
        <f>"3.500,00"</f>
        <v>3.500,00</v>
      </c>
      <c r="N5369" s="8" t="s">
        <v>898</v>
      </c>
      <c r="O5369" s="7"/>
      <c r="P5369" s="2">
        <v>3500</v>
      </c>
      <c r="Q5369" s="7"/>
      <c r="R5369" s="1"/>
      <c r="S5369" s="1" t="str">
        <f>"2022-3351"</f>
        <v>2022-3351</v>
      </c>
      <c r="T5369" s="1" t="s">
        <v>55</v>
      </c>
    </row>
    <row r="5370" spans="1:20" ht="25.5" x14ac:dyDescent="0.25">
      <c r="A5370" s="6">
        <v>5349</v>
      </c>
      <c r="B5370" s="1" t="str">
        <f>"2022-400"</f>
        <v>2022-400</v>
      </c>
      <c r="C5370" s="1" t="s">
        <v>3392</v>
      </c>
      <c r="D5370" s="1" t="s">
        <v>3393</v>
      </c>
      <c r="E5370" s="1" t="str">
        <f>""</f>
        <v/>
      </c>
      <c r="F5370" s="1" t="s">
        <v>1860</v>
      </c>
      <c r="G5370" s="1" t="str">
        <f>CONCATENATE("E.T.AL. D.O.O.,"," OIB: 91055981513")</f>
        <v>E.T.AL. D.O.O., OIB: 91055981513</v>
      </c>
      <c r="H5370" s="7"/>
      <c r="I5370" s="8" t="s">
        <v>478</v>
      </c>
      <c r="J5370" s="7"/>
      <c r="K5370" s="6" t="str">
        <f>"74.190,00"</f>
        <v>74.190,00</v>
      </c>
      <c r="L5370" s="6" t="str">
        <f>"18.547,50"</f>
        <v>18.547,50</v>
      </c>
      <c r="M5370" s="6" t="str">
        <f>"92.737,50"</f>
        <v>92.737,50</v>
      </c>
      <c r="N5370" s="8" t="s">
        <v>1122</v>
      </c>
      <c r="O5370" s="7"/>
      <c r="P5370" s="2">
        <v>92737.5</v>
      </c>
      <c r="Q5370" s="7"/>
      <c r="R5370" s="1"/>
      <c r="S5370" s="1" t="str">
        <f>"2022-3360"</f>
        <v>2022-3360</v>
      </c>
      <c r="T5370" s="1" t="s">
        <v>55</v>
      </c>
    </row>
    <row r="5371" spans="1:20" ht="51" x14ac:dyDescent="0.25">
      <c r="A5371" s="6">
        <v>5350</v>
      </c>
      <c r="B5371" s="1" t="str">
        <f>"2022-1766"</f>
        <v>2022-1766</v>
      </c>
      <c r="C5371" s="1" t="s">
        <v>3394</v>
      </c>
      <c r="D5371" s="1" t="s">
        <v>51</v>
      </c>
      <c r="E5371" s="1" t="str">
        <f>""</f>
        <v/>
      </c>
      <c r="F5371" s="1" t="s">
        <v>1860</v>
      </c>
      <c r="G5371" s="1" t="str">
        <f>CONCATENATE("ELEX D.O.O.,"," SVIBJE,"," SAVSKA 70,"," 10361 SESVETSKI KRALJEVEC,"," OIB: 34421776805")</f>
        <v>ELEX D.O.O., SVIBJE, SAVSKA 70, 10361 SESVETSKI KRALJEVEC, OIB: 34421776805</v>
      </c>
      <c r="H5371" s="7"/>
      <c r="I5371" s="8" t="s">
        <v>478</v>
      </c>
      <c r="J5371" s="7"/>
      <c r="K5371" s="6" t="str">
        <f>"70.000,00"</f>
        <v>70.000,00</v>
      </c>
      <c r="L5371" s="6" t="str">
        <f>"17.500,00"</f>
        <v>17.500,00</v>
      </c>
      <c r="M5371" s="6" t="str">
        <f>"87.500,00"</f>
        <v>87.500,00</v>
      </c>
      <c r="N5371" s="8" t="s">
        <v>428</v>
      </c>
      <c r="O5371" s="7"/>
      <c r="P5371" s="2">
        <v>87500</v>
      </c>
      <c r="Q5371" s="7"/>
      <c r="R5371" s="1"/>
      <c r="S5371" s="1" t="str">
        <f>"2022-3378"</f>
        <v>2022-3378</v>
      </c>
      <c r="T5371" s="1" t="s">
        <v>55</v>
      </c>
    </row>
    <row r="5372" spans="1:20" ht="51" x14ac:dyDescent="0.25">
      <c r="A5372" s="6">
        <v>5351</v>
      </c>
      <c r="B5372" s="1" t="str">
        <f>"2022-304"</f>
        <v>2022-304</v>
      </c>
      <c r="C5372" s="1" t="s">
        <v>3395</v>
      </c>
      <c r="D5372" s="1" t="s">
        <v>3396</v>
      </c>
      <c r="E5372" s="1" t="str">
        <f>""</f>
        <v/>
      </c>
      <c r="F5372" s="1" t="s">
        <v>1860</v>
      </c>
      <c r="G5372" s="1" t="str">
        <f>CONCATENATE("RU - VE D.O.O.,"," PROSINAČKA 14,"," 10431 SVETA NEDELJA,"," OIB: 8847092984")</f>
        <v>RU - VE D.O.O., PROSINAČKA 14, 10431 SVETA NEDELJA, OIB: 8847092984</v>
      </c>
      <c r="H5372" s="7"/>
      <c r="I5372" s="8" t="s">
        <v>2212</v>
      </c>
      <c r="J5372" s="7"/>
      <c r="K5372" s="6" t="str">
        <f>"32.149,50"</f>
        <v>32.149,50</v>
      </c>
      <c r="L5372" s="6" t="str">
        <f>"8.037,38"</f>
        <v>8.037,38</v>
      </c>
      <c r="M5372" s="6" t="str">
        <f>"40.186,88"</f>
        <v>40.186,88</v>
      </c>
      <c r="N5372" s="8" t="s">
        <v>535</v>
      </c>
      <c r="O5372" s="7"/>
      <c r="P5372" s="2">
        <v>40186.879999999997</v>
      </c>
      <c r="Q5372" s="7"/>
      <c r="R5372" s="1"/>
      <c r="S5372" s="1" t="str">
        <f>"2022-3422"</f>
        <v>2022-3422</v>
      </c>
      <c r="T5372" s="1" t="s">
        <v>55</v>
      </c>
    </row>
    <row r="5373" spans="1:20" ht="63.75" x14ac:dyDescent="0.25">
      <c r="A5373" s="6">
        <v>5352</v>
      </c>
      <c r="B5373" s="1" t="str">
        <f>"2022-1744"</f>
        <v>2022-1744</v>
      </c>
      <c r="C5373" s="1" t="s">
        <v>1793</v>
      </c>
      <c r="D5373" s="1" t="s">
        <v>1792</v>
      </c>
      <c r="E5373" s="1" t="str">
        <f>""</f>
        <v/>
      </c>
      <c r="F5373" s="1" t="s">
        <v>1860</v>
      </c>
      <c r="G5373" s="1" t="str">
        <f>CONCATENATE("TOKIĆ D.O.O.,"," ULICA 144. BRIGADE HRVATSKE VOJSKE 1A,"," 10360 SESVETE,"," OIB: 7486748762")</f>
        <v>TOKIĆ D.O.O., ULICA 144. BRIGADE HRVATSKE VOJSKE 1A, 10360 SESVETE, OIB: 7486748762</v>
      </c>
      <c r="H5373" s="7"/>
      <c r="I5373" s="8" t="s">
        <v>350</v>
      </c>
      <c r="J5373" s="7"/>
      <c r="K5373" s="6" t="str">
        <f>"628,00"</f>
        <v>628,00</v>
      </c>
      <c r="L5373" s="6" t="str">
        <f>"157,00"</f>
        <v>157,00</v>
      </c>
      <c r="M5373" s="6" t="str">
        <f>"785,00"</f>
        <v>785,00</v>
      </c>
      <c r="N5373" s="8" t="s">
        <v>57</v>
      </c>
      <c r="O5373" s="7"/>
      <c r="P5373" s="2">
        <v>785</v>
      </c>
      <c r="Q5373" s="7"/>
      <c r="R5373" s="1"/>
      <c r="S5373" s="1" t="str">
        <f>"2022-3464"</f>
        <v>2022-3464</v>
      </c>
      <c r="T5373" s="1" t="s">
        <v>55</v>
      </c>
    </row>
    <row r="5374" spans="1:20" ht="63.75" x14ac:dyDescent="0.25">
      <c r="A5374" s="6">
        <v>5353</v>
      </c>
      <c r="B5374" s="1" t="str">
        <f>"2022-245"</f>
        <v>2022-245</v>
      </c>
      <c r="C5374" s="1" t="s">
        <v>2435</v>
      </c>
      <c r="D5374" s="1" t="s">
        <v>3323</v>
      </c>
      <c r="E5374" s="1" t="str">
        <f>""</f>
        <v/>
      </c>
      <c r="F5374" s="1" t="s">
        <v>1860</v>
      </c>
      <c r="G5374" s="1" t="str">
        <f>CONCATENATE("KUNA CORPORATION D.O.O.,"," DRAŠE 68,"," 49294 KRALJEVEC NA SUTLI,"," OIB: 54600743656")</f>
        <v>KUNA CORPORATION D.O.O., DRAŠE 68, 49294 KRALJEVEC NA SUTLI, OIB: 54600743656</v>
      </c>
      <c r="H5374" s="7"/>
      <c r="I5374" s="8" t="s">
        <v>350</v>
      </c>
      <c r="J5374" s="7"/>
      <c r="K5374" s="6" t="str">
        <f>"9.685,00"</f>
        <v>9.685,00</v>
      </c>
      <c r="L5374" s="6" t="str">
        <f>"2.421,25"</f>
        <v>2.421,25</v>
      </c>
      <c r="M5374" s="6" t="str">
        <f>"12.106,25"</f>
        <v>12.106,25</v>
      </c>
      <c r="N5374" s="8" t="s">
        <v>58</v>
      </c>
      <c r="O5374" s="7"/>
      <c r="P5374" s="2">
        <v>12106.25</v>
      </c>
      <c r="Q5374" s="7"/>
      <c r="R5374" s="1"/>
      <c r="S5374" s="1" t="str">
        <f>"2022-3465"</f>
        <v>2022-3465</v>
      </c>
      <c r="T5374" s="1" t="s">
        <v>55</v>
      </c>
    </row>
    <row r="5375" spans="1:20" ht="63.75" x14ac:dyDescent="0.25">
      <c r="A5375" s="6">
        <v>5354</v>
      </c>
      <c r="B5375" s="1" t="str">
        <f>"2022-940"</f>
        <v>2022-940</v>
      </c>
      <c r="C5375" s="1" t="s">
        <v>3397</v>
      </c>
      <c r="D5375" s="1" t="s">
        <v>1150</v>
      </c>
      <c r="E5375" s="1" t="str">
        <f>""</f>
        <v/>
      </c>
      <c r="F5375" s="1" t="s">
        <v>1860</v>
      </c>
      <c r="G5375" s="1" t="str">
        <f>CONCATENATE("POLJOOPSKRBA-TEHNO D.D.,"," SAMOBORSKA 96,"," 10000 ZAGREB,"," OIB: 5372167324")</f>
        <v>POLJOOPSKRBA-TEHNO D.D., SAMOBORSKA 96, 10000 ZAGREB, OIB: 5372167324</v>
      </c>
      <c r="H5375" s="7"/>
      <c r="I5375" s="8" t="s">
        <v>350</v>
      </c>
      <c r="J5375" s="7"/>
      <c r="K5375" s="6" t="str">
        <f>"1.284,20"</f>
        <v>1.284,20</v>
      </c>
      <c r="L5375" s="6" t="str">
        <f>"0,00"</f>
        <v>0,00</v>
      </c>
      <c r="M5375" s="6" t="str">
        <f>"1.284,20"</f>
        <v>1.284,20</v>
      </c>
      <c r="N5375" s="8" t="s">
        <v>124</v>
      </c>
      <c r="O5375" s="7"/>
      <c r="P5375" s="2">
        <v>0</v>
      </c>
      <c r="Q5375" s="7"/>
      <c r="R5375" s="1"/>
      <c r="S5375" s="1" t="str">
        <f>"2022-3467"</f>
        <v>2022-3467</v>
      </c>
      <c r="T5375" s="1" t="s">
        <v>55</v>
      </c>
    </row>
    <row r="5376" spans="1:20" ht="51" x14ac:dyDescent="0.25">
      <c r="A5376" s="6">
        <v>5355</v>
      </c>
      <c r="B5376" s="1" t="str">
        <f>"2022-1759"</f>
        <v>2022-1759</v>
      </c>
      <c r="C5376" s="1" t="s">
        <v>3398</v>
      </c>
      <c r="D5376" s="1" t="s">
        <v>21</v>
      </c>
      <c r="E5376" s="1" t="str">
        <f>""</f>
        <v/>
      </c>
      <c r="F5376" s="1" t="s">
        <v>1860</v>
      </c>
      <c r="G5376" s="1" t="str">
        <f>CONCATENATE("BENUSSI D. O. O.,"," FAŽANSKA CESTA 86,"," 52212 FAŽANA,"," OIB: 87971197112")</f>
        <v>BENUSSI D. O. O., FAŽANSKA CESTA 86, 52212 FAŽANA, OIB: 87971197112</v>
      </c>
      <c r="H5376" s="7"/>
      <c r="I5376" s="8" t="s">
        <v>350</v>
      </c>
      <c r="J5376" s="7"/>
      <c r="K5376" s="6" t="str">
        <f>"4.236,00"</f>
        <v>4.236,00</v>
      </c>
      <c r="L5376" s="6" t="str">
        <f>"1.059,00"</f>
        <v>1.059,00</v>
      </c>
      <c r="M5376" s="6" t="str">
        <f>"5.295,00"</f>
        <v>5.295,00</v>
      </c>
      <c r="N5376" s="8" t="s">
        <v>285</v>
      </c>
      <c r="O5376" s="7"/>
      <c r="P5376" s="2">
        <v>5295</v>
      </c>
      <c r="Q5376" s="7"/>
      <c r="R5376" s="1"/>
      <c r="S5376" s="1" t="str">
        <f>"2022-3468"</f>
        <v>2022-3468</v>
      </c>
      <c r="T5376" s="1" t="s">
        <v>55</v>
      </c>
    </row>
    <row r="5377" spans="1:20" ht="51" x14ac:dyDescent="0.25">
      <c r="A5377" s="6">
        <v>5356</v>
      </c>
      <c r="B5377" s="1" t="str">
        <f>"2022-1307"</f>
        <v>2022-1307</v>
      </c>
      <c r="C5377" s="1" t="s">
        <v>2476</v>
      </c>
      <c r="D5377" s="1" t="s">
        <v>810</v>
      </c>
      <c r="E5377" s="1" t="str">
        <f>""</f>
        <v/>
      </c>
      <c r="F5377" s="1" t="s">
        <v>1860</v>
      </c>
      <c r="G5377" s="1" t="str">
        <f>CONCATENATE("DEUS MAGNUS J.D.O.O.,"," RUKAVEC 19,"," 10090 ZAGREB,"," OIB: 64001013893")</f>
        <v>DEUS MAGNUS J.D.O.O., RUKAVEC 19, 10090 ZAGREB, OIB: 64001013893</v>
      </c>
      <c r="H5377" s="7"/>
      <c r="I5377" s="8" t="s">
        <v>521</v>
      </c>
      <c r="J5377" s="7"/>
      <c r="K5377" s="6" t="str">
        <f>"68.400,00"</f>
        <v>68.400,00</v>
      </c>
      <c r="L5377" s="6" t="str">
        <f>"0,00"</f>
        <v>0,00</v>
      </c>
      <c r="M5377" s="6" t="str">
        <f>"68.400,00"</f>
        <v>68.400,00</v>
      </c>
      <c r="N5377" s="8" t="s">
        <v>124</v>
      </c>
      <c r="O5377" s="7"/>
      <c r="P5377" s="2">
        <v>0</v>
      </c>
      <c r="Q5377" s="7"/>
      <c r="R5377" s="1"/>
      <c r="S5377" s="1" t="str">
        <f>"2022-3498"</f>
        <v>2022-3498</v>
      </c>
      <c r="T5377" s="1" t="s">
        <v>86</v>
      </c>
    </row>
    <row r="5378" spans="1:20" ht="51" x14ac:dyDescent="0.25">
      <c r="A5378" s="6">
        <v>5357</v>
      </c>
      <c r="B5378" s="1" t="str">
        <f>"2022-1475"</f>
        <v>2022-1475</v>
      </c>
      <c r="C5378" s="1" t="s">
        <v>3399</v>
      </c>
      <c r="D5378" s="1" t="s">
        <v>3400</v>
      </c>
      <c r="E5378" s="1" t="str">
        <f>""</f>
        <v/>
      </c>
      <c r="F5378" s="1" t="s">
        <v>1860</v>
      </c>
      <c r="G5378" s="1" t="str">
        <f>CONCATENATE("ENERGETSKI INSTITUT HRVOJE POŽAR,"," SAVSKA 163,"," 10000 ZAGREB,"," OIB: 43980170614")</f>
        <v>ENERGETSKI INSTITUT HRVOJE POŽAR, SAVSKA 163, 10000 ZAGREB, OIB: 43980170614</v>
      </c>
      <c r="H5378" s="7"/>
      <c r="I5378" s="8" t="s">
        <v>521</v>
      </c>
      <c r="J5378" s="7"/>
      <c r="K5378" s="6" t="str">
        <f>"68.500,00"</f>
        <v>68.500,00</v>
      </c>
      <c r="L5378" s="6" t="str">
        <f>"0,00"</f>
        <v>0,00</v>
      </c>
      <c r="M5378" s="6" t="str">
        <f>"68.500,00"</f>
        <v>68.500,00</v>
      </c>
      <c r="N5378" s="8" t="s">
        <v>124</v>
      </c>
      <c r="O5378" s="7"/>
      <c r="P5378" s="2">
        <v>0</v>
      </c>
      <c r="Q5378" s="7"/>
      <c r="R5378" s="1"/>
      <c r="S5378" s="1" t="str">
        <f>"2022-3499"</f>
        <v>2022-3499</v>
      </c>
      <c r="T5378" s="1" t="s">
        <v>55</v>
      </c>
    </row>
    <row r="5379" spans="1:20" ht="63.75" x14ac:dyDescent="0.25">
      <c r="A5379" s="6">
        <v>5358</v>
      </c>
      <c r="B5379" s="1" t="str">
        <f>"2022-1759"</f>
        <v>2022-1759</v>
      </c>
      <c r="C5379" s="1" t="s">
        <v>3398</v>
      </c>
      <c r="D5379" s="1" t="s">
        <v>21</v>
      </c>
      <c r="E5379" s="1" t="str">
        <f>""</f>
        <v/>
      </c>
      <c r="F5379" s="1" t="s">
        <v>1860</v>
      </c>
      <c r="G5379" s="1" t="str">
        <f>CONCATENATE("HIDRAULIKA KURELJA D.O.O.,"," MATENAČKA CESTA 41,"," 49290 DONJA STUBICA,"," OIB: 3092900595")</f>
        <v>HIDRAULIKA KURELJA D.O.O., MATENAČKA CESTA 41, 49290 DONJA STUBICA, OIB: 3092900595</v>
      </c>
      <c r="H5379" s="7"/>
      <c r="I5379" s="8" t="s">
        <v>521</v>
      </c>
      <c r="J5379" s="7"/>
      <c r="K5379" s="6" t="str">
        <f>"9.800,31"</f>
        <v>9.800,31</v>
      </c>
      <c r="L5379" s="6" t="str">
        <f>"2.450,08"</f>
        <v>2.450,08</v>
      </c>
      <c r="M5379" s="6" t="str">
        <f>"12.250,39"</f>
        <v>12.250,39</v>
      </c>
      <c r="N5379" s="8" t="s">
        <v>272</v>
      </c>
      <c r="O5379" s="7"/>
      <c r="P5379" s="2">
        <v>12250.39</v>
      </c>
      <c r="Q5379" s="7"/>
      <c r="R5379" s="1"/>
      <c r="S5379" s="1" t="str">
        <f>"2022-3501"</f>
        <v>2022-3501</v>
      </c>
      <c r="T5379" s="1" t="s">
        <v>55</v>
      </c>
    </row>
    <row r="5380" spans="1:20" ht="51" x14ac:dyDescent="0.25">
      <c r="A5380" s="6">
        <v>5359</v>
      </c>
      <c r="B5380" s="1" t="str">
        <f>"2022-716"</f>
        <v>2022-716</v>
      </c>
      <c r="C5380" s="1" t="s">
        <v>2563</v>
      </c>
      <c r="D5380" s="1" t="s">
        <v>815</v>
      </c>
      <c r="E5380" s="1" t="str">
        <f>""</f>
        <v/>
      </c>
      <c r="F5380" s="1" t="s">
        <v>1860</v>
      </c>
      <c r="G5380" s="1" t="str">
        <f>CONCATENATE("ZUBAK GRUPA D.O.O.,"," ZAGREBAČKA 117,"," 10410 VELIKA GORICA,"," OIB: 39135989747")</f>
        <v>ZUBAK GRUPA D.O.O., ZAGREBAČKA 117, 10410 VELIKA GORICA, OIB: 39135989747</v>
      </c>
      <c r="H5380" s="7"/>
      <c r="I5380" s="8" t="s">
        <v>521</v>
      </c>
      <c r="J5380" s="7"/>
      <c r="K5380" s="6" t="str">
        <f>"10.980,34"</f>
        <v>10.980,34</v>
      </c>
      <c r="L5380" s="6" t="str">
        <f>"0,00"</f>
        <v>0,00</v>
      </c>
      <c r="M5380" s="6" t="str">
        <f>"10.980,34"</f>
        <v>10.980,34</v>
      </c>
      <c r="N5380" s="8" t="s">
        <v>124</v>
      </c>
      <c r="O5380" s="7"/>
      <c r="P5380" s="2">
        <v>0</v>
      </c>
      <c r="Q5380" s="7"/>
      <c r="R5380" s="1"/>
      <c r="S5380" s="1" t="str">
        <f>"2022-3502"</f>
        <v>2022-3502</v>
      </c>
      <c r="T5380" s="1" t="s">
        <v>55</v>
      </c>
    </row>
    <row r="5381" spans="1:20" ht="51" x14ac:dyDescent="0.25">
      <c r="A5381" s="6">
        <v>5360</v>
      </c>
      <c r="B5381" s="1" t="str">
        <f>"2022-728"</f>
        <v>2022-728</v>
      </c>
      <c r="C5381" s="1" t="s">
        <v>3401</v>
      </c>
      <c r="D5381" s="1" t="s">
        <v>1116</v>
      </c>
      <c r="E5381" s="1" t="str">
        <f>""</f>
        <v/>
      </c>
      <c r="F5381" s="1" t="s">
        <v>1860</v>
      </c>
      <c r="G5381" s="1" t="str">
        <f>CONCATENATE("AGRA-TRGOVINA d.o.o.,"," KAČIĆEVA 6,"," 10000 ZAGREB,"," OIB: 9885929543")</f>
        <v>AGRA-TRGOVINA d.o.o., KAČIĆEVA 6, 10000 ZAGREB, OIB: 9885929543</v>
      </c>
      <c r="H5381" s="7"/>
      <c r="I5381" s="8" t="s">
        <v>521</v>
      </c>
      <c r="J5381" s="7"/>
      <c r="K5381" s="6" t="str">
        <f>"22.150,00"</f>
        <v>22.150,00</v>
      </c>
      <c r="L5381" s="6" t="str">
        <f>"15.537,50"</f>
        <v>15.537,50</v>
      </c>
      <c r="M5381" s="6" t="str">
        <f>"37.687,50"</f>
        <v>37.687,50</v>
      </c>
      <c r="N5381" s="8" t="s">
        <v>372</v>
      </c>
      <c r="O5381" s="7"/>
      <c r="P5381" s="2">
        <v>27687.5</v>
      </c>
      <c r="Q5381" s="7"/>
      <c r="R5381" s="1"/>
      <c r="S5381" s="1" t="str">
        <f>"2022-3506"</f>
        <v>2022-3506</v>
      </c>
      <c r="T5381" s="1" t="s">
        <v>55</v>
      </c>
    </row>
    <row r="5382" spans="1:20" ht="51" x14ac:dyDescent="0.25">
      <c r="A5382" s="6">
        <v>5361</v>
      </c>
      <c r="B5382" s="1" t="str">
        <f>"2022-1470"</f>
        <v>2022-1470</v>
      </c>
      <c r="C5382" s="1" t="s">
        <v>3305</v>
      </c>
      <c r="D5382" s="1" t="s">
        <v>1206</v>
      </c>
      <c r="E5382" s="1" t="str">
        <f>""</f>
        <v/>
      </c>
      <c r="F5382" s="1" t="s">
        <v>1860</v>
      </c>
      <c r="G5382" s="1" t="str">
        <f>CONCATENATE("POLJOOPSKRBA-TEHNO D.D.,"," SAMOBORSKA 96,"," 10000 ZAGREB,"," OIB: 5372167324")</f>
        <v>POLJOOPSKRBA-TEHNO D.D., SAMOBORSKA 96, 10000 ZAGREB, OIB: 5372167324</v>
      </c>
      <c r="H5382" s="7"/>
      <c r="I5382" s="8" t="s">
        <v>521</v>
      </c>
      <c r="J5382" s="7"/>
      <c r="K5382" s="6" t="str">
        <f>"2.373,00"</f>
        <v>2.373,00</v>
      </c>
      <c r="L5382" s="6" t="str">
        <f>"593,25"</f>
        <v>593,25</v>
      </c>
      <c r="M5382" s="6" t="str">
        <f>"2.966,25"</f>
        <v>2.966,25</v>
      </c>
      <c r="N5382" s="8" t="s">
        <v>565</v>
      </c>
      <c r="O5382" s="7"/>
      <c r="P5382" s="2">
        <v>2966.25</v>
      </c>
      <c r="Q5382" s="7"/>
      <c r="R5382" s="1"/>
      <c r="S5382" s="1" t="str">
        <f>"2022-3507"</f>
        <v>2022-3507</v>
      </c>
      <c r="T5382" s="1" t="s">
        <v>55</v>
      </c>
    </row>
    <row r="5383" spans="1:20" ht="51" x14ac:dyDescent="0.25">
      <c r="A5383" s="6">
        <v>5362</v>
      </c>
      <c r="B5383" s="1" t="str">
        <f>"2022-226"</f>
        <v>2022-226</v>
      </c>
      <c r="C5383" s="1" t="s">
        <v>2464</v>
      </c>
      <c r="D5383" s="1" t="s">
        <v>3311</v>
      </c>
      <c r="E5383" s="1" t="str">
        <f>""</f>
        <v/>
      </c>
      <c r="F5383" s="1" t="s">
        <v>1860</v>
      </c>
      <c r="G5383" s="1" t="str">
        <f>CONCATENATE("NOACK D.O.O.,"," GETALDIĆEVA 8,"," 10000 ZAGREB,"," OIB: 98869260762")</f>
        <v>NOACK D.O.O., GETALDIĆEVA 8, 10000 ZAGREB, OIB: 98869260762</v>
      </c>
      <c r="H5383" s="7"/>
      <c r="I5383" s="8" t="s">
        <v>521</v>
      </c>
      <c r="J5383" s="7"/>
      <c r="K5383" s="6" t="str">
        <f>"24.125,70"</f>
        <v>24.125,70</v>
      </c>
      <c r="L5383" s="6" t="str">
        <f>"1.662,74"</f>
        <v>1.662,74</v>
      </c>
      <c r="M5383" s="6" t="str">
        <f>"25.788,44"</f>
        <v>25.788,44</v>
      </c>
      <c r="N5383" s="8" t="s">
        <v>102</v>
      </c>
      <c r="O5383" s="7"/>
      <c r="P5383" s="2">
        <v>8313.68</v>
      </c>
      <c r="Q5383" s="7"/>
      <c r="R5383" s="1"/>
      <c r="S5383" s="1" t="str">
        <f>"2022-3515"</f>
        <v>2022-3515</v>
      </c>
      <c r="T5383" s="1" t="s">
        <v>55</v>
      </c>
    </row>
    <row r="5384" spans="1:20" ht="102" x14ac:dyDescent="0.25">
      <c r="A5384" s="6">
        <v>5363</v>
      </c>
      <c r="B5384" s="1" t="str">
        <f>"2022-1162"</f>
        <v>2022-1162</v>
      </c>
      <c r="C5384" s="1" t="s">
        <v>3364</v>
      </c>
      <c r="D5384" s="1" t="s">
        <v>3326</v>
      </c>
      <c r="E5384" s="1" t="str">
        <f>""</f>
        <v/>
      </c>
      <c r="F5384" s="1" t="s">
        <v>1860</v>
      </c>
      <c r="G5384" s="1" t="str">
        <f>CONCATENATE("PROJEKTNI BIRO NAGLIĆ D.O.O.,"," OLIBSKA 17,"," 10000 ZAGREB,"," OIB: 18216105743")</f>
        <v>PROJEKTNI BIRO NAGLIĆ D.O.O., OLIBSKA 17, 10000 ZAGREB, OIB: 18216105743</v>
      </c>
      <c r="H5384" s="7"/>
      <c r="I5384" s="8" t="s">
        <v>521</v>
      </c>
      <c r="J5384" s="7"/>
      <c r="K5384" s="6" t="str">
        <f>"19.800,00"</f>
        <v>19.800,00</v>
      </c>
      <c r="L5384" s="6" t="str">
        <f>"0,00"</f>
        <v>0,00</v>
      </c>
      <c r="M5384" s="6" t="str">
        <f>"19.800,00"</f>
        <v>19.800,00</v>
      </c>
      <c r="N5384" s="8" t="s">
        <v>1123</v>
      </c>
      <c r="O5384" s="7"/>
      <c r="P5384" s="2">
        <v>1051.1600000000001</v>
      </c>
      <c r="Q5384" s="7"/>
      <c r="R5384" s="1"/>
      <c r="S5384" s="1" t="str">
        <f>"2022-3516"</f>
        <v>2022-3516</v>
      </c>
      <c r="T5384" s="1" t="s">
        <v>55</v>
      </c>
    </row>
    <row r="5385" spans="1:20" ht="102" x14ac:dyDescent="0.25">
      <c r="A5385" s="6">
        <v>5364</v>
      </c>
      <c r="B5385" s="1" t="str">
        <f>"2022-1162"</f>
        <v>2022-1162</v>
      </c>
      <c r="C5385" s="1" t="s">
        <v>3364</v>
      </c>
      <c r="D5385" s="1" t="s">
        <v>3326</v>
      </c>
      <c r="E5385" s="1" t="str">
        <f>""</f>
        <v/>
      </c>
      <c r="F5385" s="1" t="s">
        <v>1860</v>
      </c>
      <c r="G5385" s="1" t="str">
        <f>CONCATENATE("HIDRO-A D.O.O.,"," VRLIČKA 24,"," 10000 ZAGREB,"," OIB: 84077835296")</f>
        <v>HIDRO-A D.O.O., VRLIČKA 24, 10000 ZAGREB, OIB: 84077835296</v>
      </c>
      <c r="H5385" s="7"/>
      <c r="I5385" s="8" t="s">
        <v>521</v>
      </c>
      <c r="J5385" s="7"/>
      <c r="K5385" s="6" t="str">
        <f>"18.000,00"</f>
        <v>18.000,00</v>
      </c>
      <c r="L5385" s="6" t="str">
        <f>"0,00"</f>
        <v>0,00</v>
      </c>
      <c r="M5385" s="6" t="str">
        <f>"18.000,00"</f>
        <v>18.000,00</v>
      </c>
      <c r="N5385" s="8" t="s">
        <v>31</v>
      </c>
      <c r="O5385" s="7"/>
      <c r="P5385" s="2">
        <v>12000</v>
      </c>
      <c r="Q5385" s="7"/>
      <c r="R5385" s="1"/>
      <c r="S5385" s="1" t="str">
        <f>"2022-3517"</f>
        <v>2022-3517</v>
      </c>
      <c r="T5385" s="1" t="s">
        <v>55</v>
      </c>
    </row>
    <row r="5386" spans="1:20" ht="51" x14ac:dyDescent="0.25">
      <c r="A5386" s="6">
        <v>5365</v>
      </c>
      <c r="B5386" s="1" t="str">
        <f>"2022-366"</f>
        <v>2022-366</v>
      </c>
      <c r="C5386" s="1" t="s">
        <v>2831</v>
      </c>
      <c r="D5386" s="1" t="s">
        <v>3402</v>
      </c>
      <c r="E5386" s="1" t="str">
        <f>""</f>
        <v/>
      </c>
      <c r="F5386" s="1" t="s">
        <v>1860</v>
      </c>
      <c r="G5386" s="1" t="str">
        <f>CONCATENATE("PASTOR - TVA - D.D.,"," RAKITJE,"," NOVAČKA 2,"," 10437 BESTOVJE,"," OIB: 17140959007")</f>
        <v>PASTOR - TVA - D.D., RAKITJE, NOVAČKA 2, 10437 BESTOVJE, OIB: 17140959007</v>
      </c>
      <c r="H5386" s="7"/>
      <c r="I5386" s="8" t="s">
        <v>877</v>
      </c>
      <c r="J5386" s="7"/>
      <c r="K5386" s="6" t="str">
        <f>"22.625,60"</f>
        <v>22.625,60</v>
      </c>
      <c r="L5386" s="6" t="str">
        <f>"2.500,00"</f>
        <v>2.500,00</v>
      </c>
      <c r="M5386" s="6" t="str">
        <f>"25.125,60"</f>
        <v>25.125,60</v>
      </c>
      <c r="N5386" s="8" t="s">
        <v>563</v>
      </c>
      <c r="O5386" s="7"/>
      <c r="P5386" s="2">
        <v>12500</v>
      </c>
      <c r="Q5386" s="7"/>
      <c r="R5386" s="1"/>
      <c r="S5386" s="1" t="str">
        <f>"2022-3549"</f>
        <v>2022-3549</v>
      </c>
      <c r="T5386" s="1" t="s">
        <v>55</v>
      </c>
    </row>
    <row r="5387" spans="1:20" ht="51" x14ac:dyDescent="0.25">
      <c r="A5387" s="6">
        <v>5366</v>
      </c>
      <c r="B5387" s="1" t="str">
        <f>"2022-478"</f>
        <v>2022-478</v>
      </c>
      <c r="C5387" s="1" t="s">
        <v>2600</v>
      </c>
      <c r="D5387" s="1" t="s">
        <v>3318</v>
      </c>
      <c r="E5387" s="1" t="str">
        <f>""</f>
        <v/>
      </c>
      <c r="F5387" s="1" t="s">
        <v>1860</v>
      </c>
      <c r="G5387" s="1" t="str">
        <f>CONCATENATE("POLJOOPSKRBA-TEHNO D.D.,"," SAMOBORSKA 96,"," 10000 ZAGREB,"," OIB: 5372167324")</f>
        <v>POLJOOPSKRBA-TEHNO D.D., SAMOBORSKA 96, 10000 ZAGREB, OIB: 5372167324</v>
      </c>
      <c r="H5387" s="7"/>
      <c r="I5387" s="8" t="s">
        <v>877</v>
      </c>
      <c r="J5387" s="7"/>
      <c r="K5387" s="6" t="str">
        <f>"10.322,52"</f>
        <v>10.322,52</v>
      </c>
      <c r="L5387" s="6" t="str">
        <f>"2.580,63"</f>
        <v>2.580,63</v>
      </c>
      <c r="M5387" s="6" t="str">
        <f>"12.903,15"</f>
        <v>12.903,15</v>
      </c>
      <c r="N5387" s="8" t="s">
        <v>625</v>
      </c>
      <c r="O5387" s="7"/>
      <c r="P5387" s="2">
        <v>12903.15</v>
      </c>
      <c r="Q5387" s="7"/>
      <c r="R5387" s="1"/>
      <c r="S5387" s="1" t="str">
        <f>"2022-3550"</f>
        <v>2022-3550</v>
      </c>
      <c r="T5387" s="1" t="s">
        <v>55</v>
      </c>
    </row>
    <row r="5388" spans="1:20" ht="63.75" x14ac:dyDescent="0.25">
      <c r="A5388" s="6">
        <v>5367</v>
      </c>
      <c r="B5388" s="1" t="str">
        <f>"2022-711"</f>
        <v>2022-711</v>
      </c>
      <c r="C5388" s="1" t="s">
        <v>2956</v>
      </c>
      <c r="D5388" s="1" t="s">
        <v>815</v>
      </c>
      <c r="E5388" s="1" t="str">
        <f>""</f>
        <v/>
      </c>
      <c r="F5388" s="1" t="s">
        <v>1860</v>
      </c>
      <c r="G5388" s="1" t="str">
        <f>CONCATENATE("EMIL FREY AUTO CENTAR D.O.O.,"," KOVINSKA 5,"," 10000 ZAGREB,"," OIB: 01930677284")</f>
        <v>EMIL FREY AUTO CENTAR D.O.O., KOVINSKA 5, 10000 ZAGREB, OIB: 01930677284</v>
      </c>
      <c r="H5388" s="7"/>
      <c r="I5388" s="8" t="s">
        <v>877</v>
      </c>
      <c r="J5388" s="7"/>
      <c r="K5388" s="6" t="str">
        <f>"17.517,05"</f>
        <v>17.517,05</v>
      </c>
      <c r="L5388" s="6" t="str">
        <f>"4.011,15"</f>
        <v>4.011,15</v>
      </c>
      <c r="M5388" s="6" t="str">
        <f>"21.528,20"</f>
        <v>21.528,20</v>
      </c>
      <c r="N5388" s="8" t="s">
        <v>895</v>
      </c>
      <c r="O5388" s="7"/>
      <c r="P5388" s="2">
        <v>20055.75</v>
      </c>
      <c r="Q5388" s="7"/>
      <c r="R5388" s="1"/>
      <c r="S5388" s="1" t="str">
        <f>"2022-3551"</f>
        <v>2022-3551</v>
      </c>
      <c r="T5388" s="1" t="s">
        <v>55</v>
      </c>
    </row>
    <row r="5389" spans="1:20" ht="51" x14ac:dyDescent="0.25">
      <c r="A5389" s="6">
        <v>5368</v>
      </c>
      <c r="B5389" s="1" t="str">
        <f>"2022-193"</f>
        <v>2022-193</v>
      </c>
      <c r="C5389" s="1" t="s">
        <v>2731</v>
      </c>
      <c r="D5389" s="1" t="s">
        <v>3367</v>
      </c>
      <c r="E5389" s="1" t="str">
        <f>""</f>
        <v/>
      </c>
      <c r="F5389" s="1" t="s">
        <v>1860</v>
      </c>
      <c r="G5389" s="1" t="str">
        <f>CONCATENATE("POLJOOPSKRBA-TEHNO D.D.,"," SAMOBORSKA 96,"," 10000 ZAGREB,"," OIB: 5372167324")</f>
        <v>POLJOOPSKRBA-TEHNO D.D., SAMOBORSKA 96, 10000 ZAGREB, OIB: 5372167324</v>
      </c>
      <c r="H5389" s="7"/>
      <c r="I5389" s="8" t="s">
        <v>505</v>
      </c>
      <c r="J5389" s="7"/>
      <c r="K5389" s="6" t="str">
        <f>"4.950,00"</f>
        <v>4.950,00</v>
      </c>
      <c r="L5389" s="6" t="str">
        <f>"1.237,50"</f>
        <v>1.237,50</v>
      </c>
      <c r="M5389" s="6" t="str">
        <f>"6.187,50"</f>
        <v>6.187,50</v>
      </c>
      <c r="N5389" s="8" t="s">
        <v>160</v>
      </c>
      <c r="O5389" s="7"/>
      <c r="P5389" s="2">
        <v>6187.5</v>
      </c>
      <c r="Q5389" s="7"/>
      <c r="R5389" s="1"/>
      <c r="S5389" s="1" t="str">
        <f>"2022-3600"</f>
        <v>2022-3600</v>
      </c>
      <c r="T5389" s="1" t="s">
        <v>55</v>
      </c>
    </row>
    <row r="5390" spans="1:20" ht="89.25" x14ac:dyDescent="0.25">
      <c r="A5390" s="6">
        <v>5369</v>
      </c>
      <c r="B5390" s="1" t="str">
        <f>"2022-160"</f>
        <v>2022-160</v>
      </c>
      <c r="C5390" s="1" t="s">
        <v>3014</v>
      </c>
      <c r="D5390" s="1" t="s">
        <v>1492</v>
      </c>
      <c r="E5390" s="1" t="str">
        <f>""</f>
        <v/>
      </c>
      <c r="F5390" s="1" t="s">
        <v>1860</v>
      </c>
      <c r="G5390" s="1" t="str">
        <f>CONCATENATE("ZAGREBAČKI HOLDING D.O.O.,"," PODRUŽNICA ZRINJEVAC,"," ULICA GRADA VUKOVARA 41,"," REMETINEČKA CESTA 15,"," 10000 ZAGREB,"," OIB: 85584865987")</f>
        <v>ZAGREBAČKI HOLDING D.O.O., PODRUŽNICA ZRINJEVAC, ULICA GRADA VUKOVARA 41, REMETINEČKA CESTA 15, 10000 ZAGREB, OIB: 85584865987</v>
      </c>
      <c r="H5390" s="7"/>
      <c r="I5390" s="8" t="s">
        <v>505</v>
      </c>
      <c r="J5390" s="7"/>
      <c r="K5390" s="6" t="str">
        <f>"5.264,40"</f>
        <v>5.264,40</v>
      </c>
      <c r="L5390" s="6" t="str">
        <f>"438,70"</f>
        <v>438,70</v>
      </c>
      <c r="M5390" s="6" t="str">
        <f>"5.703,10"</f>
        <v>5.703,10</v>
      </c>
      <c r="N5390" s="8" t="s">
        <v>285</v>
      </c>
      <c r="O5390" s="7"/>
      <c r="P5390" s="2">
        <v>2193.5</v>
      </c>
      <c r="Q5390" s="7"/>
      <c r="R5390" s="1"/>
      <c r="S5390" s="1" t="str">
        <f>"2022-3603"</f>
        <v>2022-3603</v>
      </c>
      <c r="T5390" s="1" t="s">
        <v>55</v>
      </c>
    </row>
    <row r="5391" spans="1:20" ht="63.75" x14ac:dyDescent="0.25">
      <c r="A5391" s="6">
        <v>5370</v>
      </c>
      <c r="B5391" s="1" t="str">
        <f>"2022-894"</f>
        <v>2022-894</v>
      </c>
      <c r="C5391" s="1" t="s">
        <v>2863</v>
      </c>
      <c r="D5391" s="1" t="s">
        <v>1209</v>
      </c>
      <c r="E5391" s="1" t="str">
        <f>""</f>
        <v/>
      </c>
      <c r="F5391" s="1" t="s">
        <v>1860</v>
      </c>
      <c r="G5391" s="1" t="str">
        <f>CONCATENATE("FRANK SERVIS,"," OBRT ZA USLUGE,"," VL. ŽIVKO ROMAN,"," JABLANOVAC 27,"," 10000 ZAGREB,"," OIB: 59088996868")</f>
        <v>FRANK SERVIS, OBRT ZA USLUGE, VL. ŽIVKO ROMAN, JABLANOVAC 27, 10000 ZAGREB, OIB: 59088996868</v>
      </c>
      <c r="H5391" s="7"/>
      <c r="I5391" s="8" t="s">
        <v>505</v>
      </c>
      <c r="J5391" s="7"/>
      <c r="K5391" s="6" t="str">
        <f>"13.100,00"</f>
        <v>13.100,00</v>
      </c>
      <c r="L5391" s="6" t="str">
        <f>"3.175,00"</f>
        <v>3.175,00</v>
      </c>
      <c r="M5391" s="6" t="str">
        <f>"16.275,00"</f>
        <v>16.275,00</v>
      </c>
      <c r="N5391" s="8" t="s">
        <v>372</v>
      </c>
      <c r="O5391" s="7"/>
      <c r="P5391" s="2">
        <v>15875</v>
      </c>
      <c r="Q5391" s="7"/>
      <c r="R5391" s="1"/>
      <c r="S5391" s="1" t="str">
        <f>"2022-3620"</f>
        <v>2022-3620</v>
      </c>
      <c r="T5391" s="1" t="s">
        <v>55</v>
      </c>
    </row>
    <row r="5392" spans="1:20" ht="51" x14ac:dyDescent="0.25">
      <c r="A5392" s="6">
        <v>5371</v>
      </c>
      <c r="B5392" s="1" t="str">
        <f>"2022-823"</f>
        <v>2022-823</v>
      </c>
      <c r="C5392" s="1" t="s">
        <v>2675</v>
      </c>
      <c r="D5392" s="1" t="s">
        <v>2676</v>
      </c>
      <c r="E5392" s="1" t="str">
        <f>""</f>
        <v/>
      </c>
      <c r="F5392" s="1" t="s">
        <v>1860</v>
      </c>
      <c r="G5392" s="1" t="str">
        <f>CONCATENATE("AUTOKUĆA-ŠTARKELJ D.O.O.,"," UKRAJINSKA 17,"," 10000 ZAGREB,"," OIB: 87340407905")</f>
        <v>AUTOKUĆA-ŠTARKELJ D.O.O., UKRAJINSKA 17, 10000 ZAGREB, OIB: 87340407905</v>
      </c>
      <c r="H5392" s="7"/>
      <c r="I5392" s="8" t="s">
        <v>898</v>
      </c>
      <c r="J5392" s="7"/>
      <c r="K5392" s="6" t="str">
        <f>"1.567,43"</f>
        <v>1.567,43</v>
      </c>
      <c r="L5392" s="6" t="str">
        <f>"391,86"</f>
        <v>391,86</v>
      </c>
      <c r="M5392" s="6" t="str">
        <f>"1.959,29"</f>
        <v>1.959,29</v>
      </c>
      <c r="N5392" s="8" t="s">
        <v>208</v>
      </c>
      <c r="O5392" s="7"/>
      <c r="P5392" s="2">
        <v>1959.29</v>
      </c>
      <c r="Q5392" s="7"/>
      <c r="R5392" s="1"/>
      <c r="S5392" s="1" t="str">
        <f>"2022-3644"</f>
        <v>2022-3644</v>
      </c>
      <c r="T5392" s="1" t="s">
        <v>55</v>
      </c>
    </row>
    <row r="5393" spans="1:20" ht="51" x14ac:dyDescent="0.25">
      <c r="A5393" s="6">
        <v>5372</v>
      </c>
      <c r="B5393" s="1" t="str">
        <f>"2022-478"</f>
        <v>2022-478</v>
      </c>
      <c r="C5393" s="1" t="s">
        <v>2600</v>
      </c>
      <c r="D5393" s="1" t="s">
        <v>3318</v>
      </c>
      <c r="E5393" s="1" t="str">
        <f>""</f>
        <v/>
      </c>
      <c r="F5393" s="1" t="s">
        <v>1860</v>
      </c>
      <c r="G5393" s="1" t="str">
        <f>CONCATENATE("POLJOOPSKRBA-TEHNO D.D.,"," SAMOBORSKA 96,"," 10000 ZAGREB,"," OIB: 5372167324")</f>
        <v>POLJOOPSKRBA-TEHNO D.D., SAMOBORSKA 96, 10000 ZAGREB, OIB: 5372167324</v>
      </c>
      <c r="H5393" s="7"/>
      <c r="I5393" s="8" t="s">
        <v>898</v>
      </c>
      <c r="J5393" s="7"/>
      <c r="K5393" s="6" t="str">
        <f>"412,00"</f>
        <v>412,00</v>
      </c>
      <c r="L5393" s="6" t="str">
        <f>"103,00"</f>
        <v>103,00</v>
      </c>
      <c r="M5393" s="6" t="str">
        <f>"515,00"</f>
        <v>515,00</v>
      </c>
      <c r="N5393" s="8" t="s">
        <v>240</v>
      </c>
      <c r="O5393" s="7"/>
      <c r="P5393" s="2">
        <v>515</v>
      </c>
      <c r="Q5393" s="7"/>
      <c r="R5393" s="1"/>
      <c r="S5393" s="1" t="str">
        <f>"2022-3658"</f>
        <v>2022-3658</v>
      </c>
      <c r="T5393" s="1" t="s">
        <v>55</v>
      </c>
    </row>
    <row r="5394" spans="1:20" ht="51" x14ac:dyDescent="0.25">
      <c r="A5394" s="6">
        <v>5373</v>
      </c>
      <c r="B5394" s="1" t="str">
        <f>"2022-891"</f>
        <v>2022-891</v>
      </c>
      <c r="C5394" s="1" t="s">
        <v>3374</v>
      </c>
      <c r="D5394" s="1" t="s">
        <v>2903</v>
      </c>
      <c r="E5394" s="1" t="str">
        <f>""</f>
        <v/>
      </c>
      <c r="F5394" s="1" t="s">
        <v>1860</v>
      </c>
      <c r="G5394" s="1" t="str">
        <f>CONCATENATE("SHIMADZU D.O.O.,"," ZAVRTNICA 17,"," 10000 ZAGREB,"," OIB: 16214531266")</f>
        <v>SHIMADZU D.O.O., ZAVRTNICA 17, 10000 ZAGREB, OIB: 16214531266</v>
      </c>
      <c r="H5394" s="7"/>
      <c r="I5394" s="8" t="s">
        <v>898</v>
      </c>
      <c r="J5394" s="7"/>
      <c r="K5394" s="6" t="str">
        <f>"15.925,18"</f>
        <v>15.925,18</v>
      </c>
      <c r="L5394" s="6" t="str">
        <f>"3.981,30"</f>
        <v>3.981,30</v>
      </c>
      <c r="M5394" s="6" t="str">
        <f>"19.906,48"</f>
        <v>19.906,48</v>
      </c>
      <c r="N5394" s="8" t="s">
        <v>240</v>
      </c>
      <c r="O5394" s="7"/>
      <c r="P5394" s="2">
        <v>19906.48</v>
      </c>
      <c r="Q5394" s="7"/>
      <c r="R5394" s="1"/>
      <c r="S5394" s="1" t="str">
        <f>"2022-3674"</f>
        <v>2022-3674</v>
      </c>
      <c r="T5394" s="1" t="s">
        <v>55</v>
      </c>
    </row>
    <row r="5395" spans="1:20" ht="51" x14ac:dyDescent="0.25">
      <c r="A5395" s="6">
        <v>5374</v>
      </c>
      <c r="B5395" s="1" t="str">
        <f>"2022-662"</f>
        <v>2022-662</v>
      </c>
      <c r="C5395" s="1" t="s">
        <v>3403</v>
      </c>
      <c r="D5395" s="1" t="s">
        <v>1381</v>
      </c>
      <c r="E5395" s="1" t="str">
        <f>""</f>
        <v/>
      </c>
      <c r="F5395" s="1" t="s">
        <v>1860</v>
      </c>
      <c r="G5395" s="1" t="str">
        <f>CONCATENATE("ENDRESS + HAUSER D.O.O.,"," JARUŠČICA 23,"," 10000 ZAGREB,"," OIB: 7265450036")</f>
        <v>ENDRESS + HAUSER D.O.O., JARUŠČICA 23, 10000 ZAGREB, OIB: 7265450036</v>
      </c>
      <c r="H5395" s="7"/>
      <c r="I5395" s="8" t="s">
        <v>424</v>
      </c>
      <c r="J5395" s="7"/>
      <c r="K5395" s="6" t="str">
        <f>"98.851,69"</f>
        <v>98.851,69</v>
      </c>
      <c r="L5395" s="6" t="str">
        <f>"24.712,92"</f>
        <v>24.712,92</v>
      </c>
      <c r="M5395" s="6" t="str">
        <f>"123.564,61"</f>
        <v>123.564,61</v>
      </c>
      <c r="N5395" s="8" t="s">
        <v>240</v>
      </c>
      <c r="O5395" s="7"/>
      <c r="P5395" s="2">
        <v>123564.61</v>
      </c>
      <c r="Q5395" s="7"/>
      <c r="R5395" s="1"/>
      <c r="S5395" s="1" t="str">
        <f>"2022-3699"</f>
        <v>2022-3699</v>
      </c>
      <c r="T5395" s="1" t="s">
        <v>55</v>
      </c>
    </row>
    <row r="5396" spans="1:20" ht="63.75" x14ac:dyDescent="0.25">
      <c r="A5396" s="6">
        <v>5375</v>
      </c>
      <c r="B5396" s="1" t="str">
        <f>"2022-894"</f>
        <v>2022-894</v>
      </c>
      <c r="C5396" s="1" t="s">
        <v>2863</v>
      </c>
      <c r="D5396" s="1" t="s">
        <v>1209</v>
      </c>
      <c r="E5396" s="1" t="str">
        <f>""</f>
        <v/>
      </c>
      <c r="F5396" s="1" t="s">
        <v>1860</v>
      </c>
      <c r="G5396" s="1" t="str">
        <f>CONCATENATE("METTLER - TOLEDO D.O.O.,"," ULICA JURE KAŠTELANA 9,"," 10000 ZAGREB,"," OIB: 01271618606")</f>
        <v>METTLER - TOLEDO D.O.O., ULICA JURE KAŠTELANA 9, 10000 ZAGREB, OIB: 01271618606</v>
      </c>
      <c r="H5396" s="7"/>
      <c r="I5396" s="8" t="s">
        <v>424</v>
      </c>
      <c r="J5396" s="7"/>
      <c r="K5396" s="6" t="str">
        <f>"6.027,00"</f>
        <v>6.027,00</v>
      </c>
      <c r="L5396" s="6" t="str">
        <f>"1.506,75"</f>
        <v>1.506,75</v>
      </c>
      <c r="M5396" s="6" t="str">
        <f>"7.533,75"</f>
        <v>7.533,75</v>
      </c>
      <c r="N5396" s="8" t="s">
        <v>2084</v>
      </c>
      <c r="O5396" s="7"/>
      <c r="P5396" s="2">
        <v>7533.75</v>
      </c>
      <c r="Q5396" s="7"/>
      <c r="R5396" s="1"/>
      <c r="S5396" s="1" t="str">
        <f>"2022-3701"</f>
        <v>2022-3701</v>
      </c>
      <c r="T5396" s="1" t="s">
        <v>55</v>
      </c>
    </row>
    <row r="5397" spans="1:20" ht="63.75" x14ac:dyDescent="0.25">
      <c r="A5397" s="6">
        <v>5376</v>
      </c>
      <c r="B5397" s="1" t="str">
        <f>"2022-649"</f>
        <v>2022-649</v>
      </c>
      <c r="C5397" s="1" t="s">
        <v>3404</v>
      </c>
      <c r="D5397" s="1" t="s">
        <v>3405</v>
      </c>
      <c r="E5397" s="1" t="str">
        <f>""</f>
        <v/>
      </c>
      <c r="F5397" s="1" t="s">
        <v>1860</v>
      </c>
      <c r="G5397" s="1" t="str">
        <f>CONCATENATE("CONTROLTECH D.O.O.,"," ULICA PETRA HEKTOROVIĆA 2,"," 10000 ZAGREB,"," OIB: 896035866")</f>
        <v>CONTROLTECH D.O.O., ULICA PETRA HEKTOROVIĆA 2, 10000 ZAGREB, OIB: 896035866</v>
      </c>
      <c r="H5397" s="7"/>
      <c r="I5397" s="8" t="s">
        <v>424</v>
      </c>
      <c r="J5397" s="7"/>
      <c r="K5397" s="6" t="str">
        <f>"23.921,13"</f>
        <v>23.921,13</v>
      </c>
      <c r="L5397" s="6" t="str">
        <f>"5.980,27"</f>
        <v>5.980,27</v>
      </c>
      <c r="M5397" s="6" t="str">
        <f>"29.901,40"</f>
        <v>29.901,40</v>
      </c>
      <c r="N5397" s="8" t="s">
        <v>523</v>
      </c>
      <c r="O5397" s="7"/>
      <c r="P5397" s="2">
        <v>29901.33</v>
      </c>
      <c r="Q5397" s="7"/>
      <c r="R5397" s="1"/>
      <c r="S5397" s="1" t="str">
        <f>"2022-3704"</f>
        <v>2022-3704</v>
      </c>
      <c r="T5397" s="1" t="s">
        <v>55</v>
      </c>
    </row>
    <row r="5398" spans="1:20" ht="63.75" x14ac:dyDescent="0.25">
      <c r="A5398" s="6">
        <v>5377</v>
      </c>
      <c r="B5398" s="1" t="str">
        <f>"2022-1719"</f>
        <v>2022-1719</v>
      </c>
      <c r="C5398" s="1" t="s">
        <v>3406</v>
      </c>
      <c r="D5398" s="1" t="s">
        <v>3393</v>
      </c>
      <c r="E5398" s="1" t="str">
        <f>""</f>
        <v/>
      </c>
      <c r="F5398" s="1" t="s">
        <v>1860</v>
      </c>
      <c r="G5398" s="1" t="str">
        <f>CONCATENATE("HENNLICH D.O.O.,"," STUPNIČKOOBREŠKA 17,"," 10255 GORNJI STUPNIK,"," OIB: 44725135398")</f>
        <v>HENNLICH D.O.O., STUPNIČKOOBREŠKA 17, 10255 GORNJI STUPNIK, OIB: 44725135398</v>
      </c>
      <c r="H5398" s="7"/>
      <c r="I5398" s="8" t="s">
        <v>994</v>
      </c>
      <c r="J5398" s="7"/>
      <c r="K5398" s="6" t="str">
        <f>"35.980,00"</f>
        <v>35.980,00</v>
      </c>
      <c r="L5398" s="6" t="str">
        <f>"8.995,00"</f>
        <v>8.995,00</v>
      </c>
      <c r="M5398" s="6" t="str">
        <f>"44.975,00"</f>
        <v>44.975,00</v>
      </c>
      <c r="N5398" s="8" t="s">
        <v>365</v>
      </c>
      <c r="O5398" s="7"/>
      <c r="P5398" s="2">
        <v>44975</v>
      </c>
      <c r="Q5398" s="7"/>
      <c r="R5398" s="1"/>
      <c r="S5398" s="1" t="str">
        <f>"2022-3778"</f>
        <v>2022-3778</v>
      </c>
      <c r="T5398" s="1" t="s">
        <v>55</v>
      </c>
    </row>
    <row r="5399" spans="1:20" ht="51" x14ac:dyDescent="0.25">
      <c r="A5399" s="6">
        <v>5378</v>
      </c>
      <c r="B5399" s="1" t="str">
        <f>"2022-226"</f>
        <v>2022-226</v>
      </c>
      <c r="C5399" s="1" t="s">
        <v>2464</v>
      </c>
      <c r="D5399" s="1" t="s">
        <v>3311</v>
      </c>
      <c r="E5399" s="1" t="str">
        <f>""</f>
        <v/>
      </c>
      <c r="F5399" s="1" t="s">
        <v>1860</v>
      </c>
      <c r="G5399" s="1" t="str">
        <f>CONCATENATE("SHIMADZU D.O.O.,"," ZAVRTNICA 17,"," 10000 ZAGREB,"," OIB: 16214531266")</f>
        <v>SHIMADZU D.O.O., ZAVRTNICA 17, 10000 ZAGREB, OIB: 16214531266</v>
      </c>
      <c r="H5399" s="7"/>
      <c r="I5399" s="8" t="s">
        <v>994</v>
      </c>
      <c r="J5399" s="7"/>
      <c r="K5399" s="6" t="str">
        <f>"21.031,00"</f>
        <v>21.031,00</v>
      </c>
      <c r="L5399" s="6" t="str">
        <f>"5.257,75"</f>
        <v>5.257,75</v>
      </c>
      <c r="M5399" s="6" t="str">
        <f>"26.288,75"</f>
        <v>26.288,75</v>
      </c>
      <c r="N5399" s="8" t="s">
        <v>425</v>
      </c>
      <c r="O5399" s="7"/>
      <c r="P5399" s="2">
        <v>26288.75</v>
      </c>
      <c r="Q5399" s="7"/>
      <c r="R5399" s="1"/>
      <c r="S5399" s="1" t="str">
        <f>"2022-3795"</f>
        <v>2022-3795</v>
      </c>
      <c r="T5399" s="1" t="s">
        <v>55</v>
      </c>
    </row>
    <row r="5400" spans="1:20" ht="51" x14ac:dyDescent="0.25">
      <c r="A5400" s="6">
        <v>5379</v>
      </c>
      <c r="B5400" s="1" t="str">
        <f>"2022-488"</f>
        <v>2022-488</v>
      </c>
      <c r="C5400" s="1" t="s">
        <v>2714</v>
      </c>
      <c r="D5400" s="1" t="s">
        <v>622</v>
      </c>
      <c r="E5400" s="1" t="str">
        <f>""</f>
        <v/>
      </c>
      <c r="F5400" s="1" t="s">
        <v>1860</v>
      </c>
      <c r="G5400" s="1" t="str">
        <f>CONCATENATE("POLJOOPSKRBA-TEHNO D.D.,"," SAMOBORSKA 96,"," 10000 ZAGREB,"," OIB: 5372167324")</f>
        <v>POLJOOPSKRBA-TEHNO D.D., SAMOBORSKA 96, 10000 ZAGREB, OIB: 5372167324</v>
      </c>
      <c r="H5400" s="7"/>
      <c r="I5400" s="8" t="s">
        <v>160</v>
      </c>
      <c r="J5400" s="7"/>
      <c r="K5400" s="6" t="str">
        <f>"6.517,60"</f>
        <v>6.517,60</v>
      </c>
      <c r="L5400" s="6" t="str">
        <f>"1.180,30"</f>
        <v>1.180,30</v>
      </c>
      <c r="M5400" s="6" t="str">
        <f>"7.697,90"</f>
        <v>7.697,90</v>
      </c>
      <c r="N5400" s="8" t="s">
        <v>102</v>
      </c>
      <c r="O5400" s="7"/>
      <c r="P5400" s="2">
        <v>5901.5</v>
      </c>
      <c r="Q5400" s="7"/>
      <c r="R5400" s="1"/>
      <c r="S5400" s="1" t="str">
        <f>"2022-3887"</f>
        <v>2022-3887</v>
      </c>
      <c r="T5400" s="1" t="s">
        <v>55</v>
      </c>
    </row>
    <row r="5401" spans="1:20" ht="63.75" x14ac:dyDescent="0.25">
      <c r="A5401" s="6">
        <v>5380</v>
      </c>
      <c r="B5401" s="1" t="str">
        <f>"2022-939"</f>
        <v>2022-939</v>
      </c>
      <c r="C5401" s="1" t="s">
        <v>3331</v>
      </c>
      <c r="D5401" s="1" t="s">
        <v>1150</v>
      </c>
      <c r="E5401" s="1" t="str">
        <f>""</f>
        <v/>
      </c>
      <c r="F5401" s="1" t="s">
        <v>1860</v>
      </c>
      <c r="G5401" s="1" t="str">
        <f>CONCATENATE("HIDRO-METAL,"," VL. BISERKA BEJDIĆ,"," SLAVKA KOLARA 24,"," 47250 DUGA RESA,"," OIB: 2551798954")</f>
        <v>HIDRO-METAL, VL. BISERKA BEJDIĆ, SLAVKA KOLARA 24, 47250 DUGA RESA, OIB: 2551798954</v>
      </c>
      <c r="H5401" s="7"/>
      <c r="I5401" s="8" t="s">
        <v>160</v>
      </c>
      <c r="J5401" s="7"/>
      <c r="K5401" s="6" t="str">
        <f>"4.684,80"</f>
        <v>4.684,80</v>
      </c>
      <c r="L5401" s="6" t="str">
        <f>"1.171,20"</f>
        <v>1.171,20</v>
      </c>
      <c r="M5401" s="6" t="str">
        <f>"5.856,00"</f>
        <v>5.856,00</v>
      </c>
      <c r="N5401" s="8" t="s">
        <v>723</v>
      </c>
      <c r="O5401" s="7"/>
      <c r="P5401" s="2">
        <v>5856</v>
      </c>
      <c r="Q5401" s="7"/>
      <c r="R5401" s="1"/>
      <c r="S5401" s="1" t="str">
        <f>"2022-3888"</f>
        <v>2022-3888</v>
      </c>
      <c r="T5401" s="1" t="s">
        <v>55</v>
      </c>
    </row>
    <row r="5402" spans="1:20" ht="63.75" x14ac:dyDescent="0.25">
      <c r="A5402" s="6">
        <v>5381</v>
      </c>
      <c r="B5402" s="1" t="str">
        <f>"2022-1715"</f>
        <v>2022-1715</v>
      </c>
      <c r="C5402" s="1" t="s">
        <v>3407</v>
      </c>
      <c r="D5402" s="1" t="s">
        <v>770</v>
      </c>
      <c r="E5402" s="1" t="str">
        <f>""</f>
        <v/>
      </c>
      <c r="F5402" s="1" t="s">
        <v>1860</v>
      </c>
      <c r="G5402" s="1" t="str">
        <f>CONCATENATE("TOKIĆ D.O.O.,"," ULICA 144. BRIGADE HRVATSKE VOJSKE 1A,"," 10360 SESVETE,"," OIB: 7486748762")</f>
        <v>TOKIĆ D.O.O., ULICA 144. BRIGADE HRVATSKE VOJSKE 1A, 10360 SESVETE, OIB: 7486748762</v>
      </c>
      <c r="H5402" s="7"/>
      <c r="I5402" s="8" t="s">
        <v>160</v>
      </c>
      <c r="J5402" s="7"/>
      <c r="K5402" s="6" t="str">
        <f>"35.891,00"</f>
        <v>35.891,00</v>
      </c>
      <c r="L5402" s="6" t="str">
        <f>"17.962,10"</f>
        <v>17.962,10</v>
      </c>
      <c r="M5402" s="6" t="str">
        <f>"53.853,10"</f>
        <v>53.853,10</v>
      </c>
      <c r="N5402" s="8" t="s">
        <v>563</v>
      </c>
      <c r="O5402" s="7"/>
      <c r="P5402" s="2">
        <v>89810.5</v>
      </c>
      <c r="Q5402" s="1" t="s">
        <v>488</v>
      </c>
      <c r="R5402" s="1"/>
      <c r="S5402" s="1" t="str">
        <f>"2022-3889"</f>
        <v>2022-3889</v>
      </c>
      <c r="T5402" s="1" t="s">
        <v>55</v>
      </c>
    </row>
    <row r="5403" spans="1:20" ht="51" x14ac:dyDescent="0.25">
      <c r="A5403" s="6">
        <v>5382</v>
      </c>
      <c r="B5403" s="1" t="str">
        <f>"2022-985"</f>
        <v>2022-985</v>
      </c>
      <c r="C5403" s="1" t="s">
        <v>2480</v>
      </c>
      <c r="D5403" s="1" t="s">
        <v>87</v>
      </c>
      <c r="E5403" s="1" t="str">
        <f>""</f>
        <v/>
      </c>
      <c r="F5403" s="1" t="s">
        <v>1860</v>
      </c>
      <c r="G5403" s="1" t="str">
        <f>CONCATENATE("TEHMAR D.O.O.,"," STAJNIČKA 5,"," 10251 HRVATSKI LESKOVAC,"," OIB: 78055843019")</f>
        <v>TEHMAR D.O.O., STAJNIČKA 5, 10251 HRVATSKI LESKOVAC, OIB: 78055843019</v>
      </c>
      <c r="H5403" s="7"/>
      <c r="I5403" s="8" t="s">
        <v>160</v>
      </c>
      <c r="J5403" s="7"/>
      <c r="K5403" s="6" t="str">
        <f>"68.401,00"</f>
        <v>68.401,00</v>
      </c>
      <c r="L5403" s="6" t="str">
        <f>"0,00"</f>
        <v>0,00</v>
      </c>
      <c r="M5403" s="6" t="str">
        <f>"68.401,00"</f>
        <v>68.401,00</v>
      </c>
      <c r="N5403" s="8" t="s">
        <v>124</v>
      </c>
      <c r="O5403" s="7"/>
      <c r="P5403" s="2">
        <v>0</v>
      </c>
      <c r="Q5403" s="7"/>
      <c r="R5403" s="1"/>
      <c r="S5403" s="1" t="str">
        <f>"2022-3892"</f>
        <v>2022-3892</v>
      </c>
      <c r="T5403" s="1" t="s">
        <v>86</v>
      </c>
    </row>
    <row r="5404" spans="1:20" ht="63.75" x14ac:dyDescent="0.25">
      <c r="A5404" s="6">
        <v>5383</v>
      </c>
      <c r="B5404" s="1" t="str">
        <f>"2022-960"</f>
        <v>2022-960</v>
      </c>
      <c r="C5404" s="1" t="s">
        <v>3408</v>
      </c>
      <c r="D5404" s="1" t="s">
        <v>1373</v>
      </c>
      <c r="E5404" s="1" t="str">
        <f>""</f>
        <v/>
      </c>
      <c r="F5404" s="1" t="s">
        <v>1860</v>
      </c>
      <c r="G5404" s="1" t="str">
        <f>CONCATENATE("DUPLICO D.O.O.,"," SVETONEDELJSKA CESTA,"," KALINOVICA 18,"," 10436 RAKOV POTOK,"," OIB: 41025754642")</f>
        <v>DUPLICO D.O.O., SVETONEDELJSKA CESTA, KALINOVICA 18, 10436 RAKOV POTOK, OIB: 41025754642</v>
      </c>
      <c r="H5404" s="7"/>
      <c r="I5404" s="8" t="s">
        <v>160</v>
      </c>
      <c r="J5404" s="7"/>
      <c r="K5404" s="6" t="str">
        <f>"950,00"</f>
        <v>950,00</v>
      </c>
      <c r="L5404" s="6" t="str">
        <f>"237,50"</f>
        <v>237,50</v>
      </c>
      <c r="M5404" s="6" t="str">
        <f>"1.187,50"</f>
        <v>1.187,50</v>
      </c>
      <c r="N5404" s="8" t="s">
        <v>426</v>
      </c>
      <c r="O5404" s="7"/>
      <c r="P5404" s="2">
        <v>1187.5</v>
      </c>
      <c r="Q5404" s="7"/>
      <c r="R5404" s="1"/>
      <c r="S5404" s="1" t="str">
        <f>"2022-3893"</f>
        <v>2022-3893</v>
      </c>
      <c r="T5404" s="1" t="s">
        <v>55</v>
      </c>
    </row>
    <row r="5405" spans="1:20" ht="63.75" x14ac:dyDescent="0.25">
      <c r="A5405" s="6">
        <v>5384</v>
      </c>
      <c r="B5405" s="1" t="str">
        <f>"2022-262"</f>
        <v>2022-262</v>
      </c>
      <c r="C5405" s="1" t="s">
        <v>2620</v>
      </c>
      <c r="D5405" s="1" t="s">
        <v>668</v>
      </c>
      <c r="E5405" s="1" t="str">
        <f>""</f>
        <v/>
      </c>
      <c r="F5405" s="1" t="s">
        <v>1860</v>
      </c>
      <c r="G5405" s="1" t="str">
        <f>CONCATENATE("GUMIIMPEX - GRP D.O.O.,"," PAVLEKA MIŠKINE 64C,"," 42000 VARAŽDIN,"," OIB: 8229856262")</f>
        <v>GUMIIMPEX - GRP D.O.O., PAVLEKA MIŠKINE 64C, 42000 VARAŽDIN, OIB: 8229856262</v>
      </c>
      <c r="H5405" s="7"/>
      <c r="I5405" s="8" t="s">
        <v>160</v>
      </c>
      <c r="J5405" s="7"/>
      <c r="K5405" s="6" t="str">
        <f>"10.420,00"</f>
        <v>10.420,00</v>
      </c>
      <c r="L5405" s="6" t="str">
        <f>"2.605,00"</f>
        <v>2.605,00</v>
      </c>
      <c r="M5405" s="6" t="str">
        <f>"13.025,00"</f>
        <v>13.025,00</v>
      </c>
      <c r="N5405" s="8" t="s">
        <v>895</v>
      </c>
      <c r="O5405" s="7"/>
      <c r="P5405" s="2">
        <v>13025</v>
      </c>
      <c r="Q5405" s="7"/>
      <c r="R5405" s="1"/>
      <c r="S5405" s="1" t="str">
        <f>"2022-3894"</f>
        <v>2022-3894</v>
      </c>
      <c r="T5405" s="1" t="s">
        <v>55</v>
      </c>
    </row>
    <row r="5406" spans="1:20" ht="63.75" x14ac:dyDescent="0.25">
      <c r="A5406" s="6">
        <v>5385</v>
      </c>
      <c r="B5406" s="1" t="str">
        <f>"2022-873"</f>
        <v>2022-873</v>
      </c>
      <c r="C5406" s="1" t="s">
        <v>2819</v>
      </c>
      <c r="D5406" s="1" t="s">
        <v>3341</v>
      </c>
      <c r="E5406" s="1" t="str">
        <f>""</f>
        <v/>
      </c>
      <c r="F5406" s="1" t="s">
        <v>1860</v>
      </c>
      <c r="G5406" s="1" t="str">
        <f>CONCATENATE("GUTEL,"," VL. DAMIR GUŽVINEC,"," ANTE TOPIĆ MIMARE 7,"," 10090 ZAGREB-SUSEDGRAD,"," OIB: 63743810909")</f>
        <v>GUTEL, VL. DAMIR GUŽVINEC, ANTE TOPIĆ MIMARE 7, 10090 ZAGREB-SUSEDGRAD, OIB: 63743810909</v>
      </c>
      <c r="H5406" s="7"/>
      <c r="I5406" s="8" t="s">
        <v>160</v>
      </c>
      <c r="J5406" s="7"/>
      <c r="K5406" s="6" t="str">
        <f>"654,40"</f>
        <v>654,40</v>
      </c>
      <c r="L5406" s="6" t="str">
        <f>"0,00"</f>
        <v>0,00</v>
      </c>
      <c r="M5406" s="6" t="str">
        <f>"654,40"</f>
        <v>654,40</v>
      </c>
      <c r="N5406" s="8" t="s">
        <v>124</v>
      </c>
      <c r="O5406" s="7"/>
      <c r="P5406" s="2">
        <v>0</v>
      </c>
      <c r="Q5406" s="7"/>
      <c r="R5406" s="1"/>
      <c r="S5406" s="1" t="str">
        <f>"2022-3895"</f>
        <v>2022-3895</v>
      </c>
      <c r="T5406" s="1" t="s">
        <v>86</v>
      </c>
    </row>
    <row r="5407" spans="1:20" ht="51" x14ac:dyDescent="0.25">
      <c r="A5407" s="6">
        <v>5386</v>
      </c>
      <c r="B5407" s="1" t="str">
        <f>"2022-891"</f>
        <v>2022-891</v>
      </c>
      <c r="C5407" s="1" t="s">
        <v>3374</v>
      </c>
      <c r="D5407" s="1" t="s">
        <v>2903</v>
      </c>
      <c r="E5407" s="1" t="str">
        <f>""</f>
        <v/>
      </c>
      <c r="F5407" s="1" t="s">
        <v>1860</v>
      </c>
      <c r="G5407" s="1" t="str">
        <f>CONCATENATE("MEDIC D.O.O.,"," TRG DRAŽENA PETROVIĆA 3,"," 10000 ZAGREB,"," OIB: 36228944903")</f>
        <v>MEDIC D.O.O., TRG DRAŽENA PETROVIĆA 3, 10000 ZAGREB, OIB: 36228944903</v>
      </c>
      <c r="H5407" s="7"/>
      <c r="I5407" s="8" t="s">
        <v>372</v>
      </c>
      <c r="J5407" s="7"/>
      <c r="K5407" s="6" t="str">
        <f>"1.300,00"</f>
        <v>1.300,00</v>
      </c>
      <c r="L5407" s="6" t="str">
        <f>"325,00"</f>
        <v>325,00</v>
      </c>
      <c r="M5407" s="6" t="str">
        <f>"1.625,00"</f>
        <v>1.625,00</v>
      </c>
      <c r="N5407" s="8" t="s">
        <v>931</v>
      </c>
      <c r="O5407" s="7"/>
      <c r="P5407" s="2">
        <v>1625</v>
      </c>
      <c r="Q5407" s="7"/>
      <c r="R5407" s="1"/>
      <c r="S5407" s="1" t="str">
        <f>"2022-3927"</f>
        <v>2022-3927</v>
      </c>
      <c r="T5407" s="1" t="s">
        <v>55</v>
      </c>
    </row>
    <row r="5408" spans="1:20" ht="51" x14ac:dyDescent="0.25">
      <c r="A5408" s="6">
        <v>5387</v>
      </c>
      <c r="B5408" s="1" t="str">
        <f>"2022-711"</f>
        <v>2022-711</v>
      </c>
      <c r="C5408" s="1" t="s">
        <v>2956</v>
      </c>
      <c r="D5408" s="1" t="s">
        <v>815</v>
      </c>
      <c r="E5408" s="1" t="str">
        <f>""</f>
        <v/>
      </c>
      <c r="F5408" s="1" t="s">
        <v>1860</v>
      </c>
      <c r="G5408" s="1" t="str">
        <f>CONCATENATE("M.B. AUTO  d.o.o.,"," KOLEDOVČINA 8,"," 10000 ZAGREB,"," OIB: 8902734372")</f>
        <v>M.B. AUTO  d.o.o., KOLEDOVČINA 8, 10000 ZAGREB, OIB: 8902734372</v>
      </c>
      <c r="H5408" s="7"/>
      <c r="I5408" s="8" t="s">
        <v>372</v>
      </c>
      <c r="J5408" s="7"/>
      <c r="K5408" s="6" t="str">
        <f>"150,00"</f>
        <v>150,00</v>
      </c>
      <c r="L5408" s="6" t="str">
        <f>"37,50"</f>
        <v>37,50</v>
      </c>
      <c r="M5408" s="6" t="str">
        <f>"187,50"</f>
        <v>187,50</v>
      </c>
      <c r="N5408" s="8" t="s">
        <v>897</v>
      </c>
      <c r="O5408" s="7"/>
      <c r="P5408" s="2">
        <v>187.5</v>
      </c>
      <c r="Q5408" s="7"/>
      <c r="R5408" s="1"/>
      <c r="S5408" s="1" t="str">
        <f>"2022-3950"</f>
        <v>2022-3950</v>
      </c>
      <c r="T5408" s="1" t="s">
        <v>55</v>
      </c>
    </row>
    <row r="5409" spans="1:20" ht="63.75" x14ac:dyDescent="0.25">
      <c r="A5409" s="6">
        <v>5388</v>
      </c>
      <c r="B5409" s="1" t="str">
        <f>"2022-887"</f>
        <v>2022-887</v>
      </c>
      <c r="C5409" s="1" t="s">
        <v>3362</v>
      </c>
      <c r="D5409" s="1" t="s">
        <v>2903</v>
      </c>
      <c r="E5409" s="1" t="str">
        <f>""</f>
        <v/>
      </c>
      <c r="F5409" s="1" t="s">
        <v>1860</v>
      </c>
      <c r="G5409" s="1" t="str">
        <f>CONCATENATE("MUR-INŽENJERING D.O.O.,"," KRAJ DONJI,"," DUBRAVIČKA 162,"," 10299 MARIJA GORICA,"," OIB: 60553873554")</f>
        <v>MUR-INŽENJERING D.O.O., KRAJ DONJI, DUBRAVIČKA 162, 10299 MARIJA GORICA, OIB: 60553873554</v>
      </c>
      <c r="H5409" s="7"/>
      <c r="I5409" s="8" t="s">
        <v>372</v>
      </c>
      <c r="J5409" s="7"/>
      <c r="K5409" s="6" t="str">
        <f>"28.829,00"</f>
        <v>28.829,00</v>
      </c>
      <c r="L5409" s="6" t="str">
        <f>"7.207,25"</f>
        <v>7.207,25</v>
      </c>
      <c r="M5409" s="6" t="str">
        <f>"36.036,25"</f>
        <v>36.036,25</v>
      </c>
      <c r="N5409" s="8" t="s">
        <v>563</v>
      </c>
      <c r="O5409" s="7"/>
      <c r="P5409" s="2">
        <v>36036.25</v>
      </c>
      <c r="Q5409" s="7"/>
      <c r="R5409" s="1"/>
      <c r="S5409" s="1" t="str">
        <f>"2022-3954"</f>
        <v>2022-3954</v>
      </c>
      <c r="T5409" s="1" t="s">
        <v>55</v>
      </c>
    </row>
    <row r="5410" spans="1:20" ht="76.5" x14ac:dyDescent="0.25">
      <c r="A5410" s="6">
        <v>5389</v>
      </c>
      <c r="B5410" s="1" t="str">
        <f>"2022-226"</f>
        <v>2022-226</v>
      </c>
      <c r="C5410" s="1" t="s">
        <v>2464</v>
      </c>
      <c r="D5410" s="1" t="s">
        <v>3311</v>
      </c>
      <c r="E5410" s="1" t="str">
        <f>""</f>
        <v/>
      </c>
      <c r="F5410" s="1" t="s">
        <v>1860</v>
      </c>
      <c r="G5410" s="1" t="str">
        <f>CONCATENATE("VOXA,"," OBRT ZA TRGOVINU I POSREDOVANJE,"," JOSIPA HEROVIĆA 3,"," 10430 SAMOBOR,"," OIB: 68257033904")</f>
        <v>VOXA, OBRT ZA TRGOVINU I POSREDOVANJE, JOSIPA HEROVIĆA 3, 10430 SAMOBOR, OIB: 68257033904</v>
      </c>
      <c r="H5410" s="7"/>
      <c r="I5410" s="8" t="s">
        <v>425</v>
      </c>
      <c r="J5410" s="7"/>
      <c r="K5410" s="6" t="str">
        <f>"71.554,00"</f>
        <v>71.554,00</v>
      </c>
      <c r="L5410" s="6" t="str">
        <f>"17.888,50"</f>
        <v>17.888,50</v>
      </c>
      <c r="M5410" s="6" t="str">
        <f>"89.442,50"</f>
        <v>89.442,50</v>
      </c>
      <c r="N5410" s="8" t="s">
        <v>458</v>
      </c>
      <c r="O5410" s="7"/>
      <c r="P5410" s="2">
        <v>89442.5</v>
      </c>
      <c r="Q5410" s="7"/>
      <c r="R5410" s="1"/>
      <c r="S5410" s="1" t="str">
        <f>"2022-4041"</f>
        <v>2022-4041</v>
      </c>
      <c r="T5410" s="1" t="s">
        <v>55</v>
      </c>
    </row>
    <row r="5411" spans="1:20" ht="63.75" x14ac:dyDescent="0.25">
      <c r="A5411" s="6">
        <v>5390</v>
      </c>
      <c r="B5411" s="1" t="str">
        <f>"2022-873"</f>
        <v>2022-873</v>
      </c>
      <c r="C5411" s="1" t="s">
        <v>2819</v>
      </c>
      <c r="D5411" s="1" t="s">
        <v>3341</v>
      </c>
      <c r="E5411" s="1" t="str">
        <f>""</f>
        <v/>
      </c>
      <c r="F5411" s="1" t="s">
        <v>1860</v>
      </c>
      <c r="G5411" s="1" t="str">
        <f>CONCATENATE("GUTEL,"," VL. DAMIR GUŽVINEC,"," ANTE TOPIĆ MIMARE 7,"," 10090 ZAGREB-SUSEDGRAD,"," OIB: 63743810909")</f>
        <v>GUTEL, VL. DAMIR GUŽVINEC, ANTE TOPIĆ MIMARE 7, 10090 ZAGREB-SUSEDGRAD, OIB: 63743810909</v>
      </c>
      <c r="H5411" s="7"/>
      <c r="I5411" s="8" t="s">
        <v>172</v>
      </c>
      <c r="J5411" s="7"/>
      <c r="K5411" s="6" t="str">
        <f>"4.968,40"</f>
        <v>4.968,40</v>
      </c>
      <c r="L5411" s="6" t="str">
        <f>"0,00"</f>
        <v>0,00</v>
      </c>
      <c r="M5411" s="6" t="str">
        <f>"4.968,40"</f>
        <v>4.968,40</v>
      </c>
      <c r="N5411" s="8" t="s">
        <v>124</v>
      </c>
      <c r="O5411" s="7"/>
      <c r="P5411" s="2">
        <v>0</v>
      </c>
      <c r="Q5411" s="7"/>
      <c r="R5411" s="1"/>
      <c r="S5411" s="1" t="str">
        <f>"2022-4085"</f>
        <v>2022-4085</v>
      </c>
      <c r="T5411" s="1" t="s">
        <v>86</v>
      </c>
    </row>
    <row r="5412" spans="1:20" ht="51" x14ac:dyDescent="0.25">
      <c r="A5412" s="6">
        <v>5391</v>
      </c>
      <c r="B5412" s="1" t="str">
        <f>"2022-229"</f>
        <v>2022-229</v>
      </c>
      <c r="C5412" s="1" t="s">
        <v>2459</v>
      </c>
      <c r="D5412" s="1" t="s">
        <v>3311</v>
      </c>
      <c r="E5412" s="1" t="str">
        <f>""</f>
        <v/>
      </c>
      <c r="F5412" s="1" t="s">
        <v>1860</v>
      </c>
      <c r="G5412" s="1" t="str">
        <f>CONCATENATE("BIOVIT D.O.O.,"," MATKA LAGINJE 13,"," 42000 VARAŽDIN,"," OIB: 7327541289")</f>
        <v>BIOVIT D.O.O., MATKA LAGINJE 13, 42000 VARAŽDIN, OIB: 7327541289</v>
      </c>
      <c r="H5412" s="7"/>
      <c r="I5412" s="8" t="s">
        <v>172</v>
      </c>
      <c r="J5412" s="7"/>
      <c r="K5412" s="6" t="str">
        <f>"58.137,45"</f>
        <v>58.137,45</v>
      </c>
      <c r="L5412" s="6" t="str">
        <f>"6.397,23"</f>
        <v>6.397,23</v>
      </c>
      <c r="M5412" s="6" t="str">
        <f>"64.534,68"</f>
        <v>64.534,68</v>
      </c>
      <c r="N5412" s="8" t="s">
        <v>208</v>
      </c>
      <c r="O5412" s="7"/>
      <c r="P5412" s="2">
        <v>31986.14</v>
      </c>
      <c r="Q5412" s="7"/>
      <c r="R5412" s="1"/>
      <c r="S5412" s="1" t="str">
        <f>"2022-4086"</f>
        <v>2022-4086</v>
      </c>
      <c r="T5412" s="1" t="s">
        <v>55</v>
      </c>
    </row>
    <row r="5413" spans="1:20" ht="51" x14ac:dyDescent="0.25">
      <c r="A5413" s="6">
        <v>5392</v>
      </c>
      <c r="B5413" s="1" t="str">
        <f>"2022-1504"</f>
        <v>2022-1504</v>
      </c>
      <c r="C5413" s="1" t="s">
        <v>1626</v>
      </c>
      <c r="D5413" s="1" t="s">
        <v>87</v>
      </c>
      <c r="E5413" s="1" t="str">
        <f>""</f>
        <v/>
      </c>
      <c r="F5413" s="1" t="s">
        <v>1860</v>
      </c>
      <c r="G5413" s="1" t="str">
        <f>CONCATENATE("NIVETO D.O.O.,"," DRAGUTINA MANDLA 1,"," 10000 ZAGREB,"," OIB: 46572491389")</f>
        <v>NIVETO D.O.O., DRAGUTINA MANDLA 1, 10000 ZAGREB, OIB: 46572491389</v>
      </c>
      <c r="H5413" s="7"/>
      <c r="I5413" s="8" t="s">
        <v>172</v>
      </c>
      <c r="J5413" s="7"/>
      <c r="K5413" s="6" t="str">
        <f>"13.102,00"</f>
        <v>13.102,00</v>
      </c>
      <c r="L5413" s="6" t="str">
        <f>"3.275,50"</f>
        <v>3.275,50</v>
      </c>
      <c r="M5413" s="6" t="str">
        <f>"16.377,50"</f>
        <v>16.377,50</v>
      </c>
      <c r="N5413" s="8" t="s">
        <v>240</v>
      </c>
      <c r="O5413" s="7"/>
      <c r="P5413" s="2">
        <v>16377.5</v>
      </c>
      <c r="Q5413" s="7"/>
      <c r="R5413" s="1"/>
      <c r="S5413" s="1" t="str">
        <f>"2022-4087"</f>
        <v>2022-4087</v>
      </c>
      <c r="T5413" s="1" t="s">
        <v>86</v>
      </c>
    </row>
    <row r="5414" spans="1:20" ht="63.75" x14ac:dyDescent="0.25">
      <c r="A5414" s="6">
        <v>5393</v>
      </c>
      <c r="B5414" s="1" t="str">
        <f>"2022-873"</f>
        <v>2022-873</v>
      </c>
      <c r="C5414" s="1" t="s">
        <v>2819</v>
      </c>
      <c r="D5414" s="1" t="s">
        <v>3341</v>
      </c>
      <c r="E5414" s="1" t="str">
        <f>""</f>
        <v/>
      </c>
      <c r="F5414" s="1" t="s">
        <v>1860</v>
      </c>
      <c r="G5414" s="1" t="str">
        <f>CONCATENATE("GUTEL,"," VL. DAMIR GUŽVINEC,"," ANTE TOPIĆ MIMARE 7,"," 10090 ZAGREB-SUSEDGRAD,"," OIB: 63743810909")</f>
        <v>GUTEL, VL. DAMIR GUŽVINEC, ANTE TOPIĆ MIMARE 7, 10090 ZAGREB-SUSEDGRAD, OIB: 63743810909</v>
      </c>
      <c r="H5414" s="7"/>
      <c r="I5414" s="8" t="s">
        <v>172</v>
      </c>
      <c r="J5414" s="7"/>
      <c r="K5414" s="6" t="str">
        <f>"497,20"</f>
        <v>497,20</v>
      </c>
      <c r="L5414" s="6" t="str">
        <f>"0,00"</f>
        <v>0,00</v>
      </c>
      <c r="M5414" s="6" t="str">
        <f>"497,20"</f>
        <v>497,20</v>
      </c>
      <c r="N5414" s="8" t="s">
        <v>124</v>
      </c>
      <c r="O5414" s="7"/>
      <c r="P5414" s="2">
        <v>0</v>
      </c>
      <c r="Q5414" s="7"/>
      <c r="R5414" s="1"/>
      <c r="S5414" s="1" t="str">
        <f>"2022-4088"</f>
        <v>2022-4088</v>
      </c>
      <c r="T5414" s="1" t="s">
        <v>86</v>
      </c>
    </row>
    <row r="5415" spans="1:20" ht="63.75" x14ac:dyDescent="0.25">
      <c r="A5415" s="6">
        <v>5394</v>
      </c>
      <c r="B5415" s="1" t="str">
        <f>"2022-608"</f>
        <v>2022-608</v>
      </c>
      <c r="C5415" s="1" t="s">
        <v>2470</v>
      </c>
      <c r="D5415" s="1" t="s">
        <v>1239</v>
      </c>
      <c r="E5415" s="1" t="str">
        <f>""</f>
        <v/>
      </c>
      <c r="F5415" s="1" t="s">
        <v>1860</v>
      </c>
      <c r="G5415" s="1" t="str">
        <f>CONCATENATE("ELEKTROKEM D.O.O.,"," VUGROVEC,"," AUGUSTA ŠENOE 69,"," 10360 SESVETE,"," OIB: 38411868043")</f>
        <v>ELEKTROKEM D.O.O., VUGROVEC, AUGUSTA ŠENOE 69, 10360 SESVETE, OIB: 38411868043</v>
      </c>
      <c r="H5415" s="7"/>
      <c r="I5415" s="8" t="s">
        <v>897</v>
      </c>
      <c r="J5415" s="7"/>
      <c r="K5415" s="6" t="str">
        <f>"16.480,00"</f>
        <v>16.480,00</v>
      </c>
      <c r="L5415" s="6" t="str">
        <f>"0,00"</f>
        <v>0,00</v>
      </c>
      <c r="M5415" s="6" t="str">
        <f>"16.480,00"</f>
        <v>16.480,00</v>
      </c>
      <c r="N5415" s="8" t="s">
        <v>124</v>
      </c>
      <c r="O5415" s="7"/>
      <c r="P5415" s="2">
        <v>0</v>
      </c>
      <c r="Q5415" s="7"/>
      <c r="R5415" s="1"/>
      <c r="S5415" s="1" t="str">
        <f>"2022-4129"</f>
        <v>2022-4129</v>
      </c>
      <c r="T5415" s="1" t="s">
        <v>86</v>
      </c>
    </row>
    <row r="5416" spans="1:20" ht="51" x14ac:dyDescent="0.25">
      <c r="A5416" s="6">
        <v>5395</v>
      </c>
      <c r="B5416" s="1" t="str">
        <f>"2022-891"</f>
        <v>2022-891</v>
      </c>
      <c r="C5416" s="1" t="s">
        <v>3374</v>
      </c>
      <c r="D5416" s="1" t="s">
        <v>2903</v>
      </c>
      <c r="E5416" s="1" t="str">
        <f>""</f>
        <v/>
      </c>
      <c r="F5416" s="1" t="s">
        <v>1860</v>
      </c>
      <c r="G5416" s="1" t="str">
        <f>CONCATENATE("JOS INSTRUMENTI D.O.O.,"," REBAR 24,"," 10000 ZAGREB,"," OIB: 15540855867")</f>
        <v>JOS INSTRUMENTI D.O.O., REBAR 24, 10000 ZAGREB, OIB: 15540855867</v>
      </c>
      <c r="H5416" s="7"/>
      <c r="I5416" s="8" t="s">
        <v>1073</v>
      </c>
      <c r="J5416" s="7"/>
      <c r="K5416" s="6" t="str">
        <f>"2.460,00"</f>
        <v>2.460,00</v>
      </c>
      <c r="L5416" s="6" t="str">
        <f>"615,00"</f>
        <v>615,00</v>
      </c>
      <c r="M5416" s="6" t="str">
        <f>"3.075,00"</f>
        <v>3.075,00</v>
      </c>
      <c r="N5416" s="8" t="s">
        <v>723</v>
      </c>
      <c r="O5416" s="7"/>
      <c r="P5416" s="2">
        <v>3075</v>
      </c>
      <c r="Q5416" s="7"/>
      <c r="R5416" s="1"/>
      <c r="S5416" s="1" t="str">
        <f>"2022-4159"</f>
        <v>2022-4159</v>
      </c>
      <c r="T5416" s="1" t="s">
        <v>55</v>
      </c>
    </row>
    <row r="5417" spans="1:20" ht="51" x14ac:dyDescent="0.25">
      <c r="A5417" s="6">
        <v>5396</v>
      </c>
      <c r="B5417" s="1" t="str">
        <f>"2022-813"</f>
        <v>2022-813</v>
      </c>
      <c r="C5417" s="1" t="s">
        <v>2844</v>
      </c>
      <c r="D5417" s="1" t="s">
        <v>2716</v>
      </c>
      <c r="E5417" s="1" t="str">
        <f>""</f>
        <v/>
      </c>
      <c r="F5417" s="1" t="s">
        <v>1860</v>
      </c>
      <c r="G5417" s="1" t="str">
        <f>CONCATENATE("AUTOKUĆA-ŠTARKELJ D.O.O.,"," UKRAJINSKA 17,"," 10000 ZAGREB,"," OIB: 87340407905")</f>
        <v>AUTOKUĆA-ŠTARKELJ D.O.O., UKRAJINSKA 17, 10000 ZAGREB, OIB: 87340407905</v>
      </c>
      <c r="H5417" s="7"/>
      <c r="I5417" s="8" t="s">
        <v>1073</v>
      </c>
      <c r="J5417" s="7"/>
      <c r="K5417" s="6" t="str">
        <f>"12.220,30"</f>
        <v>12.220,30</v>
      </c>
      <c r="L5417" s="6" t="str">
        <f>"3.055,09"</f>
        <v>3.055,09</v>
      </c>
      <c r="M5417" s="6" t="str">
        <f>"15.275,39"</f>
        <v>15.275,39</v>
      </c>
      <c r="N5417" s="8" t="s">
        <v>2084</v>
      </c>
      <c r="O5417" s="7"/>
      <c r="P5417" s="2">
        <v>15275.39</v>
      </c>
      <c r="Q5417" s="7"/>
      <c r="R5417" s="1"/>
      <c r="S5417" s="1" t="str">
        <f>"2022-4160"</f>
        <v>2022-4160</v>
      </c>
      <c r="T5417" s="1" t="s">
        <v>55</v>
      </c>
    </row>
    <row r="5418" spans="1:20" ht="51" x14ac:dyDescent="0.25">
      <c r="A5418" s="6">
        <v>5397</v>
      </c>
      <c r="B5418" s="1" t="str">
        <f>"2022-1759"</f>
        <v>2022-1759</v>
      </c>
      <c r="C5418" s="1" t="s">
        <v>3398</v>
      </c>
      <c r="D5418" s="1" t="s">
        <v>21</v>
      </c>
      <c r="E5418" s="1" t="str">
        <f>""</f>
        <v/>
      </c>
      <c r="F5418" s="1" t="s">
        <v>1860</v>
      </c>
      <c r="G5418" s="1" t="str">
        <f>CONCATENATE("STROJOPROMET D.O.O.,"," ZAGREBAČKA 6,"," 10292 ŠENKOVEC,"," OIB: 97994010225")</f>
        <v>STROJOPROMET D.O.O., ZAGREBAČKA 6, 10292 ŠENKOVEC, OIB: 97994010225</v>
      </c>
      <c r="H5418" s="7"/>
      <c r="I5418" s="8" t="s">
        <v>1073</v>
      </c>
      <c r="J5418" s="7"/>
      <c r="K5418" s="6" t="str">
        <f>"14.850,00"</f>
        <v>14.850,00</v>
      </c>
      <c r="L5418" s="6" t="str">
        <f>"0,00"</f>
        <v>0,00</v>
      </c>
      <c r="M5418" s="6" t="str">
        <f>"14.850,00"</f>
        <v>14.850,00</v>
      </c>
      <c r="N5418" s="8" t="s">
        <v>124</v>
      </c>
      <c r="O5418" s="7"/>
      <c r="P5418" s="2">
        <v>0</v>
      </c>
      <c r="Q5418" s="7"/>
      <c r="R5418" s="1"/>
      <c r="S5418" s="1" t="str">
        <f>"2022-4161"</f>
        <v>2022-4161</v>
      </c>
      <c r="T5418" s="1" t="s">
        <v>55</v>
      </c>
    </row>
    <row r="5419" spans="1:20" ht="63.75" x14ac:dyDescent="0.25">
      <c r="A5419" s="6">
        <v>5398</v>
      </c>
      <c r="B5419" s="1" t="str">
        <f>"2022-590"</f>
        <v>2022-590</v>
      </c>
      <c r="C5419" s="1" t="s">
        <v>2898</v>
      </c>
      <c r="D5419" s="1" t="s">
        <v>2899</v>
      </c>
      <c r="E5419" s="1" t="str">
        <f>""</f>
        <v/>
      </c>
      <c r="F5419" s="1" t="s">
        <v>1860</v>
      </c>
      <c r="G5419" s="1" t="str">
        <f>CONCATENATE("ELEKTRO-KOMUNIKACIJE D.O.O.,"," 14. PODBREŽJE 4,"," 10000 ZAGREB,"," OIB: 76412373309")</f>
        <v>ELEKTRO-KOMUNIKACIJE D.O.O., 14. PODBREŽJE 4, 10000 ZAGREB, OIB: 76412373309</v>
      </c>
      <c r="H5419" s="7"/>
      <c r="I5419" s="8" t="s">
        <v>1073</v>
      </c>
      <c r="J5419" s="7"/>
      <c r="K5419" s="6" t="str">
        <f>"18.715,00"</f>
        <v>18.715,00</v>
      </c>
      <c r="L5419" s="6" t="str">
        <f>"4.678,75"</f>
        <v>4.678,75</v>
      </c>
      <c r="M5419" s="6" t="str">
        <f>"23.393,75"</f>
        <v>23.393,75</v>
      </c>
      <c r="N5419" s="8" t="s">
        <v>428</v>
      </c>
      <c r="O5419" s="7"/>
      <c r="P5419" s="2">
        <v>23393.75</v>
      </c>
      <c r="Q5419" s="7"/>
      <c r="R5419" s="1"/>
      <c r="S5419" s="1" t="str">
        <f>"2022-4163"</f>
        <v>2022-4163</v>
      </c>
      <c r="T5419" s="1" t="s">
        <v>55</v>
      </c>
    </row>
    <row r="5420" spans="1:20" ht="51" x14ac:dyDescent="0.25">
      <c r="A5420" s="6">
        <v>5399</v>
      </c>
      <c r="B5420" s="1" t="str">
        <f>"2022-813"</f>
        <v>2022-813</v>
      </c>
      <c r="C5420" s="1" t="s">
        <v>2844</v>
      </c>
      <c r="D5420" s="1" t="s">
        <v>2716</v>
      </c>
      <c r="E5420" s="1" t="str">
        <f>""</f>
        <v/>
      </c>
      <c r="F5420" s="1" t="s">
        <v>1860</v>
      </c>
      <c r="G5420" s="1" t="str">
        <f>CONCATENATE("AUTOKUĆA-ŠTARKELJ D.O.O.,"," UKRAJINSKA 17,"," 10000 ZAGREB,"," OIB: 87340407905")</f>
        <v>AUTOKUĆA-ŠTARKELJ D.O.O., UKRAJINSKA 17, 10000 ZAGREB, OIB: 87340407905</v>
      </c>
      <c r="H5420" s="7"/>
      <c r="I5420" s="8" t="s">
        <v>1073</v>
      </c>
      <c r="J5420" s="7"/>
      <c r="K5420" s="6" t="str">
        <f>"16.223,30"</f>
        <v>16.223,30</v>
      </c>
      <c r="L5420" s="6" t="str">
        <f>"3.763,11"</f>
        <v>3.763,11</v>
      </c>
      <c r="M5420" s="6" t="str">
        <f>"19.986,41"</f>
        <v>19.986,41</v>
      </c>
      <c r="N5420" s="8" t="s">
        <v>2084</v>
      </c>
      <c r="O5420" s="7"/>
      <c r="P5420" s="2">
        <v>18815.490000000002</v>
      </c>
      <c r="Q5420" s="7"/>
      <c r="R5420" s="1"/>
      <c r="S5420" s="1" t="str">
        <f>"2022-4166"</f>
        <v>2022-4166</v>
      </c>
      <c r="T5420" s="1" t="s">
        <v>55</v>
      </c>
    </row>
    <row r="5421" spans="1:20" ht="63.75" x14ac:dyDescent="0.25">
      <c r="A5421" s="6">
        <v>5400</v>
      </c>
      <c r="B5421" s="1" t="str">
        <f>"2022-1197"</f>
        <v>2022-1197</v>
      </c>
      <c r="C5421" s="1" t="s">
        <v>3409</v>
      </c>
      <c r="D5421" s="1" t="s">
        <v>518</v>
      </c>
      <c r="E5421" s="1" t="str">
        <f>""</f>
        <v/>
      </c>
      <c r="F5421" s="1" t="s">
        <v>1860</v>
      </c>
      <c r="G5421" s="1" t="str">
        <f>CONCATENATE("INSTITUT RUĐER BOŠKOVIĆ,"," BIJENIČKA CESTA 54,"," 10000 ZAGREB,"," OIB: 69715301002")</f>
        <v>INSTITUT RUĐER BOŠKOVIĆ, BIJENIČKA CESTA 54, 10000 ZAGREB, OIB: 69715301002</v>
      </c>
      <c r="H5421" s="7"/>
      <c r="I5421" s="8" t="s">
        <v>1073</v>
      </c>
      <c r="J5421" s="7"/>
      <c r="K5421" s="6" t="str">
        <f>"47.200,00"</f>
        <v>47.200,00</v>
      </c>
      <c r="L5421" s="6" t="str">
        <f>"11.800,00"</f>
        <v>11.800,00</v>
      </c>
      <c r="M5421" s="6" t="str">
        <f>"59.000,00"</f>
        <v>59.000,00</v>
      </c>
      <c r="N5421" s="8" t="s">
        <v>458</v>
      </c>
      <c r="O5421" s="7"/>
      <c r="P5421" s="2">
        <v>59000</v>
      </c>
      <c r="Q5421" s="7"/>
      <c r="R5421" s="1"/>
      <c r="S5421" s="1" t="str">
        <f>"2022-4168"</f>
        <v>2022-4168</v>
      </c>
      <c r="T5421" s="1" t="s">
        <v>55</v>
      </c>
    </row>
    <row r="5422" spans="1:20" ht="76.5" x14ac:dyDescent="0.25">
      <c r="A5422" s="6">
        <v>5401</v>
      </c>
      <c r="B5422" s="1" t="str">
        <f>"2022-730"</f>
        <v>2022-730</v>
      </c>
      <c r="C5422" s="1" t="s">
        <v>3410</v>
      </c>
      <c r="D5422" s="1" t="s">
        <v>1116</v>
      </c>
      <c r="E5422" s="1" t="str">
        <f>""</f>
        <v/>
      </c>
      <c r="F5422" s="1" t="s">
        <v>1860</v>
      </c>
      <c r="G5422" s="1" t="str">
        <f>CONCATENATE("GRADATIN D.O.O.,"," LIVADARSKI PUT 19,"," 10360 SESVETE,"," OIB: 79147056526")</f>
        <v>GRADATIN D.O.O., LIVADARSKI PUT 19, 10360 SESVETE, OIB: 79147056526</v>
      </c>
      <c r="H5422" s="7"/>
      <c r="I5422" s="8" t="s">
        <v>1073</v>
      </c>
      <c r="J5422" s="7"/>
      <c r="K5422" s="6" t="str">
        <f>"9.186,00"</f>
        <v>9.186,00</v>
      </c>
      <c r="L5422" s="6" t="str">
        <f>"2.296,50"</f>
        <v>2.296,50</v>
      </c>
      <c r="M5422" s="6" t="str">
        <f>"11.482,50"</f>
        <v>11.482,50</v>
      </c>
      <c r="N5422" s="8" t="s">
        <v>240</v>
      </c>
      <c r="O5422" s="7"/>
      <c r="P5422" s="2">
        <v>11482.5</v>
      </c>
      <c r="Q5422" s="7"/>
      <c r="R5422" s="1"/>
      <c r="S5422" s="1" t="str">
        <f>"2022-4181"</f>
        <v>2022-4181</v>
      </c>
      <c r="T5422" s="1" t="s">
        <v>55</v>
      </c>
    </row>
    <row r="5423" spans="1:20" ht="63.75" x14ac:dyDescent="0.25">
      <c r="A5423" s="6">
        <v>5402</v>
      </c>
      <c r="B5423" s="1" t="str">
        <f>"2022-940"</f>
        <v>2022-940</v>
      </c>
      <c r="C5423" s="1" t="s">
        <v>3397</v>
      </c>
      <c r="D5423" s="1" t="s">
        <v>1150</v>
      </c>
      <c r="E5423" s="1" t="str">
        <f>""</f>
        <v/>
      </c>
      <c r="F5423" s="1" t="s">
        <v>1860</v>
      </c>
      <c r="G5423" s="1" t="str">
        <f>CONCATENATE("COMLAND D.O.O.,"," BREZOVIČKA CESTA 21,"," 10020 ZAGREB,"," OIB: 96293861644")</f>
        <v>COMLAND D.O.O., BREZOVIČKA CESTA 21, 10020 ZAGREB, OIB: 96293861644</v>
      </c>
      <c r="H5423" s="7"/>
      <c r="I5423" s="8" t="s">
        <v>1073</v>
      </c>
      <c r="J5423" s="7"/>
      <c r="K5423" s="6" t="str">
        <f>"2.896,00"</f>
        <v>2.896,00</v>
      </c>
      <c r="L5423" s="6" t="str">
        <f>"724,00"</f>
        <v>724,00</v>
      </c>
      <c r="M5423" s="6" t="str">
        <f>"3.620,00"</f>
        <v>3.620,00</v>
      </c>
      <c r="N5423" s="8" t="s">
        <v>1399</v>
      </c>
      <c r="O5423" s="7"/>
      <c r="P5423" s="2">
        <v>3620</v>
      </c>
      <c r="Q5423" s="7"/>
      <c r="R5423" s="1"/>
      <c r="S5423" s="1" t="str">
        <f>"2022-4184"</f>
        <v>2022-4184</v>
      </c>
      <c r="T5423" s="1" t="s">
        <v>55</v>
      </c>
    </row>
    <row r="5424" spans="1:20" ht="76.5" x14ac:dyDescent="0.25">
      <c r="A5424" s="6">
        <v>5403</v>
      </c>
      <c r="B5424" s="1" t="str">
        <f>"2022-1482"</f>
        <v>2022-1482</v>
      </c>
      <c r="C5424" s="1" t="s">
        <v>2501</v>
      </c>
      <c r="D5424" s="1" t="s">
        <v>3411</v>
      </c>
      <c r="E5424" s="1" t="str">
        <f>""</f>
        <v/>
      </c>
      <c r="F5424" s="1" t="s">
        <v>1860</v>
      </c>
      <c r="G5424" s="1" t="str">
        <f>CONCATENATE("SMIT-COMMERCE D.O.O.,"," GORNJOSTUPNIČKA 9B,"," 10255 GORNJI STUPNIK,"," OIB: 9524348214")</f>
        <v>SMIT-COMMERCE D.O.O., GORNJOSTUPNIČKA 9B, 10255 GORNJI STUPNIK, OIB: 9524348214</v>
      </c>
      <c r="H5424" s="7"/>
      <c r="I5424" s="8" t="s">
        <v>1073</v>
      </c>
      <c r="J5424" s="7"/>
      <c r="K5424" s="6" t="str">
        <f>"79,50"</f>
        <v>79,50</v>
      </c>
      <c r="L5424" s="6" t="str">
        <f>"0,00"</f>
        <v>0,00</v>
      </c>
      <c r="M5424" s="6" t="str">
        <f>"79,50"</f>
        <v>79,50</v>
      </c>
      <c r="N5424" s="8" t="s">
        <v>124</v>
      </c>
      <c r="O5424" s="7"/>
      <c r="P5424" s="2">
        <v>0</v>
      </c>
      <c r="Q5424" s="7"/>
      <c r="R5424" s="1"/>
      <c r="S5424" s="1" t="str">
        <f>"2022-4185"</f>
        <v>2022-4185</v>
      </c>
      <c r="T5424" s="1" t="s">
        <v>55</v>
      </c>
    </row>
    <row r="5425" spans="1:20" ht="51" x14ac:dyDescent="0.25">
      <c r="A5425" s="6">
        <v>5404</v>
      </c>
      <c r="B5425" s="1" t="str">
        <f>"2022-977"</f>
        <v>2022-977</v>
      </c>
      <c r="C5425" s="1" t="s">
        <v>3310</v>
      </c>
      <c r="D5425" s="1" t="s">
        <v>1373</v>
      </c>
      <c r="E5425" s="1" t="str">
        <f>""</f>
        <v/>
      </c>
      <c r="F5425" s="1" t="s">
        <v>1860</v>
      </c>
      <c r="G5425" s="1" t="str">
        <f>CONCATENATE("NIROSTA D.O.O.,"," NAŠIČKA 6,"," 31000 OSIJEK,"," OIB: 82823351319")</f>
        <v>NIROSTA D.O.O., NAŠIČKA 6, 31000 OSIJEK, OIB: 82823351319</v>
      </c>
      <c r="H5425" s="7"/>
      <c r="I5425" s="8" t="s">
        <v>1073</v>
      </c>
      <c r="J5425" s="7"/>
      <c r="K5425" s="6" t="str">
        <f>"12.500,00"</f>
        <v>12.500,00</v>
      </c>
      <c r="L5425" s="6" t="str">
        <f>"3.125,00"</f>
        <v>3.125,00</v>
      </c>
      <c r="M5425" s="6" t="str">
        <f>"15.625,00"</f>
        <v>15.625,00</v>
      </c>
      <c r="N5425" s="8" t="s">
        <v>240</v>
      </c>
      <c r="O5425" s="7"/>
      <c r="P5425" s="2">
        <v>15625</v>
      </c>
      <c r="Q5425" s="7"/>
      <c r="R5425" s="1"/>
      <c r="S5425" s="1" t="str">
        <f>"2022-4186"</f>
        <v>2022-4186</v>
      </c>
      <c r="T5425" s="1" t="s">
        <v>55</v>
      </c>
    </row>
    <row r="5426" spans="1:20" ht="76.5" x14ac:dyDescent="0.25">
      <c r="A5426" s="6">
        <v>5405</v>
      </c>
      <c r="B5426" s="1" t="str">
        <f>"2022-757"</f>
        <v>2022-757</v>
      </c>
      <c r="C5426" s="1" t="s">
        <v>2690</v>
      </c>
      <c r="D5426" s="1" t="s">
        <v>3322</v>
      </c>
      <c r="E5426" s="1" t="str">
        <f>""</f>
        <v/>
      </c>
      <c r="F5426" s="1" t="s">
        <v>1860</v>
      </c>
      <c r="G5426" s="1" t="str">
        <f>CONCATENATE("SMIT-COMMERCE D.O.O.,"," GORNJOSTUPNIČKA 9B,"," 10255 GORNJI STUPNIK,"," OIB: 9524348214")</f>
        <v>SMIT-COMMERCE D.O.O., GORNJOSTUPNIČKA 9B, 10255 GORNJI STUPNIK, OIB: 9524348214</v>
      </c>
      <c r="H5426" s="7"/>
      <c r="I5426" s="8" t="s">
        <v>1073</v>
      </c>
      <c r="J5426" s="7"/>
      <c r="K5426" s="6" t="str">
        <f>"8.058,10"</f>
        <v>8.058,10</v>
      </c>
      <c r="L5426" s="6" t="str">
        <f>"2.014,54"</f>
        <v>2.014,54</v>
      </c>
      <c r="M5426" s="6" t="str">
        <f>"10.072,64"</f>
        <v>10.072,64</v>
      </c>
      <c r="N5426" s="8" t="s">
        <v>931</v>
      </c>
      <c r="O5426" s="7"/>
      <c r="P5426" s="2">
        <v>10072.64</v>
      </c>
      <c r="Q5426" s="7"/>
      <c r="R5426" s="1"/>
      <c r="S5426" s="1" t="str">
        <f>"2022-4187"</f>
        <v>2022-4187</v>
      </c>
      <c r="T5426" s="1" t="s">
        <v>55</v>
      </c>
    </row>
    <row r="5427" spans="1:20" ht="51" x14ac:dyDescent="0.25">
      <c r="A5427" s="6">
        <v>5406</v>
      </c>
      <c r="B5427" s="1" t="str">
        <f>"2022-852"</f>
        <v>2022-852</v>
      </c>
      <c r="C5427" s="1" t="s">
        <v>2469</v>
      </c>
      <c r="D5427" s="1" t="s">
        <v>2287</v>
      </c>
      <c r="E5427" s="1" t="str">
        <f>""</f>
        <v/>
      </c>
      <c r="F5427" s="1" t="s">
        <v>1860</v>
      </c>
      <c r="G5427" s="1" t="str">
        <f>CONCATENATE("SELMET D.O.O.,"," KRANJČEVIĆEVA 5,"," 10000 ZAGREB,"," OIB: 25531283613")</f>
        <v>SELMET D.O.O., KRANJČEVIĆEVA 5, 10000 ZAGREB, OIB: 25531283613</v>
      </c>
      <c r="H5427" s="7"/>
      <c r="I5427" s="8" t="s">
        <v>469</v>
      </c>
      <c r="J5427" s="7"/>
      <c r="K5427" s="6" t="str">
        <f>"1.039,92"</f>
        <v>1.039,92</v>
      </c>
      <c r="L5427" s="6" t="str">
        <f>"259,98"</f>
        <v>259,98</v>
      </c>
      <c r="M5427" s="6" t="str">
        <f>"1.299,90"</f>
        <v>1.299,90</v>
      </c>
      <c r="N5427" s="8" t="s">
        <v>852</v>
      </c>
      <c r="O5427" s="7"/>
      <c r="P5427" s="2">
        <v>1299.9000000000001</v>
      </c>
      <c r="Q5427" s="7"/>
      <c r="R5427" s="1"/>
      <c r="S5427" s="1" t="str">
        <f>"2022-4211"</f>
        <v>2022-4211</v>
      </c>
      <c r="T5427" s="1" t="s">
        <v>55</v>
      </c>
    </row>
    <row r="5428" spans="1:20" ht="63.75" x14ac:dyDescent="0.25">
      <c r="A5428" s="6">
        <v>5407</v>
      </c>
      <c r="B5428" s="1" t="str">
        <f>"2022-189"</f>
        <v>2022-189</v>
      </c>
      <c r="C5428" s="1" t="s">
        <v>2612</v>
      </c>
      <c r="D5428" s="1" t="s">
        <v>3412</v>
      </c>
      <c r="E5428" s="1" t="str">
        <f>""</f>
        <v/>
      </c>
      <c r="F5428" s="1" t="s">
        <v>1860</v>
      </c>
      <c r="G5428" s="1" t="str">
        <f>CONCATENATE("VG GRUPA D.O.O.,"," ULICA PETRA ZRINSKOG 17,"," 10410 VELIKA GORICA,"," OIB: 4499001064")</f>
        <v>VG GRUPA D.O.O., ULICA PETRA ZRINSKOG 17, 10410 VELIKA GORICA, OIB: 4499001064</v>
      </c>
      <c r="H5428" s="7"/>
      <c r="I5428" s="8" t="s">
        <v>469</v>
      </c>
      <c r="J5428" s="7"/>
      <c r="K5428" s="6" t="str">
        <f>"7.460,00"</f>
        <v>7.460,00</v>
      </c>
      <c r="L5428" s="6" t="str">
        <f>"1.865,00"</f>
        <v>1.865,00</v>
      </c>
      <c r="M5428" s="6" t="str">
        <f>"9.325,00"</f>
        <v>9.325,00</v>
      </c>
      <c r="N5428" s="8" t="s">
        <v>240</v>
      </c>
      <c r="O5428" s="7"/>
      <c r="P5428" s="2">
        <v>9325</v>
      </c>
      <c r="Q5428" s="7"/>
      <c r="R5428" s="1"/>
      <c r="S5428" s="1" t="str">
        <f>"2022-4213"</f>
        <v>2022-4213</v>
      </c>
      <c r="T5428" s="1" t="s">
        <v>55</v>
      </c>
    </row>
    <row r="5429" spans="1:20" ht="63.75" x14ac:dyDescent="0.25">
      <c r="A5429" s="6">
        <v>5408</v>
      </c>
      <c r="B5429" s="1" t="str">
        <f>"2022-1499"</f>
        <v>2022-1499</v>
      </c>
      <c r="C5429" s="1" t="s">
        <v>817</v>
      </c>
      <c r="D5429" s="1" t="s">
        <v>815</v>
      </c>
      <c r="E5429" s="1" t="str">
        <f>""</f>
        <v/>
      </c>
      <c r="F5429" s="1" t="s">
        <v>1860</v>
      </c>
      <c r="G5429" s="1" t="str">
        <f>CONCATENATE("TOKIĆ D.O.O.,"," ULICA 144. BRIGADE HRVATSKE VOJSKE 1A,"," 10360 SESVETE,"," OIB: 7486748762")</f>
        <v>TOKIĆ D.O.O., ULICA 144. BRIGADE HRVATSKE VOJSKE 1A, 10360 SESVETE, OIB: 7486748762</v>
      </c>
      <c r="H5429" s="7"/>
      <c r="I5429" s="8" t="s">
        <v>469</v>
      </c>
      <c r="J5429" s="7"/>
      <c r="K5429" s="6" t="str">
        <f>"6.122,00"</f>
        <v>6.122,00</v>
      </c>
      <c r="L5429" s="6" t="str">
        <f>"1.530,50"</f>
        <v>1.530,50</v>
      </c>
      <c r="M5429" s="6" t="str">
        <f>"7.652,50"</f>
        <v>7.652,50</v>
      </c>
      <c r="N5429" s="8" t="s">
        <v>506</v>
      </c>
      <c r="O5429" s="7"/>
      <c r="P5429" s="2">
        <v>7652.5</v>
      </c>
      <c r="Q5429" s="7"/>
      <c r="R5429" s="1"/>
      <c r="S5429" s="1" t="str">
        <f>"2022-4214"</f>
        <v>2022-4214</v>
      </c>
      <c r="T5429" s="1" t="s">
        <v>55</v>
      </c>
    </row>
    <row r="5430" spans="1:20" ht="51" x14ac:dyDescent="0.25">
      <c r="A5430" s="6">
        <v>5409</v>
      </c>
      <c r="B5430" s="1" t="str">
        <f>"2022-491"</f>
        <v>2022-491</v>
      </c>
      <c r="C5430" s="1" t="s">
        <v>2626</v>
      </c>
      <c r="D5430" s="1" t="s">
        <v>3413</v>
      </c>
      <c r="E5430" s="1" t="str">
        <f>""</f>
        <v/>
      </c>
      <c r="F5430" s="1" t="s">
        <v>1860</v>
      </c>
      <c r="G5430" s="1" t="str">
        <f>CONCATENATE("E-ELMES D.O.O.,"," MATIJE MESIĆA 29A,"," 10370 DUGO SELO,"," OIB: 89958947498")</f>
        <v>E-ELMES D.O.O., MATIJE MESIĆA 29A, 10370 DUGO SELO, OIB: 89958947498</v>
      </c>
      <c r="H5430" s="7"/>
      <c r="I5430" s="8" t="s">
        <v>469</v>
      </c>
      <c r="J5430" s="7"/>
      <c r="K5430" s="6" t="str">
        <f>"5.244,50"</f>
        <v>5.244,50</v>
      </c>
      <c r="L5430" s="6" t="str">
        <f>"1.311,13"</f>
        <v>1.311,13</v>
      </c>
      <c r="M5430" s="6" t="str">
        <f>"6.555,63"</f>
        <v>6.555,63</v>
      </c>
      <c r="N5430" s="8" t="s">
        <v>535</v>
      </c>
      <c r="O5430" s="7"/>
      <c r="P5430" s="2">
        <v>6555.63</v>
      </c>
      <c r="Q5430" s="7"/>
      <c r="R5430" s="1"/>
      <c r="S5430" s="1" t="str">
        <f>"2022-4216"</f>
        <v>2022-4216</v>
      </c>
      <c r="T5430" s="1" t="s">
        <v>55</v>
      </c>
    </row>
    <row r="5431" spans="1:20" ht="51" x14ac:dyDescent="0.25">
      <c r="A5431" s="6">
        <v>5410</v>
      </c>
      <c r="B5431" s="1" t="str">
        <f>"2022-572"</f>
        <v>2022-572</v>
      </c>
      <c r="C5431" s="1" t="s">
        <v>3414</v>
      </c>
      <c r="D5431" s="1" t="s">
        <v>3415</v>
      </c>
      <c r="E5431" s="1" t="str">
        <f>""</f>
        <v/>
      </c>
      <c r="F5431" s="1" t="s">
        <v>1860</v>
      </c>
      <c r="G5431" s="1" t="str">
        <f>CONCATENATE("KOPI-AS D.O.O.,"," CERNIČKA 4,"," 10000 ZAGREB,"," OIB: 96605206988")</f>
        <v>KOPI-AS D.O.O., CERNIČKA 4, 10000 ZAGREB, OIB: 96605206988</v>
      </c>
      <c r="H5431" s="7"/>
      <c r="I5431" s="8" t="s">
        <v>469</v>
      </c>
      <c r="J5431" s="7"/>
      <c r="K5431" s="6" t="str">
        <f>"20.310,00"</f>
        <v>20.310,00</v>
      </c>
      <c r="L5431" s="6" t="str">
        <f>"5.077,50"</f>
        <v>5.077,50</v>
      </c>
      <c r="M5431" s="6" t="str">
        <f>"25.387,50"</f>
        <v>25.387,50</v>
      </c>
      <c r="N5431" s="8" t="s">
        <v>192</v>
      </c>
      <c r="O5431" s="7"/>
      <c r="P5431" s="2">
        <v>25387.5</v>
      </c>
      <c r="Q5431" s="7"/>
      <c r="R5431" s="1"/>
      <c r="S5431" s="1" t="str">
        <f>"2022-4217"</f>
        <v>2022-4217</v>
      </c>
      <c r="T5431" s="1" t="s">
        <v>55</v>
      </c>
    </row>
    <row r="5432" spans="1:20" ht="63.75" x14ac:dyDescent="0.25">
      <c r="A5432" s="6">
        <v>5411</v>
      </c>
      <c r="B5432" s="1" t="str">
        <f>"2022-977"</f>
        <v>2022-977</v>
      </c>
      <c r="C5432" s="1" t="s">
        <v>3310</v>
      </c>
      <c r="D5432" s="1" t="s">
        <v>1373</v>
      </c>
      <c r="E5432" s="1" t="str">
        <f>""</f>
        <v/>
      </c>
      <c r="F5432" s="1" t="s">
        <v>1860</v>
      </c>
      <c r="G5432" s="1" t="str">
        <f>CONCATENATE("FRANK SERVIS,"," OBRT ZA USLUGE,"," VL. ŽIVKO ROMAN,"," JABLANOVAC 27,"," 10000 ZAGREB,"," OIB: 59088996868")</f>
        <v>FRANK SERVIS, OBRT ZA USLUGE, VL. ŽIVKO ROMAN, JABLANOVAC 27, 10000 ZAGREB, OIB: 59088996868</v>
      </c>
      <c r="H5432" s="7"/>
      <c r="I5432" s="8" t="s">
        <v>469</v>
      </c>
      <c r="J5432" s="7"/>
      <c r="K5432" s="6" t="str">
        <f>"36.880,00"</f>
        <v>36.880,00</v>
      </c>
      <c r="L5432" s="6" t="str">
        <f>"9.220,00"</f>
        <v>9.220,00</v>
      </c>
      <c r="M5432" s="6" t="str">
        <f>"46.100,00"</f>
        <v>46.100,00</v>
      </c>
      <c r="N5432" s="8" t="s">
        <v>438</v>
      </c>
      <c r="O5432" s="7"/>
      <c r="P5432" s="2">
        <v>46100</v>
      </c>
      <c r="Q5432" s="7"/>
      <c r="R5432" s="1"/>
      <c r="S5432" s="1" t="str">
        <f>"2022-4225"</f>
        <v>2022-4225</v>
      </c>
      <c r="T5432" s="1" t="s">
        <v>55</v>
      </c>
    </row>
    <row r="5433" spans="1:20" ht="51" x14ac:dyDescent="0.25">
      <c r="A5433" s="6">
        <v>5412</v>
      </c>
      <c r="B5433" s="1" t="str">
        <f>"2022-505"</f>
        <v>2022-505</v>
      </c>
      <c r="C5433" s="1" t="s">
        <v>2694</v>
      </c>
      <c r="D5433" s="1" t="s">
        <v>3306</v>
      </c>
      <c r="E5433" s="1" t="str">
        <f>""</f>
        <v/>
      </c>
      <c r="F5433" s="1" t="s">
        <v>1860</v>
      </c>
      <c r="G5433" s="1" t="str">
        <f>CONCATENATE("PRO-TEHNA D.O.O.,"," MAKSIMIRSKA 64,"," 10000 ZAGREB,"," OIB: 88951687357")</f>
        <v>PRO-TEHNA D.O.O., MAKSIMIRSKA 64, 10000 ZAGREB, OIB: 88951687357</v>
      </c>
      <c r="H5433" s="7"/>
      <c r="I5433" s="8" t="s">
        <v>469</v>
      </c>
      <c r="J5433" s="7"/>
      <c r="K5433" s="6" t="str">
        <f>"14.400,00"</f>
        <v>14.400,00</v>
      </c>
      <c r="L5433" s="6" t="str">
        <f>"3.600,00"</f>
        <v>3.600,00</v>
      </c>
      <c r="M5433" s="6" t="str">
        <f>"18.000,00"</f>
        <v>18.000,00</v>
      </c>
      <c r="N5433" s="8" t="s">
        <v>426</v>
      </c>
      <c r="O5433" s="7"/>
      <c r="P5433" s="2">
        <v>18000</v>
      </c>
      <c r="Q5433" s="7"/>
      <c r="R5433" s="1"/>
      <c r="S5433" s="1" t="str">
        <f>"2022-4227"</f>
        <v>2022-4227</v>
      </c>
      <c r="T5433" s="1" t="s">
        <v>55</v>
      </c>
    </row>
    <row r="5434" spans="1:20" ht="51" x14ac:dyDescent="0.25">
      <c r="A5434" s="6">
        <v>5413</v>
      </c>
      <c r="B5434" s="1" t="str">
        <f>"2022-375"</f>
        <v>2022-375</v>
      </c>
      <c r="C5434" s="1" t="s">
        <v>2747</v>
      </c>
      <c r="D5434" s="1" t="s">
        <v>1337</v>
      </c>
      <c r="E5434" s="1" t="str">
        <f>""</f>
        <v/>
      </c>
      <c r="F5434" s="1" t="s">
        <v>1860</v>
      </c>
      <c r="G5434" s="1" t="str">
        <f>CONCATENATE("PRO-TEHNA D.O.O.,"," MAKSIMIRSKA 64,"," 10000 ZAGREB,"," OIB: 88951687357")</f>
        <v>PRO-TEHNA D.O.O., MAKSIMIRSKA 64, 10000 ZAGREB, OIB: 88951687357</v>
      </c>
      <c r="H5434" s="7"/>
      <c r="I5434" s="8" t="s">
        <v>469</v>
      </c>
      <c r="J5434" s="7"/>
      <c r="K5434" s="6" t="str">
        <f>"9.471,00"</f>
        <v>9.471,00</v>
      </c>
      <c r="L5434" s="6" t="str">
        <f>"2.367,75"</f>
        <v>2.367,75</v>
      </c>
      <c r="M5434" s="6" t="str">
        <f>"11.838,75"</f>
        <v>11.838,75</v>
      </c>
      <c r="N5434" s="8" t="s">
        <v>563</v>
      </c>
      <c r="O5434" s="7"/>
      <c r="P5434" s="2">
        <v>11838.75</v>
      </c>
      <c r="Q5434" s="7"/>
      <c r="R5434" s="1"/>
      <c r="S5434" s="1" t="str">
        <f>"2022-4228"</f>
        <v>2022-4228</v>
      </c>
      <c r="T5434" s="1" t="s">
        <v>55</v>
      </c>
    </row>
    <row r="5435" spans="1:20" ht="76.5" x14ac:dyDescent="0.25">
      <c r="A5435" s="6">
        <v>5414</v>
      </c>
      <c r="B5435" s="1" t="str">
        <f>"2022-1477"</f>
        <v>2022-1477</v>
      </c>
      <c r="C5435" s="1" t="s">
        <v>3349</v>
      </c>
      <c r="D5435" s="1" t="s">
        <v>3350</v>
      </c>
      <c r="E5435" s="1" t="str">
        <f>""</f>
        <v/>
      </c>
      <c r="F5435" s="1" t="s">
        <v>1860</v>
      </c>
      <c r="G5435" s="1" t="str">
        <f>CONCATENATE("SMIT-COMMERCE D.O.O.,"," GORNJOSTUPNIČKA 9B,"," 10255 GORNJI STUPNIK,"," OIB: 9524348214")</f>
        <v>SMIT-COMMERCE D.O.O., GORNJOSTUPNIČKA 9B, 10255 GORNJI STUPNIK, OIB: 9524348214</v>
      </c>
      <c r="H5435" s="7"/>
      <c r="I5435" s="8" t="s">
        <v>506</v>
      </c>
      <c r="J5435" s="7"/>
      <c r="K5435" s="6" t="str">
        <f>"47.719,70"</f>
        <v>47.719,70</v>
      </c>
      <c r="L5435" s="6" t="str">
        <f>"11.929,93"</f>
        <v>11.929,93</v>
      </c>
      <c r="M5435" s="6" t="str">
        <f>"59.649,63"</f>
        <v>59.649,63</v>
      </c>
      <c r="N5435" s="8" t="s">
        <v>563</v>
      </c>
      <c r="O5435" s="7"/>
      <c r="P5435" s="2">
        <v>59649.63</v>
      </c>
      <c r="Q5435" s="7"/>
      <c r="R5435" s="1"/>
      <c r="S5435" s="1" t="str">
        <f>"2022-4310"</f>
        <v>2022-4310</v>
      </c>
      <c r="T5435" s="1" t="s">
        <v>55</v>
      </c>
    </row>
    <row r="5436" spans="1:20" ht="51" x14ac:dyDescent="0.25">
      <c r="A5436" s="6">
        <v>5415</v>
      </c>
      <c r="B5436" s="1" t="str">
        <f>"2022-1720"</f>
        <v>2022-1720</v>
      </c>
      <c r="C5436" s="1" t="s">
        <v>3343</v>
      </c>
      <c r="D5436" s="1" t="s">
        <v>854</v>
      </c>
      <c r="E5436" s="1" t="str">
        <f>""</f>
        <v/>
      </c>
      <c r="F5436" s="1" t="s">
        <v>1860</v>
      </c>
      <c r="G5436" s="1" t="str">
        <f>CONCATENATE("MICROTEAM D.O.O.,"," KURILOVEČKA 1,"," 10410 VELIKA GORICA,"," OIB: 57375677395")</f>
        <v>MICROTEAM D.O.O., KURILOVEČKA 1, 10410 VELIKA GORICA, OIB: 57375677395</v>
      </c>
      <c r="H5436" s="7"/>
      <c r="I5436" s="8" t="s">
        <v>506</v>
      </c>
      <c r="J5436" s="7"/>
      <c r="K5436" s="6" t="str">
        <f>"42.605,00"</f>
        <v>42.605,00</v>
      </c>
      <c r="L5436" s="6" t="str">
        <f>"3.977,75"</f>
        <v>3.977,75</v>
      </c>
      <c r="M5436" s="6" t="str">
        <f>"46.582,75"</f>
        <v>46.582,75</v>
      </c>
      <c r="N5436" s="8" t="s">
        <v>563</v>
      </c>
      <c r="O5436" s="7"/>
      <c r="P5436" s="2">
        <v>19888.75</v>
      </c>
      <c r="Q5436" s="7"/>
      <c r="R5436" s="1"/>
      <c r="S5436" s="1" t="str">
        <f>"2022-4320"</f>
        <v>2022-4320</v>
      </c>
      <c r="T5436" s="1" t="s">
        <v>55</v>
      </c>
    </row>
    <row r="5437" spans="1:20" ht="51" x14ac:dyDescent="0.25">
      <c r="A5437" s="6">
        <v>5416</v>
      </c>
      <c r="B5437" s="1" t="str">
        <f>"2022-245"</f>
        <v>2022-245</v>
      </c>
      <c r="C5437" s="1" t="s">
        <v>2435</v>
      </c>
      <c r="D5437" s="1" t="s">
        <v>3323</v>
      </c>
      <c r="E5437" s="1" t="str">
        <f>""</f>
        <v/>
      </c>
      <c r="F5437" s="1" t="s">
        <v>1860</v>
      </c>
      <c r="G5437" s="1" t="str">
        <f>CONCATENATE("BIOVIT D.O.O.,"," MATKA LAGINJE 13,"," 42000 VARAŽDIN,"," OIB: 7327541289")</f>
        <v>BIOVIT D.O.O., MATKA LAGINJE 13, 42000 VARAŽDIN, OIB: 7327541289</v>
      </c>
      <c r="H5437" s="7"/>
      <c r="I5437" s="8" t="s">
        <v>426</v>
      </c>
      <c r="J5437" s="7"/>
      <c r="K5437" s="6" t="str">
        <f>"26.510,25"</f>
        <v>26.510,25</v>
      </c>
      <c r="L5437" s="6" t="str">
        <f>"6.627,57"</f>
        <v>6.627,57</v>
      </c>
      <c r="M5437" s="6" t="str">
        <f>"33.137,82"</f>
        <v>33.137,82</v>
      </c>
      <c r="N5437" s="8" t="s">
        <v>31</v>
      </c>
      <c r="O5437" s="7"/>
      <c r="P5437" s="2">
        <v>33137.82</v>
      </c>
      <c r="Q5437" s="7"/>
      <c r="R5437" s="1"/>
      <c r="S5437" s="1" t="str">
        <f>"2022-4403"</f>
        <v>2022-4403</v>
      </c>
      <c r="T5437" s="1" t="s">
        <v>55</v>
      </c>
    </row>
    <row r="5438" spans="1:20" ht="51" x14ac:dyDescent="0.25">
      <c r="A5438" s="6">
        <v>5417</v>
      </c>
      <c r="B5438" s="1" t="str">
        <f>"2022-909"</f>
        <v>2022-909</v>
      </c>
      <c r="C5438" s="1" t="s">
        <v>2718</v>
      </c>
      <c r="D5438" s="1" t="s">
        <v>1102</v>
      </c>
      <c r="E5438" s="1" t="str">
        <f>""</f>
        <v/>
      </c>
      <c r="F5438" s="1" t="s">
        <v>1860</v>
      </c>
      <c r="G5438" s="1" t="str">
        <f>CONCATENATE("BENNING ZAGREB D.O.O.,"," TRNJANSKA 61,"," 10000 ZAGREB,"," OIB: 60930344089")</f>
        <v>BENNING ZAGREB D.O.O., TRNJANSKA 61, 10000 ZAGREB, OIB: 60930344089</v>
      </c>
      <c r="H5438" s="7"/>
      <c r="I5438" s="8" t="s">
        <v>426</v>
      </c>
      <c r="J5438" s="7"/>
      <c r="K5438" s="6" t="str">
        <f>"1.380,00"</f>
        <v>1.380,00</v>
      </c>
      <c r="L5438" s="6" t="str">
        <f>"345,00"</f>
        <v>345,00</v>
      </c>
      <c r="M5438" s="6" t="str">
        <f>"1.725,00"</f>
        <v>1.725,00</v>
      </c>
      <c r="N5438" s="8" t="s">
        <v>852</v>
      </c>
      <c r="O5438" s="7"/>
      <c r="P5438" s="2">
        <v>1725</v>
      </c>
      <c r="Q5438" s="7"/>
      <c r="R5438" s="1"/>
      <c r="S5438" s="1" t="str">
        <f>"2022-4405"</f>
        <v>2022-4405</v>
      </c>
      <c r="T5438" s="1" t="s">
        <v>55</v>
      </c>
    </row>
    <row r="5439" spans="1:20" ht="76.5" x14ac:dyDescent="0.25">
      <c r="A5439" s="6">
        <v>5418</v>
      </c>
      <c r="B5439" s="1" t="str">
        <f>"2022-1470"</f>
        <v>2022-1470</v>
      </c>
      <c r="C5439" s="1" t="s">
        <v>3305</v>
      </c>
      <c r="D5439" s="1" t="s">
        <v>1206</v>
      </c>
      <c r="E5439" s="1" t="str">
        <f>""</f>
        <v/>
      </c>
      <c r="F5439" s="1" t="s">
        <v>1860</v>
      </c>
      <c r="G5439" s="1" t="str">
        <f>CONCATENATE("EKO ELEKTRO TRGOVINA,"," VL. EMANUEL ŠIMEC,"," KSAVERA Š. ĐALSKOG 58,"," 10000 ZAGREB,"," OIB: 55219685582")</f>
        <v>EKO ELEKTRO TRGOVINA, VL. EMANUEL ŠIMEC, KSAVERA Š. ĐALSKOG 58, 10000 ZAGREB, OIB: 55219685582</v>
      </c>
      <c r="H5439" s="7"/>
      <c r="I5439" s="8" t="s">
        <v>426</v>
      </c>
      <c r="J5439" s="7"/>
      <c r="K5439" s="6" t="str">
        <f>"8.786,00"</f>
        <v>8.786,00</v>
      </c>
      <c r="L5439" s="6" t="str">
        <f>"2.196,50"</f>
        <v>2.196,50</v>
      </c>
      <c r="M5439" s="6" t="str">
        <f>"10.982,50"</f>
        <v>10.982,50</v>
      </c>
      <c r="N5439" s="8" t="s">
        <v>565</v>
      </c>
      <c r="O5439" s="7"/>
      <c r="P5439" s="2">
        <v>10982.5</v>
      </c>
      <c r="Q5439" s="7"/>
      <c r="R5439" s="1"/>
      <c r="S5439" s="1" t="str">
        <f>"2022-4406"</f>
        <v>2022-4406</v>
      </c>
      <c r="T5439" s="1" t="s">
        <v>55</v>
      </c>
    </row>
    <row r="5440" spans="1:20" ht="38.25" x14ac:dyDescent="0.25">
      <c r="A5440" s="6">
        <v>5419</v>
      </c>
      <c r="B5440" s="1" t="str">
        <f>"2022-226"</f>
        <v>2022-226</v>
      </c>
      <c r="C5440" s="1" t="s">
        <v>2464</v>
      </c>
      <c r="D5440" s="1" t="s">
        <v>3311</v>
      </c>
      <c r="E5440" s="1" t="str">
        <f>""</f>
        <v/>
      </c>
      <c r="F5440" s="1" t="s">
        <v>1860</v>
      </c>
      <c r="G5440" s="1" t="str">
        <f>CONCATENATE("DEM D.O.O.,"," OIB: 82497118239")</f>
        <v>DEM D.O.O., OIB: 82497118239</v>
      </c>
      <c r="H5440" s="7"/>
      <c r="I5440" s="8" t="s">
        <v>426</v>
      </c>
      <c r="J5440" s="7"/>
      <c r="K5440" s="6" t="str">
        <f>"16.758,00"</f>
        <v>16.758,00</v>
      </c>
      <c r="L5440" s="6" t="str">
        <f>"1.197,00"</f>
        <v>1.197,00</v>
      </c>
      <c r="M5440" s="6" t="str">
        <f>"17.955,00"</f>
        <v>17.955,00</v>
      </c>
      <c r="N5440" s="8" t="s">
        <v>1123</v>
      </c>
      <c r="O5440" s="7"/>
      <c r="P5440" s="2">
        <v>5985</v>
      </c>
      <c r="Q5440" s="7"/>
      <c r="R5440" s="1"/>
      <c r="S5440" s="1" t="str">
        <f>"2022-4407"</f>
        <v>2022-4407</v>
      </c>
      <c r="T5440" s="1" t="s">
        <v>55</v>
      </c>
    </row>
    <row r="5441" spans="1:20" ht="63.75" x14ac:dyDescent="0.25">
      <c r="A5441" s="6">
        <v>5420</v>
      </c>
      <c r="B5441" s="1" t="str">
        <f>"2022-1232"</f>
        <v>2022-1232</v>
      </c>
      <c r="C5441" s="1" t="s">
        <v>3416</v>
      </c>
      <c r="D5441" s="1" t="s">
        <v>51</v>
      </c>
      <c r="E5441" s="1" t="str">
        <f>""</f>
        <v/>
      </c>
      <c r="F5441" s="1" t="s">
        <v>1860</v>
      </c>
      <c r="G5441" s="1" t="str">
        <f>CONCATENATE("ELEKTROWAT D.O.O.,"," ŠIBICE,"," JURE NOVOSELCA 1,"," 10290 ZAPREŠIĆ,"," OIB: 52512844748")</f>
        <v>ELEKTROWAT D.O.O., ŠIBICE, JURE NOVOSELCA 1, 10290 ZAPREŠIĆ, OIB: 52512844748</v>
      </c>
      <c r="H5441" s="7"/>
      <c r="I5441" s="8" t="s">
        <v>426</v>
      </c>
      <c r="J5441" s="7"/>
      <c r="K5441" s="6" t="str">
        <f>"19.875,00"</f>
        <v>19.875,00</v>
      </c>
      <c r="L5441" s="6" t="str">
        <f>"4.968,75"</f>
        <v>4.968,75</v>
      </c>
      <c r="M5441" s="6" t="str">
        <f>"24.843,75"</f>
        <v>24.843,75</v>
      </c>
      <c r="N5441" s="8" t="s">
        <v>227</v>
      </c>
      <c r="O5441" s="7"/>
      <c r="P5441" s="2">
        <v>24843.75</v>
      </c>
      <c r="Q5441" s="7"/>
      <c r="R5441" s="1"/>
      <c r="S5441" s="1" t="str">
        <f>"2022-4409"</f>
        <v>2022-4409</v>
      </c>
      <c r="T5441" s="1" t="s">
        <v>55</v>
      </c>
    </row>
    <row r="5442" spans="1:20" ht="51" x14ac:dyDescent="0.25">
      <c r="A5442" s="6">
        <v>5421</v>
      </c>
      <c r="B5442" s="1" t="str">
        <f>"2022-891"</f>
        <v>2022-891</v>
      </c>
      <c r="C5442" s="1" t="s">
        <v>3374</v>
      </c>
      <c r="D5442" s="1" t="s">
        <v>2903</v>
      </c>
      <c r="E5442" s="1" t="str">
        <f>""</f>
        <v/>
      </c>
      <c r="F5442" s="1" t="s">
        <v>1860</v>
      </c>
      <c r="G5442" s="1" t="str">
        <f>CONCATENATE("LABOMAR D.O.O.,"," GMAJNJE 24,"," 10090 ZAGREB-SUSEDGRAD,"," OIB: 68373453442")</f>
        <v>LABOMAR D.O.O., GMAJNJE 24, 10090 ZAGREB-SUSEDGRAD, OIB: 68373453442</v>
      </c>
      <c r="H5442" s="7"/>
      <c r="I5442" s="8" t="s">
        <v>426</v>
      </c>
      <c r="J5442" s="7"/>
      <c r="K5442" s="6" t="str">
        <f>"3.480,00"</f>
        <v>3.480,00</v>
      </c>
      <c r="L5442" s="6" t="str">
        <f>"870,00"</f>
        <v>870,00</v>
      </c>
      <c r="M5442" s="6" t="str">
        <f>"4.350,00"</f>
        <v>4.350,00</v>
      </c>
      <c r="N5442" s="8" t="s">
        <v>931</v>
      </c>
      <c r="O5442" s="7"/>
      <c r="P5442" s="2">
        <v>4350</v>
      </c>
      <c r="Q5442" s="7"/>
      <c r="R5442" s="1"/>
      <c r="S5442" s="1" t="str">
        <f>"2022-4414"</f>
        <v>2022-4414</v>
      </c>
      <c r="T5442" s="1" t="s">
        <v>55</v>
      </c>
    </row>
    <row r="5443" spans="1:20" ht="63.75" x14ac:dyDescent="0.25">
      <c r="A5443" s="6">
        <v>5422</v>
      </c>
      <c r="B5443" s="1" t="str">
        <f>"2022-160"</f>
        <v>2022-160</v>
      </c>
      <c r="C5443" s="1" t="s">
        <v>3014</v>
      </c>
      <c r="D5443" s="1" t="s">
        <v>1492</v>
      </c>
      <c r="E5443" s="1" t="str">
        <f>""</f>
        <v/>
      </c>
      <c r="F5443" s="1" t="s">
        <v>1860</v>
      </c>
      <c r="G5443" s="1" t="str">
        <f>CONCATENATE("AGROTUROPOLJE D.O.O.,"," VELIKOGORIČKA 43,"," 10415 NOVO ČIČE,"," OIB: 66493270332")</f>
        <v>AGROTUROPOLJE D.O.O., VELIKOGORIČKA 43, 10415 NOVO ČIČE, OIB: 66493270332</v>
      </c>
      <c r="H5443" s="7"/>
      <c r="I5443" s="8" t="s">
        <v>426</v>
      </c>
      <c r="J5443" s="7"/>
      <c r="K5443" s="6" t="str">
        <f>"6.400,00"</f>
        <v>6.400,00</v>
      </c>
      <c r="L5443" s="6" t="str">
        <f>"320,00"</f>
        <v>320,00</v>
      </c>
      <c r="M5443" s="6" t="str">
        <f>"6.720,00"</f>
        <v>6.720,00</v>
      </c>
      <c r="N5443" s="8" t="s">
        <v>31</v>
      </c>
      <c r="O5443" s="7"/>
      <c r="P5443" s="2">
        <v>6720</v>
      </c>
      <c r="Q5443" s="7"/>
      <c r="R5443" s="1"/>
      <c r="S5443" s="1" t="str">
        <f>"2022-4415"</f>
        <v>2022-4415</v>
      </c>
      <c r="T5443" s="1" t="s">
        <v>55</v>
      </c>
    </row>
    <row r="5444" spans="1:20" ht="89.25" x14ac:dyDescent="0.25">
      <c r="A5444" s="6">
        <v>5423</v>
      </c>
      <c r="B5444" s="1" t="str">
        <f>"2022-1325"</f>
        <v>2022-1325</v>
      </c>
      <c r="C5444" s="1" t="s">
        <v>3375</v>
      </c>
      <c r="D5444" s="1" t="s">
        <v>1438</v>
      </c>
      <c r="E5444" s="1" t="str">
        <f>""</f>
        <v/>
      </c>
      <c r="F5444" s="1" t="s">
        <v>1860</v>
      </c>
      <c r="G5444" s="1" t="str">
        <f>CONCATENATE("ZAGREBAČKI HOLDING D.O.O.,"," PODRUŽNICA ZRINJEVAC,"," ULICA GRADA VUKOVARA 41,"," REMETINEČKA CESTA 15,"," 10000 ZAGREB,"," OIB: 85584865987")</f>
        <v>ZAGREBAČKI HOLDING D.O.O., PODRUŽNICA ZRINJEVAC, ULICA GRADA VUKOVARA 41, REMETINEČKA CESTA 15, 10000 ZAGREB, OIB: 85584865987</v>
      </c>
      <c r="H5444" s="7"/>
      <c r="I5444" s="8" t="s">
        <v>426</v>
      </c>
      <c r="J5444" s="7"/>
      <c r="K5444" s="6" t="str">
        <f>"4.790,00"</f>
        <v>4.790,00</v>
      </c>
      <c r="L5444" s="6" t="str">
        <f>"1.197,50"</f>
        <v>1.197,50</v>
      </c>
      <c r="M5444" s="6" t="str">
        <f>"5.987,50"</f>
        <v>5.987,50</v>
      </c>
      <c r="N5444" s="8" t="s">
        <v>535</v>
      </c>
      <c r="O5444" s="7"/>
      <c r="P5444" s="2">
        <v>5987.5</v>
      </c>
      <c r="Q5444" s="7"/>
      <c r="R5444" s="1"/>
      <c r="S5444" s="1" t="str">
        <f>"2022-4416"</f>
        <v>2022-4416</v>
      </c>
      <c r="T5444" s="1" t="s">
        <v>55</v>
      </c>
    </row>
    <row r="5445" spans="1:20" ht="51" x14ac:dyDescent="0.25">
      <c r="A5445" s="6">
        <v>5424</v>
      </c>
      <c r="B5445" s="1" t="str">
        <f>"2022-319"</f>
        <v>2022-319</v>
      </c>
      <c r="C5445" s="1" t="s">
        <v>2745</v>
      </c>
      <c r="D5445" s="1" t="s">
        <v>1544</v>
      </c>
      <c r="E5445" s="1" t="str">
        <f>""</f>
        <v/>
      </c>
      <c r="F5445" s="1" t="s">
        <v>1860</v>
      </c>
      <c r="G5445" s="1" t="str">
        <f>CONCATENATE("PRO-TEHNA D.O.O.,"," MAKSIMIRSKA 64,"," 10000 ZAGREB,"," OIB: 88951687357")</f>
        <v>PRO-TEHNA D.O.O., MAKSIMIRSKA 64, 10000 ZAGREB, OIB: 88951687357</v>
      </c>
      <c r="H5445" s="7"/>
      <c r="I5445" s="8" t="s">
        <v>406</v>
      </c>
      <c r="J5445" s="7"/>
      <c r="K5445" s="6" t="str">
        <f>"1.639,00"</f>
        <v>1.639,00</v>
      </c>
      <c r="L5445" s="6" t="str">
        <f>"409,75"</f>
        <v>409,75</v>
      </c>
      <c r="M5445" s="6" t="str">
        <f>"2.048,75"</f>
        <v>2.048,75</v>
      </c>
      <c r="N5445" s="8" t="s">
        <v>438</v>
      </c>
      <c r="O5445" s="7"/>
      <c r="P5445" s="2">
        <v>2048.75</v>
      </c>
      <c r="Q5445" s="7"/>
      <c r="R5445" s="1"/>
      <c r="S5445" s="1" t="str">
        <f>"2022-4449"</f>
        <v>2022-4449</v>
      </c>
      <c r="T5445" s="1" t="s">
        <v>55</v>
      </c>
    </row>
    <row r="5446" spans="1:20" ht="51" x14ac:dyDescent="0.25">
      <c r="A5446" s="6">
        <v>5425</v>
      </c>
      <c r="B5446" s="1" t="str">
        <f>"2022-715"</f>
        <v>2022-715</v>
      </c>
      <c r="C5446" s="1" t="s">
        <v>2733</v>
      </c>
      <c r="D5446" s="1" t="s">
        <v>815</v>
      </c>
      <c r="E5446" s="1" t="str">
        <f>""</f>
        <v/>
      </c>
      <c r="F5446" s="1" t="s">
        <v>1860</v>
      </c>
      <c r="G5446" s="1" t="str">
        <f>CONCATENATE("AUTOKUĆA-ŠTARKELJ D.O.O.,"," UKRAJINSKA 17,"," 10000 ZAGREB,"," OIB: 87340407905")</f>
        <v>AUTOKUĆA-ŠTARKELJ D.O.O., UKRAJINSKA 17, 10000 ZAGREB, OIB: 87340407905</v>
      </c>
      <c r="H5446" s="7"/>
      <c r="I5446" s="8" t="s">
        <v>406</v>
      </c>
      <c r="J5446" s="7"/>
      <c r="K5446" s="6" t="str">
        <f>"10.264,48"</f>
        <v>10.264,48</v>
      </c>
      <c r="L5446" s="6" t="str">
        <f>"2.566,12"</f>
        <v>2.566,12</v>
      </c>
      <c r="M5446" s="6" t="str">
        <f>"12.830,60"</f>
        <v>12.830,60</v>
      </c>
      <c r="N5446" s="8" t="s">
        <v>208</v>
      </c>
      <c r="O5446" s="7"/>
      <c r="P5446" s="2">
        <v>12830.6</v>
      </c>
      <c r="Q5446" s="7"/>
      <c r="R5446" s="1"/>
      <c r="S5446" s="1" t="str">
        <f>"2022-4452"</f>
        <v>2022-4452</v>
      </c>
      <c r="T5446" s="1" t="s">
        <v>55</v>
      </c>
    </row>
    <row r="5447" spans="1:20" ht="51" x14ac:dyDescent="0.25">
      <c r="A5447" s="6">
        <v>5426</v>
      </c>
      <c r="B5447" s="1" t="str">
        <f>"2022-629"</f>
        <v>2022-629</v>
      </c>
      <c r="C5447" s="1" t="s">
        <v>3384</v>
      </c>
      <c r="D5447" s="1" t="s">
        <v>3385</v>
      </c>
      <c r="E5447" s="1" t="str">
        <f>""</f>
        <v/>
      </c>
      <c r="F5447" s="1" t="s">
        <v>1860</v>
      </c>
      <c r="G5447" s="1" t="str">
        <f>CONCATENATE("AGRA-TRGOVINA d.o.o.,"," KAČIĆEVA 6,"," 10000 ZAGREB,"," OIB: 9885929543")</f>
        <v>AGRA-TRGOVINA d.o.o., KAČIĆEVA 6, 10000 ZAGREB, OIB: 9885929543</v>
      </c>
      <c r="H5447" s="7"/>
      <c r="I5447" s="8" t="s">
        <v>406</v>
      </c>
      <c r="J5447" s="7"/>
      <c r="K5447" s="6" t="str">
        <f>"9.230,00"</f>
        <v>9.230,00</v>
      </c>
      <c r="L5447" s="6" t="str">
        <f>"2.307,50"</f>
        <v>2.307,50</v>
      </c>
      <c r="M5447" s="6" t="str">
        <f>"11.537,50"</f>
        <v>11.537,50</v>
      </c>
      <c r="N5447" s="8" t="s">
        <v>939</v>
      </c>
      <c r="O5447" s="7"/>
      <c r="P5447" s="2">
        <v>11537.5</v>
      </c>
      <c r="Q5447" s="7"/>
      <c r="R5447" s="1"/>
      <c r="S5447" s="1" t="str">
        <f>"2022-4456"</f>
        <v>2022-4456</v>
      </c>
      <c r="T5447" s="1" t="s">
        <v>55</v>
      </c>
    </row>
    <row r="5448" spans="1:20" ht="51" x14ac:dyDescent="0.25">
      <c r="A5448" s="6">
        <v>5427</v>
      </c>
      <c r="B5448" s="1" t="str">
        <f>"2022-711"</f>
        <v>2022-711</v>
      </c>
      <c r="C5448" s="1" t="s">
        <v>2956</v>
      </c>
      <c r="D5448" s="1" t="s">
        <v>815</v>
      </c>
      <c r="E5448" s="1" t="str">
        <f>""</f>
        <v/>
      </c>
      <c r="F5448" s="1" t="s">
        <v>1860</v>
      </c>
      <c r="G5448" s="1" t="str">
        <f>CONCATENATE("M.B. AUTO  d.o.o.,"," KOLEDOVČINA 8,"," 10000 ZAGREB,"," OIB: 8902734372")</f>
        <v>M.B. AUTO  d.o.o., KOLEDOVČINA 8, 10000 ZAGREB, OIB: 8902734372</v>
      </c>
      <c r="H5448" s="7"/>
      <c r="I5448" s="8" t="s">
        <v>406</v>
      </c>
      <c r="J5448" s="7"/>
      <c r="K5448" s="6" t="str">
        <f>"3.346,76"</f>
        <v>3.346,76</v>
      </c>
      <c r="L5448" s="6" t="str">
        <f>"836,69"</f>
        <v>836,69</v>
      </c>
      <c r="M5448" s="6" t="str">
        <f>"4.183,45"</f>
        <v>4.183,45</v>
      </c>
      <c r="N5448" s="8" t="s">
        <v>939</v>
      </c>
      <c r="O5448" s="7"/>
      <c r="P5448" s="2">
        <v>4183.45</v>
      </c>
      <c r="Q5448" s="7"/>
      <c r="R5448" s="1"/>
      <c r="S5448" s="1" t="str">
        <f>"2022-4457"</f>
        <v>2022-4457</v>
      </c>
      <c r="T5448" s="1" t="s">
        <v>55</v>
      </c>
    </row>
    <row r="5449" spans="1:20" ht="63.75" x14ac:dyDescent="0.25">
      <c r="A5449" s="6">
        <v>5428</v>
      </c>
      <c r="B5449" s="1" t="str">
        <f>"2022-960"</f>
        <v>2022-960</v>
      </c>
      <c r="C5449" s="1" t="s">
        <v>3408</v>
      </c>
      <c r="D5449" s="1" t="s">
        <v>1373</v>
      </c>
      <c r="E5449" s="1" t="str">
        <f>""</f>
        <v/>
      </c>
      <c r="F5449" s="1" t="s">
        <v>1860</v>
      </c>
      <c r="G5449" s="1" t="str">
        <f>CONCATENATE("ELEKTRO PREMIUM D.O.O.,"," DOBRIŠE CESARIĆA 21,"," 10000 ZAGREB,"," OIB: 68586035315")</f>
        <v>ELEKTRO PREMIUM D.O.O., DOBRIŠE CESARIĆA 21, 10000 ZAGREB, OIB: 68586035315</v>
      </c>
      <c r="H5449" s="7"/>
      <c r="I5449" s="8" t="s">
        <v>406</v>
      </c>
      <c r="J5449" s="7"/>
      <c r="K5449" s="6" t="str">
        <f>"6.870,00"</f>
        <v>6.870,00</v>
      </c>
      <c r="L5449" s="6" t="str">
        <f>"534,79"</f>
        <v>534,79</v>
      </c>
      <c r="M5449" s="6" t="str">
        <f>"7.404,79"</f>
        <v>7.404,79</v>
      </c>
      <c r="N5449" s="8" t="s">
        <v>931</v>
      </c>
      <c r="O5449" s="7"/>
      <c r="P5449" s="2">
        <v>2673.94</v>
      </c>
      <c r="Q5449" s="7"/>
      <c r="R5449" s="1"/>
      <c r="S5449" s="1" t="str">
        <f>"2022-4458"</f>
        <v>2022-4458</v>
      </c>
      <c r="T5449" s="1" t="s">
        <v>55</v>
      </c>
    </row>
    <row r="5450" spans="1:20" ht="76.5" x14ac:dyDescent="0.25">
      <c r="A5450" s="6">
        <v>5429</v>
      </c>
      <c r="B5450" s="1" t="str">
        <f>"2022-593"</f>
        <v>2022-593</v>
      </c>
      <c r="C5450" s="1" t="s">
        <v>2834</v>
      </c>
      <c r="D5450" s="1" t="s">
        <v>2835</v>
      </c>
      <c r="E5450" s="1" t="str">
        <f>""</f>
        <v/>
      </c>
      <c r="F5450" s="1" t="s">
        <v>1860</v>
      </c>
      <c r="G5450" s="1" t="str">
        <f>CONCATENATE("EKO ELEKTRO TRGOVINA,"," VL. EMANUEL ŠIMEC,"," KSAVERA Š. ĐALSKOG 58,"," 10000 ZAGREB,"," OIB: 55219685582")</f>
        <v>EKO ELEKTRO TRGOVINA, VL. EMANUEL ŠIMEC, KSAVERA Š. ĐALSKOG 58, 10000 ZAGREB, OIB: 55219685582</v>
      </c>
      <c r="H5450" s="7"/>
      <c r="I5450" s="8" t="s">
        <v>406</v>
      </c>
      <c r="J5450" s="7"/>
      <c r="K5450" s="6" t="str">
        <f>"69.210,00"</f>
        <v>69.210,00</v>
      </c>
      <c r="L5450" s="6" t="str">
        <f>"17.302,50"</f>
        <v>17.302,50</v>
      </c>
      <c r="M5450" s="6" t="str">
        <f>"86.512,50"</f>
        <v>86.512,50</v>
      </c>
      <c r="N5450" s="8" t="s">
        <v>563</v>
      </c>
      <c r="O5450" s="7"/>
      <c r="P5450" s="2">
        <v>86512.5</v>
      </c>
      <c r="Q5450" s="7"/>
      <c r="R5450" s="1"/>
      <c r="S5450" s="1" t="str">
        <f>"2022-4459"</f>
        <v>2022-4459</v>
      </c>
      <c r="T5450" s="1" t="s">
        <v>55</v>
      </c>
    </row>
    <row r="5451" spans="1:20" ht="63.75" x14ac:dyDescent="0.25">
      <c r="A5451" s="6">
        <v>5430</v>
      </c>
      <c r="B5451" s="1" t="str">
        <f>"2022-592"</f>
        <v>2022-592</v>
      </c>
      <c r="C5451" s="1" t="s">
        <v>2683</v>
      </c>
      <c r="D5451" s="1" t="s">
        <v>2684</v>
      </c>
      <c r="E5451" s="1" t="str">
        <f>""</f>
        <v/>
      </c>
      <c r="F5451" s="1" t="s">
        <v>1860</v>
      </c>
      <c r="G5451" s="1" t="str">
        <f>CONCATENATE("ELEKTRO-KOMUNIKACIJE D.O.O.,"," 14. PODBREŽJE 4,"," 10000 ZAGREB,"," OIB: 76412373309")</f>
        <v>ELEKTRO-KOMUNIKACIJE D.O.O., 14. PODBREŽJE 4, 10000 ZAGREB, OIB: 76412373309</v>
      </c>
      <c r="H5451" s="7"/>
      <c r="I5451" s="8" t="s">
        <v>406</v>
      </c>
      <c r="J5451" s="7"/>
      <c r="K5451" s="6" t="str">
        <f>"40.926,70"</f>
        <v>40.926,70</v>
      </c>
      <c r="L5451" s="6" t="str">
        <f>"10.231,68"</f>
        <v>10.231,68</v>
      </c>
      <c r="M5451" s="6" t="str">
        <f>"51.158,38"</f>
        <v>51.158,38</v>
      </c>
      <c r="N5451" s="8" t="s">
        <v>931</v>
      </c>
      <c r="O5451" s="7"/>
      <c r="P5451" s="2">
        <v>51158.38</v>
      </c>
      <c r="Q5451" s="7"/>
      <c r="R5451" s="1"/>
      <c r="S5451" s="1" t="str">
        <f>"2022-4480"</f>
        <v>2022-4480</v>
      </c>
      <c r="T5451" s="1" t="s">
        <v>55</v>
      </c>
    </row>
    <row r="5452" spans="1:20" ht="63.75" x14ac:dyDescent="0.25">
      <c r="A5452" s="6">
        <v>5431</v>
      </c>
      <c r="B5452" s="1" t="str">
        <f>"2022-816"</f>
        <v>2022-816</v>
      </c>
      <c r="C5452" s="1" t="s">
        <v>3386</v>
      </c>
      <c r="D5452" s="1" t="s">
        <v>2716</v>
      </c>
      <c r="E5452" s="1" t="str">
        <f>""</f>
        <v/>
      </c>
      <c r="F5452" s="1" t="s">
        <v>1860</v>
      </c>
      <c r="G5452" s="1" t="str">
        <f>CONCATENATE("TERRATOM D.O.O.,"," KERESTINEC,"," MIHOLIĆI 11,"," 10431 SVETA NEDJELJA,"," OIB: 44009719915")</f>
        <v>TERRATOM D.O.O., KERESTINEC, MIHOLIĆI 11, 10431 SVETA NEDJELJA, OIB: 44009719915</v>
      </c>
      <c r="H5452" s="7"/>
      <c r="I5452" s="8" t="s">
        <v>406</v>
      </c>
      <c r="J5452" s="7"/>
      <c r="K5452" s="6" t="str">
        <f>"3.654,39"</f>
        <v>3.654,39</v>
      </c>
      <c r="L5452" s="6" t="str">
        <f>"0,00"</f>
        <v>0,00</v>
      </c>
      <c r="M5452" s="6" t="str">
        <f>"3.654,39"</f>
        <v>3.654,39</v>
      </c>
      <c r="N5452" s="8" t="s">
        <v>124</v>
      </c>
      <c r="O5452" s="7"/>
      <c r="P5452" s="2">
        <v>0</v>
      </c>
      <c r="Q5452" s="7"/>
      <c r="R5452" s="1"/>
      <c r="S5452" s="1" t="str">
        <f>"2022-4481"</f>
        <v>2022-4481</v>
      </c>
      <c r="T5452" s="1" t="s">
        <v>55</v>
      </c>
    </row>
    <row r="5453" spans="1:20" ht="51" x14ac:dyDescent="0.25">
      <c r="A5453" s="6">
        <v>5432</v>
      </c>
      <c r="B5453" s="1" t="str">
        <f>"2022-459"</f>
        <v>2022-459</v>
      </c>
      <c r="C5453" s="1" t="s">
        <v>2795</v>
      </c>
      <c r="D5453" s="1" t="s">
        <v>1621</v>
      </c>
      <c r="E5453" s="1" t="str">
        <f>""</f>
        <v/>
      </c>
      <c r="F5453" s="1" t="s">
        <v>1860</v>
      </c>
      <c r="G5453" s="1" t="str">
        <f>CONCATENATE("COMLAND D.O.O.,"," BREZOVIČKA CESTA 21,"," 10020 ZAGREB,"," OIB: 96293861644")</f>
        <v>COMLAND D.O.O., BREZOVIČKA CESTA 21, 10020 ZAGREB, OIB: 96293861644</v>
      </c>
      <c r="H5453" s="7"/>
      <c r="I5453" s="8" t="s">
        <v>406</v>
      </c>
      <c r="J5453" s="7"/>
      <c r="K5453" s="6" t="str">
        <f>"18.814,00"</f>
        <v>18.814,00</v>
      </c>
      <c r="L5453" s="6" t="str">
        <f>"4.703,50"</f>
        <v>4.703,50</v>
      </c>
      <c r="M5453" s="6" t="str">
        <f>"23.517,50"</f>
        <v>23.517,50</v>
      </c>
      <c r="N5453" s="8" t="s">
        <v>723</v>
      </c>
      <c r="O5453" s="7"/>
      <c r="P5453" s="2">
        <v>23517.5</v>
      </c>
      <c r="Q5453" s="7"/>
      <c r="R5453" s="1"/>
      <c r="S5453" s="1" t="str">
        <f>"2022-4492"</f>
        <v>2022-4492</v>
      </c>
      <c r="T5453" s="1" t="s">
        <v>55</v>
      </c>
    </row>
    <row r="5454" spans="1:20" ht="51" x14ac:dyDescent="0.25">
      <c r="A5454" s="6">
        <v>5433</v>
      </c>
      <c r="B5454" s="1" t="str">
        <f>"2022-715"</f>
        <v>2022-715</v>
      </c>
      <c r="C5454" s="1" t="s">
        <v>2733</v>
      </c>
      <c r="D5454" s="1" t="s">
        <v>815</v>
      </c>
      <c r="E5454" s="1" t="str">
        <f>""</f>
        <v/>
      </c>
      <c r="F5454" s="1" t="s">
        <v>1860</v>
      </c>
      <c r="G5454" s="1" t="str">
        <f>CONCATENATE("AUTOKUĆA-ŠTARKELJ D.O.O.,"," UKRAJINSKA 17,"," 10000 ZAGREB,"," OIB: 87340407905")</f>
        <v>AUTOKUĆA-ŠTARKELJ D.O.O., UKRAJINSKA 17, 10000 ZAGREB, OIB: 87340407905</v>
      </c>
      <c r="H5454" s="7"/>
      <c r="I5454" s="8" t="s">
        <v>406</v>
      </c>
      <c r="J5454" s="7"/>
      <c r="K5454" s="6" t="str">
        <f>"6.313,50"</f>
        <v>6.313,50</v>
      </c>
      <c r="L5454" s="6" t="str">
        <f>"1.578,38"</f>
        <v>1.578,38</v>
      </c>
      <c r="M5454" s="6" t="str">
        <f>"7.891,88"</f>
        <v>7.891,88</v>
      </c>
      <c r="N5454" s="8" t="s">
        <v>2084</v>
      </c>
      <c r="O5454" s="7"/>
      <c r="P5454" s="2">
        <v>7891.88</v>
      </c>
      <c r="Q5454" s="7"/>
      <c r="R5454" s="1"/>
      <c r="S5454" s="1" t="str">
        <f>"2022-4493"</f>
        <v>2022-4493</v>
      </c>
      <c r="T5454" s="1" t="s">
        <v>55</v>
      </c>
    </row>
    <row r="5455" spans="1:20" ht="63.75" x14ac:dyDescent="0.25">
      <c r="A5455" s="6">
        <v>5434</v>
      </c>
      <c r="B5455" s="1" t="str">
        <f>"2022-1723"</f>
        <v>2022-1723</v>
      </c>
      <c r="C5455" s="1" t="s">
        <v>3417</v>
      </c>
      <c r="D5455" s="1" t="s">
        <v>3418</v>
      </c>
      <c r="E5455" s="1" t="str">
        <f>""</f>
        <v/>
      </c>
      <c r="F5455" s="1" t="s">
        <v>1860</v>
      </c>
      <c r="G5455" s="1" t="str">
        <f>CONCATENATE("KUNA CORPORATION D.O.O.,"," DRAŠE 68,"," 49294 KRALJEVEC NA SUTLI,"," OIB: 54600743656")</f>
        <v>KUNA CORPORATION D.O.O., DRAŠE 68, 49294 KRALJEVEC NA SUTLI, OIB: 54600743656</v>
      </c>
      <c r="H5455" s="7"/>
      <c r="I5455" s="8" t="s">
        <v>895</v>
      </c>
      <c r="J5455" s="7"/>
      <c r="K5455" s="6" t="str">
        <f>"138.452,70"</f>
        <v>138.452,70</v>
      </c>
      <c r="L5455" s="6" t="str">
        <f>"33.883,74"</f>
        <v>33.883,74</v>
      </c>
      <c r="M5455" s="6" t="str">
        <f>"172.336,44"</f>
        <v>172.336,44</v>
      </c>
      <c r="N5455" s="8" t="s">
        <v>301</v>
      </c>
      <c r="O5455" s="7"/>
      <c r="P5455" s="2">
        <v>169418.64</v>
      </c>
      <c r="Q5455" s="7"/>
      <c r="R5455" s="1"/>
      <c r="S5455" s="1" t="str">
        <f>"2022-4502"</f>
        <v>2022-4502</v>
      </c>
      <c r="T5455" s="1" t="s">
        <v>55</v>
      </c>
    </row>
    <row r="5456" spans="1:20" ht="51" x14ac:dyDescent="0.25">
      <c r="A5456" s="6">
        <v>5435</v>
      </c>
      <c r="B5456" s="1" t="str">
        <f>"2022-979"</f>
        <v>2022-979</v>
      </c>
      <c r="C5456" s="1" t="s">
        <v>3419</v>
      </c>
      <c r="D5456" s="1" t="s">
        <v>1373</v>
      </c>
      <c r="E5456" s="1" t="str">
        <f>""</f>
        <v/>
      </c>
      <c r="F5456" s="1" t="s">
        <v>1860</v>
      </c>
      <c r="G5456" s="1" t="str">
        <f>CONCATENATE("APIS CENTAR D.O.O. K.D.,"," NOVAČKA CESTA 58,"," 10437 BESTOVJE,"," OIB: 72595415259")</f>
        <v>APIS CENTAR D.O.O. K.D., NOVAČKA CESTA 58, 10437 BESTOVJE, OIB: 72595415259</v>
      </c>
      <c r="H5456" s="7"/>
      <c r="I5456" s="8" t="s">
        <v>1433</v>
      </c>
      <c r="J5456" s="7"/>
      <c r="K5456" s="6" t="str">
        <f>"25.076,30"</f>
        <v>25.076,30</v>
      </c>
      <c r="L5456" s="6" t="str">
        <f>"6.269,08"</f>
        <v>6.269,08</v>
      </c>
      <c r="M5456" s="6" t="str">
        <f>"31.345,38"</f>
        <v>31.345,38</v>
      </c>
      <c r="N5456" s="8" t="s">
        <v>931</v>
      </c>
      <c r="O5456" s="7"/>
      <c r="P5456" s="2">
        <v>31345.38</v>
      </c>
      <c r="Q5456" s="7"/>
      <c r="R5456" s="1"/>
      <c r="S5456" s="1" t="str">
        <f>"2022-4569"</f>
        <v>2022-4569</v>
      </c>
      <c r="T5456" s="1" t="s">
        <v>55</v>
      </c>
    </row>
    <row r="5457" spans="1:20" ht="63.75" x14ac:dyDescent="0.25">
      <c r="A5457" s="6">
        <v>5436</v>
      </c>
      <c r="B5457" s="1" t="str">
        <f>"2022-258"</f>
        <v>2022-258</v>
      </c>
      <c r="C5457" s="1" t="s">
        <v>3420</v>
      </c>
      <c r="D5457" s="1" t="s">
        <v>1792</v>
      </c>
      <c r="E5457" s="1" t="str">
        <f>""</f>
        <v/>
      </c>
      <c r="F5457" s="1" t="s">
        <v>1860</v>
      </c>
      <c r="G5457" s="1" t="str">
        <f>CONCATENATE("AQUA INŽINJERING D.O.O,"," ZAGREBAČKA ULICA 15,"," 10360 SESVETE,"," OIB: 73980898845")</f>
        <v>AQUA INŽINJERING D.O.O, ZAGREBAČKA ULICA 15, 10360 SESVETE, OIB: 73980898845</v>
      </c>
      <c r="H5457" s="7"/>
      <c r="I5457" s="8" t="s">
        <v>1433</v>
      </c>
      <c r="J5457" s="7"/>
      <c r="K5457" s="6" t="str">
        <f>"27.375,00"</f>
        <v>27.375,00</v>
      </c>
      <c r="L5457" s="6" t="str">
        <f>"0,00"</f>
        <v>0,00</v>
      </c>
      <c r="M5457" s="6" t="str">
        <f>"27.375,00"</f>
        <v>27.375,00</v>
      </c>
      <c r="N5457" s="8" t="s">
        <v>124</v>
      </c>
      <c r="O5457" s="7"/>
      <c r="P5457" s="2">
        <v>0</v>
      </c>
      <c r="Q5457" s="7"/>
      <c r="R5457" s="1"/>
      <c r="S5457" s="1" t="str">
        <f>"2022-4580"</f>
        <v>2022-4580</v>
      </c>
      <c r="T5457" s="1" t="s">
        <v>55</v>
      </c>
    </row>
    <row r="5458" spans="1:20" ht="51" x14ac:dyDescent="0.25">
      <c r="A5458" s="6">
        <v>5437</v>
      </c>
      <c r="B5458" s="1" t="str">
        <f>"2022-232"</f>
        <v>2022-232</v>
      </c>
      <c r="C5458" s="1" t="s">
        <v>3333</v>
      </c>
      <c r="D5458" s="1" t="s">
        <v>3334</v>
      </c>
      <c r="E5458" s="1" t="str">
        <f>""</f>
        <v/>
      </c>
      <c r="F5458" s="1" t="s">
        <v>1860</v>
      </c>
      <c r="G5458" s="1" t="str">
        <f>CONCATENATE("IVERO D.O.O.,"," PLANINSKA 13,"," 10360 SESVETE,"," OIB: 8920645596")</f>
        <v>IVERO D.O.O., PLANINSKA 13, 10360 SESVETE, OIB: 8920645596</v>
      </c>
      <c r="H5458" s="7"/>
      <c r="I5458" s="8" t="s">
        <v>442</v>
      </c>
      <c r="J5458" s="7"/>
      <c r="K5458" s="6" t="str">
        <f>"11.930,00"</f>
        <v>11.930,00</v>
      </c>
      <c r="L5458" s="6" t="str">
        <f>"2.982,50"</f>
        <v>2.982,50</v>
      </c>
      <c r="M5458" s="6" t="str">
        <f>"14.912,50"</f>
        <v>14.912,50</v>
      </c>
      <c r="N5458" s="8" t="s">
        <v>427</v>
      </c>
      <c r="O5458" s="7"/>
      <c r="P5458" s="2">
        <v>14912.5</v>
      </c>
      <c r="Q5458" s="7"/>
      <c r="R5458" s="1"/>
      <c r="S5458" s="1" t="str">
        <f>"2022-4631"</f>
        <v>2022-4631</v>
      </c>
      <c r="T5458" s="1" t="s">
        <v>55</v>
      </c>
    </row>
    <row r="5459" spans="1:20" ht="51" x14ac:dyDescent="0.25">
      <c r="A5459" s="6">
        <v>5438</v>
      </c>
      <c r="B5459" s="1" t="str">
        <f>"2022-1720"</f>
        <v>2022-1720</v>
      </c>
      <c r="C5459" s="1" t="s">
        <v>3343</v>
      </c>
      <c r="D5459" s="1" t="s">
        <v>854</v>
      </c>
      <c r="E5459" s="1" t="str">
        <f>""</f>
        <v/>
      </c>
      <c r="F5459" s="1" t="s">
        <v>1860</v>
      </c>
      <c r="G5459" s="1" t="str">
        <f>CONCATENATE("KOPI-AS D.O.O.,"," CERNIČKA 4,"," 10000 ZAGREB,"," OIB: 96605206988")</f>
        <v>KOPI-AS D.O.O., CERNIČKA 4, 10000 ZAGREB, OIB: 96605206988</v>
      </c>
      <c r="H5459" s="7"/>
      <c r="I5459" s="8" t="s">
        <v>442</v>
      </c>
      <c r="J5459" s="7"/>
      <c r="K5459" s="6" t="str">
        <f>"25.868,60"</f>
        <v>25.868,60</v>
      </c>
      <c r="L5459" s="6" t="str">
        <f>"6.467,15"</f>
        <v>6.467,15</v>
      </c>
      <c r="M5459" s="6" t="str">
        <f>"32.335,75"</f>
        <v>32.335,75</v>
      </c>
      <c r="N5459" s="8" t="s">
        <v>192</v>
      </c>
      <c r="O5459" s="7"/>
      <c r="P5459" s="2">
        <v>32335.75</v>
      </c>
      <c r="Q5459" s="7"/>
      <c r="R5459" s="1"/>
      <c r="S5459" s="1" t="str">
        <f>"2022-4632"</f>
        <v>2022-4632</v>
      </c>
      <c r="T5459" s="1" t="s">
        <v>55</v>
      </c>
    </row>
    <row r="5460" spans="1:20" ht="51" x14ac:dyDescent="0.25">
      <c r="A5460" s="6">
        <v>5439</v>
      </c>
      <c r="B5460" s="1" t="str">
        <f>"2022-891"</f>
        <v>2022-891</v>
      </c>
      <c r="C5460" s="1" t="s">
        <v>3374</v>
      </c>
      <c r="D5460" s="1" t="s">
        <v>2903</v>
      </c>
      <c r="E5460" s="1" t="str">
        <f>""</f>
        <v/>
      </c>
      <c r="F5460" s="1" t="s">
        <v>1860</v>
      </c>
      <c r="G5460" s="1" t="str">
        <f>CONCATENATE("TEHNIČAR-SERVAG D.O.O.,"," CRNOJEZERKA 18,"," 10000 ZAGREB,"," OIB: 49911547627")</f>
        <v>TEHNIČAR-SERVAG D.O.O., CRNOJEZERKA 18, 10000 ZAGREB, OIB: 49911547627</v>
      </c>
      <c r="H5460" s="7"/>
      <c r="I5460" s="8" t="s">
        <v>442</v>
      </c>
      <c r="J5460" s="7"/>
      <c r="K5460" s="6" t="str">
        <f>"17.920,00"</f>
        <v>17.920,00</v>
      </c>
      <c r="L5460" s="6" t="str">
        <f>"4.480,00"</f>
        <v>4.480,00</v>
      </c>
      <c r="M5460" s="6" t="str">
        <f>"22.400,00"</f>
        <v>22.400,00</v>
      </c>
      <c r="N5460" s="8" t="s">
        <v>669</v>
      </c>
      <c r="O5460" s="7"/>
      <c r="P5460" s="2">
        <v>22400</v>
      </c>
      <c r="Q5460" s="7"/>
      <c r="R5460" s="1"/>
      <c r="S5460" s="1" t="str">
        <f>"2022-4633"</f>
        <v>2022-4633</v>
      </c>
      <c r="T5460" s="1" t="s">
        <v>55</v>
      </c>
    </row>
    <row r="5461" spans="1:20" ht="51" x14ac:dyDescent="0.25">
      <c r="A5461" s="6">
        <v>5440</v>
      </c>
      <c r="B5461" s="1" t="str">
        <f>"2022-285"</f>
        <v>2022-285</v>
      </c>
      <c r="C5461" s="1" t="s">
        <v>3421</v>
      </c>
      <c r="D5461" s="1" t="s">
        <v>3422</v>
      </c>
      <c r="E5461" s="1" t="str">
        <f>""</f>
        <v/>
      </c>
      <c r="F5461" s="1" t="s">
        <v>1860</v>
      </c>
      <c r="G5461" s="1" t="str">
        <f>CONCATENATE("RU - VE D.O.O.,"," PROSINAČKA 14,"," 10431 SVETA NEDELJA,"," OIB: 8847092984")</f>
        <v>RU - VE D.O.O., PROSINAČKA 14, 10431 SVETA NEDELJA, OIB: 8847092984</v>
      </c>
      <c r="H5461" s="7"/>
      <c r="I5461" s="8" t="s">
        <v>278</v>
      </c>
      <c r="J5461" s="7"/>
      <c r="K5461" s="6" t="str">
        <f>"2.797,50"</f>
        <v>2.797,50</v>
      </c>
      <c r="L5461" s="6" t="str">
        <f>"480,63"</f>
        <v>480,63</v>
      </c>
      <c r="M5461" s="6" t="str">
        <f>"3.278,13"</f>
        <v>3.278,13</v>
      </c>
      <c r="N5461" s="8" t="s">
        <v>414</v>
      </c>
      <c r="O5461" s="7"/>
      <c r="P5461" s="2">
        <v>2403.13</v>
      </c>
      <c r="Q5461" s="7"/>
      <c r="R5461" s="1"/>
      <c r="S5461" s="1" t="str">
        <f>"2022-4753"</f>
        <v>2022-4753</v>
      </c>
      <c r="T5461" s="1" t="s">
        <v>55</v>
      </c>
    </row>
    <row r="5462" spans="1:20" ht="63.75" x14ac:dyDescent="0.25">
      <c r="A5462" s="6">
        <v>5441</v>
      </c>
      <c r="B5462" s="1" t="str">
        <f>"2022-452"</f>
        <v>2022-452</v>
      </c>
      <c r="C5462" s="1" t="s">
        <v>2881</v>
      </c>
      <c r="D5462" s="1" t="s">
        <v>3370</v>
      </c>
      <c r="E5462" s="1" t="str">
        <f>""</f>
        <v/>
      </c>
      <c r="F5462" s="1" t="s">
        <v>1860</v>
      </c>
      <c r="G5462" s="1" t="str">
        <f>CONCATENATE("TOKIĆ D.O.O.,"," ULICA 144. BRIGADE HRVATSKE VOJSKE 1A,"," 10360 SESVETE,"," OIB: 7486748762")</f>
        <v>TOKIĆ D.O.O., ULICA 144. BRIGADE HRVATSKE VOJSKE 1A, 10360 SESVETE, OIB: 7486748762</v>
      </c>
      <c r="H5462" s="7"/>
      <c r="I5462" s="8" t="s">
        <v>278</v>
      </c>
      <c r="J5462" s="7"/>
      <c r="K5462" s="6" t="str">
        <f>"2.065,00"</f>
        <v>2.065,00</v>
      </c>
      <c r="L5462" s="6" t="str">
        <f>"516,25"</f>
        <v>516,25</v>
      </c>
      <c r="M5462" s="6" t="str">
        <f>"2.581,25"</f>
        <v>2.581,25</v>
      </c>
      <c r="N5462" s="8" t="s">
        <v>208</v>
      </c>
      <c r="O5462" s="7"/>
      <c r="P5462" s="2">
        <v>2581.25</v>
      </c>
      <c r="Q5462" s="7"/>
      <c r="R5462" s="1"/>
      <c r="S5462" s="1" t="str">
        <f>"2022-4757"</f>
        <v>2022-4757</v>
      </c>
      <c r="T5462" s="1" t="s">
        <v>55</v>
      </c>
    </row>
    <row r="5463" spans="1:20" ht="63.75" x14ac:dyDescent="0.25">
      <c r="A5463" s="6">
        <v>5442</v>
      </c>
      <c r="B5463" s="1" t="str">
        <f>"2022-894"</f>
        <v>2022-894</v>
      </c>
      <c r="C5463" s="1" t="s">
        <v>2863</v>
      </c>
      <c r="D5463" s="1" t="s">
        <v>1209</v>
      </c>
      <c r="E5463" s="1" t="str">
        <f>""</f>
        <v/>
      </c>
      <c r="F5463" s="1" t="s">
        <v>1860</v>
      </c>
      <c r="G5463" s="1" t="str">
        <f>CONCATENATE("DIV LABORATORIJ D.O.O.,"," DAVOR ZBILJSKOG 30,"," 10000 ZAGREB,"," OIB: 83157399243")</f>
        <v>DIV LABORATORIJ D.O.O., DAVOR ZBILJSKOG 30, 10000 ZAGREB, OIB: 83157399243</v>
      </c>
      <c r="H5463" s="7"/>
      <c r="I5463" s="8" t="s">
        <v>278</v>
      </c>
      <c r="J5463" s="7"/>
      <c r="K5463" s="6" t="str">
        <f>"6.600,00"</f>
        <v>6.600,00</v>
      </c>
      <c r="L5463" s="6" t="str">
        <f>"1.650,00"</f>
        <v>1.650,00</v>
      </c>
      <c r="M5463" s="6" t="str">
        <f>"8.250,00"</f>
        <v>8.250,00</v>
      </c>
      <c r="N5463" s="8" t="s">
        <v>931</v>
      </c>
      <c r="O5463" s="7"/>
      <c r="P5463" s="2">
        <v>8250</v>
      </c>
      <c r="Q5463" s="7"/>
      <c r="R5463" s="1"/>
      <c r="S5463" s="1" t="str">
        <f>"2022-4762"</f>
        <v>2022-4762</v>
      </c>
      <c r="T5463" s="1" t="s">
        <v>55</v>
      </c>
    </row>
    <row r="5464" spans="1:20" ht="89.25" x14ac:dyDescent="0.25">
      <c r="A5464" s="6">
        <v>5443</v>
      </c>
      <c r="B5464" s="1" t="str">
        <f>"2022-1325"</f>
        <v>2022-1325</v>
      </c>
      <c r="C5464" s="1" t="s">
        <v>3375</v>
      </c>
      <c r="D5464" s="1" t="s">
        <v>1438</v>
      </c>
      <c r="E5464" s="1" t="str">
        <f>""</f>
        <v/>
      </c>
      <c r="F5464" s="1" t="s">
        <v>1860</v>
      </c>
      <c r="G5464" s="1" t="str">
        <f>CONCATENATE("ZAGREBAČKI HOLDING D.O.O.,"," PODRUŽNICA ZRINJEVAC,"," ULICA GRADA VUKOVARA 41,"," REMETINEČKA CESTA 15,"," 10000 ZAGREB,"," OIB: 85584865987")</f>
        <v>ZAGREBAČKI HOLDING D.O.O., PODRUŽNICA ZRINJEVAC, ULICA GRADA VUKOVARA 41, REMETINEČKA CESTA 15, 10000 ZAGREB, OIB: 85584865987</v>
      </c>
      <c r="H5464" s="7"/>
      <c r="I5464" s="8" t="s">
        <v>1399</v>
      </c>
      <c r="J5464" s="7"/>
      <c r="K5464" s="6" t="str">
        <f>"7.920,00"</f>
        <v>7.920,00</v>
      </c>
      <c r="L5464" s="6" t="str">
        <f>"0,00"</f>
        <v>0,00</v>
      </c>
      <c r="M5464" s="6" t="str">
        <f>"7.920,00"</f>
        <v>7.920,00</v>
      </c>
      <c r="N5464" s="8" t="s">
        <v>124</v>
      </c>
      <c r="O5464" s="7"/>
      <c r="P5464" s="2">
        <v>0</v>
      </c>
      <c r="Q5464" s="7"/>
      <c r="R5464" s="1"/>
      <c r="S5464" s="1" t="str">
        <f>"2022-4770"</f>
        <v>2022-4770</v>
      </c>
      <c r="T5464" s="1" t="s">
        <v>55</v>
      </c>
    </row>
    <row r="5465" spans="1:20" ht="51" x14ac:dyDescent="0.25">
      <c r="A5465" s="6">
        <v>5444</v>
      </c>
      <c r="B5465" s="1" t="str">
        <f>"2022-241"</f>
        <v>2022-241</v>
      </c>
      <c r="C5465" s="1" t="s">
        <v>3423</v>
      </c>
      <c r="D5465" s="1" t="s">
        <v>3424</v>
      </c>
      <c r="E5465" s="1" t="str">
        <f>""</f>
        <v/>
      </c>
      <c r="F5465" s="1" t="s">
        <v>1860</v>
      </c>
      <c r="G5465" s="1" t="str">
        <f>CONCATENATE("PRESSO D.O.O.,"," NALJEŠKOVIĆEVA 17,"," 10000 ZAGREB,"," OIB: 09769341738")</f>
        <v>PRESSO D.O.O., NALJEŠKOVIĆEVA 17, 10000 ZAGREB, OIB: 09769341738</v>
      </c>
      <c r="H5465" s="7"/>
      <c r="I5465" s="8" t="s">
        <v>1399</v>
      </c>
      <c r="J5465" s="7"/>
      <c r="K5465" s="6" t="str">
        <f>"120.000,00"</f>
        <v>120.000,00</v>
      </c>
      <c r="L5465" s="6" t="str">
        <f>"6.000,00"</f>
        <v>6.000,00</v>
      </c>
      <c r="M5465" s="6" t="str">
        <f>"126.000,00"</f>
        <v>126.000,00</v>
      </c>
      <c r="N5465" s="8" t="s">
        <v>317</v>
      </c>
      <c r="O5465" s="7"/>
      <c r="P5465" s="2">
        <v>126000</v>
      </c>
      <c r="Q5465" s="7"/>
      <c r="R5465" s="1"/>
      <c r="S5465" s="1" t="str">
        <f>"2022-4807"</f>
        <v>2022-4807</v>
      </c>
      <c r="T5465" s="1" t="s">
        <v>55</v>
      </c>
    </row>
    <row r="5466" spans="1:20" ht="63.75" x14ac:dyDescent="0.25">
      <c r="A5466" s="6">
        <v>5445</v>
      </c>
      <c r="B5466" s="1" t="str">
        <f>"2022-977"</f>
        <v>2022-977</v>
      </c>
      <c r="C5466" s="1" t="s">
        <v>3310</v>
      </c>
      <c r="D5466" s="1" t="s">
        <v>1373</v>
      </c>
      <c r="E5466" s="1" t="str">
        <f>""</f>
        <v/>
      </c>
      <c r="F5466" s="1" t="s">
        <v>1860</v>
      </c>
      <c r="G5466" s="1" t="str">
        <f>CONCATENATE("FRANK SERVIS,"," OBRT ZA USLUGE,"," VL. ŽIVKO ROMAN,"," JABLANOVAC 27,"," 10000 ZAGREB,"," OIB: 59088996868")</f>
        <v>FRANK SERVIS, OBRT ZA USLUGE, VL. ŽIVKO ROMAN, JABLANOVAC 27, 10000 ZAGREB, OIB: 59088996868</v>
      </c>
      <c r="H5466" s="7"/>
      <c r="I5466" s="8" t="s">
        <v>852</v>
      </c>
      <c r="J5466" s="7"/>
      <c r="K5466" s="6" t="str">
        <f>"23.980,00"</f>
        <v>23.980,00</v>
      </c>
      <c r="L5466" s="6" t="str">
        <f>"5.995,00"</f>
        <v>5.995,00</v>
      </c>
      <c r="M5466" s="6" t="str">
        <f>"29.975,00"</f>
        <v>29.975,00</v>
      </c>
      <c r="N5466" s="8" t="s">
        <v>438</v>
      </c>
      <c r="O5466" s="7"/>
      <c r="P5466" s="2">
        <v>29975</v>
      </c>
      <c r="Q5466" s="7"/>
      <c r="R5466" s="1"/>
      <c r="S5466" s="1" t="str">
        <f>"2022-4815"</f>
        <v>2022-4815</v>
      </c>
      <c r="T5466" s="1" t="s">
        <v>55</v>
      </c>
    </row>
    <row r="5467" spans="1:20" ht="63.75" x14ac:dyDescent="0.25">
      <c r="A5467" s="6">
        <v>5446</v>
      </c>
      <c r="B5467" s="1" t="str">
        <f>"2022-309"</f>
        <v>2022-309</v>
      </c>
      <c r="C5467" s="1" t="s">
        <v>3425</v>
      </c>
      <c r="D5467" s="1" t="s">
        <v>1783</v>
      </c>
      <c r="E5467" s="1" t="str">
        <f>""</f>
        <v/>
      </c>
      <c r="F5467" s="1" t="s">
        <v>1860</v>
      </c>
      <c r="G5467" s="1" t="str">
        <f>CONCATENATE("P T M G D.O.O.,"," GORNJOSTUPNIČKA 18,"," 10255 GORNJI STUPNIK,"," OIB: 5061792625")</f>
        <v>P T M G D.O.O., GORNJOSTUPNIČKA 18, 10255 GORNJI STUPNIK, OIB: 5061792625</v>
      </c>
      <c r="H5467" s="7"/>
      <c r="I5467" s="8" t="s">
        <v>852</v>
      </c>
      <c r="J5467" s="7"/>
      <c r="K5467" s="6" t="str">
        <f>"185.146,16"</f>
        <v>185.146,16</v>
      </c>
      <c r="L5467" s="6" t="str">
        <f>"45.304,20"</f>
        <v>45.304,20</v>
      </c>
      <c r="M5467" s="6" t="str">
        <f>"230.450,36"</f>
        <v>230.450,36</v>
      </c>
      <c r="N5467" s="8" t="s">
        <v>955</v>
      </c>
      <c r="O5467" s="7"/>
      <c r="P5467" s="2">
        <v>226521</v>
      </c>
      <c r="Q5467" s="7"/>
      <c r="R5467" s="1"/>
      <c r="S5467" s="1" t="str">
        <f>"2022-4819"</f>
        <v>2022-4819</v>
      </c>
      <c r="T5467" s="1" t="s">
        <v>55</v>
      </c>
    </row>
    <row r="5468" spans="1:20" ht="51" x14ac:dyDescent="0.25">
      <c r="A5468" s="6">
        <v>5447</v>
      </c>
      <c r="B5468" s="1" t="str">
        <f>"2022-592"</f>
        <v>2022-592</v>
      </c>
      <c r="C5468" s="1" t="s">
        <v>2683</v>
      </c>
      <c r="D5468" s="1" t="s">
        <v>2684</v>
      </c>
      <c r="E5468" s="1" t="str">
        <f>""</f>
        <v/>
      </c>
      <c r="F5468" s="1" t="s">
        <v>1860</v>
      </c>
      <c r="G5468" s="1" t="str">
        <f>CONCATENATE("ENDRESS + HAUSER D.O.O.,"," JARUŠČICA 23,"," 10000 ZAGREB,"," OIB: 7265450036")</f>
        <v>ENDRESS + HAUSER D.O.O., JARUŠČICA 23, 10000 ZAGREB, OIB: 7265450036</v>
      </c>
      <c r="H5468" s="7"/>
      <c r="I5468" s="8" t="s">
        <v>1155</v>
      </c>
      <c r="J5468" s="7"/>
      <c r="K5468" s="6" t="str">
        <f>"3.597,11"</f>
        <v>3.597,11</v>
      </c>
      <c r="L5468" s="6" t="str">
        <f>"899,28"</f>
        <v>899,28</v>
      </c>
      <c r="M5468" s="6" t="str">
        <f>"4.496,39"</f>
        <v>4.496,39</v>
      </c>
      <c r="N5468" s="8" t="s">
        <v>81</v>
      </c>
      <c r="O5468" s="7"/>
      <c r="P5468" s="2">
        <v>4496.3900000000003</v>
      </c>
      <c r="Q5468" s="7"/>
      <c r="R5468" s="1"/>
      <c r="S5468" s="1" t="str">
        <f>"2022-5080"</f>
        <v>2022-5080</v>
      </c>
      <c r="T5468" s="1" t="s">
        <v>55</v>
      </c>
    </row>
    <row r="5469" spans="1:20" ht="89.25" x14ac:dyDescent="0.25">
      <c r="A5469" s="6">
        <v>5448</v>
      </c>
      <c r="B5469" s="1" t="str">
        <f>"2022-1325"</f>
        <v>2022-1325</v>
      </c>
      <c r="C5469" s="1" t="s">
        <v>3375</v>
      </c>
      <c r="D5469" s="1" t="s">
        <v>1438</v>
      </c>
      <c r="E5469" s="1" t="str">
        <f>""</f>
        <v/>
      </c>
      <c r="F5469" s="1" t="s">
        <v>1860</v>
      </c>
      <c r="G5469" s="1" t="str">
        <f>CONCATENATE("ZAGREBAČKI HOLDING D.O.O.,"," PODRUŽNICA ZRINJEVAC,"," ULICA GRADA VUKOVARA 41,"," REMETINEČKA CESTA 15,"," 10000 ZAGREB,"," OIB: 85584865987")</f>
        <v>ZAGREBAČKI HOLDING D.O.O., PODRUŽNICA ZRINJEVAC, ULICA GRADA VUKOVARA 41, REMETINEČKA CESTA 15, 10000 ZAGREB, OIB: 85584865987</v>
      </c>
      <c r="H5469" s="7"/>
      <c r="I5469" s="8" t="s">
        <v>1155</v>
      </c>
      <c r="J5469" s="7"/>
      <c r="K5469" s="6" t="str">
        <f>"6.350,00"</f>
        <v>6.350,00</v>
      </c>
      <c r="L5469" s="6" t="str">
        <f>"0,00"</f>
        <v>0,00</v>
      </c>
      <c r="M5469" s="6" t="str">
        <f>"6.350,00"</f>
        <v>6.350,00</v>
      </c>
      <c r="N5469" s="8" t="s">
        <v>124</v>
      </c>
      <c r="O5469" s="7"/>
      <c r="P5469" s="2">
        <v>0</v>
      </c>
      <c r="Q5469" s="7"/>
      <c r="R5469" s="1"/>
      <c r="S5469" s="1" t="str">
        <f>"2022-5086"</f>
        <v>2022-5086</v>
      </c>
      <c r="T5469" s="1" t="s">
        <v>55</v>
      </c>
    </row>
    <row r="5470" spans="1:20" ht="51" x14ac:dyDescent="0.25">
      <c r="A5470" s="6">
        <v>5449</v>
      </c>
      <c r="B5470" s="1" t="str">
        <f>"2022-1762"</f>
        <v>2022-1762</v>
      </c>
      <c r="C5470" s="1" t="s">
        <v>3426</v>
      </c>
      <c r="D5470" s="1" t="s">
        <v>1373</v>
      </c>
      <c r="E5470" s="1" t="str">
        <f>""</f>
        <v/>
      </c>
      <c r="F5470" s="1" t="s">
        <v>1860</v>
      </c>
      <c r="G5470" s="1" t="str">
        <f>CONCATENATE("ELTRA MG D.O.O.,"," PRIGORNICA 2,"," 10000 ZAGREB,"," OIB: 862523497")</f>
        <v>ELTRA MG D.O.O., PRIGORNICA 2, 10000 ZAGREB, OIB: 862523497</v>
      </c>
      <c r="H5470" s="7"/>
      <c r="I5470" s="8" t="s">
        <v>1155</v>
      </c>
      <c r="J5470" s="7"/>
      <c r="K5470" s="6" t="str">
        <f>"12.800,00"</f>
        <v>12.800,00</v>
      </c>
      <c r="L5470" s="6" t="str">
        <f>"3.200,00"</f>
        <v>3.200,00</v>
      </c>
      <c r="M5470" s="6" t="str">
        <f>"16.000,00"</f>
        <v>16.000,00</v>
      </c>
      <c r="N5470" s="8" t="s">
        <v>565</v>
      </c>
      <c r="O5470" s="7"/>
      <c r="P5470" s="2">
        <v>16000</v>
      </c>
      <c r="Q5470" s="7"/>
      <c r="R5470" s="1"/>
      <c r="S5470" s="1" t="str">
        <f>"2022-5087"</f>
        <v>2022-5087</v>
      </c>
      <c r="T5470" s="1" t="s">
        <v>55</v>
      </c>
    </row>
    <row r="5471" spans="1:20" ht="63.75" x14ac:dyDescent="0.25">
      <c r="A5471" s="6">
        <v>5450</v>
      </c>
      <c r="B5471" s="1" t="str">
        <f>"2022-716"</f>
        <v>2022-716</v>
      </c>
      <c r="C5471" s="1" t="s">
        <v>2563</v>
      </c>
      <c r="D5471" s="1" t="s">
        <v>815</v>
      </c>
      <c r="E5471" s="1" t="str">
        <f>""</f>
        <v/>
      </c>
      <c r="F5471" s="1" t="s">
        <v>1860</v>
      </c>
      <c r="G5471" s="1" t="str">
        <f>CONCATENATE("MB AUTO PRODAJNO SERVISNI CENTAR D.O.O.,"," KOLEDOVČINA 8,"," 10000 ZAGREB,"," OIB: 68993879966")</f>
        <v>MB AUTO PRODAJNO SERVISNI CENTAR D.O.O., KOLEDOVČINA 8, 10000 ZAGREB, OIB: 68993879966</v>
      </c>
      <c r="H5471" s="7"/>
      <c r="I5471" s="8" t="s">
        <v>203</v>
      </c>
      <c r="J5471" s="7"/>
      <c r="K5471" s="6" t="str">
        <f>"6.419,00"</f>
        <v>6.419,00</v>
      </c>
      <c r="L5471" s="6" t="str">
        <f>"0,00"</f>
        <v>0,00</v>
      </c>
      <c r="M5471" s="6" t="str">
        <f>"6.419,00"</f>
        <v>6.419,00</v>
      </c>
      <c r="N5471" s="8" t="s">
        <v>124</v>
      </c>
      <c r="O5471" s="7"/>
      <c r="P5471" s="2">
        <v>0</v>
      </c>
      <c r="Q5471" s="7"/>
      <c r="R5471" s="1"/>
      <c r="S5471" s="1" t="str">
        <f>"2022-5116"</f>
        <v>2022-5116</v>
      </c>
      <c r="T5471" s="1" t="s">
        <v>55</v>
      </c>
    </row>
    <row r="5472" spans="1:20" ht="51" x14ac:dyDescent="0.25">
      <c r="A5472" s="6">
        <v>5451</v>
      </c>
      <c r="B5472" s="1" t="str">
        <f>"2022-813"</f>
        <v>2022-813</v>
      </c>
      <c r="C5472" s="1" t="s">
        <v>2844</v>
      </c>
      <c r="D5472" s="1" t="s">
        <v>2716</v>
      </c>
      <c r="E5472" s="1" t="str">
        <f>""</f>
        <v/>
      </c>
      <c r="F5472" s="1" t="s">
        <v>1860</v>
      </c>
      <c r="G5472" s="1" t="str">
        <f>CONCATENATE("LAGER BAŠIĆ D.O.O.,"," TRGOVAČKA 3,"," 10255 DONJI STUPNIK,"," OIB: 49617677906")</f>
        <v>LAGER BAŠIĆ D.O.O., TRGOVAČKA 3, 10255 DONJI STUPNIK, OIB: 49617677906</v>
      </c>
      <c r="H5472" s="7"/>
      <c r="I5472" s="8" t="s">
        <v>203</v>
      </c>
      <c r="J5472" s="7"/>
      <c r="K5472" s="6" t="str">
        <f>"8.586,00"</f>
        <v>8.586,00</v>
      </c>
      <c r="L5472" s="6" t="str">
        <f>"1.522,63"</f>
        <v>1.522,63</v>
      </c>
      <c r="M5472" s="6" t="str">
        <f>"10.108,63"</f>
        <v>10.108,63</v>
      </c>
      <c r="N5472" s="8" t="s">
        <v>931</v>
      </c>
      <c r="O5472" s="7"/>
      <c r="P5472" s="2">
        <v>7613.13</v>
      </c>
      <c r="Q5472" s="7"/>
      <c r="R5472" s="1"/>
      <c r="S5472" s="1" t="str">
        <f>"2022-5136"</f>
        <v>2022-5136</v>
      </c>
      <c r="T5472" s="1" t="s">
        <v>55</v>
      </c>
    </row>
    <row r="5473" spans="1:20" ht="63.75" x14ac:dyDescent="0.25">
      <c r="A5473" s="6">
        <v>5452</v>
      </c>
      <c r="B5473" s="1" t="str">
        <f>"2022-1931"</f>
        <v>2022-1931</v>
      </c>
      <c r="C5473" s="1" t="s">
        <v>3427</v>
      </c>
      <c r="D5473" s="1" t="s">
        <v>659</v>
      </c>
      <c r="E5473" s="1" t="str">
        <f>""</f>
        <v/>
      </c>
      <c r="F5473" s="1" t="s">
        <v>1860</v>
      </c>
      <c r="G5473" s="1" t="str">
        <f>CONCATENATE("ELEKTRO-KOMUNIKACIJE D.O.O.,"," 14. PODBREŽJE 4,"," 10000 ZAGREB,"," OIB: 76412373309")</f>
        <v>ELEKTRO-KOMUNIKACIJE D.O.O., 14. PODBREŽJE 4, 10000 ZAGREB, OIB: 76412373309</v>
      </c>
      <c r="H5473" s="7"/>
      <c r="I5473" s="8" t="s">
        <v>203</v>
      </c>
      <c r="J5473" s="7"/>
      <c r="K5473" s="6" t="str">
        <f>"19.956,00"</f>
        <v>19.956,00</v>
      </c>
      <c r="L5473" s="6" t="str">
        <f>"4.896,50"</f>
        <v>4.896,50</v>
      </c>
      <c r="M5473" s="6" t="str">
        <f>"24.852,50"</f>
        <v>24.852,50</v>
      </c>
      <c r="N5473" s="8" t="s">
        <v>365</v>
      </c>
      <c r="O5473" s="7"/>
      <c r="P5473" s="2">
        <v>24482.5</v>
      </c>
      <c r="Q5473" s="7"/>
      <c r="R5473" s="1"/>
      <c r="S5473" s="1" t="str">
        <f>"2022-5140"</f>
        <v>2022-5140</v>
      </c>
      <c r="T5473" s="1" t="s">
        <v>55</v>
      </c>
    </row>
    <row r="5474" spans="1:20" ht="51" x14ac:dyDescent="0.25">
      <c r="A5474" s="6">
        <v>5453</v>
      </c>
      <c r="B5474" s="1" t="str">
        <f>"2022-262"</f>
        <v>2022-262</v>
      </c>
      <c r="C5474" s="1" t="s">
        <v>2620</v>
      </c>
      <c r="D5474" s="1" t="s">
        <v>668</v>
      </c>
      <c r="E5474" s="1" t="str">
        <f>""</f>
        <v/>
      </c>
      <c r="F5474" s="1" t="s">
        <v>1860</v>
      </c>
      <c r="G5474" s="1" t="str">
        <f>CONCATENATE("VODOSKOK D.D.,"," ČULINEČKA CESTA 221/C,"," 10040 ZAGREB,"," OIB: 34134218058")</f>
        <v>VODOSKOK D.D., ČULINEČKA CESTA 221/C, 10040 ZAGREB, OIB: 34134218058</v>
      </c>
      <c r="H5474" s="7"/>
      <c r="I5474" s="8" t="s">
        <v>507</v>
      </c>
      <c r="J5474" s="7"/>
      <c r="K5474" s="6" t="str">
        <f>"19.310,00"</f>
        <v>19.310,00</v>
      </c>
      <c r="L5474" s="6" t="str">
        <f>"4.652,50"</f>
        <v>4.652,50</v>
      </c>
      <c r="M5474" s="6" t="str">
        <f>"23.962,50"</f>
        <v>23.962,50</v>
      </c>
      <c r="N5474" s="8" t="s">
        <v>535</v>
      </c>
      <c r="O5474" s="7"/>
      <c r="P5474" s="2">
        <v>23262.5</v>
      </c>
      <c r="Q5474" s="7"/>
      <c r="R5474" s="1"/>
      <c r="S5474" s="1" t="str">
        <f>"2022-5144"</f>
        <v>2022-5144</v>
      </c>
      <c r="T5474" s="1" t="s">
        <v>55</v>
      </c>
    </row>
    <row r="5475" spans="1:20" ht="51" x14ac:dyDescent="0.25">
      <c r="A5475" s="6">
        <v>5454</v>
      </c>
      <c r="B5475" s="1" t="str">
        <f>"2022-459"</f>
        <v>2022-459</v>
      </c>
      <c r="C5475" s="1" t="s">
        <v>2795</v>
      </c>
      <c r="D5475" s="1" t="s">
        <v>1621</v>
      </c>
      <c r="E5475" s="1" t="str">
        <f>""</f>
        <v/>
      </c>
      <c r="F5475" s="1" t="s">
        <v>1860</v>
      </c>
      <c r="G5475" s="1" t="str">
        <f>CONCATENATE("COMLAND D.O.O.,"," BREZOVIČKA CESTA 21,"," 10020 ZAGREB,"," OIB: 96293861644")</f>
        <v>COMLAND D.O.O., BREZOVIČKA CESTA 21, 10020 ZAGREB, OIB: 96293861644</v>
      </c>
      <c r="H5475" s="7"/>
      <c r="I5475" s="8" t="s">
        <v>507</v>
      </c>
      <c r="J5475" s="7"/>
      <c r="K5475" s="6" t="str">
        <f>"14.125,00"</f>
        <v>14.125,00</v>
      </c>
      <c r="L5475" s="6" t="str">
        <f>"3.531,25"</f>
        <v>3.531,25</v>
      </c>
      <c r="M5475" s="6" t="str">
        <f>"17.656,25"</f>
        <v>17.656,25</v>
      </c>
      <c r="N5475" s="8" t="s">
        <v>931</v>
      </c>
      <c r="O5475" s="7"/>
      <c r="P5475" s="2">
        <v>17656.25</v>
      </c>
      <c r="Q5475" s="7"/>
      <c r="R5475" s="1"/>
      <c r="S5475" s="1" t="str">
        <f>"2022-5145"</f>
        <v>2022-5145</v>
      </c>
      <c r="T5475" s="1" t="s">
        <v>55</v>
      </c>
    </row>
    <row r="5476" spans="1:20" ht="51" x14ac:dyDescent="0.25">
      <c r="A5476" s="6">
        <v>5455</v>
      </c>
      <c r="B5476" s="1" t="str">
        <f>"2022-962"</f>
        <v>2022-962</v>
      </c>
      <c r="C5476" s="1" t="s">
        <v>3428</v>
      </c>
      <c r="D5476" s="1" t="s">
        <v>1373</v>
      </c>
      <c r="E5476" s="1" t="str">
        <f>""</f>
        <v/>
      </c>
      <c r="F5476" s="1" t="s">
        <v>1860</v>
      </c>
      <c r="G5476" s="1" t="str">
        <f>CONCATENATE("PELMEN D.O.O.,"," GARIĆGRADSKA 14,"," 10000 ZAGREB,"," OIB: 29980501016")</f>
        <v>PELMEN D.O.O., GARIĆGRADSKA 14, 10000 ZAGREB, OIB: 29980501016</v>
      </c>
      <c r="H5476" s="7"/>
      <c r="I5476" s="8" t="s">
        <v>524</v>
      </c>
      <c r="J5476" s="7"/>
      <c r="K5476" s="6" t="str">
        <f>"71.000,00"</f>
        <v>71.000,00</v>
      </c>
      <c r="L5476" s="6" t="str">
        <f>"0,00"</f>
        <v>0,00</v>
      </c>
      <c r="M5476" s="6" t="str">
        <f>"71.000,00"</f>
        <v>71.000,00</v>
      </c>
      <c r="N5476" s="8" t="s">
        <v>124</v>
      </c>
      <c r="O5476" s="7"/>
      <c r="P5476" s="2">
        <v>0</v>
      </c>
      <c r="Q5476" s="7"/>
      <c r="R5476" s="1"/>
      <c r="S5476" s="1" t="str">
        <f>"2022-5351"</f>
        <v>2022-5351</v>
      </c>
      <c r="T5476" s="1" t="s">
        <v>55</v>
      </c>
    </row>
    <row r="5477" spans="1:20" ht="76.5" x14ac:dyDescent="0.25">
      <c r="A5477" s="6">
        <v>5456</v>
      </c>
      <c r="B5477" s="1" t="str">
        <f>"2022-767"</f>
        <v>2022-767</v>
      </c>
      <c r="C5477" s="1" t="s">
        <v>3057</v>
      </c>
      <c r="D5477" s="1" t="s">
        <v>1111</v>
      </c>
      <c r="E5477" s="1" t="str">
        <f>""</f>
        <v/>
      </c>
      <c r="F5477" s="1" t="s">
        <v>1860</v>
      </c>
      <c r="G5477" s="1" t="str">
        <f>CONCATENATE("HEP-Operator distribucijskog sustava d.o.o.,"," ULICA GRADA VUKOVARA 37,"," 10000 ZAGREB,"," OIB: 4683060075")</f>
        <v>HEP-Operator distribucijskog sustava d.o.o., ULICA GRADA VUKOVARA 37, 10000 ZAGREB, OIB: 4683060075</v>
      </c>
      <c r="H5477" s="7"/>
      <c r="I5477" s="8" t="s">
        <v>524</v>
      </c>
      <c r="J5477" s="7"/>
      <c r="K5477" s="6" t="str">
        <f>"7.290,22"</f>
        <v>7.290,22</v>
      </c>
      <c r="L5477" s="6" t="str">
        <f>"0,00"</f>
        <v>0,00</v>
      </c>
      <c r="M5477" s="6" t="str">
        <f>"7.290,22"</f>
        <v>7.290,22</v>
      </c>
      <c r="N5477" s="8" t="s">
        <v>124</v>
      </c>
      <c r="O5477" s="7"/>
      <c r="P5477" s="2">
        <v>6705.97</v>
      </c>
      <c r="Q5477" s="7"/>
      <c r="R5477" s="1"/>
      <c r="S5477" s="1" t="str">
        <f>"2022-5364"</f>
        <v>2022-5364</v>
      </c>
      <c r="T5477" s="1" t="s">
        <v>55</v>
      </c>
    </row>
    <row r="5478" spans="1:20" ht="51" x14ac:dyDescent="0.25">
      <c r="A5478" s="6">
        <v>5457</v>
      </c>
      <c r="B5478" s="1" t="str">
        <f>"2022-711"</f>
        <v>2022-711</v>
      </c>
      <c r="C5478" s="1" t="s">
        <v>2956</v>
      </c>
      <c r="D5478" s="1" t="s">
        <v>815</v>
      </c>
      <c r="E5478" s="1" t="str">
        <f>""</f>
        <v/>
      </c>
      <c r="F5478" s="1" t="s">
        <v>1860</v>
      </c>
      <c r="G5478" s="1" t="str">
        <f>CONCATENATE("M.B. AUTO  d.o.o.,"," KOLEDOVČINA 8,"," 10000 ZAGREB,"," OIB: 8902734372")</f>
        <v>M.B. AUTO  d.o.o., KOLEDOVČINA 8, 10000 ZAGREB, OIB: 8902734372</v>
      </c>
      <c r="H5478" s="7"/>
      <c r="I5478" s="8" t="s">
        <v>524</v>
      </c>
      <c r="J5478" s="7"/>
      <c r="K5478" s="6" t="str">
        <f>"2.855,80"</f>
        <v>2.855,80</v>
      </c>
      <c r="L5478" s="6" t="str">
        <f>"713,95"</f>
        <v>713,95</v>
      </c>
      <c r="M5478" s="6" t="str">
        <f>"3.569,75"</f>
        <v>3.569,75</v>
      </c>
      <c r="N5478" s="8" t="s">
        <v>535</v>
      </c>
      <c r="O5478" s="7"/>
      <c r="P5478" s="2">
        <v>3569.75</v>
      </c>
      <c r="Q5478" s="7"/>
      <c r="R5478" s="1"/>
      <c r="S5478" s="1" t="str">
        <f>"2022-5365"</f>
        <v>2022-5365</v>
      </c>
      <c r="T5478" s="1" t="s">
        <v>55</v>
      </c>
    </row>
    <row r="5479" spans="1:20" ht="51" x14ac:dyDescent="0.25">
      <c r="A5479" s="6">
        <v>5458</v>
      </c>
      <c r="B5479" s="1" t="str">
        <f>"2022-894"</f>
        <v>2022-894</v>
      </c>
      <c r="C5479" s="1" t="s">
        <v>2863</v>
      </c>
      <c r="D5479" s="1" t="s">
        <v>1209</v>
      </c>
      <c r="E5479" s="1" t="str">
        <f>""</f>
        <v/>
      </c>
      <c r="F5479" s="1" t="s">
        <v>1860</v>
      </c>
      <c r="G5479" s="1" t="str">
        <f>CONCATENATE("LUMIO21 D.O.O.,"," GRADIŠKA ULICA 3,"," 10000 ZAGREB,"," OIB: 30568370357")</f>
        <v>LUMIO21 D.O.O., GRADIŠKA ULICA 3, 10000 ZAGREB, OIB: 30568370357</v>
      </c>
      <c r="H5479" s="7"/>
      <c r="I5479" s="8" t="s">
        <v>524</v>
      </c>
      <c r="J5479" s="7"/>
      <c r="K5479" s="6" t="str">
        <f>"460,00"</f>
        <v>460,00</v>
      </c>
      <c r="L5479" s="6" t="str">
        <f>"115,00"</f>
        <v>115,00</v>
      </c>
      <c r="M5479" s="6" t="str">
        <f>"575,00"</f>
        <v>575,00</v>
      </c>
      <c r="N5479" s="8" t="s">
        <v>931</v>
      </c>
      <c r="O5479" s="7"/>
      <c r="P5479" s="2">
        <v>575</v>
      </c>
      <c r="Q5479" s="7"/>
      <c r="R5479" s="1"/>
      <c r="S5479" s="1" t="str">
        <f>"2022-5368"</f>
        <v>2022-5368</v>
      </c>
      <c r="T5479" s="1" t="s">
        <v>55</v>
      </c>
    </row>
    <row r="5480" spans="1:20" ht="51" x14ac:dyDescent="0.25">
      <c r="A5480" s="6">
        <v>5459</v>
      </c>
      <c r="B5480" s="1" t="str">
        <f>"2022-1715"</f>
        <v>2022-1715</v>
      </c>
      <c r="C5480" s="1" t="s">
        <v>3407</v>
      </c>
      <c r="D5480" s="1" t="s">
        <v>770</v>
      </c>
      <c r="E5480" s="1" t="str">
        <f>""</f>
        <v/>
      </c>
      <c r="F5480" s="1" t="s">
        <v>1860</v>
      </c>
      <c r="G5480" s="1" t="str">
        <f>CONCATENATE("POLJOOPSKRBA-TEHNO D.D.,"," SAMOBORSKA 96,"," 10000 ZAGREB,"," OIB: 5372167324")</f>
        <v>POLJOOPSKRBA-TEHNO D.D., SAMOBORSKA 96, 10000 ZAGREB, OIB: 5372167324</v>
      </c>
      <c r="H5480" s="7"/>
      <c r="I5480" s="8" t="s">
        <v>524</v>
      </c>
      <c r="J5480" s="7"/>
      <c r="K5480" s="6" t="str">
        <f>"4.800,00"</f>
        <v>4.800,00</v>
      </c>
      <c r="L5480" s="6" t="str">
        <f>"1.200,00"</f>
        <v>1.200,00</v>
      </c>
      <c r="M5480" s="6" t="str">
        <f>"6.000,00"</f>
        <v>6.000,00</v>
      </c>
      <c r="N5480" s="8" t="s">
        <v>931</v>
      </c>
      <c r="O5480" s="7"/>
      <c r="P5480" s="2">
        <v>6000</v>
      </c>
      <c r="Q5480" s="7"/>
      <c r="R5480" s="1"/>
      <c r="S5480" s="1" t="str">
        <f>"2022-5378"</f>
        <v>2022-5378</v>
      </c>
      <c r="T5480" s="1" t="s">
        <v>55</v>
      </c>
    </row>
    <row r="5481" spans="1:20" ht="63.75" x14ac:dyDescent="0.25">
      <c r="A5481" s="6">
        <v>5460</v>
      </c>
      <c r="B5481" s="1" t="str">
        <f>"2022-939"</f>
        <v>2022-939</v>
      </c>
      <c r="C5481" s="1" t="s">
        <v>3331</v>
      </c>
      <c r="D5481" s="1" t="s">
        <v>1150</v>
      </c>
      <c r="E5481" s="1" t="str">
        <f>""</f>
        <v/>
      </c>
      <c r="F5481" s="1" t="s">
        <v>1860</v>
      </c>
      <c r="G5481" s="1" t="str">
        <f>CONCATENATE("HIDRO-METAL,"," VL. BISERKA BEJDIĆ,"," SLAVKA KOLARA 24,"," 47250 DUGA RESA,"," OIB: 2551798954")</f>
        <v>HIDRO-METAL, VL. BISERKA BEJDIĆ, SLAVKA KOLARA 24, 47250 DUGA RESA, OIB: 2551798954</v>
      </c>
      <c r="H5481" s="7"/>
      <c r="I5481" s="8" t="s">
        <v>524</v>
      </c>
      <c r="J5481" s="7"/>
      <c r="K5481" s="6" t="str">
        <f>"4.684,80"</f>
        <v>4.684,80</v>
      </c>
      <c r="L5481" s="6" t="str">
        <f>"1.171,20"</f>
        <v>1.171,20</v>
      </c>
      <c r="M5481" s="6" t="str">
        <f>"5.856,00"</f>
        <v>5.856,00</v>
      </c>
      <c r="N5481" s="8" t="s">
        <v>931</v>
      </c>
      <c r="O5481" s="7"/>
      <c r="P5481" s="2">
        <v>5856</v>
      </c>
      <c r="Q5481" s="7"/>
      <c r="R5481" s="1"/>
      <c r="S5481" s="1" t="str">
        <f>"2022-5380"</f>
        <v>2022-5380</v>
      </c>
      <c r="T5481" s="1" t="s">
        <v>55</v>
      </c>
    </row>
    <row r="5482" spans="1:20" ht="51" x14ac:dyDescent="0.25">
      <c r="A5482" s="6">
        <v>5461</v>
      </c>
      <c r="B5482" s="1" t="str">
        <f>"2022-31"</f>
        <v>2022-31</v>
      </c>
      <c r="C5482" s="1" t="s">
        <v>3383</v>
      </c>
      <c r="D5482" s="1" t="s">
        <v>541</v>
      </c>
      <c r="E5482" s="1" t="str">
        <f>""</f>
        <v/>
      </c>
      <c r="F5482" s="1" t="s">
        <v>1860</v>
      </c>
      <c r="G5482" s="1" t="str">
        <f>CONCATENATE("GIP PIONIR D.O.O.,"," ZAGREBAČKA 145B,"," 10000 ZAGREB,"," OIB: 38262788673")</f>
        <v>GIP PIONIR D.O.O., ZAGREBAČKA 145B, 10000 ZAGREB, OIB: 38262788673</v>
      </c>
      <c r="H5482" s="7"/>
      <c r="I5482" s="8" t="s">
        <v>524</v>
      </c>
      <c r="J5482" s="7"/>
      <c r="K5482" s="6" t="str">
        <f>"15.882,00"</f>
        <v>15.882,00</v>
      </c>
      <c r="L5482" s="6" t="str">
        <f>"0,00"</f>
        <v>0,00</v>
      </c>
      <c r="M5482" s="6" t="str">
        <f>"15.882,00"</f>
        <v>15.882,00</v>
      </c>
      <c r="N5482" s="8" t="s">
        <v>124</v>
      </c>
      <c r="O5482" s="7"/>
      <c r="P5482" s="2">
        <v>0</v>
      </c>
      <c r="Q5482" s="7"/>
      <c r="R5482" s="1"/>
      <c r="S5482" s="1" t="str">
        <f>"2022-5388"</f>
        <v>2022-5388</v>
      </c>
      <c r="T5482" s="1" t="s">
        <v>55</v>
      </c>
    </row>
    <row r="5483" spans="1:20" ht="89.25" x14ac:dyDescent="0.25">
      <c r="A5483" s="6">
        <v>5462</v>
      </c>
      <c r="B5483" s="1" t="str">
        <f>"2022-160"</f>
        <v>2022-160</v>
      </c>
      <c r="C5483" s="1" t="s">
        <v>3014</v>
      </c>
      <c r="D5483" s="1" t="s">
        <v>1492</v>
      </c>
      <c r="E5483" s="1" t="str">
        <f>""</f>
        <v/>
      </c>
      <c r="F5483" s="1" t="s">
        <v>1860</v>
      </c>
      <c r="G5483" s="1" t="str">
        <f>CONCATENATE("ZAGREBAČKI HOLDING D.O.O.,"," PODRUŽNICA ZRINJEVAC,"," ULICA GRADA VUKOVARA 41,"," REMETINEČKA CESTA 15,"," 10000 ZAGREB,"," OIB: 85584865987")</f>
        <v>ZAGREBAČKI HOLDING D.O.O., PODRUŽNICA ZRINJEVAC, ULICA GRADA VUKOVARA 41, REMETINEČKA CESTA 15, 10000 ZAGREB, OIB: 85584865987</v>
      </c>
      <c r="H5483" s="7"/>
      <c r="I5483" s="8" t="s">
        <v>524</v>
      </c>
      <c r="J5483" s="7"/>
      <c r="K5483" s="6" t="str">
        <f>"480,00"</f>
        <v>480,00</v>
      </c>
      <c r="L5483" s="6" t="str">
        <f>"120,00"</f>
        <v>120,00</v>
      </c>
      <c r="M5483" s="6" t="str">
        <f>"600,00"</f>
        <v>600,00</v>
      </c>
      <c r="N5483" s="8" t="s">
        <v>535</v>
      </c>
      <c r="O5483" s="7"/>
      <c r="P5483" s="2">
        <v>600</v>
      </c>
      <c r="Q5483" s="7"/>
      <c r="R5483" s="1"/>
      <c r="S5483" s="1" t="str">
        <f>"2022-5394"</f>
        <v>2022-5394</v>
      </c>
      <c r="T5483" s="1" t="s">
        <v>55</v>
      </c>
    </row>
    <row r="5484" spans="1:20" ht="76.5" x14ac:dyDescent="0.25">
      <c r="A5484" s="6">
        <v>5463</v>
      </c>
      <c r="B5484" s="1" t="str">
        <f>"2022-377"</f>
        <v>2022-377</v>
      </c>
      <c r="C5484" s="1" t="s">
        <v>2608</v>
      </c>
      <c r="D5484" s="1" t="s">
        <v>1206</v>
      </c>
      <c r="E5484" s="1" t="str">
        <f>""</f>
        <v/>
      </c>
      <c r="F5484" s="1" t="s">
        <v>1860</v>
      </c>
      <c r="G5484" s="1" t="str">
        <f>CONCATENATE("SMIT-COMMERCE D.O.O.,"," GORNJOSTUPNIČKA 9B,"," 10255 GORNJI STUPNIK,"," OIB: 9524348214")</f>
        <v>SMIT-COMMERCE D.O.O., GORNJOSTUPNIČKA 9B, 10255 GORNJI STUPNIK, OIB: 9524348214</v>
      </c>
      <c r="H5484" s="7"/>
      <c r="I5484" s="8" t="s">
        <v>524</v>
      </c>
      <c r="J5484" s="7"/>
      <c r="K5484" s="6" t="str">
        <f>"683,60"</f>
        <v>683,60</v>
      </c>
      <c r="L5484" s="6" t="str">
        <f>"170,90"</f>
        <v>170,90</v>
      </c>
      <c r="M5484" s="6" t="str">
        <f>"854,50"</f>
        <v>854,50</v>
      </c>
      <c r="N5484" s="8" t="s">
        <v>58</v>
      </c>
      <c r="O5484" s="7"/>
      <c r="P5484" s="2">
        <v>854.5</v>
      </c>
      <c r="Q5484" s="7"/>
      <c r="R5484" s="1"/>
      <c r="S5484" s="1" t="str">
        <f>"2022-5395"</f>
        <v>2022-5395</v>
      </c>
      <c r="T5484" s="1" t="s">
        <v>55</v>
      </c>
    </row>
    <row r="5485" spans="1:20" ht="51" x14ac:dyDescent="0.25">
      <c r="A5485" s="6">
        <v>5464</v>
      </c>
      <c r="B5485" s="1" t="str">
        <f>"2022-678"</f>
        <v>2022-678</v>
      </c>
      <c r="C5485" s="1" t="s">
        <v>3429</v>
      </c>
      <c r="D5485" s="1" t="s">
        <v>3430</v>
      </c>
      <c r="E5485" s="1" t="str">
        <f>""</f>
        <v/>
      </c>
      <c r="F5485" s="1" t="s">
        <v>1860</v>
      </c>
      <c r="G5485" s="1" t="str">
        <f>CONCATENATE("STIREL PROMET D.O.O.,"," VLADIMIRA VARIČAKA 3,"," 10020 ZAGREB,"," OIB: 26901839603")</f>
        <v>STIREL PROMET D.O.O., VLADIMIRA VARIČAKA 3, 10020 ZAGREB, OIB: 26901839603</v>
      </c>
      <c r="H5485" s="7"/>
      <c r="I5485" s="8" t="s">
        <v>263</v>
      </c>
      <c r="J5485" s="7"/>
      <c r="K5485" s="6" t="str">
        <f>"479,00"</f>
        <v>479,00</v>
      </c>
      <c r="L5485" s="6" t="str">
        <f>"0,00"</f>
        <v>0,00</v>
      </c>
      <c r="M5485" s="6" t="str">
        <f>"479,00"</f>
        <v>479,00</v>
      </c>
      <c r="N5485" s="8" t="s">
        <v>124</v>
      </c>
      <c r="O5485" s="7"/>
      <c r="P5485" s="2">
        <v>0</v>
      </c>
      <c r="Q5485" s="7"/>
      <c r="R5485" s="1"/>
      <c r="S5485" s="1" t="str">
        <f>"2022-5422"</f>
        <v>2022-5422</v>
      </c>
      <c r="T5485" s="1" t="s">
        <v>55</v>
      </c>
    </row>
    <row r="5486" spans="1:20" ht="51" x14ac:dyDescent="0.25">
      <c r="A5486" s="6">
        <v>5465</v>
      </c>
      <c r="B5486" s="1" t="str">
        <f>"2022-728"</f>
        <v>2022-728</v>
      </c>
      <c r="C5486" s="1" t="s">
        <v>3401</v>
      </c>
      <c r="D5486" s="1" t="s">
        <v>1116</v>
      </c>
      <c r="E5486" s="1" t="str">
        <f>""</f>
        <v/>
      </c>
      <c r="F5486" s="1" t="s">
        <v>1860</v>
      </c>
      <c r="G5486" s="1" t="str">
        <f>CONCATENATE("AGRA-TRGOVINA d.o.o.,"," KAČIĆEVA 6,"," 10000 ZAGREB,"," OIB: 9885929543")</f>
        <v>AGRA-TRGOVINA d.o.o., KAČIĆEVA 6, 10000 ZAGREB, OIB: 9885929543</v>
      </c>
      <c r="H5486" s="7"/>
      <c r="I5486" s="8" t="s">
        <v>263</v>
      </c>
      <c r="J5486" s="7"/>
      <c r="K5486" s="6" t="str">
        <f>"25.310,00"</f>
        <v>25.310,00</v>
      </c>
      <c r="L5486" s="6" t="str">
        <f>"6.327,50"</f>
        <v>6.327,50</v>
      </c>
      <c r="M5486" s="6" t="str">
        <f>"31.637,50"</f>
        <v>31.637,50</v>
      </c>
      <c r="N5486" s="8" t="s">
        <v>931</v>
      </c>
      <c r="O5486" s="7"/>
      <c r="P5486" s="2">
        <v>31637.5</v>
      </c>
      <c r="Q5486" s="7"/>
      <c r="R5486" s="1"/>
      <c r="S5486" s="1" t="str">
        <f>"2022-5434"</f>
        <v>2022-5434</v>
      </c>
      <c r="T5486" s="1" t="s">
        <v>55</v>
      </c>
    </row>
    <row r="5487" spans="1:20" ht="51" x14ac:dyDescent="0.25">
      <c r="A5487" s="6">
        <v>5466</v>
      </c>
      <c r="B5487" s="1" t="str">
        <f>"2022-232"</f>
        <v>2022-232</v>
      </c>
      <c r="C5487" s="1" t="s">
        <v>3333</v>
      </c>
      <c r="D5487" s="1" t="s">
        <v>3334</v>
      </c>
      <c r="E5487" s="1" t="str">
        <f>""</f>
        <v/>
      </c>
      <c r="F5487" s="1" t="s">
        <v>1860</v>
      </c>
      <c r="G5487" s="1" t="str">
        <f>CONCATENATE("IVERO D.O.O.,"," PLANINSKA 13,"," 10360 SESVETE,"," OIB: 8920645596")</f>
        <v>IVERO D.O.O., PLANINSKA 13, 10360 SESVETE, OIB: 8920645596</v>
      </c>
      <c r="H5487" s="7"/>
      <c r="I5487" s="8" t="s">
        <v>263</v>
      </c>
      <c r="J5487" s="7"/>
      <c r="K5487" s="6" t="str">
        <f>"1.050,00"</f>
        <v>1.050,00</v>
      </c>
      <c r="L5487" s="6" t="str">
        <f>"262,50"</f>
        <v>262,50</v>
      </c>
      <c r="M5487" s="6" t="str">
        <f>"1.312,50"</f>
        <v>1.312,50</v>
      </c>
      <c r="N5487" s="8" t="s">
        <v>431</v>
      </c>
      <c r="O5487" s="7"/>
      <c r="P5487" s="2">
        <v>1312.5</v>
      </c>
      <c r="Q5487" s="7"/>
      <c r="R5487" s="1"/>
      <c r="S5487" s="1" t="str">
        <f>"2022-5439"</f>
        <v>2022-5439</v>
      </c>
      <c r="T5487" s="1" t="s">
        <v>55</v>
      </c>
    </row>
    <row r="5488" spans="1:20" ht="51" x14ac:dyDescent="0.25">
      <c r="A5488" s="6">
        <v>5467</v>
      </c>
      <c r="B5488" s="1" t="str">
        <f>"2022-715"</f>
        <v>2022-715</v>
      </c>
      <c r="C5488" s="1" t="s">
        <v>2733</v>
      </c>
      <c r="D5488" s="1" t="s">
        <v>815</v>
      </c>
      <c r="E5488" s="1" t="str">
        <f>""</f>
        <v/>
      </c>
      <c r="F5488" s="1" t="s">
        <v>1860</v>
      </c>
      <c r="G5488" s="1" t="str">
        <f>CONCATENATE("AUTOKUĆA-ŠTARKELJ D.O.O.,"," UKRAJINSKA 17,"," 10000 ZAGREB,"," OIB: 87340407905")</f>
        <v>AUTOKUĆA-ŠTARKELJ D.O.O., UKRAJINSKA 17, 10000 ZAGREB, OIB: 87340407905</v>
      </c>
      <c r="H5488" s="7"/>
      <c r="I5488" s="8" t="s">
        <v>263</v>
      </c>
      <c r="J5488" s="7"/>
      <c r="K5488" s="6" t="str">
        <f>"8.109,73"</f>
        <v>8.109,73</v>
      </c>
      <c r="L5488" s="6" t="str">
        <f>"2.027,43"</f>
        <v>2.027,43</v>
      </c>
      <c r="M5488" s="6" t="str">
        <f>"10.137,16"</f>
        <v>10.137,16</v>
      </c>
      <c r="N5488" s="8" t="s">
        <v>535</v>
      </c>
      <c r="O5488" s="7"/>
      <c r="P5488" s="2">
        <v>10137.16</v>
      </c>
      <c r="Q5488" s="7"/>
      <c r="R5488" s="1"/>
      <c r="S5488" s="1" t="str">
        <f>"2022-5444"</f>
        <v>2022-5444</v>
      </c>
      <c r="T5488" s="1" t="s">
        <v>55</v>
      </c>
    </row>
    <row r="5489" spans="1:20" ht="51" x14ac:dyDescent="0.25">
      <c r="A5489" s="6">
        <v>5468</v>
      </c>
      <c r="B5489" s="1" t="str">
        <f>"2022-459"</f>
        <v>2022-459</v>
      </c>
      <c r="C5489" s="1" t="s">
        <v>2795</v>
      </c>
      <c r="D5489" s="1" t="s">
        <v>1621</v>
      </c>
      <c r="E5489" s="1" t="str">
        <f>""</f>
        <v/>
      </c>
      <c r="F5489" s="1" t="s">
        <v>1860</v>
      </c>
      <c r="G5489" s="1" t="str">
        <f>CONCATENATE("COMLAND D.O.O.,"," BREZOVIČKA CESTA 21,"," 10020 ZAGREB,"," OIB: 96293861644")</f>
        <v>COMLAND D.O.O., BREZOVIČKA CESTA 21, 10020 ZAGREB, OIB: 96293861644</v>
      </c>
      <c r="H5489" s="7"/>
      <c r="I5489" s="8" t="s">
        <v>263</v>
      </c>
      <c r="J5489" s="7"/>
      <c r="K5489" s="6" t="str">
        <f>"5.600,00"</f>
        <v>5.600,00</v>
      </c>
      <c r="L5489" s="6" t="str">
        <f>"1.400,00"</f>
        <v>1.400,00</v>
      </c>
      <c r="M5489" s="6" t="str">
        <f>"7.000,00"</f>
        <v>7.000,00</v>
      </c>
      <c r="N5489" s="8" t="s">
        <v>931</v>
      </c>
      <c r="O5489" s="7"/>
      <c r="P5489" s="2">
        <v>7000</v>
      </c>
      <c r="Q5489" s="7"/>
      <c r="R5489" s="1"/>
      <c r="S5489" s="1" t="str">
        <f>"2022-5445"</f>
        <v>2022-5445</v>
      </c>
      <c r="T5489" s="1" t="s">
        <v>55</v>
      </c>
    </row>
    <row r="5490" spans="1:20" ht="51" x14ac:dyDescent="0.25">
      <c r="A5490" s="6">
        <v>5469</v>
      </c>
      <c r="B5490" s="1" t="str">
        <f>"2022-894"</f>
        <v>2022-894</v>
      </c>
      <c r="C5490" s="1" t="s">
        <v>2863</v>
      </c>
      <c r="D5490" s="1" t="s">
        <v>1209</v>
      </c>
      <c r="E5490" s="1" t="str">
        <f>""</f>
        <v/>
      </c>
      <c r="F5490" s="1" t="s">
        <v>1860</v>
      </c>
      <c r="G5490" s="1" t="str">
        <f>CONCATENATE("LIBRA TEHNIČAR D.O.O.,"," II PRAĆANSKA 6/A,"," 10000 ZAGREB,"," OIB: 3457877234")</f>
        <v>LIBRA TEHNIČAR D.O.O., II PRAĆANSKA 6/A, 10000 ZAGREB, OIB: 3457877234</v>
      </c>
      <c r="H5490" s="7"/>
      <c r="I5490" s="8" t="s">
        <v>263</v>
      </c>
      <c r="J5490" s="7"/>
      <c r="K5490" s="6" t="str">
        <f>"650,00"</f>
        <v>650,00</v>
      </c>
      <c r="L5490" s="6" t="str">
        <f>"0,00"</f>
        <v>0,00</v>
      </c>
      <c r="M5490" s="6" t="str">
        <f>"650,00"</f>
        <v>650,00</v>
      </c>
      <c r="N5490" s="8" t="s">
        <v>124</v>
      </c>
      <c r="O5490" s="7"/>
      <c r="P5490" s="2">
        <v>0</v>
      </c>
      <c r="Q5490" s="7"/>
      <c r="R5490" s="1"/>
      <c r="S5490" s="1" t="str">
        <f>"2022-5448"</f>
        <v>2022-5448</v>
      </c>
      <c r="T5490" s="1" t="s">
        <v>55</v>
      </c>
    </row>
    <row r="5491" spans="1:20" ht="63.75" x14ac:dyDescent="0.25">
      <c r="A5491" s="6">
        <v>5470</v>
      </c>
      <c r="B5491" s="1" t="str">
        <f>"2022-1759"</f>
        <v>2022-1759</v>
      </c>
      <c r="C5491" s="1" t="s">
        <v>3398</v>
      </c>
      <c r="D5491" s="1" t="s">
        <v>21</v>
      </c>
      <c r="E5491" s="1" t="str">
        <f>""</f>
        <v/>
      </c>
      <c r="F5491" s="1" t="s">
        <v>1860</v>
      </c>
      <c r="G5491" s="1" t="str">
        <f>CONCATENATE("HIDRAULIKA KURELJA D.O.O.,"," MATENAČKA CESTA 41,"," 49290 DONJA STUBICA,"," OIB: 3092900595")</f>
        <v>HIDRAULIKA KURELJA D.O.O., MATENAČKA CESTA 41, 49290 DONJA STUBICA, OIB: 3092900595</v>
      </c>
      <c r="H5491" s="7"/>
      <c r="I5491" s="8" t="s">
        <v>902</v>
      </c>
      <c r="J5491" s="7"/>
      <c r="K5491" s="6" t="str">
        <f>"4.836,00"</f>
        <v>4.836,00</v>
      </c>
      <c r="L5491" s="6" t="str">
        <f>"1.209,00"</f>
        <v>1.209,00</v>
      </c>
      <c r="M5491" s="6" t="str">
        <f>"6.045,00"</f>
        <v>6.045,00</v>
      </c>
      <c r="N5491" s="8" t="s">
        <v>1157</v>
      </c>
      <c r="O5491" s="7"/>
      <c r="P5491" s="2">
        <v>6045</v>
      </c>
      <c r="Q5491" s="7"/>
      <c r="R5491" s="1"/>
      <c r="S5491" s="1" t="str">
        <f>"2022-5478"</f>
        <v>2022-5478</v>
      </c>
      <c r="T5491" s="1" t="s">
        <v>55</v>
      </c>
    </row>
    <row r="5492" spans="1:20" ht="51" x14ac:dyDescent="0.25">
      <c r="A5492" s="6">
        <v>5471</v>
      </c>
      <c r="B5492" s="1" t="str">
        <f>"2022-912"</f>
        <v>2022-912</v>
      </c>
      <c r="C5492" s="1" t="s">
        <v>2485</v>
      </c>
      <c r="D5492" s="1" t="s">
        <v>1007</v>
      </c>
      <c r="E5492" s="1" t="str">
        <f>""</f>
        <v/>
      </c>
      <c r="F5492" s="1" t="s">
        <v>1860</v>
      </c>
      <c r="G5492" s="1" t="str">
        <f>CONCATENATE("CIRRUS CENTAR D.O.O.,"," OIB: 47858195002")</f>
        <v>CIRRUS CENTAR D.O.O., OIB: 47858195002</v>
      </c>
      <c r="H5492" s="7"/>
      <c r="I5492" s="8" t="s">
        <v>893</v>
      </c>
      <c r="J5492" s="7"/>
      <c r="K5492" s="6" t="str">
        <f>"162.288,48"</f>
        <v>162.288,48</v>
      </c>
      <c r="L5492" s="6" t="str">
        <f>"0,00"</f>
        <v>0,00</v>
      </c>
      <c r="M5492" s="6" t="str">
        <f>"162.288,48"</f>
        <v>162.288,48</v>
      </c>
      <c r="N5492" s="8" t="s">
        <v>124</v>
      </c>
      <c r="O5492" s="7"/>
      <c r="P5492" s="2">
        <v>0</v>
      </c>
      <c r="Q5492" s="7"/>
      <c r="R5492" s="1"/>
      <c r="S5492" s="1" t="str">
        <f>"2022-5509"</f>
        <v>2022-5509</v>
      </c>
      <c r="T5492" s="1" t="s">
        <v>55</v>
      </c>
    </row>
    <row r="5493" spans="1:20" ht="63.75" x14ac:dyDescent="0.25">
      <c r="A5493" s="6">
        <v>5472</v>
      </c>
      <c r="B5493" s="1" t="str">
        <f>"2022-873"</f>
        <v>2022-873</v>
      </c>
      <c r="C5493" s="1" t="s">
        <v>2819</v>
      </c>
      <c r="D5493" s="1" t="s">
        <v>3341</v>
      </c>
      <c r="E5493" s="1" t="str">
        <f>""</f>
        <v/>
      </c>
      <c r="F5493" s="1" t="s">
        <v>1860</v>
      </c>
      <c r="G5493" s="1" t="str">
        <f>CONCATENATE("GUTEL,"," VL. DAMIR GUŽVINEC,"," ANTE TOPIĆ MIMARE 7,"," 10090 ZAGREB-SUSEDGRAD,"," OIB: 63743810909")</f>
        <v>GUTEL, VL. DAMIR GUŽVINEC, ANTE TOPIĆ MIMARE 7, 10090 ZAGREB-SUSEDGRAD, OIB: 63743810909</v>
      </c>
      <c r="H5493" s="7"/>
      <c r="I5493" s="8" t="s">
        <v>893</v>
      </c>
      <c r="J5493" s="7"/>
      <c r="K5493" s="6" t="str">
        <f>"200,00"</f>
        <v>200,00</v>
      </c>
      <c r="L5493" s="6" t="str">
        <f>"0,00"</f>
        <v>0,00</v>
      </c>
      <c r="M5493" s="6" t="str">
        <f>"200,00"</f>
        <v>200,00</v>
      </c>
      <c r="N5493" s="8" t="s">
        <v>124</v>
      </c>
      <c r="O5493" s="7"/>
      <c r="P5493" s="2">
        <v>0</v>
      </c>
      <c r="Q5493" s="7"/>
      <c r="R5493" s="1"/>
      <c r="S5493" s="1" t="str">
        <f>"2022-5519"</f>
        <v>2022-5519</v>
      </c>
      <c r="T5493" s="1" t="s">
        <v>86</v>
      </c>
    </row>
    <row r="5494" spans="1:20" ht="63.75" x14ac:dyDescent="0.25">
      <c r="A5494" s="6">
        <v>5473</v>
      </c>
      <c r="B5494" s="1" t="str">
        <f>"2022-873"</f>
        <v>2022-873</v>
      </c>
      <c r="C5494" s="1" t="s">
        <v>2819</v>
      </c>
      <c r="D5494" s="1" t="s">
        <v>3341</v>
      </c>
      <c r="E5494" s="1" t="str">
        <f>""</f>
        <v/>
      </c>
      <c r="F5494" s="1" t="s">
        <v>1860</v>
      </c>
      <c r="G5494" s="1" t="str">
        <f>CONCATENATE("GUTEL,"," VL. DAMIR GUŽVINEC,"," ANTE TOPIĆ MIMARE 7,"," 10090 ZAGREB-SUSEDGRAD,"," OIB: 63743810909")</f>
        <v>GUTEL, VL. DAMIR GUŽVINEC, ANTE TOPIĆ MIMARE 7, 10090 ZAGREB-SUSEDGRAD, OIB: 63743810909</v>
      </c>
      <c r="H5494" s="7"/>
      <c r="I5494" s="8" t="s">
        <v>402</v>
      </c>
      <c r="J5494" s="7"/>
      <c r="K5494" s="6" t="str">
        <f>"1.252,80"</f>
        <v>1.252,80</v>
      </c>
      <c r="L5494" s="6" t="str">
        <f>"0,00"</f>
        <v>0,00</v>
      </c>
      <c r="M5494" s="6" t="str">
        <f>"1.252,80"</f>
        <v>1.252,80</v>
      </c>
      <c r="N5494" s="8" t="s">
        <v>124</v>
      </c>
      <c r="O5494" s="7"/>
      <c r="P5494" s="2">
        <v>0</v>
      </c>
      <c r="Q5494" s="7"/>
      <c r="R5494" s="1"/>
      <c r="S5494" s="1" t="str">
        <f>"2022-5538"</f>
        <v>2022-5538</v>
      </c>
      <c r="T5494" s="1" t="s">
        <v>86</v>
      </c>
    </row>
    <row r="5495" spans="1:20" ht="63.75" x14ac:dyDescent="0.25">
      <c r="A5495" s="6">
        <v>5474</v>
      </c>
      <c r="B5495" s="1" t="str">
        <f>"2022-873"</f>
        <v>2022-873</v>
      </c>
      <c r="C5495" s="1" t="s">
        <v>2819</v>
      </c>
      <c r="D5495" s="1" t="s">
        <v>3341</v>
      </c>
      <c r="E5495" s="1" t="str">
        <f>""</f>
        <v/>
      </c>
      <c r="F5495" s="1" t="s">
        <v>1860</v>
      </c>
      <c r="G5495" s="1" t="str">
        <f>CONCATENATE("GUTEL,"," VL. DAMIR GUŽVINEC,"," ANTE TOPIĆ MIMARE 7,"," 10090 ZAGREB-SUSEDGRAD,"," OIB: 63743810909")</f>
        <v>GUTEL, VL. DAMIR GUŽVINEC, ANTE TOPIĆ MIMARE 7, 10090 ZAGREB-SUSEDGRAD, OIB: 63743810909</v>
      </c>
      <c r="H5495" s="7"/>
      <c r="I5495" s="8" t="s">
        <v>402</v>
      </c>
      <c r="J5495" s="7"/>
      <c r="K5495" s="6" t="str">
        <f>"1.750,80"</f>
        <v>1.750,80</v>
      </c>
      <c r="L5495" s="6" t="str">
        <f>"0,00"</f>
        <v>0,00</v>
      </c>
      <c r="M5495" s="6" t="str">
        <f>"1.750,80"</f>
        <v>1.750,80</v>
      </c>
      <c r="N5495" s="8" t="s">
        <v>124</v>
      </c>
      <c r="O5495" s="7"/>
      <c r="P5495" s="2">
        <v>0</v>
      </c>
      <c r="Q5495" s="7"/>
      <c r="R5495" s="1"/>
      <c r="S5495" s="1" t="str">
        <f>"2022-5539"</f>
        <v>2022-5539</v>
      </c>
      <c r="T5495" s="1" t="s">
        <v>86</v>
      </c>
    </row>
    <row r="5496" spans="1:20" ht="51" x14ac:dyDescent="0.25">
      <c r="A5496" s="6">
        <v>5475</v>
      </c>
      <c r="B5496" s="1" t="str">
        <f>"2022-592"</f>
        <v>2022-592</v>
      </c>
      <c r="C5496" s="1" t="s">
        <v>2683</v>
      </c>
      <c r="D5496" s="1" t="s">
        <v>2684</v>
      </c>
      <c r="E5496" s="1" t="str">
        <f>""</f>
        <v/>
      </c>
      <c r="F5496" s="1" t="s">
        <v>1860</v>
      </c>
      <c r="G5496" s="1" t="str">
        <f>CONCATENATE("STIREL PROMET D.O.O.,"," VLADIMIRA VARIČAKA 3,"," 10020 ZAGREB,"," OIB: 26901839603")</f>
        <v>STIREL PROMET D.O.O., VLADIMIRA VARIČAKA 3, 10020 ZAGREB, OIB: 26901839603</v>
      </c>
      <c r="H5496" s="7"/>
      <c r="I5496" s="8" t="s">
        <v>939</v>
      </c>
      <c r="J5496" s="7"/>
      <c r="K5496" s="6" t="str">
        <f>"1.971,44"</f>
        <v>1.971,44</v>
      </c>
      <c r="L5496" s="6" t="str">
        <f>"0,00"</f>
        <v>0,00</v>
      </c>
      <c r="M5496" s="6" t="str">
        <f>"1.971,44"</f>
        <v>1.971,44</v>
      </c>
      <c r="N5496" s="8" t="s">
        <v>124</v>
      </c>
      <c r="O5496" s="7"/>
      <c r="P5496" s="2">
        <v>0</v>
      </c>
      <c r="Q5496" s="7"/>
      <c r="R5496" s="1"/>
      <c r="S5496" s="1" t="str">
        <f>"2022-5711"</f>
        <v>2022-5711</v>
      </c>
      <c r="T5496" s="1" t="s">
        <v>55</v>
      </c>
    </row>
    <row r="5497" spans="1:20" ht="51" x14ac:dyDescent="0.25">
      <c r="A5497" s="6">
        <v>5476</v>
      </c>
      <c r="B5497" s="1" t="str">
        <f>"2022-535"</f>
        <v>2022-535</v>
      </c>
      <c r="C5497" s="1" t="s">
        <v>2561</v>
      </c>
      <c r="D5497" s="1" t="s">
        <v>2156</v>
      </c>
      <c r="E5497" s="1" t="str">
        <f>""</f>
        <v/>
      </c>
      <c r="F5497" s="1" t="s">
        <v>1860</v>
      </c>
      <c r="G5497" s="1" t="str">
        <f>CONCATENATE("ZINAM D.O.O.,"," IVANIĆGRADSKA 64,"," 10000 ZAGREB,"," OIB: 32559438722")</f>
        <v>ZINAM D.O.O., IVANIĆGRADSKA 64, 10000 ZAGREB, OIB: 32559438722</v>
      </c>
      <c r="H5497" s="7"/>
      <c r="I5497" s="8" t="s">
        <v>939</v>
      </c>
      <c r="J5497" s="7"/>
      <c r="K5497" s="6" t="str">
        <f>"4.680,00"</f>
        <v>4.680,00</v>
      </c>
      <c r="L5497" s="6" t="str">
        <f>"1.170,00"</f>
        <v>1.170,00</v>
      </c>
      <c r="M5497" s="6" t="str">
        <f>"5.850,00"</f>
        <v>5.850,00</v>
      </c>
      <c r="N5497" s="8" t="s">
        <v>384</v>
      </c>
      <c r="O5497" s="7"/>
      <c r="P5497" s="2">
        <v>5850</v>
      </c>
      <c r="Q5497" s="7"/>
      <c r="R5497" s="1"/>
      <c r="S5497" s="1" t="str">
        <f>"2022-5712"</f>
        <v>2022-5712</v>
      </c>
      <c r="T5497" s="1" t="s">
        <v>55</v>
      </c>
    </row>
    <row r="5498" spans="1:20" ht="51" x14ac:dyDescent="0.25">
      <c r="A5498" s="6">
        <v>5477</v>
      </c>
      <c r="B5498" s="1" t="str">
        <f>"2022-1754"</f>
        <v>2022-1754</v>
      </c>
      <c r="C5498" s="1" t="s">
        <v>1289</v>
      </c>
      <c r="D5498" s="1" t="s">
        <v>1290</v>
      </c>
      <c r="E5498" s="1" t="str">
        <f>""</f>
        <v/>
      </c>
      <c r="F5498" s="1" t="s">
        <v>1860</v>
      </c>
      <c r="G5498" s="1" t="str">
        <f>CONCATENATE("TORBARINA D.O.O.,"," NOVA CESTA 3,"," 10412 DONJA LOMNICA,"," OIB: 02603292627")</f>
        <v>TORBARINA D.O.O., NOVA CESTA 3, 10412 DONJA LOMNICA, OIB: 02603292627</v>
      </c>
      <c r="H5498" s="7"/>
      <c r="I5498" s="8" t="s">
        <v>1314</v>
      </c>
      <c r="J5498" s="7"/>
      <c r="K5498" s="6" t="str">
        <f>"19.767,00"</f>
        <v>19.767,00</v>
      </c>
      <c r="L5498" s="6" t="str">
        <f>"4.941,75"</f>
        <v>4.941,75</v>
      </c>
      <c r="M5498" s="6" t="str">
        <f>"24.708,75"</f>
        <v>24.708,75</v>
      </c>
      <c r="N5498" s="8" t="s">
        <v>365</v>
      </c>
      <c r="O5498" s="7"/>
      <c r="P5498" s="2">
        <v>24708.75</v>
      </c>
      <c r="Q5498" s="7"/>
      <c r="R5498" s="1"/>
      <c r="S5498" s="1" t="str">
        <f>"2022-6065"</f>
        <v>2022-6065</v>
      </c>
      <c r="T5498" s="1" t="s">
        <v>55</v>
      </c>
    </row>
    <row r="5499" spans="1:20" ht="51" x14ac:dyDescent="0.25">
      <c r="A5499" s="6">
        <v>5478</v>
      </c>
      <c r="B5499" s="1" t="str">
        <f>"2022-910"</f>
        <v>2022-910</v>
      </c>
      <c r="C5499" s="1" t="s">
        <v>3365</v>
      </c>
      <c r="D5499" s="1" t="s">
        <v>1102</v>
      </c>
      <c r="E5499" s="1" t="str">
        <f>""</f>
        <v/>
      </c>
      <c r="F5499" s="1" t="s">
        <v>1860</v>
      </c>
      <c r="G5499" s="1" t="str">
        <f>CONCATENATE("KEMOLAB D.O.O.,"," NADINSKA 11,"," 10000 ZAGREB,"," OIB: 45816750516")</f>
        <v>KEMOLAB D.O.O., NADINSKA 11, 10000 ZAGREB, OIB: 45816750516</v>
      </c>
      <c r="H5499" s="7"/>
      <c r="I5499" s="8" t="s">
        <v>1314</v>
      </c>
      <c r="J5499" s="7"/>
      <c r="K5499" s="6" t="str">
        <f>"44.490,00"</f>
        <v>44.490,00</v>
      </c>
      <c r="L5499" s="6" t="str">
        <f>"11.122,50"</f>
        <v>11.122,50</v>
      </c>
      <c r="M5499" s="6" t="str">
        <f>"55.612,50"</f>
        <v>55.612,50</v>
      </c>
      <c r="N5499" s="8" t="s">
        <v>567</v>
      </c>
      <c r="O5499" s="7"/>
      <c r="P5499" s="2">
        <v>55612.5</v>
      </c>
      <c r="Q5499" s="7"/>
      <c r="R5499" s="1"/>
      <c r="S5499" s="1" t="str">
        <f>"2022-6066"</f>
        <v>2022-6066</v>
      </c>
      <c r="T5499" s="1" t="s">
        <v>55</v>
      </c>
    </row>
    <row r="5500" spans="1:20" ht="102" x14ac:dyDescent="0.25">
      <c r="A5500" s="6">
        <v>5479</v>
      </c>
      <c r="B5500" s="1" t="str">
        <f>"2022-1163"</f>
        <v>2022-1163</v>
      </c>
      <c r="C5500" s="1" t="s">
        <v>3431</v>
      </c>
      <c r="D5500" s="1" t="s">
        <v>3326</v>
      </c>
      <c r="E5500" s="1" t="str">
        <f>""</f>
        <v/>
      </c>
      <c r="F5500" s="1" t="s">
        <v>1860</v>
      </c>
      <c r="G5500" s="1" t="str">
        <f>CONCATENATE("IPZ D.D.,"," PRILAZ BARUNA FILIPOVIĆA 21,"," 10000 ZAGREB,"," OIB: 9481097846")</f>
        <v>IPZ D.D., PRILAZ BARUNA FILIPOVIĆA 21, 10000 ZAGREB, OIB: 9481097846</v>
      </c>
      <c r="H5500" s="7"/>
      <c r="I5500" s="8" t="s">
        <v>1314</v>
      </c>
      <c r="J5500" s="7"/>
      <c r="K5500" s="6" t="str">
        <f>"64.000,00"</f>
        <v>64.000,00</v>
      </c>
      <c r="L5500" s="6" t="str">
        <f>"0,00"</f>
        <v>0,00</v>
      </c>
      <c r="M5500" s="6" t="str">
        <f>"64.000,00"</f>
        <v>64.000,00</v>
      </c>
      <c r="N5500" s="8" t="s">
        <v>124</v>
      </c>
      <c r="O5500" s="7"/>
      <c r="P5500" s="2">
        <v>0</v>
      </c>
      <c r="Q5500" s="7"/>
      <c r="R5500" s="1"/>
      <c r="S5500" s="1" t="str">
        <f>"2022-6075"</f>
        <v>2022-6075</v>
      </c>
      <c r="T5500" s="1" t="s">
        <v>55</v>
      </c>
    </row>
    <row r="5501" spans="1:20" ht="102" x14ac:dyDescent="0.25">
      <c r="A5501" s="6">
        <v>5480</v>
      </c>
      <c r="B5501" s="1" t="str">
        <f>"2022-1162"</f>
        <v>2022-1162</v>
      </c>
      <c r="C5501" s="1" t="s">
        <v>3364</v>
      </c>
      <c r="D5501" s="1" t="s">
        <v>3326</v>
      </c>
      <c r="E5501" s="1" t="str">
        <f>""</f>
        <v/>
      </c>
      <c r="F5501" s="1" t="s">
        <v>1860</v>
      </c>
      <c r="G5501" s="1" t="str">
        <f>CONCATENATE("PROMPT PROJEKTIRANJE D.O.O.,"," TOMISLAVOVA 9,"," 10000 ZAGREB,"," OIB: 30094396634")</f>
        <v>PROMPT PROJEKTIRANJE D.O.O., TOMISLAVOVA 9, 10000 ZAGREB, OIB: 30094396634</v>
      </c>
      <c r="H5501" s="7"/>
      <c r="I5501" s="8" t="s">
        <v>916</v>
      </c>
      <c r="J5501" s="7"/>
      <c r="K5501" s="6" t="str">
        <f>"37.000,00"</f>
        <v>37.000,00</v>
      </c>
      <c r="L5501" s="6" t="str">
        <f>"0,00"</f>
        <v>0,00</v>
      </c>
      <c r="M5501" s="6" t="str">
        <f>"37.000,00"</f>
        <v>37.000,00</v>
      </c>
      <c r="N5501" s="8" t="s">
        <v>124</v>
      </c>
      <c r="O5501" s="7"/>
      <c r="P5501" s="2">
        <v>0</v>
      </c>
      <c r="Q5501" s="7"/>
      <c r="R5501" s="1"/>
      <c r="S5501" s="1" t="str">
        <f>"2022-6113"</f>
        <v>2022-6113</v>
      </c>
      <c r="T5501" s="1" t="s">
        <v>55</v>
      </c>
    </row>
    <row r="5502" spans="1:20" ht="51" x14ac:dyDescent="0.25">
      <c r="A5502" s="6">
        <v>5481</v>
      </c>
      <c r="B5502" s="1" t="str">
        <f>"2022-366"</f>
        <v>2022-366</v>
      </c>
      <c r="C5502" s="1" t="s">
        <v>2831</v>
      </c>
      <c r="D5502" s="1" t="s">
        <v>3402</v>
      </c>
      <c r="E5502" s="1" t="str">
        <f>""</f>
        <v/>
      </c>
      <c r="F5502" s="1" t="s">
        <v>1860</v>
      </c>
      <c r="G5502" s="1" t="str">
        <f>CONCATENATE("VATRO-PROMET D.O.O.,"," JEŽDOVEČKA 87,"," 10000 ZAGREB,"," OIB: 57189591567")</f>
        <v>VATRO-PROMET D.O.O., JEŽDOVEČKA 87, 10000 ZAGREB, OIB: 57189591567</v>
      </c>
      <c r="H5502" s="7"/>
      <c r="I5502" s="8" t="s">
        <v>916</v>
      </c>
      <c r="J5502" s="7"/>
      <c r="K5502" s="6" t="str">
        <f>"9.200,00"</f>
        <v>9.200,00</v>
      </c>
      <c r="L5502" s="6" t="str">
        <f>"0,00"</f>
        <v>0,00</v>
      </c>
      <c r="M5502" s="6" t="str">
        <f>"9.200,00"</f>
        <v>9.200,00</v>
      </c>
      <c r="N5502" s="8" t="s">
        <v>124</v>
      </c>
      <c r="O5502" s="7"/>
      <c r="P5502" s="2">
        <v>0</v>
      </c>
      <c r="Q5502" s="7"/>
      <c r="R5502" s="1"/>
      <c r="S5502" s="1" t="str">
        <f>"2022-6114"</f>
        <v>2022-6114</v>
      </c>
      <c r="T5502" s="1" t="s">
        <v>55</v>
      </c>
    </row>
    <row r="5503" spans="1:20" ht="51" x14ac:dyDescent="0.25">
      <c r="A5503" s="6">
        <v>5482</v>
      </c>
      <c r="B5503" s="1" t="str">
        <f>"2022-1625"</f>
        <v>2022-1625</v>
      </c>
      <c r="C5503" s="1" t="s">
        <v>3432</v>
      </c>
      <c r="D5503" s="1" t="s">
        <v>1826</v>
      </c>
      <c r="E5503" s="1" t="str">
        <f>""</f>
        <v/>
      </c>
      <c r="F5503" s="1" t="s">
        <v>1860</v>
      </c>
      <c r="G5503" s="1" t="str">
        <f>CONCATENATE("ENERGETSKI INSTITUT HRVOJE POŽAR,"," SAVSKA 163,"," 10000 ZAGREB,"," OIB: 43980170614")</f>
        <v>ENERGETSKI INSTITUT HRVOJE POŽAR, SAVSKA 163, 10000 ZAGREB, OIB: 43980170614</v>
      </c>
      <c r="H5503" s="7"/>
      <c r="I5503" s="8" t="s">
        <v>916</v>
      </c>
      <c r="J5503" s="7"/>
      <c r="K5503" s="6" t="str">
        <f>"36.000,00"</f>
        <v>36.000,00</v>
      </c>
      <c r="L5503" s="6" t="str">
        <f>"0,00"</f>
        <v>0,00</v>
      </c>
      <c r="M5503" s="6" t="str">
        <f>"36.000,00"</f>
        <v>36.000,00</v>
      </c>
      <c r="N5503" s="8" t="s">
        <v>124</v>
      </c>
      <c r="O5503" s="7"/>
      <c r="P5503" s="2">
        <v>0</v>
      </c>
      <c r="Q5503" s="7"/>
      <c r="R5503" s="1"/>
      <c r="S5503" s="1" t="str">
        <f>"2022-6116"</f>
        <v>2022-6116</v>
      </c>
      <c r="T5503" s="1" t="s">
        <v>55</v>
      </c>
    </row>
    <row r="5504" spans="1:20" ht="51" x14ac:dyDescent="0.25">
      <c r="A5504" s="6">
        <v>5483</v>
      </c>
      <c r="B5504" s="1" t="str">
        <f>"2022-1742"</f>
        <v>2022-1742</v>
      </c>
      <c r="C5504" s="1" t="s">
        <v>682</v>
      </c>
      <c r="D5504" s="1" t="s">
        <v>683</v>
      </c>
      <c r="E5504" s="1" t="str">
        <f>""</f>
        <v/>
      </c>
      <c r="F5504" s="1" t="s">
        <v>1860</v>
      </c>
      <c r="G5504" s="1" t="str">
        <f>CONCATENATE("PRO-TEHNA D.O.O.,"," MAKSIMIRSKA 64,"," 10000 ZAGREB,"," OIB: 88951687357")</f>
        <v>PRO-TEHNA D.O.O., MAKSIMIRSKA 64, 10000 ZAGREB, OIB: 88951687357</v>
      </c>
      <c r="H5504" s="7"/>
      <c r="I5504" s="8" t="s">
        <v>916</v>
      </c>
      <c r="J5504" s="7"/>
      <c r="K5504" s="6" t="str">
        <f>"1.230,00"</f>
        <v>1.230,00</v>
      </c>
      <c r="L5504" s="6" t="str">
        <f>"307,50"</f>
        <v>307,50</v>
      </c>
      <c r="M5504" s="6" t="str">
        <f>"1.537,50"</f>
        <v>1.537,50</v>
      </c>
      <c r="N5504" s="8" t="s">
        <v>285</v>
      </c>
      <c r="O5504" s="7"/>
      <c r="P5504" s="2">
        <v>1537.5</v>
      </c>
      <c r="Q5504" s="7"/>
      <c r="R5504" s="1"/>
      <c r="S5504" s="1" t="str">
        <f>"2022-6117"</f>
        <v>2022-6117</v>
      </c>
      <c r="T5504" s="1" t="s">
        <v>55</v>
      </c>
    </row>
    <row r="5505" spans="1:20" ht="51" x14ac:dyDescent="0.25">
      <c r="A5505" s="6">
        <v>5484</v>
      </c>
      <c r="B5505" s="1" t="str">
        <f>"2022-678"</f>
        <v>2022-678</v>
      </c>
      <c r="C5505" s="1" t="s">
        <v>3429</v>
      </c>
      <c r="D5505" s="1" t="s">
        <v>3430</v>
      </c>
      <c r="E5505" s="1" t="str">
        <f>""</f>
        <v/>
      </c>
      <c r="F5505" s="1" t="s">
        <v>1860</v>
      </c>
      <c r="G5505" s="1" t="str">
        <f>CONCATENATE("ENDRESS + HAUSER D.O.O.,"," JARUŠČICA 23,"," 10000 ZAGREB,"," OIB: 7265450036")</f>
        <v>ENDRESS + HAUSER D.O.O., JARUŠČICA 23, 10000 ZAGREB, OIB: 7265450036</v>
      </c>
      <c r="H5505" s="7"/>
      <c r="I5505" s="8" t="s">
        <v>916</v>
      </c>
      <c r="J5505" s="7"/>
      <c r="K5505" s="6" t="str">
        <f>"38.874,37"</f>
        <v>38.874,37</v>
      </c>
      <c r="L5505" s="6" t="str">
        <f>"1.523,84"</f>
        <v>1.523,84</v>
      </c>
      <c r="M5505" s="6" t="str">
        <f>"40.398,21"</f>
        <v>40.398,21</v>
      </c>
      <c r="N5505" s="8" t="s">
        <v>669</v>
      </c>
      <c r="O5505" s="7"/>
      <c r="P5505" s="2">
        <v>7619.21</v>
      </c>
      <c r="Q5505" s="7"/>
      <c r="R5505" s="1"/>
      <c r="S5505" s="1" t="str">
        <f>"2022-6118"</f>
        <v>2022-6118</v>
      </c>
      <c r="T5505" s="1" t="s">
        <v>55</v>
      </c>
    </row>
    <row r="5506" spans="1:20" ht="63.75" x14ac:dyDescent="0.25">
      <c r="A5506" s="6">
        <v>5485</v>
      </c>
      <c r="B5506" s="1" t="str">
        <f>"2022-1743"</f>
        <v>2022-1743</v>
      </c>
      <c r="C5506" s="1" t="s">
        <v>3217</v>
      </c>
      <c r="D5506" s="1" t="s">
        <v>3433</v>
      </c>
      <c r="E5506" s="1" t="str">
        <f>""</f>
        <v/>
      </c>
      <c r="F5506" s="1" t="s">
        <v>1860</v>
      </c>
      <c r="G5506" s="1" t="str">
        <f>CONCATENATE("TOKIĆ D.O.O.,"," ULICA 144. BRIGADE HRVATSKE VOJSKE 1A,"," 10360 SESVETE,"," OIB: 7486748762")</f>
        <v>TOKIĆ D.O.O., ULICA 144. BRIGADE HRVATSKE VOJSKE 1A, 10360 SESVETE, OIB: 7486748762</v>
      </c>
      <c r="H5506" s="7"/>
      <c r="I5506" s="8" t="s">
        <v>916</v>
      </c>
      <c r="J5506" s="7"/>
      <c r="K5506" s="6" t="str">
        <f>"21.960,00"</f>
        <v>21.960,00</v>
      </c>
      <c r="L5506" s="6" t="str">
        <f>"0,00"</f>
        <v>0,00</v>
      </c>
      <c r="M5506" s="6" t="str">
        <f>"21.960,00"</f>
        <v>21.960,00</v>
      </c>
      <c r="N5506" s="8" t="s">
        <v>124</v>
      </c>
      <c r="O5506" s="7"/>
      <c r="P5506" s="2">
        <v>0</v>
      </c>
      <c r="Q5506" s="7"/>
      <c r="R5506" s="1"/>
      <c r="S5506" s="1" t="str">
        <f>"2022-6119"</f>
        <v>2022-6119</v>
      </c>
      <c r="T5506" s="1" t="s">
        <v>55</v>
      </c>
    </row>
    <row r="5507" spans="1:20" ht="63.75" x14ac:dyDescent="0.25">
      <c r="A5507" s="6">
        <v>5486</v>
      </c>
      <c r="B5507" s="1" t="str">
        <f>"2022-587"</f>
        <v>2022-587</v>
      </c>
      <c r="C5507" s="1" t="s">
        <v>3319</v>
      </c>
      <c r="D5507" s="1" t="s">
        <v>3320</v>
      </c>
      <c r="E5507" s="1" t="str">
        <f>""</f>
        <v/>
      </c>
      <c r="F5507" s="1" t="s">
        <v>1860</v>
      </c>
      <c r="G5507" s="1" t="str">
        <f>CONCATENATE("ENDRESS + HAUSER D.O.O.,"," JARUŠČICA 23,"," 10000 ZAGREB,"," OIB: 7265450036")</f>
        <v>ENDRESS + HAUSER D.O.O., JARUŠČICA 23, 10000 ZAGREB, OIB: 7265450036</v>
      </c>
      <c r="H5507" s="7"/>
      <c r="I5507" s="8" t="s">
        <v>429</v>
      </c>
      <c r="J5507" s="7"/>
      <c r="K5507" s="6" t="str">
        <f>"31.547,44"</f>
        <v>31.547,44</v>
      </c>
      <c r="L5507" s="6" t="str">
        <f>"2.964,94"</f>
        <v>2.964,94</v>
      </c>
      <c r="M5507" s="6" t="str">
        <f>"34.512,38"</f>
        <v>34.512,38</v>
      </c>
      <c r="N5507" s="8" t="s">
        <v>892</v>
      </c>
      <c r="O5507" s="7"/>
      <c r="P5507" s="2">
        <v>17152.04</v>
      </c>
      <c r="Q5507" s="7"/>
      <c r="R5507" s="1"/>
      <c r="S5507" s="1" t="str">
        <f>"2022-6133"</f>
        <v>2022-6133</v>
      </c>
      <c r="T5507" s="1" t="s">
        <v>55</v>
      </c>
    </row>
    <row r="5508" spans="1:20" ht="63.75" x14ac:dyDescent="0.25">
      <c r="A5508" s="6">
        <v>5487</v>
      </c>
      <c r="B5508" s="1" t="str">
        <f>"2022-1723"</f>
        <v>2022-1723</v>
      </c>
      <c r="C5508" s="1" t="s">
        <v>3417</v>
      </c>
      <c r="D5508" s="1" t="s">
        <v>3418</v>
      </c>
      <c r="E5508" s="1" t="str">
        <f>""</f>
        <v/>
      </c>
      <c r="F5508" s="1" t="s">
        <v>1860</v>
      </c>
      <c r="G5508" s="1" t="str">
        <f>CONCATENATE("KUNA CORPORATION D.O.O.,"," DRAŠE 68,"," 49294 KRALJEVEC NA SUTLI,"," OIB: 54600743656")</f>
        <v>KUNA CORPORATION D.O.O., DRAŠE 68, 49294 KRALJEVEC NA SUTLI, OIB: 54600743656</v>
      </c>
      <c r="H5508" s="7"/>
      <c r="I5508" s="8" t="s">
        <v>429</v>
      </c>
      <c r="J5508" s="7"/>
      <c r="K5508" s="6" t="str">
        <f>"39.421,00"</f>
        <v>39.421,00</v>
      </c>
      <c r="L5508" s="6" t="str">
        <f>"6.519,74"</f>
        <v>6.519,74</v>
      </c>
      <c r="M5508" s="6" t="str">
        <f>"45.940,74"</f>
        <v>45.940,74</v>
      </c>
      <c r="N5508" s="8" t="s">
        <v>458</v>
      </c>
      <c r="O5508" s="7"/>
      <c r="P5508" s="2">
        <v>32598.639999999999</v>
      </c>
      <c r="Q5508" s="7"/>
      <c r="R5508" s="1"/>
      <c r="S5508" s="1" t="str">
        <f>"2022-6138"</f>
        <v>2022-6138</v>
      </c>
      <c r="T5508" s="1" t="s">
        <v>55</v>
      </c>
    </row>
    <row r="5509" spans="1:20" ht="51" x14ac:dyDescent="0.25">
      <c r="A5509" s="6">
        <v>5488</v>
      </c>
      <c r="B5509" s="1" t="str">
        <f>"2022-459"</f>
        <v>2022-459</v>
      </c>
      <c r="C5509" s="1" t="s">
        <v>2795</v>
      </c>
      <c r="D5509" s="1" t="s">
        <v>1621</v>
      </c>
      <c r="E5509" s="1" t="str">
        <f>""</f>
        <v/>
      </c>
      <c r="F5509" s="1" t="s">
        <v>1860</v>
      </c>
      <c r="G5509" s="1" t="str">
        <f>CONCATENATE("POLJOOPSKRBA-TEHNO D.D.,"," SAMOBORSKA 96,"," 10000 ZAGREB,"," OIB: 5372167324")</f>
        <v>POLJOOPSKRBA-TEHNO D.D., SAMOBORSKA 96, 10000 ZAGREB, OIB: 5372167324</v>
      </c>
      <c r="H5509" s="7"/>
      <c r="I5509" s="8" t="s">
        <v>429</v>
      </c>
      <c r="J5509" s="7"/>
      <c r="K5509" s="6" t="str">
        <f>"4.138,74"</f>
        <v>4.138,74</v>
      </c>
      <c r="L5509" s="6" t="str">
        <f>"1.034,69"</f>
        <v>1.034,69</v>
      </c>
      <c r="M5509" s="6" t="str">
        <f>"5.173,43"</f>
        <v>5.173,43</v>
      </c>
      <c r="N5509" s="8" t="s">
        <v>1122</v>
      </c>
      <c r="O5509" s="7"/>
      <c r="P5509" s="2">
        <v>5173.43</v>
      </c>
      <c r="Q5509" s="7"/>
      <c r="R5509" s="1"/>
      <c r="S5509" s="1" t="str">
        <f>"2022-6142"</f>
        <v>2022-6142</v>
      </c>
      <c r="T5509" s="1" t="s">
        <v>55</v>
      </c>
    </row>
    <row r="5510" spans="1:20" ht="51" x14ac:dyDescent="0.25">
      <c r="A5510" s="6">
        <v>5489</v>
      </c>
      <c r="B5510" s="1" t="str">
        <f>"2022-306"</f>
        <v>2022-306</v>
      </c>
      <c r="C5510" s="1" t="s">
        <v>2692</v>
      </c>
      <c r="D5510" s="1" t="s">
        <v>3309</v>
      </c>
      <c r="E5510" s="1" t="str">
        <f>""</f>
        <v/>
      </c>
      <c r="F5510" s="1" t="s">
        <v>1860</v>
      </c>
      <c r="G5510" s="1" t="str">
        <f>CONCATENATE("POLJOOPSKRBA-TEHNO D.D.,"," SAMOBORSKA 96,"," 10000 ZAGREB,"," OIB: 5372167324")</f>
        <v>POLJOOPSKRBA-TEHNO D.D., SAMOBORSKA 96, 10000 ZAGREB, OIB: 5372167324</v>
      </c>
      <c r="H5510" s="7"/>
      <c r="I5510" s="8" t="s">
        <v>429</v>
      </c>
      <c r="J5510" s="7"/>
      <c r="K5510" s="6" t="str">
        <f>"172,00"</f>
        <v>172,00</v>
      </c>
      <c r="L5510" s="6" t="str">
        <f>"43,00"</f>
        <v>43,00</v>
      </c>
      <c r="M5510" s="6" t="str">
        <f>"215,00"</f>
        <v>215,00</v>
      </c>
      <c r="N5510" s="8" t="s">
        <v>1122</v>
      </c>
      <c r="O5510" s="7"/>
      <c r="P5510" s="2">
        <v>215</v>
      </c>
      <c r="Q5510" s="7"/>
      <c r="R5510" s="1"/>
      <c r="S5510" s="1" t="str">
        <f>"2022-6143"</f>
        <v>2022-6143</v>
      </c>
      <c r="T5510" s="1" t="s">
        <v>55</v>
      </c>
    </row>
    <row r="5511" spans="1:20" ht="51" x14ac:dyDescent="0.25">
      <c r="A5511" s="6">
        <v>5490</v>
      </c>
      <c r="B5511" s="1" t="str">
        <f>"2022-1750"</f>
        <v>2022-1750</v>
      </c>
      <c r="C5511" s="1" t="s">
        <v>3434</v>
      </c>
      <c r="D5511" s="1" t="s">
        <v>3435</v>
      </c>
      <c r="E5511" s="1" t="str">
        <f>""</f>
        <v/>
      </c>
      <c r="F5511" s="1" t="s">
        <v>1860</v>
      </c>
      <c r="G5511" s="1" t="str">
        <f>CONCATENATE("PRO-TEHNA D.O.O.,"," MAKSIMIRSKA 64,"," 10000 ZAGREB,"," OIB: 88951687357")</f>
        <v>PRO-TEHNA D.O.O., MAKSIMIRSKA 64, 10000 ZAGREB, OIB: 88951687357</v>
      </c>
      <c r="H5511" s="7"/>
      <c r="I5511" s="8" t="s">
        <v>910</v>
      </c>
      <c r="J5511" s="7"/>
      <c r="K5511" s="6" t="str">
        <f>"11.484,00"</f>
        <v>11.484,00</v>
      </c>
      <c r="L5511" s="6" t="str">
        <f>"2.871,00"</f>
        <v>2.871,00</v>
      </c>
      <c r="M5511" s="6" t="str">
        <f>"14.355,00"</f>
        <v>14.355,00</v>
      </c>
      <c r="N5511" s="8" t="s">
        <v>285</v>
      </c>
      <c r="O5511" s="7"/>
      <c r="P5511" s="2">
        <v>14355</v>
      </c>
      <c r="Q5511" s="7"/>
      <c r="R5511" s="1"/>
      <c r="S5511" s="1" t="str">
        <f>"2022-6150"</f>
        <v>2022-6150</v>
      </c>
      <c r="T5511" s="1" t="s">
        <v>55</v>
      </c>
    </row>
    <row r="5512" spans="1:20" ht="51" x14ac:dyDescent="0.25">
      <c r="A5512" s="6">
        <v>5491</v>
      </c>
      <c r="B5512" s="1" t="str">
        <f>"2022-1754"</f>
        <v>2022-1754</v>
      </c>
      <c r="C5512" s="1" t="s">
        <v>1289</v>
      </c>
      <c r="D5512" s="1" t="s">
        <v>1290</v>
      </c>
      <c r="E5512" s="1" t="str">
        <f>""</f>
        <v/>
      </c>
      <c r="F5512" s="1" t="s">
        <v>1860</v>
      </c>
      <c r="G5512" s="1" t="str">
        <f>CONCATENATE("TORBARINA D.O.O.,"," NOVA CESTA 3,"," 10412 DONJA LOMNICA,"," OIB: 02603292627")</f>
        <v>TORBARINA D.O.O., NOVA CESTA 3, 10412 DONJA LOMNICA, OIB: 02603292627</v>
      </c>
      <c r="H5512" s="7"/>
      <c r="I5512" s="8" t="s">
        <v>910</v>
      </c>
      <c r="J5512" s="7"/>
      <c r="K5512" s="6" t="str">
        <f>"9.357,50"</f>
        <v>9.357,50</v>
      </c>
      <c r="L5512" s="6" t="str">
        <f>"2.339,38"</f>
        <v>2.339,38</v>
      </c>
      <c r="M5512" s="6" t="str">
        <f>"11.696,88"</f>
        <v>11.696,88</v>
      </c>
      <c r="N5512" s="8" t="s">
        <v>365</v>
      </c>
      <c r="O5512" s="7"/>
      <c r="P5512" s="2">
        <v>11696.88</v>
      </c>
      <c r="Q5512" s="7"/>
      <c r="R5512" s="1"/>
      <c r="S5512" s="1" t="str">
        <f>"2022-6151"</f>
        <v>2022-6151</v>
      </c>
      <c r="T5512" s="1" t="s">
        <v>55</v>
      </c>
    </row>
    <row r="5513" spans="1:20" ht="51" x14ac:dyDescent="0.25">
      <c r="A5513" s="6">
        <v>5492</v>
      </c>
      <c r="B5513" s="1" t="str">
        <f>"2022-1625"</f>
        <v>2022-1625</v>
      </c>
      <c r="C5513" s="1" t="s">
        <v>3432</v>
      </c>
      <c r="D5513" s="1" t="s">
        <v>1826</v>
      </c>
      <c r="E5513" s="1" t="str">
        <f>""</f>
        <v/>
      </c>
      <c r="F5513" s="1" t="s">
        <v>1860</v>
      </c>
      <c r="G5513" s="1" t="str">
        <f>CONCATENATE("ENERGETSKI INSTITUT HRVOJE POŽAR,"," SAVSKA 163,"," 10000 ZAGREB,"," OIB: 43980170614")</f>
        <v>ENERGETSKI INSTITUT HRVOJE POŽAR, SAVSKA 163, 10000 ZAGREB, OIB: 43980170614</v>
      </c>
      <c r="H5513" s="7"/>
      <c r="I5513" s="8" t="s">
        <v>910</v>
      </c>
      <c r="J5513" s="7"/>
      <c r="K5513" s="6" t="str">
        <f>"36.000,00"</f>
        <v>36.000,00</v>
      </c>
      <c r="L5513" s="6" t="str">
        <f>"0,00"</f>
        <v>0,00</v>
      </c>
      <c r="M5513" s="6" t="str">
        <f>"36.000,00"</f>
        <v>36.000,00</v>
      </c>
      <c r="N5513" s="8" t="s">
        <v>124</v>
      </c>
      <c r="O5513" s="7"/>
      <c r="P5513" s="2">
        <v>0</v>
      </c>
      <c r="Q5513" s="7"/>
      <c r="R5513" s="1"/>
      <c r="S5513" s="1" t="str">
        <f>"2022-6161"</f>
        <v>2022-6161</v>
      </c>
      <c r="T5513" s="1" t="s">
        <v>55</v>
      </c>
    </row>
    <row r="5514" spans="1:20" ht="76.5" x14ac:dyDescent="0.25">
      <c r="A5514" s="6">
        <v>5493</v>
      </c>
      <c r="B5514" s="1" t="str">
        <f>"2022-1480"</f>
        <v>2022-1480</v>
      </c>
      <c r="C5514" s="1" t="s">
        <v>3351</v>
      </c>
      <c r="D5514" s="1" t="s">
        <v>3352</v>
      </c>
      <c r="E5514" s="1" t="str">
        <f>""</f>
        <v/>
      </c>
      <c r="F5514" s="1" t="s">
        <v>1860</v>
      </c>
      <c r="G5514" s="1" t="str">
        <f>CONCATENATE("SMIT-COMMERCE D.O.O.,"," GORNJOSTUPNIČKA 9B,"," 10255 GORNJI STUPNIK,"," OIB: 9524348214")</f>
        <v>SMIT-COMMERCE D.O.O., GORNJOSTUPNIČKA 9B, 10255 GORNJI STUPNIK, OIB: 9524348214</v>
      </c>
      <c r="H5514" s="7"/>
      <c r="I5514" s="8" t="s">
        <v>430</v>
      </c>
      <c r="J5514" s="7"/>
      <c r="K5514" s="6" t="str">
        <f>"43.489,85"</f>
        <v>43.489,85</v>
      </c>
      <c r="L5514" s="6" t="str">
        <f>"10.872,47"</f>
        <v>10.872,47</v>
      </c>
      <c r="M5514" s="6" t="str">
        <f>"54.362,32"</f>
        <v>54.362,32</v>
      </c>
      <c r="N5514" s="8" t="s">
        <v>58</v>
      </c>
      <c r="O5514" s="7"/>
      <c r="P5514" s="2">
        <v>54362.32</v>
      </c>
      <c r="Q5514" s="7"/>
      <c r="R5514" s="1"/>
      <c r="S5514" s="1" t="str">
        <f>"2022-6303"</f>
        <v>2022-6303</v>
      </c>
      <c r="T5514" s="1" t="s">
        <v>55</v>
      </c>
    </row>
    <row r="5515" spans="1:20" ht="76.5" x14ac:dyDescent="0.25">
      <c r="A5515" s="6">
        <v>5494</v>
      </c>
      <c r="B5515" s="1" t="str">
        <f>"2022-1482"</f>
        <v>2022-1482</v>
      </c>
      <c r="C5515" s="1" t="s">
        <v>2501</v>
      </c>
      <c r="D5515" s="1" t="s">
        <v>3411</v>
      </c>
      <c r="E5515" s="1" t="str">
        <f>""</f>
        <v/>
      </c>
      <c r="F5515" s="1" t="s">
        <v>1860</v>
      </c>
      <c r="G5515" s="1" t="str">
        <f>CONCATENATE("SMIT-COMMERCE D.O.O.,"," GORNJOSTUPNIČKA 9B,"," 10255 GORNJI STUPNIK,"," OIB: 9524348214")</f>
        <v>SMIT-COMMERCE D.O.O., GORNJOSTUPNIČKA 9B, 10255 GORNJI STUPNIK, OIB: 9524348214</v>
      </c>
      <c r="H5515" s="7"/>
      <c r="I5515" s="8" t="s">
        <v>430</v>
      </c>
      <c r="J5515" s="7"/>
      <c r="K5515" s="6" t="str">
        <f>"36.805,00"</f>
        <v>36.805,00</v>
      </c>
      <c r="L5515" s="6" t="str">
        <f>"8.048,75"</f>
        <v>8.048,75</v>
      </c>
      <c r="M5515" s="6" t="str">
        <f>"44.853,75"</f>
        <v>44.853,75</v>
      </c>
      <c r="N5515" s="8" t="s">
        <v>1123</v>
      </c>
      <c r="O5515" s="7"/>
      <c r="P5515" s="2">
        <v>40243.75</v>
      </c>
      <c r="Q5515" s="7"/>
      <c r="R5515" s="1"/>
      <c r="S5515" s="1" t="str">
        <f>"2022-6306"</f>
        <v>2022-6306</v>
      </c>
      <c r="T5515" s="1" t="s">
        <v>55</v>
      </c>
    </row>
    <row r="5516" spans="1:20" ht="63.75" x14ac:dyDescent="0.25">
      <c r="A5516" s="6">
        <v>5495</v>
      </c>
      <c r="B5516" s="1" t="str">
        <f>"2022-645"</f>
        <v>2022-645</v>
      </c>
      <c r="C5516" s="1" t="s">
        <v>3436</v>
      </c>
      <c r="D5516" s="1" t="s">
        <v>3437</v>
      </c>
      <c r="E5516" s="1" t="str">
        <f>""</f>
        <v/>
      </c>
      <c r="F5516" s="1" t="s">
        <v>1860</v>
      </c>
      <c r="G5516" s="1" t="str">
        <f>CONCATENATE("KVAM SISTEM D.O.O.,"," SISAČKA CESTA II ODVOJAK 60,"," 10000 ZAGREB,"," OIB: 54392975253")</f>
        <v>KVAM SISTEM D.O.O., SISAČKA CESTA II ODVOJAK 60, 10000 ZAGREB, OIB: 54392975253</v>
      </c>
      <c r="H5516" s="7"/>
      <c r="I5516" s="8" t="s">
        <v>430</v>
      </c>
      <c r="J5516" s="7"/>
      <c r="K5516" s="6" t="str">
        <f>"2.887,40"</f>
        <v>2.887,40</v>
      </c>
      <c r="L5516" s="6" t="str">
        <f>"721,85"</f>
        <v>721,85</v>
      </c>
      <c r="M5516" s="6" t="str">
        <f>"3.609,25"</f>
        <v>3.609,25</v>
      </c>
      <c r="N5516" s="8" t="s">
        <v>414</v>
      </c>
      <c r="O5516" s="7"/>
      <c r="P5516" s="2">
        <v>3609.25</v>
      </c>
      <c r="Q5516" s="7"/>
      <c r="R5516" s="1"/>
      <c r="S5516" s="1" t="str">
        <f>"2022-6310"</f>
        <v>2022-6310</v>
      </c>
      <c r="T5516" s="1" t="s">
        <v>55</v>
      </c>
    </row>
    <row r="5517" spans="1:20" ht="76.5" x14ac:dyDescent="0.25">
      <c r="A5517" s="6">
        <v>5496</v>
      </c>
      <c r="B5517" s="1" t="str">
        <f>"2022-962"</f>
        <v>2022-962</v>
      </c>
      <c r="C5517" s="1" t="s">
        <v>3428</v>
      </c>
      <c r="D5517" s="1" t="s">
        <v>1373</v>
      </c>
      <c r="E5517" s="1" t="str">
        <f>""</f>
        <v/>
      </c>
      <c r="F5517" s="1" t="s">
        <v>1860</v>
      </c>
      <c r="G5517" s="1" t="str">
        <f>CONCATENATE("E.G.S.-ELEKTROGRADITELJSTVO D.O.O.,"," ALBERTA FORTISA 10,"," 10090 ZAGREB,"," OIB: 83439900916")</f>
        <v>E.G.S.-ELEKTROGRADITELJSTVO D.O.O., ALBERTA FORTISA 10, 10090 ZAGREB, OIB: 83439900916</v>
      </c>
      <c r="H5517" s="7"/>
      <c r="I5517" s="8" t="s">
        <v>430</v>
      </c>
      <c r="J5517" s="7"/>
      <c r="K5517" s="6" t="str">
        <f>"34.995,00"</f>
        <v>34.995,00</v>
      </c>
      <c r="L5517" s="6" t="str">
        <f>"8.748,75"</f>
        <v>8.748,75</v>
      </c>
      <c r="M5517" s="6" t="str">
        <f>"43.743,75"</f>
        <v>43.743,75</v>
      </c>
      <c r="N5517" s="8" t="s">
        <v>1123</v>
      </c>
      <c r="O5517" s="7"/>
      <c r="P5517" s="2">
        <v>43743.75</v>
      </c>
      <c r="Q5517" s="7"/>
      <c r="R5517" s="1"/>
      <c r="S5517" s="1" t="str">
        <f>"2022-6312"</f>
        <v>2022-6312</v>
      </c>
      <c r="T5517" s="1" t="s">
        <v>55</v>
      </c>
    </row>
    <row r="5518" spans="1:20" ht="76.5" x14ac:dyDescent="0.25">
      <c r="A5518" s="6">
        <v>5497</v>
      </c>
      <c r="B5518" s="1" t="str">
        <f>"2022-1467"</f>
        <v>2022-1467</v>
      </c>
      <c r="C5518" s="1" t="s">
        <v>3348</v>
      </c>
      <c r="D5518" s="1" t="s">
        <v>1783</v>
      </c>
      <c r="E5518" s="1" t="str">
        <f>""</f>
        <v/>
      </c>
      <c r="F5518" s="1" t="s">
        <v>1860</v>
      </c>
      <c r="G5518" s="1" t="str">
        <f>CONCATENATE("SMIT-COMMERCE D.O.O.,"," GORNJOSTUPNIČKA 9B,"," 10255 GORNJI STUPNIK,"," OIB: 9524348214")</f>
        <v>SMIT-COMMERCE D.O.O., GORNJOSTUPNIČKA 9B, 10255 GORNJI STUPNIK, OIB: 9524348214</v>
      </c>
      <c r="H5518" s="7"/>
      <c r="I5518" s="8" t="s">
        <v>430</v>
      </c>
      <c r="J5518" s="7"/>
      <c r="K5518" s="6" t="str">
        <f>"3.065,36"</f>
        <v>3.065,36</v>
      </c>
      <c r="L5518" s="6" t="str">
        <f>"766,34"</f>
        <v>766,34</v>
      </c>
      <c r="M5518" s="6" t="str">
        <f>"3.831,70"</f>
        <v>3.831,70</v>
      </c>
      <c r="N5518" s="8" t="s">
        <v>81</v>
      </c>
      <c r="O5518" s="7"/>
      <c r="P5518" s="2">
        <v>3831.7</v>
      </c>
      <c r="Q5518" s="7"/>
      <c r="R5518" s="1"/>
      <c r="S5518" s="1" t="str">
        <f>"2022-6317"</f>
        <v>2022-6317</v>
      </c>
      <c r="T5518" s="1" t="s">
        <v>55</v>
      </c>
    </row>
    <row r="5519" spans="1:20" ht="51" x14ac:dyDescent="0.25">
      <c r="A5519" s="6">
        <v>5498</v>
      </c>
      <c r="B5519" s="1" t="str">
        <f>"2022-1934"</f>
        <v>2022-1934</v>
      </c>
      <c r="C5519" s="1" t="s">
        <v>3438</v>
      </c>
      <c r="D5519" s="1" t="s">
        <v>1381</v>
      </c>
      <c r="E5519" s="1" t="str">
        <f>""</f>
        <v/>
      </c>
      <c r="F5519" s="1" t="s">
        <v>1860</v>
      </c>
      <c r="G5519" s="1" t="str">
        <f>CONCATENATE("GRABAR D.O.O.,"," ZAGREBAČKA 306,"," 42000 VARAŽDIN,"," OIB: 64278190908")</f>
        <v>GRABAR D.O.O., ZAGREBAČKA 306, 42000 VARAŽDIN, OIB: 64278190908</v>
      </c>
      <c r="H5519" s="7"/>
      <c r="I5519" s="8" t="s">
        <v>431</v>
      </c>
      <c r="J5519" s="7"/>
      <c r="K5519" s="6" t="str">
        <f>"50.075,00"</f>
        <v>50.075,00</v>
      </c>
      <c r="L5519" s="6" t="str">
        <f>"0,00"</f>
        <v>0,00</v>
      </c>
      <c r="M5519" s="6" t="str">
        <f>"50.075,00"</f>
        <v>50.075,00</v>
      </c>
      <c r="N5519" s="8" t="s">
        <v>124</v>
      </c>
      <c r="O5519" s="7"/>
      <c r="P5519" s="2">
        <v>0</v>
      </c>
      <c r="Q5519" s="7"/>
      <c r="R5519" s="1"/>
      <c r="S5519" s="1" t="str">
        <f>"2022-6334"</f>
        <v>2022-6334</v>
      </c>
      <c r="T5519" s="1" t="s">
        <v>55</v>
      </c>
    </row>
    <row r="5520" spans="1:20" ht="76.5" x14ac:dyDescent="0.25">
      <c r="A5520" s="6">
        <v>5499</v>
      </c>
      <c r="B5520" s="1" t="str">
        <f>"2022-1378"</f>
        <v>2022-1378</v>
      </c>
      <c r="C5520" s="1" t="s">
        <v>3228</v>
      </c>
      <c r="D5520" s="1" t="s">
        <v>3439</v>
      </c>
      <c r="E5520" s="1" t="str">
        <f>""</f>
        <v/>
      </c>
      <c r="F5520" s="1" t="s">
        <v>1860</v>
      </c>
      <c r="G5520" s="1" t="str">
        <f>CONCATENATE("HRVATSKI CRVENI KRIŽ,"," GRADSKO DRUŠTVO CRVENOG KRIŽA ZAGREB,"," ILICA 223,"," 10000 ZAGREB,"," OIB: 07292798848")</f>
        <v>HRVATSKI CRVENI KRIŽ, GRADSKO DRUŠTVO CRVENOG KRIŽA ZAGREB, ILICA 223, 10000 ZAGREB, OIB: 07292798848</v>
      </c>
      <c r="H5520" s="7"/>
      <c r="I5520" s="8" t="s">
        <v>431</v>
      </c>
      <c r="J5520" s="7"/>
      <c r="K5520" s="6" t="str">
        <f>"25.200,00"</f>
        <v>25.200,00</v>
      </c>
      <c r="L5520" s="6" t="str">
        <f>"0,00"</f>
        <v>0,00</v>
      </c>
      <c r="M5520" s="6" t="str">
        <f>"25.200,00"</f>
        <v>25.200,00</v>
      </c>
      <c r="N5520" s="8" t="s">
        <v>124</v>
      </c>
      <c r="O5520" s="7"/>
      <c r="P5520" s="2">
        <v>0</v>
      </c>
      <c r="Q5520" s="7"/>
      <c r="R5520" s="1"/>
      <c r="S5520" s="1" t="str">
        <f>"2022-6337"</f>
        <v>2022-6337</v>
      </c>
      <c r="T5520" s="1" t="s">
        <v>55</v>
      </c>
    </row>
    <row r="5521" spans="1:20" ht="63.75" x14ac:dyDescent="0.25">
      <c r="A5521" s="6">
        <v>5500</v>
      </c>
      <c r="B5521" s="1" t="str">
        <f>"2022-1933"</f>
        <v>2022-1933</v>
      </c>
      <c r="C5521" s="1" t="s">
        <v>3440</v>
      </c>
      <c r="D5521" s="1" t="s">
        <v>1381</v>
      </c>
      <c r="E5521" s="1" t="str">
        <f>""</f>
        <v/>
      </c>
      <c r="F5521" s="1" t="s">
        <v>1860</v>
      </c>
      <c r="G5521" s="1" t="str">
        <f>CONCATENATE("JORDAN MJERILA D.O.O.,"," MILIVOJA MATOŠECA 6,"," 10090 ZAGREB-SUSEDGRAD,"," OIB: 33197917186")</f>
        <v>JORDAN MJERILA D.O.O., MILIVOJA MATOŠECA 6, 10090 ZAGREB-SUSEDGRAD, OIB: 33197917186</v>
      </c>
      <c r="H5521" s="7"/>
      <c r="I5521" s="8" t="s">
        <v>431</v>
      </c>
      <c r="J5521" s="7"/>
      <c r="K5521" s="6" t="str">
        <f>"76.633,15"</f>
        <v>76.633,15</v>
      </c>
      <c r="L5521" s="6" t="str">
        <f>"19.158,29"</f>
        <v>19.158,29</v>
      </c>
      <c r="M5521" s="6" t="str">
        <f>"95.791,44"</f>
        <v>95.791,44</v>
      </c>
      <c r="N5521" s="8" t="s">
        <v>310</v>
      </c>
      <c r="O5521" s="7"/>
      <c r="P5521" s="2">
        <v>95791.44</v>
      </c>
      <c r="Q5521" s="7"/>
      <c r="R5521" s="1"/>
      <c r="S5521" s="1" t="str">
        <f>"2022-6347"</f>
        <v>2022-6347</v>
      </c>
      <c r="T5521" s="1" t="s">
        <v>55</v>
      </c>
    </row>
    <row r="5522" spans="1:20" ht="51" x14ac:dyDescent="0.25">
      <c r="A5522" s="6">
        <v>5501</v>
      </c>
      <c r="B5522" s="1" t="str">
        <f>"2022-1747"</f>
        <v>2022-1747</v>
      </c>
      <c r="C5522" s="1" t="s">
        <v>1692</v>
      </c>
      <c r="D5522" s="1" t="s">
        <v>1544</v>
      </c>
      <c r="E5522" s="1" t="str">
        <f>""</f>
        <v/>
      </c>
      <c r="F5522" s="1" t="s">
        <v>1860</v>
      </c>
      <c r="G5522" s="1" t="str">
        <f>CONCATENATE("VODOSKOK D.D.,"," ČULINEČKA CESTA 221/C,"," 10040 ZAGREB,"," OIB: 34134218058")</f>
        <v>VODOSKOK D.D., ČULINEČKA CESTA 221/C, 10040 ZAGREB, OIB: 34134218058</v>
      </c>
      <c r="H5522" s="7"/>
      <c r="I5522" s="8" t="s">
        <v>431</v>
      </c>
      <c r="J5522" s="7"/>
      <c r="K5522" s="6" t="str">
        <f>"29.928,00"</f>
        <v>29.928,00</v>
      </c>
      <c r="L5522" s="6" t="str">
        <f>"7.282,00"</f>
        <v>7.282,00</v>
      </c>
      <c r="M5522" s="6" t="str">
        <f>"37.210,00"</f>
        <v>37.210,00</v>
      </c>
      <c r="N5522" s="8" t="s">
        <v>102</v>
      </c>
      <c r="O5522" s="7"/>
      <c r="P5522" s="2">
        <v>36410</v>
      </c>
      <c r="Q5522" s="7"/>
      <c r="R5522" s="1"/>
      <c r="S5522" s="1" t="str">
        <f>"2022-6348"</f>
        <v>2022-6348</v>
      </c>
      <c r="T5522" s="1" t="s">
        <v>55</v>
      </c>
    </row>
    <row r="5523" spans="1:20" ht="63.75" x14ac:dyDescent="0.25">
      <c r="A5523" s="6">
        <v>5502</v>
      </c>
      <c r="B5523" s="1" t="str">
        <f>"2022-645"</f>
        <v>2022-645</v>
      </c>
      <c r="C5523" s="1" t="s">
        <v>3436</v>
      </c>
      <c r="D5523" s="1" t="s">
        <v>3437</v>
      </c>
      <c r="E5523" s="1" t="str">
        <f>""</f>
        <v/>
      </c>
      <c r="F5523" s="1" t="s">
        <v>1860</v>
      </c>
      <c r="G5523" s="1" t="str">
        <f>CONCATENATE("URIHO - ZAGREB,"," AVENIJA MARINA DRŽIĆA 1,"," 10000 ZAGREB,"," OIB: 77931216562")</f>
        <v>URIHO - ZAGREB, AVENIJA MARINA DRŽIĆA 1, 10000 ZAGREB, OIB: 77931216562</v>
      </c>
      <c r="H5523" s="7"/>
      <c r="I5523" s="8" t="s">
        <v>431</v>
      </c>
      <c r="J5523" s="7"/>
      <c r="K5523" s="6" t="str">
        <f>"5.200,00"</f>
        <v>5.200,00</v>
      </c>
      <c r="L5523" s="6" t="str">
        <f>"24.830,00"</f>
        <v>24.830,00</v>
      </c>
      <c r="M5523" s="6" t="str">
        <f>"30.030,00"</f>
        <v>30.030,00</v>
      </c>
      <c r="N5523" s="8" t="s">
        <v>1123</v>
      </c>
      <c r="O5523" s="7"/>
      <c r="P5523" s="2">
        <v>30030</v>
      </c>
      <c r="Q5523" s="7"/>
      <c r="R5523" s="1"/>
      <c r="S5523" s="1" t="str">
        <f>"2022-6353"</f>
        <v>2022-6353</v>
      </c>
      <c r="T5523" s="1" t="s">
        <v>55</v>
      </c>
    </row>
    <row r="5524" spans="1:20" ht="51" x14ac:dyDescent="0.25">
      <c r="A5524" s="6">
        <v>5503</v>
      </c>
      <c r="B5524" s="1" t="str">
        <f>"2022-737"</f>
        <v>2022-737</v>
      </c>
      <c r="C5524" s="1" t="s">
        <v>3230</v>
      </c>
      <c r="D5524" s="1" t="s">
        <v>1578</v>
      </c>
      <c r="E5524" s="1" t="str">
        <f>""</f>
        <v/>
      </c>
      <c r="F5524" s="1" t="s">
        <v>1860</v>
      </c>
      <c r="G5524" s="1" t="str">
        <f>CONCATENATE("PRIMAT-RD D.O.O.,"," ZASTAVNICE 11,"," 10251 HRVATSKI LESKOVAC,"," OIB: 03868412563")</f>
        <v>PRIMAT-RD D.O.O., ZASTAVNICE 11, 10251 HRVATSKI LESKOVAC, OIB: 03868412563</v>
      </c>
      <c r="H5524" s="7"/>
      <c r="I5524" s="8" t="s">
        <v>431</v>
      </c>
      <c r="J5524" s="7"/>
      <c r="K5524" s="6" t="str">
        <f>"4.836,00"</f>
        <v>4.836,00</v>
      </c>
      <c r="L5524" s="6" t="str">
        <f>"1.209,00"</f>
        <v>1.209,00</v>
      </c>
      <c r="M5524" s="6" t="str">
        <f>"6.045,00"</f>
        <v>6.045,00</v>
      </c>
      <c r="N5524" s="8" t="s">
        <v>567</v>
      </c>
      <c r="O5524" s="7"/>
      <c r="P5524" s="2">
        <v>6045</v>
      </c>
      <c r="Q5524" s="7"/>
      <c r="R5524" s="1"/>
      <c r="S5524" s="1" t="str">
        <f>"2022-6355"</f>
        <v>2022-6355</v>
      </c>
      <c r="T5524" s="1" t="s">
        <v>55</v>
      </c>
    </row>
    <row r="5525" spans="1:20" ht="51" x14ac:dyDescent="0.25">
      <c r="A5525" s="6">
        <v>5504</v>
      </c>
      <c r="B5525" s="1" t="str">
        <f>"2022-1476"</f>
        <v>2022-1476</v>
      </c>
      <c r="C5525" s="1" t="s">
        <v>3353</v>
      </c>
      <c r="D5525" s="1" t="s">
        <v>545</v>
      </c>
      <c r="E5525" s="1" t="str">
        <f>""</f>
        <v/>
      </c>
      <c r="F5525" s="1" t="s">
        <v>1860</v>
      </c>
      <c r="G5525" s="1" t="str">
        <f>CONCATENATE("VODOSKOK D.D.,"," ČULINEČKA CESTA 221/C,"," 10040 ZAGREB,"," OIB: 34134218058")</f>
        <v>VODOSKOK D.D., ČULINEČKA CESTA 221/C, 10040 ZAGREB, OIB: 34134218058</v>
      </c>
      <c r="H5525" s="7"/>
      <c r="I5525" s="8" t="s">
        <v>215</v>
      </c>
      <c r="J5525" s="7"/>
      <c r="K5525" s="6" t="str">
        <f>"19.767,00"</f>
        <v>19.767,00</v>
      </c>
      <c r="L5525" s="6" t="str">
        <f>"4.938,69"</f>
        <v>4.938,69</v>
      </c>
      <c r="M5525" s="6" t="str">
        <f>"24.705,69"</f>
        <v>24.705,69</v>
      </c>
      <c r="N5525" s="8" t="s">
        <v>567</v>
      </c>
      <c r="O5525" s="7"/>
      <c r="P5525" s="2">
        <v>24693.46</v>
      </c>
      <c r="Q5525" s="7"/>
      <c r="R5525" s="1"/>
      <c r="S5525" s="1" t="str">
        <f>"2022-6422"</f>
        <v>2022-6422</v>
      </c>
      <c r="T5525" s="1" t="s">
        <v>55</v>
      </c>
    </row>
    <row r="5526" spans="1:20" ht="63.75" x14ac:dyDescent="0.25">
      <c r="A5526" s="6">
        <v>5505</v>
      </c>
      <c r="B5526" s="1" t="str">
        <f>"2022-711"</f>
        <v>2022-711</v>
      </c>
      <c r="C5526" s="1" t="s">
        <v>2956</v>
      </c>
      <c r="D5526" s="1" t="s">
        <v>815</v>
      </c>
      <c r="E5526" s="1" t="str">
        <f>""</f>
        <v/>
      </c>
      <c r="F5526" s="1" t="s">
        <v>1860</v>
      </c>
      <c r="G5526" s="1" t="str">
        <f>CONCATENATE("EMIL FREY AUTO CENTAR D.O.O.,"," KOVINSKA 5,"," 10000 ZAGREB,"," OIB: 01930677284")</f>
        <v>EMIL FREY AUTO CENTAR D.O.O., KOVINSKA 5, 10000 ZAGREB, OIB: 01930677284</v>
      </c>
      <c r="H5526" s="7"/>
      <c r="I5526" s="8" t="s">
        <v>214</v>
      </c>
      <c r="J5526" s="7"/>
      <c r="K5526" s="6" t="str">
        <f>"3.126,30"</f>
        <v>3.126,30</v>
      </c>
      <c r="L5526" s="6" t="str">
        <f>"781,58"</f>
        <v>781,58</v>
      </c>
      <c r="M5526" s="6" t="str">
        <f>"3.907,88"</f>
        <v>3.907,88</v>
      </c>
      <c r="N5526" s="8" t="s">
        <v>1122</v>
      </c>
      <c r="O5526" s="7"/>
      <c r="P5526" s="2">
        <v>3907.88</v>
      </c>
      <c r="Q5526" s="7"/>
      <c r="R5526" s="1"/>
      <c r="S5526" s="1" t="str">
        <f>"2022-6445"</f>
        <v>2022-6445</v>
      </c>
      <c r="T5526" s="1" t="s">
        <v>55</v>
      </c>
    </row>
    <row r="5527" spans="1:20" ht="51" x14ac:dyDescent="0.25">
      <c r="A5527" s="6">
        <v>5506</v>
      </c>
      <c r="B5527" s="1" t="str">
        <f>"2022-1744"</f>
        <v>2022-1744</v>
      </c>
      <c r="C5527" s="1" t="s">
        <v>1793</v>
      </c>
      <c r="D5527" s="1" t="s">
        <v>1792</v>
      </c>
      <c r="E5527" s="1" t="str">
        <f>""</f>
        <v/>
      </c>
      <c r="F5527" s="1" t="s">
        <v>1860</v>
      </c>
      <c r="G5527" s="1" t="str">
        <f>CONCATENATE("ULTRA D.O.O.,"," ZAVRTNICA 5,"," 10000 ZAGREB,"," OIB: 48601851892")</f>
        <v>ULTRA D.O.O., ZAVRTNICA 5, 10000 ZAGREB, OIB: 48601851892</v>
      </c>
      <c r="H5527" s="7"/>
      <c r="I5527" s="8" t="s">
        <v>214</v>
      </c>
      <c r="J5527" s="7"/>
      <c r="K5527" s="6" t="str">
        <f>"27.360,00"</f>
        <v>27.360,00</v>
      </c>
      <c r="L5527" s="6" t="str">
        <f>"1.824,00"</f>
        <v>1.824,00</v>
      </c>
      <c r="M5527" s="6" t="str">
        <f>"29.184,00"</f>
        <v>29.184,00</v>
      </c>
      <c r="N5527" s="8" t="s">
        <v>669</v>
      </c>
      <c r="O5527" s="7"/>
      <c r="P5527" s="2">
        <v>9120</v>
      </c>
      <c r="Q5527" s="7"/>
      <c r="R5527" s="1"/>
      <c r="S5527" s="1" t="str">
        <f>"2022-6446"</f>
        <v>2022-6446</v>
      </c>
      <c r="T5527" s="1" t="s">
        <v>55</v>
      </c>
    </row>
    <row r="5528" spans="1:20" ht="51" x14ac:dyDescent="0.25">
      <c r="A5528" s="6">
        <v>5507</v>
      </c>
      <c r="B5528" s="1" t="str">
        <f>"2022-229"</f>
        <v>2022-229</v>
      </c>
      <c r="C5528" s="1" t="s">
        <v>2459</v>
      </c>
      <c r="D5528" s="1" t="s">
        <v>3311</v>
      </c>
      <c r="E5528" s="1" t="str">
        <f>""</f>
        <v/>
      </c>
      <c r="F5528" s="1" t="s">
        <v>1860</v>
      </c>
      <c r="G5528" s="1" t="str">
        <f>CONCATENATE("BIOVIT D.O.O.,"," MATKA LAGINJE 13,"," 42000 VARAŽDIN,"," OIB: 7327541289")</f>
        <v>BIOVIT D.O.O., MATKA LAGINJE 13, 42000 VARAŽDIN, OIB: 7327541289</v>
      </c>
      <c r="H5528" s="7"/>
      <c r="I5528" s="8" t="s">
        <v>214</v>
      </c>
      <c r="J5528" s="7"/>
      <c r="K5528" s="6" t="str">
        <f>"21.212,70"</f>
        <v>21.212,70</v>
      </c>
      <c r="L5528" s="6" t="str">
        <f>"5.303,18"</f>
        <v>5.303,18</v>
      </c>
      <c r="M5528" s="6" t="str">
        <f>"26.515,88"</f>
        <v>26.515,88</v>
      </c>
      <c r="N5528" s="8" t="s">
        <v>892</v>
      </c>
      <c r="O5528" s="7"/>
      <c r="P5528" s="2">
        <v>26515.88</v>
      </c>
      <c r="Q5528" s="7"/>
      <c r="R5528" s="1"/>
      <c r="S5528" s="1" t="str">
        <f>"2022-6448"</f>
        <v>2022-6448</v>
      </c>
      <c r="T5528" s="1" t="s">
        <v>55</v>
      </c>
    </row>
    <row r="5529" spans="1:20" ht="51" x14ac:dyDescent="0.25">
      <c r="A5529" s="6">
        <v>5508</v>
      </c>
      <c r="B5529" s="1" t="str">
        <f>"2022-228"</f>
        <v>2022-228</v>
      </c>
      <c r="C5529" s="1" t="s">
        <v>2463</v>
      </c>
      <c r="D5529" s="1" t="s">
        <v>3311</v>
      </c>
      <c r="E5529" s="1" t="str">
        <f>""</f>
        <v/>
      </c>
      <c r="F5529" s="1" t="s">
        <v>1860</v>
      </c>
      <c r="G5529" s="1" t="str">
        <f>CONCATENATE("KEMIKA D.D.,"," HEINZELOVA 53,"," 10000 ZAGREB,"," OIB: 38181641213")</f>
        <v>KEMIKA D.D., HEINZELOVA 53, 10000 ZAGREB, OIB: 38181641213</v>
      </c>
      <c r="H5529" s="7"/>
      <c r="I5529" s="8" t="s">
        <v>214</v>
      </c>
      <c r="J5529" s="7"/>
      <c r="K5529" s="6" t="str">
        <f>"141.610,40"</f>
        <v>141.610,40</v>
      </c>
      <c r="L5529" s="6" t="str">
        <f>"19.539,36"</f>
        <v>19.539,36</v>
      </c>
      <c r="M5529" s="6" t="str">
        <f>"161.149,76"</f>
        <v>161.149,76</v>
      </c>
      <c r="N5529" s="8" t="s">
        <v>58</v>
      </c>
      <c r="O5529" s="7"/>
      <c r="P5529" s="2">
        <v>97696.76</v>
      </c>
      <c r="Q5529" s="7"/>
      <c r="R5529" s="1"/>
      <c r="S5529" s="1" t="str">
        <f>"2022-6452"</f>
        <v>2022-6452</v>
      </c>
      <c r="T5529" s="1" t="s">
        <v>55</v>
      </c>
    </row>
    <row r="5530" spans="1:20" ht="63.75" x14ac:dyDescent="0.25">
      <c r="A5530" s="6">
        <v>5509</v>
      </c>
      <c r="B5530" s="1" t="str">
        <f>"2022-584"</f>
        <v>2022-584</v>
      </c>
      <c r="C5530" s="1" t="s">
        <v>3441</v>
      </c>
      <c r="D5530" s="1" t="s">
        <v>3442</v>
      </c>
      <c r="E5530" s="1" t="str">
        <f>""</f>
        <v/>
      </c>
      <c r="F5530" s="1" t="s">
        <v>1860</v>
      </c>
      <c r="G5530" s="1" t="str">
        <f>CONCATENATE("CONTROLTECH D.O.O.,"," ULICA PETRA HEKTOROVIĆA 2,"," 10000 ZAGREB,"," OIB: 896035866")</f>
        <v>CONTROLTECH D.O.O., ULICA PETRA HEKTOROVIĆA 2, 10000 ZAGREB, OIB: 896035866</v>
      </c>
      <c r="H5530" s="7"/>
      <c r="I5530" s="8" t="s">
        <v>214</v>
      </c>
      <c r="J5530" s="7"/>
      <c r="K5530" s="6" t="str">
        <f>"11.625,08"</f>
        <v>11.625,08</v>
      </c>
      <c r="L5530" s="6" t="str">
        <f>"0,00"</f>
        <v>0,00</v>
      </c>
      <c r="M5530" s="6" t="str">
        <f>"11.625,08"</f>
        <v>11.625,08</v>
      </c>
      <c r="N5530" s="8" t="s">
        <v>124</v>
      </c>
      <c r="O5530" s="7"/>
      <c r="P5530" s="2">
        <v>0</v>
      </c>
      <c r="Q5530" s="7"/>
      <c r="R5530" s="1"/>
      <c r="S5530" s="1" t="str">
        <f>"2022-6454"</f>
        <v>2022-6454</v>
      </c>
      <c r="T5530" s="1" t="s">
        <v>55</v>
      </c>
    </row>
    <row r="5531" spans="1:20" ht="51" x14ac:dyDescent="0.25">
      <c r="A5531" s="6">
        <v>5510</v>
      </c>
      <c r="B5531" s="1" t="str">
        <f>"2022-977"</f>
        <v>2022-977</v>
      </c>
      <c r="C5531" s="1" t="s">
        <v>3310</v>
      </c>
      <c r="D5531" s="1" t="s">
        <v>1373</v>
      </c>
      <c r="E5531" s="1" t="str">
        <f>""</f>
        <v/>
      </c>
      <c r="F5531" s="1" t="s">
        <v>1860</v>
      </c>
      <c r="G5531" s="1" t="str">
        <f>CONCATENATE("LABENA D.O.O.,"," JARUŠČICA 7,"," 10000 ZAGREB,"," OIB: 09146496654")</f>
        <v>LABENA D.O.O., JARUŠČICA 7, 10000 ZAGREB, OIB: 09146496654</v>
      </c>
      <c r="H5531" s="7"/>
      <c r="I5531" s="8" t="s">
        <v>214</v>
      </c>
      <c r="J5531" s="7"/>
      <c r="K5531" s="6" t="str">
        <f>"7.470,00"</f>
        <v>7.470,00</v>
      </c>
      <c r="L5531" s="6" t="str">
        <f>"1.867,50"</f>
        <v>1.867,50</v>
      </c>
      <c r="M5531" s="6" t="str">
        <f>"9.337,50"</f>
        <v>9.337,50</v>
      </c>
      <c r="N5531" s="8" t="s">
        <v>310</v>
      </c>
      <c r="O5531" s="7"/>
      <c r="P5531" s="2">
        <v>9337.5</v>
      </c>
      <c r="Q5531" s="7"/>
      <c r="R5531" s="1"/>
      <c r="S5531" s="1" t="str">
        <f>"2022-6463"</f>
        <v>2022-6463</v>
      </c>
      <c r="T5531" s="1" t="s">
        <v>55</v>
      </c>
    </row>
    <row r="5532" spans="1:20" ht="51" x14ac:dyDescent="0.25">
      <c r="A5532" s="6">
        <v>5511</v>
      </c>
      <c r="B5532" s="1" t="str">
        <f>"2022-262"</f>
        <v>2022-262</v>
      </c>
      <c r="C5532" s="1" t="s">
        <v>2620</v>
      </c>
      <c r="D5532" s="1" t="s">
        <v>668</v>
      </c>
      <c r="E5532" s="1" t="str">
        <f>""</f>
        <v/>
      </c>
      <c r="F5532" s="1" t="s">
        <v>1860</v>
      </c>
      <c r="G5532" s="1" t="str">
        <f>CONCATENATE("VODOSKOK D.D.,"," ČULINEČKA CESTA 221/C,"," 10040 ZAGREB,"," OIB: 34134218058")</f>
        <v>VODOSKOK D.D., ČULINEČKA CESTA 221/C, 10040 ZAGREB, OIB: 34134218058</v>
      </c>
      <c r="H5532" s="7"/>
      <c r="I5532" s="8" t="s">
        <v>214</v>
      </c>
      <c r="J5532" s="7"/>
      <c r="K5532" s="6" t="str">
        <f>"2.992,80"</f>
        <v>2.992,80</v>
      </c>
      <c r="L5532" s="6" t="str">
        <f>"748,20"</f>
        <v>748,20</v>
      </c>
      <c r="M5532" s="6" t="str">
        <f>"3.741,00"</f>
        <v>3.741,00</v>
      </c>
      <c r="N5532" s="8" t="s">
        <v>301</v>
      </c>
      <c r="O5532" s="7"/>
      <c r="P5532" s="2">
        <v>3741</v>
      </c>
      <c r="Q5532" s="7"/>
      <c r="R5532" s="1"/>
      <c r="S5532" s="1" t="str">
        <f>"2022-6464"</f>
        <v>2022-6464</v>
      </c>
      <c r="T5532" s="1" t="s">
        <v>55</v>
      </c>
    </row>
    <row r="5533" spans="1:20" ht="63.75" x14ac:dyDescent="0.25">
      <c r="A5533" s="6">
        <v>5512</v>
      </c>
      <c r="B5533" s="1" t="str">
        <f>"2022-816"</f>
        <v>2022-816</v>
      </c>
      <c r="C5533" s="1" t="s">
        <v>3386</v>
      </c>
      <c r="D5533" s="1" t="s">
        <v>2716</v>
      </c>
      <c r="E5533" s="1" t="str">
        <f>""</f>
        <v/>
      </c>
      <c r="F5533" s="1" t="s">
        <v>1860</v>
      </c>
      <c r="G5533" s="1" t="str">
        <f>CONCATENATE("TERRATOM D.O.O.,"," KERESTINEC,"," MIHOLIĆI 11,"," 10431 SVETA NEDJELJA,"," OIB: 44009719915")</f>
        <v>TERRATOM D.O.O., KERESTINEC, MIHOLIĆI 11, 10431 SVETA NEDJELJA, OIB: 44009719915</v>
      </c>
      <c r="H5533" s="7"/>
      <c r="I5533" s="8" t="s">
        <v>214</v>
      </c>
      <c r="J5533" s="7"/>
      <c r="K5533" s="6" t="str">
        <f>"3.779,63"</f>
        <v>3.779,63</v>
      </c>
      <c r="L5533" s="6" t="str">
        <f>"944,91"</f>
        <v>944,91</v>
      </c>
      <c r="M5533" s="6" t="str">
        <f>"4.724,54"</f>
        <v>4.724,54</v>
      </c>
      <c r="N5533" s="8" t="s">
        <v>1123</v>
      </c>
      <c r="O5533" s="7"/>
      <c r="P5533" s="2">
        <v>4724.54</v>
      </c>
      <c r="Q5533" s="7"/>
      <c r="R5533" s="1"/>
      <c r="S5533" s="1" t="str">
        <f>"2022-6466"</f>
        <v>2022-6466</v>
      </c>
      <c r="T5533" s="1" t="s">
        <v>55</v>
      </c>
    </row>
    <row r="5534" spans="1:20" ht="51" x14ac:dyDescent="0.25">
      <c r="A5534" s="6">
        <v>5513</v>
      </c>
      <c r="B5534" s="1" t="str">
        <f>"2022-960"</f>
        <v>2022-960</v>
      </c>
      <c r="C5534" s="1" t="s">
        <v>3408</v>
      </c>
      <c r="D5534" s="1" t="s">
        <v>1373</v>
      </c>
      <c r="E5534" s="1" t="str">
        <f>""</f>
        <v/>
      </c>
      <c r="F5534" s="1" t="s">
        <v>1860</v>
      </c>
      <c r="G5534" s="1" t="str">
        <f>CONCATENATE("BENNING ZAGREB D.O.O.,"," TRNJANSKA 61,"," 10000 ZAGREB,"," OIB: 60930344089")</f>
        <v>BENNING ZAGREB D.O.O., TRNJANSKA 61, 10000 ZAGREB, OIB: 60930344089</v>
      </c>
      <c r="H5534" s="7"/>
      <c r="I5534" s="8" t="s">
        <v>214</v>
      </c>
      <c r="J5534" s="7"/>
      <c r="K5534" s="6" t="str">
        <f>"44.319,00"</f>
        <v>44.319,00</v>
      </c>
      <c r="L5534" s="6" t="str">
        <f>"0,00"</f>
        <v>0,00</v>
      </c>
      <c r="M5534" s="6" t="str">
        <f>"44.319,00"</f>
        <v>44.319,00</v>
      </c>
      <c r="N5534" s="8" t="s">
        <v>124</v>
      </c>
      <c r="O5534" s="7"/>
      <c r="P5534" s="2">
        <v>0</v>
      </c>
      <c r="Q5534" s="7"/>
      <c r="R5534" s="1"/>
      <c r="S5534" s="1" t="str">
        <f>"2022-6467"</f>
        <v>2022-6467</v>
      </c>
      <c r="T5534" s="1" t="s">
        <v>55</v>
      </c>
    </row>
    <row r="5535" spans="1:20" ht="63.75" x14ac:dyDescent="0.25">
      <c r="A5535" s="6">
        <v>5514</v>
      </c>
      <c r="B5535" s="1" t="str">
        <f>"2022-382"</f>
        <v>2022-382</v>
      </c>
      <c r="C5535" s="1" t="s">
        <v>2700</v>
      </c>
      <c r="D5535" s="1" t="s">
        <v>3337</v>
      </c>
      <c r="E5535" s="1" t="str">
        <f>""</f>
        <v/>
      </c>
      <c r="F5535" s="1" t="s">
        <v>1860</v>
      </c>
      <c r="G5535" s="1" t="str">
        <f>CONCATENATE("EOL KLJUČEVI. OBRT ZA USLUGE VL. ROBERT BOŽIĆ,"," MARČELJI 126,"," 51216 VIŠKOVO,"," OIB: 7989720814")</f>
        <v>EOL KLJUČEVI. OBRT ZA USLUGE VL. ROBERT BOŽIĆ, MARČELJI 126, 51216 VIŠKOVO, OIB: 7989720814</v>
      </c>
      <c r="H5535" s="7"/>
      <c r="I5535" s="8" t="s">
        <v>214</v>
      </c>
      <c r="J5535" s="7"/>
      <c r="K5535" s="6" t="str">
        <f>"22.440,00"</f>
        <v>22.440,00</v>
      </c>
      <c r="L5535" s="6" t="str">
        <f>"5.610,00"</f>
        <v>5.610,00</v>
      </c>
      <c r="M5535" s="6" t="str">
        <f>"28.050,00"</f>
        <v>28.050,00</v>
      </c>
      <c r="N5535" s="8" t="s">
        <v>31</v>
      </c>
      <c r="O5535" s="7"/>
      <c r="P5535" s="2">
        <v>28050</v>
      </c>
      <c r="Q5535" s="7"/>
      <c r="R5535" s="1"/>
      <c r="S5535" s="1" t="str">
        <f>"2022-6468"</f>
        <v>2022-6468</v>
      </c>
      <c r="T5535" s="1" t="s">
        <v>55</v>
      </c>
    </row>
    <row r="5536" spans="1:20" ht="51" x14ac:dyDescent="0.25">
      <c r="A5536" s="6">
        <v>5515</v>
      </c>
      <c r="B5536" s="1" t="str">
        <f>"2022-189"</f>
        <v>2022-189</v>
      </c>
      <c r="C5536" s="1" t="s">
        <v>2612</v>
      </c>
      <c r="D5536" s="1" t="s">
        <v>3412</v>
      </c>
      <c r="E5536" s="1" t="str">
        <f>""</f>
        <v/>
      </c>
      <c r="F5536" s="1" t="s">
        <v>1860</v>
      </c>
      <c r="G5536" s="1" t="str">
        <f>CONCATENATE("ALFA PRINT D.O.O.,"," ANTE MIKE TRIPALA 9,"," 10000 ZAGREB,"," OIB: 197473974")</f>
        <v>ALFA PRINT D.O.O., ANTE MIKE TRIPALA 9, 10000 ZAGREB, OIB: 197473974</v>
      </c>
      <c r="H5536" s="7"/>
      <c r="I5536" s="8" t="s">
        <v>214</v>
      </c>
      <c r="J5536" s="7"/>
      <c r="K5536" s="6" t="str">
        <f>"4.680,00"</f>
        <v>4.680,00</v>
      </c>
      <c r="L5536" s="6" t="str">
        <f>"1.170,00"</f>
        <v>1.170,00</v>
      </c>
      <c r="M5536" s="6" t="str">
        <f>"5.850,00"</f>
        <v>5.850,00</v>
      </c>
      <c r="N5536" s="8" t="s">
        <v>625</v>
      </c>
      <c r="O5536" s="7"/>
      <c r="P5536" s="2">
        <v>5850</v>
      </c>
      <c r="Q5536" s="7"/>
      <c r="R5536" s="1"/>
      <c r="S5536" s="1" t="str">
        <f>"2022-6469"</f>
        <v>2022-6469</v>
      </c>
      <c r="T5536" s="1" t="s">
        <v>55</v>
      </c>
    </row>
    <row r="5537" spans="1:20" ht="51" x14ac:dyDescent="0.25">
      <c r="A5537" s="6">
        <v>5516</v>
      </c>
      <c r="B5537" s="1" t="str">
        <f>"2022-459"</f>
        <v>2022-459</v>
      </c>
      <c r="C5537" s="1" t="s">
        <v>2795</v>
      </c>
      <c r="D5537" s="1" t="s">
        <v>1621</v>
      </c>
      <c r="E5537" s="1" t="str">
        <f>""</f>
        <v/>
      </c>
      <c r="F5537" s="1" t="s">
        <v>1860</v>
      </c>
      <c r="G5537" s="1" t="str">
        <f>CONCATENATE("DREZGA D.O.O.,"," OBRTNIČKA 2,"," 10437 BESTOVJE,"," OIB: 46535283602")</f>
        <v>DREZGA D.O.O., OBRTNIČKA 2, 10437 BESTOVJE, OIB: 46535283602</v>
      </c>
      <c r="H5537" s="7"/>
      <c r="I5537" s="8" t="s">
        <v>214</v>
      </c>
      <c r="J5537" s="7"/>
      <c r="K5537" s="6" t="str">
        <f>"1.850,40"</f>
        <v>1.850,40</v>
      </c>
      <c r="L5537" s="6" t="str">
        <f>"462,60"</f>
        <v>462,60</v>
      </c>
      <c r="M5537" s="6" t="str">
        <f>"2.313,00"</f>
        <v>2.313,00</v>
      </c>
      <c r="N5537" s="8" t="s">
        <v>310</v>
      </c>
      <c r="O5537" s="7"/>
      <c r="P5537" s="2">
        <v>2313</v>
      </c>
      <c r="Q5537" s="7"/>
      <c r="R5537" s="1"/>
      <c r="S5537" s="1" t="str">
        <f>"2022-6470"</f>
        <v>2022-6470</v>
      </c>
      <c r="T5537" s="1" t="s">
        <v>55</v>
      </c>
    </row>
    <row r="5538" spans="1:20" ht="63.75" x14ac:dyDescent="0.25">
      <c r="A5538" s="6">
        <v>5517</v>
      </c>
      <c r="B5538" s="1" t="str">
        <f>"2022-816"</f>
        <v>2022-816</v>
      </c>
      <c r="C5538" s="1" t="s">
        <v>3386</v>
      </c>
      <c r="D5538" s="1" t="s">
        <v>2716</v>
      </c>
      <c r="E5538" s="1" t="str">
        <f>""</f>
        <v/>
      </c>
      <c r="F5538" s="1" t="s">
        <v>1860</v>
      </c>
      <c r="G5538" s="1" t="str">
        <f>CONCATENATE("TERRATOM D.O.O.,"," KERESTINEC,"," MIHOLIĆI 11,"," 10431 SVETA NEDJELJA,"," OIB: 44009719915")</f>
        <v>TERRATOM D.O.O., KERESTINEC, MIHOLIĆI 11, 10431 SVETA NEDJELJA, OIB: 44009719915</v>
      </c>
      <c r="H5538" s="7"/>
      <c r="I5538" s="8" t="s">
        <v>214</v>
      </c>
      <c r="J5538" s="7"/>
      <c r="K5538" s="6" t="str">
        <f>"2.540,00"</f>
        <v>2.540,00</v>
      </c>
      <c r="L5538" s="6" t="str">
        <f>"635,00"</f>
        <v>635,00</v>
      </c>
      <c r="M5538" s="6" t="str">
        <f>"3.175,00"</f>
        <v>3.175,00</v>
      </c>
      <c r="N5538" s="8" t="s">
        <v>310</v>
      </c>
      <c r="O5538" s="7"/>
      <c r="P5538" s="2">
        <v>3175</v>
      </c>
      <c r="Q5538" s="7"/>
      <c r="R5538" s="1"/>
      <c r="S5538" s="1" t="str">
        <f>"2022-6471"</f>
        <v>2022-6471</v>
      </c>
      <c r="T5538" s="1" t="s">
        <v>55</v>
      </c>
    </row>
    <row r="5539" spans="1:20" ht="63.75" x14ac:dyDescent="0.25">
      <c r="A5539" s="6">
        <v>5518</v>
      </c>
      <c r="B5539" s="1" t="str">
        <f>"2022-939"</f>
        <v>2022-939</v>
      </c>
      <c r="C5539" s="1" t="s">
        <v>3331</v>
      </c>
      <c r="D5539" s="1" t="s">
        <v>1150</v>
      </c>
      <c r="E5539" s="1" t="str">
        <f>""</f>
        <v/>
      </c>
      <c r="F5539" s="1" t="s">
        <v>1860</v>
      </c>
      <c r="G5539" s="1" t="str">
        <f>CONCATENATE("HIDRO-METAL,"," VL. BISERKA BEJDIĆ,"," SLAVKA KOLARA 24,"," 47250 DUGA RESA,"," OIB: 2551798954")</f>
        <v>HIDRO-METAL, VL. BISERKA BEJDIĆ, SLAVKA KOLARA 24, 47250 DUGA RESA, OIB: 2551798954</v>
      </c>
      <c r="H5539" s="7"/>
      <c r="I5539" s="8" t="s">
        <v>214</v>
      </c>
      <c r="J5539" s="7"/>
      <c r="K5539" s="6" t="str">
        <f>"4.684,80"</f>
        <v>4.684,80</v>
      </c>
      <c r="L5539" s="6" t="str">
        <f>"1.171,20"</f>
        <v>1.171,20</v>
      </c>
      <c r="M5539" s="6" t="str">
        <f>"5.856,00"</f>
        <v>5.856,00</v>
      </c>
      <c r="N5539" s="8" t="s">
        <v>310</v>
      </c>
      <c r="O5539" s="7"/>
      <c r="P5539" s="2">
        <v>5856</v>
      </c>
      <c r="Q5539" s="7"/>
      <c r="R5539" s="1"/>
      <c r="S5539" s="1" t="str">
        <f>"2022-6473"</f>
        <v>2022-6473</v>
      </c>
      <c r="T5539" s="1" t="s">
        <v>55</v>
      </c>
    </row>
    <row r="5540" spans="1:20" ht="51" x14ac:dyDescent="0.25">
      <c r="A5540" s="6">
        <v>5519</v>
      </c>
      <c r="B5540" s="1" t="str">
        <f>"2022-825"</f>
        <v>2022-825</v>
      </c>
      <c r="C5540" s="1" t="s">
        <v>2492</v>
      </c>
      <c r="D5540" s="1" t="s">
        <v>2493</v>
      </c>
      <c r="E5540" s="1" t="str">
        <f>""</f>
        <v/>
      </c>
      <c r="F5540" s="1" t="s">
        <v>1860</v>
      </c>
      <c r="G5540" s="1" t="str">
        <f>CONCATENATE("T.P.Z.  D.O.O.,"," NOVOSELSKA 25,"," 10040 ZAGREB,"," OIB: 68119083236")</f>
        <v>T.P.Z.  D.O.O., NOVOSELSKA 25, 10040 ZAGREB, OIB: 68119083236</v>
      </c>
      <c r="H5540" s="7"/>
      <c r="I5540" s="8" t="s">
        <v>365</v>
      </c>
      <c r="J5540" s="7"/>
      <c r="K5540" s="6" t="str">
        <f>"15.952,05"</f>
        <v>15.952,05</v>
      </c>
      <c r="L5540" s="6" t="str">
        <f>"3.988,01"</f>
        <v>3.988,01</v>
      </c>
      <c r="M5540" s="6" t="str">
        <f>"19.940,06"</f>
        <v>19.940,06</v>
      </c>
      <c r="N5540" s="8" t="s">
        <v>1122</v>
      </c>
      <c r="O5540" s="7"/>
      <c r="P5540" s="2">
        <v>19940.060000000001</v>
      </c>
      <c r="Q5540" s="7"/>
      <c r="R5540" s="1"/>
      <c r="S5540" s="1" t="str">
        <f>"2022-6484"</f>
        <v>2022-6484</v>
      </c>
      <c r="T5540" s="1" t="s">
        <v>55</v>
      </c>
    </row>
    <row r="5541" spans="1:20" ht="63.75" x14ac:dyDescent="0.25">
      <c r="A5541" s="6">
        <v>5520</v>
      </c>
      <c r="B5541" s="1" t="str">
        <f>"2022-716"</f>
        <v>2022-716</v>
      </c>
      <c r="C5541" s="1" t="s">
        <v>2563</v>
      </c>
      <c r="D5541" s="1" t="s">
        <v>815</v>
      </c>
      <c r="E5541" s="1" t="str">
        <f>""</f>
        <v/>
      </c>
      <c r="F5541" s="1" t="s">
        <v>1860</v>
      </c>
      <c r="G5541" s="1" t="str">
        <f>CONCATENATE("MB AUTO PRODAJNO SERVISNI CENTAR D.O.O.,"," KOLEDOVČINA 8,"," 10000 ZAGREB,"," OIB: 68993879966")</f>
        <v>MB AUTO PRODAJNO SERVISNI CENTAR D.O.O., KOLEDOVČINA 8, 10000 ZAGREB, OIB: 68993879966</v>
      </c>
      <c r="H5541" s="7"/>
      <c r="I5541" s="8" t="s">
        <v>365</v>
      </c>
      <c r="J5541" s="7"/>
      <c r="K5541" s="6" t="str">
        <f>"1.381,00"</f>
        <v>1.381,00</v>
      </c>
      <c r="L5541" s="6" t="str">
        <f>"345,25"</f>
        <v>345,25</v>
      </c>
      <c r="M5541" s="6" t="str">
        <f>"1.726,25"</f>
        <v>1.726,25</v>
      </c>
      <c r="N5541" s="8" t="s">
        <v>310</v>
      </c>
      <c r="O5541" s="7"/>
      <c r="P5541" s="2">
        <v>1726.25</v>
      </c>
      <c r="Q5541" s="7"/>
      <c r="R5541" s="1"/>
      <c r="S5541" s="1" t="str">
        <f>"2022-6490"</f>
        <v>2022-6490</v>
      </c>
      <c r="T5541" s="1" t="s">
        <v>55</v>
      </c>
    </row>
    <row r="5542" spans="1:20" ht="51" x14ac:dyDescent="0.25">
      <c r="A5542" s="6">
        <v>5521</v>
      </c>
      <c r="B5542" s="1" t="str">
        <f>"2022-715"</f>
        <v>2022-715</v>
      </c>
      <c r="C5542" s="1" t="s">
        <v>2733</v>
      </c>
      <c r="D5542" s="1" t="s">
        <v>815</v>
      </c>
      <c r="E5542" s="1" t="str">
        <f>""</f>
        <v/>
      </c>
      <c r="F5542" s="1" t="s">
        <v>1860</v>
      </c>
      <c r="G5542" s="1" t="str">
        <f>CONCATENATE("AUTOKUĆA-ŠTARKELJ D.O.O.,"," UKRAJINSKA 17,"," 10000 ZAGREB,"," OIB: 87340407905")</f>
        <v>AUTOKUĆA-ŠTARKELJ D.O.O., UKRAJINSKA 17, 10000 ZAGREB, OIB: 87340407905</v>
      </c>
      <c r="H5542" s="7"/>
      <c r="I5542" s="8" t="s">
        <v>365</v>
      </c>
      <c r="J5542" s="7"/>
      <c r="K5542" s="6" t="str">
        <f>"3.562,88"</f>
        <v>3.562,88</v>
      </c>
      <c r="L5542" s="6" t="str">
        <f>"890,72"</f>
        <v>890,72</v>
      </c>
      <c r="M5542" s="6" t="str">
        <f>"4.453,60"</f>
        <v>4.453,60</v>
      </c>
      <c r="N5542" s="8" t="s">
        <v>1122</v>
      </c>
      <c r="O5542" s="7"/>
      <c r="P5542" s="2">
        <v>4453.6000000000004</v>
      </c>
      <c r="Q5542" s="7"/>
      <c r="R5542" s="1"/>
      <c r="S5542" s="1" t="str">
        <f>"2022-6505"</f>
        <v>2022-6505</v>
      </c>
      <c r="T5542" s="1" t="s">
        <v>55</v>
      </c>
    </row>
    <row r="5543" spans="1:20" ht="51" x14ac:dyDescent="0.25">
      <c r="A5543" s="6">
        <v>5522</v>
      </c>
      <c r="B5543" s="1" t="str">
        <f>"2022-813"</f>
        <v>2022-813</v>
      </c>
      <c r="C5543" s="1" t="s">
        <v>2844</v>
      </c>
      <c r="D5543" s="1" t="s">
        <v>2716</v>
      </c>
      <c r="E5543" s="1" t="str">
        <f>""</f>
        <v/>
      </c>
      <c r="F5543" s="1" t="s">
        <v>1860</v>
      </c>
      <c r="G5543" s="1" t="str">
        <f>CONCATENATE("AUTOKUĆA-ŠTARKELJ D.O.O.,"," UKRAJINSKA 17,"," 10000 ZAGREB,"," OIB: 87340407905")</f>
        <v>AUTOKUĆA-ŠTARKELJ D.O.O., UKRAJINSKA 17, 10000 ZAGREB, OIB: 87340407905</v>
      </c>
      <c r="H5543" s="7"/>
      <c r="I5543" s="8" t="s">
        <v>365</v>
      </c>
      <c r="J5543" s="7"/>
      <c r="K5543" s="6" t="str">
        <f>"12.207,55"</f>
        <v>12.207,55</v>
      </c>
      <c r="L5543" s="6" t="str">
        <f>"2.798,28"</f>
        <v>2.798,28</v>
      </c>
      <c r="M5543" s="6" t="str">
        <f>"15.005,83"</f>
        <v>15.005,83</v>
      </c>
      <c r="N5543" s="8" t="s">
        <v>1122</v>
      </c>
      <c r="O5543" s="7"/>
      <c r="P5543" s="2">
        <v>13991.37</v>
      </c>
      <c r="Q5543" s="7"/>
      <c r="R5543" s="1"/>
      <c r="S5543" s="1" t="str">
        <f>"2022-6506"</f>
        <v>2022-6506</v>
      </c>
      <c r="T5543" s="1" t="s">
        <v>55</v>
      </c>
    </row>
    <row r="5544" spans="1:20" ht="63.75" x14ac:dyDescent="0.25">
      <c r="A5544" s="6">
        <v>5523</v>
      </c>
      <c r="B5544" s="1" t="str">
        <f>"2022-960"</f>
        <v>2022-960</v>
      </c>
      <c r="C5544" s="1" t="s">
        <v>3408</v>
      </c>
      <c r="D5544" s="1" t="s">
        <v>1373</v>
      </c>
      <c r="E5544" s="1" t="str">
        <f>""</f>
        <v/>
      </c>
      <c r="F5544" s="1" t="s">
        <v>1860</v>
      </c>
      <c r="G5544" s="1" t="str">
        <f>CONCATENATE("ELEKTRO-KOMUNIKACIJE D.O.O.,"," 14. PODBREŽJE 4,"," 10000 ZAGREB,"," OIB: 76412373309")</f>
        <v>ELEKTRO-KOMUNIKACIJE D.O.O., 14. PODBREŽJE 4, 10000 ZAGREB, OIB: 76412373309</v>
      </c>
      <c r="H5544" s="7"/>
      <c r="I5544" s="8" t="s">
        <v>365</v>
      </c>
      <c r="J5544" s="7"/>
      <c r="K5544" s="6" t="str">
        <f>"161,70"</f>
        <v>161,70</v>
      </c>
      <c r="L5544" s="6" t="str">
        <f>"40,43"</f>
        <v>40,43</v>
      </c>
      <c r="M5544" s="6" t="str">
        <f>"202,13"</f>
        <v>202,13</v>
      </c>
      <c r="N5544" s="8" t="s">
        <v>81</v>
      </c>
      <c r="O5544" s="7"/>
      <c r="P5544" s="2">
        <v>202.13</v>
      </c>
      <c r="Q5544" s="7"/>
      <c r="R5544" s="1"/>
      <c r="S5544" s="1" t="str">
        <f>"2022-6507"</f>
        <v>2022-6507</v>
      </c>
      <c r="T5544" s="1" t="s">
        <v>55</v>
      </c>
    </row>
    <row r="5545" spans="1:20" ht="51" x14ac:dyDescent="0.25">
      <c r="A5545" s="6">
        <v>5524</v>
      </c>
      <c r="B5545" s="1" t="str">
        <f>"2022-535"</f>
        <v>2022-535</v>
      </c>
      <c r="C5545" s="1" t="s">
        <v>2561</v>
      </c>
      <c r="D5545" s="1" t="s">
        <v>2156</v>
      </c>
      <c r="E5545" s="1" t="str">
        <f>""</f>
        <v/>
      </c>
      <c r="F5545" s="1" t="s">
        <v>1860</v>
      </c>
      <c r="G5545" s="1" t="str">
        <f>CONCATENATE("NARODNE NOVINE D.D.,"," SAVSKI GAJ XIII. PUT br. 6,"," 10000 ZAGREB,"," OIB: 64546066176")</f>
        <v>NARODNE NOVINE D.D., SAVSKI GAJ XIII. PUT br. 6, 10000 ZAGREB, OIB: 64546066176</v>
      </c>
      <c r="H5545" s="7"/>
      <c r="I5545" s="8" t="s">
        <v>365</v>
      </c>
      <c r="J5545" s="7"/>
      <c r="K5545" s="6" t="str">
        <f>"5.085,00"</f>
        <v>5.085,00</v>
      </c>
      <c r="L5545" s="6" t="str">
        <f>"0,00"</f>
        <v>0,00</v>
      </c>
      <c r="M5545" s="6" t="str">
        <f>"5.085,00"</f>
        <v>5.085,00</v>
      </c>
      <c r="N5545" s="8" t="s">
        <v>124</v>
      </c>
      <c r="O5545" s="7"/>
      <c r="P5545" s="2">
        <v>0</v>
      </c>
      <c r="Q5545" s="7"/>
      <c r="R5545" s="1"/>
      <c r="S5545" s="1" t="str">
        <f>"2022-6509"</f>
        <v>2022-6509</v>
      </c>
      <c r="T5545" s="1" t="s">
        <v>55</v>
      </c>
    </row>
    <row r="5546" spans="1:20" ht="63.75" x14ac:dyDescent="0.25">
      <c r="A5546" s="6">
        <v>5525</v>
      </c>
      <c r="B5546" s="1" t="str">
        <f>"2022-584"</f>
        <v>2022-584</v>
      </c>
      <c r="C5546" s="1" t="s">
        <v>3441</v>
      </c>
      <c r="D5546" s="1" t="s">
        <v>3442</v>
      </c>
      <c r="E5546" s="1" t="str">
        <f>""</f>
        <v/>
      </c>
      <c r="F5546" s="1" t="s">
        <v>1860</v>
      </c>
      <c r="G5546" s="1" t="str">
        <f>CONCATENATE("CONTROLTECH D.O.O.,"," ULICA PETRA HEKTOROVIĆA 2,"," 10000 ZAGREB,"," OIB: 896035866")</f>
        <v>CONTROLTECH D.O.O., ULICA PETRA HEKTOROVIĆA 2, 10000 ZAGREB, OIB: 896035866</v>
      </c>
      <c r="H5546" s="7"/>
      <c r="I5546" s="8" t="s">
        <v>365</v>
      </c>
      <c r="J5546" s="7"/>
      <c r="K5546" s="6" t="str">
        <f>"16.274,41"</f>
        <v>16.274,41</v>
      </c>
      <c r="L5546" s="6" t="str">
        <f>"4.068,60"</f>
        <v>4.068,60</v>
      </c>
      <c r="M5546" s="6" t="str">
        <f>"20.343,01"</f>
        <v>20.343,01</v>
      </c>
      <c r="N5546" s="8" t="s">
        <v>409</v>
      </c>
      <c r="O5546" s="7"/>
      <c r="P5546" s="2">
        <v>20343.009999999998</v>
      </c>
      <c r="Q5546" s="7"/>
      <c r="R5546" s="1"/>
      <c r="S5546" s="1" t="str">
        <f>"2022-6511"</f>
        <v>2022-6511</v>
      </c>
      <c r="T5546" s="1" t="s">
        <v>55</v>
      </c>
    </row>
    <row r="5547" spans="1:20" ht="51" x14ac:dyDescent="0.25">
      <c r="A5547" s="6">
        <v>5526</v>
      </c>
      <c r="B5547" s="1" t="str">
        <f>"2022-189"</f>
        <v>2022-189</v>
      </c>
      <c r="C5547" s="1" t="s">
        <v>2612</v>
      </c>
      <c r="D5547" s="1" t="s">
        <v>3412</v>
      </c>
      <c r="E5547" s="1" t="str">
        <f>""</f>
        <v/>
      </c>
      <c r="F5547" s="1" t="s">
        <v>1860</v>
      </c>
      <c r="G5547" s="1" t="str">
        <f>CONCATENATE("ELCON D.O.O.,"," MEĐIMURSKA 2,"," 42000 VARAŽDIN,"," OIB: 69554624078")</f>
        <v>ELCON D.O.O., MEĐIMURSKA 2, 42000 VARAŽDIN, OIB: 69554624078</v>
      </c>
      <c r="H5547" s="7"/>
      <c r="I5547" s="8" t="s">
        <v>365</v>
      </c>
      <c r="J5547" s="7"/>
      <c r="K5547" s="6" t="str">
        <f>"640,00"</f>
        <v>640,00</v>
      </c>
      <c r="L5547" s="6" t="str">
        <f>"160,00"</f>
        <v>160,00</v>
      </c>
      <c r="M5547" s="6" t="str">
        <f>"800,00"</f>
        <v>800,00</v>
      </c>
      <c r="N5547" s="8" t="s">
        <v>81</v>
      </c>
      <c r="O5547" s="7"/>
      <c r="P5547" s="2">
        <v>800</v>
      </c>
      <c r="Q5547" s="7"/>
      <c r="R5547" s="1"/>
      <c r="S5547" s="1" t="str">
        <f>"2022-6513"</f>
        <v>2022-6513</v>
      </c>
      <c r="T5547" s="1" t="s">
        <v>55</v>
      </c>
    </row>
    <row r="5548" spans="1:20" ht="63.75" x14ac:dyDescent="0.25">
      <c r="A5548" s="6">
        <v>5527</v>
      </c>
      <c r="B5548" s="1" t="str">
        <f>"2022-1716"</f>
        <v>2022-1716</v>
      </c>
      <c r="C5548" s="1" t="s">
        <v>3369</v>
      </c>
      <c r="D5548" s="1" t="s">
        <v>745</v>
      </c>
      <c r="E5548" s="1" t="str">
        <f>""</f>
        <v/>
      </c>
      <c r="F5548" s="1" t="s">
        <v>1860</v>
      </c>
      <c r="G5548" s="1" t="str">
        <f>CONCATENATE("KEMOBOJA-DUBRAVA D.O.O.,"," AVENIJA DUBRAVA 37,"," 10000 ZAGREB,"," OIB: 6402157427")</f>
        <v>KEMOBOJA-DUBRAVA D.O.O., AVENIJA DUBRAVA 37, 10000 ZAGREB, OIB: 6402157427</v>
      </c>
      <c r="H5548" s="7"/>
      <c r="I5548" s="8" t="s">
        <v>365</v>
      </c>
      <c r="J5548" s="7"/>
      <c r="K5548" s="6" t="str">
        <f>"3.588,65"</f>
        <v>3.588,65</v>
      </c>
      <c r="L5548" s="6" t="str">
        <f>"897,16"</f>
        <v>897,16</v>
      </c>
      <c r="M5548" s="6" t="str">
        <f>"4.485,81"</f>
        <v>4.485,81</v>
      </c>
      <c r="N5548" s="8" t="s">
        <v>54</v>
      </c>
      <c r="O5548" s="7"/>
      <c r="P5548" s="2">
        <v>4485.8100000000004</v>
      </c>
      <c r="Q5548" s="7"/>
      <c r="R5548" s="1"/>
      <c r="S5548" s="1" t="str">
        <f>"2022-6514"</f>
        <v>2022-6514</v>
      </c>
      <c r="T5548" s="1" t="s">
        <v>55</v>
      </c>
    </row>
    <row r="5549" spans="1:20" ht="51" x14ac:dyDescent="0.25">
      <c r="A5549" s="6">
        <v>5528</v>
      </c>
      <c r="B5549" s="1" t="str">
        <f>"2022-500"</f>
        <v>2022-500</v>
      </c>
      <c r="C5549" s="1" t="s">
        <v>3276</v>
      </c>
      <c r="D5549" s="1" t="s">
        <v>3443</v>
      </c>
      <c r="E5549" s="1" t="str">
        <f>""</f>
        <v/>
      </c>
      <c r="F5549" s="1" t="s">
        <v>1860</v>
      </c>
      <c r="G5549" s="1" t="str">
        <f>CONCATENATE("ELEKTRO PAVIKO D.O.O.,"," BAŠTIJANOVA 1A,"," 10000 ZAGREB,"," OIB: 49100698114")</f>
        <v>ELEKTRO PAVIKO D.O.O., BAŠTIJANOVA 1A, 10000 ZAGREB, OIB: 49100698114</v>
      </c>
      <c r="H5549" s="7"/>
      <c r="I5549" s="8" t="s">
        <v>565</v>
      </c>
      <c r="J5549" s="7"/>
      <c r="K5549" s="6" t="str">
        <f>"17.503,50"</f>
        <v>17.503,50</v>
      </c>
      <c r="L5549" s="6" t="str">
        <f>"0,00"</f>
        <v>0,00</v>
      </c>
      <c r="M5549" s="6" t="str">
        <f>"17.503,50"</f>
        <v>17.503,50</v>
      </c>
      <c r="N5549" s="8" t="s">
        <v>124</v>
      </c>
      <c r="O5549" s="7"/>
      <c r="P5549" s="2">
        <v>0</v>
      </c>
      <c r="Q5549" s="7"/>
      <c r="R5549" s="1"/>
      <c r="S5549" s="1" t="str">
        <f>"2022-6525"</f>
        <v>2022-6525</v>
      </c>
      <c r="T5549" s="1" t="s">
        <v>55</v>
      </c>
    </row>
    <row r="5550" spans="1:20" ht="63.75" x14ac:dyDescent="0.25">
      <c r="A5550" s="6">
        <v>5529</v>
      </c>
      <c r="B5550" s="1" t="str">
        <f>"2022-1722"</f>
        <v>2022-1722</v>
      </c>
      <c r="C5550" s="1" t="s">
        <v>1555</v>
      </c>
      <c r="D5550" s="1" t="s">
        <v>1553</v>
      </c>
      <c r="E5550" s="1" t="str">
        <f>""</f>
        <v/>
      </c>
      <c r="F5550" s="1" t="s">
        <v>1860</v>
      </c>
      <c r="G5550" s="1" t="str">
        <f>CONCATENATE("C.I.A.K. AUTO D.O.O.,"," GORNJOSTUPNIČKA 96,"," 10255 GORNJI STUPNIK,"," OIB: 62595301902")</f>
        <v>C.I.A.K. AUTO D.O.O., GORNJOSTUPNIČKA 96, 10255 GORNJI STUPNIK, OIB: 62595301902</v>
      </c>
      <c r="H5550" s="7"/>
      <c r="I5550" s="8" t="s">
        <v>285</v>
      </c>
      <c r="J5550" s="7"/>
      <c r="K5550" s="6" t="str">
        <f>"8.090,80"</f>
        <v>8.090,80</v>
      </c>
      <c r="L5550" s="6" t="str">
        <f>"0,00"</f>
        <v>0,00</v>
      </c>
      <c r="M5550" s="6" t="str">
        <f>"8.090,80"</f>
        <v>8.090,80</v>
      </c>
      <c r="N5550" s="8" t="s">
        <v>124</v>
      </c>
      <c r="O5550" s="7"/>
      <c r="P5550" s="2">
        <v>0</v>
      </c>
      <c r="Q5550" s="7"/>
      <c r="R5550" s="1"/>
      <c r="S5550" s="1" t="str">
        <f>"2022-6569"</f>
        <v>2022-6569</v>
      </c>
      <c r="T5550" s="1" t="s">
        <v>55</v>
      </c>
    </row>
    <row r="5551" spans="1:20" ht="63.75" x14ac:dyDescent="0.25">
      <c r="A5551" s="6">
        <v>5530</v>
      </c>
      <c r="B5551" s="1" t="str">
        <f>"2022-587"</f>
        <v>2022-587</v>
      </c>
      <c r="C5551" s="1" t="s">
        <v>3319</v>
      </c>
      <c r="D5551" s="1" t="s">
        <v>3320</v>
      </c>
      <c r="E5551" s="1" t="str">
        <f>""</f>
        <v/>
      </c>
      <c r="F5551" s="1" t="s">
        <v>1860</v>
      </c>
      <c r="G5551" s="1" t="str">
        <f>CONCATENATE("ELEKTRO-KOMUNIKACIJE D.O.O.,"," 14. PODBREŽJE 4,"," 10000 ZAGREB,"," OIB: 76412373309")</f>
        <v>ELEKTRO-KOMUNIKACIJE D.O.O., 14. PODBREŽJE 4, 10000 ZAGREB, OIB: 76412373309</v>
      </c>
      <c r="H5551" s="7"/>
      <c r="I5551" s="8" t="s">
        <v>285</v>
      </c>
      <c r="J5551" s="7"/>
      <c r="K5551" s="6" t="str">
        <f>"6.210,00"</f>
        <v>6.210,00</v>
      </c>
      <c r="L5551" s="6" t="str">
        <f>"1.552,50"</f>
        <v>1.552,50</v>
      </c>
      <c r="M5551" s="6" t="str">
        <f>"7.762,50"</f>
        <v>7.762,50</v>
      </c>
      <c r="N5551" s="8" t="s">
        <v>409</v>
      </c>
      <c r="O5551" s="7"/>
      <c r="P5551" s="2">
        <v>7762.5</v>
      </c>
      <c r="Q5551" s="7"/>
      <c r="R5551" s="1"/>
      <c r="S5551" s="1" t="str">
        <f>"2022-6570"</f>
        <v>2022-6570</v>
      </c>
      <c r="T5551" s="1" t="s">
        <v>55</v>
      </c>
    </row>
    <row r="5552" spans="1:20" ht="89.25" x14ac:dyDescent="0.25">
      <c r="A5552" s="6">
        <v>5531</v>
      </c>
      <c r="B5552" s="1" t="str">
        <f>"2022-1325"</f>
        <v>2022-1325</v>
      </c>
      <c r="C5552" s="1" t="s">
        <v>3375</v>
      </c>
      <c r="D5552" s="1" t="s">
        <v>1438</v>
      </c>
      <c r="E5552" s="1" t="str">
        <f>""</f>
        <v/>
      </c>
      <c r="F5552" s="1" t="s">
        <v>1860</v>
      </c>
      <c r="G5552" s="1" t="str">
        <f>CONCATENATE("ZAGREBAČKI HOLDING D.O.O.,"," PODRUŽNICA ZRINJEVAC,"," ULICA GRADA VUKOVARA 41,"," REMETINEČKA CESTA 15,"," 10000 ZAGREB,"," OIB: 85584865987")</f>
        <v>ZAGREBAČKI HOLDING D.O.O., PODRUŽNICA ZRINJEVAC, ULICA GRADA VUKOVARA 41, REMETINEČKA CESTA 15, 10000 ZAGREB, OIB: 85584865987</v>
      </c>
      <c r="H5552" s="7"/>
      <c r="I5552" s="8" t="s">
        <v>285</v>
      </c>
      <c r="J5552" s="7"/>
      <c r="K5552" s="6" t="str">
        <f>"9.800,00"</f>
        <v>9.800,00</v>
      </c>
      <c r="L5552" s="6" t="str">
        <f>"2.450,00"</f>
        <v>2.450,00</v>
      </c>
      <c r="M5552" s="6" t="str">
        <f>"12.250,00"</f>
        <v>12.250,00</v>
      </c>
      <c r="N5552" s="8" t="s">
        <v>567</v>
      </c>
      <c r="O5552" s="7"/>
      <c r="P5552" s="2">
        <v>12250</v>
      </c>
      <c r="Q5552" s="7"/>
      <c r="R5552" s="1"/>
      <c r="S5552" s="1" t="str">
        <f>"2022-6571"</f>
        <v>2022-6571</v>
      </c>
      <c r="T5552" s="1" t="s">
        <v>55</v>
      </c>
    </row>
    <row r="5553" spans="1:20" ht="63.75" x14ac:dyDescent="0.25">
      <c r="A5553" s="6">
        <v>5532</v>
      </c>
      <c r="B5553" s="1" t="str">
        <f>"2022-1682"</f>
        <v>2022-1682</v>
      </c>
      <c r="C5553" s="1" t="s">
        <v>3444</v>
      </c>
      <c r="D5553" s="1" t="s">
        <v>1642</v>
      </c>
      <c r="E5553" s="1" t="str">
        <f>""</f>
        <v/>
      </c>
      <c r="F5553" s="1" t="s">
        <v>1860</v>
      </c>
      <c r="G5553" s="1" t="str">
        <f>CONCATENATE("KOPIMA D.O.O.,"," VRBIK 8B,"," 10000 ZAGREB,"," OIB: 04662252043")</f>
        <v>KOPIMA D.O.O., VRBIK 8B, 10000 ZAGREB, OIB: 04662252043</v>
      </c>
      <c r="H5553" s="7"/>
      <c r="I5553" s="8" t="s">
        <v>285</v>
      </c>
      <c r="J5553" s="7"/>
      <c r="K5553" s="6" t="str">
        <f>"29.100,00"</f>
        <v>29.100,00</v>
      </c>
      <c r="L5553" s="6" t="str">
        <f>"0,00"</f>
        <v>0,00</v>
      </c>
      <c r="M5553" s="6" t="str">
        <f>"29.100,00"</f>
        <v>29.100,00</v>
      </c>
      <c r="N5553" s="8" t="s">
        <v>124</v>
      </c>
      <c r="O5553" s="7"/>
      <c r="P5553" s="2">
        <v>0</v>
      </c>
      <c r="Q5553" s="7"/>
      <c r="R5553" s="1"/>
      <c r="S5553" s="1" t="str">
        <f>"2022-6572"</f>
        <v>2022-6572</v>
      </c>
      <c r="T5553" s="1" t="s">
        <v>55</v>
      </c>
    </row>
    <row r="5554" spans="1:20" ht="76.5" x14ac:dyDescent="0.25">
      <c r="A5554" s="6">
        <v>5533</v>
      </c>
      <c r="B5554" s="1" t="str">
        <f>"2022-592"</f>
        <v>2022-592</v>
      </c>
      <c r="C5554" s="1" t="s">
        <v>2683</v>
      </c>
      <c r="D5554" s="1" t="s">
        <v>2684</v>
      </c>
      <c r="E5554" s="1" t="str">
        <f>""</f>
        <v/>
      </c>
      <c r="F5554" s="1" t="s">
        <v>1860</v>
      </c>
      <c r="G5554" s="1" t="str">
        <f>CONCATENATE("EKO ELEKTRO TRGOVINA,"," VL. EMANUEL ŠIMEC,"," KSAVERA Š. ĐALSKOG 58,"," 10000 ZAGREB,"," OIB: 55219685582")</f>
        <v>EKO ELEKTRO TRGOVINA, VL. EMANUEL ŠIMEC, KSAVERA Š. ĐALSKOG 58, 10000 ZAGREB, OIB: 55219685582</v>
      </c>
      <c r="H5554" s="7"/>
      <c r="I5554" s="8" t="s">
        <v>285</v>
      </c>
      <c r="J5554" s="7"/>
      <c r="K5554" s="6" t="str">
        <f>"1.545,00"</f>
        <v>1.545,00</v>
      </c>
      <c r="L5554" s="6" t="str">
        <f>"0,00"</f>
        <v>0,00</v>
      </c>
      <c r="M5554" s="6" t="str">
        <f>"1.545,00"</f>
        <v>1.545,00</v>
      </c>
      <c r="N5554" s="8" t="s">
        <v>124</v>
      </c>
      <c r="O5554" s="7"/>
      <c r="P5554" s="2">
        <v>0</v>
      </c>
      <c r="Q5554" s="7"/>
      <c r="R5554" s="1"/>
      <c r="S5554" s="1" t="str">
        <f>"2022-6582"</f>
        <v>2022-6582</v>
      </c>
      <c r="T5554" s="1" t="s">
        <v>55</v>
      </c>
    </row>
    <row r="5555" spans="1:20" ht="51" x14ac:dyDescent="0.25">
      <c r="A5555" s="6">
        <v>5534</v>
      </c>
      <c r="B5555" s="1" t="str">
        <f>"2022-285"</f>
        <v>2022-285</v>
      </c>
      <c r="C5555" s="1" t="s">
        <v>3421</v>
      </c>
      <c r="D5555" s="1" t="s">
        <v>3422</v>
      </c>
      <c r="E5555" s="1" t="str">
        <f>""</f>
        <v/>
      </c>
      <c r="F5555" s="1" t="s">
        <v>1860</v>
      </c>
      <c r="G5555" s="1" t="str">
        <f>CONCATENATE("RU - VE D.O.O.,"," PROSINAČKA 14,"," 10431 SVETA NEDELJA,"," OIB: 8847092984")</f>
        <v>RU - VE D.O.O., PROSINAČKA 14, 10431 SVETA NEDELJA, OIB: 8847092984</v>
      </c>
      <c r="H5555" s="7"/>
      <c r="I5555" s="8" t="s">
        <v>285</v>
      </c>
      <c r="J5555" s="7"/>
      <c r="K5555" s="6" t="str">
        <f>"37.571,30"</f>
        <v>37.571,30</v>
      </c>
      <c r="L5555" s="6" t="str">
        <f>"6.913,63"</f>
        <v>6.913,63</v>
      </c>
      <c r="M5555" s="6" t="str">
        <f>"44.484,93"</f>
        <v>44.484,93</v>
      </c>
      <c r="N5555" s="8" t="s">
        <v>892</v>
      </c>
      <c r="O5555" s="7"/>
      <c r="P5555" s="2">
        <v>34584.93</v>
      </c>
      <c r="Q5555" s="7"/>
      <c r="R5555" s="1"/>
      <c r="S5555" s="1" t="str">
        <f>"2022-6586"</f>
        <v>2022-6586</v>
      </c>
      <c r="T5555" s="1" t="s">
        <v>55</v>
      </c>
    </row>
    <row r="5556" spans="1:20" ht="51" x14ac:dyDescent="0.25">
      <c r="A5556" s="6">
        <v>5535</v>
      </c>
      <c r="B5556" s="1" t="str">
        <f>"2022-894"</f>
        <v>2022-894</v>
      </c>
      <c r="C5556" s="1" t="s">
        <v>2863</v>
      </c>
      <c r="D5556" s="1" t="s">
        <v>1209</v>
      </c>
      <c r="E5556" s="1" t="str">
        <f>""</f>
        <v/>
      </c>
      <c r="F5556" s="1" t="s">
        <v>1860</v>
      </c>
      <c r="G5556" s="1" t="str">
        <f>CONCATENATE("OHM LAB D.O.O.,"," STJEPANA RADIĆA 28,"," 49210 ZABOK,"," OIB: 8161152414")</f>
        <v>OHM LAB D.O.O., STJEPANA RADIĆA 28, 49210 ZABOK, OIB: 8161152414</v>
      </c>
      <c r="H5556" s="7"/>
      <c r="I5556" s="8" t="s">
        <v>669</v>
      </c>
      <c r="J5556" s="7"/>
      <c r="K5556" s="6" t="str">
        <f>"950,00"</f>
        <v>950,00</v>
      </c>
      <c r="L5556" s="6" t="str">
        <f>"237,50"</f>
        <v>237,50</v>
      </c>
      <c r="M5556" s="6" t="str">
        <f>"1.187,50"</f>
        <v>1.187,50</v>
      </c>
      <c r="N5556" s="8" t="s">
        <v>409</v>
      </c>
      <c r="O5556" s="7"/>
      <c r="P5556" s="2">
        <v>1187.5</v>
      </c>
      <c r="Q5556" s="7"/>
      <c r="R5556" s="1"/>
      <c r="S5556" s="1" t="str">
        <f>"2022-6631"</f>
        <v>2022-6631</v>
      </c>
      <c r="T5556" s="1" t="s">
        <v>55</v>
      </c>
    </row>
    <row r="5557" spans="1:20" ht="51" x14ac:dyDescent="0.25">
      <c r="A5557" s="6">
        <v>5536</v>
      </c>
      <c r="B5557" s="1" t="str">
        <f>"2022-1042"</f>
        <v>2022-1042</v>
      </c>
      <c r="C5557" s="1" t="s">
        <v>2728</v>
      </c>
      <c r="D5557" s="1" t="s">
        <v>2729</v>
      </c>
      <c r="E5557" s="1" t="str">
        <f>""</f>
        <v/>
      </c>
      <c r="F5557" s="1" t="s">
        <v>1860</v>
      </c>
      <c r="G5557" s="1" t="str">
        <f>CONCATENATE("SGS ADRIATICA D.O.O.,"," KARLOVAČKA CESTA 41,"," 10020 ZAGREB,"," OIB: 69359376226")</f>
        <v>SGS ADRIATICA D.O.O., KARLOVAČKA CESTA 41, 10020 ZAGREB, OIB: 69359376226</v>
      </c>
      <c r="H5557" s="7"/>
      <c r="I5557" s="8" t="s">
        <v>669</v>
      </c>
      <c r="J5557" s="7"/>
      <c r="K5557" s="6" t="str">
        <f>"10.000,00"</f>
        <v>10.000,00</v>
      </c>
      <c r="L5557" s="6" t="str">
        <f>"0,00"</f>
        <v>0,00</v>
      </c>
      <c r="M5557" s="6" t="str">
        <f>"10.000,00"</f>
        <v>10.000,00</v>
      </c>
      <c r="N5557" s="8" t="s">
        <v>124</v>
      </c>
      <c r="O5557" s="7"/>
      <c r="P5557" s="2">
        <v>0</v>
      </c>
      <c r="Q5557" s="7"/>
      <c r="R5557" s="1"/>
      <c r="S5557" s="1" t="str">
        <f>"2022-6641"</f>
        <v>2022-6641</v>
      </c>
      <c r="T5557" s="1" t="s">
        <v>86</v>
      </c>
    </row>
    <row r="5558" spans="1:20" ht="51" x14ac:dyDescent="0.25">
      <c r="A5558" s="6">
        <v>5537</v>
      </c>
      <c r="B5558" s="1" t="str">
        <f>"2022-1720"</f>
        <v>2022-1720</v>
      </c>
      <c r="C5558" s="1" t="s">
        <v>3343</v>
      </c>
      <c r="D5558" s="1" t="s">
        <v>854</v>
      </c>
      <c r="E5558" s="1" t="str">
        <f>""</f>
        <v/>
      </c>
      <c r="F5558" s="1" t="s">
        <v>1860</v>
      </c>
      <c r="G5558" s="1" t="str">
        <f>CONCATENATE("NARODNE NOVINE D.D.,"," SAVSKI GAJ XIII. PUT br. 6,"," 10000 ZAGREB,"," OIB: 64546066176")</f>
        <v>NARODNE NOVINE D.D., SAVSKI GAJ XIII. PUT br. 6, 10000 ZAGREB, OIB: 64546066176</v>
      </c>
      <c r="H5558" s="7"/>
      <c r="I5558" s="8" t="s">
        <v>669</v>
      </c>
      <c r="J5558" s="7"/>
      <c r="K5558" s="6" t="str">
        <f>"6.984,00"</f>
        <v>6.984,00</v>
      </c>
      <c r="L5558" s="6" t="str">
        <f>"1.746,00"</f>
        <v>1.746,00</v>
      </c>
      <c r="M5558" s="6" t="str">
        <f>"8.730,00"</f>
        <v>8.730,00</v>
      </c>
      <c r="N5558" s="8" t="s">
        <v>102</v>
      </c>
      <c r="O5558" s="7"/>
      <c r="P5558" s="2">
        <v>8730</v>
      </c>
      <c r="Q5558" s="7"/>
      <c r="R5558" s="1"/>
      <c r="S5558" s="1" t="str">
        <f>"2022-6642"</f>
        <v>2022-6642</v>
      </c>
      <c r="T5558" s="1" t="s">
        <v>55</v>
      </c>
    </row>
    <row r="5559" spans="1:20" ht="63.75" x14ac:dyDescent="0.25">
      <c r="A5559" s="6">
        <v>5538</v>
      </c>
      <c r="B5559" s="1" t="str">
        <f>"2022-873"</f>
        <v>2022-873</v>
      </c>
      <c r="C5559" s="1" t="s">
        <v>2819</v>
      </c>
      <c r="D5559" s="1" t="s">
        <v>3341</v>
      </c>
      <c r="E5559" s="1" t="str">
        <f>""</f>
        <v/>
      </c>
      <c r="F5559" s="1" t="s">
        <v>1860</v>
      </c>
      <c r="G5559" s="1" t="str">
        <f>CONCATENATE("GUTEL,"," VL. DAMIR GUŽVINEC,"," ANTE TOPIĆ MIMARE 7,"," 10090 ZAGREB-SUSEDGRAD,"," OIB: 63743810909")</f>
        <v>GUTEL, VL. DAMIR GUŽVINEC, ANTE TOPIĆ MIMARE 7, 10090 ZAGREB-SUSEDGRAD, OIB: 63743810909</v>
      </c>
      <c r="H5559" s="7"/>
      <c r="I5559" s="8" t="s">
        <v>669</v>
      </c>
      <c r="J5559" s="7"/>
      <c r="K5559" s="6" t="str">
        <f>"446,80"</f>
        <v>446,80</v>
      </c>
      <c r="L5559" s="6" t="str">
        <f>"0,00"</f>
        <v>0,00</v>
      </c>
      <c r="M5559" s="6" t="str">
        <f>"446,80"</f>
        <v>446,80</v>
      </c>
      <c r="N5559" s="8" t="s">
        <v>124</v>
      </c>
      <c r="O5559" s="7"/>
      <c r="P5559" s="2">
        <v>0</v>
      </c>
      <c r="Q5559" s="7"/>
      <c r="R5559" s="1"/>
      <c r="S5559" s="1" t="str">
        <f>"2022-6643"</f>
        <v>2022-6643</v>
      </c>
      <c r="T5559" s="1" t="s">
        <v>86</v>
      </c>
    </row>
    <row r="5560" spans="1:20" ht="63.75" x14ac:dyDescent="0.25">
      <c r="A5560" s="6">
        <v>5539</v>
      </c>
      <c r="B5560" s="1" t="str">
        <f>"2022-645"</f>
        <v>2022-645</v>
      </c>
      <c r="C5560" s="1" t="s">
        <v>3436</v>
      </c>
      <c r="D5560" s="1" t="s">
        <v>3437</v>
      </c>
      <c r="E5560" s="1" t="str">
        <f>""</f>
        <v/>
      </c>
      <c r="F5560" s="1" t="s">
        <v>1860</v>
      </c>
      <c r="G5560" s="1" t="str">
        <f>CONCATENATE("URIHO - ZAGREB,"," AVENIJA MARINA DRŽIĆA 1,"," 10000 ZAGREB,"," OIB: 77931216562")</f>
        <v>URIHO - ZAGREB, AVENIJA MARINA DRŽIĆA 1, 10000 ZAGREB, OIB: 77931216562</v>
      </c>
      <c r="H5560" s="7"/>
      <c r="I5560" s="8" t="s">
        <v>835</v>
      </c>
      <c r="J5560" s="7"/>
      <c r="K5560" s="6" t="str">
        <f>"5.400,00"</f>
        <v>5.400,00</v>
      </c>
      <c r="L5560" s="6" t="str">
        <f>"0,00"</f>
        <v>0,00</v>
      </c>
      <c r="M5560" s="6" t="str">
        <f>"5.400,00"</f>
        <v>5.400,00</v>
      </c>
      <c r="N5560" s="8" t="s">
        <v>124</v>
      </c>
      <c r="O5560" s="7"/>
      <c r="P5560" s="2">
        <v>0</v>
      </c>
      <c r="Q5560" s="7"/>
      <c r="R5560" s="1"/>
      <c r="S5560" s="1" t="str">
        <f>"2022-6652"</f>
        <v>2022-6652</v>
      </c>
      <c r="T5560" s="1" t="s">
        <v>55</v>
      </c>
    </row>
    <row r="5561" spans="1:20" ht="63.75" x14ac:dyDescent="0.25">
      <c r="A5561" s="6">
        <v>5540</v>
      </c>
      <c r="B5561" s="1" t="str">
        <f>"2022-873"</f>
        <v>2022-873</v>
      </c>
      <c r="C5561" s="1" t="s">
        <v>2819</v>
      </c>
      <c r="D5561" s="1" t="s">
        <v>3341</v>
      </c>
      <c r="E5561" s="1" t="str">
        <f>""</f>
        <v/>
      </c>
      <c r="F5561" s="1" t="s">
        <v>1860</v>
      </c>
      <c r="G5561" s="1" t="str">
        <f>CONCATENATE("GUTEL,"," VL. DAMIR GUŽVINEC,"," ANTE TOPIĆ MIMARE 7,"," 10090 ZAGREB-SUSEDGRAD,"," OIB: 63743810909")</f>
        <v>GUTEL, VL. DAMIR GUŽVINEC, ANTE TOPIĆ MIMARE 7, 10090 ZAGREB-SUSEDGRAD, OIB: 63743810909</v>
      </c>
      <c r="H5561" s="7"/>
      <c r="I5561" s="8" t="s">
        <v>970</v>
      </c>
      <c r="J5561" s="7"/>
      <c r="K5561" s="6" t="str">
        <f>"1.543,50"</f>
        <v>1.543,50</v>
      </c>
      <c r="L5561" s="6" t="str">
        <f>"0,00"</f>
        <v>0,00</v>
      </c>
      <c r="M5561" s="6" t="str">
        <f>"1.543,50"</f>
        <v>1.543,50</v>
      </c>
      <c r="N5561" s="8" t="s">
        <v>124</v>
      </c>
      <c r="O5561" s="7"/>
      <c r="P5561" s="2">
        <v>0</v>
      </c>
      <c r="Q5561" s="7"/>
      <c r="R5561" s="1"/>
      <c r="S5561" s="1" t="str">
        <f>"2022-6660"</f>
        <v>2022-6660</v>
      </c>
      <c r="T5561" s="1" t="s">
        <v>86</v>
      </c>
    </row>
    <row r="5562" spans="1:20" ht="63.75" x14ac:dyDescent="0.25">
      <c r="A5562" s="6">
        <v>5541</v>
      </c>
      <c r="B5562" s="1" t="str">
        <f>"2022-873"</f>
        <v>2022-873</v>
      </c>
      <c r="C5562" s="1" t="s">
        <v>2819</v>
      </c>
      <c r="D5562" s="1" t="s">
        <v>3341</v>
      </c>
      <c r="E5562" s="1" t="str">
        <f>""</f>
        <v/>
      </c>
      <c r="F5562" s="1" t="s">
        <v>1860</v>
      </c>
      <c r="G5562" s="1" t="str">
        <f>CONCATENATE("GUTEL,"," VL. DAMIR GUŽVINEC,"," ANTE TOPIĆ MIMARE 7,"," 10090 ZAGREB-SUSEDGRAD,"," OIB: 63743810909")</f>
        <v>GUTEL, VL. DAMIR GUŽVINEC, ANTE TOPIĆ MIMARE 7, 10090 ZAGREB-SUSEDGRAD, OIB: 63743810909</v>
      </c>
      <c r="H5562" s="7"/>
      <c r="I5562" s="8" t="s">
        <v>1157</v>
      </c>
      <c r="J5562" s="7"/>
      <c r="K5562" s="6" t="str">
        <f>"200,00"</f>
        <v>200,00</v>
      </c>
      <c r="L5562" s="6" t="str">
        <f>"0,00"</f>
        <v>0,00</v>
      </c>
      <c r="M5562" s="6" t="str">
        <f>"200,00"</f>
        <v>200,00</v>
      </c>
      <c r="N5562" s="8" t="s">
        <v>124</v>
      </c>
      <c r="O5562" s="7"/>
      <c r="P5562" s="2">
        <v>0</v>
      </c>
      <c r="Q5562" s="7"/>
      <c r="R5562" s="1"/>
      <c r="S5562" s="1" t="str">
        <f>"2022-6709"</f>
        <v>2022-6709</v>
      </c>
      <c r="T5562" s="1" t="s">
        <v>86</v>
      </c>
    </row>
    <row r="5563" spans="1:20" ht="76.5" x14ac:dyDescent="0.25">
      <c r="A5563" s="6">
        <v>5542</v>
      </c>
      <c r="B5563" s="1" t="str">
        <f>"2022-1482"</f>
        <v>2022-1482</v>
      </c>
      <c r="C5563" s="1" t="s">
        <v>2501</v>
      </c>
      <c r="D5563" s="1" t="s">
        <v>3411</v>
      </c>
      <c r="E5563" s="1" t="str">
        <f>""</f>
        <v/>
      </c>
      <c r="F5563" s="1" t="s">
        <v>1860</v>
      </c>
      <c r="G5563" s="1" t="str">
        <f>CONCATENATE("SMIT-COMMERCE D.O.O.,"," GORNJOSTUPNIČKA 9B,"," 10255 GORNJI STUPNIK,"," OIB: 9524348214")</f>
        <v>SMIT-COMMERCE D.O.O., GORNJOSTUPNIČKA 9B, 10255 GORNJI STUPNIK, OIB: 9524348214</v>
      </c>
      <c r="H5563" s="7"/>
      <c r="I5563" s="8" t="s">
        <v>1157</v>
      </c>
      <c r="J5563" s="7"/>
      <c r="K5563" s="6" t="str">
        <f>"2.981,37"</f>
        <v>2.981,37</v>
      </c>
      <c r="L5563" s="6" t="str">
        <f>"745,35"</f>
        <v>745,35</v>
      </c>
      <c r="M5563" s="6" t="str">
        <f>"3.726,72"</f>
        <v>3.726,72</v>
      </c>
      <c r="N5563" s="8" t="s">
        <v>81</v>
      </c>
      <c r="O5563" s="7"/>
      <c r="P5563" s="2">
        <v>3726.72</v>
      </c>
      <c r="Q5563" s="7"/>
      <c r="R5563" s="1"/>
      <c r="S5563" s="1" t="str">
        <f>"2022-6713"</f>
        <v>2022-6713</v>
      </c>
      <c r="T5563" s="1" t="s">
        <v>55</v>
      </c>
    </row>
    <row r="5564" spans="1:20" ht="63.75" x14ac:dyDescent="0.25">
      <c r="A5564" s="6">
        <v>5543</v>
      </c>
      <c r="B5564" s="1" t="str">
        <f>"2022-711"</f>
        <v>2022-711</v>
      </c>
      <c r="C5564" s="1" t="s">
        <v>2956</v>
      </c>
      <c r="D5564" s="1" t="s">
        <v>815</v>
      </c>
      <c r="E5564" s="1" t="str">
        <f>""</f>
        <v/>
      </c>
      <c r="F5564" s="1" t="s">
        <v>1860</v>
      </c>
      <c r="G5564" s="1" t="str">
        <f>CONCATENATE("EMIL FREY AUTO CENTAR D.O.O.,"," KOVINSKA 5,"," 10000 ZAGREB,"," OIB: 01930677284")</f>
        <v>EMIL FREY AUTO CENTAR D.O.O., KOVINSKA 5, 10000 ZAGREB, OIB: 01930677284</v>
      </c>
      <c r="H5564" s="7"/>
      <c r="I5564" s="8" t="s">
        <v>1157</v>
      </c>
      <c r="J5564" s="7"/>
      <c r="K5564" s="6" t="str">
        <f>"2.446,86"</f>
        <v>2.446,86</v>
      </c>
      <c r="L5564" s="6" t="str">
        <f>"0,00"</f>
        <v>0,00</v>
      </c>
      <c r="M5564" s="6" t="str">
        <f>"2.446,86"</f>
        <v>2.446,86</v>
      </c>
      <c r="N5564" s="8" t="s">
        <v>124</v>
      </c>
      <c r="O5564" s="7"/>
      <c r="P5564" s="2">
        <v>0</v>
      </c>
      <c r="Q5564" s="7"/>
      <c r="R5564" s="1"/>
      <c r="S5564" s="1" t="str">
        <f>"2022-6719"</f>
        <v>2022-6719</v>
      </c>
      <c r="T5564" s="1" t="s">
        <v>55</v>
      </c>
    </row>
    <row r="5565" spans="1:20" ht="63.75" x14ac:dyDescent="0.25">
      <c r="A5565" s="6">
        <v>5544</v>
      </c>
      <c r="B5565" s="1" t="str">
        <f>"2022-873"</f>
        <v>2022-873</v>
      </c>
      <c r="C5565" s="1" t="s">
        <v>2819</v>
      </c>
      <c r="D5565" s="1" t="s">
        <v>3341</v>
      </c>
      <c r="E5565" s="1" t="str">
        <f>""</f>
        <v/>
      </c>
      <c r="F5565" s="1" t="s">
        <v>1860</v>
      </c>
      <c r="G5565" s="1" t="str">
        <f>CONCATENATE("GUTEL,"," VL. DAMIR GUŽVINEC,"," ANTE TOPIĆ MIMARE 7,"," 10090 ZAGREB-SUSEDGRAD,"," OIB: 63743810909")</f>
        <v>GUTEL, VL. DAMIR GUŽVINEC, ANTE TOPIĆ MIMARE 7, 10090 ZAGREB-SUSEDGRAD, OIB: 63743810909</v>
      </c>
      <c r="H5565" s="7"/>
      <c r="I5565" s="8" t="s">
        <v>1157</v>
      </c>
      <c r="J5565" s="7"/>
      <c r="K5565" s="6" t="str">
        <f>"400,00"</f>
        <v>400,00</v>
      </c>
      <c r="L5565" s="6" t="str">
        <f>"0,00"</f>
        <v>0,00</v>
      </c>
      <c r="M5565" s="6" t="str">
        <f>"400,00"</f>
        <v>400,00</v>
      </c>
      <c r="N5565" s="8" t="s">
        <v>124</v>
      </c>
      <c r="O5565" s="7"/>
      <c r="P5565" s="2">
        <v>0</v>
      </c>
      <c r="Q5565" s="7"/>
      <c r="R5565" s="1"/>
      <c r="S5565" s="1" t="str">
        <f>"2022-6726"</f>
        <v>2022-6726</v>
      </c>
      <c r="T5565" s="1" t="s">
        <v>86</v>
      </c>
    </row>
    <row r="5566" spans="1:20" ht="63.75" x14ac:dyDescent="0.25">
      <c r="A5566" s="6">
        <v>5545</v>
      </c>
      <c r="B5566" s="1" t="str">
        <f>"2022-1759"</f>
        <v>2022-1759</v>
      </c>
      <c r="C5566" s="1" t="s">
        <v>3398</v>
      </c>
      <c r="D5566" s="1" t="s">
        <v>21</v>
      </c>
      <c r="E5566" s="1" t="str">
        <f>""</f>
        <v/>
      </c>
      <c r="F5566" s="1" t="s">
        <v>1860</v>
      </c>
      <c r="G5566" s="1" t="str">
        <f>CONCATENATE("HIDRAULIKA KURELJA D.O.O.,"," MATENAČKA CESTA 41,"," 49290 DONJA STUBICA,"," OIB: 3092900595")</f>
        <v>HIDRAULIKA KURELJA D.O.O., MATENAČKA CESTA 41, 49290 DONJA STUBICA, OIB: 3092900595</v>
      </c>
      <c r="H5566" s="7"/>
      <c r="I5566" s="8" t="s">
        <v>408</v>
      </c>
      <c r="J5566" s="7"/>
      <c r="K5566" s="6" t="str">
        <f>"7.585,00"</f>
        <v>7.585,00</v>
      </c>
      <c r="L5566" s="6" t="str">
        <f>"1.896,25"</f>
        <v>1.896,25</v>
      </c>
      <c r="M5566" s="6" t="str">
        <f>"9.481,25"</f>
        <v>9.481,25</v>
      </c>
      <c r="N5566" s="8" t="s">
        <v>54</v>
      </c>
      <c r="O5566" s="7"/>
      <c r="P5566" s="2">
        <v>9481.25</v>
      </c>
      <c r="Q5566" s="7"/>
      <c r="R5566" s="1"/>
      <c r="S5566" s="1" t="str">
        <f>"2022-6756"</f>
        <v>2022-6756</v>
      </c>
      <c r="T5566" s="1" t="s">
        <v>55</v>
      </c>
    </row>
    <row r="5567" spans="1:20" ht="63.75" x14ac:dyDescent="0.25">
      <c r="A5567" s="6">
        <v>5546</v>
      </c>
      <c r="B5567" s="1" t="str">
        <f>"2022-1499"</f>
        <v>2022-1499</v>
      </c>
      <c r="C5567" s="1" t="s">
        <v>817</v>
      </c>
      <c r="D5567" s="1" t="s">
        <v>815</v>
      </c>
      <c r="E5567" s="1" t="str">
        <f>""</f>
        <v/>
      </c>
      <c r="F5567" s="1" t="s">
        <v>1860</v>
      </c>
      <c r="G5567" s="1" t="str">
        <f>CONCATENATE("TOKIĆ D.O.O.,"," ULICA 144. BRIGADE HRVATSKE VOJSKE 1A,"," 10360 SESVETE,"," OIB: 7486748762")</f>
        <v>TOKIĆ D.O.O., ULICA 144. BRIGADE HRVATSKE VOJSKE 1A, 10360 SESVETE, OIB: 7486748762</v>
      </c>
      <c r="H5567" s="7"/>
      <c r="I5567" s="8" t="s">
        <v>408</v>
      </c>
      <c r="J5567" s="7"/>
      <c r="K5567" s="6" t="str">
        <f>"3.603,00"</f>
        <v>3.603,00</v>
      </c>
      <c r="L5567" s="6" t="str">
        <f>"900,75"</f>
        <v>900,75</v>
      </c>
      <c r="M5567" s="6" t="str">
        <f>"4.503,75"</f>
        <v>4.503,75</v>
      </c>
      <c r="N5567" s="8" t="s">
        <v>301</v>
      </c>
      <c r="O5567" s="7"/>
      <c r="P5567" s="2">
        <v>4503.75</v>
      </c>
      <c r="Q5567" s="7"/>
      <c r="R5567" s="1"/>
      <c r="S5567" s="1" t="str">
        <f>"2022-6757"</f>
        <v>2022-6757</v>
      </c>
      <c r="T5567" s="1" t="s">
        <v>55</v>
      </c>
    </row>
    <row r="5568" spans="1:20" ht="76.5" x14ac:dyDescent="0.25">
      <c r="A5568" s="6">
        <v>5547</v>
      </c>
      <c r="B5568" s="1" t="str">
        <f>"2022-1714"</f>
        <v>2022-1714</v>
      </c>
      <c r="C5568" s="1" t="s">
        <v>3445</v>
      </c>
      <c r="D5568" s="1" t="s">
        <v>1324</v>
      </c>
      <c r="E5568" s="1" t="str">
        <f>""</f>
        <v/>
      </c>
      <c r="F5568" s="1" t="s">
        <v>1860</v>
      </c>
      <c r="G5568" s="1" t="str">
        <f>CONCATENATE("SMIT-COMMERCE D.O.O.,"," GORNJOSTUPNIČKA 9B,"," 10255 GORNJI STUPNIK,"," OIB: 9524348214")</f>
        <v>SMIT-COMMERCE D.O.O., GORNJOSTUPNIČKA 9B, 10255 GORNJI STUPNIK, OIB: 9524348214</v>
      </c>
      <c r="H5568" s="7"/>
      <c r="I5568" s="8" t="s">
        <v>408</v>
      </c>
      <c r="J5568" s="7"/>
      <c r="K5568" s="6" t="str">
        <f>"1.380,00"</f>
        <v>1.380,00</v>
      </c>
      <c r="L5568" s="6" t="str">
        <f>"345,00"</f>
        <v>345,00</v>
      </c>
      <c r="M5568" s="6" t="str">
        <f>"1.725,00"</f>
        <v>1.725,00</v>
      </c>
      <c r="N5568" s="8" t="s">
        <v>414</v>
      </c>
      <c r="O5568" s="7"/>
      <c r="P5568" s="2">
        <v>1725</v>
      </c>
      <c r="Q5568" s="7"/>
      <c r="R5568" s="1"/>
      <c r="S5568" s="1" t="str">
        <f>"2022-6758"</f>
        <v>2022-6758</v>
      </c>
      <c r="T5568" s="1" t="s">
        <v>55</v>
      </c>
    </row>
    <row r="5569" spans="1:20" ht="63.75" x14ac:dyDescent="0.25">
      <c r="A5569" s="6">
        <v>5548</v>
      </c>
      <c r="B5569" s="1" t="str">
        <f>"2022-585"</f>
        <v>2022-585</v>
      </c>
      <c r="C5569" s="1" t="s">
        <v>3446</v>
      </c>
      <c r="D5569" s="1" t="s">
        <v>3447</v>
      </c>
      <c r="E5569" s="1" t="str">
        <f>""</f>
        <v/>
      </c>
      <c r="F5569" s="1" t="s">
        <v>1860</v>
      </c>
      <c r="G5569" s="1" t="str">
        <f>CONCATENATE("CONTROLTECH D.O.O.,"," ULICA PETRA HEKTOROVIĆA 2,"," 10000 ZAGREB,"," OIB: 896035866")</f>
        <v>CONTROLTECH D.O.O., ULICA PETRA HEKTOROVIĆA 2, 10000 ZAGREB, OIB: 896035866</v>
      </c>
      <c r="H5569" s="7"/>
      <c r="I5569" s="8" t="s">
        <v>408</v>
      </c>
      <c r="J5569" s="7"/>
      <c r="K5569" s="6" t="str">
        <f>"14.569,63"</f>
        <v>14.569,63</v>
      </c>
      <c r="L5569" s="6" t="str">
        <f>"3.642,41"</f>
        <v>3.642,41</v>
      </c>
      <c r="M5569" s="6" t="str">
        <f>"18.212,04"</f>
        <v>18.212,04</v>
      </c>
      <c r="N5569" s="8" t="s">
        <v>409</v>
      </c>
      <c r="O5569" s="7"/>
      <c r="P5569" s="2">
        <v>18212.04</v>
      </c>
      <c r="Q5569" s="7"/>
      <c r="R5569" s="1"/>
      <c r="S5569" s="1" t="str">
        <f>"2022-6759"</f>
        <v>2022-6759</v>
      </c>
      <c r="T5569" s="1" t="s">
        <v>55</v>
      </c>
    </row>
    <row r="5570" spans="1:20" ht="51" x14ac:dyDescent="0.25">
      <c r="A5570" s="6">
        <v>5549</v>
      </c>
      <c r="B5570" s="1" t="str">
        <f>"2022-813"</f>
        <v>2022-813</v>
      </c>
      <c r="C5570" s="1" t="s">
        <v>2844</v>
      </c>
      <c r="D5570" s="1" t="s">
        <v>2716</v>
      </c>
      <c r="E5570" s="1" t="str">
        <f>""</f>
        <v/>
      </c>
      <c r="F5570" s="1" t="s">
        <v>1860</v>
      </c>
      <c r="G5570" s="1" t="str">
        <f>CONCATENATE("AUTOKUĆA-ŠTARKELJ D.O.O.,"," UKRAJINSKA 17,"," 10000 ZAGREB,"," OIB: 87340407905")</f>
        <v>AUTOKUĆA-ŠTARKELJ D.O.O., UKRAJINSKA 17, 10000 ZAGREB, OIB: 87340407905</v>
      </c>
      <c r="H5570" s="7"/>
      <c r="I5570" s="8" t="s">
        <v>408</v>
      </c>
      <c r="J5570" s="7"/>
      <c r="K5570" s="6" t="str">
        <f>"12.372,69"</f>
        <v>12.372,69</v>
      </c>
      <c r="L5570" s="6" t="str">
        <f>"3.046,50"</f>
        <v>3.046,50</v>
      </c>
      <c r="M5570" s="6" t="str">
        <f>"15.419,19"</f>
        <v>15.419,19</v>
      </c>
      <c r="N5570" s="8" t="s">
        <v>227</v>
      </c>
      <c r="O5570" s="7"/>
      <c r="P5570" s="2">
        <v>15232.49</v>
      </c>
      <c r="Q5570" s="7"/>
      <c r="R5570" s="1"/>
      <c r="S5570" s="1" t="str">
        <f>"2022-6760"</f>
        <v>2022-6760</v>
      </c>
      <c r="T5570" s="1" t="s">
        <v>55</v>
      </c>
    </row>
    <row r="5571" spans="1:20" ht="51" x14ac:dyDescent="0.25">
      <c r="A5571" s="6">
        <v>5550</v>
      </c>
      <c r="B5571" s="1" t="str">
        <f>"2022-711"</f>
        <v>2022-711</v>
      </c>
      <c r="C5571" s="1" t="s">
        <v>2956</v>
      </c>
      <c r="D5571" s="1" t="s">
        <v>815</v>
      </c>
      <c r="E5571" s="1" t="str">
        <f>""</f>
        <v/>
      </c>
      <c r="F5571" s="1" t="s">
        <v>1860</v>
      </c>
      <c r="G5571" s="1" t="str">
        <f>CONCATENATE("M.B. AUTO  d.o.o.,"," KOLEDOVČINA 8,"," 10000 ZAGREB,"," OIB: 8902734372")</f>
        <v>M.B. AUTO  d.o.o., KOLEDOVČINA 8, 10000 ZAGREB, OIB: 8902734372</v>
      </c>
      <c r="H5571" s="7"/>
      <c r="I5571" s="8" t="s">
        <v>408</v>
      </c>
      <c r="J5571" s="7"/>
      <c r="K5571" s="6" t="str">
        <f>"2.605,25"</f>
        <v>2.605,25</v>
      </c>
      <c r="L5571" s="6" t="str">
        <f>"651,31"</f>
        <v>651,31</v>
      </c>
      <c r="M5571" s="6" t="str">
        <f>"3.256,56"</f>
        <v>3.256,56</v>
      </c>
      <c r="N5571" s="8" t="s">
        <v>301</v>
      </c>
      <c r="O5571" s="7"/>
      <c r="P5571" s="2">
        <v>3256.56</v>
      </c>
      <c r="Q5571" s="7"/>
      <c r="R5571" s="1"/>
      <c r="S5571" s="1" t="str">
        <f>"2022-6761"</f>
        <v>2022-6761</v>
      </c>
      <c r="T5571" s="1" t="s">
        <v>55</v>
      </c>
    </row>
    <row r="5572" spans="1:20" ht="51" x14ac:dyDescent="0.25">
      <c r="A5572" s="6">
        <v>5551</v>
      </c>
      <c r="B5572" s="1" t="str">
        <f>"2022-366"</f>
        <v>2022-366</v>
      </c>
      <c r="C5572" s="1" t="s">
        <v>2831</v>
      </c>
      <c r="D5572" s="1" t="s">
        <v>3402</v>
      </c>
      <c r="E5572" s="1" t="str">
        <f>""</f>
        <v/>
      </c>
      <c r="F5572" s="1" t="s">
        <v>1860</v>
      </c>
      <c r="G5572" s="1" t="str">
        <f>CONCATENATE("HRT - ŠARIĆ D.O.O.,"," ZAGREBAČKA 217,"," 10370 DUGO SELO,"," OIB: 76454212077")</f>
        <v>HRT - ŠARIĆ D.O.O., ZAGREBAČKA 217, 10370 DUGO SELO, OIB: 76454212077</v>
      </c>
      <c r="H5572" s="7"/>
      <c r="I5572" s="8" t="s">
        <v>408</v>
      </c>
      <c r="J5572" s="7"/>
      <c r="K5572" s="6" t="str">
        <f>"2.695,00"</f>
        <v>2.695,00</v>
      </c>
      <c r="L5572" s="6" t="str">
        <f>"673,75"</f>
        <v>673,75</v>
      </c>
      <c r="M5572" s="6" t="str">
        <f>"3.368,75"</f>
        <v>3.368,75</v>
      </c>
      <c r="N5572" s="8" t="s">
        <v>81</v>
      </c>
      <c r="O5572" s="7"/>
      <c r="P5572" s="2">
        <v>3368.75</v>
      </c>
      <c r="Q5572" s="7"/>
      <c r="R5572" s="1"/>
      <c r="S5572" s="1" t="str">
        <f>"2022-6763"</f>
        <v>2022-6763</v>
      </c>
      <c r="T5572" s="1" t="s">
        <v>55</v>
      </c>
    </row>
    <row r="5573" spans="1:20" ht="51" x14ac:dyDescent="0.25">
      <c r="A5573" s="6">
        <v>5552</v>
      </c>
      <c r="B5573" s="1" t="str">
        <f>"2022-852"</f>
        <v>2022-852</v>
      </c>
      <c r="C5573" s="1" t="s">
        <v>2469</v>
      </c>
      <c r="D5573" s="1" t="s">
        <v>2287</v>
      </c>
      <c r="E5573" s="1" t="str">
        <f>""</f>
        <v/>
      </c>
      <c r="F5573" s="1" t="s">
        <v>1860</v>
      </c>
      <c r="G5573" s="1" t="str">
        <f>CONCATENATE("EUROKOD PISAČIĆ D.O.O.,"," RUDEŠKA CESTA 16,"," 10000 ZAGREB,"," OIB: 8329104842")</f>
        <v>EUROKOD PISAČIĆ D.O.O., RUDEŠKA CESTA 16, 10000 ZAGREB, OIB: 8329104842</v>
      </c>
      <c r="H5573" s="7"/>
      <c r="I5573" s="8" t="s">
        <v>1122</v>
      </c>
      <c r="J5573" s="7"/>
      <c r="K5573" s="6" t="str">
        <f>"660,00"</f>
        <v>660,00</v>
      </c>
      <c r="L5573" s="6" t="str">
        <f>"165,00"</f>
        <v>165,00</v>
      </c>
      <c r="M5573" s="6" t="str">
        <f>"825,00"</f>
        <v>825,00</v>
      </c>
      <c r="N5573" s="8" t="s">
        <v>301</v>
      </c>
      <c r="O5573" s="7"/>
      <c r="P5573" s="2">
        <v>825</v>
      </c>
      <c r="Q5573" s="7"/>
      <c r="R5573" s="1"/>
      <c r="S5573" s="1" t="str">
        <f>"2022-6784"</f>
        <v>2022-6784</v>
      </c>
      <c r="T5573" s="1" t="s">
        <v>55</v>
      </c>
    </row>
    <row r="5574" spans="1:20" ht="51" x14ac:dyDescent="0.25">
      <c r="A5574" s="6">
        <v>5553</v>
      </c>
      <c r="B5574" s="1" t="str">
        <f>"2022-1479"</f>
        <v>2022-1479</v>
      </c>
      <c r="C5574" s="1" t="s">
        <v>2500</v>
      </c>
      <c r="D5574" s="1" t="s">
        <v>545</v>
      </c>
      <c r="E5574" s="1" t="str">
        <f>""</f>
        <v/>
      </c>
      <c r="F5574" s="1" t="s">
        <v>1860</v>
      </c>
      <c r="G5574" s="1" t="str">
        <f>CONCATENATE("FDS-TRGOVINA D.O.O.,"," MAJSTORSKA 1G,"," 10000 ZAGREB,"," OIB: 71814187727")</f>
        <v>FDS-TRGOVINA D.O.O., MAJSTORSKA 1G, 10000 ZAGREB, OIB: 71814187727</v>
      </c>
      <c r="H5574" s="7"/>
      <c r="I5574" s="8" t="s">
        <v>1122</v>
      </c>
      <c r="J5574" s="7"/>
      <c r="K5574" s="6" t="str">
        <f>"86.775,00"</f>
        <v>86.775,00</v>
      </c>
      <c r="L5574" s="6" t="str">
        <f>"21.693,75"</f>
        <v>21.693,75</v>
      </c>
      <c r="M5574" s="6" t="str">
        <f>"108.468,75"</f>
        <v>108.468,75</v>
      </c>
      <c r="N5574" s="8" t="s">
        <v>227</v>
      </c>
      <c r="O5574" s="7"/>
      <c r="P5574" s="2">
        <v>108468.75</v>
      </c>
      <c r="Q5574" s="7"/>
      <c r="R5574" s="1"/>
      <c r="S5574" s="1" t="str">
        <f>"2022-6785"</f>
        <v>2022-6785</v>
      </c>
      <c r="T5574" s="1" t="s">
        <v>55</v>
      </c>
    </row>
    <row r="5575" spans="1:20" ht="51" x14ac:dyDescent="0.25">
      <c r="A5575" s="6">
        <v>5554</v>
      </c>
      <c r="B5575" s="1" t="str">
        <f>"2022-887"</f>
        <v>2022-887</v>
      </c>
      <c r="C5575" s="1" t="s">
        <v>3362</v>
      </c>
      <c r="D5575" s="1" t="s">
        <v>2903</v>
      </c>
      <c r="E5575" s="1" t="str">
        <f>""</f>
        <v/>
      </c>
      <c r="F5575" s="1" t="s">
        <v>1860</v>
      </c>
      <c r="G5575" s="1" t="str">
        <f>CONCATENATE("TEHNIČAR-SERVAG D.O.O.,"," CRNOJEZERKA 18,"," 10000 ZAGREB,"," OIB: 49911547627")</f>
        <v>TEHNIČAR-SERVAG D.O.O., CRNOJEZERKA 18, 10000 ZAGREB, OIB: 49911547627</v>
      </c>
      <c r="H5575" s="7"/>
      <c r="I5575" s="8" t="s">
        <v>1122</v>
      </c>
      <c r="J5575" s="7"/>
      <c r="K5575" s="6" t="str">
        <f>"3.220,00"</f>
        <v>3.220,00</v>
      </c>
      <c r="L5575" s="6" t="str">
        <f>"0,00"</f>
        <v>0,00</v>
      </c>
      <c r="M5575" s="6" t="str">
        <f>"3.220,00"</f>
        <v>3.220,00</v>
      </c>
      <c r="N5575" s="8" t="s">
        <v>124</v>
      </c>
      <c r="O5575" s="7"/>
      <c r="P5575" s="2">
        <v>0</v>
      </c>
      <c r="Q5575" s="7"/>
      <c r="R5575" s="1"/>
      <c r="S5575" s="1" t="str">
        <f>"2022-6787"</f>
        <v>2022-6787</v>
      </c>
      <c r="T5575" s="1" t="s">
        <v>55</v>
      </c>
    </row>
    <row r="5576" spans="1:20" ht="63.75" x14ac:dyDescent="0.25">
      <c r="A5576" s="6">
        <v>5555</v>
      </c>
      <c r="B5576" s="1" t="str">
        <f>"2022-587"</f>
        <v>2022-587</v>
      </c>
      <c r="C5576" s="1" t="s">
        <v>3319</v>
      </c>
      <c r="D5576" s="1" t="s">
        <v>3320</v>
      </c>
      <c r="E5576" s="1" t="str">
        <f>""</f>
        <v/>
      </c>
      <c r="F5576" s="1" t="s">
        <v>1860</v>
      </c>
      <c r="G5576" s="1" t="str">
        <f>CONCATENATE("STIREL PROMET D.O.O.,"," VLADIMIRA VARIČAKA 3,"," 10020 ZAGREB,"," OIB: 26901839603")</f>
        <v>STIREL PROMET D.O.O., VLADIMIRA VARIČAKA 3, 10020 ZAGREB, OIB: 26901839603</v>
      </c>
      <c r="H5576" s="7"/>
      <c r="I5576" s="8" t="s">
        <v>1122</v>
      </c>
      <c r="J5576" s="7"/>
      <c r="K5576" s="6" t="str">
        <f>"1.800,40"</f>
        <v>1.800,40</v>
      </c>
      <c r="L5576" s="6" t="str">
        <f>"0,00"</f>
        <v>0,00</v>
      </c>
      <c r="M5576" s="6" t="str">
        <f>"1.800,40"</f>
        <v>1.800,40</v>
      </c>
      <c r="N5576" s="8" t="s">
        <v>124</v>
      </c>
      <c r="O5576" s="7"/>
      <c r="P5576" s="2">
        <v>0</v>
      </c>
      <c r="Q5576" s="7"/>
      <c r="R5576" s="1"/>
      <c r="S5576" s="1" t="str">
        <f>"2022-6788"</f>
        <v>2022-6788</v>
      </c>
      <c r="T5576" s="1" t="s">
        <v>55</v>
      </c>
    </row>
    <row r="5577" spans="1:20" ht="51" x14ac:dyDescent="0.25">
      <c r="A5577" s="6">
        <v>5556</v>
      </c>
      <c r="B5577" s="1" t="str">
        <f>"2022-375"</f>
        <v>2022-375</v>
      </c>
      <c r="C5577" s="1" t="s">
        <v>2747</v>
      </c>
      <c r="D5577" s="1" t="s">
        <v>1337</v>
      </c>
      <c r="E5577" s="1" t="str">
        <f>""</f>
        <v/>
      </c>
      <c r="F5577" s="1" t="s">
        <v>1860</v>
      </c>
      <c r="G5577" s="1" t="str">
        <f>CONCATENATE("INTERVEKTOR D.O.O.,"," OBREŠKA CESTA 51,"," 10000 ZAGREB,"," OIB: 91653777677")</f>
        <v>INTERVEKTOR D.O.O., OBREŠKA CESTA 51, 10000 ZAGREB, OIB: 91653777677</v>
      </c>
      <c r="H5577" s="7"/>
      <c r="I5577" s="8" t="s">
        <v>1122</v>
      </c>
      <c r="J5577" s="7"/>
      <c r="K5577" s="6" t="str">
        <f>"1.550,00"</f>
        <v>1.550,00</v>
      </c>
      <c r="L5577" s="6" t="str">
        <f>"0,00"</f>
        <v>0,00</v>
      </c>
      <c r="M5577" s="6" t="str">
        <f>"1.550,00"</f>
        <v>1.550,00</v>
      </c>
      <c r="N5577" s="8" t="s">
        <v>124</v>
      </c>
      <c r="O5577" s="7"/>
      <c r="P5577" s="2">
        <v>0</v>
      </c>
      <c r="Q5577" s="7"/>
      <c r="R5577" s="1"/>
      <c r="S5577" s="1" t="str">
        <f>"2022-6789"</f>
        <v>2022-6789</v>
      </c>
      <c r="T5577" s="1" t="s">
        <v>55</v>
      </c>
    </row>
    <row r="5578" spans="1:20" ht="51" x14ac:dyDescent="0.25">
      <c r="A5578" s="6">
        <v>5557</v>
      </c>
      <c r="B5578" s="1" t="str">
        <f>"2022-852"</f>
        <v>2022-852</v>
      </c>
      <c r="C5578" s="1" t="s">
        <v>2469</v>
      </c>
      <c r="D5578" s="1" t="s">
        <v>2287</v>
      </c>
      <c r="E5578" s="1" t="str">
        <f>""</f>
        <v/>
      </c>
      <c r="F5578" s="1" t="s">
        <v>1860</v>
      </c>
      <c r="G5578" s="1" t="str">
        <f>CONCATENATE("KOPI-AS D.O.O.,"," CERNIČKA 4,"," 10000 ZAGREB,"," OIB: 96605206988")</f>
        <v>KOPI-AS D.O.O., CERNIČKA 4, 10000 ZAGREB, OIB: 96605206988</v>
      </c>
      <c r="H5578" s="7"/>
      <c r="I5578" s="8" t="s">
        <v>1122</v>
      </c>
      <c r="J5578" s="7"/>
      <c r="K5578" s="6" t="str">
        <f>"3.170,50"</f>
        <v>3.170,50</v>
      </c>
      <c r="L5578" s="6" t="str">
        <f>"792,63"</f>
        <v>792,63</v>
      </c>
      <c r="M5578" s="6" t="str">
        <f>"3.963,13"</f>
        <v>3.963,13</v>
      </c>
      <c r="N5578" s="8" t="s">
        <v>625</v>
      </c>
      <c r="O5578" s="7"/>
      <c r="P5578" s="2">
        <v>3963.13</v>
      </c>
      <c r="Q5578" s="7"/>
      <c r="R5578" s="1"/>
      <c r="S5578" s="1" t="str">
        <f>"2022-6791"</f>
        <v>2022-6791</v>
      </c>
      <c r="T5578" s="1" t="s">
        <v>55</v>
      </c>
    </row>
    <row r="5579" spans="1:20" ht="63.75" x14ac:dyDescent="0.25">
      <c r="A5579" s="6">
        <v>5558</v>
      </c>
      <c r="B5579" s="1" t="str">
        <f>"2022-740"</f>
        <v>2022-740</v>
      </c>
      <c r="C5579" s="1" t="s">
        <v>3389</v>
      </c>
      <c r="D5579" s="1" t="s">
        <v>3390</v>
      </c>
      <c r="E5579" s="1" t="str">
        <f>""</f>
        <v/>
      </c>
      <c r="F5579" s="1" t="s">
        <v>1860</v>
      </c>
      <c r="G5579" s="1" t="str">
        <f>CONCATENATE("ELEKTRO-KOMUNIKACIJE D.O.O.,"," 14. PODBREŽJE 4,"," 10000 ZAGREB,"," OIB: 76412373309")</f>
        <v>ELEKTRO-KOMUNIKACIJE D.O.O., 14. PODBREŽJE 4, 10000 ZAGREB, OIB: 76412373309</v>
      </c>
      <c r="H5579" s="7"/>
      <c r="I5579" s="8" t="s">
        <v>374</v>
      </c>
      <c r="J5579" s="7"/>
      <c r="K5579" s="6" t="str">
        <f>"1.351,00"</f>
        <v>1.351,00</v>
      </c>
      <c r="L5579" s="6" t="str">
        <f>"337,75"</f>
        <v>337,75</v>
      </c>
      <c r="M5579" s="6" t="str">
        <f>"1.688,75"</f>
        <v>1.688,75</v>
      </c>
      <c r="N5579" s="8" t="s">
        <v>81</v>
      </c>
      <c r="O5579" s="7"/>
      <c r="P5579" s="2">
        <v>1688.75</v>
      </c>
      <c r="Q5579" s="7"/>
      <c r="R5579" s="1"/>
      <c r="S5579" s="1" t="str">
        <f>"2022-6844"</f>
        <v>2022-6844</v>
      </c>
      <c r="T5579" s="1" t="s">
        <v>55</v>
      </c>
    </row>
    <row r="5580" spans="1:20" ht="63.75" x14ac:dyDescent="0.25">
      <c r="A5580" s="6">
        <v>5559</v>
      </c>
      <c r="B5580" s="1" t="str">
        <f>"2022-1744"</f>
        <v>2022-1744</v>
      </c>
      <c r="C5580" s="1" t="s">
        <v>1793</v>
      </c>
      <c r="D5580" s="1" t="s">
        <v>1792</v>
      </c>
      <c r="E5580" s="1" t="str">
        <f>""</f>
        <v/>
      </c>
      <c r="F5580" s="1" t="s">
        <v>1860</v>
      </c>
      <c r="G5580" s="1" t="str">
        <f>CONCATENATE("TOKIĆ D.O.O.,"," ULICA 144. BRIGADE HRVATSKE VOJSKE 1A,"," 10360 SESVETE,"," OIB: 7486748762")</f>
        <v>TOKIĆ D.O.O., ULICA 144. BRIGADE HRVATSKE VOJSKE 1A, 10360 SESVETE, OIB: 7486748762</v>
      </c>
      <c r="H5580" s="7"/>
      <c r="I5580" s="8" t="s">
        <v>374</v>
      </c>
      <c r="J5580" s="7"/>
      <c r="K5580" s="6" t="str">
        <f>"2.232,00"</f>
        <v>2.232,00</v>
      </c>
      <c r="L5580" s="6" t="str">
        <f>"558,00"</f>
        <v>558,00</v>
      </c>
      <c r="M5580" s="6" t="str">
        <f>"2.790,00"</f>
        <v>2.790,00</v>
      </c>
      <c r="N5580" s="8" t="s">
        <v>31</v>
      </c>
      <c r="O5580" s="7"/>
      <c r="P5580" s="2">
        <v>2790</v>
      </c>
      <c r="Q5580" s="7"/>
      <c r="R5580" s="1"/>
      <c r="S5580" s="1" t="str">
        <f>"2022-6854"</f>
        <v>2022-6854</v>
      </c>
      <c r="T5580" s="1" t="s">
        <v>55</v>
      </c>
    </row>
    <row r="5581" spans="1:20" ht="63.75" x14ac:dyDescent="0.25">
      <c r="A5581" s="6">
        <v>5560</v>
      </c>
      <c r="B5581" s="1" t="str">
        <f>"2022-226"</f>
        <v>2022-226</v>
      </c>
      <c r="C5581" s="1" t="s">
        <v>2464</v>
      </c>
      <c r="D5581" s="1" t="s">
        <v>3311</v>
      </c>
      <c r="E5581" s="1" t="str">
        <f>""</f>
        <v/>
      </c>
      <c r="F5581" s="1" t="s">
        <v>1860</v>
      </c>
      <c r="G5581" s="1" t="str">
        <f>CONCATENATE("HANNA INSTRUMENTS D.O.O.,"," JURE KAŠTELANA 19,"," 10000 ZAGREB,"," OIB: 575031015")</f>
        <v>HANNA INSTRUMENTS D.O.O., JURE KAŠTELANA 19, 10000 ZAGREB, OIB: 575031015</v>
      </c>
      <c r="H5581" s="7"/>
      <c r="I5581" s="8" t="s">
        <v>374</v>
      </c>
      <c r="J5581" s="7"/>
      <c r="K5581" s="6" t="str">
        <f>"1.605,00"</f>
        <v>1.605,00</v>
      </c>
      <c r="L5581" s="6" t="str">
        <f>"401,25"</f>
        <v>401,25</v>
      </c>
      <c r="M5581" s="6" t="str">
        <f>"2.006,25"</f>
        <v>2.006,25</v>
      </c>
      <c r="N5581" s="8" t="s">
        <v>414</v>
      </c>
      <c r="O5581" s="7"/>
      <c r="P5581" s="2">
        <v>2006.25</v>
      </c>
      <c r="Q5581" s="7"/>
      <c r="R5581" s="1"/>
      <c r="S5581" s="1" t="str">
        <f>"2022-6856"</f>
        <v>2022-6856</v>
      </c>
      <c r="T5581" s="1" t="s">
        <v>55</v>
      </c>
    </row>
    <row r="5582" spans="1:20" ht="63.75" x14ac:dyDescent="0.25">
      <c r="A5582" s="6">
        <v>5561</v>
      </c>
      <c r="B5582" s="1" t="str">
        <f>"2022-520"</f>
        <v>2022-520</v>
      </c>
      <c r="C5582" s="1" t="s">
        <v>3448</v>
      </c>
      <c r="D5582" s="1" t="s">
        <v>3449</v>
      </c>
      <c r="E5582" s="1" t="str">
        <f>""</f>
        <v/>
      </c>
      <c r="F5582" s="1" t="s">
        <v>1860</v>
      </c>
      <c r="G5582" s="1" t="str">
        <f>CONCATENATE("TEHNOZAVOD-MARUŠIĆ D.O.O.,"," XIII PODBREŽJE 26,"," 10000 ZAGREB,"," OIB: 2192647279")</f>
        <v>TEHNOZAVOD-MARUŠIĆ D.O.O., XIII PODBREŽJE 26, 10000 ZAGREB, OIB: 2192647279</v>
      </c>
      <c r="H5582" s="7"/>
      <c r="I5582" s="8" t="s">
        <v>374</v>
      </c>
      <c r="J5582" s="7"/>
      <c r="K5582" s="6" t="str">
        <f>"5.400,00"</f>
        <v>5.400,00</v>
      </c>
      <c r="L5582" s="6" t="str">
        <f>"1.350,00"</f>
        <v>1.350,00</v>
      </c>
      <c r="M5582" s="6" t="str">
        <f>"6.750,00"</f>
        <v>6.750,00</v>
      </c>
      <c r="N5582" s="8" t="s">
        <v>409</v>
      </c>
      <c r="O5582" s="7"/>
      <c r="P5582" s="2">
        <v>6750</v>
      </c>
      <c r="Q5582" s="7"/>
      <c r="R5582" s="1"/>
      <c r="S5582" s="1" t="str">
        <f>"2022-6864"</f>
        <v>2022-6864</v>
      </c>
      <c r="T5582" s="1" t="s">
        <v>55</v>
      </c>
    </row>
    <row r="5583" spans="1:20" ht="51" x14ac:dyDescent="0.25">
      <c r="A5583" s="6">
        <v>5562</v>
      </c>
      <c r="B5583" s="1" t="str">
        <f>"2022-891"</f>
        <v>2022-891</v>
      </c>
      <c r="C5583" s="1" t="s">
        <v>3374</v>
      </c>
      <c r="D5583" s="1" t="s">
        <v>2903</v>
      </c>
      <c r="E5583" s="1" t="str">
        <f>""</f>
        <v/>
      </c>
      <c r="F5583" s="1" t="s">
        <v>1860</v>
      </c>
      <c r="G5583" s="1" t="str">
        <f>CONCATENATE("SHIMADZU D.O.O.,"," ZAVRTNICA 17,"," 10000 ZAGREB,"," OIB: 16214531266")</f>
        <v>SHIMADZU D.O.O., ZAVRTNICA 17, 10000 ZAGREB, OIB: 16214531266</v>
      </c>
      <c r="H5583" s="7"/>
      <c r="I5583" s="8" t="s">
        <v>374</v>
      </c>
      <c r="J5583" s="7"/>
      <c r="K5583" s="6" t="str">
        <f>"8.436,03"</f>
        <v>8.436,03</v>
      </c>
      <c r="L5583" s="6" t="str">
        <f>"2.109,01"</f>
        <v>2.109,01</v>
      </c>
      <c r="M5583" s="6" t="str">
        <f>"10.545,04"</f>
        <v>10.545,04</v>
      </c>
      <c r="N5583" s="8" t="s">
        <v>625</v>
      </c>
      <c r="O5583" s="7"/>
      <c r="P5583" s="2">
        <v>10545.04</v>
      </c>
      <c r="Q5583" s="7"/>
      <c r="R5583" s="1"/>
      <c r="S5583" s="1" t="str">
        <f>"2022-6865"</f>
        <v>2022-6865</v>
      </c>
      <c r="T5583" s="1" t="s">
        <v>55</v>
      </c>
    </row>
    <row r="5584" spans="1:20" ht="51" x14ac:dyDescent="0.25">
      <c r="A5584" s="6">
        <v>5563</v>
      </c>
      <c r="B5584" s="1" t="str">
        <f>"2022-1769"</f>
        <v>2022-1769</v>
      </c>
      <c r="C5584" s="1" t="s">
        <v>3450</v>
      </c>
      <c r="D5584" s="1" t="s">
        <v>3326</v>
      </c>
      <c r="E5584" s="1" t="str">
        <f>""</f>
        <v/>
      </c>
      <c r="F5584" s="1" t="s">
        <v>1860</v>
      </c>
      <c r="G5584" s="1" t="str">
        <f>CONCATENATE("APZ HIDRIA D.O.O.,"," ZAGREBAČKA 233,"," 10000 ZAGREB,"," OIB: 76901428643")</f>
        <v>APZ HIDRIA D.O.O., ZAGREBAČKA 233, 10000 ZAGREB, OIB: 76901428643</v>
      </c>
      <c r="H5584" s="7"/>
      <c r="I5584" s="8" t="s">
        <v>1122</v>
      </c>
      <c r="J5584" s="7"/>
      <c r="K5584" s="6" t="str">
        <f>"25.500,00"</f>
        <v>25.500,00</v>
      </c>
      <c r="L5584" s="6" t="str">
        <f>"0,00"</f>
        <v>0,00</v>
      </c>
      <c r="M5584" s="6" t="str">
        <f>"25.500,00"</f>
        <v>25.500,00</v>
      </c>
      <c r="N5584" s="8" t="s">
        <v>124</v>
      </c>
      <c r="O5584" s="7"/>
      <c r="P5584" s="2">
        <v>0</v>
      </c>
      <c r="Q5584" s="7"/>
      <c r="R5584" s="1"/>
      <c r="S5584" s="1" t="str">
        <f>"2022-6872"</f>
        <v>2022-6872</v>
      </c>
      <c r="T5584" s="1" t="s">
        <v>55</v>
      </c>
    </row>
    <row r="5585" spans="1:20" ht="51" x14ac:dyDescent="0.25">
      <c r="A5585" s="6">
        <v>5564</v>
      </c>
      <c r="B5585" s="1" t="str">
        <f>"2022-665"</f>
        <v>2022-665</v>
      </c>
      <c r="C5585" s="1" t="s">
        <v>3451</v>
      </c>
      <c r="D5585" s="1" t="s">
        <v>1381</v>
      </c>
      <c r="E5585" s="1" t="str">
        <f>""</f>
        <v/>
      </c>
      <c r="F5585" s="1" t="s">
        <v>1860</v>
      </c>
      <c r="G5585" s="1" t="str">
        <f>CONCATENATE("ENDRESS + HAUSER D.O.O.,"," JARUŠČICA 23,"," 10000 ZAGREB,"," OIB: 7265450036")</f>
        <v>ENDRESS + HAUSER D.O.O., JARUŠČICA 23, 10000 ZAGREB, OIB: 7265450036</v>
      </c>
      <c r="H5585" s="7"/>
      <c r="I5585" s="8" t="s">
        <v>310</v>
      </c>
      <c r="J5585" s="7"/>
      <c r="K5585" s="6" t="str">
        <f>"49.850,61"</f>
        <v>49.850,61</v>
      </c>
      <c r="L5585" s="6" t="str">
        <f>"11.391,01"</f>
        <v>11.391,01</v>
      </c>
      <c r="M5585" s="6" t="str">
        <f>"61.241,62"</f>
        <v>61.241,62</v>
      </c>
      <c r="N5585" s="8" t="s">
        <v>384</v>
      </c>
      <c r="O5585" s="7"/>
      <c r="P5585" s="2">
        <v>56955.05</v>
      </c>
      <c r="Q5585" s="7"/>
      <c r="R5585" s="1"/>
      <c r="S5585" s="1" t="str">
        <f>"2022-6881"</f>
        <v>2022-6881</v>
      </c>
      <c r="T5585" s="1" t="s">
        <v>55</v>
      </c>
    </row>
    <row r="5586" spans="1:20" ht="51" x14ac:dyDescent="0.25">
      <c r="A5586" s="6">
        <v>5565</v>
      </c>
      <c r="B5586" s="1" t="str">
        <f>"2022-917"</f>
        <v>2022-917</v>
      </c>
      <c r="C5586" s="1" t="s">
        <v>1396</v>
      </c>
      <c r="D5586" s="1" t="s">
        <v>1007</v>
      </c>
      <c r="E5586" s="1" t="str">
        <f>""</f>
        <v/>
      </c>
      <c r="F5586" s="1" t="s">
        <v>1860</v>
      </c>
      <c r="G5586" s="1" t="str">
        <f>CONCATENATE("ZAŠTITA-ATEST D.O.O.,"," ULICA GRADA CHICAGA 25,"," 10000 ZAGREB,"," OIB: 72702911449")</f>
        <v>ZAŠTITA-ATEST D.O.O., ULICA GRADA CHICAGA 25, 10000 ZAGREB, OIB: 72702911449</v>
      </c>
      <c r="H5586" s="7"/>
      <c r="I5586" s="8" t="s">
        <v>102</v>
      </c>
      <c r="J5586" s="7"/>
      <c r="K5586" s="6" t="str">
        <f>"12.950,00"</f>
        <v>12.950,00</v>
      </c>
      <c r="L5586" s="6" t="str">
        <f>"3.237,50"</f>
        <v>3.237,50</v>
      </c>
      <c r="M5586" s="6" t="str">
        <f>"16.187,50"</f>
        <v>16.187,50</v>
      </c>
      <c r="N5586" s="8" t="s">
        <v>31</v>
      </c>
      <c r="O5586" s="7"/>
      <c r="P5586" s="2">
        <v>16187.5</v>
      </c>
      <c r="Q5586" s="7"/>
      <c r="R5586" s="1"/>
      <c r="S5586" s="1" t="str">
        <f>"2022-6926"</f>
        <v>2022-6926</v>
      </c>
      <c r="T5586" s="1" t="s">
        <v>55</v>
      </c>
    </row>
    <row r="5587" spans="1:20" ht="76.5" x14ac:dyDescent="0.25">
      <c r="A5587" s="6">
        <v>5566</v>
      </c>
      <c r="B5587" s="1" t="str">
        <f>"2022-1482"</f>
        <v>2022-1482</v>
      </c>
      <c r="C5587" s="1" t="s">
        <v>2501</v>
      </c>
      <c r="D5587" s="1" t="s">
        <v>3411</v>
      </c>
      <c r="E5587" s="1" t="str">
        <f>""</f>
        <v/>
      </c>
      <c r="F5587" s="1" t="s">
        <v>1860</v>
      </c>
      <c r="G5587" s="1" t="str">
        <f>CONCATENATE("SMIT-COMMERCE D.O.O.,"," GORNJOSTUPNIČKA 9B,"," 10255 GORNJI STUPNIK,"," OIB: 9524348214")</f>
        <v>SMIT-COMMERCE D.O.O., GORNJOSTUPNIČKA 9B, 10255 GORNJI STUPNIK, OIB: 9524348214</v>
      </c>
      <c r="H5587" s="7"/>
      <c r="I5587" s="8" t="s">
        <v>317</v>
      </c>
      <c r="J5587" s="7"/>
      <c r="K5587" s="6" t="str">
        <f>"14.808,00"</f>
        <v>14.808,00</v>
      </c>
      <c r="L5587" s="6" t="str">
        <f>"3.702,00"</f>
        <v>3.702,00</v>
      </c>
      <c r="M5587" s="6" t="str">
        <f>"18.510,00"</f>
        <v>18.510,00</v>
      </c>
      <c r="N5587" s="8" t="s">
        <v>892</v>
      </c>
      <c r="O5587" s="7"/>
      <c r="P5587" s="2">
        <v>18510</v>
      </c>
      <c r="Q5587" s="7"/>
      <c r="R5587" s="1"/>
      <c r="S5587" s="1" t="str">
        <f>"2022-6995"</f>
        <v>2022-6995</v>
      </c>
      <c r="T5587" s="1" t="s">
        <v>55</v>
      </c>
    </row>
    <row r="5588" spans="1:20" ht="51" x14ac:dyDescent="0.25">
      <c r="A5588" s="6">
        <v>5567</v>
      </c>
      <c r="B5588" s="1" t="str">
        <f>"2022-245"</f>
        <v>2022-245</v>
      </c>
      <c r="C5588" s="1" t="s">
        <v>2435</v>
      </c>
      <c r="D5588" s="1" t="s">
        <v>3323</v>
      </c>
      <c r="E5588" s="1" t="str">
        <f>""</f>
        <v/>
      </c>
      <c r="F5588" s="1" t="s">
        <v>1860</v>
      </c>
      <c r="G5588" s="1" t="str">
        <f>CONCATENATE("BIOVIT D.O.O.,"," MATKA LAGINJE 13,"," 42000 VARAŽDIN,"," OIB: 7327541289")</f>
        <v>BIOVIT D.O.O., MATKA LAGINJE 13, 42000 VARAŽDIN, OIB: 7327541289</v>
      </c>
      <c r="H5588" s="7"/>
      <c r="I5588" s="8" t="s">
        <v>317</v>
      </c>
      <c r="J5588" s="7"/>
      <c r="K5588" s="6" t="str">
        <f>"36.248,69"</f>
        <v>36.248,69</v>
      </c>
      <c r="L5588" s="6" t="str">
        <f>"3.017,78"</f>
        <v>3.017,78</v>
      </c>
      <c r="M5588" s="6" t="str">
        <f>"39.266,47"</f>
        <v>39.266,47</v>
      </c>
      <c r="N5588" s="8" t="s">
        <v>509</v>
      </c>
      <c r="O5588" s="7"/>
      <c r="P5588" s="2">
        <v>15088.85</v>
      </c>
      <c r="Q5588" s="7"/>
      <c r="R5588" s="1"/>
      <c r="S5588" s="1" t="str">
        <f>"2022-6998"</f>
        <v>2022-6998</v>
      </c>
      <c r="T5588" s="1" t="s">
        <v>55</v>
      </c>
    </row>
    <row r="5589" spans="1:20" ht="51" x14ac:dyDescent="0.25">
      <c r="A5589" s="6">
        <v>5568</v>
      </c>
      <c r="B5589" s="1" t="str">
        <f>"2022-985"</f>
        <v>2022-985</v>
      </c>
      <c r="C5589" s="1" t="s">
        <v>2480</v>
      </c>
      <c r="D5589" s="1" t="s">
        <v>87</v>
      </c>
      <c r="E5589" s="1" t="str">
        <f>""</f>
        <v/>
      </c>
      <c r="F5589" s="1" t="s">
        <v>1860</v>
      </c>
      <c r="G5589" s="1" t="str">
        <f>CONCATENATE("MONT-RA D.O.O.,"," II BARILOVIĆKA 5,"," 10000 ZAGREB,"," OIB: 91613881793")</f>
        <v>MONT-RA D.O.O., II BARILOVIĆKA 5, 10000 ZAGREB, OIB: 91613881793</v>
      </c>
      <c r="H5589" s="7"/>
      <c r="I5589" s="8" t="s">
        <v>432</v>
      </c>
      <c r="J5589" s="7"/>
      <c r="K5589" s="6" t="str">
        <f>"1.022,74"</f>
        <v>1.022,74</v>
      </c>
      <c r="L5589" s="6" t="str">
        <f>"0,00"</f>
        <v>0,00</v>
      </c>
      <c r="M5589" s="6" t="str">
        <f>"1.022,74"</f>
        <v>1.022,74</v>
      </c>
      <c r="N5589" s="8" t="s">
        <v>124</v>
      </c>
      <c r="O5589" s="7"/>
      <c r="P5589" s="2">
        <v>0</v>
      </c>
      <c r="Q5589" s="7"/>
      <c r="R5589" s="1"/>
      <c r="S5589" s="1" t="str">
        <f>"2022-7040"</f>
        <v>2022-7040</v>
      </c>
      <c r="T5589" s="1" t="s">
        <v>86</v>
      </c>
    </row>
    <row r="5590" spans="1:20" ht="63.75" x14ac:dyDescent="0.25">
      <c r="A5590" s="6">
        <v>5569</v>
      </c>
      <c r="B5590" s="1" t="str">
        <f>"2022-1935"</f>
        <v>2022-1935</v>
      </c>
      <c r="C5590" s="1" t="s">
        <v>3452</v>
      </c>
      <c r="D5590" s="1" t="s">
        <v>1150</v>
      </c>
      <c r="E5590" s="1" t="str">
        <f>""</f>
        <v/>
      </c>
      <c r="F5590" s="1" t="s">
        <v>1860</v>
      </c>
      <c r="G5590" s="1" t="str">
        <f>CONCATENATE("PRODUCT DESIGN J.D.O.O.,"," RADOSLAVA CIMERMANA 58,"," 10020 ZAGREB,"," OIB: 68522617198")</f>
        <v>PRODUCT DESIGN J.D.O.O., RADOSLAVA CIMERMANA 58, 10020 ZAGREB, OIB: 68522617198</v>
      </c>
      <c r="H5590" s="7"/>
      <c r="I5590" s="8" t="s">
        <v>432</v>
      </c>
      <c r="J5590" s="7"/>
      <c r="K5590" s="6" t="str">
        <f>"61.160,00"</f>
        <v>61.160,00</v>
      </c>
      <c r="L5590" s="6" t="str">
        <f>"0,00"</f>
        <v>0,00</v>
      </c>
      <c r="M5590" s="6" t="str">
        <f>"61.160,00"</f>
        <v>61.160,00</v>
      </c>
      <c r="N5590" s="8" t="s">
        <v>124</v>
      </c>
      <c r="O5590" s="7"/>
      <c r="P5590" s="2">
        <v>0</v>
      </c>
      <c r="Q5590" s="7"/>
      <c r="R5590" s="1"/>
      <c r="S5590" s="1" t="str">
        <f>"2022-7041"</f>
        <v>2022-7041</v>
      </c>
      <c r="T5590" s="1" t="s">
        <v>55</v>
      </c>
    </row>
    <row r="5591" spans="1:20" ht="89.25" x14ac:dyDescent="0.25">
      <c r="A5591" s="6">
        <v>5570</v>
      </c>
      <c r="B5591" s="1" t="str">
        <f>"2022-160"</f>
        <v>2022-160</v>
      </c>
      <c r="C5591" s="1" t="s">
        <v>3014</v>
      </c>
      <c r="D5591" s="1" t="s">
        <v>1492</v>
      </c>
      <c r="E5591" s="1" t="str">
        <f>""</f>
        <v/>
      </c>
      <c r="F5591" s="1" t="s">
        <v>1860</v>
      </c>
      <c r="G5591" s="1" t="str">
        <f>CONCATENATE("ZAGREBAČKI HOLDING D.O.O.,"," PODRUŽNICA ZRINJEVAC,"," ULICA GRADA VUKOVARA 41,"," REMETINEČKA CESTA 15,"," 10000 ZAGREB,"," OIB: 85584865987")</f>
        <v>ZAGREBAČKI HOLDING D.O.O., PODRUŽNICA ZRINJEVAC, ULICA GRADA VUKOVARA 41, REMETINEČKA CESTA 15, 10000 ZAGREB, OIB: 85584865987</v>
      </c>
      <c r="H5591" s="7"/>
      <c r="I5591" s="8" t="s">
        <v>432</v>
      </c>
      <c r="J5591" s="7"/>
      <c r="K5591" s="6" t="str">
        <f>"448,80"</f>
        <v>448,80</v>
      </c>
      <c r="L5591" s="6" t="str">
        <f>"112,20"</f>
        <v>112,20</v>
      </c>
      <c r="M5591" s="6" t="str">
        <f>"561,00"</f>
        <v>561,00</v>
      </c>
      <c r="N5591" s="8" t="s">
        <v>420</v>
      </c>
      <c r="O5591" s="7"/>
      <c r="P5591" s="2">
        <v>561</v>
      </c>
      <c r="Q5591" s="7"/>
      <c r="R5591" s="1"/>
      <c r="S5591" s="1" t="str">
        <f>"2022-7043"</f>
        <v>2022-7043</v>
      </c>
      <c r="T5591" s="1" t="s">
        <v>55</v>
      </c>
    </row>
    <row r="5592" spans="1:20" ht="51" x14ac:dyDescent="0.25">
      <c r="A5592" s="6">
        <v>5571</v>
      </c>
      <c r="B5592" s="1" t="str">
        <f>"2022-1467"</f>
        <v>2022-1467</v>
      </c>
      <c r="C5592" s="1" t="s">
        <v>3348</v>
      </c>
      <c r="D5592" s="1" t="s">
        <v>1783</v>
      </c>
      <c r="E5592" s="1" t="str">
        <f>""</f>
        <v/>
      </c>
      <c r="F5592" s="1" t="s">
        <v>1860</v>
      </c>
      <c r="G5592" s="1" t="str">
        <f>CONCATENATE("VODOSKOK D.D.,"," ČULINEČKA CESTA 221/C,"," 10040 ZAGREB,"," OIB: 34134218058")</f>
        <v>VODOSKOK D.D., ČULINEČKA CESTA 221/C, 10040 ZAGREB, OIB: 34134218058</v>
      </c>
      <c r="H5592" s="7"/>
      <c r="I5592" s="8" t="s">
        <v>432</v>
      </c>
      <c r="J5592" s="7"/>
      <c r="K5592" s="6" t="str">
        <f>"16.746,00"</f>
        <v>16.746,00</v>
      </c>
      <c r="L5592" s="6" t="str">
        <f>"4.186,50"</f>
        <v>4.186,50</v>
      </c>
      <c r="M5592" s="6" t="str">
        <f>"20.932,50"</f>
        <v>20.932,50</v>
      </c>
      <c r="N5592" s="8" t="s">
        <v>227</v>
      </c>
      <c r="O5592" s="7"/>
      <c r="P5592" s="2">
        <v>20932.5</v>
      </c>
      <c r="Q5592" s="7"/>
      <c r="R5592" s="1"/>
      <c r="S5592" s="1" t="str">
        <f>"2022-7054"</f>
        <v>2022-7054</v>
      </c>
      <c r="T5592" s="1" t="s">
        <v>55</v>
      </c>
    </row>
    <row r="5593" spans="1:20" ht="63.75" x14ac:dyDescent="0.25">
      <c r="A5593" s="6">
        <v>5572</v>
      </c>
      <c r="B5593" s="1" t="str">
        <f>"2022-887"</f>
        <v>2022-887</v>
      </c>
      <c r="C5593" s="1" t="s">
        <v>3362</v>
      </c>
      <c r="D5593" s="1" t="s">
        <v>2903</v>
      </c>
      <c r="E5593" s="1" t="str">
        <f>""</f>
        <v/>
      </c>
      <c r="F5593" s="1" t="s">
        <v>1860</v>
      </c>
      <c r="G5593" s="1" t="str">
        <f>CONCATENATE("MUR-INŽENJERING D.O.O.,"," KRAJ DONJI,"," DUBRAVIČKA 162,"," 10299 MARIJA GORICA,"," OIB: 60553873554")</f>
        <v>MUR-INŽENJERING D.O.O., KRAJ DONJI, DUBRAVIČKA 162, 10299 MARIJA GORICA, OIB: 60553873554</v>
      </c>
      <c r="H5593" s="7"/>
      <c r="I5593" s="8" t="s">
        <v>432</v>
      </c>
      <c r="J5593" s="7"/>
      <c r="K5593" s="6" t="str">
        <f>"2.512,00"</f>
        <v>2.512,00</v>
      </c>
      <c r="L5593" s="6" t="str">
        <f>"628,00"</f>
        <v>628,00</v>
      </c>
      <c r="M5593" s="6" t="str">
        <f>"3.140,00"</f>
        <v>3.140,00</v>
      </c>
      <c r="N5593" s="8" t="s">
        <v>420</v>
      </c>
      <c r="O5593" s="7"/>
      <c r="P5593" s="2">
        <v>3140</v>
      </c>
      <c r="Q5593" s="7"/>
      <c r="R5593" s="1"/>
      <c r="S5593" s="1" t="str">
        <f>"2022-7058"</f>
        <v>2022-7058</v>
      </c>
      <c r="T5593" s="1" t="s">
        <v>55</v>
      </c>
    </row>
    <row r="5594" spans="1:20" ht="76.5" x14ac:dyDescent="0.25">
      <c r="A5594" s="6">
        <v>5573</v>
      </c>
      <c r="B5594" s="1" t="str">
        <f>"2022-1205"</f>
        <v>2022-1205</v>
      </c>
      <c r="C5594" s="1" t="s">
        <v>2578</v>
      </c>
      <c r="D5594" s="1" t="s">
        <v>51</v>
      </c>
      <c r="E5594" s="1" t="str">
        <f>""</f>
        <v/>
      </c>
      <c r="F5594" s="1" t="s">
        <v>1860</v>
      </c>
      <c r="G5594" s="1" t="str">
        <f>CONCATENATE("E.G.S.-ELEKTROGRADITELJSTVO D.O.O.,"," ALBERTA FORTISA 10,"," 10090 ZAGREB,"," OIB: 83439900916")</f>
        <v>E.G.S.-ELEKTROGRADITELJSTVO D.O.O., ALBERTA FORTISA 10, 10090 ZAGREB, OIB: 83439900916</v>
      </c>
      <c r="H5594" s="7"/>
      <c r="I5594" s="8" t="s">
        <v>432</v>
      </c>
      <c r="J5594" s="7"/>
      <c r="K5594" s="6" t="str">
        <f>"5.260,00"</f>
        <v>5.260,00</v>
      </c>
      <c r="L5594" s="6" t="str">
        <f>"0,00"</f>
        <v>0,00</v>
      </c>
      <c r="M5594" s="6" t="str">
        <f>"5.260,00"</f>
        <v>5.260,00</v>
      </c>
      <c r="N5594" s="8" t="s">
        <v>124</v>
      </c>
      <c r="O5594" s="7"/>
      <c r="P5594" s="2">
        <v>0</v>
      </c>
      <c r="Q5594" s="7"/>
      <c r="R5594" s="1"/>
      <c r="S5594" s="1" t="str">
        <f>"2022-7061"</f>
        <v>2022-7061</v>
      </c>
      <c r="T5594" s="1" t="s">
        <v>55</v>
      </c>
    </row>
    <row r="5595" spans="1:20" ht="51" x14ac:dyDescent="0.25">
      <c r="A5595" s="6">
        <v>5574</v>
      </c>
      <c r="B5595" s="1" t="str">
        <f>"2022-716"</f>
        <v>2022-716</v>
      </c>
      <c r="C5595" s="1" t="s">
        <v>2563</v>
      </c>
      <c r="D5595" s="1" t="s">
        <v>815</v>
      </c>
      <c r="E5595" s="1" t="str">
        <f>""</f>
        <v/>
      </c>
      <c r="F5595" s="1" t="s">
        <v>1860</v>
      </c>
      <c r="G5595" s="1" t="str">
        <f>CONCATENATE("ZUBAK GRUPA D.O.O.,"," ZAGREBAČKA 117,"," 10410 VELIKA GORICA,"," OIB: 39135989747")</f>
        <v>ZUBAK GRUPA D.O.O., ZAGREBAČKA 117, 10410 VELIKA GORICA, OIB: 39135989747</v>
      </c>
      <c r="H5595" s="7"/>
      <c r="I5595" s="8" t="s">
        <v>432</v>
      </c>
      <c r="J5595" s="7"/>
      <c r="K5595" s="6" t="str">
        <f>"4.617,09"</f>
        <v>4.617,09</v>
      </c>
      <c r="L5595" s="6" t="str">
        <f>"0,00"</f>
        <v>0,00</v>
      </c>
      <c r="M5595" s="6" t="str">
        <f>"4.617,09"</f>
        <v>4.617,09</v>
      </c>
      <c r="N5595" s="8" t="s">
        <v>124</v>
      </c>
      <c r="O5595" s="7"/>
      <c r="P5595" s="2">
        <v>0</v>
      </c>
      <c r="Q5595" s="7"/>
      <c r="R5595" s="1"/>
      <c r="S5595" s="1" t="str">
        <f>"2022-7062"</f>
        <v>2022-7062</v>
      </c>
      <c r="T5595" s="1" t="s">
        <v>55</v>
      </c>
    </row>
    <row r="5596" spans="1:20" ht="51" x14ac:dyDescent="0.25">
      <c r="A5596" s="6">
        <v>5575</v>
      </c>
      <c r="B5596" s="1" t="str">
        <f>"2022-852"</f>
        <v>2022-852</v>
      </c>
      <c r="C5596" s="1" t="s">
        <v>2469</v>
      </c>
      <c r="D5596" s="1" t="s">
        <v>2287</v>
      </c>
      <c r="E5596" s="1" t="str">
        <f>""</f>
        <v/>
      </c>
      <c r="F5596" s="1" t="s">
        <v>1860</v>
      </c>
      <c r="G5596" s="1" t="str">
        <f>CONCATENATE("KOPI-AS D.O.O.,"," CERNIČKA 4,"," 10000 ZAGREB,"," OIB: 96605206988")</f>
        <v>KOPI-AS D.O.O., CERNIČKA 4, 10000 ZAGREB, OIB: 96605206988</v>
      </c>
      <c r="H5596" s="7"/>
      <c r="I5596" s="8" t="s">
        <v>432</v>
      </c>
      <c r="J5596" s="7"/>
      <c r="K5596" s="6" t="str">
        <f>"1.460,45"</f>
        <v>1.460,45</v>
      </c>
      <c r="L5596" s="6" t="str">
        <f>"365,11"</f>
        <v>365,11</v>
      </c>
      <c r="M5596" s="6" t="str">
        <f>"1.825,56"</f>
        <v>1.825,56</v>
      </c>
      <c r="N5596" s="8" t="s">
        <v>81</v>
      </c>
      <c r="O5596" s="7"/>
      <c r="P5596" s="2">
        <v>1825.56</v>
      </c>
      <c r="Q5596" s="7"/>
      <c r="R5596" s="1"/>
      <c r="S5596" s="1" t="str">
        <f>"2022-7063"</f>
        <v>2022-7063</v>
      </c>
      <c r="T5596" s="1" t="s">
        <v>55</v>
      </c>
    </row>
    <row r="5597" spans="1:20" ht="51" x14ac:dyDescent="0.25">
      <c r="A5597" s="6">
        <v>5576</v>
      </c>
      <c r="B5597" s="1" t="str">
        <f>"2022-894"</f>
        <v>2022-894</v>
      </c>
      <c r="C5597" s="1" t="s">
        <v>2863</v>
      </c>
      <c r="D5597" s="1" t="s">
        <v>1209</v>
      </c>
      <c r="E5597" s="1" t="str">
        <f>""</f>
        <v/>
      </c>
      <c r="F5597" s="1" t="s">
        <v>1860</v>
      </c>
      <c r="G5597" s="1" t="str">
        <f>CONCATENATE("LABORING D.O.O.,"," VIRJANSKA 22,"," 10000 ZAGREB,"," OIB: 24467257339")</f>
        <v>LABORING D.O.O., VIRJANSKA 22, 10000 ZAGREB, OIB: 24467257339</v>
      </c>
      <c r="H5597" s="7"/>
      <c r="I5597" s="8" t="s">
        <v>414</v>
      </c>
      <c r="J5597" s="7"/>
      <c r="K5597" s="6" t="str">
        <f>"450,00"</f>
        <v>450,00</v>
      </c>
      <c r="L5597" s="6" t="str">
        <f>"112,50"</f>
        <v>112,50</v>
      </c>
      <c r="M5597" s="6" t="str">
        <f>"562,50"</f>
        <v>562,50</v>
      </c>
      <c r="N5597" s="8" t="s">
        <v>409</v>
      </c>
      <c r="O5597" s="7"/>
      <c r="P5597" s="2">
        <v>562.5</v>
      </c>
      <c r="Q5597" s="7"/>
      <c r="R5597" s="1"/>
      <c r="S5597" s="1" t="str">
        <f>"2022-7089"</f>
        <v>2022-7089</v>
      </c>
      <c r="T5597" s="1" t="s">
        <v>55</v>
      </c>
    </row>
    <row r="5598" spans="1:20" ht="51" x14ac:dyDescent="0.25">
      <c r="A5598" s="6">
        <v>5577</v>
      </c>
      <c r="B5598" s="1" t="str">
        <f>"2022-1987"</f>
        <v>2022-1987</v>
      </c>
      <c r="C5598" s="1" t="s">
        <v>3453</v>
      </c>
      <c r="D5598" s="1" t="s">
        <v>815</v>
      </c>
      <c r="E5598" s="1" t="str">
        <f>""</f>
        <v/>
      </c>
      <c r="F5598" s="1" t="s">
        <v>1860</v>
      </c>
      <c r="G5598" s="1" t="str">
        <f>CONCATENATE("AUTOKUĆA-ŠTARKELJ D.O.O.,"," UKRAJINSKA 17,"," 10000 ZAGREB,"," OIB: 87340407905")</f>
        <v>AUTOKUĆA-ŠTARKELJ D.O.O., UKRAJINSKA 17, 10000 ZAGREB, OIB: 87340407905</v>
      </c>
      <c r="H5598" s="7"/>
      <c r="I5598" s="8" t="s">
        <v>414</v>
      </c>
      <c r="J5598" s="7"/>
      <c r="K5598" s="6" t="str">
        <f>"18.848,32"</f>
        <v>18.848,32</v>
      </c>
      <c r="L5598" s="6" t="str">
        <f>"4.712,08"</f>
        <v>4.712,08</v>
      </c>
      <c r="M5598" s="6" t="str">
        <f>"23.560,40"</f>
        <v>23.560,40</v>
      </c>
      <c r="N5598" s="8" t="s">
        <v>227</v>
      </c>
      <c r="O5598" s="7"/>
      <c r="P5598" s="2">
        <v>23560.400000000001</v>
      </c>
      <c r="Q5598" s="7"/>
      <c r="R5598" s="1"/>
      <c r="S5598" s="1" t="str">
        <f>"2022-7090"</f>
        <v>2022-7090</v>
      </c>
      <c r="T5598" s="1" t="s">
        <v>55</v>
      </c>
    </row>
    <row r="5599" spans="1:20" ht="51" x14ac:dyDescent="0.25">
      <c r="A5599" s="6">
        <v>5578</v>
      </c>
      <c r="B5599" s="1" t="str">
        <f>"2022-825"</f>
        <v>2022-825</v>
      </c>
      <c r="C5599" s="1" t="s">
        <v>2492</v>
      </c>
      <c r="D5599" s="1" t="s">
        <v>2493</v>
      </c>
      <c r="E5599" s="1" t="str">
        <f>""</f>
        <v/>
      </c>
      <c r="F5599" s="1" t="s">
        <v>1860</v>
      </c>
      <c r="G5599" s="1" t="str">
        <f>CONCATENATE("T.P.Z.  D.O.O.,"," NOVOSELSKA 25,"," 10040 ZAGREB,"," OIB: 68119083236")</f>
        <v>T.P.Z.  D.O.O., NOVOSELSKA 25, 10040 ZAGREB, OIB: 68119083236</v>
      </c>
      <c r="H5599" s="7"/>
      <c r="I5599" s="8" t="s">
        <v>414</v>
      </c>
      <c r="J5599" s="7"/>
      <c r="K5599" s="6" t="str">
        <f>"18.745,64"</f>
        <v>18.745,64</v>
      </c>
      <c r="L5599" s="6" t="str">
        <f>"4.686,41"</f>
        <v>4.686,41</v>
      </c>
      <c r="M5599" s="6" t="str">
        <f>"23.432,05"</f>
        <v>23.432,05</v>
      </c>
      <c r="N5599" s="8" t="s">
        <v>420</v>
      </c>
      <c r="O5599" s="7"/>
      <c r="P5599" s="2">
        <v>23432.05</v>
      </c>
      <c r="Q5599" s="7"/>
      <c r="R5599" s="1"/>
      <c r="S5599" s="1" t="str">
        <f>"2022-7091"</f>
        <v>2022-7091</v>
      </c>
      <c r="T5599" s="1" t="s">
        <v>55</v>
      </c>
    </row>
    <row r="5600" spans="1:20" ht="63.75" x14ac:dyDescent="0.25">
      <c r="A5600" s="6">
        <v>5579</v>
      </c>
      <c r="B5600" s="1" t="str">
        <f>"2022-655"</f>
        <v>2022-655</v>
      </c>
      <c r="C5600" s="1" t="s">
        <v>2775</v>
      </c>
      <c r="D5600" s="1" t="s">
        <v>3454</v>
      </c>
      <c r="E5600" s="1" t="str">
        <f>""</f>
        <v/>
      </c>
      <c r="F5600" s="1" t="s">
        <v>1860</v>
      </c>
      <c r="G5600" s="1" t="str">
        <f>CONCATENATE("ELEKTRO-KOMUNIKACIJE D.O.O.,"," 14. PODBREŽJE 4,"," 10000 ZAGREB,"," OIB: 76412373309")</f>
        <v>ELEKTRO-KOMUNIKACIJE D.O.O., 14. PODBREŽJE 4, 10000 ZAGREB, OIB: 76412373309</v>
      </c>
      <c r="H5600" s="7"/>
      <c r="I5600" s="8" t="s">
        <v>414</v>
      </c>
      <c r="J5600" s="7"/>
      <c r="K5600" s="6" t="str">
        <f>"3.314,00"</f>
        <v>3.314,00</v>
      </c>
      <c r="L5600" s="6" t="str">
        <f>"0,00"</f>
        <v>0,00</v>
      </c>
      <c r="M5600" s="6" t="str">
        <f>"3.314,00"</f>
        <v>3.314,00</v>
      </c>
      <c r="N5600" s="8" t="s">
        <v>124</v>
      </c>
      <c r="O5600" s="7"/>
      <c r="P5600" s="2">
        <v>0</v>
      </c>
      <c r="Q5600" s="7"/>
      <c r="R5600" s="1"/>
      <c r="S5600" s="1" t="str">
        <f>"2022-7092"</f>
        <v>2022-7092</v>
      </c>
      <c r="T5600" s="1" t="s">
        <v>55</v>
      </c>
    </row>
    <row r="5601" spans="1:20" ht="51" x14ac:dyDescent="0.25">
      <c r="A5601" s="6">
        <v>5580</v>
      </c>
      <c r="B5601" s="1" t="str">
        <f>"2022-382"</f>
        <v>2022-382</v>
      </c>
      <c r="C5601" s="1" t="s">
        <v>2700</v>
      </c>
      <c r="D5601" s="1" t="s">
        <v>3337</v>
      </c>
      <c r="E5601" s="1" t="str">
        <f>""</f>
        <v/>
      </c>
      <c r="F5601" s="1" t="s">
        <v>1860</v>
      </c>
      <c r="G5601" s="1" t="str">
        <f>CONCATENATE("POLJOOPSKRBA-TEHNO D.D.,"," SAMOBORSKA 96,"," 10000 ZAGREB,"," OIB: 5372167324")</f>
        <v>POLJOOPSKRBA-TEHNO D.D., SAMOBORSKA 96, 10000 ZAGREB, OIB: 5372167324</v>
      </c>
      <c r="H5601" s="7"/>
      <c r="I5601" s="8" t="s">
        <v>414</v>
      </c>
      <c r="J5601" s="7"/>
      <c r="K5601" s="6" t="str">
        <f>"807,00"</f>
        <v>807,00</v>
      </c>
      <c r="L5601" s="6" t="str">
        <f>"201,75"</f>
        <v>201,75</v>
      </c>
      <c r="M5601" s="6" t="str">
        <f>"1.008,75"</f>
        <v>1.008,75</v>
      </c>
      <c r="N5601" s="8" t="s">
        <v>409</v>
      </c>
      <c r="O5601" s="7"/>
      <c r="P5601" s="2">
        <v>1008.75</v>
      </c>
      <c r="Q5601" s="7"/>
      <c r="R5601" s="1"/>
      <c r="S5601" s="1" t="str">
        <f>"2022-7097"</f>
        <v>2022-7097</v>
      </c>
      <c r="T5601" s="1" t="s">
        <v>55</v>
      </c>
    </row>
    <row r="5602" spans="1:20" ht="51" x14ac:dyDescent="0.25">
      <c r="A5602" s="6">
        <v>5581</v>
      </c>
      <c r="B5602" s="1" t="str">
        <f>"2022-535"</f>
        <v>2022-535</v>
      </c>
      <c r="C5602" s="1" t="s">
        <v>2561</v>
      </c>
      <c r="D5602" s="1" t="s">
        <v>2156</v>
      </c>
      <c r="E5602" s="1" t="str">
        <f>""</f>
        <v/>
      </c>
      <c r="F5602" s="1" t="s">
        <v>1860</v>
      </c>
      <c r="G5602" s="1" t="str">
        <f>CONCATENATE("NARODNE NOVINE D.D.,"," SAVSKI GAJ XIII. PUT br. 6,"," 10000 ZAGREB,"," OIB: 64546066176")</f>
        <v>NARODNE NOVINE D.D., SAVSKI GAJ XIII. PUT br. 6, 10000 ZAGREB, OIB: 64546066176</v>
      </c>
      <c r="H5602" s="7"/>
      <c r="I5602" s="8" t="s">
        <v>414</v>
      </c>
      <c r="J5602" s="7"/>
      <c r="K5602" s="6" t="str">
        <f>"5.735,00"</f>
        <v>5.735,00</v>
      </c>
      <c r="L5602" s="6" t="str">
        <f>"1.433,75"</f>
        <v>1.433,75</v>
      </c>
      <c r="M5602" s="6" t="str">
        <f>"7.168,75"</f>
        <v>7.168,75</v>
      </c>
      <c r="N5602" s="8" t="s">
        <v>625</v>
      </c>
      <c r="O5602" s="7"/>
      <c r="P5602" s="2">
        <v>7168.75</v>
      </c>
      <c r="Q5602" s="7"/>
      <c r="R5602" s="1"/>
      <c r="S5602" s="1" t="str">
        <f>"2022-7099"</f>
        <v>2022-7099</v>
      </c>
      <c r="T5602" s="1" t="s">
        <v>55</v>
      </c>
    </row>
    <row r="5603" spans="1:20" ht="63.75" x14ac:dyDescent="0.25">
      <c r="A5603" s="6">
        <v>5582</v>
      </c>
      <c r="B5603" s="1" t="str">
        <f>"2022-816"</f>
        <v>2022-816</v>
      </c>
      <c r="C5603" s="1" t="s">
        <v>3386</v>
      </c>
      <c r="D5603" s="1" t="s">
        <v>2716</v>
      </c>
      <c r="E5603" s="1" t="str">
        <f>""</f>
        <v/>
      </c>
      <c r="F5603" s="1" t="s">
        <v>1860</v>
      </c>
      <c r="G5603" s="1" t="str">
        <f>CONCATENATE("TERRATOM D.O.O.,"," KERESTINEC,"," MIHOLIĆI 11,"," 10431 SVETA NEDJELJA,"," OIB: 44009719915")</f>
        <v>TERRATOM D.O.O., KERESTINEC, MIHOLIĆI 11, 10431 SVETA NEDJELJA, OIB: 44009719915</v>
      </c>
      <c r="H5603" s="7"/>
      <c r="I5603" s="8" t="s">
        <v>415</v>
      </c>
      <c r="J5603" s="7"/>
      <c r="K5603" s="6" t="str">
        <f>"9.051,00"</f>
        <v>9.051,00</v>
      </c>
      <c r="L5603" s="6" t="str">
        <f>"2.262,75"</f>
        <v>2.262,75</v>
      </c>
      <c r="M5603" s="6" t="str">
        <f>"11.313,75"</f>
        <v>11.313,75</v>
      </c>
      <c r="N5603" s="8" t="s">
        <v>625</v>
      </c>
      <c r="O5603" s="7"/>
      <c r="P5603" s="2">
        <v>11313.75</v>
      </c>
      <c r="Q5603" s="7"/>
      <c r="R5603" s="1"/>
      <c r="S5603" s="1" t="str">
        <f>"2022-7129"</f>
        <v>2022-7129</v>
      </c>
      <c r="T5603" s="1" t="s">
        <v>55</v>
      </c>
    </row>
    <row r="5604" spans="1:20" ht="63.75" x14ac:dyDescent="0.25">
      <c r="A5604" s="6">
        <v>5583</v>
      </c>
      <c r="B5604" s="1" t="str">
        <f>"2022-894"</f>
        <v>2022-894</v>
      </c>
      <c r="C5604" s="1" t="s">
        <v>2863</v>
      </c>
      <c r="D5604" s="1" t="s">
        <v>1209</v>
      </c>
      <c r="E5604" s="1" t="str">
        <f>""</f>
        <v/>
      </c>
      <c r="F5604" s="1" t="s">
        <v>1860</v>
      </c>
      <c r="G5604" s="1" t="str">
        <f>CONCATENATE("DIV LABORATORIJ D.O.O.,"," DAVOR ZBILJSKOG 30,"," 10000 ZAGREB,"," OIB: 83157399243")</f>
        <v>DIV LABORATORIJ D.O.O., DAVOR ZBILJSKOG 30, 10000 ZAGREB, OIB: 83157399243</v>
      </c>
      <c r="H5604" s="7"/>
      <c r="I5604" s="8" t="s">
        <v>415</v>
      </c>
      <c r="J5604" s="7"/>
      <c r="K5604" s="6" t="str">
        <f>"10.800,00"</f>
        <v>10.800,00</v>
      </c>
      <c r="L5604" s="6" t="str">
        <f>"0,00"</f>
        <v>0,00</v>
      </c>
      <c r="M5604" s="6" t="str">
        <f>"10.800,00"</f>
        <v>10.800,00</v>
      </c>
      <c r="N5604" s="8" t="s">
        <v>124</v>
      </c>
      <c r="O5604" s="7"/>
      <c r="P5604" s="2">
        <v>0</v>
      </c>
      <c r="Q5604" s="7"/>
      <c r="R5604" s="1"/>
      <c r="S5604" s="1" t="str">
        <f>"2022-7188"</f>
        <v>2022-7188</v>
      </c>
      <c r="T5604" s="1" t="s">
        <v>55</v>
      </c>
    </row>
    <row r="5605" spans="1:20" ht="51" x14ac:dyDescent="0.25">
      <c r="A5605" s="6">
        <v>5584</v>
      </c>
      <c r="B5605" s="1" t="str">
        <f>"2022-1720"</f>
        <v>2022-1720</v>
      </c>
      <c r="C5605" s="1" t="s">
        <v>3343</v>
      </c>
      <c r="D5605" s="1" t="s">
        <v>854</v>
      </c>
      <c r="E5605" s="1" t="str">
        <f>""</f>
        <v/>
      </c>
      <c r="F5605" s="1" t="s">
        <v>1860</v>
      </c>
      <c r="G5605" s="1" t="str">
        <f>CONCATENATE("NARODNE NOVINE D.D.,"," SAVSKI GAJ XIII. PUT br. 6,"," 10000 ZAGREB,"," OIB: 64546066176")</f>
        <v>NARODNE NOVINE D.D., SAVSKI GAJ XIII. PUT br. 6, 10000 ZAGREB, OIB: 64546066176</v>
      </c>
      <c r="H5605" s="7"/>
      <c r="I5605" s="8" t="s">
        <v>415</v>
      </c>
      <c r="J5605" s="7"/>
      <c r="K5605" s="6" t="str">
        <f>"28.597,00"</f>
        <v>28.597,00</v>
      </c>
      <c r="L5605" s="6" t="str">
        <f>"6.110,25"</f>
        <v>6.110,25</v>
      </c>
      <c r="M5605" s="6" t="str">
        <f>"34.707,25"</f>
        <v>34.707,25</v>
      </c>
      <c r="N5605" s="8" t="s">
        <v>58</v>
      </c>
      <c r="O5605" s="7"/>
      <c r="P5605" s="2">
        <v>30551.25</v>
      </c>
      <c r="Q5605" s="7"/>
      <c r="R5605" s="1"/>
      <c r="S5605" s="1" t="str">
        <f>"2022-7189"</f>
        <v>2022-7189</v>
      </c>
      <c r="T5605" s="1" t="s">
        <v>55</v>
      </c>
    </row>
    <row r="5606" spans="1:20" ht="63.75" x14ac:dyDescent="0.25">
      <c r="A5606" s="6">
        <v>5585</v>
      </c>
      <c r="B5606" s="1" t="str">
        <f>"2022-1933"</f>
        <v>2022-1933</v>
      </c>
      <c r="C5606" s="1" t="s">
        <v>3440</v>
      </c>
      <c r="D5606" s="1" t="s">
        <v>1381</v>
      </c>
      <c r="E5606" s="1" t="str">
        <f>""</f>
        <v/>
      </c>
      <c r="F5606" s="1" t="s">
        <v>1860</v>
      </c>
      <c r="G5606" s="1" t="str">
        <f>CONCATENATE("JORDAN MJERILA D.O.O.,"," MILIVOJA MATOŠECA 6,"," 10090 ZAGREB-SUSEDGRAD,"," OIB: 33197917186")</f>
        <v>JORDAN MJERILA D.O.O., MILIVOJA MATOŠECA 6, 10090 ZAGREB-SUSEDGRAD, OIB: 33197917186</v>
      </c>
      <c r="H5606" s="7"/>
      <c r="I5606" s="8" t="s">
        <v>1032</v>
      </c>
      <c r="J5606" s="7"/>
      <c r="K5606" s="6" t="str">
        <f>"88.512,40"</f>
        <v>88.512,40</v>
      </c>
      <c r="L5606" s="6" t="str">
        <f>"22.128,10"</f>
        <v>22.128,10</v>
      </c>
      <c r="M5606" s="6" t="str">
        <f>"110.640,50"</f>
        <v>110.640,50</v>
      </c>
      <c r="N5606" s="8" t="s">
        <v>625</v>
      </c>
      <c r="O5606" s="7"/>
      <c r="P5606" s="2">
        <v>110640.5</v>
      </c>
      <c r="Q5606" s="7"/>
      <c r="R5606" s="1"/>
      <c r="S5606" s="1" t="str">
        <f>"2022-7203"</f>
        <v>2022-7203</v>
      </c>
      <c r="T5606" s="1" t="s">
        <v>55</v>
      </c>
    </row>
    <row r="5607" spans="1:20" ht="51" x14ac:dyDescent="0.25">
      <c r="A5607" s="6">
        <v>5586</v>
      </c>
      <c r="B5607" s="1" t="str">
        <f>"2022-1934"</f>
        <v>2022-1934</v>
      </c>
      <c r="C5607" s="1" t="s">
        <v>3438</v>
      </c>
      <c r="D5607" s="1" t="s">
        <v>1381</v>
      </c>
      <c r="E5607" s="1" t="str">
        <f>""</f>
        <v/>
      </c>
      <c r="F5607" s="1" t="s">
        <v>1860</v>
      </c>
      <c r="G5607" s="1" t="str">
        <f>CONCATENATE("ANDEL D.O.O.,"," MAJSTORSKA 1/G,"," 10000 ZAGREB,"," OIB: 81891996613")</f>
        <v>ANDEL D.O.O., MAJSTORSKA 1/G, 10000 ZAGREB, OIB: 81891996613</v>
      </c>
      <c r="H5607" s="7"/>
      <c r="I5607" s="8" t="s">
        <v>1032</v>
      </c>
      <c r="J5607" s="7"/>
      <c r="K5607" s="6" t="str">
        <f>"120.550,00"</f>
        <v>120.550,00</v>
      </c>
      <c r="L5607" s="6" t="str">
        <f>"27.157,50"</f>
        <v>27.157,50</v>
      </c>
      <c r="M5607" s="6" t="str">
        <f>"147.707,50"</f>
        <v>147.707,50</v>
      </c>
      <c r="N5607" s="8" t="s">
        <v>58</v>
      </c>
      <c r="O5607" s="7"/>
      <c r="P5607" s="2">
        <v>135787.5</v>
      </c>
      <c r="Q5607" s="7"/>
      <c r="R5607" s="1"/>
      <c r="S5607" s="1" t="str">
        <f>"2022-7204"</f>
        <v>2022-7204</v>
      </c>
      <c r="T5607" s="1" t="s">
        <v>55</v>
      </c>
    </row>
    <row r="5608" spans="1:20" ht="51" x14ac:dyDescent="0.25">
      <c r="A5608" s="6">
        <v>5587</v>
      </c>
      <c r="B5608" s="1" t="str">
        <f>"2022-1936"</f>
        <v>2022-1936</v>
      </c>
      <c r="C5608" s="1" t="s">
        <v>3455</v>
      </c>
      <c r="D5608" s="1" t="s">
        <v>1150</v>
      </c>
      <c r="E5608" s="1" t="str">
        <f>""</f>
        <v/>
      </c>
      <c r="F5608" s="1" t="s">
        <v>1860</v>
      </c>
      <c r="G5608" s="1" t="str">
        <f>CONCATENATE("IRT-HIDRO D.O.O.,"," LJUDEVITA ŠESTIĆA 2,"," 47000 KARLOVAC,"," OIB: 96569534175")</f>
        <v>IRT-HIDRO D.O.O., LJUDEVITA ŠESTIĆA 2, 47000 KARLOVAC, OIB: 96569534175</v>
      </c>
      <c r="H5608" s="7"/>
      <c r="I5608" s="8" t="s">
        <v>875</v>
      </c>
      <c r="J5608" s="7"/>
      <c r="K5608" s="6" t="str">
        <f>"91.429,60"</f>
        <v>91.429,60</v>
      </c>
      <c r="L5608" s="6" t="str">
        <f>"0,00"</f>
        <v>0,00</v>
      </c>
      <c r="M5608" s="6" t="str">
        <f>"91.429,60"</f>
        <v>91.429,60</v>
      </c>
      <c r="N5608" s="8" t="s">
        <v>124</v>
      </c>
      <c r="O5608" s="7"/>
      <c r="P5608" s="2">
        <v>0</v>
      </c>
      <c r="Q5608" s="7"/>
      <c r="R5608" s="1"/>
      <c r="S5608" s="1" t="str">
        <f>"2022-7215"</f>
        <v>2022-7215</v>
      </c>
      <c r="T5608" s="1" t="s">
        <v>55</v>
      </c>
    </row>
    <row r="5609" spans="1:20" ht="63.75" x14ac:dyDescent="0.25">
      <c r="A5609" s="6">
        <v>5588</v>
      </c>
      <c r="B5609" s="1" t="str">
        <f>"2022-1751"</f>
        <v>2022-1751</v>
      </c>
      <c r="C5609" s="1" t="s">
        <v>3456</v>
      </c>
      <c r="D5609" s="1" t="s">
        <v>3449</v>
      </c>
      <c r="E5609" s="1" t="str">
        <f>""</f>
        <v/>
      </c>
      <c r="F5609" s="1" t="s">
        <v>1860</v>
      </c>
      <c r="G5609" s="1" t="str">
        <f>CONCATENATE("LAUS CC D.O.O.,"," VUKOVARSKA 23,"," 20000 DUBROVNIK,"," OIB: 59806315787")</f>
        <v>LAUS CC D.O.O., VUKOVARSKA 23, 20000 DUBROVNIK, OIB: 59806315787</v>
      </c>
      <c r="H5609" s="7"/>
      <c r="I5609" s="8" t="s">
        <v>420</v>
      </c>
      <c r="J5609" s="7"/>
      <c r="K5609" s="6" t="str">
        <f>"152.100,00"</f>
        <v>152.100,00</v>
      </c>
      <c r="L5609" s="6" t="str">
        <f>"0,00"</f>
        <v>0,00</v>
      </c>
      <c r="M5609" s="6" t="str">
        <f>"152.100,00"</f>
        <v>152.100,00</v>
      </c>
      <c r="N5609" s="8" t="s">
        <v>124</v>
      </c>
      <c r="O5609" s="7"/>
      <c r="P5609" s="2">
        <v>0</v>
      </c>
      <c r="Q5609" s="7"/>
      <c r="R5609" s="1"/>
      <c r="S5609" s="1" t="str">
        <f>"2022-7295"</f>
        <v>2022-7295</v>
      </c>
      <c r="T5609" s="1" t="s">
        <v>55</v>
      </c>
    </row>
    <row r="5610" spans="1:20" ht="63.75" x14ac:dyDescent="0.25">
      <c r="A5610" s="6">
        <v>5589</v>
      </c>
      <c r="B5610" s="1" t="str">
        <f>"2022-1715"</f>
        <v>2022-1715</v>
      </c>
      <c r="C5610" s="1" t="s">
        <v>3407</v>
      </c>
      <c r="D5610" s="1" t="s">
        <v>770</v>
      </c>
      <c r="E5610" s="1" t="str">
        <f>""</f>
        <v/>
      </c>
      <c r="F5610" s="1" t="s">
        <v>1860</v>
      </c>
      <c r="G5610" s="1" t="str">
        <f>CONCATENATE("TOKIĆ D.O.O.,"," ULICA 144. BRIGADE HRVATSKE VOJSKE 1A,"," 10360 SESVETE,"," OIB: 7486748762")</f>
        <v>TOKIĆ D.O.O., ULICA 144. BRIGADE HRVATSKE VOJSKE 1A, 10360 SESVETE, OIB: 7486748762</v>
      </c>
      <c r="H5610" s="7"/>
      <c r="I5610" s="8" t="s">
        <v>732</v>
      </c>
      <c r="J5610" s="7"/>
      <c r="K5610" s="6" t="str">
        <f>"3.800,00"</f>
        <v>3.800,00</v>
      </c>
      <c r="L5610" s="6" t="str">
        <f>"950,00"</f>
        <v>950,00</v>
      </c>
      <c r="M5610" s="6" t="str">
        <f>"4.750,00"</f>
        <v>4.750,00</v>
      </c>
      <c r="N5610" s="8" t="s">
        <v>227</v>
      </c>
      <c r="O5610" s="7"/>
      <c r="P5610" s="2">
        <v>4750</v>
      </c>
      <c r="Q5610" s="7"/>
      <c r="R5610" s="1"/>
      <c r="S5610" s="1" t="str">
        <f>"2022-7311"</f>
        <v>2022-7311</v>
      </c>
      <c r="T5610" s="1" t="s">
        <v>55</v>
      </c>
    </row>
    <row r="5611" spans="1:20" ht="51" x14ac:dyDescent="0.25">
      <c r="A5611" s="6">
        <v>5590</v>
      </c>
      <c r="B5611" s="1" t="str">
        <f>"2022-1718"</f>
        <v>2022-1718</v>
      </c>
      <c r="C5611" s="1" t="s">
        <v>3457</v>
      </c>
      <c r="D5611" s="1" t="s">
        <v>541</v>
      </c>
      <c r="E5611" s="1" t="str">
        <f>""</f>
        <v/>
      </c>
      <c r="F5611" s="1" t="s">
        <v>1860</v>
      </c>
      <c r="G5611" s="1" t="str">
        <f>CONCATENATE("BETON-LUČKO  D.O.O.,"," PUŠKARIĆEVA 1B,"," 10250 LUČKO,"," OIB: 87425920265")</f>
        <v>BETON-LUČKO  D.O.O., PUŠKARIĆEVA 1B, 10250 LUČKO, OIB: 87425920265</v>
      </c>
      <c r="H5611" s="7"/>
      <c r="I5611" s="8" t="s">
        <v>625</v>
      </c>
      <c r="J5611" s="7"/>
      <c r="K5611" s="6" t="str">
        <f>"14.440,00"</f>
        <v>14.440,00</v>
      </c>
      <c r="L5611" s="6" t="str">
        <f>"3.610,00"</f>
        <v>3.610,00</v>
      </c>
      <c r="M5611" s="6" t="str">
        <f>"18.050,00"</f>
        <v>18.050,00</v>
      </c>
      <c r="N5611" s="8" t="s">
        <v>1147</v>
      </c>
      <c r="O5611" s="7"/>
      <c r="P5611" s="2">
        <v>18050</v>
      </c>
      <c r="Q5611" s="7"/>
      <c r="R5611" s="1"/>
      <c r="S5611" s="1" t="str">
        <f>"2022-7358"</f>
        <v>2022-7358</v>
      </c>
      <c r="T5611" s="1" t="s">
        <v>55</v>
      </c>
    </row>
    <row r="5612" spans="1:20" ht="51" x14ac:dyDescent="0.25">
      <c r="A5612" s="6">
        <v>5591</v>
      </c>
      <c r="B5612" s="1" t="str">
        <f>"2022-1396"</f>
        <v>2022-1396</v>
      </c>
      <c r="C5612" s="1" t="s">
        <v>3458</v>
      </c>
      <c r="D5612" s="1" t="s">
        <v>949</v>
      </c>
      <c r="E5612" s="1" t="str">
        <f>""</f>
        <v/>
      </c>
      <c r="F5612" s="1" t="s">
        <v>1860</v>
      </c>
      <c r="G5612" s="1" t="str">
        <f>CONCATENATE("KEMOKOP D.O.O.,"," INDUSTRIJSKA ULICA 10,"," 10370 DUGO SELO,"," OIB: 1291670373")</f>
        <v>KEMOKOP D.O.O., INDUSTRIJSKA ULICA 10, 10370 DUGO SELO, OIB: 1291670373</v>
      </c>
      <c r="H5612" s="7"/>
      <c r="I5612" s="8" t="s">
        <v>964</v>
      </c>
      <c r="J5612" s="7"/>
      <c r="K5612" s="6" t="str">
        <f>"90.580,00"</f>
        <v>90.580,00</v>
      </c>
      <c r="L5612" s="6" t="str">
        <f>"0,00"</f>
        <v>0,00</v>
      </c>
      <c r="M5612" s="6" t="str">
        <f>"90.580,00"</f>
        <v>90.580,00</v>
      </c>
      <c r="N5612" s="8" t="s">
        <v>124</v>
      </c>
      <c r="O5612" s="7"/>
      <c r="P5612" s="2">
        <v>0</v>
      </c>
      <c r="Q5612" s="7"/>
      <c r="R5612" s="1"/>
      <c r="S5612" s="1" t="str">
        <f>"2022-7391"</f>
        <v>2022-7391</v>
      </c>
      <c r="T5612" s="1" t="s">
        <v>55</v>
      </c>
    </row>
    <row r="5613" spans="1:20" ht="76.5" x14ac:dyDescent="0.25">
      <c r="A5613" s="6">
        <v>5592</v>
      </c>
      <c r="B5613" s="1" t="str">
        <f>"2022-1437"</f>
        <v>2022-1437</v>
      </c>
      <c r="C5613" s="1" t="s">
        <v>3459</v>
      </c>
      <c r="D5613" s="1" t="s">
        <v>1312</v>
      </c>
      <c r="E5613" s="1" t="str">
        <f>""</f>
        <v/>
      </c>
      <c r="F5613" s="1" t="s">
        <v>1860</v>
      </c>
      <c r="G5613" s="1" t="str">
        <f>CONCATENATE("OBRT ZA PROIZVODNJU,"," USLUGE I TRGOVINU VL. PETRA ČIKARA MIKIĆ,"," OIB: 35867688256")</f>
        <v>OBRT ZA PROIZVODNJU, USLUGE I TRGOVINU VL. PETRA ČIKARA MIKIĆ, OIB: 35867688256</v>
      </c>
      <c r="H5613" s="7"/>
      <c r="I5613" s="8" t="s">
        <v>508</v>
      </c>
      <c r="J5613" s="7"/>
      <c r="K5613" s="6" t="str">
        <f>"171.416,00"</f>
        <v>171.416,00</v>
      </c>
      <c r="L5613" s="6" t="str">
        <f>"0,00"</f>
        <v>0,00</v>
      </c>
      <c r="M5613" s="6" t="str">
        <f>"171.416,00"</f>
        <v>171.416,00</v>
      </c>
      <c r="N5613" s="8" t="s">
        <v>124</v>
      </c>
      <c r="O5613" s="7"/>
      <c r="P5613" s="2">
        <v>0</v>
      </c>
      <c r="Q5613" s="7"/>
      <c r="R5613" s="1"/>
      <c r="S5613" s="1" t="str">
        <f>"2022-7527"</f>
        <v>2022-7527</v>
      </c>
      <c r="T5613" s="1" t="s">
        <v>55</v>
      </c>
    </row>
    <row r="5614" spans="1:20" ht="63.75" x14ac:dyDescent="0.25">
      <c r="A5614" s="6">
        <v>5593</v>
      </c>
      <c r="B5614" s="1" t="str">
        <f>"2022-873"</f>
        <v>2022-873</v>
      </c>
      <c r="C5614" s="1" t="s">
        <v>2819</v>
      </c>
      <c r="D5614" s="1" t="s">
        <v>3341</v>
      </c>
      <c r="E5614" s="1" t="str">
        <f>""</f>
        <v/>
      </c>
      <c r="F5614" s="1" t="s">
        <v>1860</v>
      </c>
      <c r="G5614" s="1" t="str">
        <f>CONCATENATE("GUTEL,"," VL. DAMIR GUŽVINEC,"," ANTE TOPIĆ MIMARE 7,"," 10090 ZAGREB-SUSEDGRAD,"," OIB: 63743810909")</f>
        <v>GUTEL, VL. DAMIR GUŽVINEC, ANTE TOPIĆ MIMARE 7, 10090 ZAGREB-SUSEDGRAD, OIB: 63743810909</v>
      </c>
      <c r="H5614" s="7"/>
      <c r="I5614" s="8" t="s">
        <v>508</v>
      </c>
      <c r="J5614" s="7"/>
      <c r="K5614" s="6" t="str">
        <f>"1.409,80"</f>
        <v>1.409,80</v>
      </c>
      <c r="L5614" s="6" t="str">
        <f>"0,00"</f>
        <v>0,00</v>
      </c>
      <c r="M5614" s="6" t="str">
        <f>"1.409,80"</f>
        <v>1.409,80</v>
      </c>
      <c r="N5614" s="8" t="s">
        <v>124</v>
      </c>
      <c r="O5614" s="7"/>
      <c r="P5614" s="2">
        <v>0</v>
      </c>
      <c r="Q5614" s="7"/>
      <c r="R5614" s="1"/>
      <c r="S5614" s="1" t="str">
        <f>"2022-7559"</f>
        <v>2022-7559</v>
      </c>
      <c r="T5614" s="1" t="s">
        <v>86</v>
      </c>
    </row>
    <row r="5615" spans="1:20" ht="51" x14ac:dyDescent="0.25">
      <c r="A5615" s="6">
        <v>5594</v>
      </c>
      <c r="B5615" s="1" t="str">
        <f>"2022-410"</f>
        <v>2022-410</v>
      </c>
      <c r="C5615" s="1" t="s">
        <v>3460</v>
      </c>
      <c r="D5615" s="1" t="s">
        <v>1244</v>
      </c>
      <c r="E5615" s="1" t="str">
        <f>""</f>
        <v/>
      </c>
      <c r="F5615" s="1" t="s">
        <v>1860</v>
      </c>
      <c r="G5615" s="1" t="str">
        <f>CONCATENATE("VODOSKOK D.D.,"," ČULINEČKA CESTA 221/C,"," 10040 ZAGREB,"," OIB: 34134218058")</f>
        <v>VODOSKOK D.D., ČULINEČKA CESTA 221/C, 10040 ZAGREB, OIB: 34134218058</v>
      </c>
      <c r="H5615" s="7"/>
      <c r="I5615" s="8" t="s">
        <v>1159</v>
      </c>
      <c r="J5615" s="7"/>
      <c r="K5615" s="6" t="str">
        <f>"9.018,00"</f>
        <v>9.018,00</v>
      </c>
      <c r="L5615" s="6" t="str">
        <f>"1.732,50"</f>
        <v>1.732,50</v>
      </c>
      <c r="M5615" s="6" t="str">
        <f>"10.750,50"</f>
        <v>10.750,50</v>
      </c>
      <c r="N5615" s="8" t="s">
        <v>383</v>
      </c>
      <c r="O5615" s="7"/>
      <c r="P5615" s="2">
        <v>8662.5</v>
      </c>
      <c r="Q5615" s="7"/>
      <c r="R5615" s="1"/>
      <c r="S5615" s="1" t="str">
        <f>"2022-7610"</f>
        <v>2022-7610</v>
      </c>
      <c r="T5615" s="1" t="s">
        <v>55</v>
      </c>
    </row>
    <row r="5616" spans="1:20" ht="63.75" x14ac:dyDescent="0.25">
      <c r="A5616" s="6">
        <v>5595</v>
      </c>
      <c r="B5616" s="1" t="str">
        <f>"2022-891"</f>
        <v>2022-891</v>
      </c>
      <c r="C5616" s="1" t="s">
        <v>3374</v>
      </c>
      <c r="D5616" s="1" t="s">
        <v>2903</v>
      </c>
      <c r="E5616" s="1" t="str">
        <f>""</f>
        <v/>
      </c>
      <c r="F5616" s="1" t="s">
        <v>1860</v>
      </c>
      <c r="G5616" s="1" t="str">
        <f>CONCATENATE("DRÄGER SAFETY D.O.O.,"," AVENIJA VEĆESLAVA HOLJEVCA 40,"," 10010 ZAGREB,"," OIB: 32874587842")</f>
        <v>DRÄGER SAFETY D.O.O., AVENIJA VEĆESLAVA HOLJEVCA 40, 10010 ZAGREB, OIB: 32874587842</v>
      </c>
      <c r="H5616" s="7"/>
      <c r="I5616" s="8" t="s">
        <v>1159</v>
      </c>
      <c r="J5616" s="7"/>
      <c r="K5616" s="6" t="str">
        <f>"28.734,73"</f>
        <v>28.734,73</v>
      </c>
      <c r="L5616" s="6" t="str">
        <f>"0,00"</f>
        <v>0,00</v>
      </c>
      <c r="M5616" s="6" t="str">
        <f>"28.734,73"</f>
        <v>28.734,73</v>
      </c>
      <c r="N5616" s="8" t="s">
        <v>124</v>
      </c>
      <c r="O5616" s="7"/>
      <c r="P5616" s="2">
        <v>0</v>
      </c>
      <c r="Q5616" s="7"/>
      <c r="R5616" s="1"/>
      <c r="S5616" s="1" t="str">
        <f>"2022-7611"</f>
        <v>2022-7611</v>
      </c>
      <c r="T5616" s="1" t="s">
        <v>55</v>
      </c>
    </row>
    <row r="5617" spans="1:20" ht="76.5" x14ac:dyDescent="0.25">
      <c r="A5617" s="6">
        <v>5596</v>
      </c>
      <c r="B5617" s="1" t="str">
        <f>"2022-1470"</f>
        <v>2022-1470</v>
      </c>
      <c r="C5617" s="1" t="s">
        <v>3305</v>
      </c>
      <c r="D5617" s="1" t="s">
        <v>1206</v>
      </c>
      <c r="E5617" s="1" t="str">
        <f>""</f>
        <v/>
      </c>
      <c r="F5617" s="1" t="s">
        <v>1860</v>
      </c>
      <c r="G5617" s="1" t="str">
        <f>CONCATENATE("SMIT-COMMERCE D.O.O.,"," GORNJOSTUPNIČKA 9B,"," 10255 GORNJI STUPNIK,"," OIB: 9524348214")</f>
        <v>SMIT-COMMERCE D.O.O., GORNJOSTUPNIČKA 9B, 10255 GORNJI STUPNIK, OIB: 9524348214</v>
      </c>
      <c r="H5617" s="7"/>
      <c r="I5617" s="8" t="s">
        <v>1159</v>
      </c>
      <c r="J5617" s="7"/>
      <c r="K5617" s="6" t="str">
        <f>"4.787,02"</f>
        <v>4.787,02</v>
      </c>
      <c r="L5617" s="6" t="str">
        <f>"0,00"</f>
        <v>0,00</v>
      </c>
      <c r="M5617" s="6" t="str">
        <f>"4.787,02"</f>
        <v>4.787,02</v>
      </c>
      <c r="N5617" s="8" t="s">
        <v>124</v>
      </c>
      <c r="O5617" s="7"/>
      <c r="P5617" s="2">
        <v>0</v>
      </c>
      <c r="Q5617" s="7"/>
      <c r="R5617" s="1"/>
      <c r="S5617" s="1" t="str">
        <f>"2022-7612"</f>
        <v>2022-7612</v>
      </c>
      <c r="T5617" s="1" t="s">
        <v>55</v>
      </c>
    </row>
    <row r="5618" spans="1:20" ht="51" x14ac:dyDescent="0.25">
      <c r="A5618" s="6">
        <v>5597</v>
      </c>
      <c r="B5618" s="1" t="str">
        <f>"2022-1470"</f>
        <v>2022-1470</v>
      </c>
      <c r="C5618" s="1" t="s">
        <v>3305</v>
      </c>
      <c r="D5618" s="1" t="s">
        <v>1206</v>
      </c>
      <c r="E5618" s="1" t="str">
        <f>""</f>
        <v/>
      </c>
      <c r="F5618" s="1" t="s">
        <v>1860</v>
      </c>
      <c r="G5618" s="1" t="str">
        <f>CONCATENATE("STIREL PROMET D.O.O.,"," VLADIMIRA VARIČAKA 3,"," 10020 ZAGREB,"," OIB: 26901839603")</f>
        <v>STIREL PROMET D.O.O., VLADIMIRA VARIČAKA 3, 10020 ZAGREB, OIB: 26901839603</v>
      </c>
      <c r="H5618" s="7"/>
      <c r="I5618" s="8" t="s">
        <v>1159</v>
      </c>
      <c r="J5618" s="7"/>
      <c r="K5618" s="6" t="str">
        <f>"2.678,28"</f>
        <v>2.678,28</v>
      </c>
      <c r="L5618" s="6" t="str">
        <f>"0,00"</f>
        <v>0,00</v>
      </c>
      <c r="M5618" s="6" t="str">
        <f>"2.678,28"</f>
        <v>2.678,28</v>
      </c>
      <c r="N5618" s="8" t="s">
        <v>124</v>
      </c>
      <c r="O5618" s="7"/>
      <c r="P5618" s="2">
        <v>0</v>
      </c>
      <c r="Q5618" s="7"/>
      <c r="R5618" s="1"/>
      <c r="S5618" s="1" t="str">
        <f>"2022-7613"</f>
        <v>2022-7613</v>
      </c>
      <c r="T5618" s="1" t="s">
        <v>55</v>
      </c>
    </row>
    <row r="5619" spans="1:20" ht="63.75" x14ac:dyDescent="0.25">
      <c r="A5619" s="6">
        <v>5598</v>
      </c>
      <c r="B5619" s="1" t="str">
        <f>"2022-304"</f>
        <v>2022-304</v>
      </c>
      <c r="C5619" s="1" t="s">
        <v>3395</v>
      </c>
      <c r="D5619" s="1" t="s">
        <v>3396</v>
      </c>
      <c r="E5619" s="1" t="str">
        <f>""</f>
        <v/>
      </c>
      <c r="F5619" s="1" t="s">
        <v>1860</v>
      </c>
      <c r="G5619" s="1" t="str">
        <f>CONCATENATE("KUNA CORPORATION D.O.O.,"," DRAŠE 68,"," 49294 KRALJEVEC NA SUTLI,"," OIB: 54600743656")</f>
        <v>KUNA CORPORATION D.O.O., DRAŠE 68, 49294 KRALJEVEC NA SUTLI, OIB: 54600743656</v>
      </c>
      <c r="H5619" s="7"/>
      <c r="I5619" s="8" t="s">
        <v>1099</v>
      </c>
      <c r="J5619" s="7"/>
      <c r="K5619" s="6" t="str">
        <f>"58.285,90"</f>
        <v>58.285,90</v>
      </c>
      <c r="L5619" s="6" t="str">
        <f>"5.251,51"</f>
        <v>5.251,51</v>
      </c>
      <c r="M5619" s="6" t="str">
        <f>"63.537,41"</f>
        <v>63.537,41</v>
      </c>
      <c r="N5619" s="8" t="s">
        <v>1123</v>
      </c>
      <c r="O5619" s="7"/>
      <c r="P5619" s="2">
        <v>26257.51</v>
      </c>
      <c r="Q5619" s="7"/>
      <c r="R5619" s="1"/>
      <c r="S5619" s="1" t="str">
        <f>"2022-7630"</f>
        <v>2022-7630</v>
      </c>
      <c r="T5619" s="1" t="s">
        <v>55</v>
      </c>
    </row>
    <row r="5620" spans="1:20" ht="89.25" x14ac:dyDescent="0.25">
      <c r="A5620" s="6">
        <v>5599</v>
      </c>
      <c r="B5620" s="1" t="str">
        <f>"2022-1325"</f>
        <v>2022-1325</v>
      </c>
      <c r="C5620" s="1" t="s">
        <v>3375</v>
      </c>
      <c r="D5620" s="1" t="s">
        <v>1438</v>
      </c>
      <c r="E5620" s="1" t="str">
        <f>""</f>
        <v/>
      </c>
      <c r="F5620" s="1" t="s">
        <v>1860</v>
      </c>
      <c r="G5620" s="1" t="str">
        <f>CONCATENATE("ZAGREBAČKI HOLDING D.O.O.,"," PODRUŽNICA ZRINJEVAC,"," ULICA GRADA VUKOVARA 41,"," REMETINEČKA CESTA 15,"," 10000 ZAGREB,"," OIB: 85584865987")</f>
        <v>ZAGREBAČKI HOLDING D.O.O., PODRUŽNICA ZRINJEVAC, ULICA GRADA VUKOVARA 41, REMETINEČKA CESTA 15, 10000 ZAGREB, OIB: 85584865987</v>
      </c>
      <c r="H5620" s="7"/>
      <c r="I5620" s="8" t="s">
        <v>1099</v>
      </c>
      <c r="J5620" s="7"/>
      <c r="K5620" s="6" t="str">
        <f>"4.800,00"</f>
        <v>4.800,00</v>
      </c>
      <c r="L5620" s="6" t="str">
        <f>"0,00"</f>
        <v>0,00</v>
      </c>
      <c r="M5620" s="6" t="str">
        <f>"4.800,00"</f>
        <v>4.800,00</v>
      </c>
      <c r="N5620" s="8" t="s">
        <v>124</v>
      </c>
      <c r="O5620" s="7"/>
      <c r="P5620" s="2">
        <v>6000</v>
      </c>
      <c r="Q5620" s="7"/>
      <c r="R5620" s="1"/>
      <c r="S5620" s="1" t="str">
        <f>"2022-7635"</f>
        <v>2022-7635</v>
      </c>
      <c r="T5620" s="1" t="s">
        <v>55</v>
      </c>
    </row>
    <row r="5621" spans="1:20" ht="63.75" x14ac:dyDescent="0.25">
      <c r="A5621" s="6">
        <v>5600</v>
      </c>
      <c r="B5621" s="1" t="str">
        <f>"2022-1150"</f>
        <v>2022-1150</v>
      </c>
      <c r="C5621" s="1" t="s">
        <v>3461</v>
      </c>
      <c r="D5621" s="1" t="s">
        <v>1826</v>
      </c>
      <c r="E5621" s="1" t="str">
        <f>""</f>
        <v/>
      </c>
      <c r="F5621" s="1" t="s">
        <v>1860</v>
      </c>
      <c r="G5621" s="1" t="str">
        <f>CONCATENATE("PROMPT PROJEKTIRANJE D.O.O.,"," TOMISLAVOVA 9,"," 10000 ZAGREB,"," OIB: 30094396634")</f>
        <v>PROMPT PROJEKTIRANJE D.O.O., TOMISLAVOVA 9, 10000 ZAGREB, OIB: 30094396634</v>
      </c>
      <c r="H5621" s="7"/>
      <c r="I5621" s="8" t="s">
        <v>1099</v>
      </c>
      <c r="J5621" s="7"/>
      <c r="K5621" s="6" t="str">
        <f>"4.250,00"</f>
        <v>4.250,00</v>
      </c>
      <c r="L5621" s="6" t="str">
        <f>"0,00"</f>
        <v>0,00</v>
      </c>
      <c r="M5621" s="6" t="str">
        <f>"4.250,00"</f>
        <v>4.250,00</v>
      </c>
      <c r="N5621" s="8" t="s">
        <v>124</v>
      </c>
      <c r="O5621" s="7"/>
      <c r="P5621" s="2">
        <v>0</v>
      </c>
      <c r="Q5621" s="7"/>
      <c r="R5621" s="1"/>
      <c r="S5621" s="1" t="str">
        <f>"2022-7636"</f>
        <v>2022-7636</v>
      </c>
      <c r="T5621" s="1" t="s">
        <v>55</v>
      </c>
    </row>
    <row r="5622" spans="1:20" ht="63.75" x14ac:dyDescent="0.25">
      <c r="A5622" s="6">
        <v>5601</v>
      </c>
      <c r="B5622" s="1" t="str">
        <f>"2022-977"</f>
        <v>2022-977</v>
      </c>
      <c r="C5622" s="1" t="s">
        <v>3310</v>
      </c>
      <c r="D5622" s="1" t="s">
        <v>1373</v>
      </c>
      <c r="E5622" s="1" t="str">
        <f>""</f>
        <v/>
      </c>
      <c r="F5622" s="1" t="s">
        <v>1860</v>
      </c>
      <c r="G5622" s="1" t="str">
        <f>CONCATENATE("FRANK SERVIS,"," OBRT ZA USLUGE,"," VL. ŽIVKO ROMAN,"," JABLANOVAC 27,"," 10000 ZAGREB,"," OIB: 59088996868")</f>
        <v>FRANK SERVIS, OBRT ZA USLUGE, VL. ŽIVKO ROMAN, JABLANOVAC 27, 10000 ZAGREB, OIB: 59088996868</v>
      </c>
      <c r="H5622" s="7"/>
      <c r="I5622" s="8" t="s">
        <v>1099</v>
      </c>
      <c r="J5622" s="7"/>
      <c r="K5622" s="6" t="str">
        <f>"15.240,00"</f>
        <v>15.240,00</v>
      </c>
      <c r="L5622" s="6" t="str">
        <f>"3.810,00"</f>
        <v>3.810,00</v>
      </c>
      <c r="M5622" s="6" t="str">
        <f>"19.050,00"</f>
        <v>19.050,00</v>
      </c>
      <c r="N5622" s="8" t="s">
        <v>383</v>
      </c>
      <c r="O5622" s="7"/>
      <c r="P5622" s="2">
        <v>19050</v>
      </c>
      <c r="Q5622" s="7"/>
      <c r="R5622" s="1"/>
      <c r="S5622" s="1" t="str">
        <f>"2022-7648"</f>
        <v>2022-7648</v>
      </c>
      <c r="T5622" s="1" t="s">
        <v>55</v>
      </c>
    </row>
    <row r="5623" spans="1:20" ht="51" x14ac:dyDescent="0.25">
      <c r="A5623" s="6">
        <v>5602</v>
      </c>
      <c r="B5623" s="1" t="str">
        <f>"2022-1754"</f>
        <v>2022-1754</v>
      </c>
      <c r="C5623" s="1" t="s">
        <v>1289</v>
      </c>
      <c r="D5623" s="1" t="s">
        <v>1290</v>
      </c>
      <c r="E5623" s="1" t="str">
        <f>""</f>
        <v/>
      </c>
      <c r="F5623" s="1" t="s">
        <v>1860</v>
      </c>
      <c r="G5623" s="1" t="str">
        <f>CONCATENATE("POLJOOPSKRBA-TEHNO D.D.,"," SAMOBORSKA 96,"," 10000 ZAGREB,"," OIB: 5372167324")</f>
        <v>POLJOOPSKRBA-TEHNO D.D., SAMOBORSKA 96, 10000 ZAGREB, OIB: 5372167324</v>
      </c>
      <c r="H5623" s="7"/>
      <c r="I5623" s="8" t="s">
        <v>566</v>
      </c>
      <c r="J5623" s="7"/>
      <c r="K5623" s="6" t="str">
        <f>"570,64"</f>
        <v>570,64</v>
      </c>
      <c r="L5623" s="6" t="str">
        <f>"142,66"</f>
        <v>142,66</v>
      </c>
      <c r="M5623" s="6" t="str">
        <f>"713,30"</f>
        <v>713,30</v>
      </c>
      <c r="N5623" s="8" t="s">
        <v>458</v>
      </c>
      <c r="O5623" s="7"/>
      <c r="P5623" s="2">
        <v>713.3</v>
      </c>
      <c r="Q5623" s="7"/>
      <c r="R5623" s="1"/>
      <c r="S5623" s="1" t="str">
        <f>"2022-7671"</f>
        <v>2022-7671</v>
      </c>
      <c r="T5623" s="1" t="s">
        <v>55</v>
      </c>
    </row>
    <row r="5624" spans="1:20" ht="63.75" x14ac:dyDescent="0.25">
      <c r="A5624" s="6">
        <v>5603</v>
      </c>
      <c r="B5624" s="1" t="str">
        <f>"2022-1742"</f>
        <v>2022-1742</v>
      </c>
      <c r="C5624" s="1" t="s">
        <v>682</v>
      </c>
      <c r="D5624" s="1" t="s">
        <v>683</v>
      </c>
      <c r="E5624" s="1" t="str">
        <f>""</f>
        <v/>
      </c>
      <c r="F5624" s="1" t="s">
        <v>1860</v>
      </c>
      <c r="G5624" s="1" t="str">
        <f>CONCATENATE("ELEKTRO-KOMUNIKACIJE D.O.O.,"," 14. PODBREŽJE 4,"," 10000 ZAGREB,"," OIB: 76412373309")</f>
        <v>ELEKTRO-KOMUNIKACIJE D.O.O., 14. PODBREŽJE 4, 10000 ZAGREB, OIB: 76412373309</v>
      </c>
      <c r="H5624" s="7"/>
      <c r="I5624" s="8" t="s">
        <v>566</v>
      </c>
      <c r="J5624" s="7"/>
      <c r="K5624" s="6" t="str">
        <f>"2.460,00"</f>
        <v>2.460,00</v>
      </c>
      <c r="L5624" s="6" t="str">
        <f>"0,00"</f>
        <v>0,00</v>
      </c>
      <c r="M5624" s="6" t="str">
        <f>"2.460,00"</f>
        <v>2.460,00</v>
      </c>
      <c r="N5624" s="8" t="s">
        <v>124</v>
      </c>
      <c r="O5624" s="7"/>
      <c r="P5624" s="2">
        <v>0</v>
      </c>
      <c r="Q5624" s="7"/>
      <c r="R5624" s="1"/>
      <c r="S5624" s="1" t="str">
        <f>"2022-7673"</f>
        <v>2022-7673</v>
      </c>
      <c r="T5624" s="1" t="s">
        <v>55</v>
      </c>
    </row>
    <row r="5625" spans="1:20" ht="63.75" x14ac:dyDescent="0.25">
      <c r="A5625" s="6">
        <v>5604</v>
      </c>
      <c r="B5625" s="1" t="str">
        <f>"2022-767"</f>
        <v>2022-767</v>
      </c>
      <c r="C5625" s="1" t="s">
        <v>3057</v>
      </c>
      <c r="D5625" s="1" t="s">
        <v>1111</v>
      </c>
      <c r="E5625" s="1" t="str">
        <f>""</f>
        <v/>
      </c>
      <c r="F5625" s="1" t="s">
        <v>1860</v>
      </c>
      <c r="G5625" s="1" t="str">
        <f>CONCATENATE("MONTCOGIM - PLINARA D.O.O.,"," TRG ANTE STARČEVIĆA 2,"," 10431 SVETA NEDELJA,"," OIB: 8569042224")</f>
        <v>MONTCOGIM - PLINARA D.O.O., TRG ANTE STARČEVIĆA 2, 10431 SVETA NEDELJA, OIB: 8569042224</v>
      </c>
      <c r="H5625" s="7"/>
      <c r="I5625" s="8" t="s">
        <v>227</v>
      </c>
      <c r="J5625" s="7"/>
      <c r="K5625" s="6" t="str">
        <f>"5.421,35"</f>
        <v>5.421,35</v>
      </c>
      <c r="L5625" s="6" t="str">
        <f>"0,00"</f>
        <v>0,00</v>
      </c>
      <c r="M5625" s="6" t="str">
        <f>"5.421,35"</f>
        <v>5.421,35</v>
      </c>
      <c r="N5625" s="8" t="s">
        <v>124</v>
      </c>
      <c r="O5625" s="7"/>
      <c r="P5625" s="2">
        <v>0</v>
      </c>
      <c r="Q5625" s="7"/>
      <c r="R5625" s="1"/>
      <c r="S5625" s="1" t="str">
        <f>"2022-7734"</f>
        <v>2022-7734</v>
      </c>
      <c r="T5625" s="1" t="s">
        <v>55</v>
      </c>
    </row>
    <row r="5626" spans="1:20" ht="51" x14ac:dyDescent="0.25">
      <c r="A5626" s="6">
        <v>5605</v>
      </c>
      <c r="B5626" s="1" t="str">
        <f>"2022-229"</f>
        <v>2022-229</v>
      </c>
      <c r="C5626" s="1" t="s">
        <v>2459</v>
      </c>
      <c r="D5626" s="1" t="s">
        <v>3311</v>
      </c>
      <c r="E5626" s="1" t="str">
        <f>""</f>
        <v/>
      </c>
      <c r="F5626" s="1" t="s">
        <v>1860</v>
      </c>
      <c r="G5626" s="1" t="str">
        <f>CONCATENATE("BIOVIT D.O.O.,"," MATKA LAGINJE 13,"," 42000 VARAŽDIN,"," OIB: 7327541289")</f>
        <v>BIOVIT D.O.O., MATKA LAGINJE 13, 42000 VARAŽDIN, OIB: 7327541289</v>
      </c>
      <c r="H5626" s="7"/>
      <c r="I5626" s="8" t="s">
        <v>227</v>
      </c>
      <c r="J5626" s="7"/>
      <c r="K5626" s="6" t="str">
        <f>"18.460,22"</f>
        <v>18.460,22</v>
      </c>
      <c r="L5626" s="6" t="str">
        <f>"0,00"</f>
        <v>0,00</v>
      </c>
      <c r="M5626" s="6" t="str">
        <f>"18.460,22"</f>
        <v>18.460,22</v>
      </c>
      <c r="N5626" s="8" t="s">
        <v>124</v>
      </c>
      <c r="O5626" s="7"/>
      <c r="P5626" s="2">
        <v>0</v>
      </c>
      <c r="Q5626" s="7"/>
      <c r="R5626" s="1"/>
      <c r="S5626" s="1" t="str">
        <f>"2022-7736"</f>
        <v>2022-7736</v>
      </c>
      <c r="T5626" s="1" t="s">
        <v>55</v>
      </c>
    </row>
    <row r="5627" spans="1:20" ht="51" x14ac:dyDescent="0.25">
      <c r="A5627" s="6">
        <v>5606</v>
      </c>
      <c r="B5627" s="1" t="str">
        <f>"2022-245"</f>
        <v>2022-245</v>
      </c>
      <c r="C5627" s="1" t="s">
        <v>2435</v>
      </c>
      <c r="D5627" s="1" t="s">
        <v>3323</v>
      </c>
      <c r="E5627" s="1" t="str">
        <f>""</f>
        <v/>
      </c>
      <c r="F5627" s="1" t="s">
        <v>1860</v>
      </c>
      <c r="G5627" s="1" t="str">
        <f>CONCATENATE("BIOVIT D.O.O.,"," MATKA LAGINJE 13,"," 42000 VARAŽDIN,"," OIB: 7327541289")</f>
        <v>BIOVIT D.O.O., MATKA LAGINJE 13, 42000 VARAŽDIN, OIB: 7327541289</v>
      </c>
      <c r="H5627" s="7"/>
      <c r="I5627" s="8" t="s">
        <v>1191</v>
      </c>
      <c r="J5627" s="7"/>
      <c r="K5627" s="6" t="str">
        <f>"10.828,66"</f>
        <v>10.828,66</v>
      </c>
      <c r="L5627" s="6" t="str">
        <f>"0,00"</f>
        <v>0,00</v>
      </c>
      <c r="M5627" s="6" t="str">
        <f>"10.828,66"</f>
        <v>10.828,66</v>
      </c>
      <c r="N5627" s="8" t="s">
        <v>124</v>
      </c>
      <c r="O5627" s="7"/>
      <c r="P5627" s="2">
        <v>0</v>
      </c>
      <c r="Q5627" s="7"/>
      <c r="R5627" s="1"/>
      <c r="S5627" s="1" t="str">
        <f>"2022-7761"</f>
        <v>2022-7761</v>
      </c>
      <c r="T5627" s="1" t="s">
        <v>55</v>
      </c>
    </row>
    <row r="5628" spans="1:20" ht="51" x14ac:dyDescent="0.25">
      <c r="A5628" s="6">
        <v>5607</v>
      </c>
      <c r="B5628" s="1" t="str">
        <f>"2022-232"</f>
        <v>2022-232</v>
      </c>
      <c r="C5628" s="1" t="s">
        <v>3333</v>
      </c>
      <c r="D5628" s="1" t="s">
        <v>3334</v>
      </c>
      <c r="E5628" s="1" t="str">
        <f>""</f>
        <v/>
      </c>
      <c r="F5628" s="1" t="s">
        <v>1860</v>
      </c>
      <c r="G5628" s="1" t="str">
        <f>CONCATENATE("IVERO D.O.O.,"," PLANINSKA 13,"," 10360 SESVETE,"," OIB: 8920645596")</f>
        <v>IVERO D.O.O., PLANINSKA 13, 10360 SESVETE, OIB: 8920645596</v>
      </c>
      <c r="H5628" s="7"/>
      <c r="I5628" s="8" t="s">
        <v>1191</v>
      </c>
      <c r="J5628" s="7"/>
      <c r="K5628" s="6" t="str">
        <f>"1.104,00"</f>
        <v>1.104,00</v>
      </c>
      <c r="L5628" s="6" t="str">
        <f>"276,00"</f>
        <v>276,00</v>
      </c>
      <c r="M5628" s="6" t="str">
        <f>"1.380,00"</f>
        <v>1.380,00</v>
      </c>
      <c r="N5628" s="8" t="s">
        <v>1123</v>
      </c>
      <c r="O5628" s="7"/>
      <c r="P5628" s="2">
        <v>1380</v>
      </c>
      <c r="Q5628" s="7"/>
      <c r="R5628" s="1"/>
      <c r="S5628" s="1" t="str">
        <f>"2022-7763"</f>
        <v>2022-7763</v>
      </c>
      <c r="T5628" s="1" t="s">
        <v>55</v>
      </c>
    </row>
    <row r="5629" spans="1:20" ht="63.75" x14ac:dyDescent="0.25">
      <c r="A5629" s="6">
        <v>5608</v>
      </c>
      <c r="B5629" s="1" t="str">
        <f>"2022-505"</f>
        <v>2022-505</v>
      </c>
      <c r="C5629" s="1" t="s">
        <v>2694</v>
      </c>
      <c r="D5629" s="1" t="s">
        <v>3306</v>
      </c>
      <c r="E5629" s="1" t="str">
        <f>""</f>
        <v/>
      </c>
      <c r="F5629" s="1" t="s">
        <v>1860</v>
      </c>
      <c r="G5629" s="1" t="str">
        <f>CONCATENATE("ELEKTRO-KOMUNIKACIJE D.O.O.,"," 14. PODBREŽJE 4,"," 10000 ZAGREB,"," OIB: 76412373309")</f>
        <v>ELEKTRO-KOMUNIKACIJE D.O.O., 14. PODBREŽJE 4, 10000 ZAGREB, OIB: 76412373309</v>
      </c>
      <c r="H5629" s="7"/>
      <c r="I5629" s="8" t="s">
        <v>1191</v>
      </c>
      <c r="J5629" s="7"/>
      <c r="K5629" s="6" t="str">
        <f>"6.790,00"</f>
        <v>6.790,00</v>
      </c>
      <c r="L5629" s="6" t="str">
        <f>"1.697,50"</f>
        <v>1.697,50</v>
      </c>
      <c r="M5629" s="6" t="str">
        <f>"8.487,50"</f>
        <v>8.487,50</v>
      </c>
      <c r="N5629" s="8" t="s">
        <v>383</v>
      </c>
      <c r="O5629" s="7"/>
      <c r="P5629" s="2">
        <v>8487.5</v>
      </c>
      <c r="Q5629" s="7"/>
      <c r="R5629" s="1"/>
      <c r="S5629" s="1" t="str">
        <f>"2022-7765"</f>
        <v>2022-7765</v>
      </c>
      <c r="T5629" s="1" t="s">
        <v>55</v>
      </c>
    </row>
    <row r="5630" spans="1:20" ht="51" x14ac:dyDescent="0.25">
      <c r="A5630" s="6">
        <v>5609</v>
      </c>
      <c r="B5630" s="1" t="str">
        <f>"2022-226"</f>
        <v>2022-226</v>
      </c>
      <c r="C5630" s="1" t="s">
        <v>2464</v>
      </c>
      <c r="D5630" s="1" t="s">
        <v>3311</v>
      </c>
      <c r="E5630" s="1" t="str">
        <f>""</f>
        <v/>
      </c>
      <c r="F5630" s="1" t="s">
        <v>1860</v>
      </c>
      <c r="G5630" s="1" t="str">
        <f>CONCATENATE("GESTA D.O.O.,"," IVANA SEVERA bb,"," 42000 VARAŽDIN,"," OIB: 3349091397")</f>
        <v>GESTA D.O.O., IVANA SEVERA bb, 42000 VARAŽDIN, OIB: 3349091397</v>
      </c>
      <c r="H5630" s="7"/>
      <c r="I5630" s="8" t="s">
        <v>1191</v>
      </c>
      <c r="J5630" s="7"/>
      <c r="K5630" s="6" t="str">
        <f>"4.800,00"</f>
        <v>4.800,00</v>
      </c>
      <c r="L5630" s="6" t="str">
        <f>"0,00"</f>
        <v>0,00</v>
      </c>
      <c r="M5630" s="6" t="str">
        <f>"4.800,00"</f>
        <v>4.800,00</v>
      </c>
      <c r="N5630" s="8" t="s">
        <v>124</v>
      </c>
      <c r="O5630" s="7"/>
      <c r="P5630" s="2">
        <v>0</v>
      </c>
      <c r="Q5630" s="7"/>
      <c r="R5630" s="1"/>
      <c r="S5630" s="1" t="str">
        <f>"2022-7767"</f>
        <v>2022-7767</v>
      </c>
      <c r="T5630" s="1" t="s">
        <v>55</v>
      </c>
    </row>
    <row r="5631" spans="1:20" ht="63.75" x14ac:dyDescent="0.25">
      <c r="A5631" s="6">
        <v>5610</v>
      </c>
      <c r="B5631" s="1" t="str">
        <f>"2022-909"</f>
        <v>2022-909</v>
      </c>
      <c r="C5631" s="1" t="s">
        <v>2718</v>
      </c>
      <c r="D5631" s="1" t="s">
        <v>1102</v>
      </c>
      <c r="E5631" s="1" t="str">
        <f>""</f>
        <v/>
      </c>
      <c r="F5631" s="1" t="s">
        <v>1860</v>
      </c>
      <c r="G5631" s="1" t="str">
        <f>CONCATENATE("ADEO d.o.o. Osijek,"," ULICA KRALJA TOMISLAVA 81,"," 31327 BILJE,"," OIB: 6242811405")</f>
        <v>ADEO d.o.o. Osijek, ULICA KRALJA TOMISLAVA 81, 31327 BILJE, OIB: 6242811405</v>
      </c>
      <c r="H5631" s="7"/>
      <c r="I5631" s="8" t="s">
        <v>1191</v>
      </c>
      <c r="J5631" s="7"/>
      <c r="K5631" s="6" t="str">
        <f>"12.200,00"</f>
        <v>12.200,00</v>
      </c>
      <c r="L5631" s="6" t="str">
        <f>"0,00"</f>
        <v>0,00</v>
      </c>
      <c r="M5631" s="6" t="str">
        <f>"12.200,00"</f>
        <v>12.200,00</v>
      </c>
      <c r="N5631" s="8" t="s">
        <v>124</v>
      </c>
      <c r="O5631" s="7"/>
      <c r="P5631" s="2">
        <v>0</v>
      </c>
      <c r="Q5631" s="7"/>
      <c r="R5631" s="1"/>
      <c r="S5631" s="1" t="str">
        <f>"2022-7768"</f>
        <v>2022-7768</v>
      </c>
      <c r="T5631" s="1" t="s">
        <v>55</v>
      </c>
    </row>
    <row r="5632" spans="1:20" ht="76.5" x14ac:dyDescent="0.25">
      <c r="A5632" s="6">
        <v>5611</v>
      </c>
      <c r="B5632" s="1" t="str">
        <f>"2022-226"</f>
        <v>2022-226</v>
      </c>
      <c r="C5632" s="1" t="s">
        <v>2464</v>
      </c>
      <c r="D5632" s="1" t="s">
        <v>3311</v>
      </c>
      <c r="E5632" s="1" t="str">
        <f>""</f>
        <v/>
      </c>
      <c r="F5632" s="1" t="s">
        <v>1860</v>
      </c>
      <c r="G5632" s="1" t="str">
        <f>CONCATENATE("VOXA,"," OBRT ZA TRGOVINU I POSREDOVANJE,"," JOSIPA HEROVIĆA 3,"," 10430 SAMOBOR,"," OIB: 68257033904")</f>
        <v>VOXA, OBRT ZA TRGOVINU I POSREDOVANJE, JOSIPA HEROVIĆA 3, 10430 SAMOBOR, OIB: 68257033904</v>
      </c>
      <c r="H5632" s="7"/>
      <c r="I5632" s="8" t="s">
        <v>1191</v>
      </c>
      <c r="J5632" s="7"/>
      <c r="K5632" s="6" t="str">
        <f>"28.899,00"</f>
        <v>28.899,00</v>
      </c>
      <c r="L5632" s="6" t="str">
        <f>"7.224,75"</f>
        <v>7.224,75</v>
      </c>
      <c r="M5632" s="6" t="str">
        <f>"36.123,75"</f>
        <v>36.123,75</v>
      </c>
      <c r="N5632" s="8" t="s">
        <v>384</v>
      </c>
      <c r="O5632" s="7"/>
      <c r="P5632" s="2">
        <v>36123.75</v>
      </c>
      <c r="Q5632" s="7"/>
      <c r="R5632" s="1"/>
      <c r="S5632" s="1" t="str">
        <f>"2022-7771"</f>
        <v>2022-7771</v>
      </c>
      <c r="T5632" s="1" t="s">
        <v>55</v>
      </c>
    </row>
    <row r="5633" spans="1:20" ht="51" x14ac:dyDescent="0.25">
      <c r="A5633" s="6">
        <v>5612</v>
      </c>
      <c r="B5633" s="1" t="str">
        <f>"2022-228"</f>
        <v>2022-228</v>
      </c>
      <c r="C5633" s="1" t="s">
        <v>2463</v>
      </c>
      <c r="D5633" s="1" t="s">
        <v>3311</v>
      </c>
      <c r="E5633" s="1" t="str">
        <f>""</f>
        <v/>
      </c>
      <c r="F5633" s="1" t="s">
        <v>1860</v>
      </c>
      <c r="G5633" s="1" t="str">
        <f>CONCATENATE("KEMIKA D.D.,"," HEINZELOVA 53,"," 10000 ZAGREB,"," OIB: 38181641213")</f>
        <v>KEMIKA D.D., HEINZELOVA 53, 10000 ZAGREB, OIB: 38181641213</v>
      </c>
      <c r="H5633" s="7"/>
      <c r="I5633" s="8" t="s">
        <v>1191</v>
      </c>
      <c r="J5633" s="7"/>
      <c r="K5633" s="6" t="str">
        <f>"3.550,40"</f>
        <v>3.550,40</v>
      </c>
      <c r="L5633" s="6" t="str">
        <f>"0,00"</f>
        <v>0,00</v>
      </c>
      <c r="M5633" s="6" t="str">
        <f>"3.550,40"</f>
        <v>3.550,40</v>
      </c>
      <c r="N5633" s="8" t="s">
        <v>124</v>
      </c>
      <c r="O5633" s="7"/>
      <c r="P5633" s="2">
        <v>0</v>
      </c>
      <c r="Q5633" s="7"/>
      <c r="R5633" s="1"/>
      <c r="S5633" s="1" t="str">
        <f>"2022-7772"</f>
        <v>2022-7772</v>
      </c>
      <c r="T5633" s="1" t="s">
        <v>55</v>
      </c>
    </row>
    <row r="5634" spans="1:20" ht="51" x14ac:dyDescent="0.25">
      <c r="A5634" s="6">
        <v>5613</v>
      </c>
      <c r="B5634" s="1" t="str">
        <f>"2022-1715"</f>
        <v>2022-1715</v>
      </c>
      <c r="C5634" s="1" t="s">
        <v>3407</v>
      </c>
      <c r="D5634" s="1" t="s">
        <v>770</v>
      </c>
      <c r="E5634" s="1" t="str">
        <f>""</f>
        <v/>
      </c>
      <c r="F5634" s="1" t="s">
        <v>1860</v>
      </c>
      <c r="G5634" s="1" t="str">
        <f>CONCATENATE("INA MAZIVA D.O.O.,"," RADNIČKA CESTA 175,"," 10000 ZAGREB,"," OIB: 63988426425")</f>
        <v>INA MAZIVA D.O.O., RADNIČKA CESTA 175, 10000 ZAGREB, OIB: 63988426425</v>
      </c>
      <c r="H5634" s="7"/>
      <c r="I5634" s="8" t="s">
        <v>1191</v>
      </c>
      <c r="J5634" s="7"/>
      <c r="K5634" s="6" t="str">
        <f>"2.952,00"</f>
        <v>2.952,00</v>
      </c>
      <c r="L5634" s="6" t="str">
        <f>"0,00"</f>
        <v>0,00</v>
      </c>
      <c r="M5634" s="6" t="str">
        <f>"2.952,00"</f>
        <v>2.952,00</v>
      </c>
      <c r="N5634" s="8" t="s">
        <v>124</v>
      </c>
      <c r="O5634" s="7"/>
      <c r="P5634" s="2">
        <v>0</v>
      </c>
      <c r="Q5634" s="7"/>
      <c r="R5634" s="1"/>
      <c r="S5634" s="1" t="str">
        <f>"2022-7773"</f>
        <v>2022-7773</v>
      </c>
      <c r="T5634" s="1" t="s">
        <v>55</v>
      </c>
    </row>
    <row r="5635" spans="1:20" ht="51" x14ac:dyDescent="0.25">
      <c r="A5635" s="6">
        <v>5614</v>
      </c>
      <c r="B5635" s="1" t="str">
        <f>"2022-304"</f>
        <v>2022-304</v>
      </c>
      <c r="C5635" s="1" t="s">
        <v>3395</v>
      </c>
      <c r="D5635" s="1" t="s">
        <v>3396</v>
      </c>
      <c r="E5635" s="1" t="str">
        <f>""</f>
        <v/>
      </c>
      <c r="F5635" s="1" t="s">
        <v>1860</v>
      </c>
      <c r="G5635" s="1" t="str">
        <f>CONCATENATE("RU - VE D.O.O.,"," PROSINAČKA 14,"," 10431 SVETA NEDELJA,"," OIB: 8847092984")</f>
        <v>RU - VE D.O.O., PROSINAČKA 14, 10431 SVETA NEDELJA, OIB: 8847092984</v>
      </c>
      <c r="H5635" s="7"/>
      <c r="I5635" s="8" t="s">
        <v>1191</v>
      </c>
      <c r="J5635" s="7"/>
      <c r="K5635" s="6" t="str">
        <f>"18.443,50"</f>
        <v>18.443,50</v>
      </c>
      <c r="L5635" s="6" t="str">
        <f>"0,00"</f>
        <v>0,00</v>
      </c>
      <c r="M5635" s="6" t="str">
        <f>"18.443,50"</f>
        <v>18.443,50</v>
      </c>
      <c r="N5635" s="8" t="s">
        <v>124</v>
      </c>
      <c r="O5635" s="7"/>
      <c r="P5635" s="2">
        <v>0</v>
      </c>
      <c r="Q5635" s="7"/>
      <c r="R5635" s="1"/>
      <c r="S5635" s="1" t="str">
        <f>"2022-7775"</f>
        <v>2022-7775</v>
      </c>
      <c r="T5635" s="1" t="s">
        <v>55</v>
      </c>
    </row>
    <row r="5636" spans="1:20" ht="76.5" x14ac:dyDescent="0.25">
      <c r="A5636" s="6">
        <v>5615</v>
      </c>
      <c r="B5636" s="1" t="str">
        <f>"2022-525"</f>
        <v>2022-525</v>
      </c>
      <c r="C5636" s="1" t="s">
        <v>2497</v>
      </c>
      <c r="D5636" s="1" t="s">
        <v>3315</v>
      </c>
      <c r="E5636" s="1" t="str">
        <f>""</f>
        <v/>
      </c>
      <c r="F5636" s="1" t="s">
        <v>1860</v>
      </c>
      <c r="G5636" s="1" t="str">
        <f>CONCATENATE("SMIT-COMMERCE D.O.O.,"," GORNJOSTUPNIČKA 9B,"," 10255 GORNJI STUPNIK,"," OIB: 9524348214")</f>
        <v>SMIT-COMMERCE D.O.O., GORNJOSTUPNIČKA 9B, 10255 GORNJI STUPNIK, OIB: 9524348214</v>
      </c>
      <c r="H5636" s="7"/>
      <c r="I5636" s="8" t="s">
        <v>1191</v>
      </c>
      <c r="J5636" s="7"/>
      <c r="K5636" s="6" t="str">
        <f>"14.215,60"</f>
        <v>14.215,60</v>
      </c>
      <c r="L5636" s="6" t="str">
        <f>"0,00"</f>
        <v>0,00</v>
      </c>
      <c r="M5636" s="6" t="str">
        <f>"14.215,60"</f>
        <v>14.215,60</v>
      </c>
      <c r="N5636" s="8" t="s">
        <v>124</v>
      </c>
      <c r="O5636" s="7"/>
      <c r="P5636" s="2">
        <v>0</v>
      </c>
      <c r="Q5636" s="7"/>
      <c r="R5636" s="1"/>
      <c r="S5636" s="1" t="str">
        <f>"2022-7776"</f>
        <v>2022-7776</v>
      </c>
      <c r="T5636" s="1" t="s">
        <v>55</v>
      </c>
    </row>
    <row r="5637" spans="1:20" ht="63.75" x14ac:dyDescent="0.25">
      <c r="A5637" s="6">
        <v>5616</v>
      </c>
      <c r="B5637" s="1" t="str">
        <f>"2022-1482"</f>
        <v>2022-1482</v>
      </c>
      <c r="C5637" s="1" t="s">
        <v>2501</v>
      </c>
      <c r="D5637" s="1" t="s">
        <v>3411</v>
      </c>
      <c r="E5637" s="1" t="str">
        <f>""</f>
        <v/>
      </c>
      <c r="F5637" s="1" t="s">
        <v>1860</v>
      </c>
      <c r="G5637" s="1" t="str">
        <f>CONCATENATE("VODOSKOK D.D.,"," ČULINEČKA CESTA 221/C,"," 10040 ZAGREB,"," OIB: 34134218058")</f>
        <v>VODOSKOK D.D., ČULINEČKA CESTA 221/C, 10040 ZAGREB, OIB: 34134218058</v>
      </c>
      <c r="H5637" s="7"/>
      <c r="I5637" s="8" t="s">
        <v>1191</v>
      </c>
      <c r="J5637" s="7"/>
      <c r="K5637" s="6" t="str">
        <f>"7.643,00"</f>
        <v>7.643,00</v>
      </c>
      <c r="L5637" s="6" t="str">
        <f>"1.910,75"</f>
        <v>1.910,75</v>
      </c>
      <c r="M5637" s="6" t="str">
        <f>"9.553,75"</f>
        <v>9.553,75</v>
      </c>
      <c r="N5637" s="8" t="s">
        <v>383</v>
      </c>
      <c r="O5637" s="7"/>
      <c r="P5637" s="2">
        <v>9553.75</v>
      </c>
      <c r="Q5637" s="7"/>
      <c r="R5637" s="1"/>
      <c r="S5637" s="1" t="str">
        <f>"2022-7778"</f>
        <v>2022-7778</v>
      </c>
      <c r="T5637" s="1" t="s">
        <v>55</v>
      </c>
    </row>
    <row r="5638" spans="1:20" ht="63.75" x14ac:dyDescent="0.25">
      <c r="A5638" s="6">
        <v>5617</v>
      </c>
      <c r="B5638" s="1" t="str">
        <f>"2022-590"</f>
        <v>2022-590</v>
      </c>
      <c r="C5638" s="1" t="s">
        <v>2898</v>
      </c>
      <c r="D5638" s="1" t="s">
        <v>2899</v>
      </c>
      <c r="E5638" s="1" t="str">
        <f>""</f>
        <v/>
      </c>
      <c r="F5638" s="1" t="s">
        <v>1860</v>
      </c>
      <c r="G5638" s="1" t="str">
        <f>CONCATENATE("ELEKTRO-KOMUNIKACIJE D.O.O.,"," 14. PODBREŽJE 4,"," 10000 ZAGREB,"," OIB: 76412373309")</f>
        <v>ELEKTRO-KOMUNIKACIJE D.O.O., 14. PODBREŽJE 4, 10000 ZAGREB, OIB: 76412373309</v>
      </c>
      <c r="H5638" s="7"/>
      <c r="I5638" s="8" t="s">
        <v>1191</v>
      </c>
      <c r="J5638" s="7"/>
      <c r="K5638" s="6" t="str">
        <f>"6.200,00"</f>
        <v>6.200,00</v>
      </c>
      <c r="L5638" s="6" t="str">
        <f>"0,00"</f>
        <v>0,00</v>
      </c>
      <c r="M5638" s="6" t="str">
        <f>"6.200,00"</f>
        <v>6.200,00</v>
      </c>
      <c r="N5638" s="8" t="s">
        <v>124</v>
      </c>
      <c r="O5638" s="7"/>
      <c r="P5638" s="2">
        <v>0</v>
      </c>
      <c r="Q5638" s="7"/>
      <c r="R5638" s="1"/>
      <c r="S5638" s="1" t="str">
        <f>"2022-7779"</f>
        <v>2022-7779</v>
      </c>
      <c r="T5638" s="1" t="s">
        <v>55</v>
      </c>
    </row>
    <row r="5639" spans="1:20" ht="51" x14ac:dyDescent="0.25">
      <c r="A5639" s="6">
        <v>5618</v>
      </c>
      <c r="B5639" s="1" t="str">
        <f>"2022-1987"</f>
        <v>2022-1987</v>
      </c>
      <c r="C5639" s="1" t="s">
        <v>3453</v>
      </c>
      <c r="D5639" s="1" t="s">
        <v>815</v>
      </c>
      <c r="E5639" s="1" t="str">
        <f>""</f>
        <v/>
      </c>
      <c r="F5639" s="1" t="s">
        <v>1860</v>
      </c>
      <c r="G5639" s="1" t="str">
        <f>CONCATENATE("AUTOKUĆA-ŠTARKELJ D.O.O.,"," UKRAJINSKA 17,"," 10000 ZAGREB,"," OIB: 87340407905")</f>
        <v>AUTOKUĆA-ŠTARKELJ D.O.O., UKRAJINSKA 17, 10000 ZAGREB, OIB: 87340407905</v>
      </c>
      <c r="H5639" s="7"/>
      <c r="I5639" s="8" t="s">
        <v>1191</v>
      </c>
      <c r="J5639" s="7"/>
      <c r="K5639" s="6" t="str">
        <f>"3.996,27"</f>
        <v>3.996,27</v>
      </c>
      <c r="L5639" s="6" t="str">
        <f>"999,07"</f>
        <v>999,07</v>
      </c>
      <c r="M5639" s="6" t="str">
        <f>"4.995,34"</f>
        <v>4.995,34</v>
      </c>
      <c r="N5639" s="8" t="s">
        <v>892</v>
      </c>
      <c r="O5639" s="7"/>
      <c r="P5639" s="2">
        <v>4995.34</v>
      </c>
      <c r="Q5639" s="7"/>
      <c r="R5639" s="1"/>
      <c r="S5639" s="1" t="str">
        <f>"2022-7780"</f>
        <v>2022-7780</v>
      </c>
      <c r="T5639" s="1" t="s">
        <v>55</v>
      </c>
    </row>
    <row r="5640" spans="1:20" ht="51" x14ac:dyDescent="0.25">
      <c r="A5640" s="6">
        <v>5619</v>
      </c>
      <c r="B5640" s="1" t="str">
        <f>"2022-655"</f>
        <v>2022-655</v>
      </c>
      <c r="C5640" s="1" t="s">
        <v>2775</v>
      </c>
      <c r="D5640" s="1" t="s">
        <v>3454</v>
      </c>
      <c r="E5640" s="1" t="str">
        <f>""</f>
        <v/>
      </c>
      <c r="F5640" s="1" t="s">
        <v>1860</v>
      </c>
      <c r="G5640" s="1" t="str">
        <f>CONCATENATE("COMET D.O.O.,"," VARAŽDINSKA 40/C,"," 42220 NOVI MAROF,"," OIB: 48249084626")</f>
        <v>COMET D.O.O., VARAŽDINSKA 40/C, 42220 NOVI MAROF, OIB: 48249084626</v>
      </c>
      <c r="H5640" s="7"/>
      <c r="I5640" s="8" t="s">
        <v>1191</v>
      </c>
      <c r="J5640" s="7"/>
      <c r="K5640" s="6" t="str">
        <f>"1.038,00"</f>
        <v>1.038,00</v>
      </c>
      <c r="L5640" s="6" t="str">
        <f>"259,50"</f>
        <v>259,50</v>
      </c>
      <c r="M5640" s="6" t="str">
        <f>"1.297,50"</f>
        <v>1.297,50</v>
      </c>
      <c r="N5640" s="8" t="s">
        <v>1123</v>
      </c>
      <c r="O5640" s="7"/>
      <c r="P5640" s="2">
        <v>1297.5</v>
      </c>
      <c r="Q5640" s="7"/>
      <c r="R5640" s="1"/>
      <c r="S5640" s="1" t="str">
        <f>"2022-7782"</f>
        <v>2022-7782</v>
      </c>
      <c r="T5640" s="1" t="s">
        <v>55</v>
      </c>
    </row>
    <row r="5641" spans="1:20" ht="51" x14ac:dyDescent="0.25">
      <c r="A5641" s="6">
        <v>5620</v>
      </c>
      <c r="B5641" s="1" t="str">
        <f>"2022-248"</f>
        <v>2022-248</v>
      </c>
      <c r="C5641" s="1" t="s">
        <v>3462</v>
      </c>
      <c r="D5641" s="1" t="s">
        <v>3463</v>
      </c>
      <c r="E5641" s="1" t="str">
        <f>""</f>
        <v/>
      </c>
      <c r="F5641" s="1" t="s">
        <v>1860</v>
      </c>
      <c r="G5641" s="1" t="str">
        <f>CONCATENATE("NARODNE NOVINE D.D.,"," SAVSKI GAJ XIII. PUT br. 6,"," 10000 ZAGREB,"," OIB: 64546066176")</f>
        <v>NARODNE NOVINE D.D., SAVSKI GAJ XIII. PUT br. 6, 10000 ZAGREB, OIB: 64546066176</v>
      </c>
      <c r="H5641" s="7"/>
      <c r="I5641" s="8" t="s">
        <v>1191</v>
      </c>
      <c r="J5641" s="7"/>
      <c r="K5641" s="6" t="str">
        <f>"594,00"</f>
        <v>594,00</v>
      </c>
      <c r="L5641" s="6" t="str">
        <f t="shared" ref="L5641:L5649" si="239">"0,00"</f>
        <v>0,00</v>
      </c>
      <c r="M5641" s="6" t="str">
        <f>"594,00"</f>
        <v>594,00</v>
      </c>
      <c r="N5641" s="8" t="s">
        <v>124</v>
      </c>
      <c r="O5641" s="7"/>
      <c r="P5641" s="2">
        <v>0</v>
      </c>
      <c r="Q5641" s="7"/>
      <c r="R5641" s="1"/>
      <c r="S5641" s="1" t="str">
        <f>"2022-7783"</f>
        <v>2022-7783</v>
      </c>
      <c r="T5641" s="1" t="s">
        <v>55</v>
      </c>
    </row>
    <row r="5642" spans="1:20" ht="51" x14ac:dyDescent="0.25">
      <c r="A5642" s="6">
        <v>5621</v>
      </c>
      <c r="B5642" s="1" t="str">
        <f>"2022-285"</f>
        <v>2022-285</v>
      </c>
      <c r="C5642" s="1" t="s">
        <v>3421</v>
      </c>
      <c r="D5642" s="1" t="s">
        <v>3422</v>
      </c>
      <c r="E5642" s="1" t="str">
        <f>""</f>
        <v/>
      </c>
      <c r="F5642" s="1" t="s">
        <v>1860</v>
      </c>
      <c r="G5642" s="1" t="str">
        <f>CONCATENATE("RU - VE D.O.O.,"," PROSINAČKA 14,"," 10431 SVETA NEDELJA,"," OIB: 8847092984")</f>
        <v>RU - VE D.O.O., PROSINAČKA 14, 10431 SVETA NEDELJA, OIB: 8847092984</v>
      </c>
      <c r="H5642" s="7"/>
      <c r="I5642" s="8" t="s">
        <v>1191</v>
      </c>
      <c r="J5642" s="7"/>
      <c r="K5642" s="6" t="str">
        <f>"14.310,00"</f>
        <v>14.310,00</v>
      </c>
      <c r="L5642" s="6" t="str">
        <f t="shared" si="239"/>
        <v>0,00</v>
      </c>
      <c r="M5642" s="6" t="str">
        <f>"14.310,00"</f>
        <v>14.310,00</v>
      </c>
      <c r="N5642" s="8" t="s">
        <v>124</v>
      </c>
      <c r="O5642" s="7"/>
      <c r="P5642" s="2">
        <v>0</v>
      </c>
      <c r="Q5642" s="7"/>
      <c r="R5642" s="1"/>
      <c r="S5642" s="1" t="str">
        <f>"2022-7788"</f>
        <v>2022-7788</v>
      </c>
      <c r="T5642" s="1" t="s">
        <v>55</v>
      </c>
    </row>
    <row r="5643" spans="1:20" ht="63.75" x14ac:dyDescent="0.25">
      <c r="A5643" s="6">
        <v>5622</v>
      </c>
      <c r="B5643" s="1" t="str">
        <f>"2022-411"</f>
        <v>2022-411</v>
      </c>
      <c r="C5643" s="1" t="s">
        <v>3464</v>
      </c>
      <c r="D5643" s="1" t="s">
        <v>1244</v>
      </c>
      <c r="E5643" s="1" t="str">
        <f>""</f>
        <v/>
      </c>
      <c r="F5643" s="1" t="s">
        <v>1860</v>
      </c>
      <c r="G5643" s="1" t="str">
        <f>CONCATENATE("LE - PAC OBRT ZA PROIZVODNJU BRTVILA,"," NOVA KAPELA 53,"," 10342 DUBRAVA,"," OIB: 24214135837")</f>
        <v>LE - PAC OBRT ZA PROIZVODNJU BRTVILA, NOVA KAPELA 53, 10342 DUBRAVA, OIB: 24214135837</v>
      </c>
      <c r="H5643" s="7"/>
      <c r="I5643" s="8" t="s">
        <v>1191</v>
      </c>
      <c r="J5643" s="7"/>
      <c r="K5643" s="6" t="str">
        <f>"27.000,00"</f>
        <v>27.000,00</v>
      </c>
      <c r="L5643" s="6" t="str">
        <f t="shared" si="239"/>
        <v>0,00</v>
      </c>
      <c r="M5643" s="6" t="str">
        <f>"27.000,00"</f>
        <v>27.000,00</v>
      </c>
      <c r="N5643" s="8" t="s">
        <v>124</v>
      </c>
      <c r="O5643" s="7"/>
      <c r="P5643" s="2">
        <v>0</v>
      </c>
      <c r="Q5643" s="7"/>
      <c r="R5643" s="1"/>
      <c r="S5643" s="1" t="str">
        <f>"2022-7789"</f>
        <v>2022-7789</v>
      </c>
      <c r="T5643" s="1" t="s">
        <v>55</v>
      </c>
    </row>
    <row r="5644" spans="1:20" ht="63.75" x14ac:dyDescent="0.25">
      <c r="A5644" s="6">
        <v>5623</v>
      </c>
      <c r="B5644" s="1" t="str">
        <f>"2022-1759"</f>
        <v>2022-1759</v>
      </c>
      <c r="C5644" s="1" t="s">
        <v>3398</v>
      </c>
      <c r="D5644" s="1" t="s">
        <v>21</v>
      </c>
      <c r="E5644" s="1" t="str">
        <f>""</f>
        <v/>
      </c>
      <c r="F5644" s="1" t="s">
        <v>1860</v>
      </c>
      <c r="G5644" s="1" t="str">
        <f>CONCATENATE("HIDRAULIKA KURELJA D.O.O.,"," MATENAČKA CESTA 41,"," 49290 DONJA STUBICA,"," OIB: 3092900595")</f>
        <v>HIDRAULIKA KURELJA D.O.O., MATENAČKA CESTA 41, 49290 DONJA STUBICA, OIB: 3092900595</v>
      </c>
      <c r="H5644" s="7"/>
      <c r="I5644" s="8" t="s">
        <v>509</v>
      </c>
      <c r="J5644" s="7"/>
      <c r="K5644" s="6" t="str">
        <f>"2.010,00"</f>
        <v>2.010,00</v>
      </c>
      <c r="L5644" s="6" t="str">
        <f t="shared" si="239"/>
        <v>0,00</v>
      </c>
      <c r="M5644" s="6" t="str">
        <f>"2.010,00"</f>
        <v>2.010,00</v>
      </c>
      <c r="N5644" s="8" t="s">
        <v>124</v>
      </c>
      <c r="O5644" s="7"/>
      <c r="P5644" s="2">
        <v>0</v>
      </c>
      <c r="Q5644" s="7"/>
      <c r="R5644" s="1"/>
      <c r="S5644" s="1" t="str">
        <f>"2022-7800"</f>
        <v>2022-7800</v>
      </c>
      <c r="T5644" s="1" t="s">
        <v>55</v>
      </c>
    </row>
    <row r="5645" spans="1:20" ht="63.75" x14ac:dyDescent="0.25">
      <c r="A5645" s="6">
        <v>5624</v>
      </c>
      <c r="B5645" s="1" t="str">
        <f>"2022-1931"</f>
        <v>2022-1931</v>
      </c>
      <c r="C5645" s="1" t="s">
        <v>3427</v>
      </c>
      <c r="D5645" s="1" t="s">
        <v>659</v>
      </c>
      <c r="E5645" s="1" t="str">
        <f>""</f>
        <v/>
      </c>
      <c r="F5645" s="1" t="s">
        <v>1860</v>
      </c>
      <c r="G5645" s="1" t="str">
        <f>CONCATENATE("ELEKTRO-KOMUNIKACIJE D.O.O.,"," 14. PODBREŽJE 4,"," 10000 ZAGREB,"," OIB: 76412373309")</f>
        <v>ELEKTRO-KOMUNIKACIJE D.O.O., 14. PODBREŽJE 4, 10000 ZAGREB, OIB: 76412373309</v>
      </c>
      <c r="H5645" s="7"/>
      <c r="I5645" s="8" t="s">
        <v>509</v>
      </c>
      <c r="J5645" s="7"/>
      <c r="K5645" s="6" t="str">
        <f>"6.158,00"</f>
        <v>6.158,00</v>
      </c>
      <c r="L5645" s="6" t="str">
        <f t="shared" si="239"/>
        <v>0,00</v>
      </c>
      <c r="M5645" s="6" t="str">
        <f>"6.158,00"</f>
        <v>6.158,00</v>
      </c>
      <c r="N5645" s="8" t="s">
        <v>124</v>
      </c>
      <c r="O5645" s="7"/>
      <c r="P5645" s="2">
        <v>0</v>
      </c>
      <c r="Q5645" s="7"/>
      <c r="R5645" s="1"/>
      <c r="S5645" s="1" t="str">
        <f>"2022-7814"</f>
        <v>2022-7814</v>
      </c>
      <c r="T5645" s="1" t="s">
        <v>55</v>
      </c>
    </row>
    <row r="5646" spans="1:20" ht="63.75" x14ac:dyDescent="0.25">
      <c r="A5646" s="6">
        <v>5625</v>
      </c>
      <c r="B5646" s="1" t="str">
        <f>"2022-304"</f>
        <v>2022-304</v>
      </c>
      <c r="C5646" s="1" t="s">
        <v>3395</v>
      </c>
      <c r="D5646" s="1" t="s">
        <v>3396</v>
      </c>
      <c r="E5646" s="1" t="str">
        <f>""</f>
        <v/>
      </c>
      <c r="F5646" s="1" t="s">
        <v>1860</v>
      </c>
      <c r="G5646" s="1" t="str">
        <f>CONCATENATE("HANNA INSTRUMENTS D.O.O.,"," JURE KAŠTELANA 19,"," 10000 ZAGREB,"," OIB: 575031015")</f>
        <v>HANNA INSTRUMENTS D.O.O., JURE KAŠTELANA 19, 10000 ZAGREB, OIB: 575031015</v>
      </c>
      <c r="H5646" s="7"/>
      <c r="I5646" s="8" t="s">
        <v>509</v>
      </c>
      <c r="J5646" s="7"/>
      <c r="K5646" s="6" t="str">
        <f>"175,00"</f>
        <v>175,00</v>
      </c>
      <c r="L5646" s="6" t="str">
        <f t="shared" si="239"/>
        <v>0,00</v>
      </c>
      <c r="M5646" s="6" t="str">
        <f>"175,00"</f>
        <v>175,00</v>
      </c>
      <c r="N5646" s="8" t="s">
        <v>124</v>
      </c>
      <c r="O5646" s="7"/>
      <c r="P5646" s="2">
        <v>0</v>
      </c>
      <c r="Q5646" s="7"/>
      <c r="R5646" s="1"/>
      <c r="S5646" s="1" t="str">
        <f>"2022-7815"</f>
        <v>2022-7815</v>
      </c>
      <c r="T5646" s="1" t="s">
        <v>55</v>
      </c>
    </row>
    <row r="5647" spans="1:20" ht="51" x14ac:dyDescent="0.25">
      <c r="A5647" s="6">
        <v>5626</v>
      </c>
      <c r="B5647" s="1" t="str">
        <f>"2022-655"</f>
        <v>2022-655</v>
      </c>
      <c r="C5647" s="1" t="s">
        <v>2775</v>
      </c>
      <c r="D5647" s="1" t="s">
        <v>3454</v>
      </c>
      <c r="E5647" s="1" t="str">
        <f>""</f>
        <v/>
      </c>
      <c r="F5647" s="1" t="s">
        <v>1860</v>
      </c>
      <c r="G5647" s="1" t="str">
        <f>CONCATENATE("PRO-TEHNA D.O.O.,"," MAKSIMIRSKA 64,"," 10000 ZAGREB,"," OIB: 88951687357")</f>
        <v>PRO-TEHNA D.O.O., MAKSIMIRSKA 64, 10000 ZAGREB, OIB: 88951687357</v>
      </c>
      <c r="H5647" s="7"/>
      <c r="I5647" s="8" t="s">
        <v>509</v>
      </c>
      <c r="J5647" s="7"/>
      <c r="K5647" s="6" t="str">
        <f>"10.568,00"</f>
        <v>10.568,00</v>
      </c>
      <c r="L5647" s="6" t="str">
        <f t="shared" si="239"/>
        <v>0,00</v>
      </c>
      <c r="M5647" s="6" t="str">
        <f>"10.568,00"</f>
        <v>10.568,00</v>
      </c>
      <c r="N5647" s="8" t="s">
        <v>124</v>
      </c>
      <c r="O5647" s="7"/>
      <c r="P5647" s="2">
        <v>0</v>
      </c>
      <c r="Q5647" s="7"/>
      <c r="R5647" s="1"/>
      <c r="S5647" s="1" t="str">
        <f>"2022-7816"</f>
        <v>2022-7816</v>
      </c>
      <c r="T5647" s="1" t="s">
        <v>55</v>
      </c>
    </row>
    <row r="5648" spans="1:20" ht="63.75" x14ac:dyDescent="0.25">
      <c r="A5648" s="6">
        <v>5627</v>
      </c>
      <c r="B5648" s="1" t="str">
        <f>"2022-592"</f>
        <v>2022-592</v>
      </c>
      <c r="C5648" s="1" t="s">
        <v>2683</v>
      </c>
      <c r="D5648" s="1" t="s">
        <v>2684</v>
      </c>
      <c r="E5648" s="1" t="str">
        <f>""</f>
        <v/>
      </c>
      <c r="F5648" s="1" t="s">
        <v>1860</v>
      </c>
      <c r="G5648" s="1" t="str">
        <f>CONCATENATE("ELEKTRO-KOMUNIKACIJE D.O.O.,"," 14. PODBREŽJE 4,"," 10000 ZAGREB,"," OIB: 76412373309")</f>
        <v>ELEKTRO-KOMUNIKACIJE D.O.O., 14. PODBREŽJE 4, 10000 ZAGREB, OIB: 76412373309</v>
      </c>
      <c r="H5648" s="7"/>
      <c r="I5648" s="8" t="s">
        <v>509</v>
      </c>
      <c r="J5648" s="7"/>
      <c r="K5648" s="6" t="str">
        <f>"23.020,00"</f>
        <v>23.020,00</v>
      </c>
      <c r="L5648" s="6" t="str">
        <f t="shared" si="239"/>
        <v>0,00</v>
      </c>
      <c r="M5648" s="6" t="str">
        <f>"23.020,00"</f>
        <v>23.020,00</v>
      </c>
      <c r="N5648" s="8" t="s">
        <v>124</v>
      </c>
      <c r="O5648" s="7"/>
      <c r="P5648" s="2">
        <v>0</v>
      </c>
      <c r="Q5648" s="7"/>
      <c r="R5648" s="1"/>
      <c r="S5648" s="1" t="str">
        <f>"2022-7818"</f>
        <v>2022-7818</v>
      </c>
      <c r="T5648" s="1" t="s">
        <v>55</v>
      </c>
    </row>
    <row r="5649" spans="1:20" ht="76.5" x14ac:dyDescent="0.25">
      <c r="A5649" s="6">
        <v>5628</v>
      </c>
      <c r="B5649" s="1" t="str">
        <f>"2022-1395"</f>
        <v>2022-1395</v>
      </c>
      <c r="C5649" s="1" t="s">
        <v>3465</v>
      </c>
      <c r="D5649" s="1" t="s">
        <v>949</v>
      </c>
      <c r="E5649" s="1" t="str">
        <f>""</f>
        <v/>
      </c>
      <c r="F5649" s="1" t="s">
        <v>1860</v>
      </c>
      <c r="G5649" s="1" t="str">
        <f>CONCATENATE("ZAGREBAČKI HOLDING D.O.O.,"," PODRUŽNICA ČISTOĆA,"," RADNIČKA CESTA 82,"," 10000 ZAGREB,"," OIB: 85584865987")</f>
        <v>ZAGREBAČKI HOLDING D.O.O., PODRUŽNICA ČISTOĆA, RADNIČKA CESTA 82, 10000 ZAGREB, OIB: 85584865987</v>
      </c>
      <c r="H5649" s="7"/>
      <c r="I5649" s="8" t="s">
        <v>501</v>
      </c>
      <c r="J5649" s="7"/>
      <c r="K5649" s="6" t="str">
        <f>"1.428,24"</f>
        <v>1.428,24</v>
      </c>
      <c r="L5649" s="6" t="str">
        <f t="shared" si="239"/>
        <v>0,00</v>
      </c>
      <c r="M5649" s="6" t="str">
        <f>"1.428,24"</f>
        <v>1.428,24</v>
      </c>
      <c r="N5649" s="8" t="s">
        <v>124</v>
      </c>
      <c r="O5649" s="7"/>
      <c r="P5649" s="2">
        <v>0</v>
      </c>
      <c r="Q5649" s="7"/>
      <c r="R5649" s="1"/>
      <c r="S5649" s="1" t="str">
        <f>"2022-7821"</f>
        <v>2022-7821</v>
      </c>
      <c r="T5649" s="1" t="s">
        <v>55</v>
      </c>
    </row>
    <row r="5650" spans="1:20" ht="63.75" x14ac:dyDescent="0.25">
      <c r="A5650" s="6">
        <v>5629</v>
      </c>
      <c r="B5650" s="1" t="str">
        <f>"2022-716"</f>
        <v>2022-716</v>
      </c>
      <c r="C5650" s="1" t="s">
        <v>2563</v>
      </c>
      <c r="D5650" s="1" t="s">
        <v>815</v>
      </c>
      <c r="E5650" s="1" t="str">
        <f>""</f>
        <v/>
      </c>
      <c r="F5650" s="1" t="s">
        <v>1860</v>
      </c>
      <c r="G5650" s="1" t="str">
        <f>CONCATENATE("MB AUTO PRODAJNO SERVISNI CENTAR D.O.O.,"," KOLEDOVČINA 8,"," 10000 ZAGREB,"," OIB: 68993879966")</f>
        <v>MB AUTO PRODAJNO SERVISNI CENTAR D.O.O., KOLEDOVČINA 8, 10000 ZAGREB, OIB: 68993879966</v>
      </c>
      <c r="H5650" s="7"/>
      <c r="I5650" s="8" t="s">
        <v>501</v>
      </c>
      <c r="J5650" s="7"/>
      <c r="K5650" s="6" t="str">
        <f>"1.890,98"</f>
        <v>1.890,98</v>
      </c>
      <c r="L5650" s="6" t="str">
        <f>"472,75"</f>
        <v>472,75</v>
      </c>
      <c r="M5650" s="6" t="str">
        <f>"2.363,73"</f>
        <v>2.363,73</v>
      </c>
      <c r="N5650" s="8" t="s">
        <v>1123</v>
      </c>
      <c r="O5650" s="7"/>
      <c r="P5650" s="2">
        <v>2363.73</v>
      </c>
      <c r="Q5650" s="7"/>
      <c r="R5650" s="1"/>
      <c r="S5650" s="1" t="str">
        <f>"2022-7823"</f>
        <v>2022-7823</v>
      </c>
      <c r="T5650" s="1" t="s">
        <v>55</v>
      </c>
    </row>
    <row r="5651" spans="1:20" ht="51" x14ac:dyDescent="0.25">
      <c r="A5651" s="6">
        <v>5630</v>
      </c>
      <c r="B5651" s="1" t="str">
        <f>"2022-1734"</f>
        <v>2022-1734</v>
      </c>
      <c r="C5651" s="1" t="s">
        <v>3466</v>
      </c>
      <c r="D5651" s="1" t="s">
        <v>1267</v>
      </c>
      <c r="E5651" s="1" t="str">
        <f>""</f>
        <v/>
      </c>
      <c r="F5651" s="1" t="s">
        <v>1860</v>
      </c>
      <c r="G5651" s="1" t="str">
        <f>CONCATENATE("RU - VE D.O.O.,"," PROSINAČKA 14,"," 10431 SVETA NEDELJA,"," OIB: 8847092984")</f>
        <v>RU - VE D.O.O., PROSINAČKA 14, 10431 SVETA NEDELJA, OIB: 8847092984</v>
      </c>
      <c r="H5651" s="7"/>
      <c r="I5651" s="8" t="s">
        <v>501</v>
      </c>
      <c r="J5651" s="7"/>
      <c r="K5651" s="6" t="str">
        <f>"20.077,46"</f>
        <v>20.077,46</v>
      </c>
      <c r="L5651" s="6" t="str">
        <f>"0,00"</f>
        <v>0,00</v>
      </c>
      <c r="M5651" s="6" t="str">
        <f>"20.077,46"</f>
        <v>20.077,46</v>
      </c>
      <c r="N5651" s="8" t="s">
        <v>124</v>
      </c>
      <c r="O5651" s="7"/>
      <c r="P5651" s="2">
        <v>0</v>
      </c>
      <c r="Q5651" s="7"/>
      <c r="R5651" s="1"/>
      <c r="S5651" s="1" t="str">
        <f>"2022-7825"</f>
        <v>2022-7825</v>
      </c>
      <c r="T5651" s="1" t="s">
        <v>55</v>
      </c>
    </row>
    <row r="5652" spans="1:20" ht="63.75" x14ac:dyDescent="0.25">
      <c r="A5652" s="6">
        <v>5631</v>
      </c>
      <c r="B5652" s="1" t="str">
        <f>"2022-309"</f>
        <v>2022-309</v>
      </c>
      <c r="C5652" s="1" t="s">
        <v>3425</v>
      </c>
      <c r="D5652" s="1" t="s">
        <v>1783</v>
      </c>
      <c r="E5652" s="1" t="str">
        <f>""</f>
        <v/>
      </c>
      <c r="F5652" s="1" t="s">
        <v>1860</v>
      </c>
      <c r="G5652" s="1" t="str">
        <f>CONCATENATE("H2O SOLUTIONS D.O.O.,"," ULICA IVANA MEŠTROVIĆA 35,"," 10360 SESVETE,"," OIB: 6554542028")</f>
        <v>H2O SOLUTIONS D.O.O., ULICA IVANA MEŠTROVIĆA 35, 10360 SESVETE, OIB: 6554542028</v>
      </c>
      <c r="H5652" s="7"/>
      <c r="I5652" s="8" t="s">
        <v>501</v>
      </c>
      <c r="J5652" s="7"/>
      <c r="K5652" s="6" t="str">
        <f>"11.657,00"</f>
        <v>11.657,00</v>
      </c>
      <c r="L5652" s="6" t="str">
        <f>"0,00"</f>
        <v>0,00</v>
      </c>
      <c r="M5652" s="6" t="str">
        <f>"11.657,00"</f>
        <v>11.657,00</v>
      </c>
      <c r="N5652" s="8" t="s">
        <v>124</v>
      </c>
      <c r="O5652" s="7"/>
      <c r="P5652" s="2">
        <v>0</v>
      </c>
      <c r="Q5652" s="7"/>
      <c r="R5652" s="1"/>
      <c r="S5652" s="1" t="str">
        <f>"2022-7826"</f>
        <v>2022-7826</v>
      </c>
      <c r="T5652" s="1" t="s">
        <v>55</v>
      </c>
    </row>
    <row r="5653" spans="1:20" ht="51" x14ac:dyDescent="0.25">
      <c r="A5653" s="6">
        <v>5632</v>
      </c>
      <c r="B5653" s="1" t="str">
        <f>"2022-226"</f>
        <v>2022-226</v>
      </c>
      <c r="C5653" s="1" t="s">
        <v>2464</v>
      </c>
      <c r="D5653" s="1" t="s">
        <v>3311</v>
      </c>
      <c r="E5653" s="1" t="str">
        <f>""</f>
        <v/>
      </c>
      <c r="F5653" s="1" t="s">
        <v>1860</v>
      </c>
      <c r="G5653" s="1" t="str">
        <f>CONCATENATE("SHIMADZU D.O.O.,"," ZAVRTNICA 17,"," 10000 ZAGREB,"," OIB: 16214531266")</f>
        <v>SHIMADZU D.O.O., ZAVRTNICA 17, 10000 ZAGREB, OIB: 16214531266</v>
      </c>
      <c r="H5653" s="7"/>
      <c r="I5653" s="8" t="s">
        <v>501</v>
      </c>
      <c r="J5653" s="7"/>
      <c r="K5653" s="6" t="str">
        <f>"5.221,00"</f>
        <v>5.221,00</v>
      </c>
      <c r="L5653" s="6" t="str">
        <f>"0,00"</f>
        <v>0,00</v>
      </c>
      <c r="M5653" s="6" t="str">
        <f>"5.221,00"</f>
        <v>5.221,00</v>
      </c>
      <c r="N5653" s="8" t="s">
        <v>124</v>
      </c>
      <c r="O5653" s="7"/>
      <c r="P5653" s="2">
        <v>0</v>
      </c>
      <c r="Q5653" s="7"/>
      <c r="R5653" s="1"/>
      <c r="S5653" s="1" t="str">
        <f>"2022-7827"</f>
        <v>2022-7827</v>
      </c>
      <c r="T5653" s="1" t="s">
        <v>55</v>
      </c>
    </row>
    <row r="5654" spans="1:20" ht="63.75" x14ac:dyDescent="0.25">
      <c r="A5654" s="6">
        <v>5633</v>
      </c>
      <c r="B5654" s="1" t="str">
        <f>"2022-584"</f>
        <v>2022-584</v>
      </c>
      <c r="C5654" s="1" t="s">
        <v>3441</v>
      </c>
      <c r="D5654" s="1" t="s">
        <v>3442</v>
      </c>
      <c r="E5654" s="1" t="str">
        <f>""</f>
        <v/>
      </c>
      <c r="F5654" s="1" t="s">
        <v>1860</v>
      </c>
      <c r="G5654" s="1" t="str">
        <f>CONCATENATE("CONTROLTECH D.O.O.,"," ULICA PETRA HEKTOROVIĆA 2,"," 10000 ZAGREB,"," OIB: 896035866")</f>
        <v>CONTROLTECH D.O.O., ULICA PETRA HEKTOROVIĆA 2, 10000 ZAGREB, OIB: 896035866</v>
      </c>
      <c r="H5654" s="7"/>
      <c r="I5654" s="8" t="s">
        <v>501</v>
      </c>
      <c r="J5654" s="7"/>
      <c r="K5654" s="6" t="str">
        <f>"11.625,08"</f>
        <v>11.625,08</v>
      </c>
      <c r="L5654" s="6" t="str">
        <f>"0,00"</f>
        <v>0,00</v>
      </c>
      <c r="M5654" s="6" t="str">
        <f>"11.625,08"</f>
        <v>11.625,08</v>
      </c>
      <c r="N5654" s="8" t="s">
        <v>124</v>
      </c>
      <c r="O5654" s="7"/>
      <c r="P5654" s="2">
        <v>14531.35</v>
      </c>
      <c r="Q5654" s="7"/>
      <c r="R5654" s="1"/>
      <c r="S5654" s="1" t="str">
        <f>"2022-7835"</f>
        <v>2022-7835</v>
      </c>
      <c r="T5654" s="1" t="s">
        <v>55</v>
      </c>
    </row>
    <row r="5655" spans="1:20" ht="51" x14ac:dyDescent="0.25">
      <c r="A5655" s="6">
        <v>5634</v>
      </c>
      <c r="B5655" s="1" t="str">
        <f>"2022-825"</f>
        <v>2022-825</v>
      </c>
      <c r="C5655" s="1" t="s">
        <v>2492</v>
      </c>
      <c r="D5655" s="1" t="s">
        <v>2493</v>
      </c>
      <c r="E5655" s="1" t="str">
        <f>""</f>
        <v/>
      </c>
      <c r="F5655" s="1" t="s">
        <v>1860</v>
      </c>
      <c r="G5655" s="1" t="str">
        <f>CONCATENATE("T.P.Z.  D.O.O.,"," NOVOSELSKA 25,"," 10040 ZAGREB,"," OIB: 68119083236")</f>
        <v>T.P.Z.  D.O.O., NOVOSELSKA 25, 10040 ZAGREB, OIB: 68119083236</v>
      </c>
      <c r="H5655" s="7"/>
      <c r="I5655" s="8" t="s">
        <v>501</v>
      </c>
      <c r="J5655" s="7"/>
      <c r="K5655" s="6" t="str">
        <f>"11.240,50"</f>
        <v>11.240,50</v>
      </c>
      <c r="L5655" s="6" t="str">
        <f>"2.810,13"</f>
        <v>2.810,13</v>
      </c>
      <c r="M5655" s="6" t="str">
        <f>"14.050,63"</f>
        <v>14.050,63</v>
      </c>
      <c r="N5655" s="8" t="s">
        <v>1123</v>
      </c>
      <c r="O5655" s="7"/>
      <c r="P5655" s="2">
        <v>14050.63</v>
      </c>
      <c r="Q5655" s="7"/>
      <c r="R5655" s="1"/>
      <c r="S5655" s="1" t="str">
        <f>"2022-7836"</f>
        <v>2022-7836</v>
      </c>
      <c r="T5655" s="1" t="s">
        <v>55</v>
      </c>
    </row>
    <row r="5656" spans="1:20" ht="63.75" x14ac:dyDescent="0.25">
      <c r="A5656" s="6">
        <v>5635</v>
      </c>
      <c r="B5656" s="1" t="str">
        <f>"2022-1024"</f>
        <v>2022-1024</v>
      </c>
      <c r="C5656" s="1" t="s">
        <v>2487</v>
      </c>
      <c r="D5656" s="1" t="s">
        <v>1558</v>
      </c>
      <c r="E5656" s="1" t="str">
        <f>""</f>
        <v/>
      </c>
      <c r="F5656" s="1" t="s">
        <v>1860</v>
      </c>
      <c r="G5656" s="1" t="str">
        <f>CONCATENATE("PRIVREDNA BANKA ZAGREB D.D.,"," RADNIČKA CESTA 50,"," 10000 ZAGREB,"," OIB: 02535697732")</f>
        <v>PRIVREDNA BANKA ZAGREB D.D., RADNIČKA CESTA 50, 10000 ZAGREB, OIB: 02535697732</v>
      </c>
      <c r="H5656" s="7"/>
      <c r="I5656" s="8" t="s">
        <v>489</v>
      </c>
      <c r="J5656" s="7"/>
      <c r="K5656" s="6" t="str">
        <f>"119.710,40"</f>
        <v>119.710,40</v>
      </c>
      <c r="L5656" s="6" t="str">
        <f>"0,00"</f>
        <v>0,00</v>
      </c>
      <c r="M5656" s="6" t="str">
        <f>"119.710,40"</f>
        <v>119.710,40</v>
      </c>
      <c r="N5656" s="8" t="s">
        <v>124</v>
      </c>
      <c r="O5656" s="7"/>
      <c r="P5656" s="2">
        <v>0</v>
      </c>
      <c r="Q5656" s="7"/>
      <c r="R5656" s="1"/>
      <c r="S5656" s="1" t="str">
        <f>"2022-7837"</f>
        <v>2022-7837</v>
      </c>
      <c r="T5656" s="1" t="s">
        <v>43</v>
      </c>
    </row>
    <row r="5657" spans="1:20" ht="51" x14ac:dyDescent="0.25">
      <c r="A5657" s="6">
        <v>5636</v>
      </c>
      <c r="B5657" s="1" t="str">
        <f>"2022-491"</f>
        <v>2022-491</v>
      </c>
      <c r="C5657" s="1" t="s">
        <v>2626</v>
      </c>
      <c r="D5657" s="1" t="s">
        <v>3413</v>
      </c>
      <c r="E5657" s="1" t="str">
        <f>""</f>
        <v/>
      </c>
      <c r="F5657" s="1" t="s">
        <v>1860</v>
      </c>
      <c r="G5657" s="1" t="str">
        <f>CONCATENATE("E-ELMES D.O.O.,"," MATIJE MESIĆA 29A,"," 10370 DUGO SELO,"," OIB: 89958947498")</f>
        <v>E-ELMES D.O.O., MATIJE MESIĆA 29A, 10370 DUGO SELO, OIB: 89958947498</v>
      </c>
      <c r="H5657" s="7"/>
      <c r="I5657" s="8" t="s">
        <v>501</v>
      </c>
      <c r="J5657" s="7"/>
      <c r="K5657" s="6" t="str">
        <f>"6.748,46"</f>
        <v>6.748,46</v>
      </c>
      <c r="L5657" s="6" t="str">
        <f>"0,00"</f>
        <v>0,00</v>
      </c>
      <c r="M5657" s="6" t="str">
        <f>"6.748,46"</f>
        <v>6.748,46</v>
      </c>
      <c r="N5657" s="8" t="s">
        <v>124</v>
      </c>
      <c r="O5657" s="7"/>
      <c r="P5657" s="2">
        <v>0</v>
      </c>
      <c r="Q5657" s="7"/>
      <c r="R5657" s="1"/>
      <c r="S5657" s="1" t="str">
        <f>"2022-7842"</f>
        <v>2022-7842</v>
      </c>
      <c r="T5657" s="1" t="s">
        <v>55</v>
      </c>
    </row>
    <row r="5658" spans="1:20" ht="51" x14ac:dyDescent="0.25">
      <c r="A5658" s="6">
        <v>5637</v>
      </c>
      <c r="B5658" s="1" t="str">
        <f>"2022-459"</f>
        <v>2022-459</v>
      </c>
      <c r="C5658" s="1" t="s">
        <v>2795</v>
      </c>
      <c r="D5658" s="1" t="s">
        <v>1621</v>
      </c>
      <c r="E5658" s="1" t="str">
        <f>""</f>
        <v/>
      </c>
      <c r="F5658" s="1" t="s">
        <v>1860</v>
      </c>
      <c r="G5658" s="1" t="str">
        <f>CONCATENATE("COMLAND D.O.O.,"," BREZOVIČKA CESTA 21,"," 10020 ZAGREB,"," OIB: 96293861644")</f>
        <v>COMLAND D.O.O., BREZOVIČKA CESTA 21, 10020 ZAGREB, OIB: 96293861644</v>
      </c>
      <c r="H5658" s="7"/>
      <c r="I5658" s="8" t="s">
        <v>501</v>
      </c>
      <c r="J5658" s="7"/>
      <c r="K5658" s="6" t="str">
        <f>"28.297,00"</f>
        <v>28.297,00</v>
      </c>
      <c r="L5658" s="6" t="str">
        <f>"7.074,25"</f>
        <v>7.074,25</v>
      </c>
      <c r="M5658" s="6" t="str">
        <f>"35.371,25"</f>
        <v>35.371,25</v>
      </c>
      <c r="N5658" s="8" t="s">
        <v>1123</v>
      </c>
      <c r="O5658" s="7"/>
      <c r="P5658" s="2">
        <v>35371.25</v>
      </c>
      <c r="Q5658" s="7"/>
      <c r="R5658" s="1"/>
      <c r="S5658" s="1" t="str">
        <f>"2022-7844"</f>
        <v>2022-7844</v>
      </c>
      <c r="T5658" s="1" t="s">
        <v>55</v>
      </c>
    </row>
    <row r="5659" spans="1:20" ht="51" x14ac:dyDescent="0.25">
      <c r="A5659" s="6">
        <v>5638</v>
      </c>
      <c r="B5659" s="1" t="str">
        <f>"2022-1003"</f>
        <v>2022-1003</v>
      </c>
      <c r="C5659" s="1" t="s">
        <v>3363</v>
      </c>
      <c r="D5659" s="1" t="s">
        <v>267</v>
      </c>
      <c r="E5659" s="1" t="str">
        <f>""</f>
        <v/>
      </c>
      <c r="F5659" s="1" t="s">
        <v>1860</v>
      </c>
      <c r="G5659" s="1" t="str">
        <f>CONCATENATE("METUS D.O.O.,"," POLOŽNICA 5,"," 10431 SVETA NEDELJA,"," OIB: 24690129373")</f>
        <v>METUS D.O.O., POLOŽNICA 5, 10431 SVETA NEDELJA, OIB: 24690129373</v>
      </c>
      <c r="H5659" s="7"/>
      <c r="I5659" s="8" t="s">
        <v>501</v>
      </c>
      <c r="J5659" s="7"/>
      <c r="K5659" s="6" t="str">
        <f>"7.724,88"</f>
        <v>7.724,88</v>
      </c>
      <c r="L5659" s="6" t="str">
        <f>"0,00"</f>
        <v>0,00</v>
      </c>
      <c r="M5659" s="6" t="str">
        <f>"7.724,88"</f>
        <v>7.724,88</v>
      </c>
      <c r="N5659" s="8" t="s">
        <v>124</v>
      </c>
      <c r="O5659" s="7"/>
      <c r="P5659" s="2">
        <v>0</v>
      </c>
      <c r="Q5659" s="7"/>
      <c r="R5659" s="1"/>
      <c r="S5659" s="1" t="str">
        <f>"2022-7845"</f>
        <v>2022-7845</v>
      </c>
      <c r="T5659" s="1" t="s">
        <v>55</v>
      </c>
    </row>
    <row r="5660" spans="1:20" ht="76.5" x14ac:dyDescent="0.25">
      <c r="A5660" s="6">
        <v>5639</v>
      </c>
      <c r="B5660" s="1" t="str">
        <f>"2022-459"</f>
        <v>2022-459</v>
      </c>
      <c r="C5660" s="1" t="s">
        <v>2795</v>
      </c>
      <c r="D5660" s="1" t="s">
        <v>1621</v>
      </c>
      <c r="E5660" s="1" t="str">
        <f>""</f>
        <v/>
      </c>
      <c r="F5660" s="1" t="s">
        <v>1860</v>
      </c>
      <c r="G5660" s="1" t="str">
        <f>CONCATENATE("TEKNOXGROUP HRVATSKA D.O.O.,"," ZASTAVNICE 25D,"," 10251 HRVATSKI LESKOVAC,"," OIB: 31826907316")</f>
        <v>TEKNOXGROUP HRVATSKA D.O.O., ZASTAVNICE 25D, 10251 HRVATSKI LESKOVAC, OIB: 31826907316</v>
      </c>
      <c r="H5660" s="7"/>
      <c r="I5660" s="8" t="s">
        <v>1009</v>
      </c>
      <c r="J5660" s="7"/>
      <c r="K5660" s="6" t="str">
        <f>"13.780,23"</f>
        <v>13.780,23</v>
      </c>
      <c r="L5660" s="6" t="str">
        <f>"0,00"</f>
        <v>0,00</v>
      </c>
      <c r="M5660" s="6" t="str">
        <f>"13.780,23"</f>
        <v>13.780,23</v>
      </c>
      <c r="N5660" s="8" t="s">
        <v>124</v>
      </c>
      <c r="O5660" s="7"/>
      <c r="P5660" s="2">
        <v>0</v>
      </c>
      <c r="Q5660" s="7"/>
      <c r="R5660" s="1"/>
      <c r="S5660" s="1" t="str">
        <f>"2022-7870"</f>
        <v>2022-7870</v>
      </c>
      <c r="T5660" s="1" t="s">
        <v>55</v>
      </c>
    </row>
    <row r="5661" spans="1:20" ht="51" x14ac:dyDescent="0.25">
      <c r="A5661" s="6">
        <v>5640</v>
      </c>
      <c r="B5661" s="1" t="str">
        <f>"2022-262"</f>
        <v>2022-262</v>
      </c>
      <c r="C5661" s="1" t="s">
        <v>2620</v>
      </c>
      <c r="D5661" s="1" t="s">
        <v>668</v>
      </c>
      <c r="E5661" s="1" t="str">
        <f>""</f>
        <v/>
      </c>
      <c r="F5661" s="1" t="s">
        <v>1860</v>
      </c>
      <c r="G5661" s="1" t="str">
        <f>CONCATENATE("VODOSKOK D.D.,"," ČULINEČKA CESTA 221/C,"," 10040 ZAGREB,"," OIB: 34134218058")</f>
        <v>VODOSKOK D.D., ČULINEČKA CESTA 221/C, 10040 ZAGREB, OIB: 34134218058</v>
      </c>
      <c r="H5661" s="7"/>
      <c r="I5661" s="8" t="s">
        <v>207</v>
      </c>
      <c r="J5661" s="7"/>
      <c r="K5661" s="6" t="str">
        <f>"14.942,82"</f>
        <v>14.942,82</v>
      </c>
      <c r="L5661" s="6" t="str">
        <f>"0,00"</f>
        <v>0,00</v>
      </c>
      <c r="M5661" s="6" t="str">
        <f>"14.942,82"</f>
        <v>14.942,82</v>
      </c>
      <c r="N5661" s="8" t="s">
        <v>124</v>
      </c>
      <c r="O5661" s="7"/>
      <c r="P5661" s="2">
        <v>0</v>
      </c>
      <c r="Q5661" s="7"/>
      <c r="R5661" s="1"/>
      <c r="S5661" s="1" t="str">
        <f>"2022-7915"</f>
        <v>2022-7915</v>
      </c>
      <c r="T5661" s="1" t="s">
        <v>55</v>
      </c>
    </row>
    <row r="5662" spans="1:20" ht="51" x14ac:dyDescent="0.25">
      <c r="A5662" s="6">
        <v>5641</v>
      </c>
      <c r="B5662" s="1" t="str">
        <f>"2022-592"</f>
        <v>2022-592</v>
      </c>
      <c r="C5662" s="1" t="s">
        <v>2683</v>
      </c>
      <c r="D5662" s="1" t="s">
        <v>2684</v>
      </c>
      <c r="E5662" s="1" t="str">
        <f>""</f>
        <v/>
      </c>
      <c r="F5662" s="1" t="s">
        <v>1860</v>
      </c>
      <c r="G5662" s="1" t="str">
        <f>CONCATENATE("ELEKTRO PAVIKO D.O.O.,"," BAŠTIJANOVA 1A,"," 10000 ZAGREB,"," OIB: 49100698114")</f>
        <v>ELEKTRO PAVIKO D.O.O., BAŠTIJANOVA 1A, 10000 ZAGREB, OIB: 49100698114</v>
      </c>
      <c r="H5662" s="7"/>
      <c r="I5662" s="8" t="s">
        <v>207</v>
      </c>
      <c r="J5662" s="7"/>
      <c r="K5662" s="6" t="str">
        <f>"3.485,00"</f>
        <v>3.485,00</v>
      </c>
      <c r="L5662" s="6" t="str">
        <f>"871,25"</f>
        <v>871,25</v>
      </c>
      <c r="M5662" s="6" t="str">
        <f>"4.356,25"</f>
        <v>4.356,25</v>
      </c>
      <c r="N5662" s="8" t="s">
        <v>384</v>
      </c>
      <c r="O5662" s="7"/>
      <c r="P5662" s="2">
        <v>4356.25</v>
      </c>
      <c r="Q5662" s="7"/>
      <c r="R5662" s="1"/>
      <c r="S5662" s="1" t="str">
        <f>"2022-7925"</f>
        <v>2022-7925</v>
      </c>
      <c r="T5662" s="1" t="s">
        <v>55</v>
      </c>
    </row>
    <row r="5663" spans="1:20" ht="51" x14ac:dyDescent="0.25">
      <c r="A5663" s="6">
        <v>5642</v>
      </c>
      <c r="B5663" s="1" t="str">
        <f>"2022-535"</f>
        <v>2022-535</v>
      </c>
      <c r="C5663" s="1" t="s">
        <v>2561</v>
      </c>
      <c r="D5663" s="1" t="s">
        <v>2156</v>
      </c>
      <c r="E5663" s="1" t="str">
        <f>""</f>
        <v/>
      </c>
      <c r="F5663" s="1" t="s">
        <v>1860</v>
      </c>
      <c r="G5663" s="1" t="str">
        <f>CONCATENATE("KOPI-AS D.O.O.,"," CERNIČKA 4,"," 10000 ZAGREB,"," OIB: 96605206988")</f>
        <v>KOPI-AS D.O.O., CERNIČKA 4, 10000 ZAGREB, OIB: 96605206988</v>
      </c>
      <c r="H5663" s="7"/>
      <c r="I5663" s="8" t="s">
        <v>207</v>
      </c>
      <c r="J5663" s="7"/>
      <c r="K5663" s="6" t="str">
        <f>"7.035,00"</f>
        <v>7.035,00</v>
      </c>
      <c r="L5663" s="6" t="str">
        <f>"1.758,75"</f>
        <v>1.758,75</v>
      </c>
      <c r="M5663" s="6" t="str">
        <f>"8.793,75"</f>
        <v>8.793,75</v>
      </c>
      <c r="N5663" s="8" t="s">
        <v>489</v>
      </c>
      <c r="O5663" s="7"/>
      <c r="P5663" s="2">
        <v>8793.75</v>
      </c>
      <c r="Q5663" s="7"/>
      <c r="R5663" s="1"/>
      <c r="S5663" s="1" t="str">
        <f>"2022-7926"</f>
        <v>2022-7926</v>
      </c>
      <c r="T5663" s="1" t="s">
        <v>55</v>
      </c>
    </row>
    <row r="5664" spans="1:20" ht="76.5" x14ac:dyDescent="0.25">
      <c r="A5664" s="6">
        <v>5643</v>
      </c>
      <c r="B5664" s="1" t="str">
        <f>"2022-852"</f>
        <v>2022-852</v>
      </c>
      <c r="C5664" s="1" t="s">
        <v>2469</v>
      </c>
      <c r="D5664" s="1" t="s">
        <v>2287</v>
      </c>
      <c r="E5664" s="1" t="str">
        <f>""</f>
        <v/>
      </c>
      <c r="F5664" s="1" t="s">
        <v>1860</v>
      </c>
      <c r="G5664" s="1" t="str">
        <f>CONCATENATE("SALON BANKARSKE OPREME - OZIMEC D.O.O.,"," REMETINEČKA CESTA 28,"," 10000 ZAGREB,"," OIB: 743642364")</f>
        <v>SALON BANKARSKE OPREME - OZIMEC D.O.O., REMETINEČKA CESTA 28, 10000 ZAGREB, OIB: 743642364</v>
      </c>
      <c r="H5664" s="7"/>
      <c r="I5664" s="8" t="s">
        <v>458</v>
      </c>
      <c r="J5664" s="7"/>
      <c r="K5664" s="6" t="str">
        <f>"500,00"</f>
        <v>500,00</v>
      </c>
      <c r="L5664" s="6" t="str">
        <f t="shared" ref="L5664:L5708" si="240">"0,00"</f>
        <v>0,00</v>
      </c>
      <c r="M5664" s="6" t="str">
        <f>"500,00"</f>
        <v>500,00</v>
      </c>
      <c r="N5664" s="8" t="s">
        <v>124</v>
      </c>
      <c r="O5664" s="7"/>
      <c r="P5664" s="2">
        <v>0</v>
      </c>
      <c r="Q5664" s="7"/>
      <c r="R5664" s="1"/>
      <c r="S5664" s="1" t="str">
        <f>"2022-7941"</f>
        <v>2022-7941</v>
      </c>
      <c r="T5664" s="1" t="s">
        <v>86</v>
      </c>
    </row>
    <row r="5665" spans="1:20" ht="89.25" x14ac:dyDescent="0.25">
      <c r="A5665" s="6">
        <v>5644</v>
      </c>
      <c r="B5665" s="1" t="str">
        <f>"2022-1988"</f>
        <v>2022-1988</v>
      </c>
      <c r="C5665" s="1" t="s">
        <v>3467</v>
      </c>
      <c r="D5665" s="1" t="s">
        <v>3468</v>
      </c>
      <c r="E5665" s="1" t="str">
        <f>""</f>
        <v/>
      </c>
      <c r="F5665" s="1" t="s">
        <v>1860</v>
      </c>
      <c r="G5665" s="1" t="str">
        <f>CONCATENATE("SVEUČILIŠTE U ZAGREBU - FAKULTET STROJARSTVA I BRODOGRADNJE,"," IVANA LUČIĆA 5,"," 10000 ZAGREB,"," OIB: 22910368449")</f>
        <v>SVEUČILIŠTE U ZAGREBU - FAKULTET STROJARSTVA I BRODOGRADNJE, IVANA LUČIĆA 5, 10000 ZAGREB, OIB: 22910368449</v>
      </c>
      <c r="H5665" s="7"/>
      <c r="I5665" s="8" t="s">
        <v>458</v>
      </c>
      <c r="J5665" s="7"/>
      <c r="K5665" s="6" t="str">
        <f>"22.700,00"</f>
        <v>22.700,00</v>
      </c>
      <c r="L5665" s="6" t="str">
        <f t="shared" si="240"/>
        <v>0,00</v>
      </c>
      <c r="M5665" s="6" t="str">
        <f>"22.700,00"</f>
        <v>22.700,00</v>
      </c>
      <c r="N5665" s="8" t="s">
        <v>124</v>
      </c>
      <c r="O5665" s="7"/>
      <c r="P5665" s="2">
        <v>0</v>
      </c>
      <c r="Q5665" s="7"/>
      <c r="R5665" s="1"/>
      <c r="S5665" s="1" t="str">
        <f>"2022-7947"</f>
        <v>2022-7947</v>
      </c>
      <c r="T5665" s="1" t="s">
        <v>55</v>
      </c>
    </row>
    <row r="5666" spans="1:20" ht="63.75" x14ac:dyDescent="0.25">
      <c r="A5666" s="6">
        <v>5645</v>
      </c>
      <c r="B5666" s="1" t="str">
        <f>"2022-873"</f>
        <v>2022-873</v>
      </c>
      <c r="C5666" s="1" t="s">
        <v>2819</v>
      </c>
      <c r="D5666" s="1" t="s">
        <v>3341</v>
      </c>
      <c r="E5666" s="1" t="str">
        <f>""</f>
        <v/>
      </c>
      <c r="F5666" s="1" t="s">
        <v>1860</v>
      </c>
      <c r="G5666" s="1" t="str">
        <f>CONCATENATE("GUTEL,"," VL. DAMIR GUŽVINEC,"," ANTE TOPIĆ MIMARE 7,"," 10090 ZAGREB-SUSEDGRAD,"," OIB: 63743810909")</f>
        <v>GUTEL, VL. DAMIR GUŽVINEC, ANTE TOPIĆ MIMARE 7, 10090 ZAGREB-SUSEDGRAD, OIB: 63743810909</v>
      </c>
      <c r="H5666" s="7"/>
      <c r="I5666" s="8" t="s">
        <v>892</v>
      </c>
      <c r="J5666" s="7"/>
      <c r="K5666" s="6" t="str">
        <f>"1.725,10"</f>
        <v>1.725,10</v>
      </c>
      <c r="L5666" s="6" t="str">
        <f t="shared" si="240"/>
        <v>0,00</v>
      </c>
      <c r="M5666" s="6" t="str">
        <f>"1.725,10"</f>
        <v>1.725,10</v>
      </c>
      <c r="N5666" s="8" t="s">
        <v>124</v>
      </c>
      <c r="O5666" s="7"/>
      <c r="P5666" s="2">
        <v>0</v>
      </c>
      <c r="Q5666" s="7"/>
      <c r="R5666" s="1"/>
      <c r="S5666" s="1" t="str">
        <f>"2022-7983"</f>
        <v>2022-7983</v>
      </c>
      <c r="T5666" s="1" t="s">
        <v>86</v>
      </c>
    </row>
    <row r="5667" spans="1:20" ht="63.75" x14ac:dyDescent="0.25">
      <c r="A5667" s="6">
        <v>5646</v>
      </c>
      <c r="B5667" s="1" t="str">
        <f>"2022-873"</f>
        <v>2022-873</v>
      </c>
      <c r="C5667" s="1" t="s">
        <v>2819</v>
      </c>
      <c r="D5667" s="1" t="s">
        <v>3341</v>
      </c>
      <c r="E5667" s="1" t="str">
        <f>""</f>
        <v/>
      </c>
      <c r="F5667" s="1" t="s">
        <v>1860</v>
      </c>
      <c r="G5667" s="1" t="str">
        <f>CONCATENATE("GUTEL,"," VL. DAMIR GUŽVINEC,"," ANTE TOPIĆ MIMARE 7,"," 10090 ZAGREB-SUSEDGRAD,"," OIB: 63743810909")</f>
        <v>GUTEL, VL. DAMIR GUŽVINEC, ANTE TOPIĆ MIMARE 7, 10090 ZAGREB-SUSEDGRAD, OIB: 63743810909</v>
      </c>
      <c r="H5667" s="7"/>
      <c r="I5667" s="8" t="s">
        <v>892</v>
      </c>
      <c r="J5667" s="7"/>
      <c r="K5667" s="6" t="str">
        <f>"2.621,00"</f>
        <v>2.621,00</v>
      </c>
      <c r="L5667" s="6" t="str">
        <f t="shared" si="240"/>
        <v>0,00</v>
      </c>
      <c r="M5667" s="6" t="str">
        <f>"2.621,00"</f>
        <v>2.621,00</v>
      </c>
      <c r="N5667" s="8" t="s">
        <v>124</v>
      </c>
      <c r="O5667" s="7"/>
      <c r="P5667" s="2">
        <v>0</v>
      </c>
      <c r="Q5667" s="7"/>
      <c r="R5667" s="1"/>
      <c r="S5667" s="1" t="str">
        <f>"2022-7990"</f>
        <v>2022-7990</v>
      </c>
      <c r="T5667" s="1" t="s">
        <v>86</v>
      </c>
    </row>
    <row r="5668" spans="1:20" ht="51" x14ac:dyDescent="0.25">
      <c r="A5668" s="6">
        <v>5647</v>
      </c>
      <c r="B5668" s="1" t="str">
        <f>"2022-767"</f>
        <v>2022-767</v>
      </c>
      <c r="C5668" s="1" t="s">
        <v>3057</v>
      </c>
      <c r="D5668" s="1" t="s">
        <v>1111</v>
      </c>
      <c r="E5668" s="1" t="str">
        <f>""</f>
        <v/>
      </c>
      <c r="F5668" s="1" t="s">
        <v>1860</v>
      </c>
      <c r="G5668" s="1" t="str">
        <f>CONCATENATE("HT D.D.,"," RADNIČKA CESTA 21,"," 10000 ZAGREB,"," OIB: 8179314656")</f>
        <v>HT D.D., RADNIČKA CESTA 21, 10000 ZAGREB, OIB: 8179314656</v>
      </c>
      <c r="H5668" s="7"/>
      <c r="I5668" s="8" t="s">
        <v>892</v>
      </c>
      <c r="J5668" s="7"/>
      <c r="K5668" s="6" t="str">
        <f>"2.187,54"</f>
        <v>2.187,54</v>
      </c>
      <c r="L5668" s="6" t="str">
        <f t="shared" si="240"/>
        <v>0,00</v>
      </c>
      <c r="M5668" s="6" t="str">
        <f>"2.187,54"</f>
        <v>2.187,54</v>
      </c>
      <c r="N5668" s="8" t="s">
        <v>124</v>
      </c>
      <c r="O5668" s="7"/>
      <c r="P5668" s="2">
        <v>0</v>
      </c>
      <c r="Q5668" s="7"/>
      <c r="R5668" s="1"/>
      <c r="S5668" s="1" t="str">
        <f>"2022-7994"</f>
        <v>2022-7994</v>
      </c>
      <c r="T5668" s="1" t="s">
        <v>55</v>
      </c>
    </row>
    <row r="5669" spans="1:20" ht="63.75" x14ac:dyDescent="0.25">
      <c r="A5669" s="6">
        <v>5648</v>
      </c>
      <c r="B5669" s="1" t="str">
        <f>"2022-1716"</f>
        <v>2022-1716</v>
      </c>
      <c r="C5669" s="1" t="s">
        <v>3369</v>
      </c>
      <c r="D5669" s="1" t="s">
        <v>745</v>
      </c>
      <c r="E5669" s="1" t="str">
        <f>""</f>
        <v/>
      </c>
      <c r="F5669" s="1" t="s">
        <v>1860</v>
      </c>
      <c r="G5669" s="1" t="str">
        <f>CONCATENATE("KEMOBOJA-DUBRAVA D.O.O.,"," AVENIJA DUBRAVA 37,"," 10000 ZAGREB,"," OIB: 6402157427")</f>
        <v>KEMOBOJA-DUBRAVA D.O.O., AVENIJA DUBRAVA 37, 10000 ZAGREB, OIB: 6402157427</v>
      </c>
      <c r="H5669" s="7"/>
      <c r="I5669" s="8" t="s">
        <v>1612</v>
      </c>
      <c r="J5669" s="7"/>
      <c r="K5669" s="6" t="str">
        <f>"932,50"</f>
        <v>932,50</v>
      </c>
      <c r="L5669" s="6" t="str">
        <f t="shared" si="240"/>
        <v>0,00</v>
      </c>
      <c r="M5669" s="6" t="str">
        <f>"932,50"</f>
        <v>932,50</v>
      </c>
      <c r="N5669" s="8" t="s">
        <v>124</v>
      </c>
      <c r="O5669" s="7"/>
      <c r="P5669" s="2">
        <v>0</v>
      </c>
      <c r="Q5669" s="7"/>
      <c r="R5669" s="1"/>
      <c r="S5669" s="1" t="str">
        <f>"2022-8003"</f>
        <v>2022-8003</v>
      </c>
      <c r="T5669" s="1" t="s">
        <v>55</v>
      </c>
    </row>
    <row r="5670" spans="1:20" ht="51" x14ac:dyDescent="0.25">
      <c r="A5670" s="6">
        <v>5649</v>
      </c>
      <c r="B5670" s="1" t="str">
        <f>"2022-715"</f>
        <v>2022-715</v>
      </c>
      <c r="C5670" s="1" t="s">
        <v>2733</v>
      </c>
      <c r="D5670" s="1" t="s">
        <v>815</v>
      </c>
      <c r="E5670" s="1" t="str">
        <f>""</f>
        <v/>
      </c>
      <c r="F5670" s="1" t="s">
        <v>1860</v>
      </c>
      <c r="G5670" s="1" t="str">
        <f>CONCATENATE("T.P.Z.  D.O.O.,"," NOVOSELSKA 25,"," 10040 ZAGREB,"," OIB: 68119083236")</f>
        <v>T.P.Z.  D.O.O., NOVOSELSKA 25, 10040 ZAGREB, OIB: 68119083236</v>
      </c>
      <c r="H5670" s="7"/>
      <c r="I5670" s="8" t="s">
        <v>1612</v>
      </c>
      <c r="J5670" s="7"/>
      <c r="K5670" s="6" t="str">
        <f>"18.903,63"</f>
        <v>18.903,63</v>
      </c>
      <c r="L5670" s="6" t="str">
        <f t="shared" si="240"/>
        <v>0,00</v>
      </c>
      <c r="M5670" s="6" t="str">
        <f>"18.903,63"</f>
        <v>18.903,63</v>
      </c>
      <c r="N5670" s="8" t="s">
        <v>124</v>
      </c>
      <c r="O5670" s="7"/>
      <c r="P5670" s="2">
        <v>0</v>
      </c>
      <c r="Q5670" s="7"/>
      <c r="R5670" s="1"/>
      <c r="S5670" s="1" t="str">
        <f>"2022-8004"</f>
        <v>2022-8004</v>
      </c>
      <c r="T5670" s="1" t="s">
        <v>55</v>
      </c>
    </row>
    <row r="5671" spans="1:20" ht="51" x14ac:dyDescent="0.25">
      <c r="A5671" s="6">
        <v>5650</v>
      </c>
      <c r="B5671" s="1" t="str">
        <f>"2022-911"</f>
        <v>2022-911</v>
      </c>
      <c r="C5671" s="1" t="s">
        <v>3317</v>
      </c>
      <c r="D5671" s="1" t="s">
        <v>1102</v>
      </c>
      <c r="E5671" s="1" t="str">
        <f>""</f>
        <v/>
      </c>
      <c r="F5671" s="1" t="s">
        <v>1860</v>
      </c>
      <c r="G5671" s="1" t="str">
        <f>CONCATENATE("CONTROLMATIK D.O.O.,"," PRIMORSKA 1,"," 42000 VARAŽDIN,"," OIB: 25020037517")</f>
        <v>CONTROLMATIK D.O.O., PRIMORSKA 1, 42000 VARAŽDIN, OIB: 25020037517</v>
      </c>
      <c r="H5671" s="7"/>
      <c r="I5671" s="8" t="s">
        <v>1612</v>
      </c>
      <c r="J5671" s="7"/>
      <c r="K5671" s="6" t="str">
        <f>"8.590,00"</f>
        <v>8.590,00</v>
      </c>
      <c r="L5671" s="6" t="str">
        <f t="shared" si="240"/>
        <v>0,00</v>
      </c>
      <c r="M5671" s="6" t="str">
        <f>"8.590,00"</f>
        <v>8.590,00</v>
      </c>
      <c r="N5671" s="8" t="s">
        <v>124</v>
      </c>
      <c r="O5671" s="7"/>
      <c r="P5671" s="2">
        <v>10737.5</v>
      </c>
      <c r="Q5671" s="7"/>
      <c r="R5671" s="1"/>
      <c r="S5671" s="1" t="str">
        <f>"2022-8005"</f>
        <v>2022-8005</v>
      </c>
      <c r="T5671" s="1" t="s">
        <v>55</v>
      </c>
    </row>
    <row r="5672" spans="1:20" ht="76.5" x14ac:dyDescent="0.25">
      <c r="A5672" s="6">
        <v>5651</v>
      </c>
      <c r="B5672" s="1" t="str">
        <f>"2022-500"</f>
        <v>2022-500</v>
      </c>
      <c r="C5672" s="1" t="s">
        <v>3276</v>
      </c>
      <c r="D5672" s="1" t="s">
        <v>3443</v>
      </c>
      <c r="E5672" s="1" t="str">
        <f>""</f>
        <v/>
      </c>
      <c r="F5672" s="1" t="s">
        <v>1860</v>
      </c>
      <c r="G5672" s="1" t="str">
        <f>CONCATENATE("SMIT-COMMERCE D.O.O.,"," GORNJOSTUPNIČKA 9B,"," 10255 GORNJI STUPNIK,"," OIB: 9524348214")</f>
        <v>SMIT-COMMERCE D.O.O., GORNJOSTUPNIČKA 9B, 10255 GORNJI STUPNIK, OIB: 9524348214</v>
      </c>
      <c r="H5672" s="7"/>
      <c r="I5672" s="8" t="s">
        <v>1612</v>
      </c>
      <c r="J5672" s="7"/>
      <c r="K5672" s="6" t="str">
        <f>"24.414,40"</f>
        <v>24.414,40</v>
      </c>
      <c r="L5672" s="6" t="str">
        <f t="shared" si="240"/>
        <v>0,00</v>
      </c>
      <c r="M5672" s="6" t="str">
        <f>"24.414,40"</f>
        <v>24.414,40</v>
      </c>
      <c r="N5672" s="8" t="s">
        <v>124</v>
      </c>
      <c r="O5672" s="7"/>
      <c r="P5672" s="2">
        <v>0</v>
      </c>
      <c r="Q5672" s="7"/>
      <c r="R5672" s="1"/>
      <c r="S5672" s="1" t="str">
        <f>"2022-8006"</f>
        <v>2022-8006</v>
      </c>
      <c r="T5672" s="1" t="s">
        <v>55</v>
      </c>
    </row>
    <row r="5673" spans="1:20" ht="76.5" x14ac:dyDescent="0.25">
      <c r="A5673" s="6">
        <v>5652</v>
      </c>
      <c r="B5673" s="1" t="str">
        <f>"2022-730"</f>
        <v>2022-730</v>
      </c>
      <c r="C5673" s="1" t="s">
        <v>3410</v>
      </c>
      <c r="D5673" s="1" t="s">
        <v>1116</v>
      </c>
      <c r="E5673" s="1" t="str">
        <f>""</f>
        <v/>
      </c>
      <c r="F5673" s="1" t="s">
        <v>1860</v>
      </c>
      <c r="G5673" s="1" t="str">
        <f>CONCATENATE("GRADATIN D.O.O.,"," LIVADARSKI PUT 19,"," 10360 SESVETE,"," OIB: 79147056526")</f>
        <v>GRADATIN D.O.O., LIVADARSKI PUT 19, 10360 SESVETE, OIB: 79147056526</v>
      </c>
      <c r="H5673" s="7"/>
      <c r="I5673" s="8" t="s">
        <v>1612</v>
      </c>
      <c r="J5673" s="7"/>
      <c r="K5673" s="6" t="str">
        <f>"2.007,50"</f>
        <v>2.007,50</v>
      </c>
      <c r="L5673" s="6" t="str">
        <f t="shared" si="240"/>
        <v>0,00</v>
      </c>
      <c r="M5673" s="6" t="str">
        <f>"2.007,50"</f>
        <v>2.007,50</v>
      </c>
      <c r="N5673" s="8" t="s">
        <v>124</v>
      </c>
      <c r="O5673" s="7"/>
      <c r="P5673" s="2">
        <v>0</v>
      </c>
      <c r="Q5673" s="7"/>
      <c r="R5673" s="1"/>
      <c r="S5673" s="1" t="str">
        <f>"2022-8008"</f>
        <v>2022-8008</v>
      </c>
      <c r="T5673" s="1" t="s">
        <v>55</v>
      </c>
    </row>
    <row r="5674" spans="1:20" ht="51" x14ac:dyDescent="0.25">
      <c r="A5674" s="6">
        <v>5653</v>
      </c>
      <c r="B5674" s="1" t="str">
        <f>"2022-306"</f>
        <v>2022-306</v>
      </c>
      <c r="C5674" s="1" t="s">
        <v>2692</v>
      </c>
      <c r="D5674" s="1" t="s">
        <v>3309</v>
      </c>
      <c r="E5674" s="1" t="str">
        <f>""</f>
        <v/>
      </c>
      <c r="F5674" s="1" t="s">
        <v>1860</v>
      </c>
      <c r="G5674" s="1" t="str">
        <f>CONCATENATE("POLJOOPSKRBA-TEHNO D.D.,"," SAMOBORSKA 96,"," 10000 ZAGREB,"," OIB: 5372167324")</f>
        <v>POLJOOPSKRBA-TEHNO D.D., SAMOBORSKA 96, 10000 ZAGREB, OIB: 5372167324</v>
      </c>
      <c r="H5674" s="7"/>
      <c r="I5674" s="8" t="s">
        <v>1612</v>
      </c>
      <c r="J5674" s="7"/>
      <c r="K5674" s="6" t="str">
        <f>"682,50"</f>
        <v>682,50</v>
      </c>
      <c r="L5674" s="6" t="str">
        <f t="shared" si="240"/>
        <v>0,00</v>
      </c>
      <c r="M5674" s="6" t="str">
        <f>"682,50"</f>
        <v>682,50</v>
      </c>
      <c r="N5674" s="8" t="s">
        <v>124</v>
      </c>
      <c r="O5674" s="7"/>
      <c r="P5674" s="2">
        <v>0</v>
      </c>
      <c r="Q5674" s="7"/>
      <c r="R5674" s="1"/>
      <c r="S5674" s="1" t="str">
        <f>"2022-8009"</f>
        <v>2022-8009</v>
      </c>
      <c r="T5674" s="1" t="s">
        <v>55</v>
      </c>
    </row>
    <row r="5675" spans="1:20" ht="51" x14ac:dyDescent="0.25">
      <c r="A5675" s="6">
        <v>5654</v>
      </c>
      <c r="B5675" s="1" t="str">
        <f>"2022-1720"</f>
        <v>2022-1720</v>
      </c>
      <c r="C5675" s="1" t="s">
        <v>3343</v>
      </c>
      <c r="D5675" s="1" t="s">
        <v>854</v>
      </c>
      <c r="E5675" s="1" t="str">
        <f>""</f>
        <v/>
      </c>
      <c r="F5675" s="1" t="s">
        <v>1860</v>
      </c>
      <c r="G5675" s="1" t="str">
        <f>CONCATENATE("TIP - ZAGREB D.O.O.,"," VINOGRADSKA 34,"," 10431 SVETA NEDELJA,"," OIB: 36198195227")</f>
        <v>TIP - ZAGREB D.O.O., VINOGRADSKA 34, 10431 SVETA NEDELJA, OIB: 36198195227</v>
      </c>
      <c r="H5675" s="7"/>
      <c r="I5675" s="8" t="s">
        <v>1612</v>
      </c>
      <c r="J5675" s="7"/>
      <c r="K5675" s="6" t="str">
        <f>"22.658,00"</f>
        <v>22.658,00</v>
      </c>
      <c r="L5675" s="6" t="str">
        <f t="shared" si="240"/>
        <v>0,00</v>
      </c>
      <c r="M5675" s="6" t="str">
        <f>"22.658,00"</f>
        <v>22.658,00</v>
      </c>
      <c r="N5675" s="8" t="s">
        <v>124</v>
      </c>
      <c r="O5675" s="7"/>
      <c r="P5675" s="2">
        <v>0</v>
      </c>
      <c r="Q5675" s="7"/>
      <c r="R5675" s="1"/>
      <c r="S5675" s="1" t="str">
        <f>"2022-8013"</f>
        <v>2022-8013</v>
      </c>
      <c r="T5675" s="1" t="s">
        <v>55</v>
      </c>
    </row>
    <row r="5676" spans="1:20" ht="51" x14ac:dyDescent="0.25">
      <c r="A5676" s="6">
        <v>5655</v>
      </c>
      <c r="B5676" s="1" t="str">
        <f>"2022-63"</f>
        <v>2022-63</v>
      </c>
      <c r="C5676" s="1" t="s">
        <v>2316</v>
      </c>
      <c r="D5676" s="1" t="s">
        <v>3400</v>
      </c>
      <c r="E5676" s="1" t="str">
        <f>""</f>
        <v/>
      </c>
      <c r="F5676" s="1" t="s">
        <v>1860</v>
      </c>
      <c r="G5676" s="1" t="str">
        <f>CONCATENATE("LEO MRŠIĆ,"," VUKOVARSKA 20,"," 10310 IVANIĆ-GRAD,"," OIB: 3265610187")</f>
        <v>LEO MRŠIĆ, VUKOVARSKA 20, 10310 IVANIĆ-GRAD, OIB: 3265610187</v>
      </c>
      <c r="H5676" s="7"/>
      <c r="I5676" s="8" t="s">
        <v>399</v>
      </c>
      <c r="J5676" s="7"/>
      <c r="K5676" s="6" t="str">
        <f>"73.000,00"</f>
        <v>73.000,00</v>
      </c>
      <c r="L5676" s="6" t="str">
        <f t="shared" si="240"/>
        <v>0,00</v>
      </c>
      <c r="M5676" s="6" t="str">
        <f>"73.000,00"</f>
        <v>73.000,00</v>
      </c>
      <c r="N5676" s="8" t="s">
        <v>124</v>
      </c>
      <c r="O5676" s="7"/>
      <c r="P5676" s="2">
        <v>0</v>
      </c>
      <c r="Q5676" s="7"/>
      <c r="R5676" s="1"/>
      <c r="S5676" s="1" t="str">
        <f>"2022-8056"</f>
        <v>2022-8056</v>
      </c>
      <c r="T5676" s="1" t="s">
        <v>55</v>
      </c>
    </row>
    <row r="5677" spans="1:20" ht="76.5" x14ac:dyDescent="0.25">
      <c r="A5677" s="6">
        <v>5656</v>
      </c>
      <c r="B5677" s="1" t="str">
        <f>"2022-382"</f>
        <v>2022-382</v>
      </c>
      <c r="C5677" s="1" t="s">
        <v>2700</v>
      </c>
      <c r="D5677" s="1" t="s">
        <v>3337</v>
      </c>
      <c r="E5677" s="1" t="str">
        <f>""</f>
        <v/>
      </c>
      <c r="F5677" s="1" t="s">
        <v>1860</v>
      </c>
      <c r="G5677" s="1" t="str">
        <f>CONCATENATE("SMIT-COMMERCE D.O.O.,"," GORNJOSTUPNIČKA 9B,"," 10255 GORNJI STUPNIK,"," OIB: 9524348214")</f>
        <v>SMIT-COMMERCE D.O.O., GORNJOSTUPNIČKA 9B, 10255 GORNJI STUPNIK, OIB: 9524348214</v>
      </c>
      <c r="H5677" s="7"/>
      <c r="I5677" s="8" t="s">
        <v>553</v>
      </c>
      <c r="J5677" s="7"/>
      <c r="K5677" s="6" t="str">
        <f>"23.412,00"</f>
        <v>23.412,00</v>
      </c>
      <c r="L5677" s="6" t="str">
        <f t="shared" si="240"/>
        <v>0,00</v>
      </c>
      <c r="M5677" s="6" t="str">
        <f>"23.412,00"</f>
        <v>23.412,00</v>
      </c>
      <c r="N5677" s="8" t="s">
        <v>124</v>
      </c>
      <c r="O5677" s="7"/>
      <c r="P5677" s="2">
        <v>0</v>
      </c>
      <c r="Q5677" s="7"/>
      <c r="R5677" s="1"/>
      <c r="S5677" s="1" t="str">
        <f>"2022-8116"</f>
        <v>2022-8116</v>
      </c>
      <c r="T5677" s="1" t="s">
        <v>55</v>
      </c>
    </row>
    <row r="5678" spans="1:20" ht="63.75" x14ac:dyDescent="0.25">
      <c r="A5678" s="6">
        <v>5657</v>
      </c>
      <c r="B5678" s="1" t="str">
        <f>"2022-592"</f>
        <v>2022-592</v>
      </c>
      <c r="C5678" s="1" t="s">
        <v>2683</v>
      </c>
      <c r="D5678" s="1" t="s">
        <v>2684</v>
      </c>
      <c r="E5678" s="1" t="str">
        <f>""</f>
        <v/>
      </c>
      <c r="F5678" s="1" t="s">
        <v>1860</v>
      </c>
      <c r="G5678" s="1" t="str">
        <f>CONCATENATE("ELEKTRO PREMIUM D.O.O.,"," DOBRIŠE CESARIĆA 21,"," 10000 ZAGREB,"," OIB: 68586035315")</f>
        <v>ELEKTRO PREMIUM D.O.O., DOBRIŠE CESARIĆA 21, 10000 ZAGREB, OIB: 68586035315</v>
      </c>
      <c r="H5678" s="7"/>
      <c r="I5678" s="8" t="s">
        <v>553</v>
      </c>
      <c r="J5678" s="7"/>
      <c r="K5678" s="6" t="str">
        <f>"35.620,00"</f>
        <v>35.620,00</v>
      </c>
      <c r="L5678" s="6" t="str">
        <f t="shared" si="240"/>
        <v>0,00</v>
      </c>
      <c r="M5678" s="6" t="str">
        <f>"35.620,00"</f>
        <v>35.620,00</v>
      </c>
      <c r="N5678" s="8" t="s">
        <v>124</v>
      </c>
      <c r="O5678" s="7"/>
      <c r="P5678" s="2">
        <v>0</v>
      </c>
      <c r="Q5678" s="7"/>
      <c r="R5678" s="1"/>
      <c r="S5678" s="1" t="str">
        <f>"2022-8130"</f>
        <v>2022-8130</v>
      </c>
      <c r="T5678" s="1" t="s">
        <v>55</v>
      </c>
    </row>
    <row r="5679" spans="1:20" ht="63.75" x14ac:dyDescent="0.25">
      <c r="A5679" s="6">
        <v>5658</v>
      </c>
      <c r="B5679" s="1" t="str">
        <f>"2022-244"</f>
        <v>2022-244</v>
      </c>
      <c r="C5679" s="1" t="s">
        <v>2677</v>
      </c>
      <c r="D5679" s="1" t="s">
        <v>3469</v>
      </c>
      <c r="E5679" s="1" t="str">
        <f>""</f>
        <v/>
      </c>
      <c r="F5679" s="1" t="s">
        <v>1860</v>
      </c>
      <c r="G5679" s="1" t="str">
        <f>CONCATENATE("GRADSKA LJEKARNA ZAGREB,"," KRALJA DRŽISLAVA 6,"," 10000 ZAGREB,"," OIB: 37268254106")</f>
        <v>GRADSKA LJEKARNA ZAGREB, KRALJA DRŽISLAVA 6, 10000 ZAGREB, OIB: 37268254106</v>
      </c>
      <c r="H5679" s="7"/>
      <c r="I5679" s="8" t="s">
        <v>1123</v>
      </c>
      <c r="J5679" s="7"/>
      <c r="K5679" s="6" t="str">
        <f>"73.209,55"</f>
        <v>73.209,55</v>
      </c>
      <c r="L5679" s="6" t="str">
        <f t="shared" si="240"/>
        <v>0,00</v>
      </c>
      <c r="M5679" s="6" t="str">
        <f>"73.209,55"</f>
        <v>73.209,55</v>
      </c>
      <c r="N5679" s="8" t="s">
        <v>124</v>
      </c>
      <c r="O5679" s="7"/>
      <c r="P5679" s="2">
        <v>0</v>
      </c>
      <c r="Q5679" s="7"/>
      <c r="R5679" s="1"/>
      <c r="S5679" s="1" t="str">
        <f>"2022-8143"</f>
        <v>2022-8143</v>
      </c>
      <c r="T5679" s="1" t="s">
        <v>55</v>
      </c>
    </row>
    <row r="5680" spans="1:20" ht="76.5" x14ac:dyDescent="0.25">
      <c r="A5680" s="6">
        <v>5659</v>
      </c>
      <c r="B5680" s="1" t="str">
        <f>"2022-1931"</f>
        <v>2022-1931</v>
      </c>
      <c r="C5680" s="1" t="s">
        <v>3427</v>
      </c>
      <c r="D5680" s="1" t="s">
        <v>659</v>
      </c>
      <c r="E5680" s="1" t="str">
        <f>""</f>
        <v/>
      </c>
      <c r="F5680" s="1" t="s">
        <v>1860</v>
      </c>
      <c r="G5680" s="1" t="str">
        <f>CONCATENATE("SMIT-COMMERCE D.O.O.,"," GORNJOSTUPNIČKA 9B,"," 10255 GORNJI STUPNIK,"," OIB: 9524348214")</f>
        <v>SMIT-COMMERCE D.O.O., GORNJOSTUPNIČKA 9B, 10255 GORNJI STUPNIK, OIB: 9524348214</v>
      </c>
      <c r="H5680" s="7"/>
      <c r="I5680" s="8" t="s">
        <v>383</v>
      </c>
      <c r="J5680" s="7"/>
      <c r="K5680" s="6" t="str">
        <f>"77.542,40"</f>
        <v>77.542,40</v>
      </c>
      <c r="L5680" s="6" t="str">
        <f t="shared" si="240"/>
        <v>0,00</v>
      </c>
      <c r="M5680" s="6" t="str">
        <f>"77.542,40"</f>
        <v>77.542,40</v>
      </c>
      <c r="N5680" s="8" t="s">
        <v>124</v>
      </c>
      <c r="O5680" s="7"/>
      <c r="P5680" s="2">
        <v>0</v>
      </c>
      <c r="Q5680" s="7"/>
      <c r="R5680" s="1"/>
      <c r="S5680" s="1" t="str">
        <f>"2022-8201"</f>
        <v>2022-8201</v>
      </c>
      <c r="T5680" s="1" t="s">
        <v>55</v>
      </c>
    </row>
    <row r="5681" spans="1:20" ht="76.5" x14ac:dyDescent="0.25">
      <c r="A5681" s="6">
        <v>5660</v>
      </c>
      <c r="B5681" s="1" t="str">
        <f>"2022-757"</f>
        <v>2022-757</v>
      </c>
      <c r="C5681" s="1" t="s">
        <v>2690</v>
      </c>
      <c r="D5681" s="1" t="s">
        <v>3322</v>
      </c>
      <c r="E5681" s="1" t="str">
        <f>""</f>
        <v/>
      </c>
      <c r="F5681" s="1" t="s">
        <v>1860</v>
      </c>
      <c r="G5681" s="1" t="str">
        <f>CONCATENATE("SMIT-COMMERCE D.O.O.,"," GORNJOSTUPNIČKA 9B,"," 10255 GORNJI STUPNIK,"," OIB: 9524348214")</f>
        <v>SMIT-COMMERCE D.O.O., GORNJOSTUPNIČKA 9B, 10255 GORNJI STUPNIK, OIB: 9524348214</v>
      </c>
      <c r="H5681" s="7"/>
      <c r="I5681" s="8" t="s">
        <v>384</v>
      </c>
      <c r="J5681" s="7"/>
      <c r="K5681" s="6" t="str">
        <f>"8.982,76"</f>
        <v>8.982,76</v>
      </c>
      <c r="L5681" s="6" t="str">
        <f t="shared" si="240"/>
        <v>0,00</v>
      </c>
      <c r="M5681" s="6" t="str">
        <f>"8.982,76"</f>
        <v>8.982,76</v>
      </c>
      <c r="N5681" s="8" t="s">
        <v>124</v>
      </c>
      <c r="O5681" s="7"/>
      <c r="P5681" s="2">
        <v>0</v>
      </c>
      <c r="Q5681" s="7"/>
      <c r="R5681" s="1"/>
      <c r="S5681" s="1" t="str">
        <f>"2022-8227"</f>
        <v>2022-8227</v>
      </c>
      <c r="T5681" s="1" t="s">
        <v>55</v>
      </c>
    </row>
    <row r="5682" spans="1:20" ht="51" x14ac:dyDescent="0.25">
      <c r="A5682" s="6">
        <v>5661</v>
      </c>
      <c r="B5682" s="1" t="str">
        <f>"2022-887"</f>
        <v>2022-887</v>
      </c>
      <c r="C5682" s="1" t="s">
        <v>3362</v>
      </c>
      <c r="D5682" s="1" t="s">
        <v>2903</v>
      </c>
      <c r="E5682" s="1" t="str">
        <f>""</f>
        <v/>
      </c>
      <c r="F5682" s="1" t="s">
        <v>1860</v>
      </c>
      <c r="G5682" s="1" t="str">
        <f>CONCATENATE("RU - VE D.O.O.,"," PROSINAČKA 14,"," 10431 SVETA NEDELJA,"," OIB: 8847092984")</f>
        <v>RU - VE D.O.O., PROSINAČKA 14, 10431 SVETA NEDELJA, OIB: 8847092984</v>
      </c>
      <c r="H5682" s="7"/>
      <c r="I5682" s="8" t="s">
        <v>489</v>
      </c>
      <c r="J5682" s="7"/>
      <c r="K5682" s="6" t="str">
        <f>"1.859,57"</f>
        <v>1.859,57</v>
      </c>
      <c r="L5682" s="6" t="str">
        <f t="shared" si="240"/>
        <v>0,00</v>
      </c>
      <c r="M5682" s="6" t="str">
        <f>"1.859,57"</f>
        <v>1.859,57</v>
      </c>
      <c r="N5682" s="8" t="s">
        <v>124</v>
      </c>
      <c r="O5682" s="7"/>
      <c r="P5682" s="2">
        <v>0</v>
      </c>
      <c r="Q5682" s="7"/>
      <c r="R5682" s="1"/>
      <c r="S5682" s="1" t="str">
        <f>"2022-8274"</f>
        <v>2022-8274</v>
      </c>
      <c r="T5682" s="1" t="s">
        <v>55</v>
      </c>
    </row>
    <row r="5683" spans="1:20" ht="63.75" x14ac:dyDescent="0.25">
      <c r="A5683" s="6">
        <v>5662</v>
      </c>
      <c r="B5683" s="1" t="str">
        <f>"2022-939"</f>
        <v>2022-939</v>
      </c>
      <c r="C5683" s="1" t="s">
        <v>3331</v>
      </c>
      <c r="D5683" s="1" t="s">
        <v>1150</v>
      </c>
      <c r="E5683" s="1" t="str">
        <f>""</f>
        <v/>
      </c>
      <c r="F5683" s="1" t="s">
        <v>1860</v>
      </c>
      <c r="G5683" s="1" t="str">
        <f>CONCATENATE("HIDRO-METAL,"," VL. BISERKA BEJDIĆ,"," SLAVKA KOLARA 24,"," 47250 DUGA RESA,"," OIB: 2551798954")</f>
        <v>HIDRO-METAL, VL. BISERKA BEJDIĆ, SLAVKA KOLARA 24, 47250 DUGA RESA, OIB: 2551798954</v>
      </c>
      <c r="H5683" s="7"/>
      <c r="I5683" s="8" t="s">
        <v>489</v>
      </c>
      <c r="J5683" s="7"/>
      <c r="K5683" s="6" t="str">
        <f>"4.684,80"</f>
        <v>4.684,80</v>
      </c>
      <c r="L5683" s="6" t="str">
        <f t="shared" si="240"/>
        <v>0,00</v>
      </c>
      <c r="M5683" s="6" t="str">
        <f>"4.684,80"</f>
        <v>4.684,80</v>
      </c>
      <c r="N5683" s="8" t="s">
        <v>124</v>
      </c>
      <c r="O5683" s="7"/>
      <c r="P5683" s="2">
        <v>0</v>
      </c>
      <c r="Q5683" s="7"/>
      <c r="R5683" s="1"/>
      <c r="S5683" s="1" t="str">
        <f>"2022-8276"</f>
        <v>2022-8276</v>
      </c>
      <c r="T5683" s="1" t="s">
        <v>55</v>
      </c>
    </row>
    <row r="5684" spans="1:20" ht="63.75" x14ac:dyDescent="0.25">
      <c r="A5684" s="6">
        <v>5663</v>
      </c>
      <c r="B5684" s="1" t="str">
        <f>"2022-585"</f>
        <v>2022-585</v>
      </c>
      <c r="C5684" s="1" t="s">
        <v>3446</v>
      </c>
      <c r="D5684" s="1" t="s">
        <v>3447</v>
      </c>
      <c r="E5684" s="1" t="str">
        <f>""</f>
        <v/>
      </c>
      <c r="F5684" s="1" t="s">
        <v>1860</v>
      </c>
      <c r="G5684" s="1" t="str">
        <f>CONCATENATE("CONTROLTECH D.O.O.,"," ULICA PETRA HEKTOROVIĆA 2,"," 10000 ZAGREB,"," OIB: 896035866")</f>
        <v>CONTROLTECH D.O.O., ULICA PETRA HEKTOROVIĆA 2, 10000 ZAGREB, OIB: 896035866</v>
      </c>
      <c r="H5684" s="7"/>
      <c r="I5684" s="8" t="s">
        <v>489</v>
      </c>
      <c r="J5684" s="7"/>
      <c r="K5684" s="6" t="str">
        <f>"19.913,41"</f>
        <v>19.913,41</v>
      </c>
      <c r="L5684" s="6" t="str">
        <f t="shared" si="240"/>
        <v>0,00</v>
      </c>
      <c r="M5684" s="6" t="str">
        <f>"19.913,41"</f>
        <v>19.913,41</v>
      </c>
      <c r="N5684" s="8" t="s">
        <v>124</v>
      </c>
      <c r="O5684" s="7"/>
      <c r="P5684" s="2">
        <v>0</v>
      </c>
      <c r="Q5684" s="7"/>
      <c r="R5684" s="1"/>
      <c r="S5684" s="1" t="str">
        <f>"2022-8281"</f>
        <v>2022-8281</v>
      </c>
      <c r="T5684" s="1" t="s">
        <v>55</v>
      </c>
    </row>
    <row r="5685" spans="1:20" ht="51" x14ac:dyDescent="0.25">
      <c r="A5685" s="6">
        <v>5664</v>
      </c>
      <c r="B5685" s="1" t="str">
        <f>"2022-241"</f>
        <v>2022-241</v>
      </c>
      <c r="C5685" s="1" t="s">
        <v>3423</v>
      </c>
      <c r="D5685" s="1" t="s">
        <v>3424</v>
      </c>
      <c r="E5685" s="1" t="str">
        <f>""</f>
        <v/>
      </c>
      <c r="F5685" s="1" t="s">
        <v>1860</v>
      </c>
      <c r="G5685" s="1" t="str">
        <f>CONCATENATE("PRESSO D.O.O.,"," NALJEŠKOVIĆEVA 17,"," 10000 ZAGREB,"," OIB: 09769341738")</f>
        <v>PRESSO D.O.O., NALJEŠKOVIĆEVA 17, 10000 ZAGREB, OIB: 09769341738</v>
      </c>
      <c r="H5685" s="7"/>
      <c r="I5685" s="8" t="s">
        <v>489</v>
      </c>
      <c r="J5685" s="7"/>
      <c r="K5685" s="6" t="str">
        <f>"27.140,00"</f>
        <v>27.140,00</v>
      </c>
      <c r="L5685" s="6" t="str">
        <f t="shared" si="240"/>
        <v>0,00</v>
      </c>
      <c r="M5685" s="6" t="str">
        <f>"27.140,00"</f>
        <v>27.140,00</v>
      </c>
      <c r="N5685" s="8" t="s">
        <v>124</v>
      </c>
      <c r="O5685" s="7"/>
      <c r="P5685" s="2">
        <v>0</v>
      </c>
      <c r="Q5685" s="7"/>
      <c r="R5685" s="1"/>
      <c r="S5685" s="1" t="str">
        <f>"2022-8286"</f>
        <v>2022-8286</v>
      </c>
      <c r="T5685" s="1" t="s">
        <v>55</v>
      </c>
    </row>
    <row r="5686" spans="1:20" ht="63.75" x14ac:dyDescent="0.25">
      <c r="A5686" s="6">
        <v>5665</v>
      </c>
      <c r="B5686" s="1" t="str">
        <f>"2022-939"</f>
        <v>2022-939</v>
      </c>
      <c r="C5686" s="1" t="s">
        <v>3331</v>
      </c>
      <c r="D5686" s="1" t="s">
        <v>1150</v>
      </c>
      <c r="E5686" s="1" t="str">
        <f>""</f>
        <v/>
      </c>
      <c r="F5686" s="1" t="s">
        <v>1860</v>
      </c>
      <c r="G5686" s="1" t="str">
        <f>CONCATENATE("HIDRO-METAL,"," VL. BISERKA BEJDIĆ,"," SLAVKA KOLARA 24,"," 47250 DUGA RESA,"," OIB: 2551798954")</f>
        <v>HIDRO-METAL, VL. BISERKA BEJDIĆ, SLAVKA KOLARA 24, 47250 DUGA RESA, OIB: 2551798954</v>
      </c>
      <c r="H5686" s="7"/>
      <c r="I5686" s="8" t="s">
        <v>489</v>
      </c>
      <c r="J5686" s="7"/>
      <c r="K5686" s="6" t="str">
        <f>"4.684,80"</f>
        <v>4.684,80</v>
      </c>
      <c r="L5686" s="6" t="str">
        <f t="shared" si="240"/>
        <v>0,00</v>
      </c>
      <c r="M5686" s="6" t="str">
        <f>"4.684,80"</f>
        <v>4.684,80</v>
      </c>
      <c r="N5686" s="8" t="s">
        <v>124</v>
      </c>
      <c r="O5686" s="7"/>
      <c r="P5686" s="2">
        <v>0</v>
      </c>
      <c r="Q5686" s="7"/>
      <c r="R5686" s="1"/>
      <c r="S5686" s="1" t="str">
        <f>"2022-8289"</f>
        <v>2022-8289</v>
      </c>
      <c r="T5686" s="1" t="s">
        <v>55</v>
      </c>
    </row>
    <row r="5687" spans="1:20" ht="51" x14ac:dyDescent="0.25">
      <c r="A5687" s="6">
        <v>5666</v>
      </c>
      <c r="B5687" s="1" t="str">
        <f>"2022-232"</f>
        <v>2022-232</v>
      </c>
      <c r="C5687" s="1" t="s">
        <v>3333</v>
      </c>
      <c r="D5687" s="1" t="s">
        <v>3334</v>
      </c>
      <c r="E5687" s="1" t="str">
        <f>""</f>
        <v/>
      </c>
      <c r="F5687" s="1" t="s">
        <v>1860</v>
      </c>
      <c r="G5687" s="1" t="str">
        <f>CONCATENATE("IVERO D.O.O.,"," PLANINSKA 13,"," 10360 SESVETE,"," OIB: 8920645596")</f>
        <v>IVERO D.O.O., PLANINSKA 13, 10360 SESVETE, OIB: 8920645596</v>
      </c>
      <c r="H5687" s="7"/>
      <c r="I5687" s="8" t="s">
        <v>146</v>
      </c>
      <c r="J5687" s="7"/>
      <c r="K5687" s="6" t="str">
        <f>"350,00"</f>
        <v>350,00</v>
      </c>
      <c r="L5687" s="6" t="str">
        <f t="shared" si="240"/>
        <v>0,00</v>
      </c>
      <c r="M5687" s="6" t="str">
        <f>"350,00"</f>
        <v>350,00</v>
      </c>
      <c r="N5687" s="8" t="s">
        <v>124</v>
      </c>
      <c r="O5687" s="7"/>
      <c r="P5687" s="2">
        <v>0</v>
      </c>
      <c r="Q5687" s="7"/>
      <c r="R5687" s="1"/>
      <c r="S5687" s="1" t="str">
        <f>"2022-8317"</f>
        <v>2022-8317</v>
      </c>
      <c r="T5687" s="1" t="s">
        <v>55</v>
      </c>
    </row>
    <row r="5688" spans="1:20" ht="51" x14ac:dyDescent="0.25">
      <c r="A5688" s="6">
        <v>5667</v>
      </c>
      <c r="B5688" s="1" t="str">
        <f>"2022-306"</f>
        <v>2022-306</v>
      </c>
      <c r="C5688" s="1" t="s">
        <v>2692</v>
      </c>
      <c r="D5688" s="1" t="s">
        <v>3309</v>
      </c>
      <c r="E5688" s="1" t="str">
        <f>""</f>
        <v/>
      </c>
      <c r="F5688" s="1" t="s">
        <v>1860</v>
      </c>
      <c r="G5688" s="1" t="str">
        <f>CONCATENATE("INTERVEKTOR D.O.O.,"," OBREŠKA CESTA 51,"," 10000 ZAGREB,"," OIB: 91653777677")</f>
        <v>INTERVEKTOR D.O.O., OBREŠKA CESTA 51, 10000 ZAGREB, OIB: 91653777677</v>
      </c>
      <c r="H5688" s="7"/>
      <c r="I5688" s="8" t="s">
        <v>146</v>
      </c>
      <c r="J5688" s="7"/>
      <c r="K5688" s="6" t="str">
        <f>"15.222,00"</f>
        <v>15.222,00</v>
      </c>
      <c r="L5688" s="6" t="str">
        <f t="shared" si="240"/>
        <v>0,00</v>
      </c>
      <c r="M5688" s="6" t="str">
        <f>"15.222,00"</f>
        <v>15.222,00</v>
      </c>
      <c r="N5688" s="8" t="s">
        <v>124</v>
      </c>
      <c r="O5688" s="7"/>
      <c r="P5688" s="2">
        <v>0</v>
      </c>
      <c r="Q5688" s="7"/>
      <c r="R5688" s="1"/>
      <c r="S5688" s="1" t="str">
        <f>"2022-8319"</f>
        <v>2022-8319</v>
      </c>
      <c r="T5688" s="1" t="s">
        <v>55</v>
      </c>
    </row>
    <row r="5689" spans="1:20" ht="63.75" x14ac:dyDescent="0.25">
      <c r="A5689" s="6">
        <v>5668</v>
      </c>
      <c r="B5689" s="1" t="str">
        <f>"2022-1931"</f>
        <v>2022-1931</v>
      </c>
      <c r="C5689" s="1" t="s">
        <v>3427</v>
      </c>
      <c r="D5689" s="1" t="s">
        <v>659</v>
      </c>
      <c r="E5689" s="1" t="str">
        <f>""</f>
        <v/>
      </c>
      <c r="F5689" s="1" t="s">
        <v>1860</v>
      </c>
      <c r="G5689" s="1" t="str">
        <f>CONCATENATE("TOKIĆ D.O.O.,"," ULICA 144. BRIGADE HRVATSKE VOJSKE 1A,"," 10360 SESVETE,"," OIB: 7486748762")</f>
        <v>TOKIĆ D.O.O., ULICA 144. BRIGADE HRVATSKE VOJSKE 1A, 10360 SESVETE, OIB: 7486748762</v>
      </c>
      <c r="H5689" s="7"/>
      <c r="I5689" s="8" t="s">
        <v>146</v>
      </c>
      <c r="J5689" s="7"/>
      <c r="K5689" s="6" t="str">
        <f>"5.965,00"</f>
        <v>5.965,00</v>
      </c>
      <c r="L5689" s="6" t="str">
        <f t="shared" si="240"/>
        <v>0,00</v>
      </c>
      <c r="M5689" s="6" t="str">
        <f>"5.965,00"</f>
        <v>5.965,00</v>
      </c>
      <c r="N5689" s="8" t="s">
        <v>124</v>
      </c>
      <c r="O5689" s="7"/>
      <c r="P5689" s="2">
        <v>0</v>
      </c>
      <c r="Q5689" s="7"/>
      <c r="R5689" s="1"/>
      <c r="S5689" s="1" t="str">
        <f>"2022-8321"</f>
        <v>2022-8321</v>
      </c>
      <c r="T5689" s="1" t="s">
        <v>55</v>
      </c>
    </row>
    <row r="5690" spans="1:20" ht="51" x14ac:dyDescent="0.25">
      <c r="A5690" s="6">
        <v>5669</v>
      </c>
      <c r="B5690" s="1" t="str">
        <f>"2022-1715"</f>
        <v>2022-1715</v>
      </c>
      <c r="C5690" s="1" t="s">
        <v>3407</v>
      </c>
      <c r="D5690" s="1" t="s">
        <v>770</v>
      </c>
      <c r="E5690" s="1" t="str">
        <f>""</f>
        <v/>
      </c>
      <c r="F5690" s="1" t="s">
        <v>1860</v>
      </c>
      <c r="G5690" s="1" t="str">
        <f>CONCATENATE("VESON - PLAST  D.O.O.,"," JOSIPA PUPAČIĆA 4,"," 10000 ZAGREB,"," OIB: 0533910312")</f>
        <v>VESON - PLAST  D.O.O., JOSIPA PUPAČIĆA 4, 10000 ZAGREB, OIB: 0533910312</v>
      </c>
      <c r="H5690" s="7"/>
      <c r="I5690" s="8" t="s">
        <v>146</v>
      </c>
      <c r="J5690" s="7"/>
      <c r="K5690" s="6" t="str">
        <f>"68.844,32"</f>
        <v>68.844,32</v>
      </c>
      <c r="L5690" s="6" t="str">
        <f t="shared" si="240"/>
        <v>0,00</v>
      </c>
      <c r="M5690" s="6" t="str">
        <f>"68.844,32"</f>
        <v>68.844,32</v>
      </c>
      <c r="N5690" s="8" t="s">
        <v>124</v>
      </c>
      <c r="O5690" s="7"/>
      <c r="P5690" s="2">
        <v>0</v>
      </c>
      <c r="Q5690" s="7"/>
      <c r="R5690" s="1"/>
      <c r="S5690" s="1" t="str">
        <f>"2022-8323"</f>
        <v>2022-8323</v>
      </c>
      <c r="T5690" s="1" t="s">
        <v>55</v>
      </c>
    </row>
    <row r="5691" spans="1:20" ht="76.5" x14ac:dyDescent="0.25">
      <c r="A5691" s="6">
        <v>5670</v>
      </c>
      <c r="B5691" s="1" t="str">
        <f>"2022-1481"</f>
        <v>2022-1481</v>
      </c>
      <c r="C5691" s="1" t="s">
        <v>3359</v>
      </c>
      <c r="D5691" s="1" t="s">
        <v>1306</v>
      </c>
      <c r="E5691" s="1" t="str">
        <f>""</f>
        <v/>
      </c>
      <c r="F5691" s="1" t="s">
        <v>1860</v>
      </c>
      <c r="G5691" s="1" t="str">
        <f>CONCATENATE("SMIT-COMMERCE D.O.O.,"," GORNJOSTUPNIČKA 9B,"," 10255 GORNJI STUPNIK,"," OIB: 9524348214")</f>
        <v>SMIT-COMMERCE D.O.O., GORNJOSTUPNIČKA 9B, 10255 GORNJI STUPNIK, OIB: 9524348214</v>
      </c>
      <c r="H5691" s="7"/>
      <c r="I5691" s="8" t="s">
        <v>146</v>
      </c>
      <c r="J5691" s="7"/>
      <c r="K5691" s="6" t="str">
        <f>"2.998,00"</f>
        <v>2.998,00</v>
      </c>
      <c r="L5691" s="6" t="str">
        <f t="shared" si="240"/>
        <v>0,00</v>
      </c>
      <c r="M5691" s="6" t="str">
        <f>"2.998,00"</f>
        <v>2.998,00</v>
      </c>
      <c r="N5691" s="8" t="s">
        <v>124</v>
      </c>
      <c r="O5691" s="7"/>
      <c r="P5691" s="2">
        <v>0</v>
      </c>
      <c r="Q5691" s="7"/>
      <c r="R5691" s="1"/>
      <c r="S5691" s="1" t="str">
        <f>"2022-8328"</f>
        <v>2022-8328</v>
      </c>
      <c r="T5691" s="1" t="s">
        <v>55</v>
      </c>
    </row>
    <row r="5692" spans="1:20" ht="51" x14ac:dyDescent="0.25">
      <c r="A5692" s="6">
        <v>5671</v>
      </c>
      <c r="B5692" s="1" t="str">
        <f>"2022-535"</f>
        <v>2022-535</v>
      </c>
      <c r="C5692" s="1" t="s">
        <v>2561</v>
      </c>
      <c r="D5692" s="1" t="s">
        <v>2156</v>
      </c>
      <c r="E5692" s="1" t="str">
        <f>""</f>
        <v/>
      </c>
      <c r="F5692" s="1" t="s">
        <v>1860</v>
      </c>
      <c r="G5692" s="1" t="str">
        <f>CONCATENATE("TIP - ZAGREB D.O.O.,"," VINOGRADSKA 34,"," 10431 SVETA NEDELJA,"," OIB: 36198195227")</f>
        <v>TIP - ZAGREB D.O.O., VINOGRADSKA 34, 10431 SVETA NEDELJA, OIB: 36198195227</v>
      </c>
      <c r="H5692" s="7"/>
      <c r="I5692" s="8" t="s">
        <v>146</v>
      </c>
      <c r="J5692" s="7"/>
      <c r="K5692" s="6" t="str">
        <f>"38.275,20"</f>
        <v>38.275,20</v>
      </c>
      <c r="L5692" s="6" t="str">
        <f t="shared" si="240"/>
        <v>0,00</v>
      </c>
      <c r="M5692" s="6" t="str">
        <f>"38.275,20"</f>
        <v>38.275,20</v>
      </c>
      <c r="N5692" s="8" t="s">
        <v>124</v>
      </c>
      <c r="O5692" s="7"/>
      <c r="P5692" s="2">
        <v>0</v>
      </c>
      <c r="Q5692" s="7"/>
      <c r="R5692" s="1"/>
      <c r="S5692" s="1" t="str">
        <f>"2022-8331"</f>
        <v>2022-8331</v>
      </c>
      <c r="T5692" s="1" t="s">
        <v>55</v>
      </c>
    </row>
    <row r="5693" spans="1:20" ht="76.5" x14ac:dyDescent="0.25">
      <c r="A5693" s="6">
        <v>5672</v>
      </c>
      <c r="B5693" s="1" t="str">
        <f>"2022-459"</f>
        <v>2022-459</v>
      </c>
      <c r="C5693" s="1" t="s">
        <v>2795</v>
      </c>
      <c r="D5693" s="1" t="s">
        <v>1621</v>
      </c>
      <c r="E5693" s="1" t="str">
        <f>""</f>
        <v/>
      </c>
      <c r="F5693" s="1" t="s">
        <v>1860</v>
      </c>
      <c r="G5693" s="1" t="str">
        <f>CONCATENATE("TEKNOXGROUP HRVATSKA D.O.O.,"," ZASTAVNICE 25D,"," 10251 HRVATSKI LESKOVAC,"," OIB: 31826907316")</f>
        <v>TEKNOXGROUP HRVATSKA D.O.O., ZASTAVNICE 25D, 10251 HRVATSKI LESKOVAC, OIB: 31826907316</v>
      </c>
      <c r="H5693" s="7"/>
      <c r="I5693" s="8" t="s">
        <v>146</v>
      </c>
      <c r="J5693" s="7"/>
      <c r="K5693" s="6" t="str">
        <f>"8.332,34"</f>
        <v>8.332,34</v>
      </c>
      <c r="L5693" s="6" t="str">
        <f t="shared" si="240"/>
        <v>0,00</v>
      </c>
      <c r="M5693" s="6" t="str">
        <f>"8.332,34"</f>
        <v>8.332,34</v>
      </c>
      <c r="N5693" s="8" t="s">
        <v>124</v>
      </c>
      <c r="O5693" s="7"/>
      <c r="P5693" s="2">
        <v>0</v>
      </c>
      <c r="Q5693" s="7"/>
      <c r="R5693" s="1"/>
      <c r="S5693" s="1" t="str">
        <f>"2022-8337"</f>
        <v>2022-8337</v>
      </c>
      <c r="T5693" s="1" t="s">
        <v>55</v>
      </c>
    </row>
    <row r="5694" spans="1:20" ht="51" x14ac:dyDescent="0.25">
      <c r="A5694" s="6">
        <v>5673</v>
      </c>
      <c r="B5694" s="1" t="str">
        <f>"2022-715"</f>
        <v>2022-715</v>
      </c>
      <c r="C5694" s="1" t="s">
        <v>2733</v>
      </c>
      <c r="D5694" s="1" t="s">
        <v>815</v>
      </c>
      <c r="E5694" s="1" t="str">
        <f>""</f>
        <v/>
      </c>
      <c r="F5694" s="1" t="s">
        <v>1860</v>
      </c>
      <c r="G5694" s="1" t="str">
        <f>CONCATENATE("T.P.Z.  D.O.O.,"," NOVOSELSKA 25,"," 10040 ZAGREB,"," OIB: 68119083236")</f>
        <v>T.P.Z.  D.O.O., NOVOSELSKA 25, 10040 ZAGREB, OIB: 68119083236</v>
      </c>
      <c r="H5694" s="7"/>
      <c r="I5694" s="8" t="s">
        <v>146</v>
      </c>
      <c r="J5694" s="7"/>
      <c r="K5694" s="6" t="str">
        <f>"11.008,28"</f>
        <v>11.008,28</v>
      </c>
      <c r="L5694" s="6" t="str">
        <f t="shared" si="240"/>
        <v>0,00</v>
      </c>
      <c r="M5694" s="6" t="str">
        <f>"11.008,28"</f>
        <v>11.008,28</v>
      </c>
      <c r="N5694" s="8" t="s">
        <v>124</v>
      </c>
      <c r="O5694" s="7"/>
      <c r="P5694" s="2">
        <v>0</v>
      </c>
      <c r="Q5694" s="7"/>
      <c r="R5694" s="1"/>
      <c r="S5694" s="1" t="str">
        <f>"2022-8338"</f>
        <v>2022-8338</v>
      </c>
      <c r="T5694" s="1" t="s">
        <v>55</v>
      </c>
    </row>
    <row r="5695" spans="1:20" ht="51" x14ac:dyDescent="0.25">
      <c r="A5695" s="6">
        <v>5674</v>
      </c>
      <c r="B5695" s="1" t="str">
        <f>"2022-269"</f>
        <v>2022-269</v>
      </c>
      <c r="C5695" s="1" t="s">
        <v>3307</v>
      </c>
      <c r="D5695" s="1" t="s">
        <v>3308</v>
      </c>
      <c r="E5695" s="1" t="str">
        <f>""</f>
        <v/>
      </c>
      <c r="F5695" s="1" t="s">
        <v>1860</v>
      </c>
      <c r="G5695" s="1" t="str">
        <f>CONCATENATE("PRO-TEHNA D.O.O.,"," MAKSIMIRSKA 64,"," 10000 ZAGREB,"," OIB: 88951687357")</f>
        <v>PRO-TEHNA D.O.O., MAKSIMIRSKA 64, 10000 ZAGREB, OIB: 88951687357</v>
      </c>
      <c r="H5695" s="7"/>
      <c r="I5695" s="8" t="s">
        <v>146</v>
      </c>
      <c r="J5695" s="7"/>
      <c r="K5695" s="6" t="str">
        <f>"720,00"</f>
        <v>720,00</v>
      </c>
      <c r="L5695" s="6" t="str">
        <f t="shared" si="240"/>
        <v>0,00</v>
      </c>
      <c r="M5695" s="6" t="str">
        <f>"720,00"</f>
        <v>720,00</v>
      </c>
      <c r="N5695" s="8" t="s">
        <v>124</v>
      </c>
      <c r="O5695" s="7"/>
      <c r="P5695" s="2">
        <v>0</v>
      </c>
      <c r="Q5695" s="7"/>
      <c r="R5695" s="1"/>
      <c r="S5695" s="1" t="str">
        <f>"2022-8340"</f>
        <v>2022-8340</v>
      </c>
      <c r="T5695" s="1" t="s">
        <v>55</v>
      </c>
    </row>
    <row r="5696" spans="1:20" ht="51" x14ac:dyDescent="0.25">
      <c r="A5696" s="6">
        <v>5675</v>
      </c>
      <c r="B5696" s="1" t="str">
        <f>"2022-602"</f>
        <v>2022-602</v>
      </c>
      <c r="C5696" s="1" t="s">
        <v>2642</v>
      </c>
      <c r="D5696" s="1" t="s">
        <v>1239</v>
      </c>
      <c r="E5696" s="1" t="str">
        <f>""</f>
        <v/>
      </c>
      <c r="F5696" s="1" t="s">
        <v>1860</v>
      </c>
      <c r="G5696" s="1" t="str">
        <f>CONCATENATE("MEA KINITRO D.O.O.,"," VUKOMEREC 24,"," 10000 ZAGREB,"," OIB: 29719645974")</f>
        <v>MEA KINITRO D.O.O., VUKOMEREC 24, 10000 ZAGREB, OIB: 29719645974</v>
      </c>
      <c r="H5696" s="7"/>
      <c r="I5696" s="8" t="s">
        <v>146</v>
      </c>
      <c r="J5696" s="7"/>
      <c r="K5696" s="6" t="str">
        <f>"1.500,00"</f>
        <v>1.500,00</v>
      </c>
      <c r="L5696" s="6" t="str">
        <f t="shared" si="240"/>
        <v>0,00</v>
      </c>
      <c r="M5696" s="6" t="str">
        <f>"1.500,00"</f>
        <v>1.500,00</v>
      </c>
      <c r="N5696" s="8" t="s">
        <v>124</v>
      </c>
      <c r="O5696" s="7"/>
      <c r="P5696" s="2">
        <v>0</v>
      </c>
      <c r="Q5696" s="7"/>
      <c r="R5696" s="1"/>
      <c r="S5696" s="1" t="str">
        <f>"2022-8341"</f>
        <v>2022-8341</v>
      </c>
      <c r="T5696" s="1" t="s">
        <v>55</v>
      </c>
    </row>
    <row r="5697" spans="1:20" ht="63.75" x14ac:dyDescent="0.25">
      <c r="A5697" s="6">
        <v>5676</v>
      </c>
      <c r="B5697" s="1" t="str">
        <f>"2022-1752"</f>
        <v>2022-1752</v>
      </c>
      <c r="C5697" s="1" t="s">
        <v>3470</v>
      </c>
      <c r="D5697" s="1" t="s">
        <v>3449</v>
      </c>
      <c r="E5697" s="1" t="str">
        <f>""</f>
        <v/>
      </c>
      <c r="F5697" s="1" t="s">
        <v>1860</v>
      </c>
      <c r="G5697" s="1" t="str">
        <f>CONCATENATE("ZAGREL RITTMEYER D.O.O.,"," LJUDEVITA POSAVSKOG 29,"," 10360 SESVETE,"," OIB: 00100837674")</f>
        <v>ZAGREL RITTMEYER D.O.O., LJUDEVITA POSAVSKOG 29, 10360 SESVETE, OIB: 00100837674</v>
      </c>
      <c r="H5697" s="7"/>
      <c r="I5697" s="8" t="s">
        <v>433</v>
      </c>
      <c r="J5697" s="7"/>
      <c r="K5697" s="6" t="str">
        <f>"67.850,00"</f>
        <v>67.850,00</v>
      </c>
      <c r="L5697" s="6" t="str">
        <f t="shared" si="240"/>
        <v>0,00</v>
      </c>
      <c r="M5697" s="6" t="str">
        <f>"67.850,00"</f>
        <v>67.850,00</v>
      </c>
      <c r="N5697" s="8" t="s">
        <v>124</v>
      </c>
      <c r="O5697" s="7"/>
      <c r="P5697" s="2">
        <v>0</v>
      </c>
      <c r="Q5697" s="7"/>
      <c r="R5697" s="1"/>
      <c r="S5697" s="1" t="str">
        <f>"2022-8354"</f>
        <v>2022-8354</v>
      </c>
      <c r="T5697" s="1" t="s">
        <v>55</v>
      </c>
    </row>
    <row r="5698" spans="1:20" ht="63.75" x14ac:dyDescent="0.25">
      <c r="A5698" s="6">
        <v>5677</v>
      </c>
      <c r="B5698" s="1" t="str">
        <f>"2022-248"</f>
        <v>2022-248</v>
      </c>
      <c r="C5698" s="1" t="s">
        <v>3462</v>
      </c>
      <c r="D5698" s="1" t="s">
        <v>3463</v>
      </c>
      <c r="E5698" s="1" t="str">
        <f>""</f>
        <v/>
      </c>
      <c r="F5698" s="1" t="s">
        <v>1860</v>
      </c>
      <c r="G5698" s="1" t="str">
        <f>CONCATENATE("ŠVENDA-TARMANN CHEMIE D.O.O.,"," ČEHOVEC 95,"," 40323 PRELOG,"," OIB: 12443607")</f>
        <v>ŠVENDA-TARMANN CHEMIE D.O.O., ČEHOVEC 95, 40323 PRELOG, OIB: 12443607</v>
      </c>
      <c r="H5698" s="7"/>
      <c r="I5698" s="8" t="s">
        <v>433</v>
      </c>
      <c r="J5698" s="7"/>
      <c r="K5698" s="6" t="str">
        <f>"5.016,00"</f>
        <v>5.016,00</v>
      </c>
      <c r="L5698" s="6" t="str">
        <f t="shared" si="240"/>
        <v>0,00</v>
      </c>
      <c r="M5698" s="6" t="str">
        <f>"5.016,00"</f>
        <v>5.016,00</v>
      </c>
      <c r="N5698" s="8" t="s">
        <v>124</v>
      </c>
      <c r="O5698" s="7"/>
      <c r="P5698" s="2">
        <v>0</v>
      </c>
      <c r="Q5698" s="7"/>
      <c r="R5698" s="1"/>
      <c r="S5698" s="1" t="str">
        <f>"2022-8357"</f>
        <v>2022-8357</v>
      </c>
      <c r="T5698" s="1" t="s">
        <v>55</v>
      </c>
    </row>
    <row r="5699" spans="1:20" ht="63.75" x14ac:dyDescent="0.25">
      <c r="A5699" s="6">
        <v>5678</v>
      </c>
      <c r="B5699" s="1" t="str">
        <f>"2022-816"</f>
        <v>2022-816</v>
      </c>
      <c r="C5699" s="1" t="s">
        <v>3386</v>
      </c>
      <c r="D5699" s="1" t="s">
        <v>2716</v>
      </c>
      <c r="E5699" s="1" t="str">
        <f>""</f>
        <v/>
      </c>
      <c r="F5699" s="1" t="s">
        <v>1860</v>
      </c>
      <c r="G5699" s="1" t="str">
        <f>CONCATENATE("TERRATOM D.O.O.,"," KERESTINEC,"," MIHOLIĆI 11,"," 10431 SVETA NEDJELJA,"," OIB: 44009719915")</f>
        <v>TERRATOM D.O.O., KERESTINEC, MIHOLIĆI 11, 10431 SVETA NEDJELJA, OIB: 44009719915</v>
      </c>
      <c r="H5699" s="7"/>
      <c r="I5699" s="8" t="s">
        <v>433</v>
      </c>
      <c r="J5699" s="7"/>
      <c r="K5699" s="6" t="str">
        <f>"11.115,78"</f>
        <v>11.115,78</v>
      </c>
      <c r="L5699" s="6" t="str">
        <f t="shared" si="240"/>
        <v>0,00</v>
      </c>
      <c r="M5699" s="6" t="str">
        <f>"11.115,78"</f>
        <v>11.115,78</v>
      </c>
      <c r="N5699" s="8" t="s">
        <v>124</v>
      </c>
      <c r="O5699" s="7"/>
      <c r="P5699" s="2">
        <v>0</v>
      </c>
      <c r="Q5699" s="7"/>
      <c r="R5699" s="1"/>
      <c r="S5699" s="1" t="str">
        <f>"2022-8361"</f>
        <v>2022-8361</v>
      </c>
      <c r="T5699" s="1" t="s">
        <v>55</v>
      </c>
    </row>
    <row r="5700" spans="1:20" ht="51" x14ac:dyDescent="0.25">
      <c r="A5700" s="6">
        <v>5679</v>
      </c>
      <c r="B5700" s="1" t="str">
        <f>"2022-572"</f>
        <v>2022-572</v>
      </c>
      <c r="C5700" s="1" t="s">
        <v>3414</v>
      </c>
      <c r="D5700" s="1" t="s">
        <v>3415</v>
      </c>
      <c r="E5700" s="1" t="str">
        <f>""</f>
        <v/>
      </c>
      <c r="F5700" s="1" t="s">
        <v>1860</v>
      </c>
      <c r="G5700" s="1" t="str">
        <f>CONCATENATE("BENNING ZAGREB D.O.O.,"," TRNJANSKA 61,"," 10000 ZAGREB,"," OIB: 60930344089")</f>
        <v>BENNING ZAGREB D.O.O., TRNJANSKA 61, 10000 ZAGREB, OIB: 60930344089</v>
      </c>
      <c r="H5700" s="7"/>
      <c r="I5700" s="8" t="s">
        <v>170</v>
      </c>
      <c r="J5700" s="7"/>
      <c r="K5700" s="6" t="str">
        <f>"59.430,00"</f>
        <v>59.430,00</v>
      </c>
      <c r="L5700" s="6" t="str">
        <f t="shared" si="240"/>
        <v>0,00</v>
      </c>
      <c r="M5700" s="6" t="str">
        <f>"59.430,00"</f>
        <v>59.430,00</v>
      </c>
      <c r="N5700" s="8" t="s">
        <v>124</v>
      </c>
      <c r="O5700" s="7"/>
      <c r="P5700" s="2">
        <v>0</v>
      </c>
      <c r="Q5700" s="7"/>
      <c r="R5700" s="1"/>
      <c r="S5700" s="1" t="str">
        <f>"2022-8386"</f>
        <v>2022-8386</v>
      </c>
      <c r="T5700" s="1" t="s">
        <v>55</v>
      </c>
    </row>
    <row r="5701" spans="1:20" ht="63.75" x14ac:dyDescent="0.25">
      <c r="A5701" s="6">
        <v>5680</v>
      </c>
      <c r="B5701" s="1" t="str">
        <f>"2022-490"</f>
        <v>2022-490</v>
      </c>
      <c r="C5701" s="1" t="s">
        <v>3471</v>
      </c>
      <c r="D5701" s="1" t="s">
        <v>3472</v>
      </c>
      <c r="E5701" s="1" t="str">
        <f>""</f>
        <v/>
      </c>
      <c r="F5701" s="1" t="s">
        <v>1860</v>
      </c>
      <c r="G5701" s="1" t="str">
        <f>CONCATENATE("M.B. NIROMETAL D.O.O.,"," ANTE STARČEVIĆA 41,"," 10 360 SESVETE,"," OIB: 7702513615")</f>
        <v>M.B. NIROMETAL D.O.O., ANTE STARČEVIĆA 41, 10 360 SESVETE, OIB: 7702513615</v>
      </c>
      <c r="H5701" s="7"/>
      <c r="I5701" s="8" t="s">
        <v>170</v>
      </c>
      <c r="J5701" s="7"/>
      <c r="K5701" s="6" t="str">
        <f>"54.400,00"</f>
        <v>54.400,00</v>
      </c>
      <c r="L5701" s="6" t="str">
        <f t="shared" si="240"/>
        <v>0,00</v>
      </c>
      <c r="M5701" s="6" t="str">
        <f>"54.400,00"</f>
        <v>54.400,00</v>
      </c>
      <c r="N5701" s="8" t="s">
        <v>124</v>
      </c>
      <c r="O5701" s="7"/>
      <c r="P5701" s="2">
        <v>0</v>
      </c>
      <c r="Q5701" s="7"/>
      <c r="R5701" s="1"/>
      <c r="S5701" s="1" t="str">
        <f>"2022-8387"</f>
        <v>2022-8387</v>
      </c>
      <c r="T5701" s="1" t="s">
        <v>55</v>
      </c>
    </row>
    <row r="5702" spans="1:20" ht="63.75" x14ac:dyDescent="0.25">
      <c r="A5702" s="6">
        <v>5681</v>
      </c>
      <c r="B5702" s="1" t="str">
        <f>"2022-1752"</f>
        <v>2022-1752</v>
      </c>
      <c r="C5702" s="1" t="s">
        <v>3470</v>
      </c>
      <c r="D5702" s="1" t="s">
        <v>3449</v>
      </c>
      <c r="E5702" s="1" t="str">
        <f>""</f>
        <v/>
      </c>
      <c r="F5702" s="1" t="s">
        <v>1860</v>
      </c>
      <c r="G5702" s="1" t="str">
        <f>CONCATENATE("TEHNOZAVOD-MARUŠIĆ D.O.O.,"," XIII PODBREŽJE 26,"," 10000 ZAGREB,"," OIB: 2192647279")</f>
        <v>TEHNOZAVOD-MARUŠIĆ D.O.O., XIII PODBREŽJE 26, 10000 ZAGREB, OIB: 2192647279</v>
      </c>
      <c r="H5702" s="7"/>
      <c r="I5702" s="8" t="s">
        <v>170</v>
      </c>
      <c r="J5702" s="7"/>
      <c r="K5702" s="6" t="str">
        <f>"15.966,43"</f>
        <v>15.966,43</v>
      </c>
      <c r="L5702" s="6" t="str">
        <f t="shared" si="240"/>
        <v>0,00</v>
      </c>
      <c r="M5702" s="6" t="str">
        <f>"15.966,43"</f>
        <v>15.966,43</v>
      </c>
      <c r="N5702" s="8" t="s">
        <v>124</v>
      </c>
      <c r="O5702" s="7"/>
      <c r="P5702" s="2">
        <v>0</v>
      </c>
      <c r="Q5702" s="7"/>
      <c r="R5702" s="1"/>
      <c r="S5702" s="1" t="str">
        <f>"2022-8389"</f>
        <v>2022-8389</v>
      </c>
      <c r="T5702" s="1" t="s">
        <v>55</v>
      </c>
    </row>
    <row r="5703" spans="1:20" ht="63.75" x14ac:dyDescent="0.25">
      <c r="A5703" s="6">
        <v>5682</v>
      </c>
      <c r="B5703" s="1" t="str">
        <f>"2022-244"</f>
        <v>2022-244</v>
      </c>
      <c r="C5703" s="1" t="s">
        <v>2677</v>
      </c>
      <c r="D5703" s="1" t="s">
        <v>3469</v>
      </c>
      <c r="E5703" s="1" t="str">
        <f>""</f>
        <v/>
      </c>
      <c r="F5703" s="1" t="s">
        <v>1860</v>
      </c>
      <c r="G5703" s="1" t="str">
        <f>CONCATENATE("GRADSKA LJEKARNA ZAGREB,"," KRALJA DRŽISLAVA 6,"," 10000 ZAGREB,"," OIB: 37268254106")</f>
        <v>GRADSKA LJEKARNA ZAGREB, KRALJA DRŽISLAVA 6, 10000 ZAGREB, OIB: 37268254106</v>
      </c>
      <c r="H5703" s="7"/>
      <c r="I5703" s="8" t="s">
        <v>112</v>
      </c>
      <c r="J5703" s="7"/>
      <c r="K5703" s="6" t="str">
        <f>"16.155,55"</f>
        <v>16.155,55</v>
      </c>
      <c r="L5703" s="6" t="str">
        <f t="shared" si="240"/>
        <v>0,00</v>
      </c>
      <c r="M5703" s="6" t="str">
        <f>"16.155,55"</f>
        <v>16.155,55</v>
      </c>
      <c r="N5703" s="8" t="s">
        <v>124</v>
      </c>
      <c r="O5703" s="7"/>
      <c r="P5703" s="2">
        <v>0</v>
      </c>
      <c r="Q5703" s="7"/>
      <c r="R5703" s="1"/>
      <c r="S5703" s="1" t="str">
        <f>"2022-8430"</f>
        <v>2022-8430</v>
      </c>
      <c r="T5703" s="1" t="s">
        <v>86</v>
      </c>
    </row>
    <row r="5704" spans="1:20" ht="63.75" x14ac:dyDescent="0.25">
      <c r="A5704" s="6">
        <v>5683</v>
      </c>
      <c r="B5704" s="1" t="str">
        <f>"2022-788"</f>
        <v>2022-788</v>
      </c>
      <c r="C5704" s="1" t="s">
        <v>3313</v>
      </c>
      <c r="D5704" s="1" t="s">
        <v>1383</v>
      </c>
      <c r="E5704" s="1" t="str">
        <f>""</f>
        <v/>
      </c>
      <c r="F5704" s="1" t="s">
        <v>1860</v>
      </c>
      <c r="G5704" s="1" t="str">
        <f>CONCATENATE("INSTALACIJE ZEBA,"," IVICA ZEBA,"," ULICA ČRNJEVIĆI II13,"," 49210 ZABOK,"," OIB: 13578695092")</f>
        <v>INSTALACIJE ZEBA, IVICA ZEBA, ULICA ČRNJEVIĆI II13, 49210 ZABOK, OIB: 13578695092</v>
      </c>
      <c r="H5704" s="7"/>
      <c r="I5704" s="8" t="s">
        <v>112</v>
      </c>
      <c r="J5704" s="7"/>
      <c r="K5704" s="6" t="str">
        <f>"1.630,96"</f>
        <v>1.630,96</v>
      </c>
      <c r="L5704" s="6" t="str">
        <f t="shared" si="240"/>
        <v>0,00</v>
      </c>
      <c r="M5704" s="6" t="str">
        <f>"1.630,96"</f>
        <v>1.630,96</v>
      </c>
      <c r="N5704" s="8" t="s">
        <v>124</v>
      </c>
      <c r="O5704" s="7"/>
      <c r="P5704" s="2">
        <v>0</v>
      </c>
      <c r="Q5704" s="7"/>
      <c r="R5704" s="1"/>
      <c r="S5704" s="1" t="str">
        <f>"2022-8448"</f>
        <v>2022-8448</v>
      </c>
      <c r="T5704" s="1" t="s">
        <v>86</v>
      </c>
    </row>
    <row r="5705" spans="1:20" ht="51" x14ac:dyDescent="0.25">
      <c r="A5705" s="6">
        <v>5684</v>
      </c>
      <c r="B5705" s="1" t="str">
        <f>"2022-716"</f>
        <v>2022-716</v>
      </c>
      <c r="C5705" s="1" t="s">
        <v>2563</v>
      </c>
      <c r="D5705" s="1" t="s">
        <v>815</v>
      </c>
      <c r="E5705" s="1" t="str">
        <f>""</f>
        <v/>
      </c>
      <c r="F5705" s="1" t="s">
        <v>1860</v>
      </c>
      <c r="G5705" s="1" t="str">
        <f>CONCATENATE("ZUBAK GRUPA D.O.O.,"," ZAGREBAČKA 117,"," 10410 VELIKA GORICA,"," OIB: 39135989747")</f>
        <v>ZUBAK GRUPA D.O.O., ZAGREBAČKA 117, 10410 VELIKA GORICA, OIB: 39135989747</v>
      </c>
      <c r="H5705" s="7"/>
      <c r="I5705" s="8" t="s">
        <v>121</v>
      </c>
      <c r="J5705" s="7"/>
      <c r="K5705" s="6" t="str">
        <f>"23.219,03"</f>
        <v>23.219,03</v>
      </c>
      <c r="L5705" s="6" t="str">
        <f t="shared" si="240"/>
        <v>0,00</v>
      </c>
      <c r="M5705" s="6" t="str">
        <f>"23.219,03"</f>
        <v>23.219,03</v>
      </c>
      <c r="N5705" s="8" t="s">
        <v>124</v>
      </c>
      <c r="O5705" s="7"/>
      <c r="P5705" s="2">
        <v>0</v>
      </c>
      <c r="Q5705" s="7"/>
      <c r="R5705" s="1"/>
      <c r="S5705" s="1" t="str">
        <f>"2022-8460"</f>
        <v>2022-8460</v>
      </c>
      <c r="T5705" s="1" t="s">
        <v>55</v>
      </c>
    </row>
    <row r="5706" spans="1:20" ht="76.5" x14ac:dyDescent="0.25">
      <c r="A5706" s="6">
        <v>5685</v>
      </c>
      <c r="B5706" s="1" t="str">
        <f>"2022-201"</f>
        <v>2022-201</v>
      </c>
      <c r="C5706" s="1" t="s">
        <v>2651</v>
      </c>
      <c r="D5706" s="1" t="s">
        <v>3473</v>
      </c>
      <c r="E5706" s="1" t="str">
        <f>""</f>
        <v/>
      </c>
      <c r="F5706" s="1" t="s">
        <v>1860</v>
      </c>
      <c r="G5706" s="1" t="str">
        <f>CONCATENATE("SMIT-COMMERCE D.O.O.,"," GORNJOSTUPNIČKA 9B,"," 10255 GORNJI STUPNIK,"," OIB: 9524348214")</f>
        <v>SMIT-COMMERCE D.O.O., GORNJOSTUPNIČKA 9B, 10255 GORNJI STUPNIK, OIB: 9524348214</v>
      </c>
      <c r="H5706" s="7"/>
      <c r="I5706" s="8" t="s">
        <v>121</v>
      </c>
      <c r="J5706" s="7"/>
      <c r="K5706" s="6" t="str">
        <f>"4.611,50"</f>
        <v>4.611,50</v>
      </c>
      <c r="L5706" s="6" t="str">
        <f t="shared" si="240"/>
        <v>0,00</v>
      </c>
      <c r="M5706" s="6" t="str">
        <f>"4.611,50"</f>
        <v>4.611,50</v>
      </c>
      <c r="N5706" s="8" t="s">
        <v>124</v>
      </c>
      <c r="O5706" s="7"/>
      <c r="P5706" s="2">
        <v>0</v>
      </c>
      <c r="Q5706" s="7"/>
      <c r="R5706" s="1"/>
      <c r="S5706" s="1" t="str">
        <f>"2022-8466"</f>
        <v>2022-8466</v>
      </c>
      <c r="T5706" s="1" t="s">
        <v>55</v>
      </c>
    </row>
    <row r="5707" spans="1:20" ht="51" x14ac:dyDescent="0.25">
      <c r="A5707" s="6">
        <v>5686</v>
      </c>
      <c r="B5707" s="1" t="str">
        <f>"2022-678"</f>
        <v>2022-678</v>
      </c>
      <c r="C5707" s="1" t="s">
        <v>3429</v>
      </c>
      <c r="D5707" s="1" t="s">
        <v>3430</v>
      </c>
      <c r="E5707" s="1" t="str">
        <f>""</f>
        <v/>
      </c>
      <c r="F5707" s="1" t="s">
        <v>1860</v>
      </c>
      <c r="G5707" s="1" t="str">
        <f>CONCATENATE("CONTROLMATIK D.O.O.,"," PRIMORSKA 1,"," 42000 VARAŽDIN,"," OIB: 25020037517")</f>
        <v>CONTROLMATIK D.O.O., PRIMORSKA 1, 42000 VARAŽDIN, OIB: 25020037517</v>
      </c>
      <c r="H5707" s="7"/>
      <c r="I5707" s="8" t="s">
        <v>121</v>
      </c>
      <c r="J5707" s="7"/>
      <c r="K5707" s="6" t="str">
        <f>"50.100,00"</f>
        <v>50.100,00</v>
      </c>
      <c r="L5707" s="6" t="str">
        <f t="shared" si="240"/>
        <v>0,00</v>
      </c>
      <c r="M5707" s="6" t="str">
        <f>"50.100,00"</f>
        <v>50.100,00</v>
      </c>
      <c r="N5707" s="8" t="s">
        <v>124</v>
      </c>
      <c r="O5707" s="7"/>
      <c r="P5707" s="2">
        <v>0</v>
      </c>
      <c r="Q5707" s="7"/>
      <c r="R5707" s="1"/>
      <c r="S5707" s="1" t="str">
        <f>"2022-8481"</f>
        <v>2022-8481</v>
      </c>
      <c r="T5707" s="1" t="s">
        <v>55</v>
      </c>
    </row>
    <row r="5708" spans="1:20" ht="63.75" x14ac:dyDescent="0.25">
      <c r="A5708" s="6">
        <v>5687</v>
      </c>
      <c r="B5708" s="1" t="str">
        <f>"2022-672"</f>
        <v>2022-672</v>
      </c>
      <c r="C5708" s="1" t="s">
        <v>3474</v>
      </c>
      <c r="D5708" s="1" t="s">
        <v>1381</v>
      </c>
      <c r="E5708" s="1" t="str">
        <f>""</f>
        <v/>
      </c>
      <c r="F5708" s="1" t="s">
        <v>1860</v>
      </c>
      <c r="G5708" s="1" t="str">
        <f>CONCATENATE("HYDRA LUKA 2007 D.O.O.,"," GUSTAVA KRKLECA 29,"," 10000 ZAGREB,"," OIB: 63857920005")</f>
        <v>HYDRA LUKA 2007 D.O.O., GUSTAVA KRKLECA 29, 10000 ZAGREB, OIB: 63857920005</v>
      </c>
      <c r="H5708" s="7"/>
      <c r="I5708" s="8" t="s">
        <v>121</v>
      </c>
      <c r="J5708" s="7"/>
      <c r="K5708" s="6" t="str">
        <f>"57.232,00"</f>
        <v>57.232,00</v>
      </c>
      <c r="L5708" s="6" t="str">
        <f t="shared" si="240"/>
        <v>0,00</v>
      </c>
      <c r="M5708" s="6" t="str">
        <f>"57.232,00"</f>
        <v>57.232,00</v>
      </c>
      <c r="N5708" s="8" t="s">
        <v>124</v>
      </c>
      <c r="O5708" s="7"/>
      <c r="P5708" s="2">
        <v>0</v>
      </c>
      <c r="Q5708" s="7"/>
      <c r="R5708" s="1"/>
      <c r="S5708" s="1" t="str">
        <f>"2022-8487"</f>
        <v>2022-8487</v>
      </c>
      <c r="T5708" s="1" t="s">
        <v>55</v>
      </c>
    </row>
    <row r="5709" spans="1:20" ht="140.25" x14ac:dyDescent="0.25">
      <c r="A5709" s="6">
        <v>5688</v>
      </c>
      <c r="B5709" s="1" t="str">
        <f>"2017-2498"</f>
        <v>2017-2498</v>
      </c>
      <c r="C5709" s="1" t="s">
        <v>3475</v>
      </c>
      <c r="D5709" s="1" t="s">
        <v>3476</v>
      </c>
      <c r="E5709" s="1" t="str">
        <f>"2017/S 0F2-0028110"</f>
        <v>2017/S 0F2-0028110</v>
      </c>
      <c r="F5709" s="1" t="s">
        <v>22</v>
      </c>
      <c r="G5709" s="1" t="str">
        <f>CONCATENATE("OT–OPTIMA TELEKOM D.D.,"," BANI 75/A,"," 10000 ZAGREB,"," OIB: 36004425025")</f>
        <v>OT–OPTIMA TELEKOM D.D., BANI 75/A, 10000 ZAGREB, OIB: 36004425025</v>
      </c>
      <c r="H5709" s="7"/>
      <c r="I5709" s="8" t="s">
        <v>3477</v>
      </c>
      <c r="J5709" s="8" t="s">
        <v>3478</v>
      </c>
      <c r="K5709" s="6" t="str">
        <f>"11.380.000,00"</f>
        <v>11.380.000,00</v>
      </c>
      <c r="L5709" s="6" t="str">
        <f>"2.845.000,00"</f>
        <v>2.845.000,00</v>
      </c>
      <c r="M5709" s="6" t="str">
        <f>"14.225.000,00"</f>
        <v>14.225.000,00</v>
      </c>
      <c r="N5709" s="8" t="s">
        <v>3479</v>
      </c>
      <c r="O5709" s="7"/>
      <c r="P5709" s="2" t="s">
        <v>8418</v>
      </c>
      <c r="Q5709" s="7"/>
      <c r="R5709" s="1"/>
      <c r="S5709" s="1" t="str">
        <f>"NOS-168-ZGH/17"</f>
        <v>NOS-168-ZGH/17</v>
      </c>
      <c r="T5709" s="1" t="s">
        <v>1004</v>
      </c>
    </row>
    <row r="5710" spans="1:20" ht="51" x14ac:dyDescent="0.25">
      <c r="A5710" s="6">
        <v>5689</v>
      </c>
      <c r="B5710" s="1" t="str">
        <f>"2018-1444"</f>
        <v>2018-1444</v>
      </c>
      <c r="C5710" s="1" t="s">
        <v>3480</v>
      </c>
      <c r="D5710" s="1" t="s">
        <v>467</v>
      </c>
      <c r="E5710" s="1" t="str">
        <f>"2018/S 0F2-0037062"</f>
        <v>2018/S 0F2-0037062</v>
      </c>
      <c r="F5710" s="1" t="s">
        <v>22</v>
      </c>
      <c r="G5710" s="1" t="str">
        <f>CONCATENATE("KING ICT D.O.O.,"," BUZINSKI PRILAZ 10,"," 10010 ZAGREB,"," OIB: 67001695549")</f>
        <v>KING ICT D.O.O., BUZINSKI PRILAZ 10, 10010 ZAGREB, OIB: 67001695549</v>
      </c>
      <c r="H5710" s="7"/>
      <c r="I5710" s="8" t="s">
        <v>464</v>
      </c>
      <c r="J5710" s="8" t="s">
        <v>145</v>
      </c>
      <c r="K5710" s="6" t="str">
        <f>"1.200.000,00"</f>
        <v>1.200.000,00</v>
      </c>
      <c r="L5710" s="6" t="str">
        <f>"300.000,00"</f>
        <v>300.000,00</v>
      </c>
      <c r="M5710" s="6" t="str">
        <f>"1.500.000,00"</f>
        <v>1.500.000,00</v>
      </c>
      <c r="N5710" s="8" t="s">
        <v>904</v>
      </c>
      <c r="O5710" s="7"/>
      <c r="P5710" s="2" t="s">
        <v>5614</v>
      </c>
      <c r="Q5710" s="7"/>
      <c r="R5710" s="1"/>
      <c r="S5710" s="1" t="str">
        <f>"NOS-120/18"</f>
        <v>NOS-120/18</v>
      </c>
      <c r="T5710" s="1" t="s">
        <v>43</v>
      </c>
    </row>
    <row r="5711" spans="1:20" ht="178.5" x14ac:dyDescent="0.25">
      <c r="A5711" s="6">
        <v>5690</v>
      </c>
      <c r="B5711" s="1" t="str">
        <f>"2018-2794"</f>
        <v>2018-2794</v>
      </c>
      <c r="C5711" s="1" t="s">
        <v>1545</v>
      </c>
      <c r="D5711" s="1" t="s">
        <v>1546</v>
      </c>
      <c r="E5711" s="1" t="str">
        <f>"2018/S 0F2-0021956"</f>
        <v>2018/S 0F2-0021956</v>
      </c>
      <c r="F5711" s="1" t="s">
        <v>22</v>
      </c>
      <c r="G5711" s="1" t="str">
        <f>CONCATENATE("NARODNE NOVINE D.D.,"," ,"," OIB: 64546066176",CHAR(10),"",CHAR(10),"INSAKO D.O.O.,"," PUŽEVA 11,"," 10000 ZAGREB,"," OIB: 39851720584")</f>
        <v>NARODNE NOVINE D.D., , OIB: 64546066176
INSAKO D.O.O., PUŽEVA 11, 10000 ZAGREB, OIB: 39851720584</v>
      </c>
      <c r="H5711" s="7"/>
      <c r="I5711" s="8" t="s">
        <v>445</v>
      </c>
      <c r="J5711" s="8" t="s">
        <v>2074</v>
      </c>
      <c r="K5711" s="6" t="str">
        <f>"3.885.000,00"</f>
        <v>3.885.000,00</v>
      </c>
      <c r="L5711" s="6" t="str">
        <f>"971.250,00"</f>
        <v>971.250,00</v>
      </c>
      <c r="M5711" s="6" t="str">
        <f>"4.856.250,00"</f>
        <v>4.856.250,00</v>
      </c>
      <c r="N5711" s="8" t="s">
        <v>2587</v>
      </c>
      <c r="O5711" s="7"/>
      <c r="P5711" s="2" t="s">
        <v>8419</v>
      </c>
      <c r="Q5711" s="7"/>
      <c r="R5711" s="1"/>
      <c r="S5711" s="1" t="str">
        <f>"NOS-131-ZGH/18"</f>
        <v>NOS-131-ZGH/18</v>
      </c>
      <c r="T5711" s="1" t="s">
        <v>531</v>
      </c>
    </row>
    <row r="5712" spans="1:20" ht="89.25" x14ac:dyDescent="0.25">
      <c r="A5712" s="6">
        <v>5691</v>
      </c>
      <c r="B5712" s="1" t="str">
        <f>"2018-2782"</f>
        <v>2018-2782</v>
      </c>
      <c r="C5712" s="1" t="s">
        <v>3481</v>
      </c>
      <c r="D5712" s="1" t="s">
        <v>837</v>
      </c>
      <c r="E5712" s="1" t="str">
        <f>"2018/S 0F2-0027344"</f>
        <v>2018/S 0F2-0027344</v>
      </c>
      <c r="F5712" s="1" t="s">
        <v>22</v>
      </c>
      <c r="G5712" s="1" t="str">
        <f>CONCATENATE("ROTO DINAMIC D.O.O.,"," ,"," OIB: 24723122482",CHAR(10),"",CHAR(10),"KONZUM PLUS D.O.O.,"," MARIJANA ČAVIĆA 1,"," 10000 ZAGREB,"," OIB: 62226620908")</f>
        <v>ROTO DINAMIC D.O.O., , OIB: 24723122482
KONZUM PLUS D.O.O., MARIJANA ČAVIĆA 1, 10000 ZAGREB, OIB: 62226620908</v>
      </c>
      <c r="H5712" s="7"/>
      <c r="I5712" s="8" t="s">
        <v>3482</v>
      </c>
      <c r="J5712" s="8" t="s">
        <v>3483</v>
      </c>
      <c r="K5712" s="6" t="str">
        <f>"1.935.700,00"</f>
        <v>1.935.700,00</v>
      </c>
      <c r="L5712" s="6" t="str">
        <f>"483.925,00"</f>
        <v>483.925,00</v>
      </c>
      <c r="M5712" s="6" t="str">
        <f>"2.419.625,00"</f>
        <v>2.419.625,00</v>
      </c>
      <c r="N5712" s="8" t="s">
        <v>3484</v>
      </c>
      <c r="O5712" s="7"/>
      <c r="P5712" s="2" t="s">
        <v>8420</v>
      </c>
      <c r="Q5712" s="7"/>
      <c r="R5712" s="1"/>
      <c r="S5712" s="1" t="str">
        <f>"NOS-135-H/18"</f>
        <v>NOS-135-H/18</v>
      </c>
      <c r="T5712" s="1" t="s">
        <v>3485</v>
      </c>
    </row>
    <row r="5713" spans="1:20" ht="63.75" x14ac:dyDescent="0.25">
      <c r="A5713" s="6">
        <v>5692</v>
      </c>
      <c r="B5713" s="1" t="str">
        <f>"2018-3134"</f>
        <v>2018-3134</v>
      </c>
      <c r="C5713" s="1" t="s">
        <v>3486</v>
      </c>
      <c r="D5713" s="1" t="s">
        <v>3487</v>
      </c>
      <c r="E5713" s="1" t="str">
        <f>"2019/S 0F2-0000736"</f>
        <v>2019/S 0F2-0000736</v>
      </c>
      <c r="F5713" s="1" t="s">
        <v>22</v>
      </c>
      <c r="G5713" s="1" t="str">
        <f>CONCATENATE("OMEGA SOFTWARE D.O.O.,"," KAMENARKA 37,"," 10010 ZAGREB-SLOBOŠTINA,"," OIB: 40102169932")</f>
        <v>OMEGA SOFTWARE D.O.O., KAMENARKA 37, 10010 ZAGREB-SLOBOŠTINA, OIB: 40102169932</v>
      </c>
      <c r="H5713" s="7"/>
      <c r="I5713" s="8" t="s">
        <v>3488</v>
      </c>
      <c r="J5713" s="8" t="s">
        <v>3489</v>
      </c>
      <c r="K5713" s="6" t="str">
        <f>"6.950.000,00"</f>
        <v>6.950.000,00</v>
      </c>
      <c r="L5713" s="6" t="str">
        <f>"1.737.500,00"</f>
        <v>1.737.500,00</v>
      </c>
      <c r="M5713" s="6" t="str">
        <f>"8.687.500,00"</f>
        <v>8.687.500,00</v>
      </c>
      <c r="N5713" s="8" t="s">
        <v>3490</v>
      </c>
      <c r="O5713" s="7"/>
      <c r="P5713" s="2" t="s">
        <v>8421</v>
      </c>
      <c r="Q5713" s="7"/>
      <c r="R5713" s="1"/>
      <c r="S5713" s="1" t="str">
        <f>"NOS-138/18"</f>
        <v>NOS-138/18</v>
      </c>
      <c r="T5713" s="1" t="s">
        <v>452</v>
      </c>
    </row>
    <row r="5714" spans="1:20" ht="165.75" x14ac:dyDescent="0.25">
      <c r="A5714" s="6">
        <v>5693</v>
      </c>
      <c r="B5714" s="1" t="str">
        <f>"2019-8"</f>
        <v>2019-8</v>
      </c>
      <c r="C5714" s="1" t="s">
        <v>3491</v>
      </c>
      <c r="D5714" s="1" t="s">
        <v>945</v>
      </c>
      <c r="E5714" s="1" t="str">
        <f>"2019/S 0F2-0015761"</f>
        <v>2019/S 0F2-0015761</v>
      </c>
      <c r="F5714" s="1" t="s">
        <v>22</v>
      </c>
      <c r="G5714" s="1" t="str">
        <f>CONCATENATE("Zajednica ponuditelja",CHAR(10),"CE-ZA-R D.O.O.,"," JOSIPA LONČARA 15,"," 10090 ZAGREB,"," OIB: 03860945174REOMA GRUPA D.O.O. ,"," OIB: 61791785783")</f>
        <v>Zajednica ponuditelja
CE-ZA-R D.O.O., JOSIPA LONČARA 15, 10090 ZAGREB, OIB: 03860945174REOMA GRUPA D.O.O. , OIB: 61791785783</v>
      </c>
      <c r="H5714" s="7"/>
      <c r="I5714" s="8" t="s">
        <v>3492</v>
      </c>
      <c r="J5714" s="8" t="s">
        <v>2740</v>
      </c>
      <c r="K5714" s="6" t="str">
        <f>"12.600.000,00"</f>
        <v>12.600.000,00</v>
      </c>
      <c r="L5714" s="6" t="str">
        <f>"3.150.000,00"</f>
        <v>3.150.000,00</v>
      </c>
      <c r="M5714" s="6" t="str">
        <f>"15.750.000,00"</f>
        <v>15.750.000,00</v>
      </c>
      <c r="N5714" s="8" t="s">
        <v>108</v>
      </c>
      <c r="O5714" s="7"/>
      <c r="P5714" s="2" t="s">
        <v>5614</v>
      </c>
      <c r="Q5714" s="7"/>
      <c r="R5714" s="1"/>
      <c r="S5714" s="1" t="str">
        <f>"NOS-1-A/19"</f>
        <v>NOS-1-A/19</v>
      </c>
      <c r="T5714" s="1" t="s">
        <v>32</v>
      </c>
    </row>
    <row r="5715" spans="1:20" ht="63.75" x14ac:dyDescent="0.25">
      <c r="A5715" s="6">
        <v>5694</v>
      </c>
      <c r="B5715" s="1" t="str">
        <f>"2019-248"</f>
        <v>2019-248</v>
      </c>
      <c r="C5715" s="1" t="s">
        <v>3493</v>
      </c>
      <c r="D5715" s="1" t="s">
        <v>2043</v>
      </c>
      <c r="E5715" s="1" t="str">
        <f>" 2019/S 0F2-0047501"</f>
        <v xml:space="preserve"> 2019/S 0F2-0047501</v>
      </c>
      <c r="F5715" s="1" t="s">
        <v>22</v>
      </c>
      <c r="G5715" s="1" t="str">
        <f>CONCATENATE("TEHNOZAVOD-MARUŠIĆ D.O.O.,"," XIII PODBREŽJE 26,"," 10000 ZAGREB,"," OIB: 2192647279")</f>
        <v>TEHNOZAVOD-MARUŠIĆ D.O.O., XIII PODBREŽJE 26, 10000 ZAGREB, OIB: 2192647279</v>
      </c>
      <c r="H5715" s="1" t="str">
        <f>CONCATENATE("KING ICT D.O.O.,"," OIB: 67001695549")</f>
        <v>KING ICT D.O.O., OIB: 67001695549</v>
      </c>
      <c r="I5715" s="8" t="s">
        <v>3494</v>
      </c>
      <c r="J5715" s="8" t="s">
        <v>1889</v>
      </c>
      <c r="K5715" s="6" t="str">
        <f>"28.000.000,00"</f>
        <v>28.000.000,00</v>
      </c>
      <c r="L5715" s="6" t="str">
        <f>"7.000.000,00"</f>
        <v>7.000.000,00</v>
      </c>
      <c r="M5715" s="6" t="str">
        <f>"35.000.000,00"</f>
        <v>35.000.000,00</v>
      </c>
      <c r="N5715" s="8" t="s">
        <v>3495</v>
      </c>
      <c r="O5715" s="7"/>
      <c r="P5715" s="2" t="s">
        <v>5614</v>
      </c>
      <c r="Q5715" s="7"/>
      <c r="R5715" s="1"/>
      <c r="S5715" s="1" t="str">
        <f>"NOS-100/19"</f>
        <v>NOS-100/19</v>
      </c>
      <c r="T5715" s="1" t="s">
        <v>55</v>
      </c>
    </row>
    <row r="5716" spans="1:20" ht="63.75" x14ac:dyDescent="0.25">
      <c r="A5716" s="6">
        <v>5695</v>
      </c>
      <c r="B5716" s="1" t="str">
        <f>"2016-2528"</f>
        <v>2016-2528</v>
      </c>
      <c r="C5716" s="1" t="s">
        <v>3496</v>
      </c>
      <c r="D5716" s="1" t="s">
        <v>702</v>
      </c>
      <c r="E5716" s="1" t="str">
        <f>""</f>
        <v/>
      </c>
      <c r="F5716" s="1" t="s">
        <v>1860</v>
      </c>
      <c r="G5716" s="1" t="str">
        <f>CONCATENATE(" BOLČEVIĆ-GRADNJA D.O.O.,"," DUGOSELSKA CESTA 56,"," 10361 SESVETSKI KRALJEVEC,"," OIB: 520986705")</f>
        <v xml:space="preserve"> BOLČEVIĆ-GRADNJA D.O.O., DUGOSELSKA CESTA 56, 10361 SESVETSKI KRALJEVEC, OIB: 520986705</v>
      </c>
      <c r="H5716" s="7"/>
      <c r="I5716" s="8" t="s">
        <v>3497</v>
      </c>
      <c r="J5716" s="8" t="s">
        <v>3498</v>
      </c>
      <c r="K5716" s="6" t="str">
        <f>"256.901,80"</f>
        <v>256.901,80</v>
      </c>
      <c r="L5716" s="6" t="str">
        <f>"64.225,45"</f>
        <v>64.225,45</v>
      </c>
      <c r="M5716" s="6" t="str">
        <f>"321.127,25"</f>
        <v>321.127,25</v>
      </c>
      <c r="N5716" s="8" t="s">
        <v>3499</v>
      </c>
      <c r="O5716" s="7"/>
      <c r="P5716" s="2" t="s">
        <v>8422</v>
      </c>
      <c r="Q5716" s="7"/>
      <c r="R5716" s="1"/>
      <c r="S5716" s="1" t="str">
        <f>"N-B-34/16"</f>
        <v>N-B-34/16</v>
      </c>
      <c r="T5716" s="1" t="s">
        <v>452</v>
      </c>
    </row>
    <row r="5717" spans="1:20" ht="51" x14ac:dyDescent="0.25">
      <c r="A5717" s="6">
        <v>5696</v>
      </c>
      <c r="B5717" s="1" t="str">
        <f>"2016-1912"</f>
        <v>2016-1912</v>
      </c>
      <c r="C5717" s="1" t="s">
        <v>3500</v>
      </c>
      <c r="D5717" s="1" t="s">
        <v>941</v>
      </c>
      <c r="E5717" s="1" t="str">
        <f>""</f>
        <v/>
      </c>
      <c r="F5717" s="1" t="s">
        <v>1860</v>
      </c>
      <c r="G5717" s="1" t="str">
        <f>CONCATENATE(" GAJANT D.O.O.,"," JELEKOVIĆI 24,"," 10000 ZAGREB,"," OIB: 12621259758")</f>
        <v xml:space="preserve"> GAJANT D.O.O., JELEKOVIĆI 24, 10000 ZAGREB, OIB: 12621259758</v>
      </c>
      <c r="H5717" s="7"/>
      <c r="I5717" s="8" t="s">
        <v>3501</v>
      </c>
      <c r="J5717" s="8" t="s">
        <v>3502</v>
      </c>
      <c r="K5717" s="6" t="str">
        <f>"129.894,00"</f>
        <v>129.894,00</v>
      </c>
      <c r="L5717" s="6" t="str">
        <f>"32.473,50"</f>
        <v>32.473,50</v>
      </c>
      <c r="M5717" s="6" t="str">
        <f>"162.367,50"</f>
        <v>162.367,50</v>
      </c>
      <c r="N5717" s="8" t="s">
        <v>3503</v>
      </c>
      <c r="O5717" s="7"/>
      <c r="P5717" s="2" t="s">
        <v>8423</v>
      </c>
      <c r="Q5717" s="7"/>
      <c r="R5717" s="1"/>
      <c r="S5717" s="1" t="str">
        <f>"N-B-80/16"</f>
        <v>N-B-80/16</v>
      </c>
      <c r="T5717" s="1" t="s">
        <v>55</v>
      </c>
    </row>
    <row r="5718" spans="1:20" ht="51" x14ac:dyDescent="0.25">
      <c r="A5718" s="6">
        <v>5697</v>
      </c>
      <c r="B5718" s="1" t="str">
        <f>"2016-1692"</f>
        <v>2016-1692</v>
      </c>
      <c r="C5718" s="1" t="s">
        <v>3504</v>
      </c>
      <c r="D5718" s="1" t="s">
        <v>2760</v>
      </c>
      <c r="E5718" s="1" t="str">
        <f>""</f>
        <v/>
      </c>
      <c r="F5718" s="1" t="s">
        <v>1860</v>
      </c>
      <c r="G5718" s="1" t="str">
        <f>CONCATENATE(" GLOBALDIZAJN D.O.O.,"," BUZIN,"," BANI 75,"," 10000 ZAGREB,"," OIB: 2562731408")</f>
        <v xml:space="preserve"> GLOBALDIZAJN D.O.O., BUZIN, BANI 75, 10000 ZAGREB, OIB: 2562731408</v>
      </c>
      <c r="H5718" s="7"/>
      <c r="I5718" s="8" t="s">
        <v>3505</v>
      </c>
      <c r="J5718" s="8" t="s">
        <v>3506</v>
      </c>
      <c r="K5718" s="6" t="str">
        <f>"41.580,00"</f>
        <v>41.580,00</v>
      </c>
      <c r="L5718" s="6" t="str">
        <f>"10.395,00"</f>
        <v>10.395,00</v>
      </c>
      <c r="M5718" s="6" t="str">
        <f>"51.975,00"</f>
        <v>51.975,00</v>
      </c>
      <c r="N5718" s="8" t="s">
        <v>124</v>
      </c>
      <c r="O5718" s="7"/>
      <c r="P5718" s="2" t="s">
        <v>5614</v>
      </c>
      <c r="Q5718" s="7"/>
      <c r="R5718" s="1"/>
      <c r="S5718" s="1" t="str">
        <f>"N-B-121/16"</f>
        <v>N-B-121/16</v>
      </c>
      <c r="T5718" s="1" t="s">
        <v>32</v>
      </c>
    </row>
    <row r="5719" spans="1:20" ht="51" x14ac:dyDescent="0.25">
      <c r="A5719" s="6">
        <v>5698</v>
      </c>
      <c r="B5719" s="1" t="str">
        <f>"2016-2307"</f>
        <v>2016-2307</v>
      </c>
      <c r="C5719" s="1" t="s">
        <v>3507</v>
      </c>
      <c r="D5719" s="1" t="s">
        <v>941</v>
      </c>
      <c r="E5719" s="1" t="str">
        <f>""</f>
        <v/>
      </c>
      <c r="F5719" s="1" t="s">
        <v>1860</v>
      </c>
      <c r="G5719" s="1" t="str">
        <f>CONCATENATE(" GEORAD D.O.O.,"," KORNATSKA 1,"," 10000 ZAGREB,"," OIB: 49756748234")</f>
        <v xml:space="preserve"> GEORAD D.O.O., KORNATSKA 1, 10000 ZAGREB, OIB: 49756748234</v>
      </c>
      <c r="H5719" s="7"/>
      <c r="I5719" s="8" t="s">
        <v>3508</v>
      </c>
      <c r="J5719" s="8" t="s">
        <v>3509</v>
      </c>
      <c r="K5719" s="6" t="str">
        <f>"224.995,00"</f>
        <v>224.995,00</v>
      </c>
      <c r="L5719" s="6" t="str">
        <f>"56.248,75"</f>
        <v>56.248,75</v>
      </c>
      <c r="M5719" s="6" t="str">
        <f>"281.243,75"</f>
        <v>281.243,75</v>
      </c>
      <c r="N5719" s="8" t="s">
        <v>3510</v>
      </c>
      <c r="O5719" s="7"/>
      <c r="P5719" s="2" t="s">
        <v>8424</v>
      </c>
      <c r="Q5719" s="7"/>
      <c r="R5719" s="1"/>
      <c r="S5719" s="1" t="str">
        <f>"N-B-137/16"</f>
        <v>N-B-137/16</v>
      </c>
      <c r="T5719" s="1" t="s">
        <v>55</v>
      </c>
    </row>
    <row r="5720" spans="1:20" ht="51" x14ac:dyDescent="0.25">
      <c r="A5720" s="6">
        <v>5699</v>
      </c>
      <c r="B5720" s="1" t="str">
        <f>"2016-3028"</f>
        <v>2016-3028</v>
      </c>
      <c r="C5720" s="1" t="s">
        <v>3511</v>
      </c>
      <c r="D5720" s="1" t="s">
        <v>2525</v>
      </c>
      <c r="E5720" s="1" t="str">
        <f>""</f>
        <v/>
      </c>
      <c r="F5720" s="1" t="s">
        <v>1860</v>
      </c>
      <c r="G5720" s="1" t="str">
        <f>CONCATENATE(" TESI D.O.O.,"," ZAGREBAČKA AVENIJA 104,"," 10000 ZAGREB,"," OIB: 25550605826")</f>
        <v xml:space="preserve"> TESI D.O.O., ZAGREBAČKA AVENIJA 104, 10000 ZAGREB, OIB: 25550605826</v>
      </c>
      <c r="H5720" s="7"/>
      <c r="I5720" s="8" t="s">
        <v>3512</v>
      </c>
      <c r="J5720" s="8" t="s">
        <v>3513</v>
      </c>
      <c r="K5720" s="6" t="str">
        <f>"189.987,00"</f>
        <v>189.987,00</v>
      </c>
      <c r="L5720" s="6" t="str">
        <f>"47.496,75"</f>
        <v>47.496,75</v>
      </c>
      <c r="M5720" s="6" t="str">
        <f>"237.483,75"</f>
        <v>237.483,75</v>
      </c>
      <c r="N5720" s="8" t="s">
        <v>3514</v>
      </c>
      <c r="O5720" s="7"/>
      <c r="P5720" s="2" t="s">
        <v>8425</v>
      </c>
      <c r="Q5720" s="7"/>
      <c r="R5720" s="1"/>
      <c r="S5720" s="1" t="str">
        <f>"N-B-250/16"</f>
        <v>N-B-250/16</v>
      </c>
      <c r="T5720" s="1" t="s">
        <v>452</v>
      </c>
    </row>
    <row r="5721" spans="1:20" ht="63.75" x14ac:dyDescent="0.25">
      <c r="A5721" s="6">
        <v>5700</v>
      </c>
      <c r="B5721" s="1" t="str">
        <f>"2016-3136"</f>
        <v>2016-3136</v>
      </c>
      <c r="C5721" s="1" t="s">
        <v>3515</v>
      </c>
      <c r="D5721" s="1" t="s">
        <v>1600</v>
      </c>
      <c r="E5721" s="1" t="str">
        <f>""</f>
        <v/>
      </c>
      <c r="F5721" s="1" t="s">
        <v>1860</v>
      </c>
      <c r="G5721" s="1" t="str">
        <f>CONCATENATE(" BOLČEVIĆ-GRADNJA D.O.O.,"," DUGOSELSKA CESTA 56,"," 10361 SESVETSKI KRALJEVEC,"," OIB: 520986705")</f>
        <v xml:space="preserve"> BOLČEVIĆ-GRADNJA D.O.O., DUGOSELSKA CESTA 56, 10361 SESVETSKI KRALJEVEC, OIB: 520986705</v>
      </c>
      <c r="H5721" s="1" t="str">
        <f>CONCATENATE("M G V D.O.O.,"," OIB: 72602155595")</f>
        <v>M G V D.O.O., OIB: 72602155595</v>
      </c>
      <c r="I5721" s="8" t="s">
        <v>3516</v>
      </c>
      <c r="J5721" s="8" t="s">
        <v>3517</v>
      </c>
      <c r="K5721" s="6" t="str">
        <f>"214.449,50"</f>
        <v>214.449,50</v>
      </c>
      <c r="L5721" s="6" t="str">
        <f>"53.612,38"</f>
        <v>53.612,38</v>
      </c>
      <c r="M5721" s="6" t="str">
        <f>"268.061,88"</f>
        <v>268.061,88</v>
      </c>
      <c r="N5721" s="8" t="s">
        <v>2536</v>
      </c>
      <c r="O5721" s="7"/>
      <c r="P5721" s="2" t="s">
        <v>8426</v>
      </c>
      <c r="Q5721" s="7"/>
      <c r="R5721" s="1"/>
      <c r="S5721" s="1" t="str">
        <f>"N-B-262/16"</f>
        <v>N-B-262/16</v>
      </c>
      <c r="T5721" s="1" t="s">
        <v>55</v>
      </c>
    </row>
    <row r="5722" spans="1:20" ht="51" x14ac:dyDescent="0.25">
      <c r="A5722" s="6">
        <v>5701</v>
      </c>
      <c r="B5722" s="1" t="str">
        <f>"2019-711"</f>
        <v>2019-711</v>
      </c>
      <c r="C5722" s="1" t="s">
        <v>3518</v>
      </c>
      <c r="D5722" s="1" t="s">
        <v>2057</v>
      </c>
      <c r="E5722" s="1" t="str">
        <f>""</f>
        <v/>
      </c>
      <c r="F5722" s="1" t="s">
        <v>1860</v>
      </c>
      <c r="G5722" s="1" t="str">
        <f>CONCATENATE(" SEDRA CONSULTING D.O.O.,"," USKOPSKA 11,"," 10010 ZAGREB,"," OIB: 09177957072")</f>
        <v xml:space="preserve"> SEDRA CONSULTING D.O.O., USKOPSKA 11, 10010 ZAGREB, OIB: 09177957072</v>
      </c>
      <c r="H5722" s="7"/>
      <c r="I5722" s="8" t="s">
        <v>3519</v>
      </c>
      <c r="J5722" s="8" t="s">
        <v>3520</v>
      </c>
      <c r="K5722" s="6" t="str">
        <f>"58.000,00"</f>
        <v>58.000,00</v>
      </c>
      <c r="L5722" s="6" t="str">
        <f>"14.500,00"</f>
        <v>14.500,00</v>
      </c>
      <c r="M5722" s="6" t="str">
        <f>"72.500,00"</f>
        <v>72.500,00</v>
      </c>
      <c r="N5722" s="8" t="s">
        <v>1988</v>
      </c>
      <c r="O5722" s="7"/>
      <c r="P5722" s="2" t="s">
        <v>7043</v>
      </c>
      <c r="Q5722" s="7"/>
      <c r="R5722" s="1"/>
      <c r="S5722" s="1" t="str">
        <f>"GZ-446/2019"</f>
        <v>GZ-446/2019</v>
      </c>
      <c r="T5722" s="1" t="s">
        <v>55</v>
      </c>
    </row>
    <row r="5723" spans="1:20" ht="51" x14ac:dyDescent="0.25">
      <c r="A5723" s="6">
        <v>5702</v>
      </c>
      <c r="B5723" s="1" t="str">
        <f>"2016-2309"</f>
        <v>2016-2309</v>
      </c>
      <c r="C5723" s="1" t="s">
        <v>3521</v>
      </c>
      <c r="D5723" s="1" t="s">
        <v>941</v>
      </c>
      <c r="E5723" s="1" t="str">
        <f>""</f>
        <v/>
      </c>
      <c r="F5723" s="1" t="s">
        <v>1860</v>
      </c>
      <c r="G5723" s="1" t="str">
        <f>CONCATENATE(" KINDER GRADNJA D.O.O.,"," SELSKA 57,"," 10360 SESVETE,"," OIB: 71001411174")</f>
        <v xml:space="preserve"> KINDER GRADNJA D.O.O., SELSKA 57, 10360 SESVETE, OIB: 71001411174</v>
      </c>
      <c r="H5723" s="1" t="str">
        <f>CONCATENATE("PERVISUS D.O.O.,"," OIB: 44353834669")</f>
        <v>PERVISUS D.O.O., OIB: 44353834669</v>
      </c>
      <c r="I5723" s="8" t="s">
        <v>3522</v>
      </c>
      <c r="J5723" s="8" t="s">
        <v>3523</v>
      </c>
      <c r="K5723" s="6" t="str">
        <f>"149.285,25"</f>
        <v>149.285,25</v>
      </c>
      <c r="L5723" s="6" t="str">
        <f>"37.321,31"</f>
        <v>37.321,31</v>
      </c>
      <c r="M5723" s="6" t="str">
        <f>"186.606,56"</f>
        <v>186.606,56</v>
      </c>
      <c r="N5723" s="8" t="s">
        <v>3524</v>
      </c>
      <c r="O5723" s="7"/>
      <c r="P5723" s="2" t="s">
        <v>8427</v>
      </c>
      <c r="Q5723" s="7"/>
      <c r="R5723" s="1"/>
      <c r="S5723" s="1" t="str">
        <f>"GZ-1300/2016"</f>
        <v>GZ-1300/2016</v>
      </c>
      <c r="T5723" s="1" t="s">
        <v>55</v>
      </c>
    </row>
    <row r="5724" spans="1:20" ht="51" x14ac:dyDescent="0.25">
      <c r="A5724" s="6">
        <v>5703</v>
      </c>
      <c r="B5724" s="1" t="str">
        <f>"2019-965"</f>
        <v>2019-965</v>
      </c>
      <c r="C5724" s="1" t="s">
        <v>2497</v>
      </c>
      <c r="D5724" s="1" t="s">
        <v>2498</v>
      </c>
      <c r="E5724" s="1" t="str">
        <f>""</f>
        <v/>
      </c>
      <c r="F5724" s="1" t="s">
        <v>1860</v>
      </c>
      <c r="G5724" s="1" t="str">
        <f>CONCATENATE(" CONTROLMATIK D.O.O.,"," PRIMORSKA 1,"," 42000 VARAŽDIN,"," OIB: 25020037517")</f>
        <v xml:space="preserve"> CONTROLMATIK D.O.O., PRIMORSKA 1, 42000 VARAŽDIN, OIB: 25020037517</v>
      </c>
      <c r="H5724" s="7"/>
      <c r="I5724" s="8" t="s">
        <v>3525</v>
      </c>
      <c r="J5724" s="8" t="s">
        <v>3526</v>
      </c>
      <c r="K5724" s="6" t="str">
        <f>"189.583,00"</f>
        <v>189.583,00</v>
      </c>
      <c r="L5724" s="6" t="str">
        <f>"47.395,75"</f>
        <v>47.395,75</v>
      </c>
      <c r="M5724" s="6" t="str">
        <f>"236.978,75"</f>
        <v>236.978,75</v>
      </c>
      <c r="N5724" s="8" t="s">
        <v>124</v>
      </c>
      <c r="O5724" s="7"/>
      <c r="P5724" s="2" t="s">
        <v>5614</v>
      </c>
      <c r="Q5724" s="7"/>
      <c r="R5724" s="1"/>
      <c r="S5724" s="1" t="str">
        <f>"GZ-1374/2019"</f>
        <v>GZ-1374/2019</v>
      </c>
      <c r="T5724" s="1" t="s">
        <v>55</v>
      </c>
    </row>
    <row r="5725" spans="1:20" ht="89.25" x14ac:dyDescent="0.25">
      <c r="A5725" s="6">
        <v>5704</v>
      </c>
      <c r="B5725" s="1" t="str">
        <f>"2019-2558"</f>
        <v>2019-2558</v>
      </c>
      <c r="C5725" s="1" t="s">
        <v>3527</v>
      </c>
      <c r="D5725" s="1" t="s">
        <v>2057</v>
      </c>
      <c r="E5725" s="1" t="str">
        <f>""</f>
        <v/>
      </c>
      <c r="F5725" s="1" t="s">
        <v>1860</v>
      </c>
      <c r="G5725" s="1" t="str">
        <f>CONCATENATE(" SEDRA CONSULTING D.O.O.,"," USKOPSKA 11,"," 10010 ZAGREB,"," OIB: 09177957072")</f>
        <v xml:space="preserve"> SEDRA CONSULTING D.O.O., USKOPSKA 11, 10010 ZAGREB, OIB: 09177957072</v>
      </c>
      <c r="H5725" s="7"/>
      <c r="I5725" s="8" t="s">
        <v>3528</v>
      </c>
      <c r="J5725" s="8" t="s">
        <v>213</v>
      </c>
      <c r="K5725" s="6" t="str">
        <f>"92.500,00"</f>
        <v>92.500,00</v>
      </c>
      <c r="L5725" s="6" t="str">
        <f>"23.125,00"</f>
        <v>23.125,00</v>
      </c>
      <c r="M5725" s="6" t="str">
        <f>"115.625,00"</f>
        <v>115.625,00</v>
      </c>
      <c r="N5725" s="8" t="s">
        <v>124</v>
      </c>
      <c r="O5725" s="7"/>
      <c r="P5725" s="2" t="s">
        <v>5614</v>
      </c>
      <c r="Q5725" s="7"/>
      <c r="R5725" s="1"/>
      <c r="S5725" s="1" t="str">
        <f>"GZ-1475/2019"</f>
        <v>GZ-1475/2019</v>
      </c>
      <c r="T5725" s="1" t="s">
        <v>55</v>
      </c>
    </row>
    <row r="5726" spans="1:20" ht="63.75" x14ac:dyDescent="0.25">
      <c r="A5726" s="6">
        <v>5705</v>
      </c>
      <c r="B5726" s="1" t="str">
        <f>"2019-2536"</f>
        <v>2019-2536</v>
      </c>
      <c r="C5726" s="1" t="s">
        <v>3529</v>
      </c>
      <c r="D5726" s="1" t="s">
        <v>2057</v>
      </c>
      <c r="E5726" s="1" t="str">
        <f>""</f>
        <v/>
      </c>
      <c r="F5726" s="1" t="s">
        <v>1860</v>
      </c>
      <c r="G5726" s="1" t="str">
        <f>CONCATENATE(" GRANDA PROJEKT D.O.O.,"," II. ZAGREBAČKI ODVOJAK 9,"," 10000 ZAGREB,"," OIB: 49276556488")</f>
        <v xml:space="preserve"> GRANDA PROJEKT D.O.O., II. ZAGREBAČKI ODVOJAK 9, 10000 ZAGREB, OIB: 49276556488</v>
      </c>
      <c r="H5726" s="7"/>
      <c r="I5726" s="8" t="s">
        <v>3530</v>
      </c>
      <c r="J5726" s="8" t="s">
        <v>3531</v>
      </c>
      <c r="K5726" s="6" t="str">
        <f>"62.000,00"</f>
        <v>62.000,00</v>
      </c>
      <c r="L5726" s="6" t="str">
        <f>"15.500,00"</f>
        <v>15.500,00</v>
      </c>
      <c r="M5726" s="6" t="str">
        <f>"77.500,00"</f>
        <v>77.500,00</v>
      </c>
      <c r="N5726" s="8" t="s">
        <v>124</v>
      </c>
      <c r="O5726" s="7"/>
      <c r="P5726" s="2" t="s">
        <v>5614</v>
      </c>
      <c r="Q5726" s="7"/>
      <c r="R5726" s="1"/>
      <c r="S5726" s="1" t="str">
        <f>"GZ-1600/2019"</f>
        <v>GZ-1600/2019</v>
      </c>
      <c r="T5726" s="1" t="s">
        <v>55</v>
      </c>
    </row>
    <row r="5727" spans="1:20" ht="51" x14ac:dyDescent="0.25">
      <c r="A5727" s="6">
        <v>5706</v>
      </c>
      <c r="B5727" s="1" t="str">
        <f>"2020-2306"</f>
        <v>2020-2306</v>
      </c>
      <c r="C5727" s="1" t="s">
        <v>3532</v>
      </c>
      <c r="D5727" s="1" t="s">
        <v>1868</v>
      </c>
      <c r="E5727" s="1" t="str">
        <f>"2020/S 0F2-0019056"</f>
        <v>2020/S 0F2-0019056</v>
      </c>
      <c r="F5727" s="1" t="s">
        <v>22</v>
      </c>
      <c r="G5727" s="1" t="str">
        <f>CONCATENATE("PERUČA D.O.O.,"," DOBRA ULICA 2,"," 31000 OSIJEK,"," OIB: 53353155732")</f>
        <v>PERUČA D.O.O., DOBRA ULICA 2, 31000 OSIJEK, OIB: 53353155732</v>
      </c>
      <c r="H5727" s="7"/>
      <c r="I5727" s="8" t="s">
        <v>3533</v>
      </c>
      <c r="J5727" s="8" t="s">
        <v>542</v>
      </c>
      <c r="K5727" s="6" t="str">
        <f>"438.800,00"</f>
        <v>438.800,00</v>
      </c>
      <c r="L5727" s="6" t="str">
        <f>"109.700,00"</f>
        <v>109.700,00</v>
      </c>
      <c r="M5727" s="6" t="str">
        <f>"548.500,00"</f>
        <v>548.500,00</v>
      </c>
      <c r="N5727" s="8" t="s">
        <v>1098</v>
      </c>
      <c r="O5727" s="7"/>
      <c r="P5727" s="2" t="s">
        <v>8428</v>
      </c>
      <c r="Q5727" s="7"/>
      <c r="R5727" s="1"/>
      <c r="S5727" s="1" t="str">
        <f>"N-4-1/20"</f>
        <v>N-4-1/20</v>
      </c>
      <c r="T5727" s="1" t="s">
        <v>32</v>
      </c>
    </row>
    <row r="5728" spans="1:20" ht="51" x14ac:dyDescent="0.25">
      <c r="A5728" s="6">
        <v>5707</v>
      </c>
      <c r="B5728" s="1" t="str">
        <f>"2020-374"</f>
        <v>2020-374</v>
      </c>
      <c r="C5728" s="1" t="s">
        <v>3534</v>
      </c>
      <c r="D5728" s="1" t="s">
        <v>3535</v>
      </c>
      <c r="E5728" s="1" t="str">
        <f>"2020/S 0F2-0032835"</f>
        <v>2020/S 0F2-0032835</v>
      </c>
      <c r="F5728" s="1" t="s">
        <v>22</v>
      </c>
      <c r="G5728" s="1" t="str">
        <f>CONCATENATE("SMART WATER D.O.O.,"," BENKA BENKOVIĆA 4,"," 23000 ZADAR,"," OIB: 4933249547")</f>
        <v>SMART WATER D.O.O., BENKA BENKOVIĆA 4, 23000 ZADAR, OIB: 4933249547</v>
      </c>
      <c r="H5728" s="7"/>
      <c r="I5728" s="8" t="s">
        <v>1162</v>
      </c>
      <c r="J5728" s="8" t="s">
        <v>99</v>
      </c>
      <c r="K5728" s="6" t="str">
        <f>"364.700,00"</f>
        <v>364.700,00</v>
      </c>
      <c r="L5728" s="6" t="str">
        <f>"91.175,00"</f>
        <v>91.175,00</v>
      </c>
      <c r="M5728" s="6" t="str">
        <f>"455.875,00"</f>
        <v>455.875,00</v>
      </c>
      <c r="N5728" s="8" t="s">
        <v>124</v>
      </c>
      <c r="O5728" s="7"/>
      <c r="P5728" s="2" t="s">
        <v>5614</v>
      </c>
      <c r="Q5728" s="7"/>
      <c r="R5728" s="1"/>
      <c r="S5728" s="1" t="str">
        <f>"N-28-1/20"</f>
        <v>N-28-1/20</v>
      </c>
      <c r="T5728" s="1" t="s">
        <v>55</v>
      </c>
    </row>
    <row r="5729" spans="1:20" ht="51" x14ac:dyDescent="0.25">
      <c r="A5729" s="6">
        <v>5708</v>
      </c>
      <c r="B5729" s="1" t="str">
        <f>"2020-2306"</f>
        <v>2020-2306</v>
      </c>
      <c r="C5729" s="1" t="s">
        <v>3536</v>
      </c>
      <c r="D5729" s="1" t="s">
        <v>1868</v>
      </c>
      <c r="E5729" s="1" t="str">
        <f>"2020/S 0F2-0019056"</f>
        <v>2020/S 0F2-0019056</v>
      </c>
      <c r="F5729" s="1" t="s">
        <v>22</v>
      </c>
      <c r="G5729" s="1" t="str">
        <f>CONCATENATE("TEHNOMODELI D.O.O.,"," ,"," OIB: 10698571703")</f>
        <v>TEHNOMODELI D.O.O., , OIB: 10698571703</v>
      </c>
      <c r="H5729" s="7"/>
      <c r="I5729" s="8" t="s">
        <v>3533</v>
      </c>
      <c r="J5729" s="8" t="s">
        <v>542</v>
      </c>
      <c r="K5729" s="6" t="str">
        <f>"109.730,00"</f>
        <v>109.730,00</v>
      </c>
      <c r="L5729" s="6" t="str">
        <f>"27.432,50"</f>
        <v>27.432,50</v>
      </c>
      <c r="M5729" s="6" t="str">
        <f>"137.162,50"</f>
        <v>137.162,50</v>
      </c>
      <c r="N5729" s="8" t="s">
        <v>3537</v>
      </c>
      <c r="O5729" s="7"/>
      <c r="P5729" s="2" t="s">
        <v>8429</v>
      </c>
      <c r="Q5729" s="7"/>
      <c r="R5729" s="1"/>
      <c r="S5729" s="1" t="str">
        <f>"N-4-2/20"</f>
        <v>N-4-2/20</v>
      </c>
      <c r="T5729" s="1" t="s">
        <v>32</v>
      </c>
    </row>
    <row r="5730" spans="1:20" ht="63.75" x14ac:dyDescent="0.25">
      <c r="A5730" s="6">
        <v>5709</v>
      </c>
      <c r="B5730" s="1" t="str">
        <f>"2020-374"</f>
        <v>2020-374</v>
      </c>
      <c r="C5730" s="1" t="s">
        <v>3538</v>
      </c>
      <c r="D5730" s="1" t="s">
        <v>3535</v>
      </c>
      <c r="E5730" s="1" t="str">
        <f>"2020/S 0F2-0032835"</f>
        <v>2020/S 0F2-0032835</v>
      </c>
      <c r="F5730" s="1" t="s">
        <v>22</v>
      </c>
      <c r="G5730" s="1" t="str">
        <f>CONCATENATE("HENNLICH D.O.O.,"," STUPNIČKOOBREŠKA 17,"," 10255 GORNJI STUPNIK,"," OIB: 44725135398")</f>
        <v>HENNLICH D.O.O., STUPNIČKOOBREŠKA 17, 10255 GORNJI STUPNIK, OIB: 44725135398</v>
      </c>
      <c r="H5730" s="7"/>
      <c r="I5730" s="8" t="s">
        <v>1213</v>
      </c>
      <c r="J5730" s="8" t="s">
        <v>206</v>
      </c>
      <c r="K5730" s="6" t="str">
        <f>"142.652,86"</f>
        <v>142.652,86</v>
      </c>
      <c r="L5730" s="6" t="str">
        <f>"35.663,22"</f>
        <v>35.663,22</v>
      </c>
      <c r="M5730" s="6" t="str">
        <f>"178.316,08"</f>
        <v>178.316,08</v>
      </c>
      <c r="N5730" s="8" t="s">
        <v>124</v>
      </c>
      <c r="O5730" s="7"/>
      <c r="P5730" s="2" t="s">
        <v>5614</v>
      </c>
      <c r="Q5730" s="7"/>
      <c r="R5730" s="1"/>
      <c r="S5730" s="1" t="str">
        <f>"N-28-2/20"</f>
        <v>N-28-2/20</v>
      </c>
      <c r="T5730" s="1" t="s">
        <v>55</v>
      </c>
    </row>
    <row r="5731" spans="1:20" ht="127.5" x14ac:dyDescent="0.25">
      <c r="A5731" s="6">
        <v>5710</v>
      </c>
      <c r="B5731" s="1" t="str">
        <f>"2015-1996"</f>
        <v>2015-1996</v>
      </c>
      <c r="C5731" s="1" t="s">
        <v>3539</v>
      </c>
      <c r="D5731" s="1" t="s">
        <v>3540</v>
      </c>
      <c r="E5731" s="1" t="str">
        <f>"2015/S 002-0031884"</f>
        <v>2015/S 002-0031884</v>
      </c>
      <c r="F5731" s="1" t="s">
        <v>22</v>
      </c>
      <c r="G5731" s="1" t="str">
        <f>CONCATENATE("INSTAL-PROM D.O.O.,"," ,"," OIB: 21231984689")</f>
        <v>INSTAL-PROM D.O.O., , OIB: 21231984689</v>
      </c>
      <c r="H5731" s="1" t="str">
        <f>CONCATENATE("GEO 6 D.O.O.,"," OIB: 56516261347",CHAR(10),"ELEKTROCENTAR PETEK D.O.O.,"," OIB: 17491977848",CHAR(10),"GRADEX &amp; CO D.O.O.,"," OIB: 73369080939")</f>
        <v>GEO 6 D.O.O., OIB: 56516261347
ELEKTROCENTAR PETEK D.O.O., OIB: 17491977848
GRADEX &amp; CO D.O.O., OIB: 73369080939</v>
      </c>
      <c r="I5731" s="8" t="s">
        <v>3541</v>
      </c>
      <c r="J5731" s="8" t="s">
        <v>3542</v>
      </c>
      <c r="K5731" s="6" t="str">
        <f>"2.253.171,69"</f>
        <v>2.253.171,69</v>
      </c>
      <c r="L5731" s="6" t="str">
        <f>"563.292,92"</f>
        <v>563.292,92</v>
      </c>
      <c r="M5731" s="6" t="str">
        <f>"2.816.464,61"</f>
        <v>2.816.464,61</v>
      </c>
      <c r="N5731" s="8" t="s">
        <v>3543</v>
      </c>
      <c r="O5731" s="7"/>
      <c r="P5731" s="2" t="s">
        <v>8430</v>
      </c>
      <c r="Q5731" s="7"/>
      <c r="R5731" s="1"/>
      <c r="S5731" s="1" t="str">
        <f>"N-45/15"</f>
        <v>N-45/15</v>
      </c>
      <c r="T5731" s="1" t="s">
        <v>55</v>
      </c>
    </row>
    <row r="5732" spans="1:20" ht="51" x14ac:dyDescent="0.25">
      <c r="A5732" s="6">
        <v>5711</v>
      </c>
      <c r="B5732" s="1" t="str">
        <f>"2015-2821"</f>
        <v>2015-2821</v>
      </c>
      <c r="C5732" s="1" t="s">
        <v>3544</v>
      </c>
      <c r="D5732" s="1" t="s">
        <v>463</v>
      </c>
      <c r="E5732" s="1" t="str">
        <f>"2015/S 002-0037835"</f>
        <v>2015/S 002-0037835</v>
      </c>
      <c r="F5732" s="1" t="s">
        <v>22</v>
      </c>
      <c r="G5732" s="1" t="str">
        <f>CONCATENATE("IN2 D.O.O.,"," MAROHNIĆEVA 1/1,"," 10000 ZAGREB,"," OIB: 68195665956")</f>
        <v>IN2 D.O.O., MAROHNIĆEVA 1/1, 10000 ZAGREB, OIB: 68195665956</v>
      </c>
      <c r="H5732" s="7"/>
      <c r="I5732" s="8" t="s">
        <v>3545</v>
      </c>
      <c r="J5732" s="8" t="s">
        <v>3546</v>
      </c>
      <c r="K5732" s="6" t="str">
        <f>"1.251.400,00"</f>
        <v>1.251.400,00</v>
      </c>
      <c r="L5732" s="6" t="str">
        <f>"312.850,00"</f>
        <v>312.850,00</v>
      </c>
      <c r="M5732" s="6" t="str">
        <f>"1.564.250,00"</f>
        <v>1.564.250,00</v>
      </c>
      <c r="N5732" s="8" t="s">
        <v>3547</v>
      </c>
      <c r="O5732" s="7"/>
      <c r="P5732" s="2" t="s">
        <v>8431</v>
      </c>
      <c r="Q5732" s="7"/>
      <c r="R5732" s="1"/>
      <c r="S5732" s="1" t="str">
        <f>"N-47/15"</f>
        <v>N-47/15</v>
      </c>
      <c r="T5732" s="1" t="s">
        <v>32</v>
      </c>
    </row>
    <row r="5733" spans="1:20" ht="51" x14ac:dyDescent="0.25">
      <c r="A5733" s="6">
        <v>5712</v>
      </c>
      <c r="B5733" s="1" t="str">
        <f>"2015-2586"</f>
        <v>2015-2586</v>
      </c>
      <c r="C5733" s="1" t="s">
        <v>3548</v>
      </c>
      <c r="D5733" s="1" t="s">
        <v>3549</v>
      </c>
      <c r="E5733" s="1" t="str">
        <f>"2015/S 002-0035941"</f>
        <v>2015/S 002-0035941</v>
      </c>
      <c r="F5733" s="1" t="s">
        <v>22</v>
      </c>
      <c r="G5733" s="1" t="str">
        <f>CONCATENATE("VILSTROJ D.O.O.,"," MAŽINJICA 77,"," 52420 BUZET,"," OIB: 14411754953")</f>
        <v>VILSTROJ D.O.O., MAŽINJICA 77, 52420 BUZET, OIB: 14411754953</v>
      </c>
      <c r="H5733" s="7"/>
      <c r="I5733" s="8" t="s">
        <v>3550</v>
      </c>
      <c r="J5733" s="8" t="s">
        <v>3551</v>
      </c>
      <c r="K5733" s="6" t="str">
        <f>"1.188.323,00"</f>
        <v>1.188.323,00</v>
      </c>
      <c r="L5733" s="6" t="str">
        <f>"297.080,75"</f>
        <v>297.080,75</v>
      </c>
      <c r="M5733" s="6" t="str">
        <f>"1.485.403,75"</f>
        <v>1.485.403,75</v>
      </c>
      <c r="N5733" s="7"/>
      <c r="O5733" s="9">
        <v>42527</v>
      </c>
      <c r="P5733" s="2" t="s">
        <v>5614</v>
      </c>
      <c r="Q5733" s="7"/>
      <c r="R5733" s="1"/>
      <c r="S5733" s="1" t="str">
        <f>"N-48/15"</f>
        <v>N-48/15</v>
      </c>
      <c r="T5733" s="1" t="s">
        <v>32</v>
      </c>
    </row>
    <row r="5734" spans="1:20" ht="89.25" x14ac:dyDescent="0.25">
      <c r="A5734" s="6">
        <v>5713</v>
      </c>
      <c r="B5734" s="1" t="str">
        <f>"2015-2567"</f>
        <v>2015-2567</v>
      </c>
      <c r="C5734" s="1" t="s">
        <v>3552</v>
      </c>
      <c r="D5734" s="1" t="s">
        <v>1641</v>
      </c>
      <c r="E5734" s="1" t="str">
        <f>""</f>
        <v/>
      </c>
      <c r="F5734" s="1" t="s">
        <v>1040</v>
      </c>
      <c r="G5734" s="1" t="str">
        <f>CONCATENATE("INSTITUT IGH D.D.,"," JANKA RAKUŠE 1,"," 10000 ZAGREB,"," OIB: 79766124714")</f>
        <v>INSTITUT IGH D.D., JANKA RAKUŠE 1, 10000 ZAGREB, OIB: 79766124714</v>
      </c>
      <c r="H5734" s="7"/>
      <c r="I5734" s="8" t="s">
        <v>3553</v>
      </c>
      <c r="J5734" s="8" t="s">
        <v>3554</v>
      </c>
      <c r="K5734" s="6" t="str">
        <f>"499.680,00"</f>
        <v>499.680,00</v>
      </c>
      <c r="L5734" s="6" t="str">
        <f>"124.920,00"</f>
        <v>124.920,00</v>
      </c>
      <c r="M5734" s="6" t="str">
        <f>"624.600,00"</f>
        <v>624.600,00</v>
      </c>
      <c r="N5734" s="8" t="s">
        <v>3555</v>
      </c>
      <c r="O5734" s="7"/>
      <c r="P5734" s="2" t="s">
        <v>8432</v>
      </c>
      <c r="Q5734" s="7"/>
      <c r="R5734" s="1"/>
      <c r="S5734" s="1" t="str">
        <f>"N-49/15"</f>
        <v>N-49/15</v>
      </c>
      <c r="T5734" s="1" t="s">
        <v>32</v>
      </c>
    </row>
    <row r="5735" spans="1:20" ht="140.25" x14ac:dyDescent="0.25">
      <c r="A5735" s="6">
        <v>5714</v>
      </c>
      <c r="B5735" s="1" t="str">
        <f>"2015-2866"</f>
        <v>2015-2866</v>
      </c>
      <c r="C5735" s="1" t="s">
        <v>3556</v>
      </c>
      <c r="D5735" s="1" t="s">
        <v>3557</v>
      </c>
      <c r="E5735" s="1" t="str">
        <f>""</f>
        <v/>
      </c>
      <c r="F5735" s="1" t="s">
        <v>1040</v>
      </c>
      <c r="G5735" s="1"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5735" s="7"/>
      <c r="I5735" s="8" t="s">
        <v>3558</v>
      </c>
      <c r="J5735" s="8" t="s">
        <v>3559</v>
      </c>
      <c r="K5735" s="6" t="str">
        <f>"3.279.133,53"</f>
        <v>3.279.133,53</v>
      </c>
      <c r="L5735" s="6" t="str">
        <f>"819.783,38"</f>
        <v>819.783,38</v>
      </c>
      <c r="M5735" s="6" t="str">
        <f>"4.098.916,91"</f>
        <v>4.098.916,91</v>
      </c>
      <c r="N5735" s="8" t="s">
        <v>124</v>
      </c>
      <c r="O5735" s="7"/>
      <c r="P5735" s="2" t="s">
        <v>5614</v>
      </c>
      <c r="Q5735" s="7"/>
      <c r="R5735" s="1"/>
      <c r="S5735" s="1" t="str">
        <f>"N-52/15"</f>
        <v>N-52/15</v>
      </c>
      <c r="T5735" s="1" t="s">
        <v>32</v>
      </c>
    </row>
    <row r="5736" spans="1:20" ht="165.75" x14ac:dyDescent="0.25">
      <c r="A5736" s="6">
        <v>5715</v>
      </c>
      <c r="B5736" s="1" t="str">
        <f>"2015-2568"</f>
        <v>2015-2568</v>
      </c>
      <c r="C5736" s="1" t="s">
        <v>3560</v>
      </c>
      <c r="D5736" s="1" t="s">
        <v>2107</v>
      </c>
      <c r="E5736" s="1" t="str">
        <f>"2015/S 002-0039387"</f>
        <v>2015/S 002-0039387</v>
      </c>
      <c r="F5736" s="1" t="s">
        <v>22</v>
      </c>
      <c r="G5736" s="1"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5736" s="7"/>
      <c r="I5736" s="8" t="s">
        <v>3561</v>
      </c>
      <c r="J5736" s="8" t="s">
        <v>3554</v>
      </c>
      <c r="K5736" s="6" t="str">
        <f>"477.000,00"</f>
        <v>477.000,00</v>
      </c>
      <c r="L5736" s="6" t="str">
        <f>"119.250,00"</f>
        <v>119.250,00</v>
      </c>
      <c r="M5736" s="6" t="str">
        <f>"596.250,00"</f>
        <v>596.250,00</v>
      </c>
      <c r="N5736" s="8" t="s">
        <v>3562</v>
      </c>
      <c r="O5736" s="7"/>
      <c r="P5736" s="2" t="s">
        <v>8433</v>
      </c>
      <c r="Q5736" s="7"/>
      <c r="R5736" s="1"/>
      <c r="S5736" s="1" t="str">
        <f>"N-54/15"</f>
        <v>N-54/15</v>
      </c>
      <c r="T5736" s="1" t="s">
        <v>32</v>
      </c>
    </row>
    <row r="5737" spans="1:20" ht="63.75" x14ac:dyDescent="0.25">
      <c r="A5737" s="6">
        <v>5716</v>
      </c>
      <c r="B5737" s="1" t="str">
        <f>"2015-2328"</f>
        <v>2015-2328</v>
      </c>
      <c r="C5737" s="1" t="s">
        <v>3563</v>
      </c>
      <c r="D5737" s="1" t="s">
        <v>3564</v>
      </c>
      <c r="E5737" s="1" t="str">
        <f>"2015/S 002-0036083"</f>
        <v>2015/S 002-0036083</v>
      </c>
      <c r="F5737" s="1" t="s">
        <v>22</v>
      </c>
      <c r="G5737" s="1" t="str">
        <f>CONCATENATE("PRIVREDNA BANKA ZAGREB D.D.,"," RADNIČKA CESTA 50,"," 10000 ZAGREB,"," OIB: 02535697732")</f>
        <v>PRIVREDNA BANKA ZAGREB D.D., RADNIČKA CESTA 50, 10000 ZAGREB, OIB: 02535697732</v>
      </c>
      <c r="H5737" s="7"/>
      <c r="I5737" s="8" t="s">
        <v>3565</v>
      </c>
      <c r="J5737" s="8" t="s">
        <v>3566</v>
      </c>
      <c r="K5737" s="6" t="str">
        <f>"650.147,60"</f>
        <v>650.147,60</v>
      </c>
      <c r="L5737" s="6" t="str">
        <f>"162.536,90"</f>
        <v>162.536,90</v>
      </c>
      <c r="M5737" s="6" t="str">
        <f>"812.684,50"</f>
        <v>812.684,50</v>
      </c>
      <c r="N5737" s="8" t="s">
        <v>124</v>
      </c>
      <c r="O5737" s="7"/>
      <c r="P5737" s="2" t="s">
        <v>5614</v>
      </c>
      <c r="Q5737" s="7"/>
      <c r="R5737" s="1"/>
      <c r="S5737" s="1" t="str">
        <f>"N-59/15"</f>
        <v>N-59/15</v>
      </c>
      <c r="T5737" s="1" t="s">
        <v>43</v>
      </c>
    </row>
    <row r="5738" spans="1:20" ht="51" x14ac:dyDescent="0.25">
      <c r="A5738" s="6">
        <v>5717</v>
      </c>
      <c r="B5738" s="1" t="str">
        <f>"2015-2453"</f>
        <v>2015-2453</v>
      </c>
      <c r="C5738" s="1" t="s">
        <v>3567</v>
      </c>
      <c r="D5738" s="1" t="s">
        <v>3568</v>
      </c>
      <c r="E5738" s="1" t="str">
        <f>"2015/S 002-0036264"</f>
        <v>2015/S 002-0036264</v>
      </c>
      <c r="F5738" s="1" t="s">
        <v>22</v>
      </c>
      <c r="G5738" s="1" t="str">
        <f>CONCATENATE("METEOR PROIZVODNJA D.O.O.,"," OPTUJSKA 12,"," 42000 VARAŽDIN,"," OIB: 70923246479")</f>
        <v>METEOR PROIZVODNJA D.O.O., OPTUJSKA 12, 42000 VARAŽDIN, OIB: 70923246479</v>
      </c>
      <c r="H5738" s="7"/>
      <c r="I5738" s="8" t="s">
        <v>3569</v>
      </c>
      <c r="J5738" s="8" t="s">
        <v>3570</v>
      </c>
      <c r="K5738" s="6" t="str">
        <f>"998.982,00"</f>
        <v>998.982,00</v>
      </c>
      <c r="L5738" s="6" t="str">
        <f>"249.745,50"</f>
        <v>249.745,50</v>
      </c>
      <c r="M5738" s="6" t="str">
        <f>"1.248.727,50"</f>
        <v>1.248.727,50</v>
      </c>
      <c r="N5738" s="8" t="s">
        <v>124</v>
      </c>
      <c r="O5738" s="7"/>
      <c r="P5738" s="2" t="s">
        <v>5614</v>
      </c>
      <c r="Q5738" s="7"/>
      <c r="R5738" s="1"/>
      <c r="S5738" s="1" t="str">
        <f>"N-60/15"</f>
        <v>N-60/15</v>
      </c>
      <c r="T5738" s="1" t="s">
        <v>55</v>
      </c>
    </row>
    <row r="5739" spans="1:20" ht="63.75" x14ac:dyDescent="0.25">
      <c r="A5739" s="6">
        <v>5718</v>
      </c>
      <c r="B5739" s="1" t="str">
        <f>"2015-1994"</f>
        <v>2015-1994</v>
      </c>
      <c r="C5739" s="1" t="s">
        <v>3571</v>
      </c>
      <c r="D5739" s="1" t="s">
        <v>1109</v>
      </c>
      <c r="E5739" s="1" t="str">
        <f>"2015/S 002-0030068"</f>
        <v>2015/S 002-0030068</v>
      </c>
      <c r="F5739" s="1" t="s">
        <v>22</v>
      </c>
      <c r="G5739" s="1" t="str">
        <f>CONCATENATE("M.SOLDO D.O.O.,"," DEBANIĆEVA 39,"," 10000 ZAGREB,"," OIB: 58353605637")</f>
        <v>M.SOLDO D.O.O., DEBANIĆEVA 39, 10000 ZAGREB, OIB: 58353605637</v>
      </c>
      <c r="H5739" s="1" t="str">
        <f>CONCATENATE("GEOGIS D.O.O.,"," OIB: 63046817751",CHAR(10),"CSS D.O.O.,"," OIB: 55562638214")</f>
        <v>GEOGIS D.O.O., OIB: 63046817751
CSS D.O.O., OIB: 55562638214</v>
      </c>
      <c r="I5739" s="8" t="s">
        <v>3569</v>
      </c>
      <c r="J5739" s="8" t="s">
        <v>3570</v>
      </c>
      <c r="K5739" s="6" t="str">
        <f>"993.451,00"</f>
        <v>993.451,00</v>
      </c>
      <c r="L5739" s="6" t="str">
        <f>"248.362,75"</f>
        <v>248.362,75</v>
      </c>
      <c r="M5739" s="6" t="str">
        <f>"1.241.813,75"</f>
        <v>1.241.813,75</v>
      </c>
      <c r="N5739" s="7"/>
      <c r="O5739" s="9">
        <v>43724</v>
      </c>
      <c r="P5739" s="2" t="s">
        <v>5614</v>
      </c>
      <c r="Q5739" s="7"/>
      <c r="R5739" s="1"/>
      <c r="S5739" s="1" t="str">
        <f>"N-61/15"</f>
        <v>N-61/15</v>
      </c>
      <c r="T5739" s="1" t="s">
        <v>55</v>
      </c>
    </row>
    <row r="5740" spans="1:20" ht="63.75" x14ac:dyDescent="0.25">
      <c r="A5740" s="6">
        <v>5719</v>
      </c>
      <c r="B5740" s="1" t="str">
        <f>"2015-2340"</f>
        <v>2015-2340</v>
      </c>
      <c r="C5740" s="1" t="s">
        <v>3572</v>
      </c>
      <c r="D5740" s="1" t="s">
        <v>1581</v>
      </c>
      <c r="E5740" s="1" t="str">
        <f>"2015/S 002-0035973"</f>
        <v>2015/S 002-0035973</v>
      </c>
      <c r="F5740" s="1" t="s">
        <v>22</v>
      </c>
      <c r="G5740" s="1" t="str">
        <f>CONCATENATE("GRADITELJSTVO I TRGOVINA PERIĆ D.O.O.,"," NAD LIPOM 12,"," 10000 ZAGREB,"," OIB: 43566372258")</f>
        <v>GRADITELJSTVO I TRGOVINA PERIĆ D.O.O., NAD LIPOM 12, 10000 ZAGREB, OIB: 43566372258</v>
      </c>
      <c r="H5740" s="7"/>
      <c r="I5740" s="8" t="s">
        <v>3573</v>
      </c>
      <c r="J5740" s="8" t="s">
        <v>3574</v>
      </c>
      <c r="K5740" s="6" t="str">
        <f>"499.415,62"</f>
        <v>499.415,62</v>
      </c>
      <c r="L5740" s="6" t="str">
        <f>"124.853,90"</f>
        <v>124.853,90</v>
      </c>
      <c r="M5740" s="6" t="str">
        <f>"624.269,52"</f>
        <v>624.269,52</v>
      </c>
      <c r="N5740" s="8" t="s">
        <v>124</v>
      </c>
      <c r="O5740" s="7"/>
      <c r="P5740" s="2" t="s">
        <v>5614</v>
      </c>
      <c r="Q5740" s="7"/>
      <c r="R5740" s="1"/>
      <c r="S5740" s="1" t="str">
        <f>"N-62/15"</f>
        <v>N-62/15</v>
      </c>
      <c r="T5740" s="1" t="s">
        <v>55</v>
      </c>
    </row>
    <row r="5741" spans="1:20" ht="63.75" x14ac:dyDescent="0.25">
      <c r="A5741" s="6">
        <v>5720</v>
      </c>
      <c r="B5741" s="1" t="str">
        <f>"2015-1951"</f>
        <v>2015-1951</v>
      </c>
      <c r="C5741" s="1" t="s">
        <v>3575</v>
      </c>
      <c r="D5741" s="1" t="s">
        <v>941</v>
      </c>
      <c r="E5741" s="1" t="str">
        <f>"2015/S 002-0039336"</f>
        <v>2015/S 002-0039336</v>
      </c>
      <c r="F5741" s="1" t="s">
        <v>22</v>
      </c>
      <c r="G5741" s="1" t="str">
        <f>CONCATENATE("BOLČEVIĆ-GRADNJA D.O.O.,"," DUGOSELSKA CESTA 56,"," 10361 SESVETSKI KRALJEVEC,"," OIB: 520986705")</f>
        <v>BOLČEVIĆ-GRADNJA D.O.O., DUGOSELSKA CESTA 56, 10361 SESVETSKI KRALJEVEC, OIB: 520986705</v>
      </c>
      <c r="H5741" s="7"/>
      <c r="I5741" s="8" t="s">
        <v>3576</v>
      </c>
      <c r="J5741" s="8" t="s">
        <v>3577</v>
      </c>
      <c r="K5741" s="6" t="str">
        <f>"732.865,00"</f>
        <v>732.865,00</v>
      </c>
      <c r="L5741" s="6" t="str">
        <f>"183.216,25"</f>
        <v>183.216,25</v>
      </c>
      <c r="M5741" s="6" t="str">
        <f>"916.081,25"</f>
        <v>916.081,25</v>
      </c>
      <c r="N5741" s="8" t="s">
        <v>3578</v>
      </c>
      <c r="O5741" s="7"/>
      <c r="P5741" s="2" t="s">
        <v>8434</v>
      </c>
      <c r="Q5741" s="7"/>
      <c r="R5741" s="1"/>
      <c r="S5741" s="1" t="str">
        <f>"N-63/15"</f>
        <v>N-63/15</v>
      </c>
      <c r="T5741" s="1" t="s">
        <v>55</v>
      </c>
    </row>
    <row r="5742" spans="1:20" ht="51" x14ac:dyDescent="0.25">
      <c r="A5742" s="6">
        <v>5721</v>
      </c>
      <c r="B5742" s="1" t="str">
        <f>"2015-1957"</f>
        <v>2015-1957</v>
      </c>
      <c r="C5742" s="1" t="s">
        <v>3579</v>
      </c>
      <c r="D5742" s="1" t="s">
        <v>941</v>
      </c>
      <c r="E5742" s="1" t="str">
        <f>"2015/S 002-0030777"</f>
        <v>2015/S 002-0030777</v>
      </c>
      <c r="F5742" s="1" t="s">
        <v>22</v>
      </c>
      <c r="G5742" s="1" t="str">
        <f>CONCATENATE("M.SOLDO D.O.O.,"," DEBANIĆEVA 39,"," 10000 ZAGREB,"," OIB: 58353605637")</f>
        <v>M.SOLDO D.O.O., DEBANIĆEVA 39, 10000 ZAGREB, OIB: 58353605637</v>
      </c>
      <c r="H5742" s="7"/>
      <c r="I5742" s="8" t="s">
        <v>3580</v>
      </c>
      <c r="J5742" s="8" t="s">
        <v>3581</v>
      </c>
      <c r="K5742" s="6" t="str">
        <f>"2.759.857,34"</f>
        <v>2.759.857,34</v>
      </c>
      <c r="L5742" s="6" t="str">
        <f>"689.964,34"</f>
        <v>689.964,34</v>
      </c>
      <c r="M5742" s="6" t="str">
        <f>"3.449.821,68"</f>
        <v>3.449.821,68</v>
      </c>
      <c r="N5742" s="8" t="s">
        <v>124</v>
      </c>
      <c r="O5742" s="7"/>
      <c r="P5742" s="2" t="s">
        <v>5614</v>
      </c>
      <c r="Q5742" s="7"/>
      <c r="R5742" s="1"/>
      <c r="S5742" s="1" t="str">
        <f>"N-64/15"</f>
        <v>N-64/15</v>
      </c>
      <c r="T5742" s="1" t="s">
        <v>55</v>
      </c>
    </row>
    <row r="5743" spans="1:20" ht="51" x14ac:dyDescent="0.25">
      <c r="A5743" s="6">
        <v>5722</v>
      </c>
      <c r="B5743" s="1" t="str">
        <f>"2015-2004"</f>
        <v>2015-2004</v>
      </c>
      <c r="C5743" s="1" t="s">
        <v>3582</v>
      </c>
      <c r="D5743" s="1" t="s">
        <v>1109</v>
      </c>
      <c r="E5743" s="1" t="str">
        <f>"2015/S 002-0032600"</f>
        <v>2015/S 002-0032600</v>
      </c>
      <c r="F5743" s="1" t="s">
        <v>22</v>
      </c>
      <c r="G5743" s="1" t="str">
        <f>CONCATENATE("GEORAD D.O.O.,"," KORNATSKA 1,"," 10000 ZAGREB,"," OIB: 49756748234")</f>
        <v>GEORAD D.O.O., KORNATSKA 1, 10000 ZAGREB, OIB: 49756748234</v>
      </c>
      <c r="H5743" s="7"/>
      <c r="I5743" s="8" t="s">
        <v>3583</v>
      </c>
      <c r="J5743" s="8" t="s">
        <v>3524</v>
      </c>
      <c r="K5743" s="6" t="str">
        <f>"3.247.444,20"</f>
        <v>3.247.444,20</v>
      </c>
      <c r="L5743" s="6" t="str">
        <f>"811.861,05"</f>
        <v>811.861,05</v>
      </c>
      <c r="M5743" s="6" t="str">
        <f>"4.059.305,25"</f>
        <v>4.059.305,25</v>
      </c>
      <c r="N5743" s="8" t="s">
        <v>124</v>
      </c>
      <c r="O5743" s="7"/>
      <c r="P5743" s="2" t="s">
        <v>5614</v>
      </c>
      <c r="Q5743" s="7"/>
      <c r="R5743" s="1"/>
      <c r="S5743" s="1" t="str">
        <f>"N-65/15"</f>
        <v>N-65/15</v>
      </c>
      <c r="T5743" s="1" t="s">
        <v>55</v>
      </c>
    </row>
    <row r="5744" spans="1:20" ht="51" x14ac:dyDescent="0.25">
      <c r="A5744" s="6">
        <v>5723</v>
      </c>
      <c r="B5744" s="1" t="str">
        <f>"2015-2630"</f>
        <v>2015-2630</v>
      </c>
      <c r="C5744" s="1" t="s">
        <v>3584</v>
      </c>
      <c r="D5744" s="1" t="s">
        <v>941</v>
      </c>
      <c r="E5744" s="1" t="str">
        <f>"2015/S 002-0039734"</f>
        <v>2015/S 002-0039734</v>
      </c>
      <c r="F5744" s="1" t="s">
        <v>22</v>
      </c>
      <c r="G5744" s="1" t="str">
        <f>CONCATENATE("GEORAD D.O.O.,"," KORNATSKA 1,"," 10000 ZAGREB,"," OIB: 49756748234")</f>
        <v>GEORAD D.O.O., KORNATSKA 1, 10000 ZAGREB, OIB: 49756748234</v>
      </c>
      <c r="H5744" s="7"/>
      <c r="I5744" s="8" t="s">
        <v>3585</v>
      </c>
      <c r="J5744" s="8" t="s">
        <v>3586</v>
      </c>
      <c r="K5744" s="6" t="str">
        <f>"2.602.585,00"</f>
        <v>2.602.585,00</v>
      </c>
      <c r="L5744" s="6" t="str">
        <f>"650.646,25"</f>
        <v>650.646,25</v>
      </c>
      <c r="M5744" s="6" t="str">
        <f>"3.253.231,25"</f>
        <v>3.253.231,25</v>
      </c>
      <c r="N5744" s="8" t="s">
        <v>124</v>
      </c>
      <c r="O5744" s="7"/>
      <c r="P5744" s="2" t="s">
        <v>5614</v>
      </c>
      <c r="Q5744" s="7"/>
      <c r="R5744" s="1"/>
      <c r="S5744" s="1" t="str">
        <f>"N-66/15"</f>
        <v>N-66/15</v>
      </c>
      <c r="T5744" s="1" t="s">
        <v>55</v>
      </c>
    </row>
    <row r="5745" spans="1:20" ht="38.25" x14ac:dyDescent="0.25">
      <c r="A5745" s="6">
        <v>5724</v>
      </c>
      <c r="B5745" s="1" t="str">
        <f>"2015-1952"</f>
        <v>2015-1952</v>
      </c>
      <c r="C5745" s="1" t="s">
        <v>3587</v>
      </c>
      <c r="D5745" s="1" t="s">
        <v>941</v>
      </c>
      <c r="E5745" s="1" t="str">
        <f>"2015/S 002-0031774"</f>
        <v>2015/S 002-0031774</v>
      </c>
      <c r="F5745" s="1" t="s">
        <v>22</v>
      </c>
      <c r="G5745" s="1" t="str">
        <f>CONCATENATE("INSTAL-PROM D.O.O.,"," ,"," OIB: 21231984689")</f>
        <v>INSTAL-PROM D.O.O., , OIB: 21231984689</v>
      </c>
      <c r="H5745" s="7"/>
      <c r="I5745" s="8" t="s">
        <v>3588</v>
      </c>
      <c r="J5745" s="8" t="s">
        <v>3589</v>
      </c>
      <c r="K5745" s="6" t="str">
        <f>"524.359,40"</f>
        <v>524.359,40</v>
      </c>
      <c r="L5745" s="6" t="str">
        <f>"131.089,85"</f>
        <v>131.089,85</v>
      </c>
      <c r="M5745" s="6" t="str">
        <f>"655.449,25"</f>
        <v>655.449,25</v>
      </c>
      <c r="N5745" s="8" t="s">
        <v>3590</v>
      </c>
      <c r="O5745" s="7"/>
      <c r="P5745" s="2" t="s">
        <v>8435</v>
      </c>
      <c r="Q5745" s="7"/>
      <c r="R5745" s="1"/>
      <c r="S5745" s="1" t="str">
        <f>"N-67/15"</f>
        <v>N-67/15</v>
      </c>
      <c r="T5745" s="1" t="s">
        <v>55</v>
      </c>
    </row>
    <row r="5746" spans="1:20" ht="89.25" x14ac:dyDescent="0.25">
      <c r="A5746" s="6">
        <v>5725</v>
      </c>
      <c r="B5746" s="1" t="str">
        <f>"2015-1956"</f>
        <v>2015-1956</v>
      </c>
      <c r="C5746" s="1" t="s">
        <v>3591</v>
      </c>
      <c r="D5746" s="1" t="s">
        <v>941</v>
      </c>
      <c r="E5746" s="1" t="str">
        <f>"2015/S 002-0039493"</f>
        <v>2015/S 002-0039493</v>
      </c>
      <c r="F5746" s="1" t="s">
        <v>22</v>
      </c>
      <c r="G5746" s="1" t="str">
        <f>CONCATENATE("TIGRA D.O.O.,"," IVANIĆGRADSKA 22,"," 10000 ZAGREB,"," OIB: 2983006023")</f>
        <v>TIGRA D.O.O., IVANIĆGRADSKA 22, 10000 ZAGREB, OIB: 2983006023</v>
      </c>
      <c r="H5746" s="1" t="str">
        <f>CONCATENATE("DAGOR D.O.O.,"," OIB: 50966188893",CHAR(10),"GRAĐEVINSKI LABORATORIJ D.O.O.,"," OIB: 51460238404")</f>
        <v>DAGOR D.O.O., OIB: 50966188893
GRAĐEVINSKI LABORATORIJ D.O.O., OIB: 51460238404</v>
      </c>
      <c r="I5746" s="8" t="s">
        <v>3592</v>
      </c>
      <c r="J5746" s="8" t="s">
        <v>3593</v>
      </c>
      <c r="K5746" s="6" t="str">
        <f>"334.049,00"</f>
        <v>334.049,00</v>
      </c>
      <c r="L5746" s="6" t="str">
        <f>"83.512,25"</f>
        <v>83.512,25</v>
      </c>
      <c r="M5746" s="6" t="str">
        <f>"417.561,25"</f>
        <v>417.561,25</v>
      </c>
      <c r="N5746" s="8" t="s">
        <v>3514</v>
      </c>
      <c r="O5746" s="7"/>
      <c r="P5746" s="2" t="s">
        <v>8436</v>
      </c>
      <c r="Q5746" s="7"/>
      <c r="R5746" s="1"/>
      <c r="S5746" s="1" t="str">
        <f>"N-69/15"</f>
        <v>N-69/15</v>
      </c>
      <c r="T5746" s="1" t="s">
        <v>55</v>
      </c>
    </row>
    <row r="5747" spans="1:20" ht="63.75" x14ac:dyDescent="0.25">
      <c r="A5747" s="6">
        <v>5726</v>
      </c>
      <c r="B5747" s="1" t="str">
        <f>"2015-1950"</f>
        <v>2015-1950</v>
      </c>
      <c r="C5747" s="1" t="s">
        <v>3594</v>
      </c>
      <c r="D5747" s="1" t="s">
        <v>941</v>
      </c>
      <c r="E5747" s="1" t="str">
        <f>"2015/S 002-0039846"</f>
        <v>2015/S 002-0039846</v>
      </c>
      <c r="F5747" s="1" t="s">
        <v>22</v>
      </c>
      <c r="G5747" s="1" t="str">
        <f>CONCATENATE("INSTAL-PROM D.O.O.,"," LJUTOMERSKA 33A,"," 10040 ZAGREB,"," OIB: 21231984689")</f>
        <v>INSTAL-PROM D.O.O., LJUTOMERSKA 33A, 10040 ZAGREB, OIB: 21231984689</v>
      </c>
      <c r="H5747" s="1" t="str">
        <f>CONCATENATE("GEO 6 D.O.O.,"," OIB: 56516261347")</f>
        <v>GEO 6 D.O.O., OIB: 56516261347</v>
      </c>
      <c r="I5747" s="8" t="s">
        <v>3595</v>
      </c>
      <c r="J5747" s="8" t="s">
        <v>3596</v>
      </c>
      <c r="K5747" s="6" t="str">
        <f>"1.019.301,87"</f>
        <v>1.019.301,87</v>
      </c>
      <c r="L5747" s="6" t="str">
        <f>"254.825,47"</f>
        <v>254.825,47</v>
      </c>
      <c r="M5747" s="6" t="str">
        <f>"1.274.127,34"</f>
        <v>1.274.127,34</v>
      </c>
      <c r="N5747" s="8" t="s">
        <v>124</v>
      </c>
      <c r="O5747" s="7"/>
      <c r="P5747" s="2" t="s">
        <v>5614</v>
      </c>
      <c r="Q5747" s="7"/>
      <c r="R5747" s="1"/>
      <c r="S5747" s="1" t="str">
        <f>"N-70/15"</f>
        <v>N-70/15</v>
      </c>
      <c r="T5747" s="1" t="s">
        <v>55</v>
      </c>
    </row>
    <row r="5748" spans="1:20" ht="63.75" x14ac:dyDescent="0.25">
      <c r="A5748" s="6">
        <v>5727</v>
      </c>
      <c r="B5748" s="1" t="str">
        <f>"2015-2006"</f>
        <v>2015-2006</v>
      </c>
      <c r="C5748" s="1" t="s">
        <v>3597</v>
      </c>
      <c r="D5748" s="1" t="s">
        <v>1641</v>
      </c>
      <c r="E5748" s="1" t="str">
        <f>"2015/S 002-0039671"</f>
        <v>2015/S 002-0039671</v>
      </c>
      <c r="F5748" s="1" t="s">
        <v>22</v>
      </c>
      <c r="G5748" s="1" t="str">
        <f>CONCATENATE("JURCON PROJEKT D.O.O.,"," GOTALOVEČKA 4/A,"," 10000 ZAGREB,"," OIB: 55345087244")</f>
        <v>JURCON PROJEKT D.O.O., GOTALOVEČKA 4/A, 10000 ZAGREB, OIB: 55345087244</v>
      </c>
      <c r="H5748" s="1" t="str">
        <f>CONCATENATE("GEOMETAR D.O.O.,"," OIB: 13543444462")</f>
        <v>GEOMETAR D.O.O., OIB: 13543444462</v>
      </c>
      <c r="I5748" s="8" t="s">
        <v>3595</v>
      </c>
      <c r="J5748" s="8" t="s">
        <v>3596</v>
      </c>
      <c r="K5748" s="6" t="str">
        <f>"116.800,00"</f>
        <v>116.800,00</v>
      </c>
      <c r="L5748" s="6" t="str">
        <f>"29.200,00"</f>
        <v>29.200,00</v>
      </c>
      <c r="M5748" s="6" t="str">
        <f>"146.000,00"</f>
        <v>146.000,00</v>
      </c>
      <c r="N5748" s="8" t="s">
        <v>124</v>
      </c>
      <c r="O5748" s="7"/>
      <c r="P5748" s="2" t="s">
        <v>5614</v>
      </c>
      <c r="Q5748" s="7"/>
      <c r="R5748" s="1"/>
      <c r="S5748" s="1" t="str">
        <f>"N-71/15"</f>
        <v>N-71/15</v>
      </c>
      <c r="T5748" s="1" t="s">
        <v>55</v>
      </c>
    </row>
    <row r="5749" spans="1:20" ht="63.75" x14ac:dyDescent="0.25">
      <c r="A5749" s="6">
        <v>5728</v>
      </c>
      <c r="B5749" s="1" t="str">
        <f>"2015-2632"</f>
        <v>2015-2632</v>
      </c>
      <c r="C5749" s="1" t="s">
        <v>3598</v>
      </c>
      <c r="D5749" s="1" t="s">
        <v>941</v>
      </c>
      <c r="E5749" s="1" t="str">
        <f>"2015/S 002-0038837"</f>
        <v>2015/S 002-0038837</v>
      </c>
      <c r="F5749" s="1" t="s">
        <v>22</v>
      </c>
      <c r="G5749" s="1" t="str">
        <f>CONCATENATE("BOLČEVIĆ-GRADNJA D.O.O.,"," DUGOSELSKA CESTA 56,"," 10361 SESVETSKI KRALJEVEC,"," OIB: 520986705")</f>
        <v>BOLČEVIĆ-GRADNJA D.O.O., DUGOSELSKA CESTA 56, 10361 SESVETSKI KRALJEVEC, OIB: 520986705</v>
      </c>
      <c r="H5749" s="7"/>
      <c r="I5749" s="8" t="s">
        <v>3599</v>
      </c>
      <c r="J5749" s="8" t="s">
        <v>3600</v>
      </c>
      <c r="K5749" s="6" t="str">
        <f>"286.908,00"</f>
        <v>286.908,00</v>
      </c>
      <c r="L5749" s="6" t="str">
        <f>"71.727,00"</f>
        <v>71.727,00</v>
      </c>
      <c r="M5749" s="6" t="str">
        <f>"358.635,00"</f>
        <v>358.635,00</v>
      </c>
      <c r="N5749" s="8" t="s">
        <v>124</v>
      </c>
      <c r="O5749" s="7"/>
      <c r="P5749" s="2" t="s">
        <v>5614</v>
      </c>
      <c r="Q5749" s="7"/>
      <c r="R5749" s="1"/>
      <c r="S5749" s="1" t="str">
        <f>"N-74/15"</f>
        <v>N-74/15</v>
      </c>
      <c r="T5749" s="1" t="s">
        <v>55</v>
      </c>
    </row>
    <row r="5750" spans="1:20" ht="63.75" x14ac:dyDescent="0.25">
      <c r="A5750" s="6">
        <v>5729</v>
      </c>
      <c r="B5750" s="1" t="str">
        <f>"2015-2589"</f>
        <v>2015-2589</v>
      </c>
      <c r="C5750" s="1" t="s">
        <v>3601</v>
      </c>
      <c r="D5750" s="1" t="s">
        <v>702</v>
      </c>
      <c r="E5750" s="1" t="str">
        <f>"2015/S 002-0037996"</f>
        <v>2015/S 002-0037996</v>
      </c>
      <c r="F5750" s="1" t="s">
        <v>22</v>
      </c>
      <c r="G5750" s="1" t="str">
        <f>CONCATENATE("MONTMONTAŽA-ZAVARTEK D.O.O.,"," RAKITNICA 2,"," 10040 ZAGREB,"," OIB: 1628810323")</f>
        <v>MONTMONTAŽA-ZAVARTEK D.O.O., RAKITNICA 2, 10040 ZAGREB, OIB: 1628810323</v>
      </c>
      <c r="H5750" s="7"/>
      <c r="I5750" s="8" t="s">
        <v>3602</v>
      </c>
      <c r="J5750" s="8" t="s">
        <v>3603</v>
      </c>
      <c r="K5750" s="6" t="str">
        <f>"1.596.919,47"</f>
        <v>1.596.919,47</v>
      </c>
      <c r="L5750" s="6" t="str">
        <f>"399.229,87"</f>
        <v>399.229,87</v>
      </c>
      <c r="M5750" s="6" t="str">
        <f>"1.996.149,34"</f>
        <v>1.996.149,34</v>
      </c>
      <c r="N5750" s="8" t="s">
        <v>3604</v>
      </c>
      <c r="O5750" s="7"/>
      <c r="P5750" s="2" t="s">
        <v>8437</v>
      </c>
      <c r="Q5750" s="7"/>
      <c r="R5750" s="1"/>
      <c r="S5750" s="1" t="str">
        <f>"N-76/15"</f>
        <v>N-76/15</v>
      </c>
      <c r="T5750" s="1" t="s">
        <v>452</v>
      </c>
    </row>
    <row r="5751" spans="1:20" ht="102" x14ac:dyDescent="0.25">
      <c r="A5751" s="6">
        <v>5730</v>
      </c>
      <c r="B5751" s="1" t="str">
        <f>"2015-2612"</f>
        <v>2015-2612</v>
      </c>
      <c r="C5751" s="1" t="s">
        <v>3605</v>
      </c>
      <c r="D5751" s="1" t="s">
        <v>3606</v>
      </c>
      <c r="E5751" s="1" t="str">
        <f>"2015/S 002-0038880"</f>
        <v>2015/S 002-0038880</v>
      </c>
      <c r="F5751" s="1" t="s">
        <v>22</v>
      </c>
      <c r="G5751" s="1"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5751" s="7"/>
      <c r="I5751" s="8" t="s">
        <v>3607</v>
      </c>
      <c r="J5751" s="8" t="s">
        <v>3608</v>
      </c>
      <c r="K5751" s="6" t="str">
        <f>"963.004,99"</f>
        <v>963.004,99</v>
      </c>
      <c r="L5751" s="6" t="str">
        <f>"240.751,25"</f>
        <v>240.751,25</v>
      </c>
      <c r="M5751" s="6" t="str">
        <f>"1.203.756,24"</f>
        <v>1.203.756,24</v>
      </c>
      <c r="N5751" s="8" t="s">
        <v>3609</v>
      </c>
      <c r="O5751" s="7"/>
      <c r="P5751" s="2" t="s">
        <v>8438</v>
      </c>
      <c r="Q5751" s="7"/>
      <c r="R5751" s="1"/>
      <c r="S5751" s="1" t="str">
        <f>"N-78/15"</f>
        <v>N-78/15</v>
      </c>
      <c r="T5751" s="1" t="s">
        <v>55</v>
      </c>
    </row>
    <row r="5752" spans="1:20" ht="63.75" x14ac:dyDescent="0.25">
      <c r="A5752" s="6">
        <v>5731</v>
      </c>
      <c r="B5752" s="1" t="str">
        <f>"2015-1986"</f>
        <v>2015-1986</v>
      </c>
      <c r="C5752" s="1" t="s">
        <v>3610</v>
      </c>
      <c r="D5752" s="1" t="s">
        <v>2107</v>
      </c>
      <c r="E5752" s="1" t="str">
        <f>"2016/S 002-0000051"</f>
        <v>2016/S 002-0000051</v>
      </c>
      <c r="F5752" s="1" t="s">
        <v>22</v>
      </c>
      <c r="G5752" s="1" t="str">
        <f>CONCATENATE("APZ HIDRIA D.O.O.,"," ZAGREBAČKA 233,"," 10000 ZAGREB,"," OIB: 76901428643")</f>
        <v>APZ HIDRIA D.O.O., ZAGREBAČKA 233, 10000 ZAGREB, OIB: 76901428643</v>
      </c>
      <c r="H5752" s="7"/>
      <c r="I5752" s="8" t="s">
        <v>3611</v>
      </c>
      <c r="J5752" s="8" t="s">
        <v>3612</v>
      </c>
      <c r="K5752" s="6" t="str">
        <f>"188.000,00"</f>
        <v>188.000,00</v>
      </c>
      <c r="L5752" s="6" t="str">
        <f>"47.000,00"</f>
        <v>47.000,00</v>
      </c>
      <c r="M5752" s="6" t="str">
        <f>"235.000,00"</f>
        <v>235.000,00</v>
      </c>
      <c r="N5752" s="8" t="s">
        <v>124</v>
      </c>
      <c r="O5752" s="7"/>
      <c r="P5752" s="2" t="s">
        <v>5614</v>
      </c>
      <c r="Q5752" s="7"/>
      <c r="R5752" s="1"/>
      <c r="S5752" s="1" t="str">
        <f>"N-79/15"</f>
        <v>N-79/15</v>
      </c>
      <c r="T5752" s="1" t="s">
        <v>55</v>
      </c>
    </row>
    <row r="5753" spans="1:20" ht="89.25" x14ac:dyDescent="0.25">
      <c r="A5753" s="6">
        <v>5732</v>
      </c>
      <c r="B5753" s="1" t="str">
        <f>"2015-2624"</f>
        <v>2015-2624</v>
      </c>
      <c r="C5753" s="1" t="s">
        <v>3613</v>
      </c>
      <c r="D5753" s="1" t="s">
        <v>941</v>
      </c>
      <c r="E5753" s="1" t="str">
        <f>"2015/S 002-0038957"</f>
        <v>2015/S 002-0038957</v>
      </c>
      <c r="F5753" s="1" t="s">
        <v>22</v>
      </c>
      <c r="G5753" s="1" t="str">
        <f>CONCATENATE("BOLČEVIĆ-GRADNJA D.O.O.,"," DUGOSELSKA CESTA 56,"," 10361 SESVETSKI KRALJEVEC,"," OIB: 520986705")</f>
        <v>BOLČEVIĆ-GRADNJA D.O.O., DUGOSELSKA CESTA 56, 10361 SESVETSKI KRALJEVEC, OIB: 520986705</v>
      </c>
      <c r="H5753" s="1" t="str">
        <f>CONCATENATE("MGV D.O.O.,"," OIB: 07790118186",CHAR(10),"GRAĐEVINSKI LABORATORIJ D.O.O.,"," OIB: 51460238404")</f>
        <v>MGV D.O.O., OIB: 07790118186
GRAĐEVINSKI LABORATORIJ D.O.O., OIB: 51460238404</v>
      </c>
      <c r="I5753" s="8" t="s">
        <v>3614</v>
      </c>
      <c r="J5753" s="8" t="s">
        <v>3615</v>
      </c>
      <c r="K5753" s="6" t="str">
        <f>"620.764,00"</f>
        <v>620.764,00</v>
      </c>
      <c r="L5753" s="6" t="str">
        <f>"155.191,00"</f>
        <v>155.191,00</v>
      </c>
      <c r="M5753" s="6" t="str">
        <f>"775.955,00"</f>
        <v>775.955,00</v>
      </c>
      <c r="N5753" s="7"/>
      <c r="O5753" s="9">
        <v>43528</v>
      </c>
      <c r="P5753" s="2" t="s">
        <v>8439</v>
      </c>
      <c r="Q5753" s="7"/>
      <c r="R5753" s="1"/>
      <c r="S5753" s="1" t="str">
        <f>"N-81/15"</f>
        <v>N-81/15</v>
      </c>
      <c r="T5753" s="1" t="s">
        <v>55</v>
      </c>
    </row>
    <row r="5754" spans="1:20" ht="63.75" x14ac:dyDescent="0.25">
      <c r="A5754" s="6">
        <v>5733</v>
      </c>
      <c r="B5754" s="1" t="str">
        <f>"2015-2638"</f>
        <v>2015-2638</v>
      </c>
      <c r="C5754" s="1" t="s">
        <v>3616</v>
      </c>
      <c r="D5754" s="1" t="s">
        <v>2107</v>
      </c>
      <c r="E5754" s="1" t="str">
        <f>"2016/S 002-0001777"</f>
        <v>2016/S 002-0001777</v>
      </c>
      <c r="F5754" s="1" t="s">
        <v>22</v>
      </c>
      <c r="G5754" s="1" t="str">
        <f>CONCATENATE("ELEKTROPROJEKT D.D.,"," ALEXANDERA VON HUMBOLDTA 4,"," 10000 ZAGREB,"," OIB: 48197173493")</f>
        <v>ELEKTROPROJEKT D.D., ALEXANDERA VON HUMBOLDTA 4, 10000 ZAGREB, OIB: 48197173493</v>
      </c>
      <c r="H5754" s="7"/>
      <c r="I5754" s="8" t="s">
        <v>3617</v>
      </c>
      <c r="J5754" s="8" t="s">
        <v>3618</v>
      </c>
      <c r="K5754" s="6" t="str">
        <f>"260.000,00"</f>
        <v>260.000,00</v>
      </c>
      <c r="L5754" s="6" t="str">
        <f>"65.000,00"</f>
        <v>65.000,00</v>
      </c>
      <c r="M5754" s="6" t="str">
        <f>"325.000,00"</f>
        <v>325.000,00</v>
      </c>
      <c r="N5754" s="8" t="s">
        <v>124</v>
      </c>
      <c r="O5754" s="7"/>
      <c r="P5754" s="2" t="s">
        <v>5614</v>
      </c>
      <c r="Q5754" s="7"/>
      <c r="R5754" s="1"/>
      <c r="S5754" s="1" t="str">
        <f>"N-82/15"</f>
        <v>N-82/15</v>
      </c>
      <c r="T5754" s="1" t="s">
        <v>55</v>
      </c>
    </row>
    <row r="5755" spans="1:20" ht="216.75" x14ac:dyDescent="0.25">
      <c r="A5755" s="6">
        <v>5734</v>
      </c>
      <c r="B5755" s="1" t="str">
        <f>"2015-2001"</f>
        <v>2015-2001</v>
      </c>
      <c r="C5755" s="1" t="s">
        <v>3619</v>
      </c>
      <c r="D5755" s="1" t="s">
        <v>1109</v>
      </c>
      <c r="E5755" s="1" t="str">
        <f>"2016/S 002-0000130"</f>
        <v>2016/S 002-0000130</v>
      </c>
      <c r="F5755" s="1" t="s">
        <v>22</v>
      </c>
      <c r="G5755" s="1" t="str">
        <f>CONCATENATE("PALIR D.O.O.,"," DANE DUIĆA 3,"," 10000 ZAGREB,"," OIB: 19383246503")</f>
        <v>PALIR D.O.O., DANE DUIĆA 3, 10000 ZAGREB, OIB: 19383246503</v>
      </c>
      <c r="H5755" s="1" t="str">
        <f>CONCATENATE("GEO - LAMA D.O.O.,"," OIB: 85730083289",CHAR(10),"GRAĐEVINSKI LABORATORIJ D.O.O.,"," OIB: 51460238404",CHAR(10),"P T M G D.O.O.,"," OIB: 50617926250",CHAR(10),"DUPLICO D.O.O.,"," OIB: 41025754642",CHAR(10),"ELEKTROKOVINA ADRIA D.O.O.,"," OIB: 86742905038")</f>
        <v>GEO - LAMA D.O.O., OIB: 85730083289
GRAĐEVINSKI LABORATORIJ D.O.O., OIB: 51460238404
P T M G D.O.O., OIB: 50617926250
DUPLICO D.O.O., OIB: 41025754642
ELEKTROKOVINA ADRIA D.O.O., OIB: 86742905038</v>
      </c>
      <c r="I5755" s="8" t="s">
        <v>3620</v>
      </c>
      <c r="J5755" s="8" t="s">
        <v>3621</v>
      </c>
      <c r="K5755" s="6" t="str">
        <f>"10.784.072,28"</f>
        <v>10.784.072,28</v>
      </c>
      <c r="L5755" s="6" t="str">
        <f>"2.696.018,07"</f>
        <v>2.696.018,07</v>
      </c>
      <c r="M5755" s="6" t="str">
        <f>"13.480.090,35"</f>
        <v>13.480.090,35</v>
      </c>
      <c r="N5755" s="8" t="s">
        <v>124</v>
      </c>
      <c r="O5755" s="7"/>
      <c r="P5755" s="2" t="s">
        <v>5614</v>
      </c>
      <c r="Q5755" s="7"/>
      <c r="R5755" s="1"/>
      <c r="S5755" s="1" t="str">
        <f>"N-89/15"</f>
        <v>N-89/15</v>
      </c>
      <c r="T5755" s="1" t="s">
        <v>55</v>
      </c>
    </row>
    <row r="5756" spans="1:20" ht="63.75" x14ac:dyDescent="0.25">
      <c r="A5756" s="6">
        <v>5735</v>
      </c>
      <c r="B5756" s="1" t="str">
        <f>"2015-2626"</f>
        <v>2015-2626</v>
      </c>
      <c r="C5756" s="1" t="s">
        <v>3622</v>
      </c>
      <c r="D5756" s="1" t="s">
        <v>941</v>
      </c>
      <c r="E5756" s="1" t="str">
        <f>"2015/S 002-0038662"</f>
        <v>2015/S 002-0038662</v>
      </c>
      <c r="F5756" s="1" t="s">
        <v>22</v>
      </c>
      <c r="G5756" s="1" t="str">
        <f>CONCATENATE("AMB GRADNJA D.O.O.,"," PRILAZ BARUNA FILIPOVIĆA 15,"," 10000 ZAGREB,"," OIB: 8527265147")</f>
        <v>AMB GRADNJA D.O.O., PRILAZ BARUNA FILIPOVIĆA 15, 10000 ZAGREB, OIB: 8527265147</v>
      </c>
      <c r="H5756" s="7"/>
      <c r="I5756" s="8" t="s">
        <v>3623</v>
      </c>
      <c r="J5756" s="8" t="s">
        <v>3624</v>
      </c>
      <c r="K5756" s="6" t="str">
        <f>"449.774,00"</f>
        <v>449.774,00</v>
      </c>
      <c r="L5756" s="6" t="str">
        <f>"112.443,50"</f>
        <v>112.443,50</v>
      </c>
      <c r="M5756" s="6" t="str">
        <f>"562.217,50"</f>
        <v>562.217,50</v>
      </c>
      <c r="N5756" s="7"/>
      <c r="O5756" s="9">
        <v>43560</v>
      </c>
      <c r="P5756" s="2" t="s">
        <v>5614</v>
      </c>
      <c r="Q5756" s="7"/>
      <c r="R5756" s="1"/>
      <c r="S5756" s="1" t="str">
        <f>"N-90/15"</f>
        <v>N-90/15</v>
      </c>
      <c r="T5756" s="1" t="s">
        <v>55</v>
      </c>
    </row>
    <row r="5757" spans="1:20" ht="76.5" x14ac:dyDescent="0.25">
      <c r="A5757" s="6">
        <v>5736</v>
      </c>
      <c r="B5757" s="1" t="str">
        <f>"2015-1938"</f>
        <v>2015-1938</v>
      </c>
      <c r="C5757" s="1" t="s">
        <v>3625</v>
      </c>
      <c r="D5757" s="1" t="s">
        <v>941</v>
      </c>
      <c r="E5757" s="1" t="str">
        <f>"2015/S 002-0039661"</f>
        <v>2015/S 002-0039661</v>
      </c>
      <c r="F5757" s="1" t="s">
        <v>22</v>
      </c>
      <c r="G5757" s="1" t="str">
        <f>CONCATENATE("DUPLICO D.O.O.,"," SVETONEDELJSKA CESTA,"," KALINOVICA 18,"," 10436 RAKOV POTOK,"," OIB: 41025754642")</f>
        <v>DUPLICO D.O.O., SVETONEDELJSKA CESTA, KALINOVICA 18, 10436 RAKOV POTOK, OIB: 41025754642</v>
      </c>
      <c r="H5757" s="7"/>
      <c r="I5757" s="8" t="s">
        <v>3626</v>
      </c>
      <c r="J5757" s="8" t="s">
        <v>3627</v>
      </c>
      <c r="K5757" s="6" t="str">
        <f>"2.096.747,90"</f>
        <v>2.096.747,90</v>
      </c>
      <c r="L5757" s="6" t="str">
        <f>"524.186,98"</f>
        <v>524.186,98</v>
      </c>
      <c r="M5757" s="6" t="str">
        <f>"2.620.934,88"</f>
        <v>2.620.934,88</v>
      </c>
      <c r="N5757" s="8"/>
      <c r="O5757" s="8" t="s">
        <v>419</v>
      </c>
      <c r="P5757" s="2" t="s">
        <v>5614</v>
      </c>
      <c r="Q5757" s="7"/>
      <c r="R5757" s="1"/>
      <c r="S5757" s="1" t="str">
        <f>"N-92/15"</f>
        <v>N-92/15</v>
      </c>
      <c r="T5757" s="1" t="s">
        <v>55</v>
      </c>
    </row>
    <row r="5758" spans="1:20" ht="165.75" x14ac:dyDescent="0.25">
      <c r="A5758" s="6">
        <v>5737</v>
      </c>
      <c r="B5758" s="1" t="str">
        <f>"2015-2452"</f>
        <v>2015-2452</v>
      </c>
      <c r="C5758" s="1" t="s">
        <v>3628</v>
      </c>
      <c r="D5758" s="1" t="s">
        <v>1641</v>
      </c>
      <c r="E5758" s="1" t="str">
        <f>"2015/S 002-0039287"</f>
        <v>2015/S 002-0039287</v>
      </c>
      <c r="F5758" s="1" t="s">
        <v>22</v>
      </c>
      <c r="G5758" s="1" t="str">
        <f>CONCATENATE("HIDROPROJEKT D.O.O.,"," IVANA PERGOŠIĆA 4,"," 10000 ZAGREB,"," OIB: 3091581719")</f>
        <v>HIDROPROJEKT D.O.O., IVANA PERGOŠIĆA 4, 10000 ZAGREB, OIB: 3091581719</v>
      </c>
      <c r="H5758" s="1" t="str">
        <f>CONCATENATE("AGENCIJA ZA RAZVOJ I KONTROLU SIGURNOSTI D.O.O.,"," OIB: 87619828902",CHAR(10),"URED OVL. INŽ. ELEKTROTEH. BORIS VRANEŠEVIĆ,"," OIB: ",CHAR(10),"HCK,"," OIB: 440392384")</f>
        <v>AGENCIJA ZA RAZVOJ I KONTROLU SIGURNOSTI D.O.O., OIB: 87619828902
URED OVL. INŽ. ELEKTROTEH. BORIS VRANEŠEVIĆ, OIB: 
HCK, OIB: 440392384</v>
      </c>
      <c r="I5758" s="8" t="s">
        <v>3629</v>
      </c>
      <c r="J5758" s="8" t="s">
        <v>3630</v>
      </c>
      <c r="K5758" s="6" t="str">
        <f>"487.000,00"</f>
        <v>487.000,00</v>
      </c>
      <c r="L5758" s="6" t="str">
        <f>"121.750,00"</f>
        <v>121.750,00</v>
      </c>
      <c r="M5758" s="6" t="str">
        <f>"608.750,00"</f>
        <v>608.750,00</v>
      </c>
      <c r="N5758" s="8" t="s">
        <v>124</v>
      </c>
      <c r="O5758" s="7"/>
      <c r="P5758" s="2" t="s">
        <v>5614</v>
      </c>
      <c r="Q5758" s="7"/>
      <c r="R5758" s="1"/>
      <c r="S5758" s="1" t="str">
        <f>"N-94/15"</f>
        <v>N-94/15</v>
      </c>
      <c r="T5758" s="1" t="s">
        <v>55</v>
      </c>
    </row>
    <row r="5759" spans="1:20" ht="178.5" x14ac:dyDescent="0.25">
      <c r="A5759" s="6">
        <v>5738</v>
      </c>
      <c r="B5759" s="1" t="str">
        <f>"2016-2649"</f>
        <v>2016-2649</v>
      </c>
      <c r="C5759" s="1" t="s">
        <v>3631</v>
      </c>
      <c r="D5759" s="1" t="s">
        <v>966</v>
      </c>
      <c r="E5759" s="1" t="str">
        <f>""</f>
        <v/>
      </c>
      <c r="F5759" s="1" t="s">
        <v>3632</v>
      </c>
      <c r="G5759" s="1"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5759" s="7"/>
      <c r="I5759" s="8" t="s">
        <v>3633</v>
      </c>
      <c r="J5759" s="8" t="s">
        <v>3634</v>
      </c>
      <c r="K5759" s="6" t="str">
        <f>"13.009.460,00"</f>
        <v>13.009.460,00</v>
      </c>
      <c r="L5759" s="6" t="str">
        <f>"3.252.365,00"</f>
        <v>3.252.365,00</v>
      </c>
      <c r="M5759" s="6" t="str">
        <f>"16.261.825,00"</f>
        <v>16.261.825,00</v>
      </c>
      <c r="N5759" s="8" t="s">
        <v>3635</v>
      </c>
      <c r="O5759" s="7"/>
      <c r="P5759" s="2" t="s">
        <v>8440</v>
      </c>
      <c r="Q5759" s="1"/>
      <c r="R5759" s="1"/>
      <c r="S5759" s="1" t="str">
        <f>"N-1-H-ZGH/16"</f>
        <v>N-1-H-ZGH/16</v>
      </c>
      <c r="T5759" s="1" t="s">
        <v>661</v>
      </c>
    </row>
    <row r="5760" spans="1:20" ht="76.5" x14ac:dyDescent="0.25">
      <c r="A5760" s="6">
        <v>5739</v>
      </c>
      <c r="B5760" s="1" t="str">
        <f>"2016-179"</f>
        <v>2016-179</v>
      </c>
      <c r="C5760" s="1" t="s">
        <v>3636</v>
      </c>
      <c r="D5760" s="1" t="s">
        <v>2269</v>
      </c>
      <c r="E5760" s="1" t="str">
        <f>""</f>
        <v/>
      </c>
      <c r="F5760" s="1" t="s">
        <v>1040</v>
      </c>
      <c r="G5760" s="1" t="str">
        <f>CONCATENATE("ARHIPOLIS D.O.O.,"," PLANČIĆEVA 14,"," 21000 SPLIT,"," OIB: 84678778677")</f>
        <v>ARHIPOLIS D.O.O., PLANČIĆEVA 14, 21000 SPLIT, OIB: 84678778677</v>
      </c>
      <c r="H5760" s="7"/>
      <c r="I5760" s="8" t="s">
        <v>3547</v>
      </c>
      <c r="J5760" s="8" t="s">
        <v>3637</v>
      </c>
      <c r="K5760" s="6" t="str">
        <f>"777.550,00"</f>
        <v>777.550,00</v>
      </c>
      <c r="L5760" s="6" t="str">
        <f>"194.387,50"</f>
        <v>194.387,50</v>
      </c>
      <c r="M5760" s="6" t="str">
        <f>"971.937,50"</f>
        <v>971.937,50</v>
      </c>
      <c r="N5760" s="8" t="s">
        <v>124</v>
      </c>
      <c r="O5760" s="7"/>
      <c r="P5760" s="2" t="s">
        <v>5614</v>
      </c>
      <c r="Q5760" s="7"/>
      <c r="R5760" s="1"/>
      <c r="S5760" s="1" t="str">
        <f>"N-4/16"</f>
        <v>N-4/16</v>
      </c>
      <c r="T5760" s="1" t="s">
        <v>32</v>
      </c>
    </row>
    <row r="5761" spans="1:20" ht="51" x14ac:dyDescent="0.25">
      <c r="A5761" s="6">
        <v>5740</v>
      </c>
      <c r="B5761" s="1" t="str">
        <f>"2016-1786"</f>
        <v>2016-1786</v>
      </c>
      <c r="C5761" s="1" t="s">
        <v>2125</v>
      </c>
      <c r="D5761" s="1" t="s">
        <v>2126</v>
      </c>
      <c r="E5761" s="1" t="str">
        <f>"2016/S 002-0006582"</f>
        <v>2016/S 002-0006582</v>
      </c>
      <c r="F5761" s="1" t="s">
        <v>22</v>
      </c>
      <c r="G5761" s="1" t="str">
        <f>CONCATENATE("ELOB D.O.O.,"," AVENIJA V. HOLJEVCA 20,"," 10020 ZAGREB,"," OIB: 90957063004")</f>
        <v>ELOB D.O.O., AVENIJA V. HOLJEVCA 20, 10020 ZAGREB, OIB: 90957063004</v>
      </c>
      <c r="H5761" s="7"/>
      <c r="I5761" s="8" t="s">
        <v>3638</v>
      </c>
      <c r="J5761" s="8" t="s">
        <v>3639</v>
      </c>
      <c r="K5761" s="6" t="str">
        <f>"275.600,00"</f>
        <v>275.600,00</v>
      </c>
      <c r="L5761" s="6" t="str">
        <f>"68.900,00"</f>
        <v>68.900,00</v>
      </c>
      <c r="M5761" s="6" t="str">
        <f>"344.500,00"</f>
        <v>344.500,00</v>
      </c>
      <c r="N5761" s="8" t="s">
        <v>3640</v>
      </c>
      <c r="O5761" s="7"/>
      <c r="P5761" s="2" t="s">
        <v>8441</v>
      </c>
      <c r="Q5761" s="7"/>
      <c r="R5761" s="1"/>
      <c r="S5761" s="1" t="str">
        <f>"N-6/16"</f>
        <v>N-6/16</v>
      </c>
      <c r="T5761" s="1" t="s">
        <v>452</v>
      </c>
    </row>
    <row r="5762" spans="1:20" ht="408" x14ac:dyDescent="0.25">
      <c r="A5762" s="6">
        <v>5741</v>
      </c>
      <c r="B5762" s="1" t="str">
        <f>"2016-2615"</f>
        <v>2016-2615</v>
      </c>
      <c r="C5762" s="1" t="s">
        <v>3641</v>
      </c>
      <c r="D5762" s="1" t="s">
        <v>2269</v>
      </c>
      <c r="E5762" s="1" t="str">
        <f>"2016/S 002-0005758"</f>
        <v>2016/S 002-0005758</v>
      </c>
      <c r="F5762" s="1" t="s">
        <v>22</v>
      </c>
      <c r="G5762" s="1" t="str">
        <f>CONCATENATE("Zajednica ponuditelja",CHAR(10),"METAPLAN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 OIB: 63075963195TODING D.O.O. ,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5762" s="7"/>
      <c r="I5762" s="8" t="s">
        <v>3638</v>
      </c>
      <c r="J5762" s="8" t="s">
        <v>3639</v>
      </c>
      <c r="K5762" s="6" t="str">
        <f>"345.000,00"</f>
        <v>345.000,00</v>
      </c>
      <c r="L5762" s="6" t="str">
        <f>"86.250,00"</f>
        <v>86.250,00</v>
      </c>
      <c r="M5762" s="6" t="str">
        <f>"431.250,00"</f>
        <v>431.250,00</v>
      </c>
      <c r="N5762" s="8" t="s">
        <v>3642</v>
      </c>
      <c r="O5762" s="7"/>
      <c r="P5762" s="2" t="s">
        <v>8442</v>
      </c>
      <c r="Q5762" s="7"/>
      <c r="R5762" s="1"/>
      <c r="S5762" s="1" t="str">
        <f>"N-7/16"</f>
        <v>N-7/16</v>
      </c>
      <c r="T5762" s="1" t="s">
        <v>32</v>
      </c>
    </row>
    <row r="5763" spans="1:20" ht="51" x14ac:dyDescent="0.25">
      <c r="A5763" s="6">
        <v>5742</v>
      </c>
      <c r="B5763" s="1" t="str">
        <f>"2016-73"</f>
        <v>2016-73</v>
      </c>
      <c r="C5763" s="1" t="s">
        <v>3643</v>
      </c>
      <c r="D5763" s="1" t="s">
        <v>673</v>
      </c>
      <c r="E5763" s="1" t="str">
        <f>"2016/S 002-0005001"</f>
        <v>2016/S 002-0005001</v>
      </c>
      <c r="F5763" s="1" t="s">
        <v>22</v>
      </c>
      <c r="G5763" s="1" t="str">
        <f>CONCATENATE("KALA D.O.O.,"," FRANKOPANSKA 97A,"," 35404 CERNIK,"," OIB: 94389348128")</f>
        <v>KALA D.O.O., FRANKOPANSKA 97A, 35404 CERNIK, OIB: 94389348128</v>
      </c>
      <c r="H5763" s="7"/>
      <c r="I5763" s="8" t="s">
        <v>3644</v>
      </c>
      <c r="J5763" s="8" t="s">
        <v>3645</v>
      </c>
      <c r="K5763" s="6" t="str">
        <f>"610.800,09"</f>
        <v>610.800,09</v>
      </c>
      <c r="L5763" s="6" t="str">
        <f>"152.700,02"</f>
        <v>152.700,02</v>
      </c>
      <c r="M5763" s="6" t="str">
        <f>"763.500,11"</f>
        <v>763.500,11</v>
      </c>
      <c r="N5763" s="8" t="s">
        <v>3603</v>
      </c>
      <c r="O5763" s="7"/>
      <c r="P5763" s="2" t="s">
        <v>8443</v>
      </c>
      <c r="Q5763" s="7"/>
      <c r="R5763" s="1"/>
      <c r="S5763" s="1" t="str">
        <f>"N-10/16"</f>
        <v>N-10/16</v>
      </c>
      <c r="T5763" s="1" t="s">
        <v>32</v>
      </c>
    </row>
    <row r="5764" spans="1:20" ht="51" x14ac:dyDescent="0.25">
      <c r="A5764" s="6">
        <v>5743</v>
      </c>
      <c r="B5764" s="1" t="str">
        <f>"2016-184"</f>
        <v>2016-184</v>
      </c>
      <c r="C5764" s="1" t="s">
        <v>3646</v>
      </c>
      <c r="D5764" s="1" t="s">
        <v>702</v>
      </c>
      <c r="E5764" s="1" t="str">
        <f>"2016/S 002-005795"</f>
        <v>2016/S 002-005795</v>
      </c>
      <c r="F5764" s="1" t="s">
        <v>22</v>
      </c>
      <c r="G5764" s="1" t="str">
        <f>CONCATENATE("BK MONTAŽA D.O.O.,"," DORE PEJAČEVIĆ 1,"," 10000 ZAGREB,"," OIB: 80580557122")</f>
        <v>BK MONTAŽA D.O.O., DORE PEJAČEVIĆ 1, 10000 ZAGREB, OIB: 80580557122</v>
      </c>
      <c r="H5764" s="7"/>
      <c r="I5764" s="8" t="s">
        <v>3644</v>
      </c>
      <c r="J5764" s="8" t="s">
        <v>3645</v>
      </c>
      <c r="K5764" s="6" t="str">
        <f>"539.668,50"</f>
        <v>539.668,50</v>
      </c>
      <c r="L5764" s="6" t="str">
        <f>"134.917,12"</f>
        <v>134.917,12</v>
      </c>
      <c r="M5764" s="6" t="str">
        <f>"674.585,62"</f>
        <v>674.585,62</v>
      </c>
      <c r="N5764" s="8" t="s">
        <v>3647</v>
      </c>
      <c r="O5764" s="7"/>
      <c r="P5764" s="2" t="s">
        <v>8444</v>
      </c>
      <c r="Q5764" s="7"/>
      <c r="R5764" s="1"/>
      <c r="S5764" s="1" t="str">
        <f>"N-11/16"</f>
        <v>N-11/16</v>
      </c>
      <c r="T5764" s="1" t="s">
        <v>452</v>
      </c>
    </row>
    <row r="5765" spans="1:20" ht="51" x14ac:dyDescent="0.25">
      <c r="A5765" s="6">
        <v>5744</v>
      </c>
      <c r="B5765" s="1" t="str">
        <f>"2016-186"</f>
        <v>2016-186</v>
      </c>
      <c r="C5765" s="1" t="s">
        <v>3648</v>
      </c>
      <c r="D5765" s="1" t="s">
        <v>702</v>
      </c>
      <c r="E5765" s="1" t="str">
        <f>"2016/S 002-0006590"</f>
        <v>2016/S 002-0006590</v>
      </c>
      <c r="F5765" s="1" t="s">
        <v>22</v>
      </c>
      <c r="G5765" s="1" t="str">
        <f>CONCATENATE("MONTMONTAŽA D.D.,"," RAKITNICA 2,"," 10040 ZAGREB,"," OIB: 4869603227")</f>
        <v>MONTMONTAŽA D.D., RAKITNICA 2, 10040 ZAGREB, OIB: 4869603227</v>
      </c>
      <c r="H5765" s="7"/>
      <c r="I5765" s="8" t="s">
        <v>3644</v>
      </c>
      <c r="J5765" s="8" t="s">
        <v>3645</v>
      </c>
      <c r="K5765" s="6" t="str">
        <f>"299.666,09"</f>
        <v>299.666,09</v>
      </c>
      <c r="L5765" s="6" t="str">
        <f>"74.916,52"</f>
        <v>74.916,52</v>
      </c>
      <c r="M5765" s="6" t="str">
        <f>"374.582,61"</f>
        <v>374.582,61</v>
      </c>
      <c r="N5765" s="8" t="s">
        <v>3498</v>
      </c>
      <c r="O5765" s="7"/>
      <c r="P5765" s="2" t="s">
        <v>8445</v>
      </c>
      <c r="Q5765" s="7"/>
      <c r="R5765" s="1"/>
      <c r="S5765" s="1" t="str">
        <f>"N-12/16"</f>
        <v>N-12/16</v>
      </c>
      <c r="T5765" s="1" t="s">
        <v>452</v>
      </c>
    </row>
    <row r="5766" spans="1:20" ht="102" x14ac:dyDescent="0.25">
      <c r="A5766" s="6">
        <v>5745</v>
      </c>
      <c r="B5766" s="1" t="str">
        <f>"2016-2813"</f>
        <v>2016-2813</v>
      </c>
      <c r="C5766" s="1" t="s">
        <v>3649</v>
      </c>
      <c r="D5766" s="1" t="s">
        <v>702</v>
      </c>
      <c r="E5766" s="1" t="str">
        <f>"2016/S 002-0010453"</f>
        <v>2016/S 002-0010453</v>
      </c>
      <c r="F5766" s="1" t="s">
        <v>22</v>
      </c>
      <c r="G5766" s="1"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5766" s="1" t="str">
        <f>CONCATENATE("GEAMEDITOR D.O.O.,"," OIB: 35959507784")</f>
        <v>GEAMEDITOR D.O.O., OIB: 35959507784</v>
      </c>
      <c r="I5766" s="8" t="s">
        <v>3623</v>
      </c>
      <c r="J5766" s="8" t="s">
        <v>3624</v>
      </c>
      <c r="K5766" s="6" t="str">
        <f>"1.453.916,54"</f>
        <v>1.453.916,54</v>
      </c>
      <c r="L5766" s="6" t="str">
        <f>"363.479,14"</f>
        <v>363.479,14</v>
      </c>
      <c r="M5766" s="6" t="str">
        <f>"1.817.395,68"</f>
        <v>1.817.395,68</v>
      </c>
      <c r="N5766" s="8" t="s">
        <v>3650</v>
      </c>
      <c r="O5766" s="7"/>
      <c r="P5766" s="2" t="s">
        <v>8446</v>
      </c>
      <c r="Q5766" s="7"/>
      <c r="R5766" s="1"/>
      <c r="S5766" s="1" t="str">
        <f>"N-18/16"</f>
        <v>N-18/16</v>
      </c>
      <c r="T5766" s="1" t="s">
        <v>452</v>
      </c>
    </row>
    <row r="5767" spans="1:20" ht="51" x14ac:dyDescent="0.25">
      <c r="A5767" s="6">
        <v>5746</v>
      </c>
      <c r="B5767" s="1" t="str">
        <f>"2016-2684"</f>
        <v>2016-2684</v>
      </c>
      <c r="C5767" s="1" t="s">
        <v>3651</v>
      </c>
      <c r="D5767" s="1" t="s">
        <v>702</v>
      </c>
      <c r="E5767" s="1" t="str">
        <f>"2016/S 002-0008248"</f>
        <v>2016/S 002-0008248</v>
      </c>
      <c r="F5767" s="1" t="s">
        <v>22</v>
      </c>
      <c r="G5767" s="1" t="str">
        <f>CONCATENATE("GEORAD D.O.O.,"," KORNATSKA 1,"," 10000 ZAGREB,"," OIB: 49756748234")</f>
        <v>GEORAD D.O.O., KORNATSKA 1, 10000 ZAGREB, OIB: 49756748234</v>
      </c>
      <c r="H5767" s="7"/>
      <c r="I5767" s="8" t="s">
        <v>3623</v>
      </c>
      <c r="J5767" s="8" t="s">
        <v>3624</v>
      </c>
      <c r="K5767" s="6" t="str">
        <f>"1.744.635,34"</f>
        <v>1.744.635,34</v>
      </c>
      <c r="L5767" s="6" t="str">
        <f>"436.158,84"</f>
        <v>436.158,84</v>
      </c>
      <c r="M5767" s="6" t="str">
        <f>"2.180.794,18"</f>
        <v>2.180.794,18</v>
      </c>
      <c r="N5767" s="8" t="s">
        <v>3652</v>
      </c>
      <c r="O5767" s="7"/>
      <c r="P5767" s="2" t="s">
        <v>8447</v>
      </c>
      <c r="Q5767" s="7"/>
      <c r="R5767" s="1"/>
      <c r="S5767" s="1" t="str">
        <f>"N-19/16"</f>
        <v>N-19/16</v>
      </c>
      <c r="T5767" s="1" t="s">
        <v>452</v>
      </c>
    </row>
    <row r="5768" spans="1:20" ht="76.5" x14ac:dyDescent="0.25">
      <c r="A5768" s="6">
        <v>5747</v>
      </c>
      <c r="B5768" s="1" t="str">
        <f>"2016-88"</f>
        <v>2016-88</v>
      </c>
      <c r="C5768" s="1" t="s">
        <v>3653</v>
      </c>
      <c r="D5768" s="1" t="s">
        <v>3654</v>
      </c>
      <c r="E5768" s="1" t="str">
        <f>"2016/S 002-0006705"</f>
        <v>2016/S 002-0006705</v>
      </c>
      <c r="F5768" s="1" t="s">
        <v>22</v>
      </c>
      <c r="G5768" s="1" t="str">
        <f>CONCATENATE("IZGRADNJA FUTURA D.O.O.,"," LEDINSKA ULICA 35,"," 10255 DONJI STUPNIK,"," OIB: 14482540987")</f>
        <v>IZGRADNJA FUTURA D.O.O., LEDINSKA ULICA 35, 10255 DONJI STUPNIK, OIB: 14482540987</v>
      </c>
      <c r="H5768" s="1" t="str">
        <f>CONCATENATE("GEOMETAR D.O.O.,"," OIB: 13543444462",CHAR(10),"GEO ISPITIVANJA D.O.O.,"," OIB: 95172244706")</f>
        <v>GEOMETAR D.O.O., OIB: 13543444462
GEO ISPITIVANJA D.O.O., OIB: 95172244706</v>
      </c>
      <c r="I5768" s="8" t="s">
        <v>3655</v>
      </c>
      <c r="J5768" s="8" t="s">
        <v>35</v>
      </c>
      <c r="K5768" s="6" t="str">
        <f>"1.983.315,07"</f>
        <v>1.983.315,07</v>
      </c>
      <c r="L5768" s="6" t="str">
        <f>"495.828,77"</f>
        <v>495.828,77</v>
      </c>
      <c r="M5768" s="6" t="str">
        <f>"2.479.143,84"</f>
        <v>2.479.143,84</v>
      </c>
      <c r="N5768" s="8" t="s">
        <v>3642</v>
      </c>
      <c r="O5768" s="7"/>
      <c r="P5768" s="2" t="s">
        <v>8448</v>
      </c>
      <c r="Q5768" s="7"/>
      <c r="R5768" s="1"/>
      <c r="S5768" s="1" t="str">
        <f>"N-20/16"</f>
        <v>N-20/16</v>
      </c>
      <c r="T5768" s="1" t="s">
        <v>32</v>
      </c>
    </row>
    <row r="5769" spans="1:20" ht="76.5" x14ac:dyDescent="0.25">
      <c r="A5769" s="6">
        <v>5748</v>
      </c>
      <c r="B5769" s="1" t="str">
        <f>"2016-2280"</f>
        <v>2016-2280</v>
      </c>
      <c r="C5769" s="1" t="s">
        <v>3656</v>
      </c>
      <c r="D5769" s="1" t="s">
        <v>941</v>
      </c>
      <c r="E5769" s="1" t="str">
        <f>"2016/S 002-0011533"</f>
        <v>2016/S 002-0011533</v>
      </c>
      <c r="F5769" s="1" t="s">
        <v>22</v>
      </c>
      <c r="G5769" s="1" t="str">
        <f>CONCATENATE("GUT D.O.O.,"," SISAČKA 37,"," 10000 ZAGREB,"," OIB: 9501710522")</f>
        <v>GUT D.O.O., SISAČKA 37, 10000 ZAGREB, OIB: 9501710522</v>
      </c>
      <c r="H5769" s="1" t="str">
        <f>CONCATENATE("MC ČIŠĆENJE D.O.O.,"," OIB: 17783496119",CHAR(10),"NI-AL D.O.O.,"," OIB: 35649512672")</f>
        <v>MC ČIŠĆENJE D.O.O., OIB: 17783496119
NI-AL D.O.O., OIB: 35649512672</v>
      </c>
      <c r="I5769" s="8" t="s">
        <v>3657</v>
      </c>
      <c r="J5769" s="8" t="s">
        <v>3658</v>
      </c>
      <c r="K5769" s="6" t="str">
        <f>"589.889,00"</f>
        <v>589.889,00</v>
      </c>
      <c r="L5769" s="6" t="str">
        <f>"147.472,25"</f>
        <v>147.472,25</v>
      </c>
      <c r="M5769" s="6" t="str">
        <f>"737.361,25"</f>
        <v>737.361,25</v>
      </c>
      <c r="N5769" s="8" t="s">
        <v>124</v>
      </c>
      <c r="O5769" s="7"/>
      <c r="P5769" s="2" t="s">
        <v>5614</v>
      </c>
      <c r="Q5769" s="7"/>
      <c r="R5769" s="1"/>
      <c r="S5769" s="1" t="str">
        <f>"N-23/16"</f>
        <v>N-23/16</v>
      </c>
      <c r="T5769" s="1" t="s">
        <v>32</v>
      </c>
    </row>
    <row r="5770" spans="1:20" ht="63.75" x14ac:dyDescent="0.25">
      <c r="A5770" s="6">
        <v>5749</v>
      </c>
      <c r="B5770" s="1" t="str">
        <f>"2016-2272"</f>
        <v>2016-2272</v>
      </c>
      <c r="C5770" s="1" t="s">
        <v>3659</v>
      </c>
      <c r="D5770" s="1" t="s">
        <v>941</v>
      </c>
      <c r="E5770" s="1" t="str">
        <f>"2016/S 002-0011708"</f>
        <v>2016/S 002-0011708</v>
      </c>
      <c r="F5770" s="1" t="s">
        <v>22</v>
      </c>
      <c r="G5770" s="1" t="str">
        <f>CONCATENATE("BOLČEVIĆ-GRADNJA D.O.O.,"," DUGOSELSKA CESTA 56,"," 10361 SESVETSKI KRALJEVEC,"," OIB: 520986705")</f>
        <v>BOLČEVIĆ-GRADNJA D.O.O., DUGOSELSKA CESTA 56, 10361 SESVETSKI KRALJEVEC, OIB: 520986705</v>
      </c>
      <c r="H5770" s="7"/>
      <c r="I5770" s="8" t="s">
        <v>3657</v>
      </c>
      <c r="J5770" s="8" t="s">
        <v>3658</v>
      </c>
      <c r="K5770" s="6" t="str">
        <f>"572.822,00"</f>
        <v>572.822,00</v>
      </c>
      <c r="L5770" s="6" t="str">
        <f>"143.205,50"</f>
        <v>143.205,50</v>
      </c>
      <c r="M5770" s="6" t="str">
        <f>"716.027,50"</f>
        <v>716.027,50</v>
      </c>
      <c r="N5770" s="8" t="s">
        <v>124</v>
      </c>
      <c r="O5770" s="7"/>
      <c r="P5770" s="2" t="s">
        <v>5614</v>
      </c>
      <c r="Q5770" s="7"/>
      <c r="R5770" s="1"/>
      <c r="S5770" s="1" t="str">
        <f>"N-24/16"</f>
        <v>N-24/16</v>
      </c>
      <c r="T5770" s="1" t="s">
        <v>32</v>
      </c>
    </row>
    <row r="5771" spans="1:20" ht="63.75" x14ac:dyDescent="0.25">
      <c r="A5771" s="6">
        <v>5750</v>
      </c>
      <c r="B5771" s="1" t="str">
        <f>"2016-2541"</f>
        <v>2016-2541</v>
      </c>
      <c r="C5771" s="1" t="s">
        <v>3660</v>
      </c>
      <c r="D5771" s="1" t="s">
        <v>1125</v>
      </c>
      <c r="E5771" s="1" t="str">
        <f>"2016/S 002-0012336"</f>
        <v>2016/S 002-0012336</v>
      </c>
      <c r="F5771" s="1" t="s">
        <v>22</v>
      </c>
      <c r="G5771" s="1" t="str">
        <f>CONCATENATE("AMB GRADNJA D.O.O.,"," PRILAZ BARUNA FILIPOVIĆA 15,"," 10000 ZAGREB,"," OIB: 8527265147")</f>
        <v>AMB GRADNJA D.O.O., PRILAZ BARUNA FILIPOVIĆA 15, 10000 ZAGREB, OIB: 8527265147</v>
      </c>
      <c r="H5771" s="1" t="str">
        <f>CONCATENATE("GEOFORMAT D.O.O.,"," OIB: 11342631919")</f>
        <v>GEOFORMAT D.O.O., OIB: 11342631919</v>
      </c>
      <c r="I5771" s="8" t="s">
        <v>3661</v>
      </c>
      <c r="J5771" s="8" t="s">
        <v>3662</v>
      </c>
      <c r="K5771" s="6" t="str">
        <f>"1.185.209,00"</f>
        <v>1.185.209,00</v>
      </c>
      <c r="L5771" s="6" t="str">
        <f>"296.302,25"</f>
        <v>296.302,25</v>
      </c>
      <c r="M5771" s="6" t="str">
        <f>"1.481.511,25"</f>
        <v>1.481.511,25</v>
      </c>
      <c r="N5771" s="8" t="s">
        <v>3663</v>
      </c>
      <c r="O5771" s="7"/>
      <c r="P5771" s="2" t="s">
        <v>8449</v>
      </c>
      <c r="Q5771" s="7"/>
      <c r="R5771" s="1"/>
      <c r="S5771" s="1" t="str">
        <f>"N-26/16"</f>
        <v>N-26/16</v>
      </c>
      <c r="T5771" s="1" t="s">
        <v>55</v>
      </c>
    </row>
    <row r="5772" spans="1:20" ht="76.5" x14ac:dyDescent="0.25">
      <c r="A5772" s="6">
        <v>5751</v>
      </c>
      <c r="B5772" s="1" t="str">
        <f>"2016-2768"</f>
        <v>2016-2768</v>
      </c>
      <c r="C5772" s="1" t="s">
        <v>3664</v>
      </c>
      <c r="D5772" s="1" t="s">
        <v>966</v>
      </c>
      <c r="E5772" s="1" t="str">
        <f>""</f>
        <v/>
      </c>
      <c r="F5772" s="1" t="s">
        <v>3665</v>
      </c>
      <c r="G5772" s="1" t="str">
        <f>CONCATENATE("SOKOL MARIĆ d.o.o.,"," TRG MARŠALA TITA 8/II,"," 10000 ZAGREB,"," OIB: 11543074213")</f>
        <v>SOKOL MARIĆ d.o.o., TRG MARŠALA TITA 8/II, 10000 ZAGREB, OIB: 11543074213</v>
      </c>
      <c r="H5772" s="1" t="str">
        <f>CONCATENATE("NOKY SECURITY D.O.O.,"," OIB: 40877863597")</f>
        <v>NOKY SECURITY D.O.O., OIB: 40877863597</v>
      </c>
      <c r="I5772" s="8" t="s">
        <v>3666</v>
      </c>
      <c r="J5772" s="8" t="s">
        <v>65</v>
      </c>
      <c r="K5772" s="6" t="str">
        <f>"600.600,00"</f>
        <v>600.600,00</v>
      </c>
      <c r="L5772" s="6" t="str">
        <f>"150.150,00"</f>
        <v>150.150,00</v>
      </c>
      <c r="M5772" s="6" t="str">
        <f>"750.750,00"</f>
        <v>750.750,00</v>
      </c>
      <c r="N5772" s="8" t="s">
        <v>124</v>
      </c>
      <c r="O5772" s="7"/>
      <c r="P5772" s="2" t="s">
        <v>5614</v>
      </c>
      <c r="Q5772" s="7"/>
      <c r="R5772" s="1"/>
      <c r="S5772" s="1" t="str">
        <f>"N-29/16"</f>
        <v>N-29/16</v>
      </c>
      <c r="T5772" s="1" t="s">
        <v>32</v>
      </c>
    </row>
    <row r="5773" spans="1:20" ht="51" x14ac:dyDescent="0.25">
      <c r="A5773" s="6">
        <v>5752</v>
      </c>
      <c r="B5773" s="1" t="str">
        <f>"2016-2810"</f>
        <v>2016-2810</v>
      </c>
      <c r="C5773" s="1" t="s">
        <v>1329</v>
      </c>
      <c r="D5773" s="1" t="s">
        <v>1330</v>
      </c>
      <c r="E5773" s="1" t="str">
        <f>"2016/S 002-0010691"</f>
        <v>2016/S 002-0010691</v>
      </c>
      <c r="F5773" s="1" t="s">
        <v>22</v>
      </c>
      <c r="G5773" s="1" t="str">
        <f>CONCATENATE("FDS-TRGOVINA D.O.O.,"," MAJSTORSKA 1G,"," 10000 ZAGREB,"," OIB: 71814187727")</f>
        <v>FDS-TRGOVINA D.O.O., MAJSTORSKA 1G, 10000 ZAGREB, OIB: 71814187727</v>
      </c>
      <c r="H5773" s="7"/>
      <c r="I5773" s="8" t="s">
        <v>3667</v>
      </c>
      <c r="J5773" s="8" t="s">
        <v>3668</v>
      </c>
      <c r="K5773" s="6" t="str">
        <f>"1.390.000,31"</f>
        <v>1.390.000,31</v>
      </c>
      <c r="L5773" s="6" t="str">
        <f>"347.500,08"</f>
        <v>347.500,08</v>
      </c>
      <c r="M5773" s="6" t="str">
        <f>"1.737.500,39"</f>
        <v>1.737.500,39</v>
      </c>
      <c r="N5773" s="8" t="s">
        <v>3669</v>
      </c>
      <c r="O5773" s="7"/>
      <c r="P5773" s="2" t="s">
        <v>8450</v>
      </c>
      <c r="Q5773" s="7"/>
      <c r="R5773" s="1"/>
      <c r="S5773" s="1" t="str">
        <f>"N-34/16"</f>
        <v>N-34/16</v>
      </c>
      <c r="T5773" s="1" t="s">
        <v>452</v>
      </c>
    </row>
    <row r="5774" spans="1:20" ht="63.75" x14ac:dyDescent="0.25">
      <c r="A5774" s="6">
        <v>5753</v>
      </c>
      <c r="B5774" s="1" t="str">
        <f>"2016-100"</f>
        <v>2016-100</v>
      </c>
      <c r="C5774" s="1" t="s">
        <v>3670</v>
      </c>
      <c r="D5774" s="1" t="s">
        <v>945</v>
      </c>
      <c r="E5774" s="1" t="str">
        <f>"2016/S 002-0012170"</f>
        <v>2016/S 002-0012170</v>
      </c>
      <c r="F5774" s="1" t="s">
        <v>22</v>
      </c>
      <c r="G5774" s="1" t="str">
        <f>CONCATENATE("KEMIS-TERMOCLEAN D.O.O.,"," SLAVONSKA AVENIJA 26/4,"," 10000 ZAGREB,"," OIB: 47719259482")</f>
        <v>KEMIS-TERMOCLEAN D.O.O., SLAVONSKA AVENIJA 26/4, 10000 ZAGREB, OIB: 47719259482</v>
      </c>
      <c r="H5774" s="7"/>
      <c r="I5774" s="8" t="s">
        <v>3667</v>
      </c>
      <c r="J5774" s="8" t="s">
        <v>3668</v>
      </c>
      <c r="K5774" s="6" t="str">
        <f>"167.400,00"</f>
        <v>167.400,00</v>
      </c>
      <c r="L5774" s="6" t="str">
        <f>"41.850,00"</f>
        <v>41.850,00</v>
      </c>
      <c r="M5774" s="6" t="str">
        <f>"209.250,00"</f>
        <v>209.250,00</v>
      </c>
      <c r="N5774" s="8" t="s">
        <v>3671</v>
      </c>
      <c r="O5774" s="7"/>
      <c r="P5774" s="2" t="s">
        <v>8451</v>
      </c>
      <c r="Q5774" s="7"/>
      <c r="R5774" s="1"/>
      <c r="S5774" s="1" t="str">
        <f>"N-35/16"</f>
        <v>N-35/16</v>
      </c>
      <c r="T5774" s="1" t="s">
        <v>32</v>
      </c>
    </row>
    <row r="5775" spans="1:20" ht="51" x14ac:dyDescent="0.25">
      <c r="A5775" s="6">
        <v>5754</v>
      </c>
      <c r="B5775" s="1" t="str">
        <f>"2016-2793"</f>
        <v>2016-2793</v>
      </c>
      <c r="C5775" s="1" t="s">
        <v>3672</v>
      </c>
      <c r="D5775" s="1" t="s">
        <v>843</v>
      </c>
      <c r="E5775" s="1" t="str">
        <f>"2016/S 002-0012495"</f>
        <v>2016/S 002-0012495</v>
      </c>
      <c r="F5775" s="1" t="s">
        <v>22</v>
      </c>
      <c r="G5775" s="1" t="str">
        <f>CONCATENATE("AGROPLAN D.O.O.,"," UGLJANSKA 14,"," 10000 ZAGREB,"," OIB: 13652531417")</f>
        <v>AGROPLAN D.O.O., UGLJANSKA 14, 10000 ZAGREB, OIB: 13652531417</v>
      </c>
      <c r="H5775" s="7"/>
      <c r="I5775" s="8" t="s">
        <v>3667</v>
      </c>
      <c r="J5775" s="8" t="s">
        <v>3668</v>
      </c>
      <c r="K5775" s="6" t="str">
        <f>"609.550,00"</f>
        <v>609.550,00</v>
      </c>
      <c r="L5775" s="6" t="str">
        <f>"152.387,50"</f>
        <v>152.387,50</v>
      </c>
      <c r="M5775" s="6" t="str">
        <f>"761.937,50"</f>
        <v>761.937,50</v>
      </c>
      <c r="N5775" s="8" t="s">
        <v>3673</v>
      </c>
      <c r="O5775" s="7"/>
      <c r="P5775" s="2" t="s">
        <v>8452</v>
      </c>
      <c r="Q5775" s="7"/>
      <c r="R5775" s="1"/>
      <c r="S5775" s="1" t="str">
        <f>"N-37/16"</f>
        <v>N-37/16</v>
      </c>
      <c r="T5775" s="1" t="s">
        <v>452</v>
      </c>
    </row>
    <row r="5776" spans="1:20" ht="165.75" x14ac:dyDescent="0.25">
      <c r="A5776" s="6">
        <v>5755</v>
      </c>
      <c r="B5776" s="1" t="str">
        <f>"2016-2823"</f>
        <v>2016-2823</v>
      </c>
      <c r="C5776" s="1" t="s">
        <v>3674</v>
      </c>
      <c r="D5776" s="1" t="s">
        <v>1641</v>
      </c>
      <c r="E5776" s="1" t="str">
        <f>"2016/S 002-0011500"</f>
        <v>2016/S 002-0011500</v>
      </c>
      <c r="F5776" s="1" t="s">
        <v>22</v>
      </c>
      <c r="G5776" s="1"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5776" s="1" t="str">
        <f>CONCATENATE("PO-MARK D.O.O.,"," OIB: 91699312841",CHAR(10),"EL-QUATTRO D.O.O. ZA PROJEKTIRANJE,"," TRGOVINU I USLUGE,"," OIB: 81768195539")</f>
        <v>PO-MARK D.O.O., OIB: 91699312841
EL-QUATTRO D.O.O. ZA PROJEKTIRANJE, TRGOVINU I USLUGE, OIB: 81768195539</v>
      </c>
      <c r="I5776" s="8" t="s">
        <v>3675</v>
      </c>
      <c r="J5776" s="8" t="s">
        <v>3676</v>
      </c>
      <c r="K5776" s="6" t="str">
        <f>"491.040,00"</f>
        <v>491.040,00</v>
      </c>
      <c r="L5776" s="6" t="str">
        <f>"122.760,00"</f>
        <v>122.760,00</v>
      </c>
      <c r="M5776" s="6" t="str">
        <f>"613.800,00"</f>
        <v>613.800,00</v>
      </c>
      <c r="N5776" s="8" t="s">
        <v>3677</v>
      </c>
      <c r="O5776" s="7"/>
      <c r="P5776" s="2" t="s">
        <v>8453</v>
      </c>
      <c r="Q5776" s="7"/>
      <c r="R5776" s="1"/>
      <c r="S5776" s="1" t="str">
        <f>"N-41/16"</f>
        <v>N-41/16</v>
      </c>
      <c r="T5776" s="1" t="s">
        <v>2060</v>
      </c>
    </row>
    <row r="5777" spans="1:20" ht="63.75" x14ac:dyDescent="0.25">
      <c r="A5777" s="6">
        <v>5756</v>
      </c>
      <c r="B5777" s="1" t="str">
        <f>"2016-1783"</f>
        <v>2016-1783</v>
      </c>
      <c r="C5777" s="1" t="s">
        <v>3678</v>
      </c>
      <c r="D5777" s="1" t="s">
        <v>702</v>
      </c>
      <c r="E5777" s="1" t="str">
        <f>"2016/S 002-0012964"</f>
        <v>2016/S 002-0012964</v>
      </c>
      <c r="F5777" s="1" t="s">
        <v>22</v>
      </c>
      <c r="G5777" s="1" t="str">
        <f>CONCATENATE("PA-EL D.O.O.,"," DUBROVČAN 33B,"," 49214 VELIKO TRGOVIŠĆE,"," OIB: 5674084932")</f>
        <v>PA-EL D.O.O., DUBROVČAN 33B, 49214 VELIKO TRGOVIŠĆE, OIB: 5674084932</v>
      </c>
      <c r="H5777" s="7"/>
      <c r="I5777" s="8" t="s">
        <v>3679</v>
      </c>
      <c r="J5777" s="8" t="s">
        <v>3680</v>
      </c>
      <c r="K5777" s="6" t="str">
        <f>"629.931,00"</f>
        <v>629.931,00</v>
      </c>
      <c r="L5777" s="6" t="str">
        <f>"157.482,75"</f>
        <v>157.482,75</v>
      </c>
      <c r="M5777" s="6" t="str">
        <f>"787.413,75"</f>
        <v>787.413,75</v>
      </c>
      <c r="N5777" s="8" t="s">
        <v>3681</v>
      </c>
      <c r="O5777" s="7"/>
      <c r="P5777" s="2" t="s">
        <v>8454</v>
      </c>
      <c r="Q5777" s="7"/>
      <c r="R5777" s="1"/>
      <c r="S5777" s="1" t="str">
        <f>"N-42/16"</f>
        <v>N-42/16</v>
      </c>
      <c r="T5777" s="1" t="s">
        <v>452</v>
      </c>
    </row>
    <row r="5778" spans="1:20" ht="165.75" x14ac:dyDescent="0.25">
      <c r="A5778" s="6">
        <v>5757</v>
      </c>
      <c r="B5778" s="1" t="str">
        <f>"2016-2822"</f>
        <v>2016-2822</v>
      </c>
      <c r="C5778" s="1" t="s">
        <v>3682</v>
      </c>
      <c r="D5778" s="1" t="s">
        <v>1641</v>
      </c>
      <c r="E5778" s="1" t="str">
        <f>"2016/S 002-0011517"</f>
        <v>2016/S 002-0011517</v>
      </c>
      <c r="F5778" s="1" t="s">
        <v>22</v>
      </c>
      <c r="G5778" s="1"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5778" s="1" t="str">
        <f>CONCATENATE("PO-MARK D.O.O.,"," OIB: 91699312841",CHAR(10),"EL-QUATTRO D.O.O. ZA PROJEKTIRANJE,"," TRGOVINU I USLUGE,"," OIB: 81768195539")</f>
        <v>PO-MARK D.O.O., OIB: 91699312841
EL-QUATTRO D.O.O. ZA PROJEKTIRANJE, TRGOVINU I USLUGE, OIB: 81768195539</v>
      </c>
      <c r="I5778" s="8" t="s">
        <v>3683</v>
      </c>
      <c r="J5778" s="8" t="s">
        <v>3684</v>
      </c>
      <c r="K5778" s="6" t="str">
        <f>"397.800,00"</f>
        <v>397.800,00</v>
      </c>
      <c r="L5778" s="6" t="str">
        <f>"99.450,00"</f>
        <v>99.450,00</v>
      </c>
      <c r="M5778" s="6" t="str">
        <f>"497.250,00"</f>
        <v>497.250,00</v>
      </c>
      <c r="N5778" s="8" t="s">
        <v>124</v>
      </c>
      <c r="O5778" s="7"/>
      <c r="P5778" s="2" t="s">
        <v>5614</v>
      </c>
      <c r="Q5778" s="7"/>
      <c r="R5778" s="1"/>
      <c r="S5778" s="1" t="str">
        <f>"N-44/16"</f>
        <v>N-44/16</v>
      </c>
      <c r="T5778" s="1" t="s">
        <v>2060</v>
      </c>
    </row>
    <row r="5779" spans="1:20" ht="51" x14ac:dyDescent="0.25">
      <c r="A5779" s="6">
        <v>5758</v>
      </c>
      <c r="B5779" s="1" t="str">
        <f>"2016-2276"</f>
        <v>2016-2276</v>
      </c>
      <c r="C5779" s="1" t="s">
        <v>3685</v>
      </c>
      <c r="D5779" s="1" t="s">
        <v>941</v>
      </c>
      <c r="E5779" s="1" t="str">
        <f>"2016/S 002-0013272"</f>
        <v>2016/S 002-0013272</v>
      </c>
      <c r="F5779" s="1" t="s">
        <v>22</v>
      </c>
      <c r="G5779" s="1" t="str">
        <f>CONCATENATE("KINDER GRADNJA D.O.O.,"," SELSKA 57,"," 10360 SESVETE,"," OIB: 71001411174")</f>
        <v>KINDER GRADNJA D.O.O., SELSKA 57, 10360 SESVETE, OIB: 71001411174</v>
      </c>
      <c r="H5779" s="1" t="str">
        <f>CONCATENATE("PERVISUS D.O.O.,"," OIB: 44353834669")</f>
        <v>PERVISUS D.O.O., OIB: 44353834669</v>
      </c>
      <c r="I5779" s="8" t="s">
        <v>3686</v>
      </c>
      <c r="J5779" s="8" t="s">
        <v>3687</v>
      </c>
      <c r="K5779" s="6" t="str">
        <f>"820.216,00"</f>
        <v>820.216,00</v>
      </c>
      <c r="L5779" s="6" t="str">
        <f>"205.054,00"</f>
        <v>205.054,00</v>
      </c>
      <c r="M5779" s="6" t="str">
        <f>"1.025.270,00"</f>
        <v>1.025.270,00</v>
      </c>
      <c r="N5779" s="8" t="s">
        <v>124</v>
      </c>
      <c r="O5779" s="7"/>
      <c r="P5779" s="2" t="s">
        <v>5614</v>
      </c>
      <c r="Q5779" s="7"/>
      <c r="R5779" s="1"/>
      <c r="S5779" s="1" t="str">
        <f>"N-46/16"</f>
        <v>N-46/16</v>
      </c>
      <c r="T5779" s="1" t="s">
        <v>55</v>
      </c>
    </row>
    <row r="5780" spans="1:20" ht="63.75" x14ac:dyDescent="0.25">
      <c r="A5780" s="6">
        <v>5759</v>
      </c>
      <c r="B5780" s="1" t="str">
        <f>"2016-2817"</f>
        <v>2016-2817</v>
      </c>
      <c r="C5780" s="1" t="s">
        <v>3688</v>
      </c>
      <c r="D5780" s="1" t="s">
        <v>2057</v>
      </c>
      <c r="E5780" s="1" t="str">
        <f>"2016/S 002-0010200"</f>
        <v>2016/S 002-0010200</v>
      </c>
      <c r="F5780" s="1" t="s">
        <v>22</v>
      </c>
      <c r="G5780" s="1" t="str">
        <f>CONCATENATE("INVESTINŽENJERING D.O.O.,"," TUŠKANOVA 41,"," 10000 ZAGREB,"," OIB: 78904416556")</f>
        <v>INVESTINŽENJERING D.O.O., TUŠKANOVA 41, 10000 ZAGREB, OIB: 78904416556</v>
      </c>
      <c r="H5780" s="7"/>
      <c r="I5780" s="8" t="s">
        <v>3689</v>
      </c>
      <c r="J5780" s="8" t="s">
        <v>3690</v>
      </c>
      <c r="K5780" s="6" t="str">
        <f>"1.197.000,00"</f>
        <v>1.197.000,00</v>
      </c>
      <c r="L5780" s="6" t="str">
        <f>"299.250,00"</f>
        <v>299.250,00</v>
      </c>
      <c r="M5780" s="6" t="str">
        <f>"1.496.250,00"</f>
        <v>1.496.250,00</v>
      </c>
      <c r="N5780" s="8" t="s">
        <v>3691</v>
      </c>
      <c r="O5780" s="7"/>
      <c r="P5780" s="2" t="s">
        <v>8455</v>
      </c>
      <c r="Q5780" s="7"/>
      <c r="R5780" s="1"/>
      <c r="S5780" s="1" t="str">
        <f>"N-48/16"</f>
        <v>N-48/16</v>
      </c>
      <c r="T5780" s="1" t="s">
        <v>2060</v>
      </c>
    </row>
    <row r="5781" spans="1:20" ht="51" x14ac:dyDescent="0.25">
      <c r="A5781" s="6">
        <v>5760</v>
      </c>
      <c r="B5781" s="1" t="str">
        <f>"2016-2686"</f>
        <v>2016-2686</v>
      </c>
      <c r="C5781" s="1" t="s">
        <v>3692</v>
      </c>
      <c r="D5781" s="1" t="s">
        <v>3693</v>
      </c>
      <c r="E5781" s="1" t="str">
        <f>"2016/S 002-0010736"</f>
        <v>2016/S 002-0010736</v>
      </c>
      <c r="F5781" s="1" t="s">
        <v>22</v>
      </c>
      <c r="G5781" s="1" t="str">
        <f>CONCATENATE("HIDROCOM D.O.O.,"," ANTUNA MIHANOVIĆA 55,"," 33405 PITOMAČA,"," OIB: 707132198")</f>
        <v>HIDROCOM D.O.O., ANTUNA MIHANOVIĆA 55, 33405 PITOMAČA, OIB: 707132198</v>
      </c>
      <c r="H5781" s="7"/>
      <c r="I5781" s="8" t="s">
        <v>3694</v>
      </c>
      <c r="J5781" s="8" t="s">
        <v>3695</v>
      </c>
      <c r="K5781" s="6" t="str">
        <f>"1.668.785,24"</f>
        <v>1.668.785,24</v>
      </c>
      <c r="L5781" s="6" t="str">
        <f>"417.196,31"</f>
        <v>417.196,31</v>
      </c>
      <c r="M5781" s="6" t="str">
        <f>"2.085.981,55"</f>
        <v>2.085.981,55</v>
      </c>
      <c r="N5781" s="8" t="s">
        <v>3696</v>
      </c>
      <c r="O5781" s="7"/>
      <c r="P5781" s="2" t="s">
        <v>8456</v>
      </c>
      <c r="Q5781" s="7"/>
      <c r="R5781" s="1"/>
      <c r="S5781" s="1" t="str">
        <f>"N-49-A/16"</f>
        <v>N-49-A/16</v>
      </c>
      <c r="T5781" s="1" t="s">
        <v>452</v>
      </c>
    </row>
    <row r="5782" spans="1:20" ht="63.75" x14ac:dyDescent="0.25">
      <c r="A5782" s="6">
        <v>5761</v>
      </c>
      <c r="B5782" s="1" t="str">
        <f>"2016-2686"</f>
        <v>2016-2686</v>
      </c>
      <c r="C5782" s="1" t="s">
        <v>3697</v>
      </c>
      <c r="D5782" s="1" t="s">
        <v>3693</v>
      </c>
      <c r="E5782" s="1" t="str">
        <f>"2016/S 002-0010736"</f>
        <v>2016/S 002-0010736</v>
      </c>
      <c r="F5782" s="1" t="s">
        <v>22</v>
      </c>
      <c r="G5782" s="1" t="str">
        <f>CONCATENATE("P T M G D.O.O.,"," GORNJOSTUPNIČKA 18,"," 10255 GORNJI STUPNIK,"," OIB: 5061792625")</f>
        <v>P T M G D.O.O., GORNJOSTUPNIČKA 18, 10255 GORNJI STUPNIK, OIB: 5061792625</v>
      </c>
      <c r="H5782" s="7"/>
      <c r="I5782" s="8" t="s">
        <v>3694</v>
      </c>
      <c r="J5782" s="8" t="s">
        <v>3695</v>
      </c>
      <c r="K5782" s="6" t="str">
        <f>"386.131,21"</f>
        <v>386.131,21</v>
      </c>
      <c r="L5782" s="6" t="str">
        <f>"96.532,80"</f>
        <v>96.532,80</v>
      </c>
      <c r="M5782" s="6" t="str">
        <f>"482.664,01"</f>
        <v>482.664,01</v>
      </c>
      <c r="N5782" s="8" t="s">
        <v>3698</v>
      </c>
      <c r="O5782" s="7"/>
      <c r="P5782" s="2" t="s">
        <v>8457</v>
      </c>
      <c r="Q5782" s="7"/>
      <c r="R5782" s="1"/>
      <c r="S5782" s="1" t="str">
        <f>"N-49-B/16"</f>
        <v>N-49-B/16</v>
      </c>
      <c r="T5782" s="1" t="s">
        <v>452</v>
      </c>
    </row>
    <row r="5783" spans="1:20" ht="89.25" x14ac:dyDescent="0.25">
      <c r="A5783" s="6">
        <v>5762</v>
      </c>
      <c r="B5783" s="1" t="str">
        <f>"2016-1924"</f>
        <v>2016-1924</v>
      </c>
      <c r="C5783" s="1" t="s">
        <v>3699</v>
      </c>
      <c r="D5783" s="1" t="s">
        <v>941</v>
      </c>
      <c r="E5783" s="1" t="str">
        <f>"2016/S 002-0015132"</f>
        <v>2016/S 002-0015132</v>
      </c>
      <c r="F5783" s="1" t="s">
        <v>22</v>
      </c>
      <c r="G5783" s="1" t="str">
        <f>CONCATENATE("BOLČEVIĆ-GRADNJA D.O.O.,"," DUGOSELSKA CESTA 56,"," 10361 SESVETSKI KRALJEVEC,"," OIB: 520986705")</f>
        <v>BOLČEVIĆ-GRADNJA D.O.O., DUGOSELSKA CESTA 56, 10361 SESVETSKI KRALJEVEC, OIB: 520986705</v>
      </c>
      <c r="H5783" s="1" t="str">
        <f>CONCATENATE("MGV D.O.O.,"," OIB: 07790118186",CHAR(10),"GRAĐEVINSKI LABORATORIJ D.O.O.,"," OIB: 51460238404")</f>
        <v>MGV D.O.O., OIB: 07790118186
GRAĐEVINSKI LABORATORIJ D.O.O., OIB: 51460238404</v>
      </c>
      <c r="I5783" s="8" t="s">
        <v>3508</v>
      </c>
      <c r="J5783" s="8" t="s">
        <v>3700</v>
      </c>
      <c r="K5783" s="6" t="str">
        <f>"478.750,00"</f>
        <v>478.750,00</v>
      </c>
      <c r="L5783" s="6" t="str">
        <f>"119.687,50"</f>
        <v>119.687,50</v>
      </c>
      <c r="M5783" s="6" t="str">
        <f>"598.437,50"</f>
        <v>598.437,50</v>
      </c>
      <c r="N5783" s="8" t="s">
        <v>124</v>
      </c>
      <c r="O5783" s="7"/>
      <c r="P5783" s="2" t="s">
        <v>5614</v>
      </c>
      <c r="Q5783" s="7"/>
      <c r="R5783" s="1"/>
      <c r="S5783" s="1" t="str">
        <f>"N-50/16"</f>
        <v>N-50/16</v>
      </c>
      <c r="T5783" s="1" t="s">
        <v>55</v>
      </c>
    </row>
    <row r="5784" spans="1:20" ht="51" x14ac:dyDescent="0.25">
      <c r="A5784" s="6">
        <v>5763</v>
      </c>
      <c r="B5784" s="1" t="str">
        <f>"2016-2855"</f>
        <v>2016-2855</v>
      </c>
      <c r="C5784" s="1" t="s">
        <v>3701</v>
      </c>
      <c r="D5784" s="1" t="s">
        <v>381</v>
      </c>
      <c r="E5784" s="1" t="str">
        <f>"2016/S 002-0017837"</f>
        <v>2016/S 002-0017837</v>
      </c>
      <c r="F5784" s="1" t="s">
        <v>22</v>
      </c>
      <c r="G5784" s="1" t="str">
        <f>CONCATENATE("TPK-ZAVOD D.D.,"," SLAVONSKA AVENIJA 20,"," 10000 ZAGREB,"," OIB: 95418386802")</f>
        <v>TPK-ZAVOD D.D., SLAVONSKA AVENIJA 20, 10000 ZAGREB, OIB: 95418386802</v>
      </c>
      <c r="H5784" s="7"/>
      <c r="I5784" s="8" t="s">
        <v>3702</v>
      </c>
      <c r="J5784" s="8" t="s">
        <v>3703</v>
      </c>
      <c r="K5784" s="6" t="str">
        <f>"188.400,00"</f>
        <v>188.400,00</v>
      </c>
      <c r="L5784" s="6" t="str">
        <f>"47.100,00"</f>
        <v>47.100,00</v>
      </c>
      <c r="M5784" s="6" t="str">
        <f>"235.500,00"</f>
        <v>235.500,00</v>
      </c>
      <c r="N5784" s="8" t="s">
        <v>124</v>
      </c>
      <c r="O5784" s="7"/>
      <c r="P5784" s="2" t="s">
        <v>5614</v>
      </c>
      <c r="Q5784" s="7"/>
      <c r="R5784" s="1"/>
      <c r="S5784" s="1" t="str">
        <f>"N-52/16"</f>
        <v>N-52/16</v>
      </c>
      <c r="T5784" s="1" t="s">
        <v>452</v>
      </c>
    </row>
    <row r="5785" spans="1:20" ht="63.75" x14ac:dyDescent="0.25">
      <c r="A5785" s="6">
        <v>5764</v>
      </c>
      <c r="B5785" s="1" t="str">
        <f>"2016-2837"</f>
        <v>2016-2837</v>
      </c>
      <c r="C5785" s="1" t="s">
        <v>3704</v>
      </c>
      <c r="D5785" s="1" t="s">
        <v>1641</v>
      </c>
      <c r="E5785" s="1" t="str">
        <f>"2016/S 002-0016255"</f>
        <v>2016/S 002-0016255</v>
      </c>
      <c r="F5785" s="1" t="s">
        <v>22</v>
      </c>
      <c r="G5785" s="1" t="str">
        <f>CONCATENATE("KONZALT ING D.O.O.,"," SAVEZNE REPUBLIKE NJEMAČKE 10,"," 10000 ZAGREB,"," OIB: 17693560053")</f>
        <v>KONZALT ING D.O.O., SAVEZNE REPUBLIKE NJEMAČKE 10, 10000 ZAGREB, OIB: 17693560053</v>
      </c>
      <c r="H5785" s="7"/>
      <c r="I5785" s="8" t="s">
        <v>3705</v>
      </c>
      <c r="J5785" s="8" t="s">
        <v>3706</v>
      </c>
      <c r="K5785" s="6" t="str">
        <f>"183.800,00"</f>
        <v>183.800,00</v>
      </c>
      <c r="L5785" s="6" t="str">
        <f>"45.950,00"</f>
        <v>45.950,00</v>
      </c>
      <c r="M5785" s="6" t="str">
        <f>"229.750,00"</f>
        <v>229.750,00</v>
      </c>
      <c r="N5785" s="8" t="s">
        <v>3707</v>
      </c>
      <c r="O5785" s="7"/>
      <c r="P5785" s="2" t="s">
        <v>8458</v>
      </c>
      <c r="Q5785" s="7"/>
      <c r="R5785" s="1"/>
      <c r="S5785" s="1" t="str">
        <f>"N-54-A/16"</f>
        <v>N-54-A/16</v>
      </c>
      <c r="T5785" s="1" t="s">
        <v>452</v>
      </c>
    </row>
    <row r="5786" spans="1:20" ht="63.75" x14ac:dyDescent="0.25">
      <c r="A5786" s="6">
        <v>5765</v>
      </c>
      <c r="B5786" s="1" t="str">
        <f>"2016-2837"</f>
        <v>2016-2837</v>
      </c>
      <c r="C5786" s="1" t="s">
        <v>3708</v>
      </c>
      <c r="D5786" s="1" t="s">
        <v>1641</v>
      </c>
      <c r="E5786" s="1" t="str">
        <f>"2016/S 002-0016255"</f>
        <v>2016/S 002-0016255</v>
      </c>
      <c r="F5786" s="1" t="s">
        <v>22</v>
      </c>
      <c r="G5786" s="1" t="str">
        <f>CONCATENATE("KONZALT ING D.O.O.,"," SAVEZNE REPUBLIKE NJEMAČKE 10,"," 10000 ZAGREB,"," OIB: 17693560053")</f>
        <v>KONZALT ING D.O.O., SAVEZNE REPUBLIKE NJEMAČKE 10, 10000 ZAGREB, OIB: 17693560053</v>
      </c>
      <c r="H5786" s="7"/>
      <c r="I5786" s="8" t="s">
        <v>3705</v>
      </c>
      <c r="J5786" s="8" t="s">
        <v>3706</v>
      </c>
      <c r="K5786" s="6" t="str">
        <f>"183.800,00"</f>
        <v>183.800,00</v>
      </c>
      <c r="L5786" s="6" t="str">
        <f>"45.950,00"</f>
        <v>45.950,00</v>
      </c>
      <c r="M5786" s="6" t="str">
        <f>"229.750,00"</f>
        <v>229.750,00</v>
      </c>
      <c r="N5786" s="8" t="s">
        <v>3707</v>
      </c>
      <c r="O5786" s="7"/>
      <c r="P5786" s="2" t="s">
        <v>8459</v>
      </c>
      <c r="Q5786" s="7"/>
      <c r="R5786" s="1"/>
      <c r="S5786" s="1" t="str">
        <f>"N-54-B/16"</f>
        <v>N-54-B/16</v>
      </c>
      <c r="T5786" s="1" t="s">
        <v>452</v>
      </c>
    </row>
    <row r="5787" spans="1:20" ht="127.5" x14ac:dyDescent="0.25">
      <c r="A5787" s="6">
        <v>5766</v>
      </c>
      <c r="B5787" s="1" t="str">
        <f>"2016-2274"</f>
        <v>2016-2274</v>
      </c>
      <c r="C5787" s="1" t="s">
        <v>3709</v>
      </c>
      <c r="D5787" s="1" t="s">
        <v>941</v>
      </c>
      <c r="E5787" s="1" t="str">
        <f>"2016/S 002-0015907"</f>
        <v>2016/S 002-0015907</v>
      </c>
      <c r="F5787" s="1" t="s">
        <v>22</v>
      </c>
      <c r="G5787" s="1" t="str">
        <f>CONCATENATE("BOLČEVIĆ-GRADNJA D.O.O.,"," DUGOSELSKA CESTA 56,"," 10361 SESVETSKI KRALJEVEC,"," OIB: 520986705")</f>
        <v>BOLČEVIĆ-GRADNJA D.O.O., DUGOSELSKA CESTA 56, 10361 SESVETSKI KRALJEVEC, OIB: 520986705</v>
      </c>
      <c r="H5787" s="1" t="str">
        <f>CONCATENATE("MGV D.O.O.,"," OIB: 07790118186",CHAR(10),"GRAĐEVINSKI LABORATORIJ D.O.O.,"," OIB: 51460238404",CHAR(10),"HIDROEKO D.O.O.,"," OIB: 34889829677")</f>
        <v>MGV D.O.O., OIB: 07790118186
GRAĐEVINSKI LABORATORIJ D.O.O., OIB: 51460238404
HIDROEKO D.O.O., OIB: 34889829677</v>
      </c>
      <c r="I5787" s="8" t="s">
        <v>3710</v>
      </c>
      <c r="J5787" s="8" t="s">
        <v>3711</v>
      </c>
      <c r="K5787" s="6" t="str">
        <f>"1.173.643,00"</f>
        <v>1.173.643,00</v>
      </c>
      <c r="L5787" s="6" t="str">
        <f>"293.410,75"</f>
        <v>293.410,75</v>
      </c>
      <c r="M5787" s="6" t="str">
        <f>"1.467.053,75"</f>
        <v>1.467.053,75</v>
      </c>
      <c r="N5787" s="8" t="s">
        <v>124</v>
      </c>
      <c r="O5787" s="7"/>
      <c r="P5787" s="2" t="s">
        <v>5614</v>
      </c>
      <c r="Q5787" s="7"/>
      <c r="R5787" s="1"/>
      <c r="S5787" s="1" t="str">
        <f>"N-55/16"</f>
        <v>N-55/16</v>
      </c>
      <c r="T5787" s="1" t="s">
        <v>55</v>
      </c>
    </row>
    <row r="5788" spans="1:20" ht="51" x14ac:dyDescent="0.25">
      <c r="A5788" s="6">
        <v>5767</v>
      </c>
      <c r="B5788" s="1" t="str">
        <f>"2016-2861"</f>
        <v>2016-2861</v>
      </c>
      <c r="C5788" s="1" t="s">
        <v>3712</v>
      </c>
      <c r="D5788" s="1" t="s">
        <v>2168</v>
      </c>
      <c r="E5788" s="1" t="str">
        <f>"2016/S 002-0018337"</f>
        <v>2016/S 002-0018337</v>
      </c>
      <c r="F5788" s="1" t="s">
        <v>22</v>
      </c>
      <c r="G5788" s="1" t="str">
        <f>CONCATENATE("CONEL D.O.O.,"," KNEZA BORNE 5,"," 10000 ZAGREB,"," OIB: 97614500728")</f>
        <v>CONEL D.O.O., KNEZA BORNE 5, 10000 ZAGREB, OIB: 97614500728</v>
      </c>
      <c r="H5788" s="7"/>
      <c r="I5788" s="8" t="s">
        <v>3713</v>
      </c>
      <c r="J5788" s="8" t="s">
        <v>3714</v>
      </c>
      <c r="K5788" s="6" t="str">
        <f>"1.292.961,50"</f>
        <v>1.292.961,50</v>
      </c>
      <c r="L5788" s="6" t="str">
        <f>"323.240,38"</f>
        <v>323.240,38</v>
      </c>
      <c r="M5788" s="6" t="str">
        <f>"1.616.201,88"</f>
        <v>1.616.201,88</v>
      </c>
      <c r="N5788" s="8" t="s">
        <v>3715</v>
      </c>
      <c r="O5788" s="7"/>
      <c r="P5788" s="2" t="s">
        <v>8460</v>
      </c>
      <c r="Q5788" s="7"/>
      <c r="R5788" s="1"/>
      <c r="S5788" s="1" t="str">
        <f>"N-56/16"</f>
        <v>N-56/16</v>
      </c>
      <c r="T5788" s="1" t="s">
        <v>452</v>
      </c>
    </row>
    <row r="5789" spans="1:20" ht="51" x14ac:dyDescent="0.25">
      <c r="A5789" s="6">
        <v>5768</v>
      </c>
      <c r="B5789" s="1" t="str">
        <f>"2016-1922"</f>
        <v>2016-1922</v>
      </c>
      <c r="C5789" s="1" t="s">
        <v>3716</v>
      </c>
      <c r="D5789" s="1" t="s">
        <v>941</v>
      </c>
      <c r="E5789" s="1" t="str">
        <f>""</f>
        <v/>
      </c>
      <c r="F5789" s="1" t="s">
        <v>22</v>
      </c>
      <c r="G5789" s="1" t="str">
        <f>CONCATENATE("NERING D.O.O.,"," LIVADARSKI PUT 24,"," 10360 SESVETE,"," OIB: 85965934616")</f>
        <v>NERING D.O.O., LIVADARSKI PUT 24, 10360 SESVETE, OIB: 85965934616</v>
      </c>
      <c r="H5789" s="7"/>
      <c r="I5789" s="8" t="s">
        <v>3717</v>
      </c>
      <c r="J5789" s="8" t="s">
        <v>3718</v>
      </c>
      <c r="K5789" s="6" t="str">
        <f>"985.404,00"</f>
        <v>985.404,00</v>
      </c>
      <c r="L5789" s="6" t="str">
        <f>"246.351,00"</f>
        <v>246.351,00</v>
      </c>
      <c r="M5789" s="6" t="str">
        <f>"1.231.755,00"</f>
        <v>1.231.755,00</v>
      </c>
      <c r="N5789" s="8" t="s">
        <v>3719</v>
      </c>
      <c r="O5789" s="7"/>
      <c r="P5789" s="2" t="s">
        <v>8461</v>
      </c>
      <c r="Q5789" s="7"/>
      <c r="R5789" s="1"/>
      <c r="S5789" s="1" t="str">
        <f>"N-58/16"</f>
        <v>N-58/16</v>
      </c>
      <c r="T5789" s="1" t="s">
        <v>55</v>
      </c>
    </row>
    <row r="5790" spans="1:20" ht="76.5" x14ac:dyDescent="0.25">
      <c r="A5790" s="6">
        <v>5769</v>
      </c>
      <c r="B5790" s="1" t="str">
        <f>"2016-2543"</f>
        <v>2016-2543</v>
      </c>
      <c r="C5790" s="1" t="s">
        <v>3720</v>
      </c>
      <c r="D5790" s="1" t="s">
        <v>1125</v>
      </c>
      <c r="E5790" s="1" t="str">
        <f>"2016/S 002-0016063"</f>
        <v>2016/S 002-0016063</v>
      </c>
      <c r="F5790" s="1" t="s">
        <v>22</v>
      </c>
      <c r="G5790" s="1" t="str">
        <f>CONCATENATE("GEORAD D.O.O.,"," KORNATSKA 1,"," 10000 ZAGREB,"," OIB: 49756748234")</f>
        <v>GEORAD D.O.O., KORNATSKA 1, 10000 ZAGREB, OIB: 49756748234</v>
      </c>
      <c r="H5790" s="1" t="str">
        <f>CONCATENATE("VIADUKT,"," D.D.,"," OIB: 74794390096",CHAR(10),"ZAŠTITA-ATEST D.O.O.,"," OIB: 72702911449")</f>
        <v>VIADUKT, D.D., OIB: 74794390096
ZAŠTITA-ATEST D.O.O., OIB: 72702911449</v>
      </c>
      <c r="I5790" s="8" t="s">
        <v>3721</v>
      </c>
      <c r="J5790" s="8" t="s">
        <v>3722</v>
      </c>
      <c r="K5790" s="6" t="str">
        <f>"999.669,25"</f>
        <v>999.669,25</v>
      </c>
      <c r="L5790" s="6" t="str">
        <f>"249.917,31"</f>
        <v>249.917,31</v>
      </c>
      <c r="M5790" s="6" t="str">
        <f>"1.249.586,56"</f>
        <v>1.249.586,56</v>
      </c>
      <c r="N5790" s="8" t="s">
        <v>3723</v>
      </c>
      <c r="O5790" s="7"/>
      <c r="P5790" s="2" t="s">
        <v>8462</v>
      </c>
      <c r="Q5790" s="7"/>
      <c r="R5790" s="1"/>
      <c r="S5790" s="1" t="str">
        <f>"N-60/16"</f>
        <v>N-60/16</v>
      </c>
      <c r="T5790" s="1" t="s">
        <v>55</v>
      </c>
    </row>
    <row r="5791" spans="1:20" ht="51" x14ac:dyDescent="0.25">
      <c r="A5791" s="6">
        <v>5770</v>
      </c>
      <c r="B5791" s="1" t="str">
        <f>"2016-2283"</f>
        <v>2016-2283</v>
      </c>
      <c r="C5791" s="1" t="s">
        <v>3724</v>
      </c>
      <c r="D5791" s="1" t="s">
        <v>941</v>
      </c>
      <c r="E5791" s="1" t="str">
        <f>"2016/S 002-0008005"</f>
        <v>2016/S 002-0008005</v>
      </c>
      <c r="F5791" s="1" t="s">
        <v>22</v>
      </c>
      <c r="G5791" s="1" t="str">
        <f>CONCATENATE("GEORAD D.O.O.,"," KORNATSKA 1,"," 10000 ZAGREB,"," OIB: 49756748234")</f>
        <v>GEORAD D.O.O., KORNATSKA 1, 10000 ZAGREB, OIB: 49756748234</v>
      </c>
      <c r="H5791" s="1" t="str">
        <f>CONCATENATE("ZAŠTITA PROJEKT D.O.O.,"," OIB: 76701744214")</f>
        <v>ZAŠTITA PROJEKT D.O.O., OIB: 76701744214</v>
      </c>
      <c r="I5791" s="8" t="s">
        <v>3721</v>
      </c>
      <c r="J5791" s="8" t="s">
        <v>3725</v>
      </c>
      <c r="K5791" s="6" t="str">
        <f>"1.700.674,30"</f>
        <v>1.700.674,30</v>
      </c>
      <c r="L5791" s="6" t="str">
        <f>"425.168,58"</f>
        <v>425.168,58</v>
      </c>
      <c r="M5791" s="6" t="str">
        <f>"2.125.842,88"</f>
        <v>2.125.842,88</v>
      </c>
      <c r="N5791" s="8" t="s">
        <v>3726</v>
      </c>
      <c r="O5791" s="7"/>
      <c r="P5791" s="2" t="s">
        <v>8463</v>
      </c>
      <c r="Q5791" s="7"/>
      <c r="R5791" s="1"/>
      <c r="S5791" s="1" t="str">
        <f>"N-61/16"</f>
        <v>N-61/16</v>
      </c>
      <c r="T5791" s="1" t="s">
        <v>55</v>
      </c>
    </row>
    <row r="5792" spans="1:20" ht="191.25" x14ac:dyDescent="0.25">
      <c r="A5792" s="6">
        <v>5771</v>
      </c>
      <c r="B5792" s="1" t="str">
        <f>"2016-2264"</f>
        <v>2016-2264</v>
      </c>
      <c r="C5792" s="1" t="s">
        <v>3727</v>
      </c>
      <c r="D5792" s="1" t="s">
        <v>1125</v>
      </c>
      <c r="E5792" s="1" t="str">
        <f>"2016/S 002-0014597"</f>
        <v>2016/S 002-0014597</v>
      </c>
      <c r="F5792" s="1" t="s">
        <v>22</v>
      </c>
      <c r="G5792" s="1" t="str">
        <f>CONCATENATE("INSTAL-PROM D.O.O.,"," LJUTOMERSKA 33A,"," 10040 ZAGREB,"," OIB: 21231984689")</f>
        <v>INSTAL-PROM D.O.O., LJUTOMERSKA 33A, 10040 ZAGREB, OIB: 21231984689</v>
      </c>
      <c r="H5792" s="1"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5792" s="8" t="s">
        <v>3721</v>
      </c>
      <c r="J5792" s="8" t="s">
        <v>3725</v>
      </c>
      <c r="K5792" s="6" t="str">
        <f>"1.688.878,20"</f>
        <v>1.688.878,20</v>
      </c>
      <c r="L5792" s="6" t="str">
        <f>"422.219,55"</f>
        <v>422.219,55</v>
      </c>
      <c r="M5792" s="6" t="str">
        <f>"2.111.097,75"</f>
        <v>2.111.097,75</v>
      </c>
      <c r="N5792" s="8" t="s">
        <v>3728</v>
      </c>
      <c r="O5792" s="7"/>
      <c r="P5792" s="2" t="s">
        <v>8464</v>
      </c>
      <c r="Q5792" s="7"/>
      <c r="R5792" s="1"/>
      <c r="S5792" s="1" t="str">
        <f>"N-62/16"</f>
        <v>N-62/16</v>
      </c>
      <c r="T5792" s="1" t="s">
        <v>55</v>
      </c>
    </row>
    <row r="5793" spans="1:20" ht="63.75" x14ac:dyDescent="0.25">
      <c r="A5793" s="6">
        <v>5772</v>
      </c>
      <c r="B5793" s="1" t="str">
        <f>"2016-1906"</f>
        <v>2016-1906</v>
      </c>
      <c r="C5793" s="1" t="s">
        <v>3729</v>
      </c>
      <c r="D5793" s="1" t="s">
        <v>941</v>
      </c>
      <c r="E5793" s="1" t="str">
        <f>"2016/S 002-0014586"</f>
        <v>2016/S 002-0014586</v>
      </c>
      <c r="F5793" s="1" t="s">
        <v>22</v>
      </c>
      <c r="G5793" s="1" t="str">
        <f>CONCATENATE("M.SOLDO D.O.O.,"," DEBANIĆEVA 39,"," 10000 ZAGREB,"," OIB: 58353605637")</f>
        <v>M.SOLDO D.O.O., DEBANIĆEVA 39, 10000 ZAGREB, OIB: 58353605637</v>
      </c>
      <c r="H5793" s="1" t="str">
        <f>CONCATENATE("GEOGIS D.O.O.,"," OIB: 63046817751",CHAR(10),"CSS D.O.O.,"," OIB: 55562638214")</f>
        <v>GEOGIS D.O.O., OIB: 63046817751
CSS D.O.O., OIB: 55562638214</v>
      </c>
      <c r="I5793" s="8" t="s">
        <v>3721</v>
      </c>
      <c r="J5793" s="8" t="s">
        <v>3725</v>
      </c>
      <c r="K5793" s="6" t="str">
        <f>"1.474.939,00"</f>
        <v>1.474.939,00</v>
      </c>
      <c r="L5793" s="6" t="str">
        <f>"368.734,75"</f>
        <v>368.734,75</v>
      </c>
      <c r="M5793" s="6" t="str">
        <f>"1.843.673,75"</f>
        <v>1.843.673,75</v>
      </c>
      <c r="N5793" s="7"/>
      <c r="O5793" s="9">
        <v>43593</v>
      </c>
      <c r="P5793" s="2" t="s">
        <v>8465</v>
      </c>
      <c r="Q5793" s="7"/>
      <c r="R5793" s="1"/>
      <c r="S5793" s="1" t="str">
        <f>"N-63/16"</f>
        <v>N-63/16</v>
      </c>
      <c r="T5793" s="1" t="s">
        <v>55</v>
      </c>
    </row>
    <row r="5794" spans="1:20" ht="114.75" x14ac:dyDescent="0.25">
      <c r="A5794" s="6">
        <v>5773</v>
      </c>
      <c r="B5794" s="1" t="str">
        <f>"2016-2862"</f>
        <v>2016-2862</v>
      </c>
      <c r="C5794" s="1" t="s">
        <v>3730</v>
      </c>
      <c r="D5794" s="1" t="s">
        <v>114</v>
      </c>
      <c r="E5794" s="1" t="str">
        <f>"2016/S 002-0016418"</f>
        <v>2016/S 002-0016418</v>
      </c>
      <c r="F5794" s="1" t="s">
        <v>22</v>
      </c>
      <c r="G5794" s="1"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5794" s="7"/>
      <c r="I5794" s="8" t="s">
        <v>3731</v>
      </c>
      <c r="J5794" s="8" t="s">
        <v>3732</v>
      </c>
      <c r="K5794" s="6" t="str">
        <f>"509.542,00"</f>
        <v>509.542,00</v>
      </c>
      <c r="L5794" s="6" t="str">
        <f>"127.385,50"</f>
        <v>127.385,50</v>
      </c>
      <c r="M5794" s="6" t="str">
        <f>"636.927,50"</f>
        <v>636.927,50</v>
      </c>
      <c r="N5794" s="8" t="s">
        <v>3733</v>
      </c>
      <c r="O5794" s="7"/>
      <c r="P5794" s="2" t="s">
        <v>8466</v>
      </c>
      <c r="Q5794" s="7"/>
      <c r="R5794" s="1"/>
      <c r="S5794" s="1" t="str">
        <f>"N-65/16"</f>
        <v>N-65/16</v>
      </c>
      <c r="T5794" s="1" t="s">
        <v>452</v>
      </c>
    </row>
    <row r="5795" spans="1:20" ht="51" x14ac:dyDescent="0.25">
      <c r="A5795" s="6">
        <v>5774</v>
      </c>
      <c r="B5795" s="1" t="str">
        <f>"2016-1678"</f>
        <v>2016-1678</v>
      </c>
      <c r="C5795" s="1" t="s">
        <v>3734</v>
      </c>
      <c r="D5795" s="1" t="s">
        <v>3735</v>
      </c>
      <c r="E5795" s="1" t="str">
        <f>"2016/S 002-0017196"</f>
        <v>2016/S 002-0017196</v>
      </c>
      <c r="F5795" s="1" t="s">
        <v>22</v>
      </c>
      <c r="G5795" s="1" t="str">
        <f>CONCATENATE("POLJOOPSKRBA-TEHNO D.D.,"," SAMOBORSKA 96,"," 10000 ZAGREB,"," OIB: 5372167324")</f>
        <v>POLJOOPSKRBA-TEHNO D.D., SAMOBORSKA 96, 10000 ZAGREB, OIB: 5372167324</v>
      </c>
      <c r="H5795" s="7"/>
      <c r="I5795" s="8" t="s">
        <v>3736</v>
      </c>
      <c r="J5795" s="8" t="s">
        <v>3737</v>
      </c>
      <c r="K5795" s="6" t="str">
        <f>"599.413,00"</f>
        <v>599.413,00</v>
      </c>
      <c r="L5795" s="6" t="str">
        <f>"149.853,25"</f>
        <v>149.853,25</v>
      </c>
      <c r="M5795" s="6" t="str">
        <f>"749.266,25"</f>
        <v>749.266,25</v>
      </c>
      <c r="N5795" s="8" t="s">
        <v>3738</v>
      </c>
      <c r="O5795" s="7"/>
      <c r="P5795" s="2" t="s">
        <v>8467</v>
      </c>
      <c r="Q5795" s="7"/>
      <c r="R5795" s="1"/>
      <c r="S5795" s="1" t="str">
        <f>"N-71/16"</f>
        <v>N-71/16</v>
      </c>
      <c r="T5795" s="1" t="s">
        <v>32</v>
      </c>
    </row>
    <row r="5796" spans="1:20" ht="63.75" x14ac:dyDescent="0.25">
      <c r="A5796" s="6">
        <v>5775</v>
      </c>
      <c r="B5796" s="1" t="str">
        <f>"2016-2867"</f>
        <v>2016-2867</v>
      </c>
      <c r="C5796" s="1" t="s">
        <v>3739</v>
      </c>
      <c r="D5796" s="1" t="s">
        <v>941</v>
      </c>
      <c r="E5796" s="1" t="str">
        <f>"2016/S 002-0018045"</f>
        <v>2016/S 002-0018045</v>
      </c>
      <c r="F5796" s="1" t="s">
        <v>22</v>
      </c>
      <c r="G5796" s="1" t="str">
        <f>CONCATENATE("MONTER-STROJARSKE MONTAŽE D.D.,"," VELIMIRA ŠKORPIKA 28,"," 10000 ZAGREB,"," OIB: 13887374452")</f>
        <v>MONTER-STROJARSKE MONTAŽE D.D., VELIMIRA ŠKORPIKA 28, 10000 ZAGREB, OIB: 13887374452</v>
      </c>
      <c r="H5796" s="7"/>
      <c r="I5796" s="8" t="s">
        <v>3740</v>
      </c>
      <c r="J5796" s="8" t="s">
        <v>3723</v>
      </c>
      <c r="K5796" s="6" t="str">
        <f>"2.598.922,20"</f>
        <v>2.598.922,20</v>
      </c>
      <c r="L5796" s="6" t="str">
        <f>"649.730,55"</f>
        <v>649.730,55</v>
      </c>
      <c r="M5796" s="6" t="str">
        <f>"3.248.652,75"</f>
        <v>3.248.652,75</v>
      </c>
      <c r="N5796" s="8" t="s">
        <v>124</v>
      </c>
      <c r="O5796" s="7"/>
      <c r="P5796" s="2" t="s">
        <v>5614</v>
      </c>
      <c r="Q5796" s="7"/>
      <c r="R5796" s="1"/>
      <c r="S5796" s="1" t="str">
        <f>"N-73/16"</f>
        <v>N-73/16</v>
      </c>
      <c r="T5796" s="1" t="s">
        <v>55</v>
      </c>
    </row>
    <row r="5797" spans="1:20" ht="76.5" x14ac:dyDescent="0.25">
      <c r="A5797" s="6">
        <v>5776</v>
      </c>
      <c r="B5797" s="1" t="str">
        <f>"2016-1944"</f>
        <v>2016-1944</v>
      </c>
      <c r="C5797" s="1" t="s">
        <v>3741</v>
      </c>
      <c r="D5797" s="1" t="s">
        <v>1979</v>
      </c>
      <c r="E5797" s="1" t="str">
        <f>"2016/S 002-0017819"</f>
        <v>2016/S 002-0017819</v>
      </c>
      <c r="F5797" s="1" t="s">
        <v>22</v>
      </c>
      <c r="G5797" s="1" t="str">
        <f>CONCATENATE("INSTITUT IGH D.D.,"," JANKA RAKUŠE 1,"," 10000 ZAGREB,"," OIB: 79766124714")</f>
        <v>INSTITUT IGH D.D., JANKA RAKUŠE 1, 10000 ZAGREB, OIB: 79766124714</v>
      </c>
      <c r="H5797" s="7"/>
      <c r="I5797" s="8" t="s">
        <v>3740</v>
      </c>
      <c r="J5797" s="8" t="s">
        <v>3723</v>
      </c>
      <c r="K5797" s="6" t="str">
        <f>"307.800,00"</f>
        <v>307.800,00</v>
      </c>
      <c r="L5797" s="6" t="str">
        <f>"76.950,00"</f>
        <v>76.950,00</v>
      </c>
      <c r="M5797" s="6" t="str">
        <f>"384.750,00"</f>
        <v>384.750,00</v>
      </c>
      <c r="N5797" s="8" t="s">
        <v>124</v>
      </c>
      <c r="O5797" s="7"/>
      <c r="P5797" s="2" t="s">
        <v>5614</v>
      </c>
      <c r="Q5797" s="7"/>
      <c r="R5797" s="1"/>
      <c r="S5797" s="1" t="str">
        <f>"N-74/16"</f>
        <v>N-74/16</v>
      </c>
      <c r="T5797" s="1" t="s">
        <v>55</v>
      </c>
    </row>
    <row r="5798" spans="1:20" ht="76.5" x14ac:dyDescent="0.25">
      <c r="A5798" s="6">
        <v>5777</v>
      </c>
      <c r="B5798" s="1" t="str">
        <f>"2016-1822"</f>
        <v>2016-1822</v>
      </c>
      <c r="C5798" s="1" t="s">
        <v>3742</v>
      </c>
      <c r="D5798" s="1" t="s">
        <v>1871</v>
      </c>
      <c r="E5798" s="1" t="str">
        <f>"2016/S 002-0017003"</f>
        <v>2016/S 002-0017003</v>
      </c>
      <c r="F5798" s="1" t="s">
        <v>22</v>
      </c>
      <c r="G5798" s="1" t="str">
        <f>CONCATENATE("M.SOLDO D.O.O.,"," DEBANIĆEVA 39,"," 10000 ZAGREB,"," OIB: 58353605637")</f>
        <v>M.SOLDO D.O.O., DEBANIĆEVA 39, 10000 ZAGREB, OIB: 58353605637</v>
      </c>
      <c r="H5798" s="1" t="str">
        <f>CONCATENATE("GEOGIS D.O.O.,"," OIB: 63046817751",CHAR(10),"UNIVERZAL ŽICA D.O.O.,"," OIB: 62988526948")</f>
        <v>GEOGIS D.O.O., OIB: 63046817751
UNIVERZAL ŽICA D.O.O., OIB: 62988526948</v>
      </c>
      <c r="I5798" s="8" t="s">
        <v>3522</v>
      </c>
      <c r="J5798" s="8" t="s">
        <v>3523</v>
      </c>
      <c r="K5798" s="6" t="str">
        <f>"2.811.953,50"</f>
        <v>2.811.953,50</v>
      </c>
      <c r="L5798" s="6" t="str">
        <f>"702.988,38"</f>
        <v>702.988,38</v>
      </c>
      <c r="M5798" s="6" t="str">
        <f>"3.514.941,88"</f>
        <v>3.514.941,88</v>
      </c>
      <c r="N5798" s="8" t="s">
        <v>124</v>
      </c>
      <c r="O5798" s="7"/>
      <c r="P5798" s="2" t="s">
        <v>5614</v>
      </c>
      <c r="Q5798" s="7"/>
      <c r="R5798" s="1"/>
      <c r="S5798" s="1" t="str">
        <f>"N-75/16"</f>
        <v>N-75/16</v>
      </c>
      <c r="T5798" s="1" t="s">
        <v>55</v>
      </c>
    </row>
    <row r="5799" spans="1:20" ht="63.75" x14ac:dyDescent="0.25">
      <c r="A5799" s="6">
        <v>5778</v>
      </c>
      <c r="B5799" s="1" t="str">
        <f>"2016-2730"</f>
        <v>2016-2730</v>
      </c>
      <c r="C5799" s="1" t="s">
        <v>3743</v>
      </c>
      <c r="D5799" s="1" t="s">
        <v>925</v>
      </c>
      <c r="E5799" s="1" t="str">
        <f>"2016/S 002-0020402"</f>
        <v>2016/S 002-0020402</v>
      </c>
      <c r="F5799" s="1" t="s">
        <v>22</v>
      </c>
      <c r="G5799" s="1" t="str">
        <f>CONCATENATE("ZAVOD ZA FOTOGRAMETRIJU D.D.,"," BORONGAJSKA CESTA 71,"," 10000 ZAGREB,"," OIB: 7663888475")</f>
        <v>ZAVOD ZA FOTOGRAMETRIJU D.D., BORONGAJSKA CESTA 71, 10000 ZAGREB, OIB: 7663888475</v>
      </c>
      <c r="H5799" s="7"/>
      <c r="I5799" s="8" t="s">
        <v>3522</v>
      </c>
      <c r="J5799" s="8" t="s">
        <v>3523</v>
      </c>
      <c r="K5799" s="6" t="str">
        <f>"278.000,00"</f>
        <v>278.000,00</v>
      </c>
      <c r="L5799" s="6" t="str">
        <f>"69.500,00"</f>
        <v>69.500,00</v>
      </c>
      <c r="M5799" s="6" t="str">
        <f>"347.500,00"</f>
        <v>347.500,00</v>
      </c>
      <c r="N5799" s="8" t="s">
        <v>3744</v>
      </c>
      <c r="O5799" s="7"/>
      <c r="P5799" s="2" t="s">
        <v>8468</v>
      </c>
      <c r="Q5799" s="7"/>
      <c r="R5799" s="1"/>
      <c r="S5799" s="1" t="str">
        <f>"N-77/16"</f>
        <v>N-77/16</v>
      </c>
      <c r="T5799" s="1" t="s">
        <v>452</v>
      </c>
    </row>
    <row r="5800" spans="1:20" ht="127.5" x14ac:dyDescent="0.25">
      <c r="A5800" s="6">
        <v>5779</v>
      </c>
      <c r="B5800" s="1" t="str">
        <f>"2016-1905"</f>
        <v>2016-1905</v>
      </c>
      <c r="C5800" s="1" t="s">
        <v>3745</v>
      </c>
      <c r="D5800" s="1" t="s">
        <v>941</v>
      </c>
      <c r="E5800" s="1" t="str">
        <f>"2016/S 014-0018997"</f>
        <v>2016/S 014-0018997</v>
      </c>
      <c r="F5800" s="1" t="s">
        <v>22</v>
      </c>
      <c r="G5800" s="1" t="str">
        <f>CONCATENATE("PALIR D.O.O.,"," DANE DUIĆA 3,"," 10000 ZAGREB,"," OIB: 19383246503")</f>
        <v>PALIR D.O.O., DANE DUIĆA 3, 10000 ZAGREB, OIB: 19383246503</v>
      </c>
      <c r="H5800" s="1" t="str">
        <f>CONCATENATE("GEO - LAMA D.O.O.,"," OIB: 85730083289",CHAR(10),"GRAĐEVINSKI LABORATORIJ D.O.O.,"," OIB: 51460238404",CHAR(10),"C.I.A.K. D.O.O.,"," OIB: 47428597158")</f>
        <v>GEO - LAMA D.O.O., OIB: 85730083289
GRAĐEVINSKI LABORATORIJ D.O.O., OIB: 51460238404
C.I.A.K. D.O.O., OIB: 47428597158</v>
      </c>
      <c r="I5800" s="8" t="s">
        <v>3522</v>
      </c>
      <c r="J5800" s="8" t="s">
        <v>3523</v>
      </c>
      <c r="K5800" s="6" t="str">
        <f>"2.336.074,00"</f>
        <v>2.336.074,00</v>
      </c>
      <c r="L5800" s="6" t="str">
        <f>"584.018,50"</f>
        <v>584.018,50</v>
      </c>
      <c r="M5800" s="6" t="str">
        <f>"2.920.092,50"</f>
        <v>2.920.092,50</v>
      </c>
      <c r="N5800" s="8" t="s">
        <v>124</v>
      </c>
      <c r="O5800" s="7"/>
      <c r="P5800" s="2" t="s">
        <v>5614</v>
      </c>
      <c r="Q5800" s="7"/>
      <c r="R5800" s="1"/>
      <c r="S5800" s="1" t="str">
        <f>"N-78/16"</f>
        <v>N-78/16</v>
      </c>
      <c r="T5800" s="1" t="s">
        <v>55</v>
      </c>
    </row>
    <row r="5801" spans="1:20" ht="63.75" x14ac:dyDescent="0.25">
      <c r="A5801" s="6">
        <v>5780</v>
      </c>
      <c r="B5801" s="1" t="str">
        <f>"2016-2663"</f>
        <v>2016-2663</v>
      </c>
      <c r="C5801" s="1" t="s">
        <v>3746</v>
      </c>
      <c r="D5801" s="1" t="s">
        <v>1702</v>
      </c>
      <c r="E5801" s="1" t="str">
        <f>"2016/S 002-0008339"</f>
        <v>2016/S 002-0008339</v>
      </c>
      <c r="F5801" s="1" t="s">
        <v>22</v>
      </c>
      <c r="G5801" s="1" t="str">
        <f>CONCATENATE("KEMOBOJA-DUBRAVA D.O.O.,"," AVENIJA DUBRAVA 37,"," 10000 ZAGREB,"," OIB: 6402157427")</f>
        <v>KEMOBOJA-DUBRAVA D.O.O., AVENIJA DUBRAVA 37, 10000 ZAGREB, OIB: 6402157427</v>
      </c>
      <c r="H5801" s="7"/>
      <c r="I5801" s="8" t="s">
        <v>3522</v>
      </c>
      <c r="J5801" s="8" t="s">
        <v>3523</v>
      </c>
      <c r="K5801" s="6" t="str">
        <f>"248.309,46"</f>
        <v>248.309,46</v>
      </c>
      <c r="L5801" s="6" t="str">
        <f>"62.077,36"</f>
        <v>62.077,36</v>
      </c>
      <c r="M5801" s="6" t="str">
        <f>"310.386,82"</f>
        <v>310.386,82</v>
      </c>
      <c r="N5801" s="8" t="s">
        <v>1998</v>
      </c>
      <c r="O5801" s="7"/>
      <c r="P5801" s="2" t="s">
        <v>8469</v>
      </c>
      <c r="Q5801" s="7"/>
      <c r="R5801" s="1"/>
      <c r="S5801" s="1" t="str">
        <f>"N-79/16"</f>
        <v>N-79/16</v>
      </c>
      <c r="T5801" s="1" t="s">
        <v>452</v>
      </c>
    </row>
    <row r="5802" spans="1:20" ht="127.5" x14ac:dyDescent="0.25">
      <c r="A5802" s="6">
        <v>5781</v>
      </c>
      <c r="B5802" s="1" t="str">
        <f>"2016-2282"</f>
        <v>2016-2282</v>
      </c>
      <c r="C5802" s="1" t="s">
        <v>3747</v>
      </c>
      <c r="D5802" s="1" t="s">
        <v>941</v>
      </c>
      <c r="E5802" s="1" t="str">
        <f>"2016/S 002-0014521"</f>
        <v>2016/S 002-0014521</v>
      </c>
      <c r="F5802" s="1" t="s">
        <v>22</v>
      </c>
      <c r="G5802" s="1"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5802" s="1" t="str">
        <f>CONCATENATE("ADRIA GRUPA D.O.O.,"," OIB: 0663766096")</f>
        <v>ADRIA GRUPA D.O.O., OIB: 0663766096</v>
      </c>
      <c r="I5802" s="8" t="s">
        <v>3748</v>
      </c>
      <c r="J5802" s="8" t="s">
        <v>3652</v>
      </c>
      <c r="K5802" s="6" t="str">
        <f>"991.006,00"</f>
        <v>991.006,00</v>
      </c>
      <c r="L5802" s="6" t="str">
        <f>"247.751,50"</f>
        <v>247.751,50</v>
      </c>
      <c r="M5802" s="6" t="str">
        <f>"1.238.757,50"</f>
        <v>1.238.757,50</v>
      </c>
      <c r="N5802" s="8" t="s">
        <v>3749</v>
      </c>
      <c r="O5802" s="7"/>
      <c r="P5802" s="2" t="s">
        <v>8470</v>
      </c>
      <c r="Q5802" s="7"/>
      <c r="R5802" s="1"/>
      <c r="S5802" s="1" t="str">
        <f>"N-80/16"</f>
        <v>N-80/16</v>
      </c>
      <c r="T5802" s="1" t="s">
        <v>55</v>
      </c>
    </row>
    <row r="5803" spans="1:20" ht="76.5" x14ac:dyDescent="0.25">
      <c r="A5803" s="6">
        <v>5782</v>
      </c>
      <c r="B5803" s="1" t="str">
        <f>"2016-1310"</f>
        <v>2016-1310</v>
      </c>
      <c r="C5803" s="1" t="s">
        <v>3750</v>
      </c>
      <c r="D5803" s="1" t="s">
        <v>3178</v>
      </c>
      <c r="E5803" s="1" t="str">
        <f>"2016/S 002-0017759"</f>
        <v>2016/S 002-0017759</v>
      </c>
      <c r="F5803" s="1" t="s">
        <v>22</v>
      </c>
      <c r="G5803" s="1" t="str">
        <f>CONCATENATE("POLJOOPSKRBA-TEHNO D.D.,"," SAMOBORSKA 96,"," 10000 ZAGREB,"," OIB: 5372167324")</f>
        <v>POLJOOPSKRBA-TEHNO D.D., SAMOBORSKA 96, 10000 ZAGREB, OIB: 5372167324</v>
      </c>
      <c r="H5803" s="7"/>
      <c r="I5803" s="8" t="s">
        <v>3751</v>
      </c>
      <c r="J5803" s="8" t="s">
        <v>3752</v>
      </c>
      <c r="K5803" s="6" t="str">
        <f>"175.284,00"</f>
        <v>175.284,00</v>
      </c>
      <c r="L5803" s="6" t="str">
        <f>"43.821,00"</f>
        <v>43.821,00</v>
      </c>
      <c r="M5803" s="6" t="str">
        <f>"219.105,00"</f>
        <v>219.105,00</v>
      </c>
      <c r="N5803" s="8" t="s">
        <v>3753</v>
      </c>
      <c r="O5803" s="7"/>
      <c r="P5803" s="2" t="s">
        <v>8471</v>
      </c>
      <c r="Q5803" s="7"/>
      <c r="R5803" s="1"/>
      <c r="S5803" s="1" t="str">
        <f>"N-81-A/16"</f>
        <v>N-81-A/16</v>
      </c>
      <c r="T5803" s="1" t="s">
        <v>32</v>
      </c>
    </row>
    <row r="5804" spans="1:20" ht="63.75" x14ac:dyDescent="0.25">
      <c r="A5804" s="6">
        <v>5783</v>
      </c>
      <c r="B5804" s="1" t="str">
        <f>"2016-2849"</f>
        <v>2016-2849</v>
      </c>
      <c r="C5804" s="1" t="s">
        <v>3754</v>
      </c>
      <c r="D5804" s="1" t="s">
        <v>2013</v>
      </c>
      <c r="E5804" s="1" t="str">
        <f>"2016/S 002-0018069"</f>
        <v>2016/S 002-0018069</v>
      </c>
      <c r="F5804" s="1" t="s">
        <v>22</v>
      </c>
      <c r="G5804" s="1" t="str">
        <f>CONCATENATE("SPECIJALNA OPREMA - LUČKO D.O.O.,"," DONJI STUPNIK,"," DOLENICA 20,"," 10250 LUČKO,"," OIB: 3557766515")</f>
        <v>SPECIJALNA OPREMA - LUČKO D.O.O., DONJI STUPNIK, DOLENICA 20, 10250 LUČKO, OIB: 3557766515</v>
      </c>
      <c r="H5804" s="7"/>
      <c r="I5804" s="8" t="s">
        <v>3755</v>
      </c>
      <c r="J5804" s="8" t="s">
        <v>3756</v>
      </c>
      <c r="K5804" s="6" t="str">
        <f>"643.089,00"</f>
        <v>643.089,00</v>
      </c>
      <c r="L5804" s="6" t="str">
        <f>"160.772,25"</f>
        <v>160.772,25</v>
      </c>
      <c r="M5804" s="6" t="str">
        <f>"803.861,25"</f>
        <v>803.861,25</v>
      </c>
      <c r="N5804" s="8" t="s">
        <v>3513</v>
      </c>
      <c r="O5804" s="7"/>
      <c r="P5804" s="2" t="s">
        <v>8472</v>
      </c>
      <c r="Q5804" s="7"/>
      <c r="R5804" s="1"/>
      <c r="S5804" s="1" t="str">
        <f>"N-83/16"</f>
        <v>N-83/16</v>
      </c>
      <c r="T5804" s="1" t="s">
        <v>452</v>
      </c>
    </row>
    <row r="5805" spans="1:20" ht="165.75" x14ac:dyDescent="0.25">
      <c r="A5805" s="6">
        <v>5784</v>
      </c>
      <c r="B5805" s="1" t="str">
        <f>"2016-2549"</f>
        <v>2016-2549</v>
      </c>
      <c r="C5805" s="1" t="s">
        <v>3757</v>
      </c>
      <c r="D5805" s="1" t="s">
        <v>1109</v>
      </c>
      <c r="E5805" s="1" t="str">
        <f>"2016/S 002-0017365"</f>
        <v>2016/S 002-0017365</v>
      </c>
      <c r="F5805" s="1" t="s">
        <v>22</v>
      </c>
      <c r="G5805" s="1" t="str">
        <f>CONCATENATE("KOLEKTOR-ZAGREB D.O.O.,"," IVANIĆGRADSKA 22,"," 10000 ZAGREB,"," OIB: 73209542242")</f>
        <v>KOLEKTOR-ZAGREB D.O.O., IVANIĆGRADSKA 22, 10000 ZAGREB, OIB: 73209542242</v>
      </c>
      <c r="H5805" s="1" t="str">
        <f>CONCATENATE("KINDER GRADNJA D.O.O.,"," OIB: 71001411174",CHAR(10),"PERVISUS D.O.O.,"," OIB: 44353834669",CHAR(10),"JURIČIĆ INVEST D.O.O.,"," OIB: 34326515074",CHAR(10),"KANAL INSPEKT D.O.O.,"," OIB: 99873400233")</f>
        <v>KINDER GRADNJA D.O.O., OIB: 71001411174
PERVISUS D.O.O., OIB: 44353834669
JURIČIĆ INVEST D.O.O., OIB: 34326515074
KANAL INSPEKT D.O.O., OIB: 99873400233</v>
      </c>
      <c r="I5805" s="8" t="s">
        <v>3755</v>
      </c>
      <c r="J5805" s="8" t="s">
        <v>3756</v>
      </c>
      <c r="K5805" s="6" t="str">
        <f>"591.982,76"</f>
        <v>591.982,76</v>
      </c>
      <c r="L5805" s="6" t="str">
        <f>"147.995,69"</f>
        <v>147.995,69</v>
      </c>
      <c r="M5805" s="6" t="str">
        <f>"739.978,45"</f>
        <v>739.978,45</v>
      </c>
      <c r="N5805" s="8" t="s">
        <v>3639</v>
      </c>
      <c r="O5805" s="7"/>
      <c r="P5805" s="2" t="s">
        <v>8473</v>
      </c>
      <c r="Q5805" s="7"/>
      <c r="R5805" s="1"/>
      <c r="S5805" s="1" t="str">
        <f>"N-84/16"</f>
        <v>N-84/16</v>
      </c>
      <c r="T5805" s="1" t="s">
        <v>55</v>
      </c>
    </row>
    <row r="5806" spans="1:20" ht="89.25" x14ac:dyDescent="0.25">
      <c r="A5806" s="6">
        <v>5785</v>
      </c>
      <c r="B5806" s="1" t="str">
        <f>"2016-2275"</f>
        <v>2016-2275</v>
      </c>
      <c r="C5806" s="1" t="s">
        <v>3758</v>
      </c>
      <c r="D5806" s="1" t="s">
        <v>941</v>
      </c>
      <c r="E5806" s="1" t="str">
        <f>"2016/S 002-0020144"</f>
        <v>2016/S 002-0020144</v>
      </c>
      <c r="F5806" s="1" t="s">
        <v>22</v>
      </c>
      <c r="G5806" s="1" t="str">
        <f>CONCATENATE("KINDER GRADNJA D.O.O.,"," SELSKA 57,"," 10360 SESVETE,"," OIB: 71001411174")</f>
        <v>KINDER GRADNJA D.O.O., SELSKA 57, 10360 SESVETE, OIB: 71001411174</v>
      </c>
      <c r="H5806" s="1" t="str">
        <f>CONCATENATE("PERVISUS D.O.O.,"," OIB: 44353834669",CHAR(10),"ENERGOATEST ZAŠTITA D.O.O.,"," OIB: 67546770608")</f>
        <v>PERVISUS D.O.O., OIB: 44353834669
ENERGOATEST ZAŠTITA D.O.O., OIB: 67546770608</v>
      </c>
      <c r="I5806" s="8" t="s">
        <v>3759</v>
      </c>
      <c r="J5806" s="8" t="s">
        <v>3760</v>
      </c>
      <c r="K5806" s="6" t="str">
        <f>"610.040,00"</f>
        <v>610.040,00</v>
      </c>
      <c r="L5806" s="6" t="str">
        <f>"152.510,00"</f>
        <v>152.510,00</v>
      </c>
      <c r="M5806" s="6" t="str">
        <f>"762.550,00"</f>
        <v>762.550,00</v>
      </c>
      <c r="N5806" s="8" t="s">
        <v>3761</v>
      </c>
      <c r="O5806" s="7"/>
      <c r="P5806" s="2" t="s">
        <v>8474</v>
      </c>
      <c r="Q5806" s="7"/>
      <c r="R5806" s="1"/>
      <c r="S5806" s="1" t="str">
        <f>"N-85/16"</f>
        <v>N-85/16</v>
      </c>
      <c r="T5806" s="1" t="s">
        <v>55</v>
      </c>
    </row>
    <row r="5807" spans="1:20" ht="51" x14ac:dyDescent="0.25">
      <c r="A5807" s="6">
        <v>5786</v>
      </c>
      <c r="B5807" s="1" t="str">
        <f>"2016-2278"</f>
        <v>2016-2278</v>
      </c>
      <c r="C5807" s="1" t="s">
        <v>3762</v>
      </c>
      <c r="D5807" s="1" t="s">
        <v>941</v>
      </c>
      <c r="E5807" s="1" t="str">
        <f>"2016/S 002-0010535"</f>
        <v>2016/S 002-0010535</v>
      </c>
      <c r="F5807" s="1" t="s">
        <v>22</v>
      </c>
      <c r="G5807" s="1" t="str">
        <f>CONCATENATE("BK MONTAŽA D.O.O.,"," DORE PEJAČEVIĆ 1,"," 10000 ZAGREB,"," OIB: 80580557122")</f>
        <v>BK MONTAŽA D.O.O., DORE PEJAČEVIĆ 1, 10000 ZAGREB, OIB: 80580557122</v>
      </c>
      <c r="H5807" s="7"/>
      <c r="I5807" s="8" t="s">
        <v>3759</v>
      </c>
      <c r="J5807" s="8" t="s">
        <v>3763</v>
      </c>
      <c r="K5807" s="6" t="str">
        <f>"848.886,00"</f>
        <v>848.886,00</v>
      </c>
      <c r="L5807" s="6" t="str">
        <f>"212.221,50"</f>
        <v>212.221,50</v>
      </c>
      <c r="M5807" s="6" t="str">
        <f>"1.061.107,50"</f>
        <v>1.061.107,50</v>
      </c>
      <c r="N5807" s="8" t="s">
        <v>3764</v>
      </c>
      <c r="O5807" s="7"/>
      <c r="P5807" s="2" t="s">
        <v>8475</v>
      </c>
      <c r="Q5807" s="7"/>
      <c r="R5807" s="1"/>
      <c r="S5807" s="1" t="str">
        <f>"N-86/16"</f>
        <v>N-86/16</v>
      </c>
      <c r="T5807" s="1" t="s">
        <v>55</v>
      </c>
    </row>
    <row r="5808" spans="1:20" ht="51" x14ac:dyDescent="0.25">
      <c r="A5808" s="6">
        <v>5787</v>
      </c>
      <c r="B5808" s="1" t="str">
        <f>"2016-2717"</f>
        <v>2016-2717</v>
      </c>
      <c r="C5808" s="1" t="s">
        <v>3765</v>
      </c>
      <c r="D5808" s="1" t="s">
        <v>941</v>
      </c>
      <c r="E5808" s="1" t="str">
        <f>"2016/S 002-0018325"</f>
        <v>2016/S 002-0018325</v>
      </c>
      <c r="F5808" s="1" t="s">
        <v>22</v>
      </c>
      <c r="G5808" s="1" t="str">
        <f>CONCATENATE("NERING D.O.O.,"," LIVADARSKI PUT 24,"," 10360 SESVETE,"," OIB: 85965934616")</f>
        <v>NERING D.O.O., LIVADARSKI PUT 24, 10360 SESVETE, OIB: 85965934616</v>
      </c>
      <c r="H5808" s="7"/>
      <c r="I5808" s="8" t="s">
        <v>3766</v>
      </c>
      <c r="J5808" s="8" t="s">
        <v>3767</v>
      </c>
      <c r="K5808" s="6" t="str">
        <f>"1.734.004,00"</f>
        <v>1.734.004,00</v>
      </c>
      <c r="L5808" s="6" t="str">
        <f>"433.501,00"</f>
        <v>433.501,00</v>
      </c>
      <c r="M5808" s="6" t="str">
        <f>"2.167.505,00"</f>
        <v>2.167.505,00</v>
      </c>
      <c r="N5808" s="8" t="s">
        <v>3668</v>
      </c>
      <c r="O5808" s="7"/>
      <c r="P5808" s="2" t="s">
        <v>8476</v>
      </c>
      <c r="Q5808" s="7"/>
      <c r="R5808" s="1"/>
      <c r="S5808" s="1" t="str">
        <f>"N-87/16"</f>
        <v>N-87/16</v>
      </c>
      <c r="T5808" s="1" t="s">
        <v>55</v>
      </c>
    </row>
    <row r="5809" spans="1:20" ht="89.25" x14ac:dyDescent="0.25">
      <c r="A5809" s="6">
        <v>5788</v>
      </c>
      <c r="B5809" s="1" t="str">
        <f>"2016-2281"</f>
        <v>2016-2281</v>
      </c>
      <c r="C5809" s="1" t="s">
        <v>3768</v>
      </c>
      <c r="D5809" s="1" t="s">
        <v>941</v>
      </c>
      <c r="E5809" s="1" t="str">
        <f>"2016/S 002-0015130"</f>
        <v>2016/S 002-0015130</v>
      </c>
      <c r="F5809" s="1" t="s">
        <v>22</v>
      </c>
      <c r="G5809" s="1" t="str">
        <f>CONCATENATE("TIGRA D.O.O.,"," IVANIĆGRADSKA 22,"," 10000 ZAGREB,"," OIB: 2983006023")</f>
        <v>TIGRA D.O.O., IVANIĆGRADSKA 22, 10000 ZAGREB, OIB: 2983006023</v>
      </c>
      <c r="H5809" s="1" t="str">
        <f>CONCATENATE("DAGOR D.O.O.,"," OIB: 50966188893",CHAR(10),"GRAĐEVINSKI LABORATORIJ D.O.O.,"," OIB: 51460238404")</f>
        <v>DAGOR D.O.O., OIB: 50966188893
GRAĐEVINSKI LABORATORIJ D.O.O., OIB: 51460238404</v>
      </c>
      <c r="I5809" s="8" t="s">
        <v>3748</v>
      </c>
      <c r="J5809" s="8" t="s">
        <v>3652</v>
      </c>
      <c r="K5809" s="6" t="str">
        <f>"627.967,00"</f>
        <v>627.967,00</v>
      </c>
      <c r="L5809" s="6" t="str">
        <f>"156.991,75"</f>
        <v>156.991,75</v>
      </c>
      <c r="M5809" s="6" t="str">
        <f>"784.958,75"</f>
        <v>784.958,75</v>
      </c>
      <c r="N5809" s="8" t="s">
        <v>3769</v>
      </c>
      <c r="O5809" s="7"/>
      <c r="P5809" s="2" t="s">
        <v>8477</v>
      </c>
      <c r="Q5809" s="7"/>
      <c r="R5809" s="1"/>
      <c r="S5809" s="1" t="str">
        <f>"N-88/16"</f>
        <v>N-88/16</v>
      </c>
      <c r="T5809" s="1" t="s">
        <v>55</v>
      </c>
    </row>
    <row r="5810" spans="1:20" ht="102" x14ac:dyDescent="0.25">
      <c r="A5810" s="6">
        <v>5789</v>
      </c>
      <c r="B5810" s="1" t="str">
        <f>"2016-1089"</f>
        <v>2016-1089</v>
      </c>
      <c r="C5810" s="1" t="s">
        <v>3770</v>
      </c>
      <c r="D5810" s="1" t="s">
        <v>2357</v>
      </c>
      <c r="E5810" s="1" t="str">
        <f>"2016/S 002-0021712"</f>
        <v>2016/S 002-0021712</v>
      </c>
      <c r="F5810" s="1" t="s">
        <v>22</v>
      </c>
      <c r="G5810" s="1" t="str">
        <f>CONCATENATE("AUDIO VIDEO CONSULTING D.O.O.,"," HRASTOVIČKA 62,"," 10250 LUČKO,"," OIB: 62707927904")</f>
        <v>AUDIO VIDEO CONSULTING D.O.O., HRASTOVIČKA 62, 10250 LUČKO, OIB: 62707927904</v>
      </c>
      <c r="H5810" s="1" t="str">
        <f>CONCATENATE("TRITONEL MULTIMEDIA D.O.O,"," OIB: 42303492343",CHAR(10),"ECCOS-INŽENJERING D.O.O.,"," OIB: 71629027685")</f>
        <v>TRITONEL MULTIMEDIA D.O.O, OIB: 42303492343
ECCOS-INŽENJERING D.O.O., OIB: 71629027685</v>
      </c>
      <c r="I5810" s="8" t="s">
        <v>3766</v>
      </c>
      <c r="J5810" s="8" t="s">
        <v>3767</v>
      </c>
      <c r="K5810" s="6" t="str">
        <f>"466.540,00"</f>
        <v>466.540,00</v>
      </c>
      <c r="L5810" s="6" t="str">
        <f>"116.635,00"</f>
        <v>116.635,00</v>
      </c>
      <c r="M5810" s="6" t="str">
        <f>"583.175,00"</f>
        <v>583.175,00</v>
      </c>
      <c r="N5810" s="8" t="s">
        <v>3566</v>
      </c>
      <c r="O5810" s="7"/>
      <c r="P5810" s="2" t="s">
        <v>8478</v>
      </c>
      <c r="Q5810" s="1"/>
      <c r="R5810" s="1"/>
      <c r="S5810" s="1" t="str">
        <f>"N-89/16"</f>
        <v>N-89/16</v>
      </c>
      <c r="T5810" s="1" t="s">
        <v>32</v>
      </c>
    </row>
    <row r="5811" spans="1:20" ht="51" x14ac:dyDescent="0.25">
      <c r="A5811" s="6">
        <v>5790</v>
      </c>
      <c r="B5811" s="1" t="str">
        <f>"2016-173"</f>
        <v>2016-173</v>
      </c>
      <c r="C5811" s="1" t="s">
        <v>3771</v>
      </c>
      <c r="D5811" s="1" t="s">
        <v>467</v>
      </c>
      <c r="E5811" s="1" t="str">
        <f>"2016/S 002-0019540"</f>
        <v>2016/S 002-0019540</v>
      </c>
      <c r="F5811" s="1" t="s">
        <v>22</v>
      </c>
      <c r="G5811" s="1" t="str">
        <f>CONCATENATE("KING ICT D.O.O.,"," BUZINSKI PRILAZ 10,"," 10010 ZAGREB,"," OIB: 67001695549")</f>
        <v>KING ICT D.O.O., BUZINSKI PRILAZ 10, 10010 ZAGREB, OIB: 67001695549</v>
      </c>
      <c r="H5811" s="7"/>
      <c r="I5811" s="8" t="s">
        <v>3772</v>
      </c>
      <c r="J5811" s="8" t="s">
        <v>3773</v>
      </c>
      <c r="K5811" s="6" t="str">
        <f>"870.000,00"</f>
        <v>870.000,00</v>
      </c>
      <c r="L5811" s="6" t="str">
        <f>"217.500,00"</f>
        <v>217.500,00</v>
      </c>
      <c r="M5811" s="6" t="str">
        <f>"1.087.500,00"</f>
        <v>1.087.500,00</v>
      </c>
      <c r="N5811" s="8" t="s">
        <v>3774</v>
      </c>
      <c r="O5811" s="7"/>
      <c r="P5811" s="2" t="s">
        <v>8479</v>
      </c>
      <c r="Q5811" s="7"/>
      <c r="R5811" s="1"/>
      <c r="S5811" s="1" t="str">
        <f>"N-90/16"</f>
        <v>N-90/16</v>
      </c>
      <c r="T5811" s="1" t="s">
        <v>43</v>
      </c>
    </row>
    <row r="5812" spans="1:20" ht="114.75" x14ac:dyDescent="0.25">
      <c r="A5812" s="6">
        <v>5791</v>
      </c>
      <c r="B5812" s="1" t="str">
        <f>"2016-1930"</f>
        <v>2016-1930</v>
      </c>
      <c r="C5812" s="1" t="s">
        <v>3775</v>
      </c>
      <c r="D5812" s="1" t="s">
        <v>941</v>
      </c>
      <c r="E5812" s="1" t="str">
        <f>"2016/S 002-0016891"</f>
        <v>2016/S 002-0016891</v>
      </c>
      <c r="F5812" s="1" t="s">
        <v>22</v>
      </c>
      <c r="G5812" s="1" t="str">
        <f>CONCATENATE("BK MONTAŽA D.O.O.,"," DORE PEJAČEVIĆ 1,"," 10000 ZAGREB,"," OIB: 80580557122")</f>
        <v>BK MONTAŽA D.O.O., DORE PEJAČEVIĆ 1, 10000 ZAGREB, OIB: 80580557122</v>
      </c>
      <c r="H5812" s="1" t="str">
        <f>CONCATENATE("GROMATIC KR D.O.O.,"," OIB: 82769972632",CHAR(10),"GEO ISPITIVANJA D.O.O.,"," OIB: 95172244706",CHAR(10),"MIAB D.O.O.,"," OIB: 6693291323")</f>
        <v>GROMATIC KR D.O.O., OIB: 82769972632
GEO ISPITIVANJA D.O.O., OIB: 95172244706
MIAB D.O.O., OIB: 6693291323</v>
      </c>
      <c r="I5812" s="8" t="s">
        <v>3776</v>
      </c>
      <c r="J5812" s="8" t="s">
        <v>3777</v>
      </c>
      <c r="K5812" s="6" t="str">
        <f>"2.757.148,60"</f>
        <v>2.757.148,60</v>
      </c>
      <c r="L5812" s="6" t="str">
        <f>"689.287,15"</f>
        <v>689.287,15</v>
      </c>
      <c r="M5812" s="6" t="str">
        <f>"3.446.435,75"</f>
        <v>3.446.435,75</v>
      </c>
      <c r="N5812" s="8" t="s">
        <v>124</v>
      </c>
      <c r="O5812" s="7"/>
      <c r="P5812" s="2" t="s">
        <v>5614</v>
      </c>
      <c r="Q5812" s="7"/>
      <c r="R5812" s="1"/>
      <c r="S5812" s="1" t="str">
        <f>"N-91/16"</f>
        <v>N-91/16</v>
      </c>
      <c r="T5812" s="1" t="s">
        <v>55</v>
      </c>
    </row>
    <row r="5813" spans="1:20" ht="89.25" x14ac:dyDescent="0.25">
      <c r="A5813" s="6">
        <v>5792</v>
      </c>
      <c r="B5813" s="1" t="str">
        <f>"2016-2542"</f>
        <v>2016-2542</v>
      </c>
      <c r="C5813" s="1" t="s">
        <v>3778</v>
      </c>
      <c r="D5813" s="1" t="s">
        <v>1109</v>
      </c>
      <c r="E5813" s="1" t="str">
        <f>"2016/S 002-0016645"</f>
        <v>2016/S 002-0016645</v>
      </c>
      <c r="F5813" s="1" t="s">
        <v>22</v>
      </c>
      <c r="G5813" s="1" t="str">
        <f>CONCATENATE("BOLČEVIĆ-GRADNJA D.O.O.,"," DUGOSELSKA CESTA 56,"," 10361 SESVETSKI KRALJEVEC,"," OIB: 520986705")</f>
        <v>BOLČEVIĆ-GRADNJA D.O.O., DUGOSELSKA CESTA 56, 10361 SESVETSKI KRALJEVEC, OIB: 520986705</v>
      </c>
      <c r="H5813" s="1" t="str">
        <f>CONCATENATE("MGV D.O.O.,"," OIB: 07790118186",CHAR(10),"GRAĐEVINSKI LABORATORIJ D.O.O.,"," OIB: 51460238404")</f>
        <v>MGV D.O.O., OIB: 07790118186
GRAĐEVINSKI LABORATORIJ D.O.O., OIB: 51460238404</v>
      </c>
      <c r="I5813" s="8" t="s">
        <v>3776</v>
      </c>
      <c r="J5813" s="8" t="s">
        <v>3777</v>
      </c>
      <c r="K5813" s="6" t="str">
        <f>"1.576.645,00"</f>
        <v>1.576.645,00</v>
      </c>
      <c r="L5813" s="6" t="str">
        <f>"394.161,25"</f>
        <v>394.161,25</v>
      </c>
      <c r="M5813" s="6" t="str">
        <f>"1.970.806,25"</f>
        <v>1.970.806,25</v>
      </c>
      <c r="N5813" s="8" t="s">
        <v>3779</v>
      </c>
      <c r="O5813" s="7"/>
      <c r="P5813" s="2" t="s">
        <v>8480</v>
      </c>
      <c r="Q5813" s="7"/>
      <c r="R5813" s="1"/>
      <c r="S5813" s="1" t="str">
        <f>"N-93/16"</f>
        <v>N-93/16</v>
      </c>
      <c r="T5813" s="1" t="s">
        <v>55</v>
      </c>
    </row>
    <row r="5814" spans="1:20" ht="51" x14ac:dyDescent="0.25">
      <c r="A5814" s="6">
        <v>5793</v>
      </c>
      <c r="B5814" s="1" t="str">
        <f>"2016-594"</f>
        <v>2016-594</v>
      </c>
      <c r="C5814" s="1" t="s">
        <v>3780</v>
      </c>
      <c r="D5814" s="1" t="s">
        <v>702</v>
      </c>
      <c r="E5814" s="1" t="str">
        <f>"2016/S 002-0023243"</f>
        <v>2016/S 002-0023243</v>
      </c>
      <c r="F5814" s="1" t="s">
        <v>22</v>
      </c>
      <c r="G5814" s="1" t="str">
        <f>CONCATENATE("INSTAL-PROM D.O.O.,"," LJUTOMERSKA 33A,"," 10040 ZAGREB,"," OIB: 21231984689")</f>
        <v>INSTAL-PROM D.O.O., LJUTOMERSKA 33A, 10040 ZAGREB, OIB: 21231984689</v>
      </c>
      <c r="H5814" s="1" t="str">
        <f>CONCATENATE("KAPITEL D.O.O.,"," OIB: 44838895379")</f>
        <v>KAPITEL D.O.O., OIB: 44838895379</v>
      </c>
      <c r="I5814" s="8" t="s">
        <v>3781</v>
      </c>
      <c r="J5814" s="8" t="s">
        <v>3782</v>
      </c>
      <c r="K5814" s="6" t="str">
        <f>"733.245,00"</f>
        <v>733.245,00</v>
      </c>
      <c r="L5814" s="6" t="str">
        <f>"183.311,25"</f>
        <v>183.311,25</v>
      </c>
      <c r="M5814" s="6" t="str">
        <f>"916.556,25"</f>
        <v>916.556,25</v>
      </c>
      <c r="N5814" s="8" t="s">
        <v>3719</v>
      </c>
      <c r="O5814" s="7"/>
      <c r="P5814" s="2" t="s">
        <v>8481</v>
      </c>
      <c r="Q5814" s="7"/>
      <c r="R5814" s="1"/>
      <c r="S5814" s="1" t="str">
        <f>"N-98/16"</f>
        <v>N-98/16</v>
      </c>
      <c r="T5814" s="1" t="s">
        <v>452</v>
      </c>
    </row>
    <row r="5815" spans="1:20" ht="102" x14ac:dyDescent="0.25">
      <c r="A5815" s="6">
        <v>5794</v>
      </c>
      <c r="B5815" s="1" t="str">
        <f>"2016-2995"</f>
        <v>2016-2995</v>
      </c>
      <c r="C5815" s="1" t="s">
        <v>3783</v>
      </c>
      <c r="D5815" s="1" t="s">
        <v>1979</v>
      </c>
      <c r="E5815" s="1" t="str">
        <f>"2016/S 002-0024786"</f>
        <v>2016/S 002-0024786</v>
      </c>
      <c r="F5815" s="1" t="s">
        <v>22</v>
      </c>
      <c r="G5815" s="1"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5815" s="7"/>
      <c r="I5815" s="8" t="s">
        <v>3542</v>
      </c>
      <c r="J5815" s="8" t="s">
        <v>3784</v>
      </c>
      <c r="K5815" s="6" t="str">
        <f>"96.000,00"</f>
        <v>96.000,00</v>
      </c>
      <c r="L5815" s="6" t="str">
        <f>"24.000,00"</f>
        <v>24.000,00</v>
      </c>
      <c r="M5815" s="6" t="str">
        <f>"120.000,00"</f>
        <v>120.000,00</v>
      </c>
      <c r="N5815" s="8" t="s">
        <v>124</v>
      </c>
      <c r="O5815" s="7"/>
      <c r="P5815" s="2" t="s">
        <v>5614</v>
      </c>
      <c r="Q5815" s="7"/>
      <c r="R5815" s="1"/>
      <c r="S5815" s="1" t="str">
        <f>"N-108/16"</f>
        <v>N-108/16</v>
      </c>
      <c r="T5815" s="1" t="s">
        <v>55</v>
      </c>
    </row>
    <row r="5816" spans="1:20" ht="89.25" x14ac:dyDescent="0.25">
      <c r="A5816" s="6">
        <v>5795</v>
      </c>
      <c r="B5816" s="1" t="str">
        <f>"2016-3019"</f>
        <v>2016-3019</v>
      </c>
      <c r="C5816" s="1" t="s">
        <v>3785</v>
      </c>
      <c r="D5816" s="1" t="s">
        <v>1109</v>
      </c>
      <c r="E5816" s="1" t="str">
        <f>"2016/S 002-0025133"</f>
        <v>2016/S 002-0025133</v>
      </c>
      <c r="F5816" s="1" t="s">
        <v>22</v>
      </c>
      <c r="G5816" s="1" t="str">
        <f>CONCATENATE("BOLČEVIĆ-GRADNJA D.O.O.,"," DUGOSELSKA CESTA 56,"," 10361 SESVETSKI KRALJEVEC,"," OIB: 520986705")</f>
        <v>BOLČEVIĆ-GRADNJA D.O.O., DUGOSELSKA CESTA 56, 10361 SESVETSKI KRALJEVEC, OIB: 520986705</v>
      </c>
      <c r="H5816" s="1" t="str">
        <f>CONCATENATE("M G V D.O.O.,"," OIB: 72602155595",CHAR(10),"GRAĐEVINSKI LABORATORIJ D.O.O.,"," OIB: 51460238404")</f>
        <v>M G V D.O.O., OIB: 72602155595
GRAĐEVINSKI LABORATORIJ D.O.O., OIB: 51460238404</v>
      </c>
      <c r="I5816" s="8" t="s">
        <v>3542</v>
      </c>
      <c r="J5816" s="8" t="s">
        <v>3784</v>
      </c>
      <c r="K5816" s="6" t="str">
        <f>"770.959,80"</f>
        <v>770.959,80</v>
      </c>
      <c r="L5816" s="6" t="str">
        <f>"192.739,95"</f>
        <v>192.739,95</v>
      </c>
      <c r="M5816" s="6" t="str">
        <f>"963.699,75"</f>
        <v>963.699,75</v>
      </c>
      <c r="N5816" s="8" t="s">
        <v>3786</v>
      </c>
      <c r="O5816" s="7"/>
      <c r="P5816" s="2" t="s">
        <v>8482</v>
      </c>
      <c r="Q5816" s="7"/>
      <c r="R5816" s="1"/>
      <c r="S5816" s="1" t="str">
        <f>"N-109/16"</f>
        <v>N-109/16</v>
      </c>
      <c r="T5816" s="1" t="s">
        <v>55</v>
      </c>
    </row>
    <row r="5817" spans="1:20" ht="51" x14ac:dyDescent="0.25">
      <c r="A5817" s="6">
        <v>5796</v>
      </c>
      <c r="B5817" s="1" t="str">
        <f>"2016-2617"</f>
        <v>2016-2617</v>
      </c>
      <c r="C5817" s="1" t="s">
        <v>3787</v>
      </c>
      <c r="D5817" s="1" t="s">
        <v>2234</v>
      </c>
      <c r="E5817" s="1" t="str">
        <f>"2016/S-002-0024648"</f>
        <v>2016/S-002-0024648</v>
      </c>
      <c r="F5817" s="1" t="s">
        <v>22</v>
      </c>
      <c r="G5817" s="1" t="str">
        <f>CONCATENATE("ELEKTROCENTAR PETEK D.O.O.,"," ETANSKA CESTA 8,"," 10310 IVANIĆ-GRAD,"," OIB: 17491977848")</f>
        <v>ELEKTROCENTAR PETEK D.O.O., ETANSKA CESTA 8, 10310 IVANIĆ-GRAD, OIB: 17491977848</v>
      </c>
      <c r="H5817" s="7"/>
      <c r="I5817" s="8" t="s">
        <v>3788</v>
      </c>
      <c r="J5817" s="8" t="s">
        <v>3789</v>
      </c>
      <c r="K5817" s="6" t="str">
        <f>"889.199,37"</f>
        <v>889.199,37</v>
      </c>
      <c r="L5817" s="6" t="str">
        <f>"222.299,84"</f>
        <v>222.299,84</v>
      </c>
      <c r="M5817" s="6" t="str">
        <f>"1.111.499,21"</f>
        <v>1.111.499,21</v>
      </c>
      <c r="N5817" s="8" t="s">
        <v>3790</v>
      </c>
      <c r="O5817" s="7"/>
      <c r="P5817" s="2" t="s">
        <v>8483</v>
      </c>
      <c r="Q5817" s="7"/>
      <c r="R5817" s="1"/>
      <c r="S5817" s="1" t="str">
        <f>"N-118/16"</f>
        <v>N-118/16</v>
      </c>
      <c r="T5817" s="1" t="s">
        <v>32</v>
      </c>
    </row>
    <row r="5818" spans="1:20" ht="51" x14ac:dyDescent="0.25">
      <c r="A5818" s="6">
        <v>5797</v>
      </c>
      <c r="B5818" s="1" t="str">
        <f>"2016-3169"</f>
        <v>2016-3169</v>
      </c>
      <c r="C5818" s="1" t="s">
        <v>3791</v>
      </c>
      <c r="D5818" s="1" t="s">
        <v>702</v>
      </c>
      <c r="E5818" s="1" t="str">
        <f>"2016/S 002-0027046"</f>
        <v>2016/S 002-0027046</v>
      </c>
      <c r="F5818" s="1" t="s">
        <v>22</v>
      </c>
      <c r="G5818" s="1" t="str">
        <f>CONCATENATE("GEORAD D.O.O.,"," KORNATSKA 1,"," 10000 ZAGREB,"," OIB: 49756748234")</f>
        <v>GEORAD D.O.O., KORNATSKA 1, 10000 ZAGREB, OIB: 49756748234</v>
      </c>
      <c r="H5818" s="7"/>
      <c r="I5818" s="8" t="s">
        <v>3792</v>
      </c>
      <c r="J5818" s="8" t="s">
        <v>3793</v>
      </c>
      <c r="K5818" s="6" t="str">
        <f>"1.030.553,00"</f>
        <v>1.030.553,00</v>
      </c>
      <c r="L5818" s="6" t="str">
        <f>"257.638,25"</f>
        <v>257.638,25</v>
      </c>
      <c r="M5818" s="6" t="str">
        <f>"1.288.191,25"</f>
        <v>1.288.191,25</v>
      </c>
      <c r="N5818" s="8" t="s">
        <v>3711</v>
      </c>
      <c r="O5818" s="7"/>
      <c r="P5818" s="2" t="s">
        <v>8484</v>
      </c>
      <c r="Q5818" s="7"/>
      <c r="R5818" s="1"/>
      <c r="S5818" s="1" t="str">
        <f>"N-122/16"</f>
        <v>N-122/16</v>
      </c>
      <c r="T5818" s="1" t="s">
        <v>452</v>
      </c>
    </row>
    <row r="5819" spans="1:20" ht="51" x14ac:dyDescent="0.25">
      <c r="A5819" s="6">
        <v>5798</v>
      </c>
      <c r="B5819" s="1" t="str">
        <f>"2016-3017"</f>
        <v>2016-3017</v>
      </c>
      <c r="C5819" s="1" t="s">
        <v>3794</v>
      </c>
      <c r="D5819" s="1" t="s">
        <v>941</v>
      </c>
      <c r="E5819" s="1" t="str">
        <f>"2016/S 002-0025865"</f>
        <v>2016/S 002-0025865</v>
      </c>
      <c r="F5819" s="1" t="s">
        <v>22</v>
      </c>
      <c r="G5819" s="1" t="str">
        <f>CONCATENATE("TIGRA D.O.O.,"," IVANIĆGRADSKA 22,"," 10000 ZAGREB,"," OIB: 2983006023")</f>
        <v>TIGRA D.O.O., IVANIĆGRADSKA 22, 10000 ZAGREB, OIB: 2983006023</v>
      </c>
      <c r="H5819" s="7"/>
      <c r="I5819" s="8" t="s">
        <v>3792</v>
      </c>
      <c r="J5819" s="8" t="s">
        <v>3793</v>
      </c>
      <c r="K5819" s="6" t="str">
        <f>"320.877,30"</f>
        <v>320.877,30</v>
      </c>
      <c r="L5819" s="6" t="str">
        <f>"80.219,32"</f>
        <v>80.219,32</v>
      </c>
      <c r="M5819" s="6" t="str">
        <f>"401.096,62"</f>
        <v>401.096,62</v>
      </c>
      <c r="N5819" s="8" t="s">
        <v>3795</v>
      </c>
      <c r="O5819" s="7"/>
      <c r="P5819" s="2" t="s">
        <v>8485</v>
      </c>
      <c r="Q5819" s="7"/>
      <c r="R5819" s="1"/>
      <c r="S5819" s="1" t="str">
        <f>"N-124/16"</f>
        <v>N-124/16</v>
      </c>
      <c r="T5819" s="1" t="s">
        <v>55</v>
      </c>
    </row>
    <row r="5820" spans="1:20" ht="51" x14ac:dyDescent="0.25">
      <c r="A5820" s="6">
        <v>5799</v>
      </c>
      <c r="B5820" s="1" t="str">
        <f>"2016-3119"</f>
        <v>2016-3119</v>
      </c>
      <c r="C5820" s="1" t="s">
        <v>3796</v>
      </c>
      <c r="D5820" s="1" t="s">
        <v>3797</v>
      </c>
      <c r="E5820" s="1" t="str">
        <f>"2016/S 002-0025834"</f>
        <v>2016/S 002-0025834</v>
      </c>
      <c r="F5820" s="1" t="s">
        <v>22</v>
      </c>
      <c r="G5820" s="1" t="str">
        <f>CONCATENATE("VODOVOD - MONTAŽA D.O.O.,"," POLJSKI PUT 1,"," 31000 OSIJEK,"," OIB: 06137568928")</f>
        <v>VODOVOD - MONTAŽA D.O.O., POLJSKI PUT 1, 31000 OSIJEK, OIB: 06137568928</v>
      </c>
      <c r="H5820" s="7"/>
      <c r="I5820" s="8" t="s">
        <v>3792</v>
      </c>
      <c r="J5820" s="8" t="s">
        <v>3793</v>
      </c>
      <c r="K5820" s="6" t="str">
        <f>"854.765,53"</f>
        <v>854.765,53</v>
      </c>
      <c r="L5820" s="6" t="str">
        <f>"213.691,38"</f>
        <v>213.691,38</v>
      </c>
      <c r="M5820" s="6" t="str">
        <f>"1.068.456,91"</f>
        <v>1.068.456,91</v>
      </c>
      <c r="N5820" s="8" t="s">
        <v>3798</v>
      </c>
      <c r="O5820" s="7"/>
      <c r="P5820" s="2" t="s">
        <v>8486</v>
      </c>
      <c r="Q5820" s="7"/>
      <c r="R5820" s="1"/>
      <c r="S5820" s="1" t="str">
        <f>"N-127/16"</f>
        <v>N-127/16</v>
      </c>
      <c r="T5820" s="1" t="s">
        <v>452</v>
      </c>
    </row>
    <row r="5821" spans="1:20" ht="76.5" x14ac:dyDescent="0.25">
      <c r="A5821" s="6">
        <v>5800</v>
      </c>
      <c r="B5821" s="1" t="str">
        <f>"2016-2286"</f>
        <v>2016-2286</v>
      </c>
      <c r="C5821" s="1" t="s">
        <v>3799</v>
      </c>
      <c r="D5821" s="1" t="s">
        <v>941</v>
      </c>
      <c r="E5821" s="1" t="str">
        <f>"2016/S 002-0026472"</f>
        <v>2016/S 002-0026472</v>
      </c>
      <c r="F5821" s="1" t="s">
        <v>22</v>
      </c>
      <c r="G5821" s="1" t="str">
        <f>CONCATENATE("GEORAD D.O.O.,"," KORNATSKA 1,"," 10000 ZAGREB,"," OIB: 49756748234")</f>
        <v>GEORAD D.O.O., KORNATSKA 1, 10000 ZAGREB, OIB: 49756748234</v>
      </c>
      <c r="H5821" s="1" t="str">
        <f>CONCATENATE("ZAŠTITA PROJEKT D.O.O.,"," OIB: 76701744214")</f>
        <v>ZAŠTITA PROJEKT D.O.O., OIB: 76701744214</v>
      </c>
      <c r="I5821" s="8" t="s">
        <v>3792</v>
      </c>
      <c r="J5821" s="8" t="s">
        <v>3793</v>
      </c>
      <c r="K5821" s="6" t="str">
        <f>"2.399.838,89"</f>
        <v>2.399.838,89</v>
      </c>
      <c r="L5821" s="6" t="str">
        <f>"599.959,72"</f>
        <v>599.959,72</v>
      </c>
      <c r="M5821" s="6" t="str">
        <f>"2.999.798,61"</f>
        <v>2.999.798,61</v>
      </c>
      <c r="N5821" s="8" t="s">
        <v>3800</v>
      </c>
      <c r="O5821" s="7"/>
      <c r="P5821" s="2" t="s">
        <v>8487</v>
      </c>
      <c r="Q5821" s="7"/>
      <c r="R5821" s="1"/>
      <c r="S5821" s="1" t="str">
        <f>"N-128/16"</f>
        <v>N-128/16</v>
      </c>
      <c r="T5821" s="1" t="s">
        <v>55</v>
      </c>
    </row>
    <row r="5822" spans="1:20" ht="102" x14ac:dyDescent="0.25">
      <c r="A5822" s="6">
        <v>5801</v>
      </c>
      <c r="B5822" s="1" t="str">
        <f>"2016-1923"</f>
        <v>2016-1923</v>
      </c>
      <c r="C5822" s="1" t="s">
        <v>3801</v>
      </c>
      <c r="D5822" s="1" t="s">
        <v>941</v>
      </c>
      <c r="E5822" s="1" t="str">
        <f>"2016/S 002-0026435"</f>
        <v>2016/S 002-0026435</v>
      </c>
      <c r="F5822" s="1" t="s">
        <v>22</v>
      </c>
      <c r="G5822" s="1" t="str">
        <f>CONCATENATE("SKEN - MONT D.O.O.,"," GAJEVA 62,"," 10430 SAMOBOR,"," OIB: 29785127309")</f>
        <v>SKEN - MONT D.O.O., GAJEVA 62, 10430 SAMOBOR, OIB: 29785127309</v>
      </c>
      <c r="H5822" s="1" t="str">
        <f>CONCATENATE("DAGOR D.O.O.,"," OIB: 50966188893",CHAR(10),"VELTEH D.O.O.,"," OIB: 63291092454",CHAR(10),"CSS D.O.O.,"," OIB: 55562638214")</f>
        <v>DAGOR D.O.O., OIB: 50966188893
VELTEH D.O.O., OIB: 63291092454
CSS D.O.O., OIB: 55562638214</v>
      </c>
      <c r="I5822" s="8" t="s">
        <v>3802</v>
      </c>
      <c r="J5822" s="8" t="s">
        <v>3793</v>
      </c>
      <c r="K5822" s="6" t="str">
        <f>"395.597,40"</f>
        <v>395.597,40</v>
      </c>
      <c r="L5822" s="6" t="str">
        <f>"98.899,35"</f>
        <v>98.899,35</v>
      </c>
      <c r="M5822" s="6" t="str">
        <f>"494.496,75"</f>
        <v>494.496,75</v>
      </c>
      <c r="N5822" s="8" t="s">
        <v>3795</v>
      </c>
      <c r="O5822" s="7"/>
      <c r="P5822" s="2" t="s">
        <v>8488</v>
      </c>
      <c r="Q5822" s="7"/>
      <c r="R5822" s="1"/>
      <c r="S5822" s="1" t="str">
        <f>"N-129/16"</f>
        <v>N-129/16</v>
      </c>
      <c r="T5822" s="1" t="s">
        <v>55</v>
      </c>
    </row>
    <row r="5823" spans="1:20" ht="76.5" x14ac:dyDescent="0.25">
      <c r="A5823" s="6">
        <v>5802</v>
      </c>
      <c r="B5823" s="1" t="str">
        <f>"2016-3011"</f>
        <v>2016-3011</v>
      </c>
      <c r="C5823" s="1" t="s">
        <v>3803</v>
      </c>
      <c r="D5823" s="1" t="s">
        <v>941</v>
      </c>
      <c r="E5823" s="1" t="str">
        <f>"2016/S 002-0025809"</f>
        <v>2016/S 002-0025809</v>
      </c>
      <c r="F5823" s="1" t="s">
        <v>22</v>
      </c>
      <c r="G5823" s="1" t="str">
        <f>CONCATENATE("PALIR D.O.O.,"," DANE DUIĆA 3,"," 10000 ZAGREB,"," OIB: 19383246503")</f>
        <v>PALIR D.O.O., DANE DUIĆA 3, 10000 ZAGREB, OIB: 19383246503</v>
      </c>
      <c r="H5823" s="1" t="str">
        <f>CONCATENATE("GEO - LAMA D.O.O.,"," OIB: 85730083289",CHAR(10),"C.I.A.K. D.O.O.,"," OIB: 47428597158")</f>
        <v>GEO - LAMA D.O.O., OIB: 85730083289
C.I.A.K. D.O.O., OIB: 47428597158</v>
      </c>
      <c r="I5823" s="8" t="s">
        <v>3804</v>
      </c>
      <c r="J5823" s="8" t="s">
        <v>3805</v>
      </c>
      <c r="K5823" s="6" t="str">
        <f>"5.101.154,00"</f>
        <v>5.101.154,00</v>
      </c>
      <c r="L5823" s="6" t="str">
        <f>"1.275.288,50"</f>
        <v>1.275.288,50</v>
      </c>
      <c r="M5823" s="6" t="str">
        <f>"6.376.442,50"</f>
        <v>6.376.442,50</v>
      </c>
      <c r="N5823" s="8" t="s">
        <v>3806</v>
      </c>
      <c r="O5823" s="7"/>
      <c r="P5823" s="2" t="s">
        <v>8489</v>
      </c>
      <c r="Q5823" s="7"/>
      <c r="R5823" s="1"/>
      <c r="S5823" s="1" t="str">
        <f>"N-130/16"</f>
        <v>N-130/16</v>
      </c>
      <c r="T5823" s="1" t="s">
        <v>55</v>
      </c>
    </row>
    <row r="5824" spans="1:20" ht="102" x14ac:dyDescent="0.25">
      <c r="A5824" s="6">
        <v>5803</v>
      </c>
      <c r="B5824" s="1" t="str">
        <f>"2016-2723"</f>
        <v>2016-2723</v>
      </c>
      <c r="C5824" s="1" t="s">
        <v>3807</v>
      </c>
      <c r="D5824" s="1" t="s">
        <v>1641</v>
      </c>
      <c r="E5824" s="1" t="str">
        <f>"2016/S 002-0022913"</f>
        <v>2016/S 002-0022913</v>
      </c>
      <c r="F5824" s="1" t="s">
        <v>22</v>
      </c>
      <c r="G5824" s="1"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5824" s="1" t="str">
        <f>CONCATENATE("GEODETIKA D.O.O.,"," OIB: 92364669796",CHAR(10),"ECOINA D.O.O.,"," OIB: 98219968247")</f>
        <v>GEODETIKA D.O.O., OIB: 92364669796
ECOINA D.O.O., OIB: 98219968247</v>
      </c>
      <c r="I5824" s="8" t="s">
        <v>3663</v>
      </c>
      <c r="J5824" s="8" t="s">
        <v>686</v>
      </c>
      <c r="K5824" s="6" t="str">
        <f>"4.245.816,00"</f>
        <v>4.245.816,00</v>
      </c>
      <c r="L5824" s="6" t="str">
        <f>"1.061.454,00"</f>
        <v>1.061.454,00</v>
      </c>
      <c r="M5824" s="6" t="str">
        <f>"5.307.270,00"</f>
        <v>5.307.270,00</v>
      </c>
      <c r="N5824" s="8" t="s">
        <v>3808</v>
      </c>
      <c r="O5824" s="7"/>
      <c r="P5824" s="2" t="s">
        <v>8490</v>
      </c>
      <c r="Q5824" s="7"/>
      <c r="R5824" s="1"/>
      <c r="S5824" s="1" t="str">
        <f>"N-134/16"</f>
        <v>N-134/16</v>
      </c>
      <c r="T5824" s="1" t="s">
        <v>32</v>
      </c>
    </row>
    <row r="5825" spans="1:20" ht="114.75" x14ac:dyDescent="0.25">
      <c r="A5825" s="6">
        <v>5804</v>
      </c>
      <c r="B5825" s="1" t="str">
        <f>"2016-1954"</f>
        <v>2016-1954</v>
      </c>
      <c r="C5825" s="1" t="s">
        <v>3809</v>
      </c>
      <c r="D5825" s="1" t="s">
        <v>1125</v>
      </c>
      <c r="E5825" s="1" t="str">
        <f>"2016/S 002-0019113"</f>
        <v>2016/S 002-0019113</v>
      </c>
      <c r="F5825" s="1" t="s">
        <v>22</v>
      </c>
      <c r="G5825" s="1" t="str">
        <f>CONCATENATE("AKTIV GLOBAL D.O.O.,"," RADNIČKA CESTA 57,"," 10000 ZAGREB,"," OIB: 6531407526")</f>
        <v>AKTIV GLOBAL D.O.O., RADNIČKA CESTA 57, 10000 ZAGREB, OIB: 6531407526</v>
      </c>
      <c r="H5825" s="1" t="str">
        <f>CONCATENATE("INSTAL-PROM D.O.O.,"," OIB: 21231984689",CHAR(10),"ZAGREBINSPEKT D.O.O.,"," OIB: 82752153530",CHAR(10),"CADCOM D.O.O.,"," OIB: 10073644499")</f>
        <v>INSTAL-PROM D.O.O., OIB: 21231984689
ZAGREBINSPEKT D.O.O., OIB: 82752153530
CADCOM D.O.O., OIB: 10073644499</v>
      </c>
      <c r="I5825" s="8" t="s">
        <v>3810</v>
      </c>
      <c r="J5825" s="8" t="s">
        <v>3811</v>
      </c>
      <c r="K5825" s="6" t="str">
        <f>"526.754,94"</f>
        <v>526.754,94</v>
      </c>
      <c r="L5825" s="6" t="str">
        <f>"131.688,74"</f>
        <v>131.688,74</v>
      </c>
      <c r="M5825" s="6" t="str">
        <f>"658.443,68"</f>
        <v>658.443,68</v>
      </c>
      <c r="N5825" s="8" t="s">
        <v>124</v>
      </c>
      <c r="O5825" s="7"/>
      <c r="P5825" s="2" t="s">
        <v>5614</v>
      </c>
      <c r="Q5825" s="7"/>
      <c r="R5825" s="1"/>
      <c r="S5825" s="1" t="str">
        <f>"N-136/16"</f>
        <v>N-136/16</v>
      </c>
      <c r="T5825" s="1" t="s">
        <v>55</v>
      </c>
    </row>
    <row r="5826" spans="1:20" ht="76.5" x14ac:dyDescent="0.25">
      <c r="A5826" s="6">
        <v>5805</v>
      </c>
      <c r="B5826" s="1" t="str">
        <f>"2016-1896"</f>
        <v>2016-1896</v>
      </c>
      <c r="C5826" s="1" t="s">
        <v>3812</v>
      </c>
      <c r="D5826" s="1" t="s">
        <v>941</v>
      </c>
      <c r="E5826" s="1" t="str">
        <f>"2016/S 002-0027187"</f>
        <v>2016/S 002-0027187</v>
      </c>
      <c r="F5826" s="1" t="s">
        <v>22</v>
      </c>
      <c r="G5826" s="1" t="str">
        <f>CONCATENATE("PALIR D.O.O.,"," DANE DUIĆA 3,"," 10000 ZAGREB,"," OIB: 19383246503")</f>
        <v>PALIR D.O.O., DANE DUIĆA 3, 10000 ZAGREB, OIB: 19383246503</v>
      </c>
      <c r="H5826" s="1" t="str">
        <f>CONCATENATE("GEO - LAMA D.O.O.,"," OIB: 85730083289",CHAR(10),"C.I.A.K. D.O.O.,"," OIB: 47428597158")</f>
        <v>GEO - LAMA D.O.O., OIB: 85730083289
C.I.A.K. D.O.O., OIB: 47428597158</v>
      </c>
      <c r="I5826" s="8" t="s">
        <v>3813</v>
      </c>
      <c r="J5826" s="8" t="s">
        <v>3814</v>
      </c>
      <c r="K5826" s="6" t="str">
        <f>"3.588.625,90"</f>
        <v>3.588.625,90</v>
      </c>
      <c r="L5826" s="6" t="str">
        <f>"897.156,48"</f>
        <v>897.156,48</v>
      </c>
      <c r="M5826" s="6" t="str">
        <f>"4.485.782,38"</f>
        <v>4.485.782,38</v>
      </c>
      <c r="N5826" s="8" t="s">
        <v>3815</v>
      </c>
      <c r="O5826" s="7"/>
      <c r="P5826" s="2" t="s">
        <v>8491</v>
      </c>
      <c r="Q5826" s="7"/>
      <c r="R5826" s="1"/>
      <c r="S5826" s="1" t="str">
        <f>"N-138/16"</f>
        <v>N-138/16</v>
      </c>
      <c r="T5826" s="1" t="s">
        <v>55</v>
      </c>
    </row>
    <row r="5827" spans="1:20" ht="114.75" x14ac:dyDescent="0.25">
      <c r="A5827" s="6">
        <v>5806</v>
      </c>
      <c r="B5827" s="1" t="str">
        <f>"2016-1903"</f>
        <v>2016-1903</v>
      </c>
      <c r="C5827" s="1" t="s">
        <v>3816</v>
      </c>
      <c r="D5827" s="1" t="s">
        <v>941</v>
      </c>
      <c r="E5827" s="1" t="str">
        <f>"2016/S 002-0024135"</f>
        <v>2016/S 002-0024135</v>
      </c>
      <c r="F5827" s="1" t="s">
        <v>22</v>
      </c>
      <c r="G5827" s="1"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5827" s="1" t="str">
        <f>CONCATENATE("VEKTRA D.O.O.,"," OIB: 96189147509",CHAR(10),"KEMOKOP D.O.O.,"," OIB: 1291670373")</f>
        <v>VEKTRA D.O.O., OIB: 96189147509
KEMOKOP D.O.O., OIB: 1291670373</v>
      </c>
      <c r="I5827" s="8" t="s">
        <v>3715</v>
      </c>
      <c r="J5827" s="8" t="s">
        <v>3817</v>
      </c>
      <c r="K5827" s="6" t="str">
        <f>"3.355.997,05"</f>
        <v>3.355.997,05</v>
      </c>
      <c r="L5827" s="6" t="str">
        <f>"838.999,26"</f>
        <v>838.999,26</v>
      </c>
      <c r="M5827" s="6" t="str">
        <f>"4.194.996,31"</f>
        <v>4.194.996,31</v>
      </c>
      <c r="N5827" s="8" t="s">
        <v>3818</v>
      </c>
      <c r="O5827" s="7"/>
      <c r="P5827" s="2" t="s">
        <v>8492</v>
      </c>
      <c r="Q5827" s="7"/>
      <c r="R5827" s="1"/>
      <c r="S5827" s="1" t="str">
        <f>"N-142/16"</f>
        <v>N-142/16</v>
      </c>
      <c r="T5827" s="1" t="s">
        <v>55</v>
      </c>
    </row>
    <row r="5828" spans="1:20" ht="51" x14ac:dyDescent="0.25">
      <c r="A5828" s="6">
        <v>5807</v>
      </c>
      <c r="B5828" s="1" t="str">
        <f>"2016-998"</f>
        <v>2016-998</v>
      </c>
      <c r="C5828" s="1" t="s">
        <v>3819</v>
      </c>
      <c r="D5828" s="1" t="s">
        <v>867</v>
      </c>
      <c r="E5828" s="1" t="str">
        <f>"2016/S 002-0017470"</f>
        <v>2016/S 002-0017470</v>
      </c>
      <c r="F5828" s="1" t="s">
        <v>22</v>
      </c>
      <c r="G5828" s="1" t="str">
        <f>CONCATENATE("IKOM D.O.O.,"," KOVINSKA 7,"," 10090 ZAGREB-SUSEDGRAD,"," OIB: 86247075815")</f>
        <v>IKOM D.O.O., KOVINSKA 7, 10090 ZAGREB-SUSEDGRAD, OIB: 86247075815</v>
      </c>
      <c r="H5828" s="7"/>
      <c r="I5828" s="8" t="s">
        <v>3524</v>
      </c>
      <c r="J5828" s="8" t="s">
        <v>3820</v>
      </c>
      <c r="K5828" s="6" t="str">
        <f>"3.538.500,00"</f>
        <v>3.538.500,00</v>
      </c>
      <c r="L5828" s="6" t="str">
        <f>"884.625,00"</f>
        <v>884.625,00</v>
      </c>
      <c r="M5828" s="6" t="str">
        <f>"4.423.125,00"</f>
        <v>4.423.125,00</v>
      </c>
      <c r="N5828" s="8" t="s">
        <v>2559</v>
      </c>
      <c r="O5828" s="7"/>
      <c r="P5828" s="2" t="s">
        <v>8493</v>
      </c>
      <c r="Q5828" s="7"/>
      <c r="R5828" s="1"/>
      <c r="S5828" s="1" t="str">
        <f>"N-144-A/16"</f>
        <v>N-144-A/16</v>
      </c>
      <c r="T5828" s="1" t="s">
        <v>452</v>
      </c>
    </row>
    <row r="5829" spans="1:20" ht="51" x14ac:dyDescent="0.25">
      <c r="A5829" s="6">
        <v>5808</v>
      </c>
      <c r="B5829" s="1" t="str">
        <f>"2016-3020"</f>
        <v>2016-3020</v>
      </c>
      <c r="C5829" s="1" t="s">
        <v>3821</v>
      </c>
      <c r="D5829" s="1" t="s">
        <v>1125</v>
      </c>
      <c r="E5829" s="1" t="str">
        <f>"2016/S 002-0025953"</f>
        <v>2016/S 002-0025953</v>
      </c>
      <c r="F5829" s="1" t="s">
        <v>22</v>
      </c>
      <c r="G5829" s="1" t="str">
        <f>CONCATENATE("SKEN - MONT D.O.O.,"," GAJEVA 62,"," 10430 SAMOBOR,"," OIB: 29785127309")</f>
        <v>SKEN - MONT D.O.O., GAJEVA 62, 10430 SAMOBOR, OIB: 29785127309</v>
      </c>
      <c r="H5829" s="7"/>
      <c r="I5829" s="8" t="s">
        <v>3581</v>
      </c>
      <c r="J5829" s="8" t="s">
        <v>3822</v>
      </c>
      <c r="K5829" s="6" t="str">
        <f>"990.979,00"</f>
        <v>990.979,00</v>
      </c>
      <c r="L5829" s="6" t="str">
        <f>"247.744,75"</f>
        <v>247.744,75</v>
      </c>
      <c r="M5829" s="6" t="str">
        <f>"1.238.723,75"</f>
        <v>1.238.723,75</v>
      </c>
      <c r="N5829" s="8" t="s">
        <v>3795</v>
      </c>
      <c r="O5829" s="7"/>
      <c r="P5829" s="2" t="s">
        <v>8494</v>
      </c>
      <c r="Q5829" s="7"/>
      <c r="R5829" s="1"/>
      <c r="S5829" s="1" t="str">
        <f>"N-145/16"</f>
        <v>N-145/16</v>
      </c>
      <c r="T5829" s="1" t="s">
        <v>55</v>
      </c>
    </row>
    <row r="5830" spans="1:20" ht="51" x14ac:dyDescent="0.25">
      <c r="A5830" s="6">
        <v>5809</v>
      </c>
      <c r="B5830" s="1" t="str">
        <f>"2016-1438"</f>
        <v>2016-1438</v>
      </c>
      <c r="C5830" s="1" t="s">
        <v>3823</v>
      </c>
      <c r="D5830" s="1" t="s">
        <v>3824</v>
      </c>
      <c r="E5830" s="1" t="str">
        <f>"2016/S 002-0026098"</f>
        <v>2016/S 002-0026098</v>
      </c>
      <c r="F5830" s="1" t="s">
        <v>22</v>
      </c>
      <c r="G5830" s="1" t="str">
        <f>CONCATENATE("ASES USLUGE D.O.O.,"," ,"," OIB: 28315107902")</f>
        <v>ASES USLUGE D.O.O., , OIB: 28315107902</v>
      </c>
      <c r="H5830" s="7"/>
      <c r="I5830" s="8" t="s">
        <v>3825</v>
      </c>
      <c r="J5830" s="8" t="s">
        <v>3826</v>
      </c>
      <c r="K5830" s="6" t="str">
        <f>"328.435,00"</f>
        <v>328.435,00</v>
      </c>
      <c r="L5830" s="6" t="str">
        <f>"82.108,75"</f>
        <v>82.108,75</v>
      </c>
      <c r="M5830" s="6" t="str">
        <f>"410.543,75"</f>
        <v>410.543,75</v>
      </c>
      <c r="N5830" s="8" t="s">
        <v>3827</v>
      </c>
      <c r="O5830" s="7"/>
      <c r="P5830" s="2" t="s">
        <v>8495</v>
      </c>
      <c r="Q5830" s="1"/>
      <c r="R5830" s="1"/>
      <c r="S5830" s="1" t="str">
        <f>"N-146/16"</f>
        <v>N-146/16</v>
      </c>
      <c r="T5830" s="1" t="s">
        <v>27</v>
      </c>
    </row>
    <row r="5831" spans="1:20" ht="51" x14ac:dyDescent="0.25">
      <c r="A5831" s="6">
        <v>5810</v>
      </c>
      <c r="B5831" s="1" t="str">
        <f>"2016-3183"</f>
        <v>2016-3183</v>
      </c>
      <c r="C5831" s="1" t="s">
        <v>3828</v>
      </c>
      <c r="D5831" s="1" t="s">
        <v>945</v>
      </c>
      <c r="E5831" s="1" t="str">
        <f>"2016/S 002-0028463"</f>
        <v>2016/S 002-0028463</v>
      </c>
      <c r="F5831" s="1" t="s">
        <v>22</v>
      </c>
      <c r="G5831" s="1" t="str">
        <f>CONCATENATE("EKO-FLOR PLUS D.O.O.,"," MOKRICE 180C,"," 49243 OROSLAVJE,"," OIB: 50730247993")</f>
        <v>EKO-FLOR PLUS D.O.O., MOKRICE 180C, 49243 OROSLAVJE, OIB: 50730247993</v>
      </c>
      <c r="H5831" s="7"/>
      <c r="I5831" s="8" t="s">
        <v>3825</v>
      </c>
      <c r="J5831" s="8" t="s">
        <v>3826</v>
      </c>
      <c r="K5831" s="6" t="str">
        <f>"787.500,00"</f>
        <v>787.500,00</v>
      </c>
      <c r="L5831" s="6" t="str">
        <f>"196.875,00"</f>
        <v>196.875,00</v>
      </c>
      <c r="M5831" s="6" t="str">
        <f>"984.375,00"</f>
        <v>984.375,00</v>
      </c>
      <c r="N5831" s="8" t="s">
        <v>124</v>
      </c>
      <c r="O5831" s="7"/>
      <c r="P5831" s="2" t="s">
        <v>5614</v>
      </c>
      <c r="Q5831" s="7"/>
      <c r="R5831" s="1"/>
      <c r="S5831" s="1" t="str">
        <f>"N-147/16"</f>
        <v>N-147/16</v>
      </c>
      <c r="T5831" s="1" t="s">
        <v>32</v>
      </c>
    </row>
    <row r="5832" spans="1:20" ht="63.75" x14ac:dyDescent="0.25">
      <c r="A5832" s="6">
        <v>5811</v>
      </c>
      <c r="B5832" s="1" t="str">
        <f>"2016-3096"</f>
        <v>2016-3096</v>
      </c>
      <c r="C5832" s="1" t="s">
        <v>3829</v>
      </c>
      <c r="D5832" s="1" t="s">
        <v>3830</v>
      </c>
      <c r="E5832" s="1" t="str">
        <f>"2016/S 002-0027504"</f>
        <v>2016/S 002-0027504</v>
      </c>
      <c r="F5832" s="1" t="s">
        <v>22</v>
      </c>
      <c r="G5832" s="1" t="str">
        <f>CONCATENATE("URIHO - ZAGREB,"," AVENIJA MARINA DRŽIĆA 1,"," 10000 ZAGREB,"," OIB: 77931216562")</f>
        <v>URIHO - ZAGREB, AVENIJA MARINA DRŽIĆA 1, 10000 ZAGREB, OIB: 77931216562</v>
      </c>
      <c r="H5832" s="1" t="str">
        <f>CONCATENATE("ODJEĆA D.O.O.,"," OIB: 59645137605")</f>
        <v>ODJEĆA D.O.O., OIB: 59645137605</v>
      </c>
      <c r="I5832" s="8" t="s">
        <v>3825</v>
      </c>
      <c r="J5832" s="8" t="s">
        <v>3826</v>
      </c>
      <c r="K5832" s="6" t="str">
        <f>"413.960,00"</f>
        <v>413.960,00</v>
      </c>
      <c r="L5832" s="6" t="str">
        <f>"103.490,00"</f>
        <v>103.490,00</v>
      </c>
      <c r="M5832" s="6" t="str">
        <f>"517.450,00"</f>
        <v>517.450,00</v>
      </c>
      <c r="N5832" s="8" t="s">
        <v>23</v>
      </c>
      <c r="O5832" s="7"/>
      <c r="P5832" s="2" t="s">
        <v>8496</v>
      </c>
      <c r="Q5832" s="7"/>
      <c r="R5832" s="1"/>
      <c r="S5832" s="1" t="str">
        <f>"N-149-A/16"</f>
        <v>N-149-A/16</v>
      </c>
      <c r="T5832" s="1" t="s">
        <v>27</v>
      </c>
    </row>
    <row r="5833" spans="1:20" ht="114.75" x14ac:dyDescent="0.25">
      <c r="A5833" s="6">
        <v>5812</v>
      </c>
      <c r="B5833" s="1" t="str">
        <f>"2016-2996"</f>
        <v>2016-2996</v>
      </c>
      <c r="C5833" s="1" t="s">
        <v>3831</v>
      </c>
      <c r="D5833" s="1" t="s">
        <v>1979</v>
      </c>
      <c r="E5833" s="1" t="str">
        <f>"2016/S 002-0027414"</f>
        <v>2016/S 002-0027414</v>
      </c>
      <c r="F5833" s="1" t="s">
        <v>22</v>
      </c>
      <c r="G5833" s="1"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5833" s="1" t="str">
        <f>CONCATENATE("GEODETIKA D.O.O.,"," OIB: 92364669796")</f>
        <v>GEODETIKA D.O.O., OIB: 92364669796</v>
      </c>
      <c r="I5833" s="8" t="s">
        <v>3832</v>
      </c>
      <c r="J5833" s="8" t="s">
        <v>3833</v>
      </c>
      <c r="K5833" s="6" t="str">
        <f>"269.560,00"</f>
        <v>269.560,00</v>
      </c>
      <c r="L5833" s="6" t="str">
        <f>"67.390,00"</f>
        <v>67.390,00</v>
      </c>
      <c r="M5833" s="6" t="str">
        <f>"336.950,00"</f>
        <v>336.950,00</v>
      </c>
      <c r="N5833" s="8" t="s">
        <v>124</v>
      </c>
      <c r="O5833" s="7"/>
      <c r="P5833" s="2" t="s">
        <v>5614</v>
      </c>
      <c r="Q5833" s="7"/>
      <c r="R5833" s="1"/>
      <c r="S5833" s="1" t="str">
        <f>"N-151/16"</f>
        <v>N-151/16</v>
      </c>
      <c r="T5833" s="1" t="s">
        <v>55</v>
      </c>
    </row>
    <row r="5834" spans="1:20" ht="63.75" x14ac:dyDescent="0.25">
      <c r="A5834" s="6">
        <v>5813</v>
      </c>
      <c r="B5834" s="1" t="str">
        <f>"2016-1227"</f>
        <v>2016-1227</v>
      </c>
      <c r="C5834" s="1" t="s">
        <v>3834</v>
      </c>
      <c r="D5834" s="1" t="s">
        <v>2241</v>
      </c>
      <c r="E5834" s="1" t="str">
        <f>"2016/S 002-0027316"</f>
        <v>2016/S 002-0027316</v>
      </c>
      <c r="F5834" s="1" t="s">
        <v>22</v>
      </c>
      <c r="G5834" s="1" t="str">
        <f>CONCATENATE("AUTOCOMMERCE HRVATSKA d.o.o.,"," KOVINSKA 22,"," 10000 ZAGREB,"," OIB: 36844439304")</f>
        <v>AUTOCOMMERCE HRVATSKA d.o.o., KOVINSKA 22, 10000 ZAGREB, OIB: 36844439304</v>
      </c>
      <c r="H5834" s="7"/>
      <c r="I5834" s="8" t="s">
        <v>3753</v>
      </c>
      <c r="J5834" s="8" t="s">
        <v>3835</v>
      </c>
      <c r="K5834" s="6" t="str">
        <f>"1.438.746,60"</f>
        <v>1.438.746,60</v>
      </c>
      <c r="L5834" s="6" t="str">
        <f>"359.686,65"</f>
        <v>359.686,65</v>
      </c>
      <c r="M5834" s="6" t="str">
        <f>"1.798.433,25"</f>
        <v>1.798.433,25</v>
      </c>
      <c r="N5834" s="8" t="s">
        <v>3836</v>
      </c>
      <c r="O5834" s="7"/>
      <c r="P5834" s="2" t="s">
        <v>8497</v>
      </c>
      <c r="Q5834" s="7"/>
      <c r="R5834" s="1"/>
      <c r="S5834" s="1" t="str">
        <f>"N-157-B/16"</f>
        <v>N-157-B/16</v>
      </c>
      <c r="T5834" s="1" t="s">
        <v>452</v>
      </c>
    </row>
    <row r="5835" spans="1:20" ht="51" x14ac:dyDescent="0.25">
      <c r="A5835" s="6">
        <v>5814</v>
      </c>
      <c r="B5835" s="1" t="str">
        <f>"2016-2720"</f>
        <v>2016-2720</v>
      </c>
      <c r="C5835" s="1" t="s">
        <v>3837</v>
      </c>
      <c r="D5835" s="1" t="s">
        <v>1581</v>
      </c>
      <c r="E5835" s="1" t="str">
        <f>"2016/S 002-0029432"</f>
        <v>2016/S 002-0029432</v>
      </c>
      <c r="F5835" s="1" t="s">
        <v>22</v>
      </c>
      <c r="G5835" s="1" t="str">
        <f>CONCATENATE("O.K.I. MONT D.O.O.,"," DANKOVEČKA 87,"," 10000 ZAGREB,"," OIB: 98039404134")</f>
        <v>O.K.I. MONT D.O.O., DANKOVEČKA 87, 10000 ZAGREB, OIB: 98039404134</v>
      </c>
      <c r="H5835" s="7"/>
      <c r="I5835" s="8" t="s">
        <v>3838</v>
      </c>
      <c r="J5835" s="8" t="s">
        <v>3839</v>
      </c>
      <c r="K5835" s="6" t="str">
        <f>"715.156,55"</f>
        <v>715.156,55</v>
      </c>
      <c r="L5835" s="6" t="str">
        <f>"178.789,14"</f>
        <v>178.789,14</v>
      </c>
      <c r="M5835" s="6" t="str">
        <f>"893.945,69"</f>
        <v>893.945,69</v>
      </c>
      <c r="N5835" s="8" t="s">
        <v>3840</v>
      </c>
      <c r="O5835" s="7"/>
      <c r="P5835" s="2" t="s">
        <v>8498</v>
      </c>
      <c r="Q5835" s="7"/>
      <c r="R5835" s="1"/>
      <c r="S5835" s="1" t="str">
        <f>"N-160/16"</f>
        <v>N-160/16</v>
      </c>
      <c r="T5835" s="1" t="s">
        <v>32</v>
      </c>
    </row>
    <row r="5836" spans="1:20" ht="76.5" x14ac:dyDescent="0.25">
      <c r="A5836" s="6">
        <v>5815</v>
      </c>
      <c r="B5836" s="1" t="str">
        <f>"2016-3193"</f>
        <v>2016-3193</v>
      </c>
      <c r="C5836" s="1" t="s">
        <v>2254</v>
      </c>
      <c r="D5836" s="1" t="s">
        <v>1641</v>
      </c>
      <c r="E5836" s="1" t="str">
        <f>"2016/S 002-0028464"</f>
        <v>2016/S 002-0028464</v>
      </c>
      <c r="F5836" s="1" t="s">
        <v>22</v>
      </c>
      <c r="G5836" s="1" t="str">
        <f>CONCATENATE("INTERKONZALTING D.O.O.,"," ULICA GRADA VUKOVARA 43/A,"," 10000 ZAGREB,"," OIB: 23141220773")</f>
        <v>INTERKONZALTING D.O.O., ULICA GRADA VUKOVARA 43/A, 10000 ZAGREB, OIB: 23141220773</v>
      </c>
      <c r="H5836" s="1" t="str">
        <f>CONCATENATE("MODUM GEODETSKI URED D.O.O.,"," OIB: 94431724365")</f>
        <v>MODUM GEODETSKI URED D.O.O., OIB: 94431724365</v>
      </c>
      <c r="I5836" s="8" t="s">
        <v>3841</v>
      </c>
      <c r="J5836" s="8" t="s">
        <v>3842</v>
      </c>
      <c r="K5836" s="6" t="str">
        <f>"975.000,00"</f>
        <v>975.000,00</v>
      </c>
      <c r="L5836" s="6" t="str">
        <f>"243.750,00"</f>
        <v>243.750,00</v>
      </c>
      <c r="M5836" s="6" t="str">
        <f>"1.218.750,00"</f>
        <v>1.218.750,00</v>
      </c>
      <c r="N5836" s="8" t="s">
        <v>293</v>
      </c>
      <c r="O5836" s="7"/>
      <c r="P5836" s="2" t="s">
        <v>8499</v>
      </c>
      <c r="Q5836" s="1"/>
      <c r="R5836" s="1"/>
      <c r="S5836" s="1" t="str">
        <f>"N-163/16"</f>
        <v>N-163/16</v>
      </c>
      <c r="T5836" s="1" t="s">
        <v>32</v>
      </c>
    </row>
    <row r="5837" spans="1:20" ht="114.75" x14ac:dyDescent="0.25">
      <c r="A5837" s="6">
        <v>5816</v>
      </c>
      <c r="B5837" s="1" t="str">
        <f>"2016-1644"</f>
        <v>2016-1644</v>
      </c>
      <c r="C5837" s="1" t="s">
        <v>3843</v>
      </c>
      <c r="D5837" s="1" t="s">
        <v>833</v>
      </c>
      <c r="E5837" s="1" t="str">
        <f>"2016/S 002-0029581"</f>
        <v>2016/S 002-0029581</v>
      </c>
      <c r="F5837" s="1" t="s">
        <v>22</v>
      </c>
      <c r="G5837" s="1"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5837" s="7"/>
      <c r="I5837" s="8" t="s">
        <v>3844</v>
      </c>
      <c r="J5837" s="8" t="s">
        <v>3845</v>
      </c>
      <c r="K5837" s="6" t="str">
        <f>"724.500,48"</f>
        <v>724.500,48</v>
      </c>
      <c r="L5837" s="6" t="str">
        <f>"181.125,12"</f>
        <v>181.125,12</v>
      </c>
      <c r="M5837" s="6" t="str">
        <f>"905.625,60"</f>
        <v>905.625,60</v>
      </c>
      <c r="N5837" s="8" t="s">
        <v>75</v>
      </c>
      <c r="O5837" s="7"/>
      <c r="P5837" s="2" t="s">
        <v>8500</v>
      </c>
      <c r="Q5837" s="7"/>
      <c r="R5837" s="1"/>
      <c r="S5837" s="1" t="str">
        <f>"N-165/16"</f>
        <v>N-165/16</v>
      </c>
      <c r="T5837" s="1" t="s">
        <v>452</v>
      </c>
    </row>
    <row r="5838" spans="1:20" ht="229.5" x14ac:dyDescent="0.25">
      <c r="A5838" s="6">
        <v>5817</v>
      </c>
      <c r="B5838" s="1" t="str">
        <f>"2016-3160"</f>
        <v>2016-3160</v>
      </c>
      <c r="C5838" s="1" t="s">
        <v>3340</v>
      </c>
      <c r="D5838" s="1" t="s">
        <v>966</v>
      </c>
      <c r="E5838" s="1" t="str">
        <f>""</f>
        <v/>
      </c>
      <c r="F5838" s="1" t="s">
        <v>3665</v>
      </c>
      <c r="G5838" s="1"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5838" s="7"/>
      <c r="I5838" s="8" t="s">
        <v>3844</v>
      </c>
      <c r="J5838" s="8" t="s">
        <v>3845</v>
      </c>
      <c r="K5838" s="6" t="str">
        <f>"15.251.010,00"</f>
        <v>15.251.010,00</v>
      </c>
      <c r="L5838" s="6" t="str">
        <f>"3.812.752,50"</f>
        <v>3.812.752,50</v>
      </c>
      <c r="M5838" s="6" t="str">
        <f>"19.063.762,50"</f>
        <v>19.063.762,50</v>
      </c>
      <c r="N5838" s="8" t="s">
        <v>3846</v>
      </c>
      <c r="O5838" s="7"/>
      <c r="P5838" s="2" t="s">
        <v>8501</v>
      </c>
      <c r="Q5838" s="1"/>
      <c r="R5838" s="1"/>
      <c r="S5838" s="1" t="str">
        <f>"N-167-H-ZGH/16"</f>
        <v>N-167-H-ZGH/16</v>
      </c>
      <c r="T5838" s="1" t="s">
        <v>3847</v>
      </c>
    </row>
    <row r="5839" spans="1:20" ht="51" x14ac:dyDescent="0.25">
      <c r="A5839" s="6">
        <v>5818</v>
      </c>
      <c r="B5839" s="1" t="str">
        <f>"2016-3021"</f>
        <v>2016-3021</v>
      </c>
      <c r="C5839" s="1" t="s">
        <v>3848</v>
      </c>
      <c r="D5839" s="1" t="s">
        <v>1125</v>
      </c>
      <c r="E5839" s="1" t="str">
        <f>"2016/S 002-0028624"</f>
        <v>2016/S 002-0028624</v>
      </c>
      <c r="F5839" s="1" t="s">
        <v>22</v>
      </c>
      <c r="G5839" s="1" t="str">
        <f>CONCATENATE("INSTAL-PROM D.O.O.,"," LJUTOMERSKA 33A,"," 10040 ZAGREB,"," OIB: 21231984689")</f>
        <v>INSTAL-PROM D.O.O., LJUTOMERSKA 33A, 10040 ZAGREB, OIB: 21231984689</v>
      </c>
      <c r="H5839" s="7"/>
      <c r="I5839" s="8" t="s">
        <v>3639</v>
      </c>
      <c r="J5839" s="8" t="s">
        <v>3849</v>
      </c>
      <c r="K5839" s="6" t="str">
        <f>"637.400,74"</f>
        <v>637.400,74</v>
      </c>
      <c r="L5839" s="6" t="str">
        <f>"159.350,18"</f>
        <v>159.350,18</v>
      </c>
      <c r="M5839" s="6" t="str">
        <f>"796.750,92"</f>
        <v>796.750,92</v>
      </c>
      <c r="N5839" s="8" t="s">
        <v>3850</v>
      </c>
      <c r="O5839" s="7"/>
      <c r="P5839" s="2" t="s">
        <v>8502</v>
      </c>
      <c r="Q5839" s="7"/>
      <c r="R5839" s="1"/>
      <c r="S5839" s="1" t="str">
        <f>"N-169/16"</f>
        <v>N-169/16</v>
      </c>
      <c r="T5839" s="1" t="s">
        <v>55</v>
      </c>
    </row>
    <row r="5840" spans="1:20" ht="51" x14ac:dyDescent="0.25">
      <c r="A5840" s="6">
        <v>5819</v>
      </c>
      <c r="B5840" s="1" t="str">
        <f>"2016-3109"</f>
        <v>2016-3109</v>
      </c>
      <c r="C5840" s="1" t="s">
        <v>3851</v>
      </c>
      <c r="D5840" s="1" t="s">
        <v>3852</v>
      </c>
      <c r="E5840" s="1" t="str">
        <f>"2016/S 002-0026893"</f>
        <v>2016/S 002-0026893</v>
      </c>
      <c r="F5840" s="1" t="s">
        <v>22</v>
      </c>
      <c r="G5840" s="1" t="str">
        <f>CONCATENATE("RETEL D.O.O.,"," SVETI DUH 2-10,"," 10000 ZAGREB,"," OIB: 7571539082")</f>
        <v>RETEL D.O.O., SVETI DUH 2-10, 10000 ZAGREB, OIB: 7571539082</v>
      </c>
      <c r="H5840" s="7"/>
      <c r="I5840" s="8" t="s">
        <v>3634</v>
      </c>
      <c r="J5840" s="8" t="s">
        <v>3853</v>
      </c>
      <c r="K5840" s="6" t="str">
        <f>"533.322,53"</f>
        <v>533.322,53</v>
      </c>
      <c r="L5840" s="6" t="str">
        <f>"133.330,63"</f>
        <v>133.330,63</v>
      </c>
      <c r="M5840" s="6" t="str">
        <f>"666.653,16"</f>
        <v>666.653,16</v>
      </c>
      <c r="N5840" s="8" t="s">
        <v>3854</v>
      </c>
      <c r="O5840" s="7"/>
      <c r="P5840" s="2" t="s">
        <v>8503</v>
      </c>
      <c r="Q5840" s="7"/>
      <c r="R5840" s="1"/>
      <c r="S5840" s="1" t="str">
        <f>"N-170/16"</f>
        <v>N-170/16</v>
      </c>
      <c r="T5840" s="1" t="s">
        <v>452</v>
      </c>
    </row>
    <row r="5841" spans="1:20" ht="51" x14ac:dyDescent="0.25">
      <c r="A5841" s="6">
        <v>5820</v>
      </c>
      <c r="B5841" s="1" t="str">
        <f>"2016-628-A"</f>
        <v>2016-628-A</v>
      </c>
      <c r="C5841" s="1" t="s">
        <v>3855</v>
      </c>
      <c r="D5841" s="1" t="s">
        <v>1699</v>
      </c>
      <c r="E5841" s="1" t="str">
        <f>"2016/S 002-0029667"</f>
        <v>2016/S 002-0029667</v>
      </c>
      <c r="F5841" s="1" t="s">
        <v>22</v>
      </c>
      <c r="G5841" s="1" t="str">
        <f>CONCATENATE("KOVA D.O.O.,"," BRAĆE RADIĆA 122B,"," 10410 VELIKA GORICA,"," OIB: 31948370674")</f>
        <v>KOVA D.O.O., BRAĆE RADIĆA 122B, 10410 VELIKA GORICA, OIB: 31948370674</v>
      </c>
      <c r="H5841" s="7"/>
      <c r="I5841" s="8" t="s">
        <v>3634</v>
      </c>
      <c r="J5841" s="8" t="s">
        <v>3853</v>
      </c>
      <c r="K5841" s="6" t="str">
        <f>"1.956.050,00"</f>
        <v>1.956.050,00</v>
      </c>
      <c r="L5841" s="6" t="str">
        <f>"489.012,50"</f>
        <v>489.012,50</v>
      </c>
      <c r="M5841" s="6" t="str">
        <f>"2.445.062,50"</f>
        <v>2.445.062,50</v>
      </c>
      <c r="N5841" s="8" t="s">
        <v>3856</v>
      </c>
      <c r="O5841" s="7"/>
      <c r="P5841" s="2" t="s">
        <v>8504</v>
      </c>
      <c r="Q5841" s="7"/>
      <c r="R5841" s="1"/>
      <c r="S5841" s="1" t="str">
        <f>"N-171-A/16"</f>
        <v>N-171-A/16</v>
      </c>
      <c r="T5841" s="1" t="s">
        <v>32</v>
      </c>
    </row>
    <row r="5842" spans="1:20" ht="204" x14ac:dyDescent="0.25">
      <c r="A5842" s="6">
        <v>5821</v>
      </c>
      <c r="B5842" s="1" t="str">
        <f>"2016-1968"</f>
        <v>2016-1968</v>
      </c>
      <c r="C5842" s="1" t="s">
        <v>3857</v>
      </c>
      <c r="D5842" s="1" t="s">
        <v>3606</v>
      </c>
      <c r="E5842" s="1" t="str">
        <f>"2016/S 002-0027845"</f>
        <v>2016/S 002-0027845</v>
      </c>
      <c r="F5842" s="1" t="s">
        <v>22</v>
      </c>
      <c r="G5842" s="1"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5842" s="1" t="str">
        <f>CONCATENATE("GEO-NIS D.O.O.,"," OIB: 26951172814",CHAR(10),"BABIĆ D.O.O.,"," OIB: 53703886646",CHAR(10),"VALTEH D.O.O.,"," OIB: 63291092454")</f>
        <v>GEO-NIS D.O.O., OIB: 26951172814
BABIĆ D.O.O., OIB: 53703886646
VALTEH D.O.O., OIB: 63291092454</v>
      </c>
      <c r="I5842" s="8" t="s">
        <v>3858</v>
      </c>
      <c r="J5842" s="8" t="s">
        <v>3859</v>
      </c>
      <c r="K5842" s="6" t="str">
        <f>"1.047.916,47"</f>
        <v>1.047.916,47</v>
      </c>
      <c r="L5842" s="6" t="str">
        <f>"261.979,12"</f>
        <v>261.979,12</v>
      </c>
      <c r="M5842" s="6" t="str">
        <f>"1.309.895,59"</f>
        <v>1.309.895,59</v>
      </c>
      <c r="N5842" s="8" t="s">
        <v>3763</v>
      </c>
      <c r="O5842" s="7"/>
      <c r="P5842" s="2" t="s">
        <v>8505</v>
      </c>
      <c r="Q5842" s="7"/>
      <c r="R5842" s="1"/>
      <c r="S5842" s="1" t="str">
        <f>"N-173/16"</f>
        <v>N-173/16</v>
      </c>
      <c r="T5842" s="1" t="s">
        <v>55</v>
      </c>
    </row>
    <row r="5843" spans="1:20" ht="178.5" x14ac:dyDescent="0.25">
      <c r="A5843" s="6">
        <v>5822</v>
      </c>
      <c r="B5843" s="1" t="str">
        <f>"2016-2620"</f>
        <v>2016-2620</v>
      </c>
      <c r="C5843" s="1" t="s">
        <v>3860</v>
      </c>
      <c r="D5843" s="1" t="s">
        <v>3267</v>
      </c>
      <c r="E5843" s="1" t="str">
        <f>"2016/S 002-0027505"</f>
        <v>2016/S 002-0027505</v>
      </c>
      <c r="F5843" s="1" t="s">
        <v>22</v>
      </c>
      <c r="G5843" s="1" t="str">
        <f>CONCATENATE("STUDIO ARHING D.O.O,"," ĆIRE TRUHELKE 49,"," 10000 ZAGREB,"," OIB: 17870151363")</f>
        <v>STUDIO ARHING D.O.O, ĆIRE TRUHELKE 49, 10000 ZAGREB, OIB: 17870151363</v>
      </c>
      <c r="H5843" s="1"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5843" s="8" t="s">
        <v>3861</v>
      </c>
      <c r="J5843" s="8" t="s">
        <v>3862</v>
      </c>
      <c r="K5843" s="6" t="str">
        <f>"773.500,00"</f>
        <v>773.500,00</v>
      </c>
      <c r="L5843" s="6" t="str">
        <f>"193.375,00"</f>
        <v>193.375,00</v>
      </c>
      <c r="M5843" s="6" t="str">
        <f>"966.875,00"</f>
        <v>966.875,00</v>
      </c>
      <c r="N5843" s="8" t="s">
        <v>3863</v>
      </c>
      <c r="O5843" s="7"/>
      <c r="P5843" s="2" t="s">
        <v>8506</v>
      </c>
      <c r="Q5843" s="7"/>
      <c r="R5843" s="1"/>
      <c r="S5843" s="1" t="str">
        <f>"N-175/16"</f>
        <v>N-175/16</v>
      </c>
      <c r="T5843" s="1" t="s">
        <v>32</v>
      </c>
    </row>
    <row r="5844" spans="1:20" ht="76.5" x14ac:dyDescent="0.25">
      <c r="A5844" s="6">
        <v>5823</v>
      </c>
      <c r="B5844" s="1" t="str">
        <f>"2016-3127"</f>
        <v>2016-3127</v>
      </c>
      <c r="C5844" s="1" t="s">
        <v>3864</v>
      </c>
      <c r="D5844" s="1" t="s">
        <v>867</v>
      </c>
      <c r="E5844" s="1" t="str">
        <f>"2016/S 002-0027527"</f>
        <v>2016/S 002-0027527</v>
      </c>
      <c r="F5844" s="1" t="s">
        <v>22</v>
      </c>
      <c r="G5844" s="1" t="str">
        <f>CONCATENATE("BERHE D.O.O. ZASTUPSTVO I TRGOVINA,"," RADNIČKA CESTA 40-5,"," 10000 ZAGREB,"," OIB: 99296372942")</f>
        <v>BERHE D.O.O. ZASTUPSTVO I TRGOVINA, RADNIČKA CESTA 40-5, 10000 ZAGREB, OIB: 99296372942</v>
      </c>
      <c r="H5844" s="7"/>
      <c r="I5844" s="8" t="s">
        <v>3865</v>
      </c>
      <c r="J5844" s="8" t="s">
        <v>3779</v>
      </c>
      <c r="K5844" s="6" t="str">
        <f>"352.000,00"</f>
        <v>352.000,00</v>
      </c>
      <c r="L5844" s="6" t="str">
        <f>"88.000,00"</f>
        <v>88.000,00</v>
      </c>
      <c r="M5844" s="6" t="str">
        <f>"440.000,00"</f>
        <v>440.000,00</v>
      </c>
      <c r="N5844" s="8" t="s">
        <v>3866</v>
      </c>
      <c r="O5844" s="7"/>
      <c r="P5844" s="2" t="s">
        <v>8507</v>
      </c>
      <c r="Q5844" s="7"/>
      <c r="R5844" s="1"/>
      <c r="S5844" s="1" t="str">
        <f>"N-177/16"</f>
        <v>N-177/16</v>
      </c>
      <c r="T5844" s="1" t="s">
        <v>452</v>
      </c>
    </row>
    <row r="5845" spans="1:20" ht="153" x14ac:dyDescent="0.25">
      <c r="A5845" s="6">
        <v>5824</v>
      </c>
      <c r="B5845" s="1" t="str">
        <f>"2016-2831"</f>
        <v>2016-2831</v>
      </c>
      <c r="C5845" s="1" t="s">
        <v>3867</v>
      </c>
      <c r="D5845" s="1" t="s">
        <v>1979</v>
      </c>
      <c r="E5845" s="1" t="str">
        <f>"2016/S 002-0015174"</f>
        <v>2016/S 002-0015174</v>
      </c>
      <c r="F5845" s="1" t="s">
        <v>22</v>
      </c>
      <c r="G5845" s="1"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5845" s="1"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5845" s="8" t="s">
        <v>3868</v>
      </c>
      <c r="J5845" s="8" t="s">
        <v>3477</v>
      </c>
      <c r="K5845" s="6" t="str">
        <f>"396.500,00"</f>
        <v>396.500,00</v>
      </c>
      <c r="L5845" s="6" t="str">
        <f>"99.125,00"</f>
        <v>99.125,00</v>
      </c>
      <c r="M5845" s="6" t="str">
        <f>"495.625,00"</f>
        <v>495.625,00</v>
      </c>
      <c r="N5845" s="8" t="s">
        <v>124</v>
      </c>
      <c r="O5845" s="7"/>
      <c r="P5845" s="2" t="s">
        <v>5614</v>
      </c>
      <c r="Q5845" s="7"/>
      <c r="R5845" s="1"/>
      <c r="S5845" s="1" t="str">
        <f>"N-182/16"</f>
        <v>N-182/16</v>
      </c>
      <c r="T5845" s="1" t="s">
        <v>55</v>
      </c>
    </row>
    <row r="5846" spans="1:20" ht="114.75" x14ac:dyDescent="0.25">
      <c r="A5846" s="6">
        <v>5825</v>
      </c>
      <c r="B5846" s="1" t="str">
        <f>"2016-3194"</f>
        <v>2016-3194</v>
      </c>
      <c r="C5846" s="1" t="s">
        <v>3869</v>
      </c>
      <c r="D5846" s="1" t="s">
        <v>2057</v>
      </c>
      <c r="E5846" s="1" t="str">
        <f>"2016/S 002-0028427"</f>
        <v>2016/S 002-0028427</v>
      </c>
      <c r="F5846" s="1" t="s">
        <v>22</v>
      </c>
      <c r="G5846" s="1"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5846" s="7"/>
      <c r="I5846" s="8" t="s">
        <v>3870</v>
      </c>
      <c r="J5846" s="8" t="s">
        <v>3871</v>
      </c>
      <c r="K5846" s="6" t="str">
        <f>"1.395.000,00"</f>
        <v>1.395.000,00</v>
      </c>
      <c r="L5846" s="6" t="str">
        <f>"348.750,00"</f>
        <v>348.750,00</v>
      </c>
      <c r="M5846" s="6" t="str">
        <f>"1.743.750,00"</f>
        <v>1.743.750,00</v>
      </c>
      <c r="N5846" s="8" t="s">
        <v>365</v>
      </c>
      <c r="O5846" s="7"/>
      <c r="P5846" s="2" t="s">
        <v>8508</v>
      </c>
      <c r="Q5846" s="7"/>
      <c r="R5846" s="1"/>
      <c r="S5846" s="1" t="str">
        <f>"N-184/16"</f>
        <v>N-184/16</v>
      </c>
      <c r="T5846" s="1" t="s">
        <v>32</v>
      </c>
    </row>
    <row r="5847" spans="1:20" ht="153" x14ac:dyDescent="0.25">
      <c r="A5847" s="6">
        <v>5826</v>
      </c>
      <c r="B5847" s="1" t="str">
        <f>"2016-3143"</f>
        <v>2016-3143</v>
      </c>
      <c r="C5847" s="1" t="s">
        <v>3872</v>
      </c>
      <c r="D5847" s="1" t="s">
        <v>1641</v>
      </c>
      <c r="E5847" s="1" t="str">
        <f>"2016/S 002-0027438"</f>
        <v>2016/S 002-0027438</v>
      </c>
      <c r="F5847" s="1" t="s">
        <v>22</v>
      </c>
      <c r="G5847" s="1" t="str">
        <f>CONCATENATE("PROMETNICE ZAGREB D.O.O.,"," GUNDULIĆEVE DUBRAVKE 28,"," 10020 ZAGREB,"," OIB: 28111148974")</f>
        <v>PROMETNICE ZAGREB D.O.O., GUNDULIĆEVE DUBRAVKE 28, 10020 ZAGREB, OIB: 28111148974</v>
      </c>
      <c r="H5847" s="1" t="str">
        <f>CONCATENATE("IPT-INŽENJERING D.O.O.,"," OIB: 39792730053",CHAR(10),"GEO-BIM D.O.O.,"," OIB: 64311322215",CHAR(10),"INGRI D.O.O.,"," OIB: 82406368957",CHAR(10),"DOKO DOM D.O.O.,"," OIB: 94894101319")</f>
        <v>IPT-INŽENJERING D.O.O., OIB: 39792730053
GEO-BIM D.O.O., OIB: 64311322215
INGRI D.O.O., OIB: 82406368957
DOKO DOM D.O.O., OIB: 94894101319</v>
      </c>
      <c r="I5847" s="8" t="s">
        <v>3873</v>
      </c>
      <c r="J5847" s="8" t="s">
        <v>3874</v>
      </c>
      <c r="K5847" s="6" t="str">
        <f>"109.000,00"</f>
        <v>109.000,00</v>
      </c>
      <c r="L5847" s="6" t="str">
        <f>"27.250,00"</f>
        <v>27.250,00</v>
      </c>
      <c r="M5847" s="6" t="str">
        <f>"136.250,00"</f>
        <v>136.250,00</v>
      </c>
      <c r="N5847" s="8" t="s">
        <v>3875</v>
      </c>
      <c r="O5847" s="7"/>
      <c r="P5847" s="2" t="s">
        <v>6424</v>
      </c>
      <c r="Q5847" s="7"/>
      <c r="R5847" s="1"/>
      <c r="S5847" s="1" t="str">
        <f>"N-186/16"</f>
        <v>N-186/16</v>
      </c>
      <c r="T5847" s="1" t="s">
        <v>55</v>
      </c>
    </row>
    <row r="5848" spans="1:20" ht="89.25" x14ac:dyDescent="0.25">
      <c r="A5848" s="6">
        <v>5827</v>
      </c>
      <c r="B5848" s="1" t="str">
        <f>"2016-1949"</f>
        <v>2016-1949</v>
      </c>
      <c r="C5848" s="1" t="s">
        <v>3876</v>
      </c>
      <c r="D5848" s="1" t="s">
        <v>1109</v>
      </c>
      <c r="E5848" s="1" t="str">
        <f>"2016/S 002-0022112"</f>
        <v>2016/S 002-0022112</v>
      </c>
      <c r="F5848" s="1" t="s">
        <v>22</v>
      </c>
      <c r="G5848" s="1" t="str">
        <f>CONCATENATE("BOLČEVIĆ-GRADNJA D.O.O.,"," DUGOSELSKA CESTA 56,"," 10361 SESVETSKI KRALJEVEC,"," OIB: 520986705")</f>
        <v>BOLČEVIĆ-GRADNJA D.O.O., DUGOSELSKA CESTA 56, 10361 SESVETSKI KRALJEVEC, OIB: 520986705</v>
      </c>
      <c r="H5848" s="1" t="str">
        <f>CONCATENATE("M G V D.O.O.,"," OIB: 72602155595",CHAR(10),"GRAĐEVINSKI LABORATORIJ D.O.O.,"," OIB: 51460238404")</f>
        <v>M G V D.O.O., OIB: 72602155595
GRAĐEVINSKI LABORATORIJ D.O.O., OIB: 51460238404</v>
      </c>
      <c r="I5848" s="8" t="s">
        <v>3854</v>
      </c>
      <c r="J5848" s="8" t="s">
        <v>3877</v>
      </c>
      <c r="K5848" s="6" t="str">
        <f>"2.992.133,80"</f>
        <v>2.992.133,80</v>
      </c>
      <c r="L5848" s="6" t="str">
        <f>"748.033,45"</f>
        <v>748.033,45</v>
      </c>
      <c r="M5848" s="6" t="str">
        <f>"3.740.167,25"</f>
        <v>3.740.167,25</v>
      </c>
      <c r="N5848" s="8" t="s">
        <v>126</v>
      </c>
      <c r="O5848" s="7"/>
      <c r="P5848" s="2" t="s">
        <v>8509</v>
      </c>
      <c r="Q5848" s="7"/>
      <c r="R5848" s="1"/>
      <c r="S5848" s="1" t="str">
        <f>"N-191/16"</f>
        <v>N-191/16</v>
      </c>
      <c r="T5848" s="1" t="s">
        <v>55</v>
      </c>
    </row>
    <row r="5849" spans="1:20" ht="51" x14ac:dyDescent="0.25">
      <c r="A5849" s="6">
        <v>5828</v>
      </c>
      <c r="B5849" s="1" t="str">
        <f>"2016-3058"</f>
        <v>2016-3058</v>
      </c>
      <c r="C5849" s="1" t="s">
        <v>3878</v>
      </c>
      <c r="D5849" s="1" t="s">
        <v>1877</v>
      </c>
      <c r="E5849" s="1" t="str">
        <f>"2016/S 002-0023802"</f>
        <v>2016/S 002-0023802</v>
      </c>
      <c r="F5849" s="1" t="s">
        <v>22</v>
      </c>
      <c r="G5849" s="1" t="str">
        <f>CONCATENATE("IKOM D.O.O.,"," KOVINSKA 7,"," 10090 ZAGREB-SUSEDGRAD,"," OIB: 86247075815")</f>
        <v>IKOM D.O.O., KOVINSKA 7, 10090 ZAGREB-SUSEDGRAD, OIB: 86247075815</v>
      </c>
      <c r="H5849" s="7"/>
      <c r="I5849" s="8" t="s">
        <v>3879</v>
      </c>
      <c r="J5849" s="8" t="s">
        <v>3880</v>
      </c>
      <c r="K5849" s="6" t="str">
        <f>"3.570.000,00"</f>
        <v>3.570.000,00</v>
      </c>
      <c r="L5849" s="6" t="str">
        <f>"892.500,00"</f>
        <v>892.500,00</v>
      </c>
      <c r="M5849" s="6" t="str">
        <f>"4.462.500,00"</f>
        <v>4.462.500,00</v>
      </c>
      <c r="N5849" s="7"/>
      <c r="O5849" s="9">
        <v>43760</v>
      </c>
      <c r="P5849" s="2" t="s">
        <v>8510</v>
      </c>
      <c r="Q5849" s="7"/>
      <c r="R5849" s="1"/>
      <c r="S5849" s="1" t="str">
        <f>"N-192/16"</f>
        <v>N-192/16</v>
      </c>
      <c r="T5849" s="1" t="s">
        <v>452</v>
      </c>
    </row>
    <row r="5850" spans="1:20" ht="51" x14ac:dyDescent="0.25">
      <c r="A5850" s="6">
        <v>5829</v>
      </c>
      <c r="B5850" s="1" t="str">
        <f>"2017-19"</f>
        <v>2017-19</v>
      </c>
      <c r="C5850" s="1" t="s">
        <v>832</v>
      </c>
      <c r="D5850" s="1" t="s">
        <v>833</v>
      </c>
      <c r="E5850" s="1" t="str">
        <f>"2017/S 0F2-0004221"</f>
        <v>2017/S 0F2-0004221</v>
      </c>
      <c r="F5850" s="1" t="s">
        <v>22</v>
      </c>
      <c r="G5850" s="1" t="str">
        <f>CONCATENATE("IKOM D.O.O.,"," KOVINSKA 7,"," 10090 ZAGREB-SUSEDGRAD,"," OIB: 86247075815")</f>
        <v>IKOM D.O.O., KOVINSKA 7, 10090 ZAGREB-SUSEDGRAD, OIB: 86247075815</v>
      </c>
      <c r="H5850" s="7"/>
      <c r="I5850" s="8" t="s">
        <v>3841</v>
      </c>
      <c r="J5850" s="8" t="s">
        <v>3881</v>
      </c>
      <c r="K5850" s="6" t="str">
        <f>"266.261,00"</f>
        <v>266.261,00</v>
      </c>
      <c r="L5850" s="6" t="str">
        <f>"66.565,25"</f>
        <v>66.565,25</v>
      </c>
      <c r="M5850" s="6" t="str">
        <f>"332.826,25"</f>
        <v>332.826,25</v>
      </c>
      <c r="N5850" s="8" t="s">
        <v>3882</v>
      </c>
      <c r="O5850" s="7"/>
      <c r="P5850" s="2" t="s">
        <v>8511</v>
      </c>
      <c r="Q5850" s="7"/>
      <c r="R5850" s="1"/>
      <c r="S5850" s="1" t="str">
        <f>"N-1/17"</f>
        <v>N-1/17</v>
      </c>
      <c r="T5850" s="1" t="s">
        <v>452</v>
      </c>
    </row>
    <row r="5851" spans="1:20" ht="63.75" x14ac:dyDescent="0.25">
      <c r="A5851" s="6">
        <v>5830</v>
      </c>
      <c r="B5851" s="1" t="str">
        <f>"2017-40"</f>
        <v>2017-40</v>
      </c>
      <c r="C5851" s="1" t="s">
        <v>3678</v>
      </c>
      <c r="D5851" s="1" t="s">
        <v>702</v>
      </c>
      <c r="E5851" s="1" t="str">
        <f>"2017/S 0F2-0006033"</f>
        <v>2017/S 0F2-0006033</v>
      </c>
      <c r="F5851" s="1" t="s">
        <v>22</v>
      </c>
      <c r="G5851" s="1" t="str">
        <f>CONCATENATE("PA-EL D.O.O.,"," DUBROVČAN 33B,"," 49214 VELIKO TRGOVIŠĆE,"," OIB: 5674084932")</f>
        <v>PA-EL D.O.O., DUBROVČAN 33B, 49214 VELIKO TRGOVIŠĆE, OIB: 5674084932</v>
      </c>
      <c r="H5851" s="7"/>
      <c r="I5851" s="8" t="s">
        <v>3883</v>
      </c>
      <c r="J5851" s="8" t="s">
        <v>3884</v>
      </c>
      <c r="K5851" s="6" t="str">
        <f>"868.085,00"</f>
        <v>868.085,00</v>
      </c>
      <c r="L5851" s="6" t="str">
        <f>"217.021,25"</f>
        <v>217.021,25</v>
      </c>
      <c r="M5851" s="6" t="str">
        <f>"1.085.106,25"</f>
        <v>1.085.106,25</v>
      </c>
      <c r="N5851" s="8" t="s">
        <v>3885</v>
      </c>
      <c r="O5851" s="7"/>
      <c r="P5851" s="2" t="s">
        <v>8512</v>
      </c>
      <c r="Q5851" s="7"/>
      <c r="R5851" s="1"/>
      <c r="S5851" s="1" t="str">
        <f>"N-4/17"</f>
        <v>N-4/17</v>
      </c>
      <c r="T5851" s="1" t="s">
        <v>452</v>
      </c>
    </row>
    <row r="5852" spans="1:20" ht="76.5" x14ac:dyDescent="0.25">
      <c r="A5852" s="6">
        <v>5831</v>
      </c>
      <c r="B5852" s="1" t="str">
        <f>"2017-32"</f>
        <v>2017-32</v>
      </c>
      <c r="C5852" s="1" t="s">
        <v>3886</v>
      </c>
      <c r="D5852" s="1" t="s">
        <v>1438</v>
      </c>
      <c r="E5852" s="1" t="str">
        <f>"2017/S 0F2-0004262"</f>
        <v>2017/S 0F2-0004262</v>
      </c>
      <c r="F5852" s="1" t="s">
        <v>22</v>
      </c>
      <c r="G5852" s="1" t="str">
        <f>CONCATENATE("POLJO-PROM,"," VL. ZLATKO KRIŽANIĆ,"," HRAŠĆE TUROPOLJSKO,"," KRIŽANIĆI 27,"," 10020 ZAGREB-NOVI ZAGREB,"," OIB: 22277452223")</f>
        <v>POLJO-PROM, VL. ZLATKO KRIŽANIĆ, HRAŠĆE TUROPOLJSKO, KRIŽANIĆI 27, 10020 ZAGREB-NOVI ZAGREB, OIB: 22277452223</v>
      </c>
      <c r="H5852" s="7"/>
      <c r="I5852" s="8" t="s">
        <v>3887</v>
      </c>
      <c r="J5852" s="8" t="s">
        <v>3888</v>
      </c>
      <c r="K5852" s="6" t="str">
        <f>"179.851,00"</f>
        <v>179.851,00</v>
      </c>
      <c r="L5852" s="6" t="str">
        <f>"44.962,75"</f>
        <v>44.962,75</v>
      </c>
      <c r="M5852" s="6" t="str">
        <f>"224.813,75"</f>
        <v>224.813,75</v>
      </c>
      <c r="N5852" s="8" t="s">
        <v>3889</v>
      </c>
      <c r="O5852" s="7"/>
      <c r="P5852" s="2" t="s">
        <v>8513</v>
      </c>
      <c r="Q5852" s="7"/>
      <c r="R5852" s="1"/>
      <c r="S5852" s="1" t="str">
        <f>"N-7/17"</f>
        <v>N-7/17</v>
      </c>
      <c r="T5852" s="1" t="s">
        <v>452</v>
      </c>
    </row>
    <row r="5853" spans="1:20" ht="114.75" x14ac:dyDescent="0.25">
      <c r="A5853" s="6">
        <v>5832</v>
      </c>
      <c r="B5853" s="1" t="str">
        <f>"2017-27"</f>
        <v>2017-27</v>
      </c>
      <c r="C5853" s="1" t="s">
        <v>3890</v>
      </c>
      <c r="D5853" s="1" t="s">
        <v>702</v>
      </c>
      <c r="E5853" s="1" t="str">
        <f>"2017/S F14-0006007"</f>
        <v>2017/S F14-0006007</v>
      </c>
      <c r="F5853" s="1" t="s">
        <v>22</v>
      </c>
      <c r="G5853" s="1"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5853" s="1" t="str">
        <f>CONCATENATE("GEAMEDITOR D.O.O.,"," OIB: 35959507784",CHAR(10),"ZIK D.O.O.,"," OIB: 74121470605",CHAR(10),"MONTMONTAŽA D.D.,"," OIB: 4869603227")</f>
        <v>GEAMEDITOR D.O.O., OIB: 35959507784
ZIK D.O.O., OIB: 74121470605
MONTMONTAŽA D.D., OIB: 4869603227</v>
      </c>
      <c r="I5853" s="8" t="s">
        <v>23</v>
      </c>
      <c r="J5853" s="8" t="s">
        <v>3891</v>
      </c>
      <c r="K5853" s="6" t="str">
        <f>"1.113.183,50"</f>
        <v>1.113.183,50</v>
      </c>
      <c r="L5853" s="6" t="str">
        <f>"278.295,88"</f>
        <v>278.295,88</v>
      </c>
      <c r="M5853" s="6" t="str">
        <f>"1.391.479,38"</f>
        <v>1.391.479,38</v>
      </c>
      <c r="N5853" s="8" t="s">
        <v>3892</v>
      </c>
      <c r="O5853" s="7"/>
      <c r="P5853" s="2" t="s">
        <v>8514</v>
      </c>
      <c r="Q5853" s="7"/>
      <c r="R5853" s="1"/>
      <c r="S5853" s="1" t="str">
        <f>"N-14/17"</f>
        <v>N-14/17</v>
      </c>
      <c r="T5853" s="1" t="s">
        <v>452</v>
      </c>
    </row>
    <row r="5854" spans="1:20" ht="76.5" x14ac:dyDescent="0.25">
      <c r="A5854" s="6">
        <v>5833</v>
      </c>
      <c r="B5854" s="1" t="str">
        <f>"2017-2557"</f>
        <v>2017-2557</v>
      </c>
      <c r="C5854" s="1" t="s">
        <v>3893</v>
      </c>
      <c r="D5854" s="1" t="s">
        <v>174</v>
      </c>
      <c r="E5854" s="1" t="str">
        <f>""</f>
        <v/>
      </c>
      <c r="F5854" s="1" t="s">
        <v>1040</v>
      </c>
      <c r="G5854" s="1" t="str">
        <f>CONCATENATE("ZAGREBAČKI HOLDING D.O.O.,"," PODRUŽNICA ZAGREBAČKE CESTE,"," DONJE SVETICE 48,"," 10000 ZAGREB,"," OIB: 85584865987")</f>
        <v>ZAGREBAČKI HOLDING D.O.O., PODRUŽNICA ZAGREBAČKE CESTE, DONJE SVETICE 48, 10000 ZAGREB, OIB: 85584865987</v>
      </c>
      <c r="H5854" s="7"/>
      <c r="I5854" s="8" t="s">
        <v>3798</v>
      </c>
      <c r="J5854" s="8" t="s">
        <v>276</v>
      </c>
      <c r="K5854" s="6" t="str">
        <f>"11.591.159,80"</f>
        <v>11.591.159,80</v>
      </c>
      <c r="L5854" s="6" t="str">
        <f>"2.897.789,95"</f>
        <v>2.897.789,95</v>
      </c>
      <c r="M5854" s="6" t="str">
        <f>"14.488.949,75"</f>
        <v>14.488.949,75</v>
      </c>
      <c r="N5854" s="8" t="s">
        <v>3554</v>
      </c>
      <c r="O5854" s="7"/>
      <c r="P5854" s="2" t="s">
        <v>8515</v>
      </c>
      <c r="Q5854" s="7"/>
      <c r="R5854" s="1"/>
      <c r="S5854" s="1" t="str">
        <f>"N-15/17"</f>
        <v>N-15/17</v>
      </c>
      <c r="T5854" s="1" t="s">
        <v>452</v>
      </c>
    </row>
    <row r="5855" spans="1:20" ht="204" x14ac:dyDescent="0.25">
      <c r="A5855" s="6">
        <v>5834</v>
      </c>
      <c r="B5855" s="1" t="str">
        <f>"2017-26"</f>
        <v>2017-26</v>
      </c>
      <c r="C5855" s="1" t="s">
        <v>3894</v>
      </c>
      <c r="D5855" s="1" t="s">
        <v>702</v>
      </c>
      <c r="E5855" s="1" t="str">
        <f>"2017/S 0F2-0005265"</f>
        <v>2017/S 0F2-0005265</v>
      </c>
      <c r="F5855" s="1" t="s">
        <v>22</v>
      </c>
      <c r="G5855" s="1" t="str">
        <f>CONCATENATE("BOLČEVIĆ-GRADNJA D.O.O.,"," DUGOSELSKA CESTA 56,"," 10361 SESVETSKI KRALJEVEC,"," OIB: 520986705")</f>
        <v>BOLČEVIĆ-GRADNJA D.O.O., DUGOSELSKA CESTA 56, 10361 SESVETSKI KRALJEVEC, OIB: 520986705</v>
      </c>
      <c r="H5855" s="1"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5855" s="8" t="s">
        <v>3895</v>
      </c>
      <c r="J5855" s="8" t="s">
        <v>3896</v>
      </c>
      <c r="K5855" s="6" t="str">
        <f>"1.840.474,00"</f>
        <v>1.840.474,00</v>
      </c>
      <c r="L5855" s="6" t="str">
        <f>"460.118,50"</f>
        <v>460.118,50</v>
      </c>
      <c r="M5855" s="6" t="str">
        <f>"2.300.592,50"</f>
        <v>2.300.592,50</v>
      </c>
      <c r="N5855" s="8" t="s">
        <v>3897</v>
      </c>
      <c r="O5855" s="7"/>
      <c r="P5855" s="2" t="s">
        <v>8516</v>
      </c>
      <c r="Q5855" s="7"/>
      <c r="R5855" s="1"/>
      <c r="S5855" s="1" t="str">
        <f>"N-16/17"</f>
        <v>N-16/17</v>
      </c>
      <c r="T5855" s="1" t="s">
        <v>452</v>
      </c>
    </row>
    <row r="5856" spans="1:20" ht="255" x14ac:dyDescent="0.25">
      <c r="A5856" s="6">
        <v>5835</v>
      </c>
      <c r="B5856" s="1" t="str">
        <f>"2017-29"</f>
        <v>2017-29</v>
      </c>
      <c r="C5856" s="1" t="s">
        <v>3898</v>
      </c>
      <c r="D5856" s="1" t="s">
        <v>702</v>
      </c>
      <c r="E5856" s="1" t="str">
        <f>"2017/S 0F2-0005434"</f>
        <v>2017/S 0F2-0005434</v>
      </c>
      <c r="F5856" s="1" t="s">
        <v>22</v>
      </c>
      <c r="G5856" s="1" t="str">
        <f>CONCATENATE("KINDER OBRT ZA GRADNJU I USLUGE VL. TOMISLAV KINDER,"," VINKA KINDERA 10,"," 10361 SESVETE-KRALJEVEC,"," OIB: 36605135183")</f>
        <v>KINDER OBRT ZA GRADNJU I USLUGE VL. TOMISLAV KINDER, VINKA KINDERA 10, 10361 SESVETE-KRALJEVEC, OIB: 36605135183</v>
      </c>
      <c r="H5856" s="1"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5856" s="8" t="s">
        <v>3899</v>
      </c>
      <c r="J5856" s="8" t="s">
        <v>3900</v>
      </c>
      <c r="K5856" s="6" t="str">
        <f>"1.260.000,00"</f>
        <v>1.260.000,00</v>
      </c>
      <c r="L5856" s="6" t="str">
        <f>"315.000,00"</f>
        <v>315.000,00</v>
      </c>
      <c r="M5856" s="6" t="str">
        <f>"1.575.000,00"</f>
        <v>1.575.000,00</v>
      </c>
      <c r="N5856" s="8" t="s">
        <v>3635</v>
      </c>
      <c r="O5856" s="7"/>
      <c r="P5856" s="2" t="s">
        <v>8517</v>
      </c>
      <c r="Q5856" s="7"/>
      <c r="R5856" s="1"/>
      <c r="S5856" s="1" t="str">
        <f>"N-17/17"</f>
        <v>N-17/17</v>
      </c>
      <c r="T5856" s="1" t="s">
        <v>452</v>
      </c>
    </row>
    <row r="5857" spans="1:20" ht="51" x14ac:dyDescent="0.25">
      <c r="A5857" s="6">
        <v>5836</v>
      </c>
      <c r="B5857" s="1" t="str">
        <f>"2017-1690"</f>
        <v>2017-1690</v>
      </c>
      <c r="C5857" s="1" t="s">
        <v>3664</v>
      </c>
      <c r="D5857" s="1" t="s">
        <v>966</v>
      </c>
      <c r="E5857" s="1" t="str">
        <f>"2017/S F21-0006532"</f>
        <v>2017/S F21-0006532</v>
      </c>
      <c r="F5857" s="1" t="s">
        <v>967</v>
      </c>
      <c r="G5857" s="1" t="str">
        <f>CONCATENATE("SOKOL MARIĆ d.o.o.,"," TRG MARŠALA TITA 8/II,"," 10000 ZAGREB,"," OIB: 11543074213")</f>
        <v>SOKOL MARIĆ d.o.o., TRG MARŠALA TITA 8/II, 10000 ZAGREB, OIB: 11543074213</v>
      </c>
      <c r="H5857" s="7"/>
      <c r="I5857" s="8" t="s">
        <v>3901</v>
      </c>
      <c r="J5857" s="8" t="s">
        <v>3662</v>
      </c>
      <c r="K5857" s="6" t="str">
        <f>"547.800,00"</f>
        <v>547.800,00</v>
      </c>
      <c r="L5857" s="6" t="str">
        <f>"136.950,00"</f>
        <v>136.950,00</v>
      </c>
      <c r="M5857" s="6" t="str">
        <f>"684.750,00"</f>
        <v>684.750,00</v>
      </c>
      <c r="N5857" s="8" t="s">
        <v>3902</v>
      </c>
      <c r="O5857" s="7"/>
      <c r="P5857" s="2" t="s">
        <v>8518</v>
      </c>
      <c r="Q5857" s="7"/>
      <c r="R5857" s="1"/>
      <c r="S5857" s="1" t="str">
        <f>"N-18/17"</f>
        <v>N-18/17</v>
      </c>
      <c r="T5857" s="1" t="s">
        <v>452</v>
      </c>
    </row>
    <row r="5858" spans="1:20" ht="114.75" x14ac:dyDescent="0.25">
      <c r="A5858" s="6">
        <v>5837</v>
      </c>
      <c r="B5858" s="1" t="str">
        <f>"2017-2548"</f>
        <v>2017-2548</v>
      </c>
      <c r="C5858" s="1" t="s">
        <v>3903</v>
      </c>
      <c r="D5858" s="1" t="s">
        <v>244</v>
      </c>
      <c r="E5858" s="1" t="str">
        <f>"2017/S 0F2-0010112"</f>
        <v>2017/S 0F2-0010112</v>
      </c>
      <c r="F5858" s="1" t="s">
        <v>22</v>
      </c>
      <c r="G5858" s="1"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5858" s="7"/>
      <c r="I5858" s="8" t="s">
        <v>3904</v>
      </c>
      <c r="J5858" s="8" t="s">
        <v>3905</v>
      </c>
      <c r="K5858" s="6" t="str">
        <f>"349.500,00"</f>
        <v>349.500,00</v>
      </c>
      <c r="L5858" s="6" t="str">
        <f>"87.375,00"</f>
        <v>87.375,00</v>
      </c>
      <c r="M5858" s="6" t="str">
        <f>"436.875,00"</f>
        <v>436.875,00</v>
      </c>
      <c r="N5858" s="8" t="s">
        <v>3669</v>
      </c>
      <c r="O5858" s="7"/>
      <c r="P5858" s="2" t="s">
        <v>8519</v>
      </c>
      <c r="Q5858" s="7"/>
      <c r="R5858" s="1"/>
      <c r="S5858" s="1" t="str">
        <f>"N-19/17"</f>
        <v>N-19/17</v>
      </c>
      <c r="T5858" s="1" t="s">
        <v>32</v>
      </c>
    </row>
    <row r="5859" spans="1:20" ht="63.75" x14ac:dyDescent="0.25">
      <c r="A5859" s="6">
        <v>5838</v>
      </c>
      <c r="B5859" s="1" t="str">
        <f>"2017-2575"</f>
        <v>2017-2575</v>
      </c>
      <c r="C5859" s="1" t="s">
        <v>3906</v>
      </c>
      <c r="D5859" s="1" t="s">
        <v>2113</v>
      </c>
      <c r="E5859" s="1" t="str">
        <f>"2017/S 0F2-0010631"</f>
        <v>2017/S 0F2-0010631</v>
      </c>
      <c r="F5859" s="1" t="s">
        <v>22</v>
      </c>
      <c r="G5859" s="1" t="str">
        <f>CONCATENATE("GRADITELJ SVRATIŠTA D.O.O.,"," IVANA ČESMIČKOG 16,"," 10000 ZAGREB,"," OIB: 5204465757")</f>
        <v>GRADITELJ SVRATIŠTA D.O.O., IVANA ČESMIČKOG 16, 10000 ZAGREB, OIB: 5204465757</v>
      </c>
      <c r="H5859" s="1" t="str">
        <f>CONCATENATE("ETS FARAGO D.O.O.,"," OIB: 7742119408")</f>
        <v>ETS FARAGO D.O.O., OIB: 7742119408</v>
      </c>
      <c r="I5859" s="8" t="s">
        <v>3904</v>
      </c>
      <c r="J5859" s="8" t="s">
        <v>3905</v>
      </c>
      <c r="K5859" s="6" t="str">
        <f>"7.730.691,32"</f>
        <v>7.730.691,32</v>
      </c>
      <c r="L5859" s="6" t="str">
        <f>"1.932.672,83"</f>
        <v>1.932.672,83</v>
      </c>
      <c r="M5859" s="6" t="str">
        <f>"9.663.364,15"</f>
        <v>9.663.364,15</v>
      </c>
      <c r="N5859" s="8" t="s">
        <v>3907</v>
      </c>
      <c r="O5859" s="7"/>
      <c r="P5859" s="2" t="s">
        <v>8520</v>
      </c>
      <c r="Q5859" s="7"/>
      <c r="R5859" s="1"/>
      <c r="S5859" s="1" t="str">
        <f>"N-20/17"</f>
        <v>N-20/17</v>
      </c>
      <c r="T5859" s="1" t="s">
        <v>32</v>
      </c>
    </row>
    <row r="5860" spans="1:20" ht="255" x14ac:dyDescent="0.25">
      <c r="A5860" s="6">
        <v>5839</v>
      </c>
      <c r="B5860" s="1" t="str">
        <f>"2017-706"</f>
        <v>2017-706</v>
      </c>
      <c r="C5860" s="1" t="s">
        <v>3908</v>
      </c>
      <c r="D5860" s="1" t="s">
        <v>1641</v>
      </c>
      <c r="E5860" s="1" t="str">
        <f>"2017/S 0F2-0012230"</f>
        <v>2017/S 0F2-0012230</v>
      </c>
      <c r="F5860" s="1" t="s">
        <v>22</v>
      </c>
      <c r="G5860" s="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860" s="7"/>
      <c r="I5860" s="8" t="s">
        <v>1947</v>
      </c>
      <c r="J5860" s="8" t="s">
        <v>3909</v>
      </c>
      <c r="K5860" s="6" t="str">
        <f>"143.650,00"</f>
        <v>143.650,00</v>
      </c>
      <c r="L5860" s="6" t="str">
        <f>"35.912,50"</f>
        <v>35.912,50</v>
      </c>
      <c r="M5860" s="6" t="str">
        <f>"179.562,50"</f>
        <v>179.562,50</v>
      </c>
      <c r="N5860" s="8" t="s">
        <v>3910</v>
      </c>
      <c r="O5860" s="7"/>
      <c r="P5860" s="2" t="s">
        <v>8521</v>
      </c>
      <c r="Q5860" s="7"/>
      <c r="R5860" s="1"/>
      <c r="S5860" s="1" t="str">
        <f>"N-21-A/17"</f>
        <v>N-21-A/17</v>
      </c>
      <c r="T5860" s="1" t="s">
        <v>452</v>
      </c>
    </row>
    <row r="5861" spans="1:20" ht="255" x14ac:dyDescent="0.25">
      <c r="A5861" s="6">
        <v>5840</v>
      </c>
      <c r="B5861" s="1" t="str">
        <f>"2017-706"</f>
        <v>2017-706</v>
      </c>
      <c r="C5861" s="1" t="s">
        <v>3911</v>
      </c>
      <c r="D5861" s="1" t="s">
        <v>1641</v>
      </c>
      <c r="E5861" s="1" t="str">
        <f>"2017/S 0F2-0012230"</f>
        <v>2017/S 0F2-0012230</v>
      </c>
      <c r="F5861" s="1" t="s">
        <v>22</v>
      </c>
      <c r="G5861" s="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861" s="7"/>
      <c r="I5861" s="8" t="s">
        <v>1947</v>
      </c>
      <c r="J5861" s="8" t="s">
        <v>3909</v>
      </c>
      <c r="K5861" s="6" t="str">
        <f>"120.000,00"</f>
        <v>120.000,00</v>
      </c>
      <c r="L5861" s="6" t="str">
        <f>"30.000,00"</f>
        <v>30.000,00</v>
      </c>
      <c r="M5861" s="6" t="str">
        <f>"150.000,00"</f>
        <v>150.000,00</v>
      </c>
      <c r="N5861" s="8" t="s">
        <v>3910</v>
      </c>
      <c r="O5861" s="7"/>
      <c r="P5861" s="2" t="s">
        <v>8522</v>
      </c>
      <c r="Q5861" s="7"/>
      <c r="R5861" s="1"/>
      <c r="S5861" s="1" t="str">
        <f>"N-21-B/17"</f>
        <v>N-21-B/17</v>
      </c>
      <c r="T5861" s="1" t="s">
        <v>452</v>
      </c>
    </row>
    <row r="5862" spans="1:20" ht="255" x14ac:dyDescent="0.25">
      <c r="A5862" s="6">
        <v>5841</v>
      </c>
      <c r="B5862" s="1" t="str">
        <f>"2017-706"</f>
        <v>2017-706</v>
      </c>
      <c r="C5862" s="1" t="s">
        <v>3912</v>
      </c>
      <c r="D5862" s="1" t="s">
        <v>1641</v>
      </c>
      <c r="E5862" s="1" t="str">
        <f>"2017/S 0F2-0012230"</f>
        <v>2017/S 0F2-0012230</v>
      </c>
      <c r="F5862" s="1" t="s">
        <v>22</v>
      </c>
      <c r="G5862" s="1"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5862" s="7"/>
      <c r="I5862" s="8" t="s">
        <v>1947</v>
      </c>
      <c r="J5862" s="8" t="s">
        <v>3909</v>
      </c>
      <c r="K5862" s="6" t="str">
        <f>"16.688,00"</f>
        <v>16.688,00</v>
      </c>
      <c r="L5862" s="6" t="str">
        <f>"4.172,00"</f>
        <v>4.172,00</v>
      </c>
      <c r="M5862" s="6" t="str">
        <f>"20.860,00"</f>
        <v>20.860,00</v>
      </c>
      <c r="N5862" s="8" t="s">
        <v>3913</v>
      </c>
      <c r="O5862" s="7"/>
      <c r="P5862" s="2" t="s">
        <v>8523</v>
      </c>
      <c r="Q5862" s="7"/>
      <c r="R5862" s="1"/>
      <c r="S5862" s="1" t="str">
        <f>"N-21-C/17"</f>
        <v>N-21-C/17</v>
      </c>
      <c r="T5862" s="1" t="s">
        <v>452</v>
      </c>
    </row>
    <row r="5863" spans="1:20" ht="76.5" x14ac:dyDescent="0.25">
      <c r="A5863" s="6">
        <v>5842</v>
      </c>
      <c r="B5863" s="1" t="str">
        <f>"2017-273"</f>
        <v>2017-273</v>
      </c>
      <c r="C5863" s="1" t="s">
        <v>3914</v>
      </c>
      <c r="D5863" s="1" t="s">
        <v>1986</v>
      </c>
      <c r="E5863" s="1" t="str">
        <f>"2017/S 0F2-0013895"</f>
        <v>2017/S 0F2-0013895</v>
      </c>
      <c r="F5863" s="1" t="s">
        <v>22</v>
      </c>
      <c r="G5863" s="1" t="str">
        <f>CONCATENATE("KAP4 D.O.O.,"," POKORNOGA 9,"," 10000 ZAGREB,"," OIB: 68965490837")</f>
        <v>KAP4 D.O.O., POKORNOGA 9, 10000 ZAGREB, OIB: 68965490837</v>
      </c>
      <c r="H5863" s="7"/>
      <c r="I5863" s="8" t="s">
        <v>3764</v>
      </c>
      <c r="J5863" s="8" t="s">
        <v>3915</v>
      </c>
      <c r="K5863" s="6" t="str">
        <f>"888.000,00"</f>
        <v>888.000,00</v>
      </c>
      <c r="L5863" s="6" t="str">
        <f>"222.000,00"</f>
        <v>222.000,00</v>
      </c>
      <c r="M5863" s="6" t="str">
        <f>"1.110.000,00"</f>
        <v>1.110.000,00</v>
      </c>
      <c r="N5863" s="8" t="s">
        <v>3916</v>
      </c>
      <c r="O5863" s="7"/>
      <c r="P5863" s="2" t="s">
        <v>8524</v>
      </c>
      <c r="Q5863" s="7"/>
      <c r="R5863" s="1"/>
      <c r="S5863" s="1" t="str">
        <f>"N-23/17"</f>
        <v>N-23/17</v>
      </c>
      <c r="T5863" s="1" t="s">
        <v>32</v>
      </c>
    </row>
    <row r="5864" spans="1:20" ht="242.25" x14ac:dyDescent="0.25">
      <c r="A5864" s="6">
        <v>5843</v>
      </c>
      <c r="B5864" s="1" t="str">
        <f>"2017-292"</f>
        <v>2017-292</v>
      </c>
      <c r="C5864" s="1" t="s">
        <v>3917</v>
      </c>
      <c r="D5864" s="1" t="s">
        <v>3918</v>
      </c>
      <c r="E5864" s="1" t="str">
        <f>"2017/S 0F2-0010033"</f>
        <v>2017/S 0F2-0010033</v>
      </c>
      <c r="F5864" s="1" t="s">
        <v>22</v>
      </c>
      <c r="G5864" s="1"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5864" s="7"/>
      <c r="I5864" s="8" t="s">
        <v>3627</v>
      </c>
      <c r="J5864" s="8" t="s">
        <v>3919</v>
      </c>
      <c r="K5864" s="6" t="str">
        <f>"38.795.944,80"</f>
        <v>38.795.944,80</v>
      </c>
      <c r="L5864" s="6" t="str">
        <f>"9.698.986,20"</f>
        <v>9.698.986,20</v>
      </c>
      <c r="M5864" s="6" t="str">
        <f>"48.494.931,00"</f>
        <v>48.494.931,00</v>
      </c>
      <c r="N5864" s="8" t="s">
        <v>3920</v>
      </c>
      <c r="O5864" s="7"/>
      <c r="P5864" s="2" t="s">
        <v>8525</v>
      </c>
      <c r="Q5864" s="7"/>
      <c r="R5864" s="1"/>
      <c r="S5864" s="1" t="str">
        <f>"N-24/17"</f>
        <v>N-24/17</v>
      </c>
      <c r="T5864" s="1" t="s">
        <v>32</v>
      </c>
    </row>
    <row r="5865" spans="1:20" ht="51" x14ac:dyDescent="0.25">
      <c r="A5865" s="6">
        <v>5844</v>
      </c>
      <c r="B5865" s="1" t="str">
        <f>"2017-2594"</f>
        <v>2017-2594</v>
      </c>
      <c r="C5865" s="1" t="s">
        <v>3921</v>
      </c>
      <c r="D5865" s="1" t="s">
        <v>2168</v>
      </c>
      <c r="E5865" s="1" t="str">
        <f>"2017/S 0F2-0013003"</f>
        <v>2017/S 0F2-0013003</v>
      </c>
      <c r="F5865" s="1" t="s">
        <v>22</v>
      </c>
      <c r="G5865" s="1" t="str">
        <f>CONCATENATE("CONEL D.O.O.,"," KNEZA BORNE 5,"," 10000 ZAGREB,"," OIB: 97614500728")</f>
        <v>CONEL D.O.O., KNEZA BORNE 5, 10000 ZAGREB, OIB: 97614500728</v>
      </c>
      <c r="H5865" s="7"/>
      <c r="I5865" s="8" t="s">
        <v>3627</v>
      </c>
      <c r="J5865" s="8" t="s">
        <v>3919</v>
      </c>
      <c r="K5865" s="6" t="str">
        <f>"753.105,00"</f>
        <v>753.105,00</v>
      </c>
      <c r="L5865" s="6" t="str">
        <f>"188.276,25"</f>
        <v>188.276,25</v>
      </c>
      <c r="M5865" s="6" t="str">
        <f>"941.381,25"</f>
        <v>941.381,25</v>
      </c>
      <c r="N5865" s="8" t="s">
        <v>3922</v>
      </c>
      <c r="O5865" s="7"/>
      <c r="P5865" s="2" t="s">
        <v>8526</v>
      </c>
      <c r="Q5865" s="7"/>
      <c r="R5865" s="1"/>
      <c r="S5865" s="1" t="str">
        <f>"N-25/17"</f>
        <v>N-25/17</v>
      </c>
      <c r="T5865" s="1" t="s">
        <v>452</v>
      </c>
    </row>
    <row r="5866" spans="1:20" ht="127.5" x14ac:dyDescent="0.25">
      <c r="A5866" s="6">
        <v>5845</v>
      </c>
      <c r="B5866" s="1" t="str">
        <f>"2017-2579"</f>
        <v>2017-2579</v>
      </c>
      <c r="C5866" s="1" t="s">
        <v>3923</v>
      </c>
      <c r="D5866" s="1" t="s">
        <v>702</v>
      </c>
      <c r="E5866" s="1" t="str">
        <f>"2017/S 0F3-0020622"</f>
        <v>2017/S 0F3-0020622</v>
      </c>
      <c r="F5866" s="1" t="s">
        <v>22</v>
      </c>
      <c r="G5866" s="1" t="str">
        <f>CONCATENATE("MONTER-STROJARSKE MONTAŽE D.D.,"," VELIMIRA ŠKORPIKA 28,"," 10000 ZAGREB,"," OIB: 13887374452")</f>
        <v>MONTER-STROJARSKE MONTAŽE D.D., VELIMIRA ŠKORPIKA 28, 10000 ZAGREB, OIB: 13887374452</v>
      </c>
      <c r="H5866" s="1" t="str">
        <f>CONCATENATE("PALIĆ INŽENJERING D.O.O.,"," OIB: 99750077832",CHAR(10),"PA-EL D.O.O.,"," OIB: 56740849320",CHAR(10),"GEOANDA D.O.O.,"," OIB: 70840886172")</f>
        <v>PALIĆ INŽENJERING D.O.O., OIB: 99750077832
PA-EL D.O.O., OIB: 56740849320
GEOANDA D.O.O., OIB: 70840886172</v>
      </c>
      <c r="I5866" s="8" t="s">
        <v>3924</v>
      </c>
      <c r="J5866" s="8" t="s">
        <v>3711</v>
      </c>
      <c r="K5866" s="6" t="str">
        <f>"2.799.244,85"</f>
        <v>2.799.244,85</v>
      </c>
      <c r="L5866" s="6" t="str">
        <f>"699.811,21"</f>
        <v>699.811,21</v>
      </c>
      <c r="M5866" s="6" t="str">
        <f>"3.499.056,06"</f>
        <v>3.499.056,06</v>
      </c>
      <c r="N5866" s="8" t="s">
        <v>3913</v>
      </c>
      <c r="O5866" s="7"/>
      <c r="P5866" s="2" t="s">
        <v>8527</v>
      </c>
      <c r="Q5866" s="7"/>
      <c r="R5866" s="1"/>
      <c r="S5866" s="1" t="str">
        <f>"N-27/17"</f>
        <v>N-27/17</v>
      </c>
      <c r="T5866" s="1" t="s">
        <v>452</v>
      </c>
    </row>
    <row r="5867" spans="1:20" ht="89.25" x14ac:dyDescent="0.25">
      <c r="A5867" s="6">
        <v>5846</v>
      </c>
      <c r="B5867" s="1" t="str">
        <f>"2017-2531"</f>
        <v>2017-2531</v>
      </c>
      <c r="C5867" s="1" t="s">
        <v>3925</v>
      </c>
      <c r="D5867" s="1" t="s">
        <v>3926</v>
      </c>
      <c r="E5867" s="1" t="str">
        <f>"2017/S 0F2-0012413"</f>
        <v>2017/S 0F2-0012413</v>
      </c>
      <c r="F5867" s="1" t="s">
        <v>22</v>
      </c>
      <c r="G5867" s="1" t="str">
        <f>CONCATENATE("Zajednica ponuditelja",CHAR(10),"HT D.D.,"," ,"," OIB: 81793146560SUPRA NET D.O.O. MAJSTORSKA 5,"," 10000 ZAGREB,"," OIB: 4334012458")</f>
        <v>Zajednica ponuditelja
HT D.D., , OIB: 81793146560SUPRA NET D.O.O. MAJSTORSKA 5, 10000 ZAGREB, OIB: 4334012458</v>
      </c>
      <c r="H5867" s="7"/>
      <c r="I5867" s="8" t="s">
        <v>3927</v>
      </c>
      <c r="J5867" s="8" t="s">
        <v>3928</v>
      </c>
      <c r="K5867" s="6" t="str">
        <f>"833.978,09"</f>
        <v>833.978,09</v>
      </c>
      <c r="L5867" s="6" t="str">
        <f>"208.494,52"</f>
        <v>208.494,52</v>
      </c>
      <c r="M5867" s="6" t="str">
        <f>"1.042.472,61"</f>
        <v>1.042.472,61</v>
      </c>
      <c r="N5867" s="8" t="s">
        <v>3929</v>
      </c>
      <c r="O5867" s="7"/>
      <c r="P5867" s="2" t="s">
        <v>8528</v>
      </c>
      <c r="Q5867" s="7"/>
      <c r="R5867" s="1"/>
      <c r="S5867" s="1" t="str">
        <f>"N-28/17"</f>
        <v>N-28/17</v>
      </c>
      <c r="T5867" s="1" t="s">
        <v>86</v>
      </c>
    </row>
    <row r="5868" spans="1:20" ht="51" x14ac:dyDescent="0.25">
      <c r="A5868" s="6">
        <v>5847</v>
      </c>
      <c r="B5868" s="1" t="str">
        <f>"2017-293"</f>
        <v>2017-293</v>
      </c>
      <c r="C5868" s="1" t="s">
        <v>3930</v>
      </c>
      <c r="D5868" s="1" t="s">
        <v>2057</v>
      </c>
      <c r="E5868" s="1" t="str">
        <f>"2017/S 0F2-0010068"</f>
        <v>2017/S 0F2-0010068</v>
      </c>
      <c r="F5868" s="1" t="s">
        <v>22</v>
      </c>
      <c r="G5868" s="1" t="str">
        <f>CONCATENATE("EKONERG D.O.O.,"," KORANSKA ULICA 5,"," 10000 ZAGREB,"," OIB: 71690188016")</f>
        <v>EKONERG D.O.O., KORANSKA ULICA 5, 10000 ZAGREB, OIB: 71690188016</v>
      </c>
      <c r="H5868" s="7"/>
      <c r="I5868" s="8" t="s">
        <v>3931</v>
      </c>
      <c r="J5868" s="8" t="s">
        <v>3932</v>
      </c>
      <c r="K5868" s="6" t="str">
        <f>"187.000,00"</f>
        <v>187.000,00</v>
      </c>
      <c r="L5868" s="6" t="str">
        <f>"46.750,00"</f>
        <v>46.750,00</v>
      </c>
      <c r="M5868" s="6" t="str">
        <f>"233.750,00"</f>
        <v>233.750,00</v>
      </c>
      <c r="N5868" s="8" t="s">
        <v>1988</v>
      </c>
      <c r="O5868" s="7"/>
      <c r="P5868" s="2" t="s">
        <v>8529</v>
      </c>
      <c r="Q5868" s="7"/>
      <c r="R5868" s="1"/>
      <c r="S5868" s="1" t="str">
        <f>"N-32/17"</f>
        <v>N-32/17</v>
      </c>
      <c r="T5868" s="1" t="s">
        <v>32</v>
      </c>
    </row>
    <row r="5869" spans="1:20" ht="63.75" x14ac:dyDescent="0.25">
      <c r="A5869" s="6">
        <v>5848</v>
      </c>
      <c r="B5869" s="1" t="str">
        <f>"2017-175"</f>
        <v>2017-175</v>
      </c>
      <c r="C5869" s="1" t="s">
        <v>3933</v>
      </c>
      <c r="D5869" s="1" t="s">
        <v>2068</v>
      </c>
      <c r="E5869" s="1" t="str">
        <f>"2017/S 0F2-0012694"</f>
        <v>2017/S 0F2-0012694</v>
      </c>
      <c r="F5869" s="1" t="s">
        <v>22</v>
      </c>
      <c r="G5869" s="1" t="str">
        <f>CONCATENATE("AMB GRADNJA D.O.O.,"," PRILAZ BARUNA FILIPOVIĆA 15,"," 10000 ZAGREB,"," OIB: 8527265147")</f>
        <v>AMB GRADNJA D.O.O., PRILAZ BARUNA FILIPOVIĆA 15, 10000 ZAGREB, OIB: 8527265147</v>
      </c>
      <c r="H5869" s="7"/>
      <c r="I5869" s="8" t="s">
        <v>3934</v>
      </c>
      <c r="J5869" s="8" t="s">
        <v>3935</v>
      </c>
      <c r="K5869" s="6" t="str">
        <f>"1.201.356,00"</f>
        <v>1.201.356,00</v>
      </c>
      <c r="L5869" s="6" t="str">
        <f>"300.339,00"</f>
        <v>300.339,00</v>
      </c>
      <c r="M5869" s="6" t="str">
        <f>"1.501.695,00"</f>
        <v>1.501.695,00</v>
      </c>
      <c r="N5869" s="8" t="s">
        <v>3936</v>
      </c>
      <c r="O5869" s="7"/>
      <c r="P5869" s="2" t="s">
        <v>8530</v>
      </c>
      <c r="Q5869" s="7"/>
      <c r="R5869" s="1"/>
      <c r="S5869" s="1" t="str">
        <f>"N-33/17"</f>
        <v>N-33/17</v>
      </c>
      <c r="T5869" s="1" t="s">
        <v>55</v>
      </c>
    </row>
    <row r="5870" spans="1:20" ht="51" x14ac:dyDescent="0.25">
      <c r="A5870" s="6">
        <v>5849</v>
      </c>
      <c r="B5870" s="1" t="str">
        <f>"2017-63"</f>
        <v>2017-63</v>
      </c>
      <c r="C5870" s="1" t="s">
        <v>3937</v>
      </c>
      <c r="D5870" s="1" t="s">
        <v>2068</v>
      </c>
      <c r="E5870" s="1" t="str">
        <f>"2017/S 0F2-0012700"</f>
        <v>2017/S 0F2-0012700</v>
      </c>
      <c r="F5870" s="1" t="s">
        <v>22</v>
      </c>
      <c r="G5870" s="1" t="str">
        <f>CONCATENATE("MULTIGRAD D.O.O.,"," LUKAVEČKA 7,"," 10412 DONJA LOMNICA,"," OIB: 33615517007")</f>
        <v>MULTIGRAD D.O.O., LUKAVEČKA 7, 10412 DONJA LOMNICA, OIB: 33615517007</v>
      </c>
      <c r="H5870" s="7"/>
      <c r="I5870" s="8" t="s">
        <v>3934</v>
      </c>
      <c r="J5870" s="8" t="s">
        <v>3935</v>
      </c>
      <c r="K5870" s="6" t="str">
        <f>"1.136.869,00"</f>
        <v>1.136.869,00</v>
      </c>
      <c r="L5870" s="6" t="str">
        <f>"284.217,25"</f>
        <v>284.217,25</v>
      </c>
      <c r="M5870" s="6" t="str">
        <f>"1.421.086,25"</f>
        <v>1.421.086,25</v>
      </c>
      <c r="N5870" s="8" t="s">
        <v>413</v>
      </c>
      <c r="O5870" s="7"/>
      <c r="P5870" s="2" t="s">
        <v>8531</v>
      </c>
      <c r="Q5870" s="7"/>
      <c r="R5870" s="1"/>
      <c r="S5870" s="1" t="str">
        <f>"N-34/17"</f>
        <v>N-34/17</v>
      </c>
      <c r="T5870" s="1" t="s">
        <v>55</v>
      </c>
    </row>
    <row r="5871" spans="1:20" ht="51" x14ac:dyDescent="0.25">
      <c r="A5871" s="6">
        <v>5850</v>
      </c>
      <c r="B5871" s="1" t="str">
        <f>"2017-70"</f>
        <v>2017-70</v>
      </c>
      <c r="C5871" s="1" t="s">
        <v>3938</v>
      </c>
      <c r="D5871" s="1" t="s">
        <v>1979</v>
      </c>
      <c r="E5871" s="1" t="str">
        <f>"2017/S 0F2-0013743"</f>
        <v>2017/S 0F2-0013743</v>
      </c>
      <c r="F5871" s="1" t="s">
        <v>22</v>
      </c>
      <c r="G5871" s="1" t="str">
        <f>CONCATENATE("EKO-PLAN D.O.O.,"," 2. JAZBINSKI GAJ 1A,"," 10000 ZAGREB,"," OIB: 55034160084")</f>
        <v>EKO-PLAN D.O.O., 2. JAZBINSKI GAJ 1A, 10000 ZAGREB, OIB: 55034160084</v>
      </c>
      <c r="H5871" s="7"/>
      <c r="I5871" s="8" t="s">
        <v>3939</v>
      </c>
      <c r="J5871" s="8" t="s">
        <v>3940</v>
      </c>
      <c r="K5871" s="6" t="str">
        <f>"439.000,00"</f>
        <v>439.000,00</v>
      </c>
      <c r="L5871" s="6" t="str">
        <f>"109.750,00"</f>
        <v>109.750,00</v>
      </c>
      <c r="M5871" s="6" t="str">
        <f>"548.750,00"</f>
        <v>548.750,00</v>
      </c>
      <c r="N5871" s="8" t="s">
        <v>124</v>
      </c>
      <c r="O5871" s="7"/>
      <c r="P5871" s="2" t="s">
        <v>5614</v>
      </c>
      <c r="Q5871" s="7"/>
      <c r="R5871" s="1"/>
      <c r="S5871" s="1" t="str">
        <f>"N-39/17"</f>
        <v>N-39/17</v>
      </c>
      <c r="T5871" s="1" t="s">
        <v>55</v>
      </c>
    </row>
    <row r="5872" spans="1:20" ht="51" x14ac:dyDescent="0.25">
      <c r="A5872" s="6">
        <v>5851</v>
      </c>
      <c r="B5872" s="1" t="str">
        <f>"2017-61"</f>
        <v>2017-61</v>
      </c>
      <c r="C5872" s="1" t="s">
        <v>3941</v>
      </c>
      <c r="D5872" s="1" t="s">
        <v>2068</v>
      </c>
      <c r="E5872" s="1" t="str">
        <f>"2017/S 0F2-0012709"</f>
        <v>2017/S 0F2-0012709</v>
      </c>
      <c r="F5872" s="1" t="s">
        <v>22</v>
      </c>
      <c r="G5872" s="1" t="str">
        <f>CONCATENATE("VODOGRADNJA VARAŽDIN D.D.,"," MEĐIMURSKA 26B,"," 42000 VARAŽDIN")</f>
        <v>VODOGRADNJA VARAŽDIN D.D., MEĐIMURSKA 26B, 42000 VARAŽDIN</v>
      </c>
      <c r="H5872" s="7"/>
      <c r="I5872" s="8" t="s">
        <v>3939</v>
      </c>
      <c r="J5872" s="8" t="s">
        <v>3942</v>
      </c>
      <c r="K5872" s="6" t="str">
        <f>"1.447.750,60"</f>
        <v>1.447.750,60</v>
      </c>
      <c r="L5872" s="6" t="str">
        <f>"361.937,65"</f>
        <v>361.937,65</v>
      </c>
      <c r="M5872" s="6" t="str">
        <f>"1.809.688,25"</f>
        <v>1.809.688,25</v>
      </c>
      <c r="N5872" s="8"/>
      <c r="O5872" s="7" t="s">
        <v>4927</v>
      </c>
      <c r="P5872" s="2" t="s">
        <v>5614</v>
      </c>
      <c r="Q5872" s="7"/>
      <c r="R5872" s="1"/>
      <c r="S5872" s="1" t="str">
        <f>"N-40/17"</f>
        <v>N-40/17</v>
      </c>
      <c r="T5872" s="1" t="s">
        <v>55</v>
      </c>
    </row>
    <row r="5873" spans="1:20" ht="102" x14ac:dyDescent="0.25">
      <c r="A5873" s="6">
        <v>5852</v>
      </c>
      <c r="B5873" s="1" t="str">
        <f>"2017-46"</f>
        <v>2017-46</v>
      </c>
      <c r="C5873" s="1" t="s">
        <v>3943</v>
      </c>
      <c r="D5873" s="1" t="s">
        <v>941</v>
      </c>
      <c r="E5873" s="1" t="str">
        <f>"2017/S 0F2-0012804"</f>
        <v>2017/S 0F2-0012804</v>
      </c>
      <c r="F5873" s="1" t="s">
        <v>22</v>
      </c>
      <c r="G5873" s="1"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5873" s="7"/>
      <c r="I5873" s="8" t="s">
        <v>3827</v>
      </c>
      <c r="J5873" s="8" t="s">
        <v>299</v>
      </c>
      <c r="K5873" s="6" t="str">
        <f>"3.679.189,41"</f>
        <v>3.679.189,41</v>
      </c>
      <c r="L5873" s="6" t="str">
        <f>"919.797,35"</f>
        <v>919.797,35</v>
      </c>
      <c r="M5873" s="6" t="str">
        <f>"4.598.986,76"</f>
        <v>4.598.986,76</v>
      </c>
      <c r="N5873" s="8" t="s">
        <v>124</v>
      </c>
      <c r="O5873" s="7"/>
      <c r="P5873" s="2" t="s">
        <v>5614</v>
      </c>
      <c r="Q5873" s="7"/>
      <c r="R5873" s="1"/>
      <c r="S5873" s="1" t="str">
        <f>"N-42/17"</f>
        <v>N-42/17</v>
      </c>
      <c r="T5873" s="1" t="s">
        <v>55</v>
      </c>
    </row>
    <row r="5874" spans="1:20" ht="76.5" x14ac:dyDescent="0.25">
      <c r="A5874" s="6">
        <v>5853</v>
      </c>
      <c r="B5874" s="1" t="str">
        <f>"2017-2630"</f>
        <v>2017-2630</v>
      </c>
      <c r="C5874" s="1" t="s">
        <v>3944</v>
      </c>
      <c r="D5874" s="1" t="s">
        <v>1979</v>
      </c>
      <c r="E5874" s="1" t="str">
        <f>"2017/S 0F2-0013769"</f>
        <v>2017/S 0F2-0013769</v>
      </c>
      <c r="F5874" s="1" t="s">
        <v>22</v>
      </c>
      <c r="G5874" s="1" t="str">
        <f>CONCATENATE("MAŠINOPROJEKT D.O.O.,"," BRAĆE DOMANY 8,"," 10000 ZAGREB,"," OIB: 673908426")</f>
        <v>MAŠINOPROJEKT D.O.O., BRAĆE DOMANY 8, 10000 ZAGREB, OIB: 673908426</v>
      </c>
      <c r="H5874" s="7"/>
      <c r="I5874" s="8" t="s">
        <v>3945</v>
      </c>
      <c r="J5874" s="8" t="s">
        <v>3946</v>
      </c>
      <c r="K5874" s="6" t="str">
        <f>"86.200,00"</f>
        <v>86.200,00</v>
      </c>
      <c r="L5874" s="6" t="str">
        <f>"21.550,00"</f>
        <v>21.550,00</v>
      </c>
      <c r="M5874" s="6" t="str">
        <f>"107.750,00"</f>
        <v>107.750,00</v>
      </c>
      <c r="N5874" s="8" t="s">
        <v>62</v>
      </c>
      <c r="O5874" s="7"/>
      <c r="P5874" s="2" t="s">
        <v>6378</v>
      </c>
      <c r="Q5874" s="7"/>
      <c r="R5874" s="1"/>
      <c r="S5874" s="1" t="str">
        <f>"N-44/17"</f>
        <v>N-44/17</v>
      </c>
      <c r="T5874" s="1" t="s">
        <v>55</v>
      </c>
    </row>
    <row r="5875" spans="1:20" ht="51" x14ac:dyDescent="0.25">
      <c r="A5875" s="6">
        <v>5854</v>
      </c>
      <c r="B5875" s="1" t="str">
        <f>"2017-143"</f>
        <v>2017-143</v>
      </c>
      <c r="C5875" s="1" t="s">
        <v>3947</v>
      </c>
      <c r="D5875" s="1" t="s">
        <v>941</v>
      </c>
      <c r="E5875" s="1" t="str">
        <f>"2017/S 0F2-0012710"</f>
        <v>2017/S 0F2-0012710</v>
      </c>
      <c r="F5875" s="1" t="s">
        <v>22</v>
      </c>
      <c r="G5875" s="1" t="str">
        <f>CONCATENATE("GEORAD D.O.O.,"," KORNATSKA 1,"," 10000 ZAGREB,"," OIB: 49756748234")</f>
        <v>GEORAD D.O.O., KORNATSKA 1, 10000 ZAGREB, OIB: 49756748234</v>
      </c>
      <c r="H5875" s="1" t="str">
        <f>CONCATENATE("ENA D.O.O.,"," OIB: 24759414355")</f>
        <v>ENA D.O.O., OIB: 24759414355</v>
      </c>
      <c r="I5875" s="8" t="s">
        <v>3945</v>
      </c>
      <c r="J5875" s="8" t="s">
        <v>3946</v>
      </c>
      <c r="K5875" s="6" t="str">
        <f>"957.316,38"</f>
        <v>957.316,38</v>
      </c>
      <c r="L5875" s="6" t="str">
        <f>"239.329,10"</f>
        <v>239.329,10</v>
      </c>
      <c r="M5875" s="6" t="str">
        <f>"1.196.645,48"</f>
        <v>1.196.645,48</v>
      </c>
      <c r="N5875" s="8" t="s">
        <v>3948</v>
      </c>
      <c r="O5875" s="7"/>
      <c r="P5875" s="2" t="s">
        <v>8532</v>
      </c>
      <c r="Q5875" s="7"/>
      <c r="R5875" s="1"/>
      <c r="S5875" s="1" t="str">
        <f>"N-45/17"</f>
        <v>N-45/17</v>
      </c>
      <c r="T5875" s="1" t="s">
        <v>55</v>
      </c>
    </row>
    <row r="5876" spans="1:20" ht="127.5" x14ac:dyDescent="0.25">
      <c r="A5876" s="6">
        <v>5855</v>
      </c>
      <c r="B5876" s="1" t="str">
        <f>"2017-2627"</f>
        <v>2017-2627</v>
      </c>
      <c r="C5876" s="1" t="s">
        <v>3949</v>
      </c>
      <c r="D5876" s="1" t="s">
        <v>1979</v>
      </c>
      <c r="E5876" s="1" t="str">
        <f>"2017/S 0F2-0012688"</f>
        <v>2017/S 0F2-0012688</v>
      </c>
      <c r="F5876" s="1" t="s">
        <v>22</v>
      </c>
      <c r="G5876" s="1"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5876" s="1" t="str">
        <f>CONCATENATE("GEOM D.O.O.,"," OIB: 09241925730",CHAR(10),"FLAMIT D.O.O.,"," OIB: 84050612509",CHAR(10),"H5 D.O.O.,"," OIB: 24374623263")</f>
        <v>GEOM D.O.O., OIB: 09241925730
FLAMIT D.O.O., OIB: 84050612509
H5 D.O.O., OIB: 24374623263</v>
      </c>
      <c r="I5876" s="8" t="s">
        <v>3950</v>
      </c>
      <c r="J5876" s="8" t="s">
        <v>419</v>
      </c>
      <c r="K5876" s="6" t="str">
        <f>"382.990,00"</f>
        <v>382.990,00</v>
      </c>
      <c r="L5876" s="6" t="str">
        <f>"95.747,50"</f>
        <v>95.747,50</v>
      </c>
      <c r="M5876" s="6" t="str">
        <f>"478.737,50"</f>
        <v>478.737,50</v>
      </c>
      <c r="N5876" s="8" t="s">
        <v>124</v>
      </c>
      <c r="O5876" s="7"/>
      <c r="P5876" s="2" t="s">
        <v>5614</v>
      </c>
      <c r="Q5876" s="7"/>
      <c r="R5876" s="1"/>
      <c r="S5876" s="1" t="str">
        <f>"N-50/17"</f>
        <v>N-50/17</v>
      </c>
      <c r="T5876" s="1" t="s">
        <v>55</v>
      </c>
    </row>
    <row r="5877" spans="1:20" ht="51" x14ac:dyDescent="0.25">
      <c r="A5877" s="6">
        <v>5856</v>
      </c>
      <c r="B5877" s="1" t="str">
        <f>"2017-62"</f>
        <v>2017-62</v>
      </c>
      <c r="C5877" s="1" t="s">
        <v>3951</v>
      </c>
      <c r="D5877" s="1" t="s">
        <v>3606</v>
      </c>
      <c r="E5877" s="1" t="str">
        <f>"2017/S 0F2-0012729"</f>
        <v>2017/S 0F2-0012729</v>
      </c>
      <c r="F5877" s="1" t="s">
        <v>22</v>
      </c>
      <c r="G5877" s="1" t="str">
        <f>CONCATENATE("ELEKTROCENTAR PETEK D.O.O.,"," ETANSKA CESTA 8,"," 10310 IVANIĆ-GRAD,"," OIB: 17491977848")</f>
        <v>ELEKTROCENTAR PETEK D.O.O., ETANSKA CESTA 8, 10310 IVANIĆ-GRAD, OIB: 17491977848</v>
      </c>
      <c r="H5877" s="1" t="str">
        <f>CONCATENATE("ELEKTROGEN D.O.O.,"," OIB: 03124296032")</f>
        <v>ELEKTROGEN D.O.O., OIB: 03124296032</v>
      </c>
      <c r="I5877" s="8" t="s">
        <v>3950</v>
      </c>
      <c r="J5877" s="8" t="s">
        <v>419</v>
      </c>
      <c r="K5877" s="6" t="str">
        <f>"1.298.929,90"</f>
        <v>1.298.929,90</v>
      </c>
      <c r="L5877" s="6" t="str">
        <f>"324.732,48"</f>
        <v>324.732,48</v>
      </c>
      <c r="M5877" s="6" t="str">
        <f>"1.623.662,38"</f>
        <v>1.623.662,38</v>
      </c>
      <c r="N5877" s="8" t="s">
        <v>1970</v>
      </c>
      <c r="O5877" s="7"/>
      <c r="P5877" s="2" t="s">
        <v>8533</v>
      </c>
      <c r="Q5877" s="7"/>
      <c r="R5877" s="1"/>
      <c r="S5877" s="1" t="str">
        <f>"N-51/17"</f>
        <v>N-51/17</v>
      </c>
      <c r="T5877" s="1" t="s">
        <v>55</v>
      </c>
    </row>
    <row r="5878" spans="1:20" ht="89.25" x14ac:dyDescent="0.25">
      <c r="A5878" s="6">
        <v>5857</v>
      </c>
      <c r="B5878" s="1" t="str">
        <f>"2017-2721"</f>
        <v>2017-2721</v>
      </c>
      <c r="C5878" s="1" t="s">
        <v>3952</v>
      </c>
      <c r="D5878" s="1" t="s">
        <v>486</v>
      </c>
      <c r="E5878" s="1" t="str">
        <f>"2017/S 0F2-0017021"</f>
        <v>2017/S 0F2-0017021</v>
      </c>
      <c r="F5878" s="1" t="s">
        <v>22</v>
      </c>
      <c r="G5878" s="1" t="str">
        <f>CONCATENATE("GEORAD D.O.O.,"," KORNATSKA 1,"," 10000 ZAGREB,"," OIB: 49756748234")</f>
        <v>GEORAD D.O.O., KORNATSKA 1, 10000 ZAGREB, OIB: 49756748234</v>
      </c>
      <c r="H5878" s="7"/>
      <c r="I5878" s="8" t="s">
        <v>3953</v>
      </c>
      <c r="J5878" s="8" t="s">
        <v>3954</v>
      </c>
      <c r="K5878" s="6" t="str">
        <f>"786.497,00"</f>
        <v>786.497,00</v>
      </c>
      <c r="L5878" s="6" t="str">
        <f>"196.624,25"</f>
        <v>196.624,25</v>
      </c>
      <c r="M5878" s="6" t="str">
        <f>"983.121,25"</f>
        <v>983.121,25</v>
      </c>
      <c r="N5878" s="8" t="s">
        <v>124</v>
      </c>
      <c r="O5878" s="7"/>
      <c r="P5878" s="2" t="s">
        <v>5614</v>
      </c>
      <c r="Q5878" s="7"/>
      <c r="R5878" s="1"/>
      <c r="S5878" s="1" t="str">
        <f>"N-53/17"</f>
        <v>N-53/17</v>
      </c>
      <c r="T5878" s="1" t="s">
        <v>55</v>
      </c>
    </row>
    <row r="5879" spans="1:20" ht="229.5" x14ac:dyDescent="0.25">
      <c r="A5879" s="6">
        <v>5858</v>
      </c>
      <c r="B5879" s="1" t="str">
        <f>"2017-2626"</f>
        <v>2017-2626</v>
      </c>
      <c r="C5879" s="1" t="s">
        <v>3955</v>
      </c>
      <c r="D5879" s="1" t="s">
        <v>1979</v>
      </c>
      <c r="E5879" s="1" t="str">
        <f>"2017/S 0F2-0013830"</f>
        <v>2017/S 0F2-0013830</v>
      </c>
      <c r="F5879" s="1" t="s">
        <v>22</v>
      </c>
      <c r="G5879" s="1"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5879" s="7"/>
      <c r="I5879" s="8" t="s">
        <v>3854</v>
      </c>
      <c r="J5879" s="8" t="s">
        <v>3877</v>
      </c>
      <c r="K5879" s="6" t="str">
        <f>"385.000,00"</f>
        <v>385.000,00</v>
      </c>
      <c r="L5879" s="6" t="str">
        <f>"96.250,00"</f>
        <v>96.250,00</v>
      </c>
      <c r="M5879" s="6" t="str">
        <f>"481.250,00"</f>
        <v>481.250,00</v>
      </c>
      <c r="N5879" s="8" t="s">
        <v>124</v>
      </c>
      <c r="O5879" s="7"/>
      <c r="P5879" s="2" t="s">
        <v>5614</v>
      </c>
      <c r="Q5879" s="7"/>
      <c r="R5879" s="1"/>
      <c r="S5879" s="1" t="str">
        <f>"N-58/17"</f>
        <v>N-58/17</v>
      </c>
      <c r="T5879" s="1" t="s">
        <v>55</v>
      </c>
    </row>
    <row r="5880" spans="1:20" ht="178.5" x14ac:dyDescent="0.25">
      <c r="A5880" s="6">
        <v>5859</v>
      </c>
      <c r="B5880" s="1" t="str">
        <f>"2017-2625"</f>
        <v>2017-2625</v>
      </c>
      <c r="C5880" s="1" t="s">
        <v>3956</v>
      </c>
      <c r="D5880" s="1" t="s">
        <v>1979</v>
      </c>
      <c r="E5880" s="1" t="str">
        <f>"2017/S 0F2-0013599"</f>
        <v>2017/S 0F2-0013599</v>
      </c>
      <c r="F5880" s="1" t="s">
        <v>22</v>
      </c>
      <c r="G5880" s="1"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5880" s="7"/>
      <c r="I5880" s="8" t="s">
        <v>3957</v>
      </c>
      <c r="J5880" s="8" t="s">
        <v>3885</v>
      </c>
      <c r="K5880" s="6" t="str">
        <f>"425.000,00"</f>
        <v>425.000,00</v>
      </c>
      <c r="L5880" s="6" t="str">
        <f>"106.250,00"</f>
        <v>106.250,00</v>
      </c>
      <c r="M5880" s="6" t="str">
        <f>"531.250,00"</f>
        <v>531.250,00</v>
      </c>
      <c r="N5880" s="8" t="s">
        <v>124</v>
      </c>
      <c r="O5880" s="7"/>
      <c r="P5880" s="2" t="s">
        <v>5614</v>
      </c>
      <c r="Q5880" s="7"/>
      <c r="R5880" s="1"/>
      <c r="S5880" s="1" t="str">
        <f>"N-59/17"</f>
        <v>N-59/17</v>
      </c>
      <c r="T5880" s="1" t="s">
        <v>55</v>
      </c>
    </row>
    <row r="5881" spans="1:20" ht="63.75" x14ac:dyDescent="0.25">
      <c r="A5881" s="6">
        <v>5860</v>
      </c>
      <c r="B5881" s="1" t="str">
        <f>"2017-149"</f>
        <v>2017-149</v>
      </c>
      <c r="C5881" s="1" t="s">
        <v>3958</v>
      </c>
      <c r="D5881" s="1" t="s">
        <v>941</v>
      </c>
      <c r="E5881" s="1" t="str">
        <f>"2017/S 0F2-0013549"</f>
        <v>2017/S 0F2-0013549</v>
      </c>
      <c r="F5881" s="1" t="s">
        <v>22</v>
      </c>
      <c r="G5881" s="1" t="str">
        <f>CONCATENATE("TEMEX D.O.O.,"," JANUŠEVEČKA 11,"," 10000 ZAGREB,"," OIB: 89610149986")</f>
        <v>TEMEX D.O.O., JANUŠEVEČKA 11, 10000 ZAGREB, OIB: 89610149986</v>
      </c>
      <c r="H5881" s="1" t="str">
        <f>CONCATENATE("GEAMEDITOR D.O.O.,"," OIB: 35959507784")</f>
        <v>GEAMEDITOR D.O.O., OIB: 35959507784</v>
      </c>
      <c r="I5881" s="8" t="s">
        <v>3959</v>
      </c>
      <c r="J5881" s="8" t="s">
        <v>3960</v>
      </c>
      <c r="K5881" s="6" t="str">
        <f>"528.048,00"</f>
        <v>528.048,00</v>
      </c>
      <c r="L5881" s="6" t="str">
        <f>"132.012,00"</f>
        <v>132.012,00</v>
      </c>
      <c r="M5881" s="6" t="str">
        <f>"660.060,00"</f>
        <v>660.060,00</v>
      </c>
      <c r="N5881" s="8" t="s">
        <v>445</v>
      </c>
      <c r="O5881" s="7"/>
      <c r="P5881" s="2" t="s">
        <v>8534</v>
      </c>
      <c r="Q5881" s="7"/>
      <c r="R5881" s="1"/>
      <c r="S5881" s="1" t="str">
        <f>"N-60/17"</f>
        <v>N-60/17</v>
      </c>
      <c r="T5881" s="1" t="s">
        <v>55</v>
      </c>
    </row>
    <row r="5882" spans="1:20" ht="140.25" x14ac:dyDescent="0.25">
      <c r="A5882" s="6">
        <v>5861</v>
      </c>
      <c r="B5882" s="1" t="str">
        <f>"2017-192"</f>
        <v>2017-192</v>
      </c>
      <c r="C5882" s="1" t="s">
        <v>3961</v>
      </c>
      <c r="D5882" s="1" t="s">
        <v>1979</v>
      </c>
      <c r="E5882" s="1" t="str">
        <f>"2017/S 0F2-0014789"</f>
        <v>2017/S 0F2-0014789</v>
      </c>
      <c r="F5882" s="1" t="s">
        <v>22</v>
      </c>
      <c r="G5882" s="1"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5882" s="7"/>
      <c r="I5882" s="8" t="s">
        <v>3962</v>
      </c>
      <c r="J5882" s="8" t="s">
        <v>3963</v>
      </c>
      <c r="K5882" s="6" t="str">
        <f>"194.900,00"</f>
        <v>194.900,00</v>
      </c>
      <c r="L5882" s="6" t="str">
        <f>"48.725,00"</f>
        <v>48.725,00</v>
      </c>
      <c r="M5882" s="6" t="str">
        <f>"243.625,00"</f>
        <v>243.625,00</v>
      </c>
      <c r="N5882" s="8" t="s">
        <v>124</v>
      </c>
      <c r="O5882" s="7"/>
      <c r="P5882" s="2" t="s">
        <v>5614</v>
      </c>
      <c r="Q5882" s="7"/>
      <c r="R5882" s="1"/>
      <c r="S5882" s="1" t="str">
        <f>"N-63/17"</f>
        <v>N-63/17</v>
      </c>
      <c r="T5882" s="1" t="s">
        <v>55</v>
      </c>
    </row>
    <row r="5883" spans="1:20" ht="51" x14ac:dyDescent="0.25">
      <c r="A5883" s="6">
        <v>5862</v>
      </c>
      <c r="B5883" s="1" t="str">
        <f>"2017-2769"</f>
        <v>2017-2769</v>
      </c>
      <c r="C5883" s="1" t="s">
        <v>3964</v>
      </c>
      <c r="D5883" s="1" t="s">
        <v>1277</v>
      </c>
      <c r="E5883" s="1" t="str">
        <f>"2017/S 0F2-0018266"</f>
        <v>2017/S 0F2-0018266</v>
      </c>
      <c r="F5883" s="1" t="s">
        <v>22</v>
      </c>
      <c r="G5883" s="1" t="str">
        <f>CONCATENATE("HOLOSYS D.O.O.,"," KOVINSKA 4 A,"," 10000 ZAGREB,"," OIB: 79084286928")</f>
        <v>HOLOSYS D.O.O., KOVINSKA 4 A, 10000 ZAGREB, OIB: 79084286928</v>
      </c>
      <c r="H5883" s="7"/>
      <c r="I5883" s="8" t="s">
        <v>3965</v>
      </c>
      <c r="J5883" s="8" t="s">
        <v>3966</v>
      </c>
      <c r="K5883" s="6" t="str">
        <f>"797.304,29"</f>
        <v>797.304,29</v>
      </c>
      <c r="L5883" s="6" t="str">
        <f>"199.326,07"</f>
        <v>199.326,07</v>
      </c>
      <c r="M5883" s="6" t="str">
        <f>"996.630,36"</f>
        <v>996.630,36</v>
      </c>
      <c r="N5883" s="8" t="s">
        <v>3967</v>
      </c>
      <c r="O5883" s="7"/>
      <c r="P5883" s="2" t="s">
        <v>8535</v>
      </c>
      <c r="Q5883" s="7"/>
      <c r="R5883" s="1"/>
      <c r="S5883" s="1" t="str">
        <f>"N-64/17"</f>
        <v>N-64/17</v>
      </c>
      <c r="T5883" s="1" t="s">
        <v>452</v>
      </c>
    </row>
    <row r="5884" spans="1:20" ht="204" x14ac:dyDescent="0.25">
      <c r="A5884" s="6">
        <v>5863</v>
      </c>
      <c r="B5884" s="1" t="str">
        <f>"2017-71"</f>
        <v>2017-71</v>
      </c>
      <c r="C5884" s="1" t="s">
        <v>3968</v>
      </c>
      <c r="D5884" s="1" t="s">
        <v>1979</v>
      </c>
      <c r="E5884" s="1" t="str">
        <f>"2017/S 0F2-0013533"</f>
        <v>2017/S 0F2-0013533</v>
      </c>
      <c r="F5884" s="1" t="s">
        <v>22</v>
      </c>
      <c r="G5884" s="1"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5884" s="1" t="str">
        <f>CONCATENATE("FLAMIT D.O.O.,"," OIB: 84050612509")</f>
        <v>FLAMIT D.O.O., OIB: 84050612509</v>
      </c>
      <c r="I5884" s="8" t="s">
        <v>3965</v>
      </c>
      <c r="J5884" s="8" t="s">
        <v>3966</v>
      </c>
      <c r="K5884" s="6" t="str">
        <f>"181.600,00"</f>
        <v>181.600,00</v>
      </c>
      <c r="L5884" s="6" t="str">
        <f>"45.400,00"</f>
        <v>45.400,00</v>
      </c>
      <c r="M5884" s="6" t="str">
        <f>"227.000,00"</f>
        <v>227.000,00</v>
      </c>
      <c r="N5884" s="8" t="s">
        <v>124</v>
      </c>
      <c r="O5884" s="7"/>
      <c r="P5884" s="2" t="s">
        <v>5614</v>
      </c>
      <c r="Q5884" s="7"/>
      <c r="R5884" s="1"/>
      <c r="S5884" s="1" t="str">
        <f>"N-65/17"</f>
        <v>N-65/17</v>
      </c>
      <c r="T5884" s="1" t="s">
        <v>55</v>
      </c>
    </row>
    <row r="5885" spans="1:20" ht="76.5" x14ac:dyDescent="0.25">
      <c r="A5885" s="6">
        <v>5864</v>
      </c>
      <c r="B5885" s="1" t="str">
        <f>"2017-2816"</f>
        <v>2017-2816</v>
      </c>
      <c r="C5885" s="1" t="s">
        <v>3969</v>
      </c>
      <c r="D5885" s="1" t="s">
        <v>702</v>
      </c>
      <c r="E5885" s="1" t="str">
        <f>"2017/S 0F2-0020848"</f>
        <v>2017/S 0F2-0020848</v>
      </c>
      <c r="F5885" s="1" t="s">
        <v>22</v>
      </c>
      <c r="G5885" s="1" t="str">
        <f>CONCATENATE("BK MONTAŽA D.O.O.,"," DORE PEJAČEVIĆ 1,"," 10000 ZAGREB,"," OIB: 80580557122")</f>
        <v>BK MONTAŽA D.O.O., DORE PEJAČEVIĆ 1, 10000 ZAGREB, OIB: 80580557122</v>
      </c>
      <c r="H5885" s="1" t="str">
        <f>CONCATENATE("GROMATIC KR D.O.O.,"," OIB: 82769972632",CHAR(10),"PA-EL D.O.O.,"," OIB: 5674084932")</f>
        <v>GROMATIC KR D.O.O., OIB: 82769972632
PA-EL D.O.O., OIB: 5674084932</v>
      </c>
      <c r="I5885" s="8" t="s">
        <v>3970</v>
      </c>
      <c r="J5885" s="8" t="s">
        <v>3971</v>
      </c>
      <c r="K5885" s="6" t="str">
        <f>"5.555.056,00"</f>
        <v>5.555.056,00</v>
      </c>
      <c r="L5885" s="6" t="str">
        <f>"1.388.764,00"</f>
        <v>1.388.764,00</v>
      </c>
      <c r="M5885" s="6" t="str">
        <f>"6.943.820,00"</f>
        <v>6.943.820,00</v>
      </c>
      <c r="N5885" s="8" t="s">
        <v>3972</v>
      </c>
      <c r="O5885" s="7"/>
      <c r="P5885" s="2" t="s">
        <v>8536</v>
      </c>
      <c r="Q5885" s="7"/>
      <c r="R5885" s="1"/>
      <c r="S5885" s="1" t="str">
        <f>"N-67/17"</f>
        <v>N-67/17</v>
      </c>
      <c r="T5885" s="1" t="s">
        <v>452</v>
      </c>
    </row>
    <row r="5886" spans="1:20" ht="102" x14ac:dyDescent="0.25">
      <c r="A5886" s="6">
        <v>5865</v>
      </c>
      <c r="B5886" s="1" t="str">
        <f>"2017-147"</f>
        <v>2017-147</v>
      </c>
      <c r="C5886" s="1" t="s">
        <v>3973</v>
      </c>
      <c r="D5886" s="1" t="s">
        <v>941</v>
      </c>
      <c r="E5886" s="1" t="str">
        <f>"2017/S 0F2-0017166"</f>
        <v>2017/S 0F2-0017166</v>
      </c>
      <c r="F5886" s="1" t="s">
        <v>22</v>
      </c>
      <c r="G5886" s="1" t="str">
        <f>CONCATENATE("GRADEX &amp; CO D.O.O.,"," PAVLOVEC ZABOČKI,"," PRILAZ DR. FRANJE TUĐMANA 4,"," 49210 ZABOK,"," OIB: 73369080939")</f>
        <v>GRADEX &amp; CO D.O.O., PAVLOVEC ZABOČKI, PRILAZ DR. FRANJE TUĐMANA 4, 49210 ZABOK, OIB: 73369080939</v>
      </c>
      <c r="H5886" s="7"/>
      <c r="I5886" s="8" t="s">
        <v>175</v>
      </c>
      <c r="J5886" s="8" t="s">
        <v>3974</v>
      </c>
      <c r="K5886" s="6" t="str">
        <f>"543.424,20"</f>
        <v>543.424,20</v>
      </c>
      <c r="L5886" s="6" t="str">
        <f>"135.856,05"</f>
        <v>135.856,05</v>
      </c>
      <c r="M5886" s="6" t="str">
        <f>"679.280,25"</f>
        <v>679.280,25</v>
      </c>
      <c r="N5886" s="8" t="s">
        <v>3691</v>
      </c>
      <c r="O5886" s="7"/>
      <c r="P5886" s="2" t="s">
        <v>8537</v>
      </c>
      <c r="Q5886" s="7"/>
      <c r="R5886" s="1"/>
      <c r="S5886" s="1" t="str">
        <f>"N-71/17"</f>
        <v>N-71/17</v>
      </c>
      <c r="T5886" s="1" t="s">
        <v>32</v>
      </c>
    </row>
    <row r="5887" spans="1:20" ht="127.5" x14ac:dyDescent="0.25">
      <c r="A5887" s="6">
        <v>5866</v>
      </c>
      <c r="B5887" s="1" t="str">
        <f>"2017-184"</f>
        <v>2017-184</v>
      </c>
      <c r="C5887" s="1" t="s">
        <v>3975</v>
      </c>
      <c r="D5887" s="1" t="s">
        <v>1979</v>
      </c>
      <c r="E5887" s="1" t="str">
        <f>"2017/S 0F2-0020514"</f>
        <v>2017/S 0F2-0020514</v>
      </c>
      <c r="F5887" s="1" t="s">
        <v>22</v>
      </c>
      <c r="G5887" s="1" t="str">
        <f>CONCATENATE("IPZ D.D.,"," PRILAZ BARUNA FILIPOVIĆA 21,"," 10000 ZAGREB,"," OIB: 9481097846")</f>
        <v>IPZ D.D., PRILAZ BARUNA FILIPOVIĆA 21, 10000 ZAGREB, OIB: 9481097846</v>
      </c>
      <c r="H5887" s="7"/>
      <c r="I5887" s="8" t="s">
        <v>115</v>
      </c>
      <c r="J5887" s="8" t="s">
        <v>3976</v>
      </c>
      <c r="K5887" s="6" t="str">
        <f>"390.000,00"</f>
        <v>390.000,00</v>
      </c>
      <c r="L5887" s="6" t="str">
        <f>"97.500,00"</f>
        <v>97.500,00</v>
      </c>
      <c r="M5887" s="6" t="str">
        <f>"487.500,00"</f>
        <v>487.500,00</v>
      </c>
      <c r="N5887" s="8" t="s">
        <v>3977</v>
      </c>
      <c r="O5887" s="7"/>
      <c r="P5887" s="2" t="s">
        <v>8538</v>
      </c>
      <c r="Q5887" s="7"/>
      <c r="R5887" s="1"/>
      <c r="S5887" s="1" t="str">
        <f>"N-83/17"</f>
        <v>N-83/17</v>
      </c>
      <c r="T5887" s="1" t="s">
        <v>55</v>
      </c>
    </row>
    <row r="5888" spans="1:20" ht="102" x14ac:dyDescent="0.25">
      <c r="A5888" s="6">
        <v>5867</v>
      </c>
      <c r="B5888" s="1" t="str">
        <f>"2017-2713"</f>
        <v>2017-2713</v>
      </c>
      <c r="C5888" s="1" t="s">
        <v>3978</v>
      </c>
      <c r="D5888" s="1" t="s">
        <v>3979</v>
      </c>
      <c r="E5888" s="1" t="str">
        <f>"2018/S 0F3-0002677"</f>
        <v>2018/S 0F3-0002677</v>
      </c>
      <c r="F5888" s="1" t="s">
        <v>22</v>
      </c>
      <c r="G5888" s="1" t="str">
        <f>CONCATENATE("KARST D.O.O.,"," UL. NIKOLE PAVIĆA 11,"," 10000 ZAGREB,"," OIB: 33162411239")</f>
        <v>KARST D.O.O., UL. NIKOLE PAVIĆA 11, 10000 ZAGREB, OIB: 33162411239</v>
      </c>
      <c r="H5888" s="1" t="str">
        <f>CONCATENATE("GEOTEHNIČKI STUDIO D.O.O.,"," OIB: 65389569788",CHAR(10),"HIDRO-GEO PROJEKT D.O.O.,"," OIB: 09473107998")</f>
        <v>GEOTEHNIČKI STUDIO D.O.O., OIB: 65389569788
HIDRO-GEO PROJEKT D.O.O., OIB: 09473107998</v>
      </c>
      <c r="I5888" s="8" t="s">
        <v>3980</v>
      </c>
      <c r="J5888" s="8" t="s">
        <v>3981</v>
      </c>
      <c r="K5888" s="6" t="str">
        <f>"429.368,00"</f>
        <v>429.368,00</v>
      </c>
      <c r="L5888" s="6" t="str">
        <f>"107.342,00"</f>
        <v>107.342,00</v>
      </c>
      <c r="M5888" s="6" t="str">
        <f>"536.710,00"</f>
        <v>536.710,00</v>
      </c>
      <c r="N5888" s="8" t="s">
        <v>3902</v>
      </c>
      <c r="O5888" s="7"/>
      <c r="P5888" s="2" t="s">
        <v>8539</v>
      </c>
      <c r="Q5888" s="7"/>
      <c r="R5888" s="1"/>
      <c r="S5888" s="1" t="str">
        <f>"N-88/17"</f>
        <v>N-88/17</v>
      </c>
      <c r="T5888" s="1" t="s">
        <v>32</v>
      </c>
    </row>
    <row r="5889" spans="1:20" ht="51" x14ac:dyDescent="0.25">
      <c r="A5889" s="6">
        <v>5868</v>
      </c>
      <c r="B5889" s="1" t="str">
        <f>"2017-2002"</f>
        <v>2017-2002</v>
      </c>
      <c r="C5889" s="1" t="s">
        <v>2020</v>
      </c>
      <c r="D5889" s="1" t="s">
        <v>2021</v>
      </c>
      <c r="E5889" s="1" t="str">
        <f>"2017/S 0F2-0023726"</f>
        <v>2017/S 0F2-0023726</v>
      </c>
      <c r="F5889" s="1" t="s">
        <v>22</v>
      </c>
      <c r="G5889" s="1" t="str">
        <f>CONCATENATE("GEO-CENTAR D.O.O.,"," JURJA IV. ZRINSKOG 12/B,"," 40000 ČAKOVEC,"," OIB: 71106141762")</f>
        <v>GEO-CENTAR D.O.O., JURJA IV. ZRINSKOG 12/B, 40000 ČAKOVEC, OIB: 71106141762</v>
      </c>
      <c r="H5889" s="7"/>
      <c r="I5889" s="8" t="s">
        <v>3982</v>
      </c>
      <c r="J5889" s="8" t="s">
        <v>3983</v>
      </c>
      <c r="K5889" s="6" t="str">
        <f>"268.990,00"</f>
        <v>268.990,00</v>
      </c>
      <c r="L5889" s="6" t="str">
        <f>"67.247,50"</f>
        <v>67.247,50</v>
      </c>
      <c r="M5889" s="6" t="str">
        <f>"336.237,50"</f>
        <v>336.237,50</v>
      </c>
      <c r="N5889" s="8" t="s">
        <v>3984</v>
      </c>
      <c r="O5889" s="7"/>
      <c r="P5889" s="2" t="s">
        <v>8540</v>
      </c>
      <c r="Q5889" s="7"/>
      <c r="R5889" s="1"/>
      <c r="S5889" s="1" t="str">
        <f>"N-89/17"</f>
        <v>N-89/17</v>
      </c>
      <c r="T5889" s="1" t="s">
        <v>32</v>
      </c>
    </row>
    <row r="5890" spans="1:20" ht="114.75" x14ac:dyDescent="0.25">
      <c r="A5890" s="6">
        <v>5869</v>
      </c>
      <c r="B5890" s="1" t="str">
        <f>"2017-2857"</f>
        <v>2017-2857</v>
      </c>
      <c r="C5890" s="1" t="s">
        <v>3985</v>
      </c>
      <c r="D5890" s="1" t="s">
        <v>3986</v>
      </c>
      <c r="E5890" s="1" t="str">
        <f>"2018/S 0F3-0003912"</f>
        <v>2018/S 0F3-0003912</v>
      </c>
      <c r="F5890" s="1" t="s">
        <v>22</v>
      </c>
      <c r="G5890" s="1"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5890" s="7"/>
      <c r="I5890" s="8" t="s">
        <v>3980</v>
      </c>
      <c r="J5890" s="8" t="s">
        <v>3981</v>
      </c>
      <c r="K5890" s="6" t="str">
        <f>"1.445.828,00"</f>
        <v>1.445.828,00</v>
      </c>
      <c r="L5890" s="6" t="str">
        <f>"361.457,00"</f>
        <v>361.457,00</v>
      </c>
      <c r="M5890" s="6" t="str">
        <f>"1.807.285,00"</f>
        <v>1.807.285,00</v>
      </c>
      <c r="N5890" s="8" t="s">
        <v>3936</v>
      </c>
      <c r="O5890" s="7"/>
      <c r="P5890" s="2" t="s">
        <v>8541</v>
      </c>
      <c r="Q5890" s="7"/>
      <c r="R5890" s="1"/>
      <c r="S5890" s="1" t="str">
        <f>"N-90/17"</f>
        <v>N-90/17</v>
      </c>
      <c r="T5890" s="1" t="s">
        <v>32</v>
      </c>
    </row>
    <row r="5891" spans="1:20" ht="140.25" x14ac:dyDescent="0.25">
      <c r="A5891" s="6">
        <v>5870</v>
      </c>
      <c r="B5891" s="1" t="str">
        <f>"2017-189"</f>
        <v>2017-189</v>
      </c>
      <c r="C5891" s="1" t="s">
        <v>3987</v>
      </c>
      <c r="D5891" s="1" t="s">
        <v>1979</v>
      </c>
      <c r="E5891" s="1" t="str">
        <f>"2017/S 0F2-0022244"</f>
        <v>2017/S 0F2-0022244</v>
      </c>
      <c r="F5891" s="1" t="s">
        <v>22</v>
      </c>
      <c r="G5891" s="1"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5891" s="7"/>
      <c r="I5891" s="8" t="s">
        <v>3982</v>
      </c>
      <c r="J5891" s="8" t="s">
        <v>2256</v>
      </c>
      <c r="K5891" s="6" t="str">
        <f>"276.127,00"</f>
        <v>276.127,00</v>
      </c>
      <c r="L5891" s="6" t="str">
        <f>"69.031,75"</f>
        <v>69.031,75</v>
      </c>
      <c r="M5891" s="6" t="str">
        <f>"345.158,75"</f>
        <v>345.158,75</v>
      </c>
      <c r="N5891" s="8" t="s">
        <v>124</v>
      </c>
      <c r="O5891" s="7"/>
      <c r="P5891" s="2" t="s">
        <v>5614</v>
      </c>
      <c r="Q5891" s="7"/>
      <c r="R5891" s="1"/>
      <c r="S5891" s="1" t="str">
        <f>"N-92/17"</f>
        <v>N-92/17</v>
      </c>
      <c r="T5891" s="1" t="s">
        <v>55</v>
      </c>
    </row>
    <row r="5892" spans="1:20" ht="51" x14ac:dyDescent="0.25">
      <c r="A5892" s="6">
        <v>5871</v>
      </c>
      <c r="B5892" s="1" t="str">
        <f>"2017-144"</f>
        <v>2017-144</v>
      </c>
      <c r="C5892" s="1" t="s">
        <v>3988</v>
      </c>
      <c r="D5892" s="1" t="s">
        <v>941</v>
      </c>
      <c r="E5892" s="1" t="str">
        <f>"2017/S 0F2-0017792"</f>
        <v>2017/S 0F2-0017792</v>
      </c>
      <c r="F5892" s="1" t="s">
        <v>22</v>
      </c>
      <c r="G5892" s="1" t="str">
        <f>CONCATENATE("VODOTEHNIKA D.D.,"," KOTURAŠKA CESTA 49,"," 10000 ZAGREB,"," OIB: 1763143132")</f>
        <v>VODOTEHNIKA D.D., KOTURAŠKA CESTA 49, 10000 ZAGREB, OIB: 1763143132</v>
      </c>
      <c r="H5892" s="7"/>
      <c r="I5892" s="8" t="s">
        <v>3982</v>
      </c>
      <c r="J5892" s="8" t="s">
        <v>3983</v>
      </c>
      <c r="K5892" s="6" t="str">
        <f>"978.180,12"</f>
        <v>978.180,12</v>
      </c>
      <c r="L5892" s="6" t="str">
        <f>"244.545,03"</f>
        <v>244.545,03</v>
      </c>
      <c r="M5892" s="6" t="str">
        <f>"1.222.725,15"</f>
        <v>1.222.725,15</v>
      </c>
      <c r="N5892" s="8" t="s">
        <v>276</v>
      </c>
      <c r="O5892" s="7"/>
      <c r="P5892" s="2" t="s">
        <v>8542</v>
      </c>
      <c r="Q5892" s="7"/>
      <c r="R5892" s="1"/>
      <c r="S5892" s="1" t="str">
        <f>"N-94/17"</f>
        <v>N-94/17</v>
      </c>
      <c r="T5892" s="1" t="s">
        <v>55</v>
      </c>
    </row>
    <row r="5893" spans="1:20" ht="51" x14ac:dyDescent="0.25">
      <c r="A5893" s="6">
        <v>5872</v>
      </c>
      <c r="B5893" s="1" t="str">
        <f>"2017-1407"</f>
        <v>2017-1407</v>
      </c>
      <c r="C5893" s="1" t="s">
        <v>3989</v>
      </c>
      <c r="D5893" s="1" t="s">
        <v>3990</v>
      </c>
      <c r="E5893" s="1" t="str">
        <f>"2017/S 0F2-0022625"</f>
        <v>2017/S 0F2-0022625</v>
      </c>
      <c r="F5893" s="1" t="s">
        <v>22</v>
      </c>
      <c r="G5893" s="1" t="str">
        <f>CONCATENATE("AGRO-HONOR D.O.O.,"," KRALJA TOMISLAVA 82,"," 31300 BELI MANASTIR,"," OIB: 82775399135")</f>
        <v>AGRO-HONOR D.O.O., KRALJA TOMISLAVA 82, 31300 BELI MANASTIR, OIB: 82775399135</v>
      </c>
      <c r="H5893" s="7"/>
      <c r="I5893" s="8" t="s">
        <v>3789</v>
      </c>
      <c r="J5893" s="8" t="s">
        <v>3991</v>
      </c>
      <c r="K5893" s="6" t="str">
        <f>"344.460,00"</f>
        <v>344.460,00</v>
      </c>
      <c r="L5893" s="6" t="str">
        <f>"86.115,00"</f>
        <v>86.115,00</v>
      </c>
      <c r="M5893" s="6" t="str">
        <f>"430.575,00"</f>
        <v>430.575,00</v>
      </c>
      <c r="N5893" s="8" t="s">
        <v>3992</v>
      </c>
      <c r="O5893" s="7"/>
      <c r="P5893" s="2" t="s">
        <v>8543</v>
      </c>
      <c r="Q5893" s="7"/>
      <c r="R5893" s="1"/>
      <c r="S5893" s="1" t="str">
        <f>"N-97-C/17"</f>
        <v>N-97-C/17</v>
      </c>
      <c r="T5893" s="1" t="s">
        <v>32</v>
      </c>
    </row>
    <row r="5894" spans="1:20" ht="63.75" x14ac:dyDescent="0.25">
      <c r="A5894" s="6">
        <v>5873</v>
      </c>
      <c r="B5894" s="1" t="str">
        <f>"2017-2774"</f>
        <v>2017-2774</v>
      </c>
      <c r="C5894" s="1" t="s">
        <v>3993</v>
      </c>
      <c r="D5894" s="1" t="s">
        <v>2420</v>
      </c>
      <c r="E5894" s="1" t="str">
        <f>"2017/S 0F2-0025455"</f>
        <v>2017/S 0F2-0025455</v>
      </c>
      <c r="F5894" s="1" t="s">
        <v>22</v>
      </c>
      <c r="G5894" s="1" t="str">
        <f>CONCATENATE("KALA D.O.O.,"," FRANKOPANSKA 97A,"," 35404 CERNIK,"," OIB: 94389348128")</f>
        <v>KALA D.O.O., FRANKOPANSKA 97A, 35404 CERNIK, OIB: 94389348128</v>
      </c>
      <c r="H5894" s="7"/>
      <c r="I5894" s="8" t="s">
        <v>3789</v>
      </c>
      <c r="J5894" s="8" t="s">
        <v>3991</v>
      </c>
      <c r="K5894" s="6" t="str">
        <f>"1.028.759,98"</f>
        <v>1.028.759,98</v>
      </c>
      <c r="L5894" s="6" t="str">
        <f>"257.190,00"</f>
        <v>257.190,00</v>
      </c>
      <c r="M5894" s="6" t="str">
        <f>"1.285.949,98"</f>
        <v>1.285.949,98</v>
      </c>
      <c r="N5894" s="8" t="s">
        <v>3994</v>
      </c>
      <c r="O5894" s="7"/>
      <c r="P5894" s="2" t="s">
        <v>8544</v>
      </c>
      <c r="Q5894" s="7"/>
      <c r="R5894" s="1"/>
      <c r="S5894" s="1" t="str">
        <f>"N-101/17"</f>
        <v>N-101/17</v>
      </c>
      <c r="T5894" s="1" t="s">
        <v>32</v>
      </c>
    </row>
    <row r="5895" spans="1:20" ht="76.5" x14ac:dyDescent="0.25">
      <c r="A5895" s="6">
        <v>5874</v>
      </c>
      <c r="B5895" s="1" t="str">
        <f>"2017-2893"</f>
        <v>2017-2893</v>
      </c>
      <c r="C5895" s="1" t="s">
        <v>3995</v>
      </c>
      <c r="D5895" s="1" t="s">
        <v>1209</v>
      </c>
      <c r="E5895" s="1" t="str">
        <f>"2017/S 0F2-0026491"</f>
        <v>2017/S 0F2-0026491</v>
      </c>
      <c r="F5895" s="1" t="s">
        <v>22</v>
      </c>
      <c r="G5895" s="1" t="str">
        <f>CONCATENATE("SPECIJALNA OPREMA - LUČKO D.O.O.,"," DONJI STUPNIK,"," DOLENICA 20,"," 10250 LUČKO,"," OIB: 3557766515")</f>
        <v>SPECIJALNA OPREMA - LUČKO D.O.O., DONJI STUPNIK, DOLENICA 20, 10250 LUČKO, OIB: 3557766515</v>
      </c>
      <c r="H5895" s="7"/>
      <c r="I5895" s="8" t="s">
        <v>3805</v>
      </c>
      <c r="J5895" s="8" t="s">
        <v>3996</v>
      </c>
      <c r="K5895" s="6" t="str">
        <f>"592.086,00"</f>
        <v>592.086,00</v>
      </c>
      <c r="L5895" s="6" t="str">
        <f>"148.021,50"</f>
        <v>148.021,50</v>
      </c>
      <c r="M5895" s="6" t="str">
        <f>"740.107,50"</f>
        <v>740.107,50</v>
      </c>
      <c r="N5895" s="8" t="s">
        <v>3866</v>
      </c>
      <c r="O5895" s="7"/>
      <c r="P5895" s="2" t="s">
        <v>8545</v>
      </c>
      <c r="Q5895" s="7"/>
      <c r="R5895" s="1"/>
      <c r="S5895" s="1" t="str">
        <f>"N-104/17"</f>
        <v>N-104/17</v>
      </c>
      <c r="T5895" s="1" t="s">
        <v>32</v>
      </c>
    </row>
    <row r="5896" spans="1:20" ht="51" x14ac:dyDescent="0.25">
      <c r="A5896" s="6">
        <v>5875</v>
      </c>
      <c r="B5896" s="1" t="str">
        <f>"2017-2727"</f>
        <v>2017-2727</v>
      </c>
      <c r="C5896" s="1" t="s">
        <v>3997</v>
      </c>
      <c r="D5896" s="1" t="s">
        <v>2113</v>
      </c>
      <c r="E5896" s="1" t="str">
        <f>"2017/S 0F2-0022901"</f>
        <v>2017/S 0F2-0022901</v>
      </c>
      <c r="F5896" s="1" t="s">
        <v>22</v>
      </c>
      <c r="G5896" s="1" t="str">
        <f>CONCATENATE("TIM-COLOR D.O.O.,"," DOMINIKA MANDIĆA 24,"," 10000 ZAGREB,"," OIB: 99936689438")</f>
        <v>TIM-COLOR D.O.O., DOMINIKA MANDIĆA 24, 10000 ZAGREB, OIB: 99936689438</v>
      </c>
      <c r="H5896" s="7"/>
      <c r="I5896" s="8" t="s">
        <v>3998</v>
      </c>
      <c r="J5896" s="8" t="s">
        <v>436</v>
      </c>
      <c r="K5896" s="6" t="str">
        <f>"3.527.695,00"</f>
        <v>3.527.695,00</v>
      </c>
      <c r="L5896" s="6" t="str">
        <f>"881.923,75"</f>
        <v>881.923,75</v>
      </c>
      <c r="M5896" s="6" t="str">
        <f>"4.409.618,75"</f>
        <v>4.409.618,75</v>
      </c>
      <c r="N5896" s="8" t="s">
        <v>472</v>
      </c>
      <c r="O5896" s="7"/>
      <c r="P5896" s="2" t="s">
        <v>8546</v>
      </c>
      <c r="Q5896" s="7"/>
      <c r="R5896" s="1"/>
      <c r="S5896" s="1" t="str">
        <f>"N-107/17"</f>
        <v>N-107/17</v>
      </c>
      <c r="T5896" s="1" t="s">
        <v>32</v>
      </c>
    </row>
    <row r="5897" spans="1:20" ht="102" x14ac:dyDescent="0.25">
      <c r="A5897" s="6">
        <v>5876</v>
      </c>
      <c r="B5897" s="1" t="str">
        <f>"2017-69"</f>
        <v>2017-69</v>
      </c>
      <c r="C5897" s="1" t="s">
        <v>3999</v>
      </c>
      <c r="D5897" s="1" t="s">
        <v>1979</v>
      </c>
      <c r="E5897" s="1" t="str">
        <f>"2017/S 0F2-0020573"</f>
        <v>2017/S 0F2-0020573</v>
      </c>
      <c r="F5897" s="1" t="s">
        <v>22</v>
      </c>
      <c r="G5897" s="1" t="str">
        <f>CONCATENATE("IPZ D.D.,"," PRILAZ BARUNA FILIPOVIĆA 21,"," 10000 ZAGREB,"," OIB: 9481097846")</f>
        <v>IPZ D.D., PRILAZ BARUNA FILIPOVIĆA 21, 10000 ZAGREB, OIB: 9481097846</v>
      </c>
      <c r="H5897" s="7"/>
      <c r="I5897" s="8" t="s">
        <v>3998</v>
      </c>
      <c r="J5897" s="8" t="s">
        <v>436</v>
      </c>
      <c r="K5897" s="6" t="str">
        <f>"315.000,00"</f>
        <v>315.000,00</v>
      </c>
      <c r="L5897" s="6" t="str">
        <f>"78.750,00"</f>
        <v>78.750,00</v>
      </c>
      <c r="M5897" s="6" t="str">
        <f>"393.750,00"</f>
        <v>393.750,00</v>
      </c>
      <c r="N5897" s="8" t="s">
        <v>124</v>
      </c>
      <c r="O5897" s="7"/>
      <c r="P5897" s="2" t="s">
        <v>5614</v>
      </c>
      <c r="Q5897" s="7"/>
      <c r="R5897" s="1"/>
      <c r="S5897" s="1" t="str">
        <f>"N-108/17"</f>
        <v>N-108/17</v>
      </c>
      <c r="T5897" s="1" t="s">
        <v>55</v>
      </c>
    </row>
    <row r="5898" spans="1:20" ht="51" x14ac:dyDescent="0.25">
      <c r="A5898" s="6">
        <v>5877</v>
      </c>
      <c r="B5898" s="1" t="str">
        <f>"2017-2212"</f>
        <v>2017-2212</v>
      </c>
      <c r="C5898" s="1" t="s">
        <v>4000</v>
      </c>
      <c r="D5898" s="1" t="s">
        <v>4001</v>
      </c>
      <c r="E5898" s="1" t="str">
        <f>"2017/S 0F2-0023310"</f>
        <v>2017/S 0F2-0023310</v>
      </c>
      <c r="F5898" s="1" t="s">
        <v>22</v>
      </c>
      <c r="G5898" s="1" t="str">
        <f>CONCATENATE("ECCOS-INŽENJERING D.O.O.,"," I. PILE 21,"," 10000 ZAGREB,"," OIB: 71629027685")</f>
        <v>ECCOS-INŽENJERING D.O.O., I. PILE 21, 10000 ZAGREB, OIB: 71629027685</v>
      </c>
      <c r="H5898" s="7"/>
      <c r="I5898" s="8" t="s">
        <v>3998</v>
      </c>
      <c r="J5898" s="8" t="s">
        <v>436</v>
      </c>
      <c r="K5898" s="6" t="str">
        <f>"552.140,00"</f>
        <v>552.140,00</v>
      </c>
      <c r="L5898" s="6" t="str">
        <f>"138.035,00"</f>
        <v>138.035,00</v>
      </c>
      <c r="M5898" s="6" t="str">
        <f>"690.175,00"</f>
        <v>690.175,00</v>
      </c>
      <c r="N5898" s="8" t="s">
        <v>3726</v>
      </c>
      <c r="O5898" s="7"/>
      <c r="P5898" s="2" t="s">
        <v>8238</v>
      </c>
      <c r="Q5898" s="7"/>
      <c r="R5898" s="1"/>
      <c r="S5898" s="1" t="str">
        <f>"N-109/17"</f>
        <v>N-109/17</v>
      </c>
      <c r="T5898" s="1" t="s">
        <v>32</v>
      </c>
    </row>
    <row r="5899" spans="1:20" ht="51" x14ac:dyDescent="0.25">
      <c r="A5899" s="6">
        <v>5878</v>
      </c>
      <c r="B5899" s="1" t="str">
        <f>"2017-2698"</f>
        <v>2017-2698</v>
      </c>
      <c r="C5899" s="1" t="s">
        <v>4002</v>
      </c>
      <c r="D5899" s="1" t="s">
        <v>4003</v>
      </c>
      <c r="E5899" s="1" t="str">
        <f>"2017/S F14-0026510"</f>
        <v>2017/S F14-0026510</v>
      </c>
      <c r="F5899" s="1" t="s">
        <v>22</v>
      </c>
      <c r="G5899" s="1" t="str">
        <f>CONCATENATE("COLAS HRVATSKA D.D.,"," MEĐIMURSKA 26,"," 42000 VARAŽDIN,"," OIB: 58701507957")</f>
        <v>COLAS HRVATSKA D.D., MEĐIMURSKA 26, 42000 VARAŽDIN, OIB: 58701507957</v>
      </c>
      <c r="H5899" s="7"/>
      <c r="I5899" s="8" t="s">
        <v>3998</v>
      </c>
      <c r="J5899" s="8" t="s">
        <v>436</v>
      </c>
      <c r="K5899" s="6" t="str">
        <f>"687.838,50"</f>
        <v>687.838,50</v>
      </c>
      <c r="L5899" s="6" t="str">
        <f>"171.959,62"</f>
        <v>171.959,62</v>
      </c>
      <c r="M5899" s="6" t="str">
        <f>"859.798,12"</f>
        <v>859.798,12</v>
      </c>
      <c r="N5899" s="8" t="s">
        <v>4004</v>
      </c>
      <c r="O5899" s="7"/>
      <c r="P5899" s="2" t="s">
        <v>8547</v>
      </c>
      <c r="Q5899" s="7"/>
      <c r="R5899" s="1"/>
      <c r="S5899" s="1" t="str">
        <f>"N-110/17"</f>
        <v>N-110/17</v>
      </c>
      <c r="T5899" s="1" t="s">
        <v>32</v>
      </c>
    </row>
    <row r="5900" spans="1:20" ht="89.25" x14ac:dyDescent="0.25">
      <c r="A5900" s="6">
        <v>5879</v>
      </c>
      <c r="B5900" s="1" t="str">
        <f>"2017-193"</f>
        <v>2017-193</v>
      </c>
      <c r="C5900" s="1" t="s">
        <v>4005</v>
      </c>
      <c r="D5900" s="1" t="s">
        <v>1979</v>
      </c>
      <c r="E5900" s="1" t="str">
        <f>"2017/S 0F2-0020771"</f>
        <v>2017/S 0F2-0020771</v>
      </c>
      <c r="F5900" s="1" t="s">
        <v>22</v>
      </c>
      <c r="G5900" s="1" t="str">
        <f>CONCATENATE("MAŠINOPROJEKT D.O.O.,"," BRAĆE DOMANY 8,"," 10000 ZAGREB,"," OIB: 673908426")</f>
        <v>MAŠINOPROJEKT D.O.O., BRAĆE DOMANY 8, 10000 ZAGREB, OIB: 673908426</v>
      </c>
      <c r="H5900" s="7"/>
      <c r="I5900" s="8" t="s">
        <v>3609</v>
      </c>
      <c r="J5900" s="8" t="s">
        <v>4006</v>
      </c>
      <c r="K5900" s="6" t="str">
        <f>"118.940,00"</f>
        <v>118.940,00</v>
      </c>
      <c r="L5900" s="6" t="str">
        <f>"29.735,00"</f>
        <v>29.735,00</v>
      </c>
      <c r="M5900" s="6" t="str">
        <f>"148.675,00"</f>
        <v>148.675,00</v>
      </c>
      <c r="N5900" s="8" t="s">
        <v>124</v>
      </c>
      <c r="O5900" s="7"/>
      <c r="P5900" s="2" t="s">
        <v>5614</v>
      </c>
      <c r="Q5900" s="7"/>
      <c r="R5900" s="1"/>
      <c r="S5900" s="1" t="str">
        <f>"N-114/17"</f>
        <v>N-114/17</v>
      </c>
      <c r="T5900" s="1" t="s">
        <v>32</v>
      </c>
    </row>
    <row r="5901" spans="1:20" ht="76.5" x14ac:dyDescent="0.25">
      <c r="A5901" s="6">
        <v>5880</v>
      </c>
      <c r="B5901" s="1" t="str">
        <f>"2017-769"</f>
        <v>2017-769</v>
      </c>
      <c r="C5901" s="1" t="s">
        <v>4007</v>
      </c>
      <c r="D5901" s="1" t="s">
        <v>3178</v>
      </c>
      <c r="E5901" s="1" t="str">
        <f>"2017/S 0F2-0023851"</f>
        <v>2017/S 0F2-0023851</v>
      </c>
      <c r="F5901" s="1" t="s">
        <v>22</v>
      </c>
      <c r="G5901" s="1" t="str">
        <f>CONCATENATE("DOLENAC PROMET D.O.O.,"," NAZOROVA 22,"," 44250 PETRINJA,"," OIB: 21780210989")</f>
        <v>DOLENAC PROMET D.O.O., NAZOROVA 22, 44250 PETRINJA, OIB: 21780210989</v>
      </c>
      <c r="H5901" s="7"/>
      <c r="I5901" s="8" t="s">
        <v>210</v>
      </c>
      <c r="J5901" s="8" t="s">
        <v>1972</v>
      </c>
      <c r="K5901" s="6" t="str">
        <f>"19.920,00"</f>
        <v>19.920,00</v>
      </c>
      <c r="L5901" s="6" t="str">
        <f>"4.980,00"</f>
        <v>4.980,00</v>
      </c>
      <c r="M5901" s="6" t="str">
        <f>"24.900,00"</f>
        <v>24.900,00</v>
      </c>
      <c r="N5901" s="8" t="s">
        <v>4008</v>
      </c>
      <c r="O5901" s="7"/>
      <c r="P5901" s="2" t="s">
        <v>8548</v>
      </c>
      <c r="Q5901" s="7"/>
      <c r="R5901" s="1"/>
      <c r="S5901" s="1" t="str">
        <f>"N-118-B/17"</f>
        <v>N-118-B/17</v>
      </c>
      <c r="T5901" s="1" t="s">
        <v>32</v>
      </c>
    </row>
    <row r="5902" spans="1:20" ht="51" x14ac:dyDescent="0.25">
      <c r="A5902" s="6">
        <v>5881</v>
      </c>
      <c r="B5902" s="1" t="str">
        <f>"2017-2900"</f>
        <v>2017-2900</v>
      </c>
      <c r="C5902" s="1" t="s">
        <v>879</v>
      </c>
      <c r="D5902" s="1" t="s">
        <v>880</v>
      </c>
      <c r="E5902" s="1" t="str">
        <f>"2017/S F21-0025880"</f>
        <v>2017/S F21-0025880</v>
      </c>
      <c r="F5902" s="1" t="s">
        <v>22</v>
      </c>
      <c r="G5902" s="1" t="str">
        <f>CONCATENATE("POLIKLINIKA MEDIKOL,"," VOĆARSKA 106,"," 10000 ZAGREB,"," OIB: 5797018162")</f>
        <v>POLIKLINIKA MEDIKOL, VOĆARSKA 106, 10000 ZAGREB, OIB: 5797018162</v>
      </c>
      <c r="H5902" s="7"/>
      <c r="I5902" s="8" t="s">
        <v>4009</v>
      </c>
      <c r="J5902" s="8" t="s">
        <v>4010</v>
      </c>
      <c r="K5902" s="6" t="str">
        <f>"333.320,00"</f>
        <v>333.320,00</v>
      </c>
      <c r="L5902" s="6" t="str">
        <f>"83.330,00"</f>
        <v>83.330,00</v>
      </c>
      <c r="M5902" s="6" t="str">
        <f>"416.650,00"</f>
        <v>416.650,00</v>
      </c>
      <c r="N5902" s="8" t="s">
        <v>3707</v>
      </c>
      <c r="O5902" s="7"/>
      <c r="P5902" s="2" t="s">
        <v>8549</v>
      </c>
      <c r="Q5902" s="7"/>
      <c r="R5902" s="1"/>
      <c r="S5902" s="1" t="str">
        <f>"N-119/17"</f>
        <v>N-119/17</v>
      </c>
      <c r="T5902" s="1" t="s">
        <v>452</v>
      </c>
    </row>
    <row r="5903" spans="1:20" ht="51" x14ac:dyDescent="0.25">
      <c r="A5903" s="6">
        <v>5882</v>
      </c>
      <c r="B5903" s="1" t="str">
        <f>"2017-2892"</f>
        <v>2017-2892</v>
      </c>
      <c r="C5903" s="1" t="s">
        <v>4011</v>
      </c>
      <c r="D5903" s="1" t="s">
        <v>2168</v>
      </c>
      <c r="E5903" s="1" t="str">
        <f>"2017/S 0F2-0024901"</f>
        <v>2017/S 0F2-0024901</v>
      </c>
      <c r="F5903" s="1" t="s">
        <v>22</v>
      </c>
      <c r="G5903" s="1" t="str">
        <f>CONCATENATE("ISPOS D.O.O.,"," KUKOLJINA 9,"," 10090 ZAGREB,",","," OIB: 45279397615")</f>
        <v>ISPOS D.O.O., KUKOLJINA 9, 10090 ZAGREB,, OIB: 45279397615</v>
      </c>
      <c r="H5903" s="7"/>
      <c r="I5903" s="8" t="s">
        <v>4012</v>
      </c>
      <c r="J5903" s="8" t="s">
        <v>1966</v>
      </c>
      <c r="K5903" s="6" t="str">
        <f>"582.368,60"</f>
        <v>582.368,60</v>
      </c>
      <c r="L5903" s="6" t="str">
        <f>"145.592,15"</f>
        <v>145.592,15</v>
      </c>
      <c r="M5903" s="6" t="str">
        <f>"727.960,75"</f>
        <v>727.960,75</v>
      </c>
      <c r="N5903" s="8" t="s">
        <v>4013</v>
      </c>
      <c r="O5903" s="7"/>
      <c r="P5903" s="2" t="s">
        <v>8550</v>
      </c>
      <c r="Q5903" s="7"/>
      <c r="R5903" s="1"/>
      <c r="S5903" s="1" t="str">
        <f>"N-120/17"</f>
        <v>N-120/17</v>
      </c>
      <c r="T5903" s="1" t="s">
        <v>452</v>
      </c>
    </row>
    <row r="5904" spans="1:20" ht="153" x14ac:dyDescent="0.25">
      <c r="A5904" s="6">
        <v>5883</v>
      </c>
      <c r="B5904" s="1" t="str">
        <f>"2017-2963"</f>
        <v>2017-2963</v>
      </c>
      <c r="C5904" s="1" t="s">
        <v>4014</v>
      </c>
      <c r="D5904" s="1" t="s">
        <v>4015</v>
      </c>
      <c r="E5904" s="1" t="str">
        <f>"2017/S 0F2-0027000"</f>
        <v>2017/S 0F2-0027000</v>
      </c>
      <c r="F5904" s="1" t="s">
        <v>22</v>
      </c>
      <c r="G5904" s="1" t="str">
        <f>CONCATENATE("SVEUČILIŠTE U ZAGREBU - ARHITEKTONSKI FAKULTET,"," KAČIĆEVA 26,"," 10000 ZAGREB,"," OIB: 42061107444")</f>
        <v>SVEUČILIŠTE U ZAGREBU - ARHITEKTONSKI FAKULTET, KAČIĆEVA 26, 10000 ZAGREB, OIB: 42061107444</v>
      </c>
      <c r="H5904" s="1"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5904" s="8" t="s">
        <v>235</v>
      </c>
      <c r="J5904" s="8" t="s">
        <v>4016</v>
      </c>
      <c r="K5904" s="6" t="str">
        <f>"370.000,00"</f>
        <v>370.000,00</v>
      </c>
      <c r="L5904" s="6" t="str">
        <f>"92.500,00"</f>
        <v>92.500,00</v>
      </c>
      <c r="M5904" s="6" t="str">
        <f>"462.500,00"</f>
        <v>462.500,00</v>
      </c>
      <c r="N5904" s="8" t="s">
        <v>4017</v>
      </c>
      <c r="O5904" s="7"/>
      <c r="P5904" s="2" t="s">
        <v>8551</v>
      </c>
      <c r="Q5904" s="7"/>
      <c r="R5904" s="1"/>
      <c r="S5904" s="1" t="str">
        <f>"N-126/17"</f>
        <v>N-126/17</v>
      </c>
      <c r="T5904" s="1" t="s">
        <v>32</v>
      </c>
    </row>
    <row r="5905" spans="1:20" ht="204" x14ac:dyDescent="0.25">
      <c r="A5905" s="6">
        <v>5884</v>
      </c>
      <c r="B5905" s="1" t="str">
        <f>"2017-2933"</f>
        <v>2017-2933</v>
      </c>
      <c r="C5905" s="1" t="s">
        <v>4018</v>
      </c>
      <c r="D5905" s="1" t="s">
        <v>2248</v>
      </c>
      <c r="E5905" s="1" t="str">
        <f>"2017/S 0F2-0026950"</f>
        <v>2017/S 0F2-0026950</v>
      </c>
      <c r="F5905" s="1" t="s">
        <v>22</v>
      </c>
      <c r="G5905" s="1"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5905" s="1" t="str">
        <f>CONCATENATE("POSAVEC,"," RAŠICA &amp; LISZT ODVJETNIČKO DRUŠTVO D.O.O.,"," OIB: 7669540523")</f>
        <v>POSAVEC, RAŠICA &amp; LISZT ODVJETNIČKO DRUŠTVO D.O.O., OIB: 7669540523</v>
      </c>
      <c r="I5905" s="8" t="s">
        <v>3835</v>
      </c>
      <c r="J5905" s="8" t="s">
        <v>1954</v>
      </c>
      <c r="K5905" s="6" t="str">
        <f>"4.840.000,00"</f>
        <v>4.840.000,00</v>
      </c>
      <c r="L5905" s="6" t="str">
        <f>"1.210.000,00"</f>
        <v>1.210.000,00</v>
      </c>
      <c r="M5905" s="6" t="str">
        <f>"6.050.000,00"</f>
        <v>6.050.000,00</v>
      </c>
      <c r="N5905" s="8" t="s">
        <v>124</v>
      </c>
      <c r="O5905" s="7"/>
      <c r="P5905" s="2" t="s">
        <v>5614</v>
      </c>
      <c r="Q5905" s="7"/>
      <c r="R5905" s="1"/>
      <c r="S5905" s="1" t="str">
        <f>"N-128/17"</f>
        <v>N-128/17</v>
      </c>
      <c r="T5905" s="1" t="s">
        <v>55</v>
      </c>
    </row>
    <row r="5906" spans="1:20" ht="63.75" x14ac:dyDescent="0.25">
      <c r="A5906" s="6">
        <v>5885</v>
      </c>
      <c r="B5906" s="1" t="str">
        <f>"2017-2623"</f>
        <v>2017-2623</v>
      </c>
      <c r="C5906" s="1" t="s">
        <v>4019</v>
      </c>
      <c r="D5906" s="1" t="s">
        <v>4020</v>
      </c>
      <c r="E5906" s="1" t="str">
        <f>"2017/S 0F2-0027887"</f>
        <v>2017/S 0F2-0027887</v>
      </c>
      <c r="F5906" s="1" t="s">
        <v>22</v>
      </c>
      <c r="G5906" s="1" t="str">
        <f>CONCATENATE("MI MARIS D.O.O.,"," ŽITNA 12,"," 10310 IVANIĆ-GRAD,"," OIB: 38118858399")</f>
        <v>MI MARIS D.O.O., ŽITNA 12, 10310 IVANIĆ-GRAD, OIB: 38118858399</v>
      </c>
      <c r="H5906" s="1" t="str">
        <f>CONCATENATE("GEOKVADRAT D.O.O.,"," OIB: 32319202")</f>
        <v>GEOKVADRAT D.O.O., OIB: 32319202</v>
      </c>
      <c r="I5906" s="8" t="s">
        <v>4021</v>
      </c>
      <c r="J5906" s="8" t="s">
        <v>4022</v>
      </c>
      <c r="K5906" s="6" t="str">
        <f>"5.785.874,55"</f>
        <v>5.785.874,55</v>
      </c>
      <c r="L5906" s="6" t="str">
        <f>"1.446.468,64"</f>
        <v>1.446.468,64</v>
      </c>
      <c r="M5906" s="6" t="str">
        <f>"7.232.343,19"</f>
        <v>7.232.343,19</v>
      </c>
      <c r="N5906" s="8" t="s">
        <v>3913</v>
      </c>
      <c r="O5906" s="7"/>
      <c r="P5906" s="2" t="s">
        <v>8552</v>
      </c>
      <c r="Q5906" s="7"/>
      <c r="R5906" s="1"/>
      <c r="S5906" s="1" t="str">
        <f>"N-132/17"</f>
        <v>N-132/17</v>
      </c>
      <c r="T5906" s="1" t="s">
        <v>32</v>
      </c>
    </row>
    <row r="5907" spans="1:20" ht="51" x14ac:dyDescent="0.25">
      <c r="A5907" s="6">
        <v>5886</v>
      </c>
      <c r="B5907" s="1" t="str">
        <f>"2017-2796"</f>
        <v>2017-2796</v>
      </c>
      <c r="C5907" s="1" t="s">
        <v>4023</v>
      </c>
      <c r="D5907" s="1" t="s">
        <v>867</v>
      </c>
      <c r="E5907" s="1" t="str">
        <f>"2017/S 0F2-0019465"</f>
        <v>2017/S 0F2-0019465</v>
      </c>
      <c r="F5907" s="1" t="s">
        <v>22</v>
      </c>
      <c r="G5907" s="1" t="str">
        <f>CONCATENATE("IKOM D.O.O.,"," KOVINSKA 7,"," 10090 ZAGREB-SUSEDGRAD,"," OIB: 86247075815")</f>
        <v>IKOM D.O.O., KOVINSKA 7, 10090 ZAGREB-SUSEDGRAD, OIB: 86247075815</v>
      </c>
      <c r="H5907" s="7"/>
      <c r="I5907" s="8" t="s">
        <v>3696</v>
      </c>
      <c r="J5907" s="8" t="s">
        <v>511</v>
      </c>
      <c r="K5907" s="6" t="str">
        <f>"904.800,00"</f>
        <v>904.800,00</v>
      </c>
      <c r="L5907" s="6" t="str">
        <f>"226.200,00"</f>
        <v>226.200,00</v>
      </c>
      <c r="M5907" s="6" t="str">
        <f>"1.131.000,00"</f>
        <v>1.131.000,00</v>
      </c>
      <c r="N5907" s="8" t="s">
        <v>124</v>
      </c>
      <c r="O5907" s="7"/>
      <c r="P5907" s="2" t="s">
        <v>5614</v>
      </c>
      <c r="Q5907" s="7"/>
      <c r="R5907" s="1"/>
      <c r="S5907" s="1" t="str">
        <f>"N-141/17"</f>
        <v>N-141/17</v>
      </c>
      <c r="T5907" s="1" t="s">
        <v>452</v>
      </c>
    </row>
    <row r="5908" spans="1:20" ht="165.75" x14ac:dyDescent="0.25">
      <c r="A5908" s="6">
        <v>5887</v>
      </c>
      <c r="B5908" s="1" t="str">
        <f>"2017-345"</f>
        <v>2017-345</v>
      </c>
      <c r="C5908" s="1" t="s">
        <v>4024</v>
      </c>
      <c r="D5908" s="1" t="s">
        <v>1979</v>
      </c>
      <c r="E5908" s="1" t="str">
        <f>"2017/S 0F2-0027549"</f>
        <v>2017/S 0F2-0027549</v>
      </c>
      <c r="F5908" s="1" t="s">
        <v>22</v>
      </c>
      <c r="G5908" s="1"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5908" s="7"/>
      <c r="I5908" s="8" t="s">
        <v>4025</v>
      </c>
      <c r="J5908" s="8" t="s">
        <v>4026</v>
      </c>
      <c r="K5908" s="6" t="str">
        <f>"997.000,00"</f>
        <v>997.000,00</v>
      </c>
      <c r="L5908" s="6" t="str">
        <f>"249.250,00"</f>
        <v>249.250,00</v>
      </c>
      <c r="M5908" s="6" t="str">
        <f>"1.246.250,00"</f>
        <v>1.246.250,00</v>
      </c>
      <c r="N5908" s="8" t="s">
        <v>4027</v>
      </c>
      <c r="O5908" s="7"/>
      <c r="P5908" s="2" t="s">
        <v>8553</v>
      </c>
      <c r="Q5908" s="7"/>
      <c r="R5908" s="1"/>
      <c r="S5908" s="1" t="str">
        <f>"N-146/17"</f>
        <v>N-146/17</v>
      </c>
      <c r="T5908" s="1" t="s">
        <v>55</v>
      </c>
    </row>
    <row r="5909" spans="1:20" ht="395.25" x14ac:dyDescent="0.25">
      <c r="A5909" s="6">
        <v>5888</v>
      </c>
      <c r="B5909" s="1" t="str">
        <f>"2017-2624"</f>
        <v>2017-2624</v>
      </c>
      <c r="C5909" s="1" t="s">
        <v>4028</v>
      </c>
      <c r="D5909" s="1" t="s">
        <v>1979</v>
      </c>
      <c r="E5909" s="1" t="str">
        <f>"2017/S 0F2-0026788"</f>
        <v>2017/S 0F2-0026788</v>
      </c>
      <c r="F5909" s="1" t="s">
        <v>22</v>
      </c>
      <c r="G5909" s="1"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5909" s="7"/>
      <c r="I5909" s="8" t="s">
        <v>4029</v>
      </c>
      <c r="J5909" s="8" t="s">
        <v>4030</v>
      </c>
      <c r="K5909" s="6" t="str">
        <f>"624.900,00"</f>
        <v>624.900,00</v>
      </c>
      <c r="L5909" s="6" t="str">
        <f>"156.225,00"</f>
        <v>156.225,00</v>
      </c>
      <c r="M5909" s="6" t="str">
        <f>"781.125,00"</f>
        <v>781.125,00</v>
      </c>
      <c r="N5909" s="8" t="s">
        <v>124</v>
      </c>
      <c r="O5909" s="7"/>
      <c r="P5909" s="2" t="s">
        <v>5614</v>
      </c>
      <c r="Q5909" s="7"/>
      <c r="R5909" s="1"/>
      <c r="S5909" s="1" t="str">
        <f>"N-149/17"</f>
        <v>N-149/17</v>
      </c>
      <c r="T5909" s="1" t="s">
        <v>55</v>
      </c>
    </row>
    <row r="5910" spans="1:20" ht="102" x14ac:dyDescent="0.25">
      <c r="A5910" s="6">
        <v>5889</v>
      </c>
      <c r="B5910" s="1" t="str">
        <f t="shared" ref="B5910:B5916" si="241">"2017-2778"</f>
        <v>2017-2778</v>
      </c>
      <c r="C5910" s="1" t="s">
        <v>4031</v>
      </c>
      <c r="D5910" s="1" t="s">
        <v>4032</v>
      </c>
      <c r="E5910" s="1" t="str">
        <f t="shared" ref="E5910:E5916" si="242">"2017/S 0F2-0023205"</f>
        <v>2017/S 0F2-0023205</v>
      </c>
      <c r="F5910" s="1" t="s">
        <v>22</v>
      </c>
      <c r="G5910" s="1" t="str">
        <f>CONCATENATE("HIDROPLAN D.O.O.,"," HORVAĆANSKA 17A,"," 10000 ZAGREB,"," OIB: 60793646418")</f>
        <v>HIDROPLAN D.O.O., HORVAĆANSKA 17A, 10000 ZAGREB, OIB: 60793646418</v>
      </c>
      <c r="H5910" s="7"/>
      <c r="I5910" s="8" t="s">
        <v>4033</v>
      </c>
      <c r="J5910" s="8" t="s">
        <v>4034</v>
      </c>
      <c r="K5910" s="6" t="str">
        <f>"35.000,00"</f>
        <v>35.000,00</v>
      </c>
      <c r="L5910" s="6" t="str">
        <f>"8.750,00"</f>
        <v>8.750,00</v>
      </c>
      <c r="M5910" s="6" t="str">
        <f>"43.750,00"</f>
        <v>43.750,00</v>
      </c>
      <c r="N5910" s="8" t="s">
        <v>124</v>
      </c>
      <c r="O5910" s="7"/>
      <c r="P5910" s="2" t="s">
        <v>5614</v>
      </c>
      <c r="Q5910" s="7"/>
      <c r="R5910" s="1"/>
      <c r="S5910" s="1" t="str">
        <f>"N-151-K/17"</f>
        <v>N-151-K/17</v>
      </c>
      <c r="T5910" s="1" t="s">
        <v>32</v>
      </c>
    </row>
    <row r="5911" spans="1:20" ht="114.75" x14ac:dyDescent="0.25">
      <c r="A5911" s="6">
        <v>5890</v>
      </c>
      <c r="B5911" s="1" t="str">
        <f t="shared" si="241"/>
        <v>2017-2778</v>
      </c>
      <c r="C5911" s="1" t="s">
        <v>4035</v>
      </c>
      <c r="D5911" s="1" t="s">
        <v>4032</v>
      </c>
      <c r="E5911" s="1" t="str">
        <f t="shared" si="242"/>
        <v>2017/S 0F2-0023205</v>
      </c>
      <c r="F5911" s="1" t="s">
        <v>22</v>
      </c>
      <c r="G5911" s="1" t="str">
        <f>CONCATENATE("HIDROPLAN D.O.O.,"," HORVAĆANSKA 17A,"," 10000 ZAGREB,"," OIB: 60793646418")</f>
        <v>HIDROPLAN D.O.O., HORVAĆANSKA 17A, 10000 ZAGREB, OIB: 60793646418</v>
      </c>
      <c r="H5911" s="7"/>
      <c r="I5911" s="8" t="s">
        <v>4033</v>
      </c>
      <c r="J5911" s="8" t="s">
        <v>4034</v>
      </c>
      <c r="K5911" s="6" t="str">
        <f>"32.000,00"</f>
        <v>32.000,00</v>
      </c>
      <c r="L5911" s="6" t="str">
        <f>"8.000,00"</f>
        <v>8.000,00</v>
      </c>
      <c r="M5911" s="6" t="str">
        <f>"40.000,00"</f>
        <v>40.000,00</v>
      </c>
      <c r="N5911" s="8" t="s">
        <v>124</v>
      </c>
      <c r="O5911" s="7"/>
      <c r="P5911" s="2" t="s">
        <v>5614</v>
      </c>
      <c r="Q5911" s="7"/>
      <c r="R5911" s="1"/>
      <c r="S5911" s="1" t="str">
        <f>"N-151-L/17"</f>
        <v>N-151-L/17</v>
      </c>
      <c r="T5911" s="1" t="s">
        <v>32</v>
      </c>
    </row>
    <row r="5912" spans="1:20" ht="63.75" x14ac:dyDescent="0.25">
      <c r="A5912" s="6">
        <v>5891</v>
      </c>
      <c r="B5912" s="1" t="str">
        <f t="shared" si="241"/>
        <v>2017-2778</v>
      </c>
      <c r="C5912" s="1" t="s">
        <v>4036</v>
      </c>
      <c r="D5912" s="1" t="s">
        <v>4032</v>
      </c>
      <c r="E5912" s="1" t="str">
        <f t="shared" si="242"/>
        <v>2017/S 0F2-0023205</v>
      </c>
      <c r="F5912" s="1" t="s">
        <v>22</v>
      </c>
      <c r="G5912" s="1" t="str">
        <f>CONCATENATE("RAVNA CRTA D.O.O.,"," POREČKA ULICA 2,"," 10000 ZAGREB,"," OIB: 91007050927")</f>
        <v>RAVNA CRTA D.O.O., POREČKA ULICA 2, 10000 ZAGREB, OIB: 91007050927</v>
      </c>
      <c r="H5912" s="7"/>
      <c r="I5912" s="8" t="s">
        <v>4037</v>
      </c>
      <c r="J5912" s="8" t="s">
        <v>4038</v>
      </c>
      <c r="K5912" s="6" t="str">
        <f>"58.500,00"</f>
        <v>58.500,00</v>
      </c>
      <c r="L5912" s="6" t="str">
        <f>"14.625,00"</f>
        <v>14.625,00</v>
      </c>
      <c r="M5912" s="6" t="str">
        <f>"73.125,00"</f>
        <v>73.125,00</v>
      </c>
      <c r="N5912" s="7"/>
      <c r="O5912" s="9">
        <v>43374</v>
      </c>
      <c r="P5912" s="2" t="s">
        <v>5614</v>
      </c>
      <c r="Q5912" s="7"/>
      <c r="R5912" s="1"/>
      <c r="S5912" s="1" t="str">
        <f>"N-151-N/17"</f>
        <v>N-151-N/17</v>
      </c>
      <c r="T5912" s="1" t="s">
        <v>32</v>
      </c>
    </row>
    <row r="5913" spans="1:20" ht="63.75" x14ac:dyDescent="0.25">
      <c r="A5913" s="6">
        <v>5892</v>
      </c>
      <c r="B5913" s="1" t="str">
        <f t="shared" si="241"/>
        <v>2017-2778</v>
      </c>
      <c r="C5913" s="1" t="s">
        <v>4039</v>
      </c>
      <c r="D5913" s="1" t="s">
        <v>4032</v>
      </c>
      <c r="E5913" s="1" t="str">
        <f t="shared" si="242"/>
        <v>2017/S 0F2-0023205</v>
      </c>
      <c r="F5913" s="1" t="s">
        <v>22</v>
      </c>
      <c r="G5913" s="1" t="str">
        <f>CONCATENATE("RAVNA CRTA D.O.O.,"," POREČKA ULICA 2,"," 10000 ZAGREB,"," OIB: 91007050927")</f>
        <v>RAVNA CRTA D.O.O., POREČKA ULICA 2, 10000 ZAGREB, OIB: 91007050927</v>
      </c>
      <c r="H5913" s="7"/>
      <c r="I5913" s="8" t="s">
        <v>4037</v>
      </c>
      <c r="J5913" s="8" t="s">
        <v>4038</v>
      </c>
      <c r="K5913" s="6" t="str">
        <f>"45.000,00"</f>
        <v>45.000,00</v>
      </c>
      <c r="L5913" s="6" t="str">
        <f>"11.250,00"</f>
        <v>11.250,00</v>
      </c>
      <c r="M5913" s="6" t="str">
        <f>"56.250,00"</f>
        <v>56.250,00</v>
      </c>
      <c r="N5913" s="7"/>
      <c r="O5913" s="9">
        <v>43374</v>
      </c>
      <c r="P5913" s="2" t="s">
        <v>5614</v>
      </c>
      <c r="Q5913" s="7"/>
      <c r="R5913" s="1"/>
      <c r="S5913" s="1" t="str">
        <f>"N-151-O/17"</f>
        <v>N-151-O/17</v>
      </c>
      <c r="T5913" s="1" t="s">
        <v>32</v>
      </c>
    </row>
    <row r="5914" spans="1:20" ht="63.75" x14ac:dyDescent="0.25">
      <c r="A5914" s="6">
        <v>5893</v>
      </c>
      <c r="B5914" s="1" t="str">
        <f t="shared" si="241"/>
        <v>2017-2778</v>
      </c>
      <c r="C5914" s="1" t="s">
        <v>4040</v>
      </c>
      <c r="D5914" s="1" t="s">
        <v>4032</v>
      </c>
      <c r="E5914" s="1" t="str">
        <f t="shared" si="242"/>
        <v>2017/S 0F2-0023205</v>
      </c>
      <c r="F5914" s="1" t="s">
        <v>22</v>
      </c>
      <c r="G5914" s="1" t="str">
        <f>CONCATENATE("RAVNA CRTA D.O.O.,"," POREČKA ULICA 2,"," 10000 ZAGREB,"," OIB: 91007050927")</f>
        <v>RAVNA CRTA D.O.O., POREČKA ULICA 2, 10000 ZAGREB, OIB: 91007050927</v>
      </c>
      <c r="H5914" s="7"/>
      <c r="I5914" s="8" t="s">
        <v>4037</v>
      </c>
      <c r="J5914" s="8" t="s">
        <v>4038</v>
      </c>
      <c r="K5914" s="6" t="str">
        <f>"31.500,00"</f>
        <v>31.500,00</v>
      </c>
      <c r="L5914" s="6" t="str">
        <f>"7.875,00"</f>
        <v>7.875,00</v>
      </c>
      <c r="M5914" s="6" t="str">
        <f>"39.375,00"</f>
        <v>39.375,00</v>
      </c>
      <c r="N5914" s="7"/>
      <c r="O5914" s="9">
        <v>43374</v>
      </c>
      <c r="P5914" s="2" t="s">
        <v>5614</v>
      </c>
      <c r="Q5914" s="7"/>
      <c r="R5914" s="1"/>
      <c r="S5914" s="1" t="str">
        <f>"N-151-P/17"</f>
        <v>N-151-P/17</v>
      </c>
      <c r="T5914" s="1" t="s">
        <v>32</v>
      </c>
    </row>
    <row r="5915" spans="1:20" ht="165.75" x14ac:dyDescent="0.25">
      <c r="A5915" s="6">
        <v>5894</v>
      </c>
      <c r="B5915" s="1" t="str">
        <f t="shared" si="241"/>
        <v>2017-2778</v>
      </c>
      <c r="C5915" s="1" t="s">
        <v>4041</v>
      </c>
      <c r="D5915" s="1" t="s">
        <v>4032</v>
      </c>
      <c r="E5915" s="1" t="str">
        <f t="shared" si="242"/>
        <v>2017/S 0F2-0023205</v>
      </c>
      <c r="F5915" s="1" t="s">
        <v>22</v>
      </c>
      <c r="G5915" s="1"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5915" s="7"/>
      <c r="I5915" s="8" t="s">
        <v>4037</v>
      </c>
      <c r="J5915" s="8" t="s">
        <v>4038</v>
      </c>
      <c r="K5915" s="6" t="str">
        <f>"67.300,00"</f>
        <v>67.300,00</v>
      </c>
      <c r="L5915" s="6" t="str">
        <f>"16.825,00"</f>
        <v>16.825,00</v>
      </c>
      <c r="M5915" s="6" t="str">
        <f>"84.125,00"</f>
        <v>84.125,00</v>
      </c>
      <c r="N5915" s="8" t="s">
        <v>124</v>
      </c>
      <c r="O5915" s="7"/>
      <c r="P5915" s="2" t="s">
        <v>5614</v>
      </c>
      <c r="Q5915" s="7"/>
      <c r="R5915" s="1"/>
      <c r="S5915" s="1" t="str">
        <f>"N-151-X/17"</f>
        <v>N-151-X/17</v>
      </c>
      <c r="T5915" s="1" t="s">
        <v>32</v>
      </c>
    </row>
    <row r="5916" spans="1:20" ht="63.75" x14ac:dyDescent="0.25">
      <c r="A5916" s="6">
        <v>5895</v>
      </c>
      <c r="B5916" s="1" t="str">
        <f t="shared" si="241"/>
        <v>2017-2778</v>
      </c>
      <c r="C5916" s="1" t="s">
        <v>4042</v>
      </c>
      <c r="D5916" s="1" t="s">
        <v>4032</v>
      </c>
      <c r="E5916" s="1" t="str">
        <f t="shared" si="242"/>
        <v>2017/S 0F2-0023205</v>
      </c>
      <c r="F5916" s="1" t="s">
        <v>22</v>
      </c>
      <c r="G5916" s="1" t="str">
        <f>CONCATENATE("OCTUS D.O.O.,"," PRIMORSKA 2/A,"," 10000 ZAGREB,"," OIB: 10812547554")</f>
        <v>OCTUS D.O.O., PRIMORSKA 2/A, 10000 ZAGREB, OIB: 10812547554</v>
      </c>
      <c r="H5916" s="7"/>
      <c r="I5916" s="8" t="s">
        <v>4037</v>
      </c>
      <c r="J5916" s="8" t="s">
        <v>4038</v>
      </c>
      <c r="K5916" s="6" t="str">
        <f>"9.000,00"</f>
        <v>9.000,00</v>
      </c>
      <c r="L5916" s="6" t="str">
        <f>"2.250,00"</f>
        <v>2.250,00</v>
      </c>
      <c r="M5916" s="6" t="str">
        <f>"11.250,00"</f>
        <v>11.250,00</v>
      </c>
      <c r="N5916" s="8" t="s">
        <v>124</v>
      </c>
      <c r="O5916" s="7"/>
      <c r="P5916" s="2" t="s">
        <v>5614</v>
      </c>
      <c r="Q5916" s="7"/>
      <c r="R5916" s="1"/>
      <c r="S5916" s="1" t="str">
        <f>"N-151-Z/17"</f>
        <v>N-151-Z/17</v>
      </c>
      <c r="T5916" s="1" t="s">
        <v>32</v>
      </c>
    </row>
    <row r="5917" spans="1:20" ht="89.25" x14ac:dyDescent="0.25">
      <c r="A5917" s="6">
        <v>5896</v>
      </c>
      <c r="B5917" s="1" t="str">
        <f>"2018-1415"</f>
        <v>2018-1415</v>
      </c>
      <c r="C5917" s="1" t="s">
        <v>4043</v>
      </c>
      <c r="D5917" s="1" t="s">
        <v>174</v>
      </c>
      <c r="E5917" s="1" t="str">
        <f>""</f>
        <v/>
      </c>
      <c r="F5917" s="1" t="s">
        <v>1040</v>
      </c>
      <c r="G5917" s="1" t="str">
        <f>CONCATENATE("ZAGREBAČKI HOLDING D.O.O.,"," PODRUŽNICA ZAGREBAČKE CESTE,"," DONJE SVETICE 48,"," 10000 ZAGREB,"," OIB: 85584865987")</f>
        <v>ZAGREBAČKI HOLDING D.O.O., PODRUŽNICA ZAGREBAČKE CESTE, DONJE SVETICE 48, 10000 ZAGREB, OIB: 85584865987</v>
      </c>
      <c r="H5917" s="7"/>
      <c r="I5917" s="8" t="s">
        <v>4004</v>
      </c>
      <c r="J5917" s="8" t="s">
        <v>4044</v>
      </c>
      <c r="K5917" s="6" t="str">
        <f>"11.591.159,80"</f>
        <v>11.591.159,80</v>
      </c>
      <c r="L5917" s="6" t="str">
        <f>"2.897.789,95"</f>
        <v>2.897.789,95</v>
      </c>
      <c r="M5917" s="6" t="str">
        <f>"14.488.949,75"</f>
        <v>14.488.949,75</v>
      </c>
      <c r="N5917" s="8" t="s">
        <v>4045</v>
      </c>
      <c r="O5917" s="7"/>
      <c r="P5917" s="2" t="s">
        <v>8554</v>
      </c>
      <c r="Q5917" s="7"/>
      <c r="R5917" s="1"/>
      <c r="S5917" s="1" t="str">
        <f>"N-1/18"</f>
        <v>N-1/18</v>
      </c>
      <c r="T5917" s="1" t="s">
        <v>452</v>
      </c>
    </row>
    <row r="5918" spans="1:20" ht="153" x14ac:dyDescent="0.25">
      <c r="A5918" s="6">
        <v>5897</v>
      </c>
      <c r="B5918" s="1" t="str">
        <f>"2018-2880"</f>
        <v>2018-2880</v>
      </c>
      <c r="C5918" s="1" t="s">
        <v>4046</v>
      </c>
      <c r="D5918" s="1" t="s">
        <v>4047</v>
      </c>
      <c r="E5918" s="1" t="str">
        <f>"2018/S 0F2-0005053"</f>
        <v>2018/S 0F2-0005053</v>
      </c>
      <c r="F5918" s="1" t="s">
        <v>22</v>
      </c>
      <c r="G5918" s="1" t="str">
        <f>CONCATENATE("APG-INŽENJERING D.O.O.,"," JOSIPA ZORIĆA 62,"," 10370 DUGO SELO,"," OIB: 94661365298")</f>
        <v>APG-INŽENJERING D.O.O., JOSIPA ZORIĆA 62, 10370 DUGO SELO, OIB: 94661365298</v>
      </c>
      <c r="H5918" s="1"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5918" s="8" t="s">
        <v>4048</v>
      </c>
      <c r="J5918" s="8" t="s">
        <v>4049</v>
      </c>
      <c r="K5918" s="6" t="str">
        <f>"1.093.000,00"</f>
        <v>1.093.000,00</v>
      </c>
      <c r="L5918" s="6" t="str">
        <f>"273.250,00"</f>
        <v>273.250,00</v>
      </c>
      <c r="M5918" s="6" t="str">
        <f>"1.366.250,00"</f>
        <v>1.366.250,00</v>
      </c>
      <c r="N5918" s="8" t="s">
        <v>1119</v>
      </c>
      <c r="O5918" s="7"/>
      <c r="P5918" s="2" t="s">
        <v>8555</v>
      </c>
      <c r="Q5918" s="7"/>
      <c r="R5918" s="1"/>
      <c r="S5918" s="1" t="str">
        <f>"N-2/18"</f>
        <v>N-2/18</v>
      </c>
      <c r="T5918" s="1" t="s">
        <v>32</v>
      </c>
    </row>
    <row r="5919" spans="1:20" ht="51" x14ac:dyDescent="0.25">
      <c r="A5919" s="6">
        <v>5898</v>
      </c>
      <c r="B5919" s="1" t="str">
        <f>"2018-1028"</f>
        <v>2018-1028</v>
      </c>
      <c r="C5919" s="1" t="s">
        <v>832</v>
      </c>
      <c r="D5919" s="1" t="s">
        <v>833</v>
      </c>
      <c r="E5919" s="1" t="str">
        <f>"2018/S 0F2-0010208"</f>
        <v>2018/S 0F2-0010208</v>
      </c>
      <c r="F5919" s="1" t="s">
        <v>22</v>
      </c>
      <c r="G5919" s="1" t="str">
        <f>CONCATENATE("IKOM D.O.O.,"," KOVINSKA 7,"," 10090 ZAGREB-SUSEDGRAD,"," OIB: 86247075815")</f>
        <v>IKOM D.O.O., KOVINSKA 7, 10090 ZAGREB-SUSEDGRAD, OIB: 86247075815</v>
      </c>
      <c r="H5919" s="7"/>
      <c r="I5919" s="8" t="s">
        <v>4050</v>
      </c>
      <c r="J5919" s="8" t="s">
        <v>4051</v>
      </c>
      <c r="K5919" s="6" t="str">
        <f>"387.991,00"</f>
        <v>387.991,00</v>
      </c>
      <c r="L5919" s="6" t="str">
        <f>"96.997,75"</f>
        <v>96.997,75</v>
      </c>
      <c r="M5919" s="6" t="str">
        <f>"484.988,75"</f>
        <v>484.988,75</v>
      </c>
      <c r="N5919" s="8" t="s">
        <v>4052</v>
      </c>
      <c r="O5919" s="7"/>
      <c r="P5919" s="2" t="s">
        <v>8556</v>
      </c>
      <c r="Q5919" s="7"/>
      <c r="R5919" s="1"/>
      <c r="S5919" s="1" t="str">
        <f>"N-4/18"</f>
        <v>N-4/18</v>
      </c>
      <c r="T5919" s="1" t="s">
        <v>452</v>
      </c>
    </row>
    <row r="5920" spans="1:20" ht="89.25" x14ac:dyDescent="0.25">
      <c r="A5920" s="6">
        <v>5899</v>
      </c>
      <c r="B5920" s="1" t="str">
        <f>"2018-2201"</f>
        <v>2018-2201</v>
      </c>
      <c r="C5920" s="1" t="s">
        <v>4053</v>
      </c>
      <c r="D5920" s="1" t="s">
        <v>2068</v>
      </c>
      <c r="E5920" s="1" t="str">
        <f>"2018/S 0F2-0009939"</f>
        <v>2018/S 0F2-0009939</v>
      </c>
      <c r="F5920" s="1" t="s">
        <v>22</v>
      </c>
      <c r="G5920" s="1" t="str">
        <f>CONCATENATE("INSTAL-PROM D.O.O.,"," LJUTOMERSKA 33A,"," 10040 ZAGREB,"," OIB: 21231984689")</f>
        <v>INSTAL-PROM D.O.O., LJUTOMERSKA 33A, 10040 ZAGREB, OIB: 21231984689</v>
      </c>
      <c r="H5920" s="1" t="str">
        <f>CONCATENATE("TEMPORIUM GRADNJA D.O.O.,"," OIB: 62850482681",CHAR(10),"GEO 6 D.O.O.,"," OIB: 56516261347")</f>
        <v>TEMPORIUM GRADNJA D.O.O., OIB: 62850482681
GEO 6 D.O.O., OIB: 56516261347</v>
      </c>
      <c r="I5920" s="8" t="s">
        <v>4050</v>
      </c>
      <c r="J5920" s="8" t="s">
        <v>4051</v>
      </c>
      <c r="K5920" s="6" t="str">
        <f>"789.353,70"</f>
        <v>789.353,70</v>
      </c>
      <c r="L5920" s="6" t="str">
        <f>"197.338,42"</f>
        <v>197.338,42</v>
      </c>
      <c r="M5920" s="6" t="str">
        <f>"986.692,12"</f>
        <v>986.692,12</v>
      </c>
      <c r="N5920" s="8" t="s">
        <v>472</v>
      </c>
      <c r="O5920" s="7"/>
      <c r="P5920" s="2" t="s">
        <v>8557</v>
      </c>
      <c r="Q5920" s="7"/>
      <c r="R5920" s="1"/>
      <c r="S5920" s="1" t="str">
        <f>"N-5/18"</f>
        <v>N-5/18</v>
      </c>
      <c r="T5920" s="1" t="s">
        <v>32</v>
      </c>
    </row>
    <row r="5921" spans="1:20" ht="63.75" x14ac:dyDescent="0.25">
      <c r="A5921" s="6">
        <v>5900</v>
      </c>
      <c r="B5921" s="1" t="str">
        <f>"2018-656"</f>
        <v>2018-656</v>
      </c>
      <c r="C5921" s="1" t="s">
        <v>4054</v>
      </c>
      <c r="D5921" s="1" t="s">
        <v>941</v>
      </c>
      <c r="E5921" s="1" t="str">
        <f>"2018/S 0F2-0010217"</f>
        <v>2018/S 0F2-0010217</v>
      </c>
      <c r="F5921" s="1" t="s">
        <v>22</v>
      </c>
      <c r="G5921" s="1" t="str">
        <f>CONCATENATE("VODOTEHNIKA D.D.,"," KOTURAŠKA CESTA 49,"," 10000 ZAGREB,"," OIB: 1763143132")</f>
        <v>VODOTEHNIKA D.D., KOTURAŠKA CESTA 49, 10000 ZAGREB, OIB: 1763143132</v>
      </c>
      <c r="H5921" s="7"/>
      <c r="I5921" s="8" t="s">
        <v>4055</v>
      </c>
      <c r="J5921" s="8" t="s">
        <v>4056</v>
      </c>
      <c r="K5921" s="6" t="str">
        <f>"1.329.438,67"</f>
        <v>1.329.438,67</v>
      </c>
      <c r="L5921" s="6" t="str">
        <f>"332.359,67"</f>
        <v>332.359,67</v>
      </c>
      <c r="M5921" s="6" t="str">
        <f>"1.661.798,34"</f>
        <v>1.661.798,34</v>
      </c>
      <c r="N5921" s="8" t="s">
        <v>695</v>
      </c>
      <c r="O5921" s="7"/>
      <c r="P5921" s="2" t="s">
        <v>8558</v>
      </c>
      <c r="Q5921" s="7"/>
      <c r="R5921" s="1"/>
      <c r="S5921" s="1" t="str">
        <f>"N-7/18"</f>
        <v>N-7/18</v>
      </c>
      <c r="T5921" s="1" t="s">
        <v>55</v>
      </c>
    </row>
    <row r="5922" spans="1:20" ht="51" x14ac:dyDescent="0.25">
      <c r="A5922" s="6">
        <v>5901</v>
      </c>
      <c r="B5922" s="1" t="str">
        <f>"2018-867"</f>
        <v>2018-867</v>
      </c>
      <c r="C5922" s="1" t="s">
        <v>4057</v>
      </c>
      <c r="D5922" s="1" t="s">
        <v>2068</v>
      </c>
      <c r="E5922" s="1" t="str">
        <f>"2018/S 0F2-0012111"</f>
        <v>2018/S 0F2-0012111</v>
      </c>
      <c r="F5922" s="1" t="s">
        <v>22</v>
      </c>
      <c r="G5922" s="1" t="str">
        <f>CONCATENATE("INSTAL-PROM D.O.O.,"," LJUTOMERSKA 33A,"," 10040 ZAGREB,"," OIB: 21231984689")</f>
        <v>INSTAL-PROM D.O.O., LJUTOMERSKA 33A, 10040 ZAGREB, OIB: 21231984689</v>
      </c>
      <c r="H5922" s="7"/>
      <c r="I5922" s="8" t="s">
        <v>4058</v>
      </c>
      <c r="J5922" s="8" t="s">
        <v>4059</v>
      </c>
      <c r="K5922" s="6" t="str">
        <f>"904.692,29"</f>
        <v>904.692,29</v>
      </c>
      <c r="L5922" s="6" t="str">
        <f>"226.173,07"</f>
        <v>226.173,07</v>
      </c>
      <c r="M5922" s="6" t="str">
        <f>"1.130.865,36"</f>
        <v>1.130.865,36</v>
      </c>
      <c r="N5922" s="8" t="s">
        <v>4060</v>
      </c>
      <c r="O5922" s="7"/>
      <c r="P5922" s="2" t="s">
        <v>8559</v>
      </c>
      <c r="Q5922" s="7"/>
      <c r="R5922" s="1"/>
      <c r="S5922" s="1" t="str">
        <f>"N-8/18"</f>
        <v>N-8/18</v>
      </c>
      <c r="T5922" s="1" t="s">
        <v>55</v>
      </c>
    </row>
    <row r="5923" spans="1:20" ht="89.25" x14ac:dyDescent="0.25">
      <c r="A5923" s="6">
        <v>5902</v>
      </c>
      <c r="B5923" s="1" t="str">
        <f>"2018-133"</f>
        <v>2018-133</v>
      </c>
      <c r="C5923" s="1" t="s">
        <v>4061</v>
      </c>
      <c r="D5923" s="1" t="s">
        <v>2068</v>
      </c>
      <c r="E5923" s="1" t="str">
        <f>"2018/S 0F2-0012139"</f>
        <v>2018/S 0F2-0012139</v>
      </c>
      <c r="F5923" s="1" t="s">
        <v>22</v>
      </c>
      <c r="G5923" s="1" t="str">
        <f>CONCATENATE("INSTAL-PROM D.O.O.,"," LJUTOMERSKA 33A,"," 10040 ZAGREB,"," OIB: 21231984689")</f>
        <v>INSTAL-PROM D.O.O., LJUTOMERSKA 33A, 10040 ZAGREB, OIB: 21231984689</v>
      </c>
      <c r="H5923" s="1" t="str">
        <f>CONCATENATE("TEMPORIUM GRADNJA D.O.O.,"," OIB: 62850482681",CHAR(10),"GEO 6 D.O.O.,"," OIB: 56516261347")</f>
        <v>TEMPORIUM GRADNJA D.O.O., OIB: 62850482681
GEO 6 D.O.O., OIB: 56516261347</v>
      </c>
      <c r="I5923" s="8" t="s">
        <v>4062</v>
      </c>
      <c r="J5923" s="8" t="s">
        <v>4063</v>
      </c>
      <c r="K5923" s="6" t="str">
        <f>"581.617,90"</f>
        <v>581.617,90</v>
      </c>
      <c r="L5923" s="6" t="str">
        <f>"145.404,48"</f>
        <v>145.404,48</v>
      </c>
      <c r="M5923" s="6" t="str">
        <f>"727.022,38"</f>
        <v>727.022,38</v>
      </c>
      <c r="N5923" s="8" t="s">
        <v>3519</v>
      </c>
      <c r="O5923" s="7"/>
      <c r="P5923" s="2" t="s">
        <v>8560</v>
      </c>
      <c r="Q5923" s="7"/>
      <c r="R5923" s="1"/>
      <c r="S5923" s="1" t="str">
        <f>"N-9/18"</f>
        <v>N-9/18</v>
      </c>
      <c r="T5923" s="1" t="s">
        <v>55</v>
      </c>
    </row>
    <row r="5924" spans="1:20" ht="51" x14ac:dyDescent="0.25">
      <c r="A5924" s="6">
        <v>5903</v>
      </c>
      <c r="B5924" s="1" t="str">
        <f>"2018-2738"</f>
        <v>2018-2738</v>
      </c>
      <c r="C5924" s="1" t="s">
        <v>4064</v>
      </c>
      <c r="D5924" s="1" t="s">
        <v>2068</v>
      </c>
      <c r="E5924" s="1" t="str">
        <f>"2018/S 0F2-0012160"</f>
        <v>2018/S 0F2-0012160</v>
      </c>
      <c r="F5924" s="1" t="s">
        <v>22</v>
      </c>
      <c r="G5924" s="1" t="str">
        <f>CONCATENATE("INSTAL-PROM D.O.O.,"," LJUTOMERSKA 33A,"," 10040 ZAGREB,"," OIB: 21231984689")</f>
        <v>INSTAL-PROM D.O.O., LJUTOMERSKA 33A, 10040 ZAGREB, OIB: 21231984689</v>
      </c>
      <c r="H5924" s="7"/>
      <c r="I5924" s="8" t="s">
        <v>4065</v>
      </c>
      <c r="J5924" s="8" t="s">
        <v>4066</v>
      </c>
      <c r="K5924" s="6" t="str">
        <f>"1.090.934,46"</f>
        <v>1.090.934,46</v>
      </c>
      <c r="L5924" s="6" t="str">
        <f>"272.733,62"</f>
        <v>272.733,62</v>
      </c>
      <c r="M5924" s="6" t="str">
        <f>"1.363.668,08"</f>
        <v>1.363.668,08</v>
      </c>
      <c r="N5924" s="8" t="s">
        <v>4067</v>
      </c>
      <c r="O5924" s="7"/>
      <c r="P5924" s="2" t="s">
        <v>8561</v>
      </c>
      <c r="Q5924" s="7"/>
      <c r="R5924" s="1"/>
      <c r="S5924" s="1" t="str">
        <f>"N-11/18"</f>
        <v>N-11/18</v>
      </c>
      <c r="T5924" s="1" t="s">
        <v>55</v>
      </c>
    </row>
    <row r="5925" spans="1:20" ht="51" x14ac:dyDescent="0.25">
      <c r="A5925" s="6">
        <v>5904</v>
      </c>
      <c r="B5925" s="1" t="str">
        <f>"2018-2996"</f>
        <v>2018-2996</v>
      </c>
      <c r="C5925" s="1" t="s">
        <v>4068</v>
      </c>
      <c r="D5925" s="1" t="s">
        <v>4069</v>
      </c>
      <c r="E5925" s="1" t="str">
        <f>"2018/S 0F2-0015963"</f>
        <v>2018/S 0F2-0015963</v>
      </c>
      <c r="F5925" s="1" t="s">
        <v>22</v>
      </c>
      <c r="G5925" s="1" t="str">
        <f>CONCATENATE("GEORAD D.O.O.,"," KORNATSKA 1,"," 10000 ZAGREB,"," OIB: 49756748234")</f>
        <v>GEORAD D.O.O., KORNATSKA 1, 10000 ZAGREB, OIB: 49756748234</v>
      </c>
      <c r="H5925" s="7"/>
      <c r="I5925" s="8" t="s">
        <v>4070</v>
      </c>
      <c r="J5925" s="8" t="s">
        <v>4071</v>
      </c>
      <c r="K5925" s="6" t="str">
        <f>"755.648,00"</f>
        <v>755.648,00</v>
      </c>
      <c r="L5925" s="6" t="str">
        <f>"188.912,00"</f>
        <v>188.912,00</v>
      </c>
      <c r="M5925" s="6" t="str">
        <f>"944.560,00"</f>
        <v>944.560,00</v>
      </c>
      <c r="N5925" s="8" t="s">
        <v>3554</v>
      </c>
      <c r="O5925" s="7"/>
      <c r="P5925" s="2" t="s">
        <v>8562</v>
      </c>
      <c r="Q5925" s="7"/>
      <c r="R5925" s="1"/>
      <c r="S5925" s="1" t="str">
        <f>"N-12/18"</f>
        <v>N-12/18</v>
      </c>
      <c r="T5925" s="1" t="s">
        <v>452</v>
      </c>
    </row>
    <row r="5926" spans="1:20" ht="76.5" x14ac:dyDescent="0.25">
      <c r="A5926" s="6">
        <v>5905</v>
      </c>
      <c r="B5926" s="1" t="str">
        <f>"2018-881"</f>
        <v>2018-881</v>
      </c>
      <c r="C5926" s="1" t="s">
        <v>3886</v>
      </c>
      <c r="D5926" s="1" t="s">
        <v>1438</v>
      </c>
      <c r="E5926" s="1" t="str">
        <f>"2018/S 0F2-0012005"</f>
        <v>2018/S 0F2-0012005</v>
      </c>
      <c r="F5926" s="1" t="s">
        <v>22</v>
      </c>
      <c r="G5926" s="1" t="str">
        <f>CONCATENATE("POLJO-PROM,"," VL. ZLATKO KRIŽANIĆ,"," HRAŠĆE TUROPOLJSKO,"," KRIŽANIĆI 27,"," 10020 ZAGREB-NOVI ZAGREB,"," OIB: 22277452223")</f>
        <v>POLJO-PROM, VL. ZLATKO KRIŽANIĆ, HRAŠĆE TUROPOLJSKO, KRIŽANIĆI 27, 10020 ZAGREB-NOVI ZAGREB, OIB: 22277452223</v>
      </c>
      <c r="H5926" s="7"/>
      <c r="I5926" s="8" t="s">
        <v>4072</v>
      </c>
      <c r="J5926" s="8" t="s">
        <v>4073</v>
      </c>
      <c r="K5926" s="6" t="str">
        <f>"237.837,00"</f>
        <v>237.837,00</v>
      </c>
      <c r="L5926" s="6" t="str">
        <f>"59.459,25"</f>
        <v>59.459,25</v>
      </c>
      <c r="M5926" s="6" t="str">
        <f>"297.296,25"</f>
        <v>297.296,25</v>
      </c>
      <c r="N5926" s="8" t="s">
        <v>4074</v>
      </c>
      <c r="O5926" s="7"/>
      <c r="P5926" s="2" t="s">
        <v>8563</v>
      </c>
      <c r="Q5926" s="7"/>
      <c r="R5926" s="1"/>
      <c r="S5926" s="1" t="str">
        <f>"N-15/18"</f>
        <v>N-15/18</v>
      </c>
      <c r="T5926" s="1" t="s">
        <v>452</v>
      </c>
    </row>
    <row r="5927" spans="1:20" ht="267.75" x14ac:dyDescent="0.25">
      <c r="A5927" s="6">
        <v>5906</v>
      </c>
      <c r="B5927" s="1" t="str">
        <f>"2018-107"</f>
        <v>2018-107</v>
      </c>
      <c r="C5927" s="1" t="s">
        <v>4075</v>
      </c>
      <c r="D5927" s="1" t="s">
        <v>702</v>
      </c>
      <c r="E5927" s="1" t="str">
        <f>"2018/S 0F2-0012925"</f>
        <v>2018/S 0F2-0012925</v>
      </c>
      <c r="F5927" s="1" t="s">
        <v>22</v>
      </c>
      <c r="G5927" s="1"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5927" s="1" t="str">
        <f>CONCATENATE("TEMPORIUM GRADNJA D.O.O.,"," OIB: 62850482681",CHAR(10),"GEO 6 D.O.O.,"," OIB: 56516261347",CHAR(10),"ZAŠTITA-ATEST D.O.O.,"," OIB: 72702911449")</f>
        <v>TEMPORIUM GRADNJA D.O.O., OIB: 62850482681
GEO 6 D.O.O., OIB: 56516261347
ZAŠTITA-ATEST D.O.O., OIB: 72702911449</v>
      </c>
      <c r="I5927" s="8" t="s">
        <v>4076</v>
      </c>
      <c r="J5927" s="8" t="s">
        <v>4077</v>
      </c>
      <c r="K5927" s="6" t="str">
        <f>"1.279.117,00"</f>
        <v>1.279.117,00</v>
      </c>
      <c r="L5927" s="6" t="str">
        <f>"319.779,25"</f>
        <v>319.779,25</v>
      </c>
      <c r="M5927" s="6" t="str">
        <f>"1.598.896,25"</f>
        <v>1.598.896,25</v>
      </c>
      <c r="N5927" s="8" t="s">
        <v>4078</v>
      </c>
      <c r="O5927" s="7"/>
      <c r="P5927" s="2" t="s">
        <v>8564</v>
      </c>
      <c r="Q5927" s="7"/>
      <c r="R5927" s="1"/>
      <c r="S5927" s="1" t="str">
        <f>"N-18/18"</f>
        <v>N-18/18</v>
      </c>
      <c r="T5927" s="1" t="s">
        <v>452</v>
      </c>
    </row>
    <row r="5928" spans="1:20" ht="153" x14ac:dyDescent="0.25">
      <c r="A5928" s="6">
        <v>5907</v>
      </c>
      <c r="B5928" s="1" t="str">
        <f>"2018-596"</f>
        <v>2018-596</v>
      </c>
      <c r="C5928" s="1" t="s">
        <v>4079</v>
      </c>
      <c r="D5928" s="1" t="s">
        <v>702</v>
      </c>
      <c r="E5928" s="1" t="str">
        <f>"2018/S 0F2-0012468"</f>
        <v>2018/S 0F2-0012468</v>
      </c>
      <c r="F5928" s="1" t="s">
        <v>22</v>
      </c>
      <c r="G5928" s="1"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5928" s="7"/>
      <c r="I5928" s="8" t="s">
        <v>4080</v>
      </c>
      <c r="J5928" s="8" t="s">
        <v>4081</v>
      </c>
      <c r="K5928" s="6" t="str">
        <f>"2.959.542,33"</f>
        <v>2.959.542,33</v>
      </c>
      <c r="L5928" s="6" t="str">
        <f>"739.885,58"</f>
        <v>739.885,58</v>
      </c>
      <c r="M5928" s="6" t="str">
        <f>"3.699.427,91"</f>
        <v>3.699.427,91</v>
      </c>
      <c r="N5928" s="8" t="s">
        <v>4082</v>
      </c>
      <c r="O5928" s="7"/>
      <c r="P5928" s="2" t="s">
        <v>8565</v>
      </c>
      <c r="Q5928" s="7"/>
      <c r="R5928" s="1"/>
      <c r="S5928" s="1" t="str">
        <f>"N-19/18"</f>
        <v>N-19/18</v>
      </c>
      <c r="T5928" s="1" t="s">
        <v>452</v>
      </c>
    </row>
    <row r="5929" spans="1:20" ht="51" x14ac:dyDescent="0.25">
      <c r="A5929" s="6">
        <v>5908</v>
      </c>
      <c r="B5929" s="1" t="str">
        <f>"2018-1607"</f>
        <v>2018-1607</v>
      </c>
      <c r="C5929" s="1" t="s">
        <v>4083</v>
      </c>
      <c r="D5929" s="1" t="s">
        <v>941</v>
      </c>
      <c r="E5929" s="1" t="str">
        <f>"2018/S 0F2-0014708"</f>
        <v>2018/S 0F2-0014708</v>
      </c>
      <c r="F5929" s="1" t="s">
        <v>22</v>
      </c>
      <c r="G5929" s="1" t="str">
        <f>CONCATENATE("BK MONTAŽA D.O.O.,"," DORE PEJAČEVIĆ 1,"," 10000 ZAGREB,"," OIB: 80580557122")</f>
        <v>BK MONTAŽA D.O.O., DORE PEJAČEVIĆ 1, 10000 ZAGREB, OIB: 80580557122</v>
      </c>
      <c r="H5929" s="7"/>
      <c r="I5929" s="8" t="s">
        <v>4084</v>
      </c>
      <c r="J5929" s="8" t="s">
        <v>548</v>
      </c>
      <c r="K5929" s="6" t="str">
        <f>"1.474.549,10"</f>
        <v>1.474.549,10</v>
      </c>
      <c r="L5929" s="6" t="str">
        <f>"368.637,28"</f>
        <v>368.637,28</v>
      </c>
      <c r="M5929" s="6" t="str">
        <f>"1.843.186,38"</f>
        <v>1.843.186,38</v>
      </c>
      <c r="N5929" s="7"/>
      <c r="O5929" s="9">
        <v>44022</v>
      </c>
      <c r="P5929" s="2" t="s">
        <v>5614</v>
      </c>
      <c r="Q5929" s="7"/>
      <c r="R5929" s="1"/>
      <c r="S5929" s="1" t="str">
        <f>"N-20/18"</f>
        <v>N-20/18</v>
      </c>
      <c r="T5929" s="1" t="s">
        <v>55</v>
      </c>
    </row>
    <row r="5930" spans="1:20" ht="51" x14ac:dyDescent="0.25">
      <c r="A5930" s="6">
        <v>5909</v>
      </c>
      <c r="B5930" s="1" t="str">
        <f>"2018-1324"</f>
        <v>2018-1324</v>
      </c>
      <c r="C5930" s="1" t="s">
        <v>4085</v>
      </c>
      <c r="D5930" s="1" t="s">
        <v>2068</v>
      </c>
      <c r="E5930" s="1" t="str">
        <f>"2018/S 0F2-0014630"</f>
        <v>2018/S 0F2-0014630</v>
      </c>
      <c r="F5930" s="1" t="s">
        <v>22</v>
      </c>
      <c r="G5930" s="1" t="str">
        <f>CONCATENATE("INSTAL-PROM D.O.O.,"," LJUTOMERSKA 33A,"," 10040 ZAGREB,"," OIB: 21231984689")</f>
        <v>INSTAL-PROM D.O.O., LJUTOMERSKA 33A, 10040 ZAGREB, OIB: 21231984689</v>
      </c>
      <c r="H5930" s="7"/>
      <c r="I5930" s="8" t="s">
        <v>4086</v>
      </c>
      <c r="J5930" s="8" t="s">
        <v>4087</v>
      </c>
      <c r="K5930" s="6" t="str">
        <f>"511.931,70"</f>
        <v>511.931,70</v>
      </c>
      <c r="L5930" s="6" t="str">
        <f>"127.982,92"</f>
        <v>127.982,92</v>
      </c>
      <c r="M5930" s="6" t="str">
        <f>"639.914,62"</f>
        <v>639.914,62</v>
      </c>
      <c r="N5930" s="8" t="s">
        <v>4088</v>
      </c>
      <c r="O5930" s="7"/>
      <c r="P5930" s="2" t="s">
        <v>8566</v>
      </c>
      <c r="Q5930" s="7"/>
      <c r="R5930" s="1"/>
      <c r="S5930" s="1" t="str">
        <f>"N-23/18"</f>
        <v>N-23/18</v>
      </c>
      <c r="T5930" s="1" t="s">
        <v>55</v>
      </c>
    </row>
    <row r="5931" spans="1:20" ht="76.5" x14ac:dyDescent="0.25">
      <c r="A5931" s="6">
        <v>5910</v>
      </c>
      <c r="B5931" s="1" t="str">
        <f>"2018-385"</f>
        <v>2018-385</v>
      </c>
      <c r="C5931" s="1" t="s">
        <v>4089</v>
      </c>
      <c r="D5931" s="1" t="s">
        <v>941</v>
      </c>
      <c r="E5931" s="1" t="str">
        <f>"2018/S 0F2-0014578"</f>
        <v>2018/S 0F2-0014578</v>
      </c>
      <c r="F5931" s="1" t="s">
        <v>22</v>
      </c>
      <c r="G5931" s="1" t="str">
        <f>CONCATENATE("GRADEX &amp; CO D.O.O.,"," PAVLOVEC ZABOČKI,"," PRILAZ DR. FRANJE TUĐMANA 4,"," 49210 ZABOK,"," OIB: 73369080939")</f>
        <v>GRADEX &amp; CO D.O.O., PAVLOVEC ZABOČKI, PRILAZ DR. FRANJE TUĐMANA 4, 49210 ZABOK, OIB: 73369080939</v>
      </c>
      <c r="H5931" s="7"/>
      <c r="I5931" s="8" t="s">
        <v>367</v>
      </c>
      <c r="J5931" s="8" t="s">
        <v>4090</v>
      </c>
      <c r="K5931" s="6" t="str">
        <f>"1.147.164,00"</f>
        <v>1.147.164,00</v>
      </c>
      <c r="L5931" s="6" t="str">
        <f>"286.791,00"</f>
        <v>286.791,00</v>
      </c>
      <c r="M5931" s="6" t="str">
        <f>"1.433.955,00"</f>
        <v>1.433.955,00</v>
      </c>
      <c r="N5931" s="8" t="s">
        <v>4091</v>
      </c>
      <c r="O5931" s="7"/>
      <c r="P5931" s="2" t="s">
        <v>8567</v>
      </c>
      <c r="Q5931" s="7"/>
      <c r="R5931" s="1"/>
      <c r="S5931" s="1" t="str">
        <f>"N-27/18"</f>
        <v>N-27/18</v>
      </c>
      <c r="T5931" s="1" t="s">
        <v>55</v>
      </c>
    </row>
    <row r="5932" spans="1:20" ht="102" x14ac:dyDescent="0.25">
      <c r="A5932" s="6">
        <v>5911</v>
      </c>
      <c r="B5932" s="1" t="str">
        <f>"2018-2985"</f>
        <v>2018-2985</v>
      </c>
      <c r="C5932" s="1" t="s">
        <v>4092</v>
      </c>
      <c r="D5932" s="1" t="s">
        <v>702</v>
      </c>
      <c r="E5932" s="1" t="str">
        <f>"2018/S 0F2-0014303"</f>
        <v>2018/S 0F2-0014303</v>
      </c>
      <c r="F5932" s="1" t="s">
        <v>22</v>
      </c>
      <c r="G5932" s="1"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5932" s="7"/>
      <c r="I5932" s="8" t="s">
        <v>367</v>
      </c>
      <c r="J5932" s="8" t="s">
        <v>4090</v>
      </c>
      <c r="K5932" s="6" t="str">
        <f>"471.226,00"</f>
        <v>471.226,00</v>
      </c>
      <c r="L5932" s="6" t="str">
        <f>"117.806,50"</f>
        <v>117.806,50</v>
      </c>
      <c r="M5932" s="6" t="str">
        <f>"589.032,50"</f>
        <v>589.032,50</v>
      </c>
      <c r="N5932" s="8" t="s">
        <v>3554</v>
      </c>
      <c r="O5932" s="7"/>
      <c r="P5932" s="2" t="s">
        <v>8568</v>
      </c>
      <c r="Q5932" s="7"/>
      <c r="R5932" s="1"/>
      <c r="S5932" s="1" t="str">
        <f>"N-28/18"</f>
        <v>N-28/18</v>
      </c>
      <c r="T5932" s="1" t="s">
        <v>452</v>
      </c>
    </row>
    <row r="5933" spans="1:20" ht="51" x14ac:dyDescent="0.25">
      <c r="A5933" s="6">
        <v>5912</v>
      </c>
      <c r="B5933" s="1" t="str">
        <f>"2018-2989"</f>
        <v>2018-2989</v>
      </c>
      <c r="C5933" s="1" t="s">
        <v>4093</v>
      </c>
      <c r="D5933" s="1" t="s">
        <v>4094</v>
      </c>
      <c r="E5933" s="1" t="str">
        <f>"2018/S 0F2-0015786"</f>
        <v>2018/S 0F2-0015786</v>
      </c>
      <c r="F5933" s="1" t="s">
        <v>22</v>
      </c>
      <c r="G5933" s="1" t="str">
        <f>CONCATENATE("TEH - GRADNJA D.O.O.,"," KSENIJE KANTOCI 3,"," 10000 ZAGREB,"," OIB: 13530191392")</f>
        <v>TEH - GRADNJA D.O.O., KSENIJE KANTOCI 3, 10000 ZAGREB, OIB: 13530191392</v>
      </c>
      <c r="H5933" s="7"/>
      <c r="I5933" s="8" t="s">
        <v>367</v>
      </c>
      <c r="J5933" s="8" t="s">
        <v>4090</v>
      </c>
      <c r="K5933" s="6" t="str">
        <f>"3.747.264,00"</f>
        <v>3.747.264,00</v>
      </c>
      <c r="L5933" s="6" t="str">
        <f>"936.816,00"</f>
        <v>936.816,00</v>
      </c>
      <c r="M5933" s="6" t="str">
        <f>"4.684.080,00"</f>
        <v>4.684.080,00</v>
      </c>
      <c r="N5933" s="8" t="s">
        <v>4095</v>
      </c>
      <c r="O5933" s="7"/>
      <c r="P5933" s="2" t="s">
        <v>8569</v>
      </c>
      <c r="Q5933" s="7"/>
      <c r="R5933" s="1"/>
      <c r="S5933" s="1" t="str">
        <f>"N-29/18"</f>
        <v>N-29/18</v>
      </c>
      <c r="T5933" s="1" t="s">
        <v>32</v>
      </c>
    </row>
    <row r="5934" spans="1:20" ht="63.75" x14ac:dyDescent="0.25">
      <c r="A5934" s="6">
        <v>5913</v>
      </c>
      <c r="B5934" s="1" t="str">
        <f>"2018-2562"</f>
        <v>2018-2562</v>
      </c>
      <c r="C5934" s="1" t="s">
        <v>4096</v>
      </c>
      <c r="D5934" s="1" t="s">
        <v>1109</v>
      </c>
      <c r="E5934" s="1" t="str">
        <f>"2018/S 0F2-0016873"</f>
        <v>2018/S 0F2-0016873</v>
      </c>
      <c r="F5934" s="1" t="s">
        <v>22</v>
      </c>
      <c r="G5934" s="1" t="str">
        <f>CONCATENATE("BUBANJ - NISKOGRADNJA D.O.O.,"," KRUGE 7,"," 10000 ZAGREB,"," OIB: 29539944583")</f>
        <v>BUBANJ - NISKOGRADNJA D.O.O., KRUGE 7, 10000 ZAGREB, OIB: 29539944583</v>
      </c>
      <c r="H5934" s="7"/>
      <c r="I5934" s="8" t="s">
        <v>4097</v>
      </c>
      <c r="J5934" s="8" t="s">
        <v>4098</v>
      </c>
      <c r="K5934" s="6" t="str">
        <f>"9.746.756,50"</f>
        <v>9.746.756,50</v>
      </c>
      <c r="L5934" s="6" t="str">
        <f>"2.436.689,12"</f>
        <v>2.436.689,12</v>
      </c>
      <c r="M5934" s="6" t="str">
        <f>"12.183.445,62"</f>
        <v>12.183.445,62</v>
      </c>
      <c r="N5934" s="8" t="s">
        <v>124</v>
      </c>
      <c r="O5934" s="7"/>
      <c r="P5934" s="2" t="s">
        <v>5614</v>
      </c>
      <c r="Q5934" s="7"/>
      <c r="R5934" s="1"/>
      <c r="S5934" s="1" t="str">
        <f>"N-30/18"</f>
        <v>N-30/18</v>
      </c>
      <c r="T5934" s="1" t="s">
        <v>55</v>
      </c>
    </row>
    <row r="5935" spans="1:20" ht="51" x14ac:dyDescent="0.25">
      <c r="A5935" s="6">
        <v>5914</v>
      </c>
      <c r="B5935" s="1" t="str">
        <f>"2018-789"</f>
        <v>2018-789</v>
      </c>
      <c r="C5935" s="1" t="s">
        <v>4099</v>
      </c>
      <c r="D5935" s="1" t="s">
        <v>2068</v>
      </c>
      <c r="E5935" s="1" t="str">
        <f>"2018/S 0F2-0014299"</f>
        <v>2018/S 0F2-0014299</v>
      </c>
      <c r="F5935" s="1" t="s">
        <v>22</v>
      </c>
      <c r="G5935" s="1" t="str">
        <f>CONCATENATE("INSTAL-PROM D.O.O.,"," LJUTOMERSKA 33A,"," 10040 ZAGREB,"," OIB: 21231984689")</f>
        <v>INSTAL-PROM D.O.O., LJUTOMERSKA 33A, 10040 ZAGREB, OIB: 21231984689</v>
      </c>
      <c r="H5935" s="7"/>
      <c r="I5935" s="8" t="s">
        <v>3725</v>
      </c>
      <c r="J5935" s="8" t="s">
        <v>1990</v>
      </c>
      <c r="K5935" s="6" t="str">
        <f>"1.358.447,85"</f>
        <v>1.358.447,85</v>
      </c>
      <c r="L5935" s="6" t="str">
        <f>"339.611,96"</f>
        <v>339.611,96</v>
      </c>
      <c r="M5935" s="6" t="str">
        <f>"1.698.059,81"</f>
        <v>1.698.059,81</v>
      </c>
      <c r="N5935" s="8" t="s">
        <v>2477</v>
      </c>
      <c r="O5935" s="7"/>
      <c r="P5935" s="2" t="s">
        <v>8570</v>
      </c>
      <c r="Q5935" s="7"/>
      <c r="R5935" s="1"/>
      <c r="S5935" s="1" t="str">
        <f>"N-31/18"</f>
        <v>N-31/18</v>
      </c>
      <c r="T5935" s="1" t="s">
        <v>55</v>
      </c>
    </row>
    <row r="5936" spans="1:20" ht="38.25" x14ac:dyDescent="0.25">
      <c r="A5936" s="6">
        <v>5915</v>
      </c>
      <c r="B5936" s="1" t="str">
        <f>"2018-2981"</f>
        <v>2018-2981</v>
      </c>
      <c r="C5936" s="1" t="s">
        <v>4100</v>
      </c>
      <c r="D5936" s="1" t="s">
        <v>2092</v>
      </c>
      <c r="E5936" s="1" t="str">
        <f>"2018/S 0F2-0022681"</f>
        <v>2018/S 0F2-0022681</v>
      </c>
      <c r="F5936" s="1" t="s">
        <v>22</v>
      </c>
      <c r="G5936" s="1" t="str">
        <f>CONCATENATE("GUT D.O.O.,"," SISAČKA 37,"," 10000 ZAGREB,"," OIB: 9501710522")</f>
        <v>GUT D.O.O., SISAČKA 37, 10000 ZAGREB, OIB: 9501710522</v>
      </c>
      <c r="H5936" s="7"/>
      <c r="I5936" s="8" t="s">
        <v>4101</v>
      </c>
      <c r="J5936" s="8" t="s">
        <v>3526</v>
      </c>
      <c r="K5936" s="6" t="str">
        <f>"1.188.300,00"</f>
        <v>1.188.300,00</v>
      </c>
      <c r="L5936" s="6" t="str">
        <f>"297.075,00"</f>
        <v>297.075,00</v>
      </c>
      <c r="M5936" s="6" t="str">
        <f>"1.485.375,00"</f>
        <v>1.485.375,00</v>
      </c>
      <c r="N5936" s="8" t="s">
        <v>124</v>
      </c>
      <c r="O5936" s="7"/>
      <c r="P5936" s="2" t="s">
        <v>5614</v>
      </c>
      <c r="Q5936" s="7"/>
      <c r="R5936" s="1"/>
      <c r="S5936" s="1" t="str">
        <f>"N-34/18"</f>
        <v>N-34/18</v>
      </c>
      <c r="T5936" s="1" t="s">
        <v>55</v>
      </c>
    </row>
    <row r="5937" spans="1:20" ht="140.25" x14ac:dyDescent="0.25">
      <c r="A5937" s="6">
        <v>5916</v>
      </c>
      <c r="B5937" s="1" t="str">
        <f>"2018-2868"</f>
        <v>2018-2868</v>
      </c>
      <c r="C5937" s="1" t="s">
        <v>4102</v>
      </c>
      <c r="D5937" s="1" t="s">
        <v>1641</v>
      </c>
      <c r="E5937" s="1" t="str">
        <f>"2018/S 0F2-0018368"</f>
        <v>2018/S 0F2-0018368</v>
      </c>
      <c r="F5937" s="1" t="s">
        <v>22</v>
      </c>
      <c r="G5937" s="1" t="str">
        <f>CONCATENATE("PROJECT 4 YOU D.O.O.,"," KLENOVEC 44,"," 10431 SVETA NEDELJA,"," OIB: 330813372")</f>
        <v>PROJECT 4 YOU D.O.O., KLENOVEC 44, 10431 SVETA NEDELJA, OIB: 330813372</v>
      </c>
      <c r="H5937" s="1" t="str">
        <f>CONCATENATE("MI PROJEKTIRAMO VAMA D.O.O.,"," OIB: 53680808571",CHAR(10),"PRONGRAD BIRO D.O.O.,"," OIB: 39036393587",CHAR(10),"GEOLEVEL D.O.O.,"," OIB: 17741185288")</f>
        <v>MI PROJEKTIRAMO VAMA D.O.O., OIB: 53680808571
PRONGRAD BIRO D.O.O., OIB: 39036393587
GEOLEVEL D.O.O., OIB: 17741185288</v>
      </c>
      <c r="I5937" s="8" t="s">
        <v>4097</v>
      </c>
      <c r="J5937" s="8" t="s">
        <v>4098</v>
      </c>
      <c r="K5937" s="6" t="str">
        <f>"87.500,00"</f>
        <v>87.500,00</v>
      </c>
      <c r="L5937" s="6" t="str">
        <f>"21.875,00"</f>
        <v>21.875,00</v>
      </c>
      <c r="M5937" s="6" t="str">
        <f>"109.375,00"</f>
        <v>109.375,00</v>
      </c>
      <c r="N5937" s="8" t="s">
        <v>124</v>
      </c>
      <c r="O5937" s="7"/>
      <c r="P5937" s="2" t="s">
        <v>5614</v>
      </c>
      <c r="Q5937" s="7"/>
      <c r="R5937" s="1"/>
      <c r="S5937" s="1" t="str">
        <f>"N-35/18"</f>
        <v>N-35/18</v>
      </c>
      <c r="T5937" s="1" t="s">
        <v>55</v>
      </c>
    </row>
    <row r="5938" spans="1:20" ht="63.75" x14ac:dyDescent="0.25">
      <c r="A5938" s="6">
        <v>5917</v>
      </c>
      <c r="B5938" s="1" t="str">
        <f>"2018-377"</f>
        <v>2018-377</v>
      </c>
      <c r="C5938" s="1" t="s">
        <v>3678</v>
      </c>
      <c r="D5938" s="1" t="s">
        <v>702</v>
      </c>
      <c r="E5938" s="1" t="str">
        <f>"2018/S 0F2-0026137"</f>
        <v>2018/S 0F2-0026137</v>
      </c>
      <c r="F5938" s="1" t="s">
        <v>22</v>
      </c>
      <c r="G5938" s="1" t="str">
        <f>CONCATENATE("PA-EL D.O.O.,"," DUBROVČAN 33B,"," 49214 VELIKO TRGOVIŠĆE,"," OIB: 5674084932")</f>
        <v>PA-EL D.O.O., DUBROVČAN 33B, 49214 VELIKO TRGOVIŠĆE, OIB: 5674084932</v>
      </c>
      <c r="H5938" s="7"/>
      <c r="I5938" s="8" t="s">
        <v>4103</v>
      </c>
      <c r="J5938" s="8" t="s">
        <v>4104</v>
      </c>
      <c r="K5938" s="6" t="str">
        <f>"1.541.932,50"</f>
        <v>1.541.932,50</v>
      </c>
      <c r="L5938" s="6" t="str">
        <f>"385.483,12"</f>
        <v>385.483,12</v>
      </c>
      <c r="M5938" s="6" t="str">
        <f>"1.927.415,62"</f>
        <v>1.927.415,62</v>
      </c>
      <c r="N5938" s="8" t="s">
        <v>1278</v>
      </c>
      <c r="O5938" s="7"/>
      <c r="P5938" s="2" t="s">
        <v>8571</v>
      </c>
      <c r="Q5938" s="7"/>
      <c r="R5938" s="1"/>
      <c r="S5938" s="1" t="str">
        <f>"N-36/18"</f>
        <v>N-36/18</v>
      </c>
      <c r="T5938" s="1" t="s">
        <v>452</v>
      </c>
    </row>
    <row r="5939" spans="1:20" ht="51" x14ac:dyDescent="0.25">
      <c r="A5939" s="6">
        <v>5918</v>
      </c>
      <c r="B5939" s="1" t="str">
        <f>"2018-2352"</f>
        <v>2018-2352</v>
      </c>
      <c r="C5939" s="1" t="s">
        <v>4105</v>
      </c>
      <c r="D5939" s="1" t="s">
        <v>2132</v>
      </c>
      <c r="E5939" s="1" t="str">
        <f>"2018/S 0F2-0020179"</f>
        <v>2018/S 0F2-0020179</v>
      </c>
      <c r="F5939" s="1" t="s">
        <v>22</v>
      </c>
      <c r="G5939" s="1" t="str">
        <f>CONCATENATE("ANDEL D.O.O.,"," MAJSTORSKA 1/G,"," 10000 ZAGREB,"," OIB: 81891996613")</f>
        <v>ANDEL D.O.O., MAJSTORSKA 1/G, 10000 ZAGREB, OIB: 81891996613</v>
      </c>
      <c r="H5939" s="7"/>
      <c r="I5939" s="8" t="s">
        <v>4106</v>
      </c>
      <c r="J5939" s="8" t="s">
        <v>4107</v>
      </c>
      <c r="K5939" s="6" t="str">
        <f>"1.298.680,00"</f>
        <v>1.298.680,00</v>
      </c>
      <c r="L5939" s="6" t="str">
        <f>"324.670,00"</f>
        <v>324.670,00</v>
      </c>
      <c r="M5939" s="6" t="str">
        <f>"1.623.350,00"</f>
        <v>1.623.350,00</v>
      </c>
      <c r="N5939" s="8" t="s">
        <v>4108</v>
      </c>
      <c r="O5939" s="7"/>
      <c r="P5939" s="2" t="s">
        <v>8572</v>
      </c>
      <c r="Q5939" s="7"/>
      <c r="R5939" s="1"/>
      <c r="S5939" s="1" t="str">
        <f>"N-40/18"</f>
        <v>N-40/18</v>
      </c>
      <c r="T5939" s="1" t="s">
        <v>452</v>
      </c>
    </row>
    <row r="5940" spans="1:20" ht="63.75" x14ac:dyDescent="0.25">
      <c r="A5940" s="6">
        <v>5919</v>
      </c>
      <c r="B5940" s="1" t="str">
        <f>"2018-2983"</f>
        <v>2018-2983</v>
      </c>
      <c r="C5940" s="1" t="s">
        <v>4109</v>
      </c>
      <c r="D5940" s="1" t="s">
        <v>2068</v>
      </c>
      <c r="E5940" s="1" t="str">
        <f>"2018/S 0F2-0016735"</f>
        <v>2018/S 0F2-0016735</v>
      </c>
      <c r="F5940" s="1" t="s">
        <v>22</v>
      </c>
      <c r="G5940" s="1" t="str">
        <f>CONCATENATE("TIGRA D.O.O.,"," IVANIĆGRADSKA 22,"," 10000 ZAGREB,"," OIB: 2983006023")</f>
        <v>TIGRA D.O.O., IVANIĆGRADSKA 22, 10000 ZAGREB, OIB: 2983006023</v>
      </c>
      <c r="H5940" s="1" t="str">
        <f>CONCATENATE("DAGOR D.O.O.,"," OIB: 50966188893")</f>
        <v>DAGOR D.O.O., OIB: 50966188893</v>
      </c>
      <c r="I5940" s="8" t="s">
        <v>3790</v>
      </c>
      <c r="J5940" s="8" t="s">
        <v>4110</v>
      </c>
      <c r="K5940" s="6" t="str">
        <f>"1.684.631,00"</f>
        <v>1.684.631,00</v>
      </c>
      <c r="L5940" s="6" t="str">
        <f>"421.157,75"</f>
        <v>421.157,75</v>
      </c>
      <c r="M5940" s="6" t="str">
        <f>"2.105.788,75"</f>
        <v>2.105.788,75</v>
      </c>
      <c r="N5940" s="8" t="s">
        <v>911</v>
      </c>
      <c r="O5940" s="7"/>
      <c r="P5940" s="2" t="s">
        <v>8573</v>
      </c>
      <c r="Q5940" s="7"/>
      <c r="R5940" s="1"/>
      <c r="S5940" s="1" t="str">
        <f>"N-41/18"</f>
        <v>N-41/18</v>
      </c>
      <c r="T5940" s="1" t="s">
        <v>55</v>
      </c>
    </row>
    <row r="5941" spans="1:20" ht="229.5" x14ac:dyDescent="0.25">
      <c r="A5941" s="6">
        <v>5920</v>
      </c>
      <c r="B5941" s="1" t="str">
        <f>"2018-2496"</f>
        <v>2018-2496</v>
      </c>
      <c r="C5941" s="1" t="s">
        <v>4111</v>
      </c>
      <c r="D5941" s="1" t="s">
        <v>702</v>
      </c>
      <c r="E5941" s="1" t="str">
        <f>"2018/S 0F2-0024744"</f>
        <v>2018/S 0F2-0024744</v>
      </c>
      <c r="F5941" s="1" t="s">
        <v>22</v>
      </c>
      <c r="G5941" s="1"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5941" s="1" t="str">
        <f>CONCATENATE("ZIK D.O.O.,"," OIB: 74121470605",CHAR(10),"GEAMEDITOR D.O.O.,"," OIB: 35959507784",CHAR(10),"PA-EL D.O.O.,"," OIB: 5674084932")</f>
        <v>ZIK D.O.O., OIB: 74121470605
GEAMEDITOR D.O.O., OIB: 35959507784
PA-EL D.O.O., OIB: 5674084932</v>
      </c>
      <c r="I5941" s="8" t="s">
        <v>3971</v>
      </c>
      <c r="J5941" s="8" t="s">
        <v>4045</v>
      </c>
      <c r="K5941" s="6" t="str">
        <f>"859.895,30"</f>
        <v>859.895,30</v>
      </c>
      <c r="L5941" s="6" t="str">
        <f>"214.973,82"</f>
        <v>214.973,82</v>
      </c>
      <c r="M5941" s="6" t="str">
        <f>"1.074.869,12"</f>
        <v>1.074.869,12</v>
      </c>
      <c r="N5941" s="8" t="s">
        <v>2539</v>
      </c>
      <c r="O5941" s="7"/>
      <c r="P5941" s="2" t="s">
        <v>8574</v>
      </c>
      <c r="Q5941" s="7"/>
      <c r="R5941" s="1"/>
      <c r="S5941" s="1" t="str">
        <f>"N-42/18"</f>
        <v>N-42/18</v>
      </c>
      <c r="T5941" s="1" t="s">
        <v>452</v>
      </c>
    </row>
    <row r="5942" spans="1:20" ht="140.25" x14ac:dyDescent="0.25">
      <c r="A5942" s="6">
        <v>5921</v>
      </c>
      <c r="B5942" s="1" t="str">
        <f>"2018-1015"</f>
        <v>2018-1015</v>
      </c>
      <c r="C5942" s="1" t="s">
        <v>4112</v>
      </c>
      <c r="D5942" s="1" t="s">
        <v>1641</v>
      </c>
      <c r="E5942" s="1" t="str">
        <f>"2018/S 0F2-0012098"</f>
        <v>2018/S 0F2-0012098</v>
      </c>
      <c r="F5942" s="1" t="s">
        <v>22</v>
      </c>
      <c r="G5942" s="1"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5942" s="1" t="str">
        <f>CONCATENATE("EPTISA SERVICIOS DE INGENIERIA S.L.,"," OIB: ",CHAR(10),"EPTISA SERVICIOS DE INGENIERIA S.L.,"," OIB: ")</f>
        <v xml:space="preserve">EPTISA SERVICIOS DE INGENIERIA S.L., OIB: 
EPTISA SERVICIOS DE INGENIERIA S.L., OIB: </v>
      </c>
      <c r="I5942" s="8" t="s">
        <v>3971</v>
      </c>
      <c r="J5942" s="8" t="s">
        <v>4045</v>
      </c>
      <c r="K5942" s="6" t="str">
        <f>"159.500,00"</f>
        <v>159.500,00</v>
      </c>
      <c r="L5942" s="6" t="str">
        <f>"39.875,00"</f>
        <v>39.875,00</v>
      </c>
      <c r="M5942" s="6" t="str">
        <f>"199.375,00"</f>
        <v>199.375,00</v>
      </c>
      <c r="N5942" s="8" t="s">
        <v>4113</v>
      </c>
      <c r="O5942" s="7"/>
      <c r="P5942" s="2" t="s">
        <v>7720</v>
      </c>
      <c r="Q5942" s="7"/>
      <c r="R5942" s="1"/>
      <c r="S5942" s="1" t="str">
        <f>"N-43-A/18"</f>
        <v>N-43-A/18</v>
      </c>
      <c r="T5942" s="1" t="s">
        <v>452</v>
      </c>
    </row>
    <row r="5943" spans="1:20" ht="153" x14ac:dyDescent="0.25">
      <c r="A5943" s="6">
        <v>5922</v>
      </c>
      <c r="B5943" s="1" t="str">
        <f>"2018-1015"</f>
        <v>2018-1015</v>
      </c>
      <c r="C5943" s="1" t="s">
        <v>4114</v>
      </c>
      <c r="D5943" s="1" t="s">
        <v>1641</v>
      </c>
      <c r="E5943" s="1" t="str">
        <f>"2018/S 0F2-0012098"</f>
        <v>2018/S 0F2-0012098</v>
      </c>
      <c r="F5943" s="1" t="s">
        <v>22</v>
      </c>
      <c r="G5943" s="1"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5943" s="1" t="str">
        <f>CONCATENATE("EPTISA SERVICIOS DE INGENIERIA S.L.,"," OIB: ",CHAR(10),"EPTISA SERVICIOS DE INGENIERIA S.L.,"," OIB: ")</f>
        <v xml:space="preserve">EPTISA SERVICIOS DE INGENIERIA S.L., OIB: 
EPTISA SERVICIOS DE INGENIERIA S.L., OIB: </v>
      </c>
      <c r="I5943" s="8" t="s">
        <v>4045</v>
      </c>
      <c r="J5943" s="8" t="s">
        <v>4115</v>
      </c>
      <c r="K5943" s="6" t="str">
        <f>"42.000,00"</f>
        <v>42.000,00</v>
      </c>
      <c r="L5943" s="6" t="str">
        <f>"10.500,00"</f>
        <v>10.500,00</v>
      </c>
      <c r="M5943" s="6" t="str">
        <f>"52.500,00"</f>
        <v>52.500,00</v>
      </c>
      <c r="N5943" s="8" t="s">
        <v>4116</v>
      </c>
      <c r="O5943" s="7"/>
      <c r="P5943" s="2" t="s">
        <v>8575</v>
      </c>
      <c r="Q5943" s="7"/>
      <c r="R5943" s="1"/>
      <c r="S5943" s="1" t="str">
        <f>"N-43-C/18"</f>
        <v>N-43-C/18</v>
      </c>
      <c r="T5943" s="1" t="s">
        <v>452</v>
      </c>
    </row>
    <row r="5944" spans="1:20" ht="51" x14ac:dyDescent="0.25">
      <c r="A5944" s="6">
        <v>5923</v>
      </c>
      <c r="B5944" s="1" t="str">
        <f>"2018-910"</f>
        <v>2018-910</v>
      </c>
      <c r="C5944" s="1" t="s">
        <v>2117</v>
      </c>
      <c r="D5944" s="1" t="s">
        <v>2118</v>
      </c>
      <c r="E5944" s="1" t="str">
        <f>"2018/S 0F2-0027865"</f>
        <v>2018/S 0F2-0027865</v>
      </c>
      <c r="F5944" s="1" t="s">
        <v>22</v>
      </c>
      <c r="G5944" s="1" t="str">
        <f>CONCATENATE("HOLOSYS D.O.O.,"," KOVINSKA 4 A,"," 10000 ZAGREB,"," OIB: 79084286928")</f>
        <v>HOLOSYS D.O.O., KOVINSKA 4 A, 10000 ZAGREB, OIB: 79084286928</v>
      </c>
      <c r="H5944" s="7"/>
      <c r="I5944" s="8" t="s">
        <v>3554</v>
      </c>
      <c r="J5944" s="8" t="s">
        <v>4117</v>
      </c>
      <c r="K5944" s="6" t="str">
        <f>"1.268.770,82"</f>
        <v>1.268.770,82</v>
      </c>
      <c r="L5944" s="6" t="str">
        <f>"317.192,70"</f>
        <v>317.192,70</v>
      </c>
      <c r="M5944" s="6" t="str">
        <f>"1.585.963,52"</f>
        <v>1.585.963,52</v>
      </c>
      <c r="N5944" s="8" t="s">
        <v>4118</v>
      </c>
      <c r="O5944" s="7"/>
      <c r="P5944" s="2" t="s">
        <v>8576</v>
      </c>
      <c r="Q5944" s="7"/>
      <c r="R5944" s="1"/>
      <c r="S5944" s="1" t="str">
        <f>"N-44/18"</f>
        <v>N-44/18</v>
      </c>
      <c r="T5944" s="1" t="s">
        <v>452</v>
      </c>
    </row>
    <row r="5945" spans="1:20" ht="51" x14ac:dyDescent="0.25">
      <c r="A5945" s="6">
        <v>5924</v>
      </c>
      <c r="B5945" s="1" t="str">
        <f>"2018-191"</f>
        <v>2018-191</v>
      </c>
      <c r="C5945" s="1" t="s">
        <v>4119</v>
      </c>
      <c r="D5945" s="1" t="s">
        <v>1833</v>
      </c>
      <c r="E5945" s="1" t="str">
        <f>"2018/S 0F2-0023720"</f>
        <v>2018/S 0F2-0023720</v>
      </c>
      <c r="F5945" s="1" t="s">
        <v>22</v>
      </c>
      <c r="G5945" s="1" t="str">
        <f>CONCATENATE("BENUSSI D. O. O.,"," FAŽANSKA CESTA 86,"," 52212 FAŽANA,"," OIB: 87971197112")</f>
        <v>BENUSSI D. O. O., FAŽANSKA CESTA 86, 52212 FAŽANA, OIB: 87971197112</v>
      </c>
      <c r="H5945" s="7"/>
      <c r="I5945" s="8" t="s">
        <v>3974</v>
      </c>
      <c r="J5945" s="8" t="s">
        <v>603</v>
      </c>
      <c r="K5945" s="6" t="str">
        <f>"690.000,00"</f>
        <v>690.000,00</v>
      </c>
      <c r="L5945" s="6" t="str">
        <f>"172.500,00"</f>
        <v>172.500,00</v>
      </c>
      <c r="M5945" s="6" t="str">
        <f>"862.500,00"</f>
        <v>862.500,00</v>
      </c>
      <c r="N5945" s="8" t="s">
        <v>124</v>
      </c>
      <c r="O5945" s="7"/>
      <c r="P5945" s="2" t="s">
        <v>5614</v>
      </c>
      <c r="Q5945" s="7"/>
      <c r="R5945" s="1"/>
      <c r="S5945" s="1" t="str">
        <f>"N-47/18"</f>
        <v>N-47/18</v>
      </c>
      <c r="T5945" s="1" t="s">
        <v>55</v>
      </c>
    </row>
    <row r="5946" spans="1:20" ht="63.75" x14ac:dyDescent="0.25">
      <c r="A5946" s="6">
        <v>5925</v>
      </c>
      <c r="B5946" s="1" t="str">
        <f>"2018-1192"</f>
        <v>2018-1192</v>
      </c>
      <c r="C5946" s="1" t="s">
        <v>859</v>
      </c>
      <c r="D5946" s="1" t="s">
        <v>860</v>
      </c>
      <c r="E5946" s="1" t="str">
        <f>"2018/S 0F2-0017998"</f>
        <v>2018/S 0F2-0017998</v>
      </c>
      <c r="F5946" s="1" t="s">
        <v>22</v>
      </c>
      <c r="G5946" s="1" t="str">
        <f>CONCATENATE("MONTER-STROJARSKE MONTAŽE D.D.,"," VELIMIRA ŠKORPIKA 28,"," 10000 ZAGREB,"," OIB: 13887374452")</f>
        <v>MONTER-STROJARSKE MONTAŽE D.D., VELIMIRA ŠKORPIKA 28, 10000 ZAGREB, OIB: 13887374452</v>
      </c>
      <c r="H5946" s="7"/>
      <c r="I5946" s="8" t="s">
        <v>3669</v>
      </c>
      <c r="J5946" s="8" t="s">
        <v>4120</v>
      </c>
      <c r="K5946" s="6" t="str">
        <f>"262.676,90"</f>
        <v>262.676,90</v>
      </c>
      <c r="L5946" s="6" t="str">
        <f>"65.669,22"</f>
        <v>65.669,22</v>
      </c>
      <c r="M5946" s="6" t="str">
        <f>"328.346,12"</f>
        <v>328.346,12</v>
      </c>
      <c r="N5946" s="8" t="s">
        <v>4117</v>
      </c>
      <c r="O5946" s="7"/>
      <c r="P5946" s="2" t="s">
        <v>8577</v>
      </c>
      <c r="Q5946" s="7"/>
      <c r="R5946" s="1"/>
      <c r="S5946" s="1" t="str">
        <f>"N-48/18"</f>
        <v>N-48/18</v>
      </c>
      <c r="T5946" s="1" t="s">
        <v>452</v>
      </c>
    </row>
    <row r="5947" spans="1:20" ht="38.25" x14ac:dyDescent="0.25">
      <c r="A5947" s="6">
        <v>5926</v>
      </c>
      <c r="B5947" s="1" t="str">
        <f>"2018-3087"</f>
        <v>2018-3087</v>
      </c>
      <c r="C5947" s="1" t="s">
        <v>4121</v>
      </c>
      <c r="D5947" s="1" t="s">
        <v>1803</v>
      </c>
      <c r="E5947" s="1" t="str">
        <f>"2018/S 0F2-0028271"</f>
        <v>2018/S 0F2-0028271</v>
      </c>
      <c r="F5947" s="1" t="s">
        <v>22</v>
      </c>
      <c r="G5947" s="1" t="str">
        <f>CONCATENATE("TOME D.O.O.,"," PRIKEŠTE 14,"," 51513 OMIŠALJ,"," OIB: 2682345072")</f>
        <v>TOME D.O.O., PRIKEŠTE 14, 51513 OMIŠALJ, OIB: 2682345072</v>
      </c>
      <c r="H5947" s="7"/>
      <c r="I5947" s="8" t="s">
        <v>3554</v>
      </c>
      <c r="J5947" s="8" t="s">
        <v>4117</v>
      </c>
      <c r="K5947" s="6" t="str">
        <f>"1.264.420,00"</f>
        <v>1.264.420,00</v>
      </c>
      <c r="L5947" s="6" t="str">
        <f>"316.105,00"</f>
        <v>316.105,00</v>
      </c>
      <c r="M5947" s="6" t="str">
        <f>"1.580.525,00"</f>
        <v>1.580.525,00</v>
      </c>
      <c r="N5947" s="8" t="s">
        <v>3555</v>
      </c>
      <c r="O5947" s="7"/>
      <c r="P5947" s="2" t="s">
        <v>8578</v>
      </c>
      <c r="Q5947" s="7"/>
      <c r="R5947" s="1"/>
      <c r="S5947" s="1" t="str">
        <f>"N-49/18"</f>
        <v>N-49/18</v>
      </c>
      <c r="T5947" s="1" t="s">
        <v>32</v>
      </c>
    </row>
    <row r="5948" spans="1:20" ht="51" x14ac:dyDescent="0.25">
      <c r="A5948" s="6">
        <v>5927</v>
      </c>
      <c r="B5948" s="1" t="str">
        <f>"2018-2019"</f>
        <v>2018-2019</v>
      </c>
      <c r="C5948" s="1" t="s">
        <v>4122</v>
      </c>
      <c r="D5948" s="1" t="s">
        <v>941</v>
      </c>
      <c r="E5948" s="1" t="str">
        <f>"2018/S 0F2-0024143"</f>
        <v>2018/S 0F2-0024143</v>
      </c>
      <c r="F5948" s="1" t="s">
        <v>22</v>
      </c>
      <c r="G5948" s="1" t="str">
        <f>CONCATENATE("GEORAD D.O.O.,"," KORNATSKA 1,"," 10000 ZAGREB,"," OIB: 49756748234")</f>
        <v>GEORAD D.O.O., KORNATSKA 1, 10000 ZAGREB, OIB: 49756748234</v>
      </c>
      <c r="H5948" s="7"/>
      <c r="I5948" s="8" t="s">
        <v>3974</v>
      </c>
      <c r="J5948" s="8" t="s">
        <v>603</v>
      </c>
      <c r="K5948" s="6" t="str">
        <f>"4.336.034,60"</f>
        <v>4.336.034,60</v>
      </c>
      <c r="L5948" s="6" t="str">
        <f>"1.084.008,65"</f>
        <v>1.084.008,65</v>
      </c>
      <c r="M5948" s="6" t="str">
        <f>"5.420.043,25"</f>
        <v>5.420.043,25</v>
      </c>
      <c r="N5948" s="8" t="s">
        <v>4123</v>
      </c>
      <c r="O5948" s="7"/>
      <c r="P5948" s="2" t="s">
        <v>8579</v>
      </c>
      <c r="Q5948" s="7"/>
      <c r="R5948" s="1"/>
      <c r="S5948" s="1" t="str">
        <f>"N-51/18"</f>
        <v>N-51/18</v>
      </c>
      <c r="T5948" s="1" t="s">
        <v>55</v>
      </c>
    </row>
    <row r="5949" spans="1:20" ht="76.5" x14ac:dyDescent="0.25">
      <c r="A5949" s="6">
        <v>5928</v>
      </c>
      <c r="B5949" s="1" t="str">
        <f>"2018-1243"</f>
        <v>2018-1243</v>
      </c>
      <c r="C5949" s="1" t="s">
        <v>4124</v>
      </c>
      <c r="D5949" s="1" t="s">
        <v>1979</v>
      </c>
      <c r="E5949" s="1" t="str">
        <f>"2018/S 0F2-0024093"</f>
        <v>2018/S 0F2-0024093</v>
      </c>
      <c r="F5949" s="1" t="s">
        <v>22</v>
      </c>
      <c r="G5949" s="1" t="str">
        <f>CONCATENATE("APZ HIDRIA D.O.O.,"," ZAGREBAČKA 233,"," 10000 ZAGREB,"," OIB: 76901428643")</f>
        <v>APZ HIDRIA D.O.O., ZAGREBAČKA 233, 10000 ZAGREB, OIB: 76901428643</v>
      </c>
      <c r="H5949" s="1" t="str">
        <f>CONCATENATE("FLAMIT D.O.O.,"," OIB: 84050612509")</f>
        <v>FLAMIT D.O.O., OIB: 84050612509</v>
      </c>
      <c r="I5949" s="8" t="s">
        <v>3554</v>
      </c>
      <c r="J5949" s="8" t="s">
        <v>4117</v>
      </c>
      <c r="K5949" s="6" t="str">
        <f>"142.500,00"</f>
        <v>142.500,00</v>
      </c>
      <c r="L5949" s="6" t="str">
        <f>"35.625,00"</f>
        <v>35.625,00</v>
      </c>
      <c r="M5949" s="6" t="str">
        <f>"178.125,00"</f>
        <v>178.125,00</v>
      </c>
      <c r="N5949" s="8" t="s">
        <v>124</v>
      </c>
      <c r="O5949" s="7"/>
      <c r="P5949" s="2" t="s">
        <v>5614</v>
      </c>
      <c r="Q5949" s="7"/>
      <c r="R5949" s="1"/>
      <c r="S5949" s="1" t="str">
        <f>"N-53/18"</f>
        <v>N-53/18</v>
      </c>
      <c r="T5949" s="1" t="s">
        <v>55</v>
      </c>
    </row>
    <row r="5950" spans="1:20" ht="165.75" x14ac:dyDescent="0.25">
      <c r="A5950" s="6">
        <v>5929</v>
      </c>
      <c r="B5950" s="1" t="str">
        <f>"2018-95"</f>
        <v>2018-95</v>
      </c>
      <c r="C5950" s="1" t="s">
        <v>4125</v>
      </c>
      <c r="D5950" s="1" t="s">
        <v>1979</v>
      </c>
      <c r="E5950" s="1" t="str">
        <f>"2018/S 0F2-0017352"</f>
        <v>2018/S 0F2-0017352</v>
      </c>
      <c r="F5950" s="1" t="s">
        <v>22</v>
      </c>
      <c r="G5950" s="1"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5950" s="7"/>
      <c r="I5950" s="8" t="s">
        <v>3976</v>
      </c>
      <c r="J5950" s="8" t="s">
        <v>4126</v>
      </c>
      <c r="K5950" s="6" t="str">
        <f>"138.000,00"</f>
        <v>138.000,00</v>
      </c>
      <c r="L5950" s="6" t="str">
        <f>"34.500,00"</f>
        <v>34.500,00</v>
      </c>
      <c r="M5950" s="6" t="str">
        <f>"172.500,00"</f>
        <v>172.500,00</v>
      </c>
      <c r="N5950" s="8" t="s">
        <v>124</v>
      </c>
      <c r="O5950" s="7"/>
      <c r="P5950" s="2" t="s">
        <v>5614</v>
      </c>
      <c r="Q5950" s="7"/>
      <c r="R5950" s="1"/>
      <c r="S5950" s="1" t="str">
        <f>"N-54/18"</f>
        <v>N-54/18</v>
      </c>
      <c r="T5950" s="1" t="s">
        <v>55</v>
      </c>
    </row>
    <row r="5951" spans="1:20" ht="89.25" x14ac:dyDescent="0.25">
      <c r="A5951" s="6">
        <v>5930</v>
      </c>
      <c r="B5951" s="1" t="str">
        <f>"2018-3092"</f>
        <v>2018-3092</v>
      </c>
      <c r="C5951" s="1" t="s">
        <v>4127</v>
      </c>
      <c r="D5951" s="1" t="s">
        <v>1914</v>
      </c>
      <c r="E5951" s="1" t="str">
        <f>"2018/S 0F2-0029570"</f>
        <v>2018/S 0F2-0029570</v>
      </c>
      <c r="F5951" s="1" t="s">
        <v>22</v>
      </c>
      <c r="G5951" s="1" t="str">
        <f>CONCATENATE("Zajednica ponuditelja",CHAR(10),"TEHNOMODELI D.O.O.,"," ,"," OIB: 10698571703DRVNI CENTAR FILO,"," VL. MIRO FILO ,"," OIB: 40066604624")</f>
        <v>Zajednica ponuditelja
TEHNOMODELI D.O.O., , OIB: 10698571703DRVNI CENTAR FILO, VL. MIRO FILO , OIB: 40066604624</v>
      </c>
      <c r="H5951" s="7"/>
      <c r="I5951" s="8" t="s">
        <v>4128</v>
      </c>
      <c r="J5951" s="8" t="s">
        <v>4129</v>
      </c>
      <c r="K5951" s="6" t="str">
        <f>"1.399.998,00"</f>
        <v>1.399.998,00</v>
      </c>
      <c r="L5951" s="6" t="str">
        <f>"349.999,50"</f>
        <v>349.999,50</v>
      </c>
      <c r="M5951" s="6" t="str">
        <f>"1.749.997,50"</f>
        <v>1.749.997,50</v>
      </c>
      <c r="N5951" s="8" t="s">
        <v>4130</v>
      </c>
      <c r="O5951" s="7"/>
      <c r="P5951" s="2" t="s">
        <v>8580</v>
      </c>
      <c r="Q5951" s="7"/>
      <c r="R5951" s="1"/>
      <c r="S5951" s="1" t="str">
        <f>"N-55/18"</f>
        <v>N-55/18</v>
      </c>
      <c r="T5951" s="1" t="s">
        <v>32</v>
      </c>
    </row>
    <row r="5952" spans="1:20" ht="76.5" x14ac:dyDescent="0.25">
      <c r="A5952" s="6">
        <v>5931</v>
      </c>
      <c r="B5952" s="1" t="str">
        <f>"2018-1431"</f>
        <v>2018-1431</v>
      </c>
      <c r="C5952" s="1" t="s">
        <v>4131</v>
      </c>
      <c r="D5952" s="1" t="s">
        <v>1979</v>
      </c>
      <c r="E5952" s="1" t="str">
        <f>""</f>
        <v/>
      </c>
      <c r="F5952" s="1" t="s">
        <v>22</v>
      </c>
      <c r="G5952" s="1" t="str">
        <f>CONCATENATE("DIPPOLD &amp; GEROLD-HIDROPROJEKT 91 D.O.O.,"," DESPRIMSKA 8,"," 10257 BREZOVICA,"," OIB: 89365215003")</f>
        <v>DIPPOLD &amp; GEROLD-HIDROPROJEKT 91 D.O.O., DESPRIMSKA 8, 10257 BREZOVICA, OIB: 89365215003</v>
      </c>
      <c r="H5952" s="1" t="str">
        <f>CONCATENATE("EDC D.O.O.,"," OIB: 12739203610",CHAR(10),"FLAMIT D.O.O.,"," OIB: 84050612509")</f>
        <v>EDC D.O.O., OIB: 12739203610
FLAMIT D.O.O., OIB: 84050612509</v>
      </c>
      <c r="I5952" s="8" t="s">
        <v>4132</v>
      </c>
      <c r="J5952" s="8" t="s">
        <v>2281</v>
      </c>
      <c r="K5952" s="6" t="str">
        <f>"116.700,00"</f>
        <v>116.700,00</v>
      </c>
      <c r="L5952" s="6" t="str">
        <f>"29.175,00"</f>
        <v>29.175,00</v>
      </c>
      <c r="M5952" s="6" t="str">
        <f>"145.875,00"</f>
        <v>145.875,00</v>
      </c>
      <c r="N5952" s="8" t="s">
        <v>124</v>
      </c>
      <c r="O5952" s="7"/>
      <c r="P5952" s="2" t="s">
        <v>5614</v>
      </c>
      <c r="Q5952" s="7"/>
      <c r="R5952" s="1"/>
      <c r="S5952" s="1" t="str">
        <f>"N-56/18"</f>
        <v>N-56/18</v>
      </c>
      <c r="T5952" s="1" t="s">
        <v>55</v>
      </c>
    </row>
    <row r="5953" spans="1:20" ht="216.75" x14ac:dyDescent="0.25">
      <c r="A5953" s="6">
        <v>5932</v>
      </c>
      <c r="B5953" s="1" t="str">
        <f>"2018-3070"</f>
        <v>2018-3070</v>
      </c>
      <c r="C5953" s="1" t="s">
        <v>4133</v>
      </c>
      <c r="D5953" s="1" t="s">
        <v>702</v>
      </c>
      <c r="E5953" s="1" t="str">
        <f>"2018/S 0F2-0026977"</f>
        <v>2018/S 0F2-0026977</v>
      </c>
      <c r="F5953" s="1" t="s">
        <v>22</v>
      </c>
      <c r="G5953" s="1"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5953" s="7"/>
      <c r="I5953" s="8" t="s">
        <v>4132</v>
      </c>
      <c r="J5953" s="8" t="s">
        <v>2257</v>
      </c>
      <c r="K5953" s="6" t="str">
        <f>"4.619.291,50"</f>
        <v>4.619.291,50</v>
      </c>
      <c r="L5953" s="6" t="str">
        <f>"1.154.822,88"</f>
        <v>1.154.822,88</v>
      </c>
      <c r="M5953" s="6" t="str">
        <f>"5.774.114,38"</f>
        <v>5.774.114,38</v>
      </c>
      <c r="N5953" s="8" t="s">
        <v>4056</v>
      </c>
      <c r="O5953" s="7"/>
      <c r="P5953" s="2" t="s">
        <v>8581</v>
      </c>
      <c r="Q5953" s="7"/>
      <c r="R5953" s="1"/>
      <c r="S5953" s="1" t="str">
        <f>"N-57/18"</f>
        <v>N-57/18</v>
      </c>
      <c r="T5953" s="1" t="s">
        <v>452</v>
      </c>
    </row>
    <row r="5954" spans="1:20" ht="51" x14ac:dyDescent="0.25">
      <c r="A5954" s="6">
        <v>5933</v>
      </c>
      <c r="B5954" s="1" t="str">
        <f>"2018-3128"</f>
        <v>2018-3128</v>
      </c>
      <c r="C5954" s="1" t="s">
        <v>879</v>
      </c>
      <c r="D5954" s="1" t="s">
        <v>880</v>
      </c>
      <c r="E5954" s="1" t="str">
        <f>"2018/S F21-0031748"</f>
        <v>2018/S F21-0031748</v>
      </c>
      <c r="F5954" s="1" t="s">
        <v>967</v>
      </c>
      <c r="G5954" s="1" t="str">
        <f>CONCATENATE("POLIKLINIKA MEDIKOL,"," VOĆARSKA 106,"," 10000 ZAGREB,"," OIB: 5797018162")</f>
        <v>POLIKLINIKA MEDIKOL, VOĆARSKA 106, 10000 ZAGREB, OIB: 5797018162</v>
      </c>
      <c r="H5954" s="7"/>
      <c r="I5954" s="8" t="s">
        <v>4134</v>
      </c>
      <c r="J5954" s="8" t="s">
        <v>654</v>
      </c>
      <c r="K5954" s="6" t="str">
        <f>"357.820,00"</f>
        <v>357.820,00</v>
      </c>
      <c r="L5954" s="6" t="str">
        <f>"89.455,00"</f>
        <v>89.455,00</v>
      </c>
      <c r="M5954" s="6" t="str">
        <f>"447.275,00"</f>
        <v>447.275,00</v>
      </c>
      <c r="N5954" s="8" t="s">
        <v>4135</v>
      </c>
      <c r="O5954" s="7"/>
      <c r="P5954" s="2" t="s">
        <v>8582</v>
      </c>
      <c r="Q5954" s="7"/>
      <c r="R5954" s="1"/>
      <c r="S5954" s="1" t="str">
        <f>"N-58/18"</f>
        <v>N-58/18</v>
      </c>
      <c r="T5954" s="1" t="s">
        <v>452</v>
      </c>
    </row>
    <row r="5955" spans="1:20" ht="63.75" x14ac:dyDescent="0.25">
      <c r="A5955" s="6">
        <v>5934</v>
      </c>
      <c r="B5955" s="1" t="str">
        <f>"2018-826"</f>
        <v>2018-826</v>
      </c>
      <c r="C5955" s="1" t="s">
        <v>4136</v>
      </c>
      <c r="D5955" s="1" t="s">
        <v>1979</v>
      </c>
      <c r="E5955" s="1" t="str">
        <f>"2018/S 0F2-0028429"</f>
        <v>2018/S 0F2-0028429</v>
      </c>
      <c r="F5955" s="1" t="s">
        <v>22</v>
      </c>
      <c r="G5955" s="1" t="str">
        <f>CONCATENATE("SEDRA CONSULTING D.O.O.,"," USKOPSKA 11,"," 10010 ZAGREB,"," OIB: 09177957072")</f>
        <v>SEDRA CONSULTING D.O.O., USKOPSKA 11, 10010 ZAGREB, OIB: 09177957072</v>
      </c>
      <c r="H5955" s="1" t="str">
        <f>CONCATENATE("FLAMIT D.O.O.,"," OIB: 84050612509")</f>
        <v>FLAMIT D.O.O., OIB: 84050612509</v>
      </c>
      <c r="I5955" s="8" t="s">
        <v>4137</v>
      </c>
      <c r="J5955" s="8" t="s">
        <v>4138</v>
      </c>
      <c r="K5955" s="6" t="str">
        <f>"121.100,00"</f>
        <v>121.100,00</v>
      </c>
      <c r="L5955" s="6" t="str">
        <f>"30.275,00"</f>
        <v>30.275,00</v>
      </c>
      <c r="M5955" s="6" t="str">
        <f>"151.375,00"</f>
        <v>151.375,00</v>
      </c>
      <c r="N5955" s="7"/>
      <c r="O5955" s="9">
        <v>44225</v>
      </c>
      <c r="P5955" s="2" t="s">
        <v>8583</v>
      </c>
      <c r="Q5955" s="7"/>
      <c r="R5955" s="1"/>
      <c r="S5955" s="1" t="str">
        <f>"N-60/18"</f>
        <v>N-60/18</v>
      </c>
      <c r="T5955" s="1" t="s">
        <v>55</v>
      </c>
    </row>
    <row r="5956" spans="1:20" ht="178.5" x14ac:dyDescent="0.25">
      <c r="A5956" s="6">
        <v>5935</v>
      </c>
      <c r="B5956" s="1" t="str">
        <f>"2018-1608"</f>
        <v>2018-1608</v>
      </c>
      <c r="C5956" s="1" t="s">
        <v>4139</v>
      </c>
      <c r="D5956" s="1" t="s">
        <v>702</v>
      </c>
      <c r="E5956" s="1" t="str">
        <f>"2018/S 0F2-0024738"</f>
        <v>2018/S 0F2-0024738</v>
      </c>
      <c r="F5956" s="1" t="s">
        <v>22</v>
      </c>
      <c r="G5956" s="1" t="str">
        <f>CONCATENATE("MONTMONTAŽA-OPREMA D.O.O.,"," SAMOBORSKA CESTA 145,"," 10090 ZAGREB,"," OIB: 06544535948")</f>
        <v>MONTMONTAŽA-OPREMA D.O.O., SAMOBORSKA CESTA 145, 10090 ZAGREB, OIB: 06544535948</v>
      </c>
      <c r="H5956" s="1"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5956" s="8" t="s">
        <v>4140</v>
      </c>
      <c r="J5956" s="8" t="s">
        <v>660</v>
      </c>
      <c r="K5956" s="6" t="str">
        <f>"2.092.457,16"</f>
        <v>2.092.457,16</v>
      </c>
      <c r="L5956" s="6" t="str">
        <f>"523.114,29"</f>
        <v>523.114,29</v>
      </c>
      <c r="M5956" s="6" t="str">
        <f>"2.615.571,45"</f>
        <v>2.615.571,45</v>
      </c>
      <c r="N5956" s="8" t="s">
        <v>4110</v>
      </c>
      <c r="O5956" s="7"/>
      <c r="P5956" s="2" t="s">
        <v>8584</v>
      </c>
      <c r="Q5956" s="7"/>
      <c r="R5956" s="1"/>
      <c r="S5956" s="1" t="str">
        <f>"N-63/18"</f>
        <v>N-63/18</v>
      </c>
      <c r="T5956" s="1" t="s">
        <v>452</v>
      </c>
    </row>
    <row r="5957" spans="1:20" ht="153" x14ac:dyDescent="0.25">
      <c r="A5957" s="6">
        <v>5936</v>
      </c>
      <c r="B5957" s="1" t="str">
        <f>"2018-2040"</f>
        <v>2018-2040</v>
      </c>
      <c r="C5957" s="1" t="s">
        <v>4141</v>
      </c>
      <c r="D5957" s="1" t="s">
        <v>1109</v>
      </c>
      <c r="E5957" s="1" t="str">
        <f>"2018/S 0F2-0024279"</f>
        <v>2018/S 0F2-0024279</v>
      </c>
      <c r="F5957" s="1" t="s">
        <v>22</v>
      </c>
      <c r="G5957" s="1" t="str">
        <f>CONCATENATE("BUBANJ - NISKOGRADNJA D.O.O.,"," KRUGE 7,"," 10000 ZAGREB,"," OIB: 29539944583")</f>
        <v>BUBANJ - NISKOGRADNJA D.O.O., KRUGE 7, 10000 ZAGREB, OIB: 29539944583</v>
      </c>
      <c r="H5957" s="1" t="str">
        <f>CONCATENATE("EKSPERT D.O.O.,"," OIB: 50542907850",CHAR(10),"GEODIST D.O.O.,"," OIB: 70978671801",CHAR(10),"VILKOGRAD D.O.O.,"," OIB: 63433216144",CHAR(10),"GIP PIONIR D.O.O.,"," OIB: 38262788673")</f>
        <v>EKSPERT D.O.O., OIB: 50542907850
GEODIST D.O.O., OIB: 70978671801
VILKOGRAD D.O.O., OIB: 63433216144
GIP PIONIR D.O.O., OIB: 38262788673</v>
      </c>
      <c r="I5957" s="8" t="s">
        <v>3991</v>
      </c>
      <c r="J5957" s="8" t="s">
        <v>4142</v>
      </c>
      <c r="K5957" s="6" t="str">
        <f>"13.795.863,35"</f>
        <v>13.795.863,35</v>
      </c>
      <c r="L5957" s="6" t="str">
        <f>"3.448.965,84"</f>
        <v>3.448.965,84</v>
      </c>
      <c r="M5957" s="6" t="str">
        <f>"17.244.829,19"</f>
        <v>17.244.829,19</v>
      </c>
      <c r="N5957" s="8" t="s">
        <v>4143</v>
      </c>
      <c r="O5957" s="7"/>
      <c r="P5957" s="2" t="s">
        <v>8585</v>
      </c>
      <c r="Q5957" s="7"/>
      <c r="R5957" s="1"/>
      <c r="S5957" s="1" t="str">
        <f>"N-64/18"</f>
        <v>N-64/18</v>
      </c>
      <c r="T5957" s="1" t="s">
        <v>55</v>
      </c>
    </row>
    <row r="5958" spans="1:20" ht="63.75" x14ac:dyDescent="0.25">
      <c r="A5958" s="6">
        <v>5937</v>
      </c>
      <c r="B5958" s="1" t="str">
        <f>"2018-355"</f>
        <v>2018-355</v>
      </c>
      <c r="C5958" s="1" t="s">
        <v>4144</v>
      </c>
      <c r="D5958" s="1" t="s">
        <v>3178</v>
      </c>
      <c r="E5958" s="1" t="str">
        <f>"2018/S 0F2-0032488"</f>
        <v>2018/S 0F2-0032488</v>
      </c>
      <c r="F5958" s="1" t="s">
        <v>22</v>
      </c>
      <c r="G5958" s="1" t="str">
        <f>CONCATENATE("DOLENAC PROMET D.O.O.,"," NAZOROVA 22,"," 44250 PETRINJA,"," OIB: 21780210989")</f>
        <v>DOLENAC PROMET D.O.O., NAZOROVA 22, 44250 PETRINJA, OIB: 21780210989</v>
      </c>
      <c r="H5958" s="7"/>
      <c r="I5958" s="8" t="s">
        <v>4145</v>
      </c>
      <c r="J5958" s="8" t="s">
        <v>4146</v>
      </c>
      <c r="K5958" s="6" t="str">
        <f>"174.642,68"</f>
        <v>174.642,68</v>
      </c>
      <c r="L5958" s="6" t="str">
        <f>"43.660,67"</f>
        <v>43.660,67</v>
      </c>
      <c r="M5958" s="6" t="str">
        <f>"218.303,35"</f>
        <v>218.303,35</v>
      </c>
      <c r="N5958" s="8" t="s">
        <v>4147</v>
      </c>
      <c r="O5958" s="7"/>
      <c r="P5958" s="2" t="s">
        <v>8586</v>
      </c>
      <c r="Q5958" s="7"/>
      <c r="R5958" s="1"/>
      <c r="S5958" s="1" t="str">
        <f>"N-65/18"</f>
        <v>N-65/18</v>
      </c>
      <c r="T5958" s="1" t="s">
        <v>32</v>
      </c>
    </row>
    <row r="5959" spans="1:20" ht="102" x14ac:dyDescent="0.25">
      <c r="A5959" s="6">
        <v>5938</v>
      </c>
      <c r="B5959" s="1" t="str">
        <f>"2018-1809"</f>
        <v>2018-1809</v>
      </c>
      <c r="C5959" s="1" t="s">
        <v>4148</v>
      </c>
      <c r="D5959" s="1" t="s">
        <v>1979</v>
      </c>
      <c r="E5959" s="1" t="str">
        <f>"2018/S 0F2-0027766"</f>
        <v>2018/S 0F2-0027766</v>
      </c>
      <c r="F5959" s="1" t="s">
        <v>22</v>
      </c>
      <c r="G5959" s="1"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5959" s="7"/>
      <c r="I5959" s="8" t="s">
        <v>4149</v>
      </c>
      <c r="J5959" s="8" t="s">
        <v>1310</v>
      </c>
      <c r="K5959" s="6" t="str">
        <f>"948.800,00"</f>
        <v>948.800,00</v>
      </c>
      <c r="L5959" s="6" t="str">
        <f>"237.200,00"</f>
        <v>237.200,00</v>
      </c>
      <c r="M5959" s="6" t="str">
        <f>"1.186.000,00"</f>
        <v>1.186.000,00</v>
      </c>
      <c r="N5959" s="8" t="s">
        <v>124</v>
      </c>
      <c r="O5959" s="7"/>
      <c r="P5959" s="2" t="s">
        <v>5614</v>
      </c>
      <c r="Q5959" s="7"/>
      <c r="R5959" s="1"/>
      <c r="S5959" s="1" t="str">
        <f>"N-67/18"</f>
        <v>N-67/18</v>
      </c>
      <c r="T5959" s="1" t="s">
        <v>55</v>
      </c>
    </row>
    <row r="5960" spans="1:20" ht="51" x14ac:dyDescent="0.25">
      <c r="A5960" s="6">
        <v>5939</v>
      </c>
      <c r="B5960" s="1" t="str">
        <f>"2018-2997"</f>
        <v>2018-2997</v>
      </c>
      <c r="C5960" s="1" t="s">
        <v>4150</v>
      </c>
      <c r="D5960" s="1" t="s">
        <v>2797</v>
      </c>
      <c r="E5960" s="1" t="str">
        <f>"2018/S 0F2-0029312"</f>
        <v>2018/S 0F2-0029312</v>
      </c>
      <c r="F5960" s="1" t="s">
        <v>22</v>
      </c>
      <c r="G5960" s="1" t="str">
        <f>CONCATENATE("TEPESCO D.O.O.,"," JASENA 11A,"," 10040 ZAGREB,"," OIB: 7691411318")</f>
        <v>TEPESCO D.O.O., JASENA 11A, 10040 ZAGREB, OIB: 7691411318</v>
      </c>
      <c r="H5960" s="7"/>
      <c r="I5960" s="8" t="s">
        <v>4149</v>
      </c>
      <c r="J5960" s="8" t="s">
        <v>4151</v>
      </c>
      <c r="K5960" s="6" t="str">
        <f>"5.223.553,39"</f>
        <v>5.223.553,39</v>
      </c>
      <c r="L5960" s="6" t="str">
        <f>"1.305.888,35"</f>
        <v>1.305.888,35</v>
      </c>
      <c r="M5960" s="6" t="str">
        <f>"6.529.441,74"</f>
        <v>6.529.441,74</v>
      </c>
      <c r="N5960" s="8" t="s">
        <v>4152</v>
      </c>
      <c r="O5960" s="7"/>
      <c r="P5960" s="2" t="s">
        <v>8587</v>
      </c>
      <c r="Q5960" s="1"/>
      <c r="R5960" s="1"/>
      <c r="S5960" s="1" t="str">
        <f>"N-68/18"</f>
        <v>N-68/18</v>
      </c>
      <c r="T5960" s="1" t="s">
        <v>32</v>
      </c>
    </row>
    <row r="5961" spans="1:20" ht="63.75" x14ac:dyDescent="0.25">
      <c r="A5961" s="6">
        <v>5940</v>
      </c>
      <c r="B5961" s="1" t="str">
        <f>"2018-2890"</f>
        <v>2018-2890</v>
      </c>
      <c r="C5961" s="1" t="s">
        <v>4153</v>
      </c>
      <c r="D5961" s="1" t="s">
        <v>1641</v>
      </c>
      <c r="E5961" s="1" t="str">
        <f>"2018/S 0F2-0031385"</f>
        <v>2018/S 0F2-0031385</v>
      </c>
      <c r="F5961" s="1" t="s">
        <v>22</v>
      </c>
      <c r="G5961" s="1" t="str">
        <f>CONCATENATE("PROMETNICE ZAGREB D.O.O.,"," GUNDULIĆEVE DUBRAVKE 28,"," 10020 ZAGREB,"," OIB: 28111148974")</f>
        <v>PROMETNICE ZAGREB D.O.O., GUNDULIĆEVE DUBRAVKE 28, 10020 ZAGREB, OIB: 28111148974</v>
      </c>
      <c r="H5961" s="7"/>
      <c r="I5961" s="8" t="s">
        <v>4154</v>
      </c>
      <c r="J5961" s="8" t="s">
        <v>4155</v>
      </c>
      <c r="K5961" s="6" t="str">
        <f>"73.000,00"</f>
        <v>73.000,00</v>
      </c>
      <c r="L5961" s="6" t="str">
        <f>"18.250,00"</f>
        <v>18.250,00</v>
      </c>
      <c r="M5961" s="6" t="str">
        <f>"91.250,00"</f>
        <v>91.250,00</v>
      </c>
      <c r="N5961" s="8" t="s">
        <v>124</v>
      </c>
      <c r="O5961" s="7"/>
      <c r="P5961" s="2" t="s">
        <v>5614</v>
      </c>
      <c r="Q5961" s="7"/>
      <c r="R5961" s="1"/>
      <c r="S5961" s="1" t="str">
        <f>"N-69/18"</f>
        <v>N-69/18</v>
      </c>
      <c r="T5961" s="1" t="s">
        <v>55</v>
      </c>
    </row>
    <row r="5962" spans="1:20" ht="51" x14ac:dyDescent="0.25">
      <c r="A5962" s="6">
        <v>5941</v>
      </c>
      <c r="B5962" s="1" t="str">
        <f>"2018-1437"</f>
        <v>2018-1437</v>
      </c>
      <c r="C5962" s="1" t="s">
        <v>4156</v>
      </c>
      <c r="D5962" s="1" t="s">
        <v>941</v>
      </c>
      <c r="E5962" s="1" t="str">
        <f>"2018/S 0F2-0032117"</f>
        <v>2018/S 0F2-0032117</v>
      </c>
      <c r="F5962" s="1" t="s">
        <v>22</v>
      </c>
      <c r="G5962" s="1" t="str">
        <f>CONCATENATE("PALIR D.O.O.,"," DANE DUIĆA 3,"," 10000 ZAGREB,"," OIB: 19383246503")</f>
        <v>PALIR D.O.O., DANE DUIĆA 3, 10000 ZAGREB, OIB: 19383246503</v>
      </c>
      <c r="H5962" s="7"/>
      <c r="I5962" s="8" t="s">
        <v>4157</v>
      </c>
      <c r="J5962" s="8" t="s">
        <v>4158</v>
      </c>
      <c r="K5962" s="6" t="str">
        <f>"15.516.296,50"</f>
        <v>15.516.296,50</v>
      </c>
      <c r="L5962" s="6" t="str">
        <f>"3.879.074,12"</f>
        <v>3.879.074,12</v>
      </c>
      <c r="M5962" s="6" t="str">
        <f>"19.395.370,62"</f>
        <v>19.395.370,62</v>
      </c>
      <c r="N5962" s="8" t="s">
        <v>640</v>
      </c>
      <c r="O5962" s="7"/>
      <c r="P5962" s="2" t="s">
        <v>8588</v>
      </c>
      <c r="Q5962" s="7"/>
      <c r="R5962" s="1"/>
      <c r="S5962" s="1" t="str">
        <f>"N-71/18"</f>
        <v>N-71/18</v>
      </c>
      <c r="T5962" s="1" t="s">
        <v>55</v>
      </c>
    </row>
    <row r="5963" spans="1:20" ht="76.5" x14ac:dyDescent="0.25">
      <c r="A5963" s="6">
        <v>5942</v>
      </c>
      <c r="B5963" s="1" t="str">
        <f>"2018-2312"</f>
        <v>2018-2312</v>
      </c>
      <c r="C5963" s="1" t="s">
        <v>4159</v>
      </c>
      <c r="D5963" s="1" t="s">
        <v>1979</v>
      </c>
      <c r="E5963" s="1" t="str">
        <f>"2018/S 0F2-0031692"</f>
        <v>2018/S 0F2-0031692</v>
      </c>
      <c r="F5963" s="1" t="s">
        <v>22</v>
      </c>
      <c r="G5963" s="1" t="str">
        <f>CONCATENATE("HIDROKON D.O.O.,"," TRGOVAČKA 8,"," 10000 ZAGREB,"," OIB: 31977725905")</f>
        <v>HIDROKON D.O.O., TRGOVAČKA 8, 10000 ZAGREB, OIB: 31977725905</v>
      </c>
      <c r="H5963" s="7"/>
      <c r="I5963" s="8" t="s">
        <v>4157</v>
      </c>
      <c r="J5963" s="8" t="s">
        <v>4158</v>
      </c>
      <c r="K5963" s="6" t="str">
        <f>"48.000,00"</f>
        <v>48.000,00</v>
      </c>
      <c r="L5963" s="6" t="str">
        <f>"12.000,00"</f>
        <v>12.000,00</v>
      </c>
      <c r="M5963" s="6" t="str">
        <f>"60.000,00"</f>
        <v>60.000,00</v>
      </c>
      <c r="N5963" s="8" t="s">
        <v>124</v>
      </c>
      <c r="O5963" s="7"/>
      <c r="P5963" s="2" t="s">
        <v>5614</v>
      </c>
      <c r="Q5963" s="7"/>
      <c r="R5963" s="1"/>
      <c r="S5963" s="1" t="str">
        <f>"N-72/18"</f>
        <v>N-72/18</v>
      </c>
      <c r="T5963" s="1" t="s">
        <v>55</v>
      </c>
    </row>
    <row r="5964" spans="1:20" ht="63.75" x14ac:dyDescent="0.25">
      <c r="A5964" s="6">
        <v>5943</v>
      </c>
      <c r="B5964" s="1" t="str">
        <f>"2018-889"</f>
        <v>2018-889</v>
      </c>
      <c r="C5964" s="1" t="s">
        <v>4160</v>
      </c>
      <c r="D5964" s="1" t="s">
        <v>1979</v>
      </c>
      <c r="E5964" s="1" t="str">
        <f>"2018/S 0F2-0032021"</f>
        <v>2018/S 0F2-0032021</v>
      </c>
      <c r="F5964" s="1" t="s">
        <v>22</v>
      </c>
      <c r="G5964" s="1" t="str">
        <f>CONCATENATE("EKO-PLAN D.O.O.,"," 2. JAZBINSKI GAJ 1A,"," 10000 ZAGREB,"," OIB: 55034160084")</f>
        <v>EKO-PLAN D.O.O., 2. JAZBINSKI GAJ 1A, 10000 ZAGREB, OIB: 55034160084</v>
      </c>
      <c r="H5964" s="1" t="str">
        <f>CONCATENATE("MJERNIK-LIMA D.O.O.,"," OIB: 00496607907")</f>
        <v>MJERNIK-LIMA D.O.O., OIB: 00496607907</v>
      </c>
      <c r="I5964" s="8" t="s">
        <v>4161</v>
      </c>
      <c r="J5964" s="8" t="s">
        <v>4162</v>
      </c>
      <c r="K5964" s="6" t="str">
        <f>"123.200,00"</f>
        <v>123.200,00</v>
      </c>
      <c r="L5964" s="6" t="str">
        <f>"30.800,00"</f>
        <v>30.800,00</v>
      </c>
      <c r="M5964" s="6" t="str">
        <f>"154.000,00"</f>
        <v>154.000,00</v>
      </c>
      <c r="N5964" s="8" t="s">
        <v>124</v>
      </c>
      <c r="O5964" s="7"/>
      <c r="P5964" s="2" t="s">
        <v>5614</v>
      </c>
      <c r="Q5964" s="7"/>
      <c r="R5964" s="1"/>
      <c r="S5964" s="1" t="str">
        <f>"N-74/18"</f>
        <v>N-74/18</v>
      </c>
      <c r="T5964" s="1" t="s">
        <v>55</v>
      </c>
    </row>
    <row r="5965" spans="1:20" ht="76.5" x14ac:dyDescent="0.25">
      <c r="A5965" s="6">
        <v>5944</v>
      </c>
      <c r="B5965" s="1" t="str">
        <f>"2018-75"</f>
        <v>2018-75</v>
      </c>
      <c r="C5965" s="1" t="s">
        <v>4163</v>
      </c>
      <c r="D5965" s="1" t="s">
        <v>1979</v>
      </c>
      <c r="E5965" s="1" t="str">
        <f>"2018/S 0F2-0034061"</f>
        <v>2018/S 0F2-0034061</v>
      </c>
      <c r="F5965" s="1" t="s">
        <v>22</v>
      </c>
      <c r="G5965" s="1" t="str">
        <f>CONCATENATE("DIPPOLD &amp; GEROLD-HIDROPROJEKT 91 D.O.O.,"," DESPRIMSKA 8,"," 10257 BREZOVICA,"," OIB: 89365215003")</f>
        <v>DIPPOLD &amp; GEROLD-HIDROPROJEKT 91 D.O.O., DESPRIMSKA 8, 10257 BREZOVICA, OIB: 89365215003</v>
      </c>
      <c r="H5965" s="1" t="str">
        <f>CONCATENATE("GEOM D.O.O.,"," OIB: 09241925730",CHAR(10),"FLAMIT D.O.O.,"," OIB: 84050612509")</f>
        <v>GEOM D.O.O., OIB: 09241925730
FLAMIT D.O.O., OIB: 84050612509</v>
      </c>
      <c r="I5965" s="8" t="s">
        <v>4164</v>
      </c>
      <c r="J5965" s="8" t="s">
        <v>4165</v>
      </c>
      <c r="K5965" s="6" t="str">
        <f>"179.000,00"</f>
        <v>179.000,00</v>
      </c>
      <c r="L5965" s="6" t="str">
        <f>"44.750,00"</f>
        <v>44.750,00</v>
      </c>
      <c r="M5965" s="6" t="str">
        <f>"223.750,00"</f>
        <v>223.750,00</v>
      </c>
      <c r="N5965" s="8" t="s">
        <v>124</v>
      </c>
      <c r="O5965" s="7"/>
      <c r="P5965" s="2" t="s">
        <v>5614</v>
      </c>
      <c r="Q5965" s="7"/>
      <c r="R5965" s="1"/>
      <c r="S5965" s="1" t="str">
        <f>"N-80/18"</f>
        <v>N-80/18</v>
      </c>
      <c r="T5965" s="1" t="s">
        <v>55</v>
      </c>
    </row>
    <row r="5966" spans="1:20" ht="51" x14ac:dyDescent="0.25">
      <c r="A5966" s="6">
        <v>5945</v>
      </c>
      <c r="B5966" s="1" t="str">
        <f>"2018-700"</f>
        <v>2018-700</v>
      </c>
      <c r="C5966" s="1" t="s">
        <v>4166</v>
      </c>
      <c r="D5966" s="1" t="s">
        <v>941</v>
      </c>
      <c r="E5966" s="1" t="str">
        <f>"2018/S 0F2-0032950"</f>
        <v>2018/S 0F2-0032950</v>
      </c>
      <c r="F5966" s="1" t="s">
        <v>22</v>
      </c>
      <c r="G5966" s="1" t="str">
        <f>CONCATENATE("TIGRA D.O.O.,"," IVANIĆGRADSKA 22,"," 10000 ZAGREB,"," OIB: 2983006023")</f>
        <v>TIGRA D.O.O., IVANIĆGRADSKA 22, 10000 ZAGREB, OIB: 2983006023</v>
      </c>
      <c r="H5966" s="1" t="str">
        <f>CONCATENATE("DAGOR D.O.O.,"," OIB: 50966188893")</f>
        <v>DAGOR D.O.O., OIB: 50966188893</v>
      </c>
      <c r="I5966" s="8" t="s">
        <v>4164</v>
      </c>
      <c r="J5966" s="8" t="s">
        <v>4165</v>
      </c>
      <c r="K5966" s="6" t="str">
        <f>"495.808,50"</f>
        <v>495.808,50</v>
      </c>
      <c r="L5966" s="6" t="str">
        <f>"123.952,12"</f>
        <v>123.952,12</v>
      </c>
      <c r="M5966" s="6" t="str">
        <f>"619.760,62"</f>
        <v>619.760,62</v>
      </c>
      <c r="N5966" s="8" t="s">
        <v>742</v>
      </c>
      <c r="O5966" s="7"/>
      <c r="P5966" s="2" t="s">
        <v>8589</v>
      </c>
      <c r="Q5966" s="7"/>
      <c r="R5966" s="1"/>
      <c r="S5966" s="1" t="str">
        <f>"N-82/18"</f>
        <v>N-82/18</v>
      </c>
      <c r="T5966" s="1" t="s">
        <v>55</v>
      </c>
    </row>
    <row r="5967" spans="1:20" ht="76.5" x14ac:dyDescent="0.25">
      <c r="A5967" s="6">
        <v>5946</v>
      </c>
      <c r="B5967" s="1" t="str">
        <f>"2018-303"</f>
        <v>2018-303</v>
      </c>
      <c r="C5967" s="1" t="s">
        <v>3964</v>
      </c>
      <c r="D5967" s="1" t="s">
        <v>2118</v>
      </c>
      <c r="E5967" s="1" t="str">
        <f>"2018/S 0F2-0034743"</f>
        <v>2018/S 0F2-0034743</v>
      </c>
      <c r="F5967" s="1" t="s">
        <v>22</v>
      </c>
      <c r="G5967" s="1" t="str">
        <f>CONCATENATE("Zajednica ponuditelja",CHAR(10),"HT D.D.,"," ,"," OIB: 81793146560HOLOSYS D.O.O. KOVINSKA 4 A,"," 10000 ZAGREB,"," OIB: 79084286928")</f>
        <v>Zajednica ponuditelja
HT D.D., , OIB: 81793146560HOLOSYS D.O.O. KOVINSKA 4 A, 10000 ZAGREB, OIB: 79084286928</v>
      </c>
      <c r="H5967" s="7"/>
      <c r="I5967" s="8" t="s">
        <v>4167</v>
      </c>
      <c r="J5967" s="8" t="s">
        <v>4168</v>
      </c>
      <c r="K5967" s="6" t="str">
        <f>"1.400.688,70"</f>
        <v>1.400.688,70</v>
      </c>
      <c r="L5967" s="6" t="str">
        <f>"350.172,18"</f>
        <v>350.172,18</v>
      </c>
      <c r="M5967" s="6" t="str">
        <f>"1.750.860,88"</f>
        <v>1.750.860,88</v>
      </c>
      <c r="N5967" s="8" t="s">
        <v>799</v>
      </c>
      <c r="O5967" s="7"/>
      <c r="P5967" s="2" t="s">
        <v>8590</v>
      </c>
      <c r="Q5967" s="7"/>
      <c r="R5967" s="1"/>
      <c r="S5967" s="1" t="str">
        <f>"N-84/18"</f>
        <v>N-84/18</v>
      </c>
      <c r="T5967" s="1" t="s">
        <v>452</v>
      </c>
    </row>
    <row r="5968" spans="1:20" ht="51" x14ac:dyDescent="0.25">
      <c r="A5968" s="6">
        <v>5947</v>
      </c>
      <c r="B5968" s="1" t="str">
        <f>"2018-1018"</f>
        <v>2018-1018</v>
      </c>
      <c r="C5968" s="1" t="s">
        <v>4169</v>
      </c>
      <c r="D5968" s="1" t="s">
        <v>941</v>
      </c>
      <c r="E5968" s="1" t="str">
        <f>"2018/S 0F2-0035159"</f>
        <v>2018/S 0F2-0035159</v>
      </c>
      <c r="F5968" s="1" t="s">
        <v>22</v>
      </c>
      <c r="G5968" s="1" t="str">
        <f>CONCATENATE("NERING D.O.O.,"," LIVADARSKI PUT 24,"," 10360 SESVETE,"," OIB: 85965934616")</f>
        <v>NERING D.O.O., LIVADARSKI PUT 24, 10360 SESVETE, OIB: 85965934616</v>
      </c>
      <c r="H5968" s="1" t="str">
        <f>CONCATENATE("TEMPORIUM GRADNJA D.O.O.,"," OIB: 6285048268")</f>
        <v>TEMPORIUM GRADNJA D.O.O., OIB: 6285048268</v>
      </c>
      <c r="I5968" s="8" t="s">
        <v>4170</v>
      </c>
      <c r="J5968" s="8" t="s">
        <v>4171</v>
      </c>
      <c r="K5968" s="6" t="str">
        <f>"3.765.674,92"</f>
        <v>3.765.674,92</v>
      </c>
      <c r="L5968" s="6" t="str">
        <f>"941.418,73"</f>
        <v>941.418,73</v>
      </c>
      <c r="M5968" s="6" t="str">
        <f>"4.707.093,65"</f>
        <v>4.707.093,65</v>
      </c>
      <c r="N5968" s="8" t="s">
        <v>4172</v>
      </c>
      <c r="O5968" s="7"/>
      <c r="P5968" s="2" t="s">
        <v>8591</v>
      </c>
      <c r="Q5968" s="7"/>
      <c r="R5968" s="1"/>
      <c r="S5968" s="1" t="str">
        <f>"N-87/18"</f>
        <v>N-87/18</v>
      </c>
      <c r="T5968" s="1" t="s">
        <v>55</v>
      </c>
    </row>
    <row r="5969" spans="1:20" ht="114.75" x14ac:dyDescent="0.25">
      <c r="A5969" s="6">
        <v>5948</v>
      </c>
      <c r="B5969" s="1" t="str">
        <f>"2018-1370"</f>
        <v>2018-1370</v>
      </c>
      <c r="C5969" s="1" t="s">
        <v>4173</v>
      </c>
      <c r="D5969" s="1" t="s">
        <v>1979</v>
      </c>
      <c r="E5969" s="1" t="str">
        <f>"2018/S 0F2-0027497"</f>
        <v>2018/S 0F2-0027497</v>
      </c>
      <c r="F5969" s="1" t="s">
        <v>22</v>
      </c>
      <c r="G5969" s="1"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5969" s="7"/>
      <c r="I5969" s="8" t="s">
        <v>4174</v>
      </c>
      <c r="J5969" s="8" t="s">
        <v>680</v>
      </c>
      <c r="K5969" s="6" t="str">
        <f>"96.500,00"</f>
        <v>96.500,00</v>
      </c>
      <c r="L5969" s="6" t="str">
        <f>"24.125,00"</f>
        <v>24.125,00</v>
      </c>
      <c r="M5969" s="6" t="str">
        <f>"120.625,00"</f>
        <v>120.625,00</v>
      </c>
      <c r="N5969" s="8" t="s">
        <v>124</v>
      </c>
      <c r="O5969" s="7"/>
      <c r="P5969" s="2" t="s">
        <v>5614</v>
      </c>
      <c r="Q5969" s="7"/>
      <c r="R5969" s="1"/>
      <c r="S5969" s="1" t="str">
        <f>"N-88/18"</f>
        <v>N-88/18</v>
      </c>
      <c r="T5969" s="1" t="s">
        <v>55</v>
      </c>
    </row>
    <row r="5970" spans="1:20" ht="51" x14ac:dyDescent="0.25">
      <c r="A5970" s="6">
        <v>5949</v>
      </c>
      <c r="B5970" s="1" t="str">
        <f>"2018-3110"</f>
        <v>2018-3110</v>
      </c>
      <c r="C5970" s="1" t="s">
        <v>4175</v>
      </c>
      <c r="D5970" s="1" t="s">
        <v>2068</v>
      </c>
      <c r="E5970" s="1" t="str">
        <f>"2018/S 0F2-0034256"</f>
        <v>2018/S 0F2-0034256</v>
      </c>
      <c r="F5970" s="1" t="s">
        <v>22</v>
      </c>
      <c r="G5970" s="1" t="str">
        <f>CONCATENATE("GEORAD D.O.O.,"," KORNATSKA 1,"," 10000 ZAGREB,"," OIB: 49756748234")</f>
        <v>GEORAD D.O.O., KORNATSKA 1, 10000 ZAGREB, OIB: 49756748234</v>
      </c>
      <c r="H5970" s="7"/>
      <c r="I5970" s="8" t="s">
        <v>4170</v>
      </c>
      <c r="J5970" s="8" t="s">
        <v>4171</v>
      </c>
      <c r="K5970" s="6" t="str">
        <f>"2.334.542,00"</f>
        <v>2.334.542,00</v>
      </c>
      <c r="L5970" s="6" t="str">
        <f>"583.635,50"</f>
        <v>583.635,50</v>
      </c>
      <c r="M5970" s="6" t="str">
        <f>"2.918.177,50"</f>
        <v>2.918.177,50</v>
      </c>
      <c r="N5970" s="8" t="s">
        <v>4067</v>
      </c>
      <c r="O5970" s="7"/>
      <c r="P5970" s="2" t="s">
        <v>8592</v>
      </c>
      <c r="Q5970" s="7"/>
      <c r="R5970" s="1"/>
      <c r="S5970" s="1" t="str">
        <f>"N-89/18"</f>
        <v>N-89/18</v>
      </c>
      <c r="T5970" s="1" t="s">
        <v>55</v>
      </c>
    </row>
    <row r="5971" spans="1:20" ht="51" x14ac:dyDescent="0.25">
      <c r="A5971" s="6">
        <v>5950</v>
      </c>
      <c r="B5971" s="1" t="str">
        <f>"2018-2724"</f>
        <v>2018-2724</v>
      </c>
      <c r="C5971" s="1" t="s">
        <v>4176</v>
      </c>
      <c r="D5971" s="1" t="s">
        <v>941</v>
      </c>
      <c r="E5971" s="1" t="str">
        <f>"2018/S 0F2-0036618"</f>
        <v>2018/S 0F2-0036618</v>
      </c>
      <c r="F5971" s="1" t="s">
        <v>22</v>
      </c>
      <c r="G5971" s="1" t="str">
        <f>CONCATENATE("PALIR D.O.O.,"," DANE DUIĆA 3,"," 10000 ZAGREB,"," OIB: 19383246503")</f>
        <v>PALIR D.O.O., DANE DUIĆA 3, 10000 ZAGREB, OIB: 19383246503</v>
      </c>
      <c r="H5971" s="7"/>
      <c r="I5971" s="8" t="s">
        <v>1977</v>
      </c>
      <c r="J5971" s="8" t="s">
        <v>4152</v>
      </c>
      <c r="K5971" s="6" t="str">
        <f>"10.636.215,20"</f>
        <v>10.636.215,20</v>
      </c>
      <c r="L5971" s="6" t="str">
        <f>"2.659.053,80"</f>
        <v>2.659.053,80</v>
      </c>
      <c r="M5971" s="6" t="str">
        <f>"13.295.269,00"</f>
        <v>13.295.269,00</v>
      </c>
      <c r="N5971" s="8" t="s">
        <v>124</v>
      </c>
      <c r="O5971" s="7"/>
      <c r="P5971" s="2" t="s">
        <v>5614</v>
      </c>
      <c r="Q5971" s="7"/>
      <c r="R5971" s="1"/>
      <c r="S5971" s="1" t="str">
        <f>"N-93/18"</f>
        <v>N-93/18</v>
      </c>
      <c r="T5971" s="1" t="s">
        <v>55</v>
      </c>
    </row>
    <row r="5972" spans="1:20" ht="102" x14ac:dyDescent="0.25">
      <c r="A5972" s="6">
        <v>5951</v>
      </c>
      <c r="B5972" s="1" t="str">
        <f>"2018-1728"</f>
        <v>2018-1728</v>
      </c>
      <c r="C5972" s="1" t="s">
        <v>4177</v>
      </c>
      <c r="D5972" s="1" t="s">
        <v>941</v>
      </c>
      <c r="E5972" s="1" t="str">
        <f>"2018/S 0F2-0035257"</f>
        <v>2018/S 0F2-0035257</v>
      </c>
      <c r="F5972" s="1" t="s">
        <v>22</v>
      </c>
      <c r="G5972" s="1" t="str">
        <f>CONCATENATE("BOLČEVIĆ-GRADNJA D.O.O.,"," DUGOSELSKA CESTA 56,"," 10361 SESVETSKI KRALJEVEC,"," OIB: 520986705")</f>
        <v>BOLČEVIĆ-GRADNJA D.O.O., DUGOSELSKA CESTA 56, 10361 SESVETSKI KRALJEVEC, OIB: 520986705</v>
      </c>
      <c r="H5972" s="1" t="str">
        <f>CONCATENATE("MGV D.O.O.,"," OIB: 07790118186",CHAR(10),"ELEKTROMONTERSKI OBRT LEVANT VL. IVICA MADUNA,"," OIB: 25046213078")</f>
        <v>MGV D.O.O., OIB: 07790118186
ELEKTROMONTERSKI OBRT LEVANT VL. IVICA MADUNA, OIB: 25046213078</v>
      </c>
      <c r="I5972" s="8" t="s">
        <v>3866</v>
      </c>
      <c r="J5972" s="8" t="s">
        <v>826</v>
      </c>
      <c r="K5972" s="6" t="str">
        <f>"2.918.062,83"</f>
        <v>2.918.062,83</v>
      </c>
      <c r="L5972" s="6" t="str">
        <f>"729.515,71"</f>
        <v>729.515,71</v>
      </c>
      <c r="M5972" s="6" t="str">
        <f>"3.647.578,54"</f>
        <v>3.647.578,54</v>
      </c>
      <c r="N5972" s="8" t="s">
        <v>1968</v>
      </c>
      <c r="O5972" s="7"/>
      <c r="P5972" s="2" t="s">
        <v>8593</v>
      </c>
      <c r="Q5972" s="7"/>
      <c r="R5972" s="1"/>
      <c r="S5972" s="1" t="str">
        <f>"N-94/18"</f>
        <v>N-94/18</v>
      </c>
      <c r="T5972" s="1" t="s">
        <v>55</v>
      </c>
    </row>
    <row r="5973" spans="1:20" ht="51" x14ac:dyDescent="0.25">
      <c r="A5973" s="6">
        <v>5952</v>
      </c>
      <c r="B5973" s="1" t="str">
        <f>"2018-3115"</f>
        <v>2018-3115</v>
      </c>
      <c r="C5973" s="1" t="s">
        <v>4178</v>
      </c>
      <c r="D5973" s="1" t="s">
        <v>2068</v>
      </c>
      <c r="E5973" s="1" t="str">
        <f>"2018/S 0F2-0035915"</f>
        <v>2018/S 0F2-0035915</v>
      </c>
      <c r="F5973" s="1" t="s">
        <v>22</v>
      </c>
      <c r="G5973" s="1" t="str">
        <f>CONCATENATE("VODOTEHNIKA D.D.,"," KOTURAŠKA CESTA 49,"," 10000 ZAGREB,"," OIB: 1763143132")</f>
        <v>VODOTEHNIKA D.D., KOTURAŠKA CESTA 49, 10000 ZAGREB, OIB: 1763143132</v>
      </c>
      <c r="H5973" s="7"/>
      <c r="I5973" s="8" t="s">
        <v>3866</v>
      </c>
      <c r="J5973" s="8" t="s">
        <v>826</v>
      </c>
      <c r="K5973" s="6" t="str">
        <f>"2.673.025,12"</f>
        <v>2.673.025,12</v>
      </c>
      <c r="L5973" s="6" t="str">
        <f>"668.256,28"</f>
        <v>668.256,28</v>
      </c>
      <c r="M5973" s="6" t="str">
        <f>"3.341.281,40"</f>
        <v>3.341.281,40</v>
      </c>
      <c r="N5973" s="8" t="s">
        <v>4179</v>
      </c>
      <c r="O5973" s="7"/>
      <c r="P5973" s="2" t="s">
        <v>8594</v>
      </c>
      <c r="Q5973" s="7"/>
      <c r="R5973" s="1"/>
      <c r="S5973" s="1" t="str">
        <f>"N-95/18"</f>
        <v>N-95/18</v>
      </c>
      <c r="T5973" s="1" t="s">
        <v>55</v>
      </c>
    </row>
    <row r="5974" spans="1:20" ht="51" x14ac:dyDescent="0.25">
      <c r="A5974" s="6">
        <v>5953</v>
      </c>
      <c r="B5974" s="1" t="str">
        <f>"2018-3116"</f>
        <v>2018-3116</v>
      </c>
      <c r="C5974" s="1" t="s">
        <v>4180</v>
      </c>
      <c r="D5974" s="1" t="s">
        <v>2068</v>
      </c>
      <c r="E5974" s="1" t="str">
        <f>"2018/S 0F2-0036652"</f>
        <v>2018/S 0F2-0036652</v>
      </c>
      <c r="F5974" s="1" t="s">
        <v>22</v>
      </c>
      <c r="G5974" s="1" t="str">
        <f>CONCATENATE("GEORAD D.O.O.,"," KORNATSKA 1,"," 10000 ZAGREB,"," OIB: 49756748234")</f>
        <v>GEORAD D.O.O., KORNATSKA 1, 10000 ZAGREB, OIB: 49756748234</v>
      </c>
      <c r="H5974" s="7"/>
      <c r="I5974" s="8" t="s">
        <v>3866</v>
      </c>
      <c r="J5974" s="8" t="s">
        <v>826</v>
      </c>
      <c r="K5974" s="6" t="str">
        <f>"2.026.684,00"</f>
        <v>2.026.684,00</v>
      </c>
      <c r="L5974" s="6" t="str">
        <f>"506.671,00"</f>
        <v>506.671,00</v>
      </c>
      <c r="M5974" s="6" t="str">
        <f>"2.533.355,00"</f>
        <v>2.533.355,00</v>
      </c>
      <c r="N5974" s="8" t="s">
        <v>4181</v>
      </c>
      <c r="O5974" s="7"/>
      <c r="P5974" s="2" t="s">
        <v>8595</v>
      </c>
      <c r="Q5974" s="7"/>
      <c r="R5974" s="1"/>
      <c r="S5974" s="1" t="str">
        <f>"N-96/18"</f>
        <v>N-96/18</v>
      </c>
      <c r="T5974" s="1" t="s">
        <v>55</v>
      </c>
    </row>
    <row r="5975" spans="1:20" ht="51" x14ac:dyDescent="0.25">
      <c r="A5975" s="6">
        <v>5954</v>
      </c>
      <c r="B5975" s="1" t="str">
        <f>"2018-3133"</f>
        <v>2018-3133</v>
      </c>
      <c r="C5975" s="1" t="s">
        <v>4182</v>
      </c>
      <c r="D5975" s="1" t="s">
        <v>702</v>
      </c>
      <c r="E5975" s="1" t="str">
        <f>"2018/S 0F2-0036592"</f>
        <v>2018/S 0F2-0036592</v>
      </c>
      <c r="F5975" s="1" t="s">
        <v>22</v>
      </c>
      <c r="G5975" s="1" t="str">
        <f>CONCATENATE("PTMG D.O.O.,"," GORNJOSTUPNIČKA 18,"," 10255 STUPNIK,"," OIB: 5061792625")</f>
        <v>PTMG D.O.O., GORNJOSTUPNIČKA 18, 10255 STUPNIK, OIB: 5061792625</v>
      </c>
      <c r="H5975" s="7"/>
      <c r="I5975" s="8" t="s">
        <v>4183</v>
      </c>
      <c r="J5975" s="8" t="s">
        <v>4184</v>
      </c>
      <c r="K5975" s="6" t="str">
        <f>"703.092,00"</f>
        <v>703.092,00</v>
      </c>
      <c r="L5975" s="6" t="str">
        <f>"175.773,00"</f>
        <v>175.773,00</v>
      </c>
      <c r="M5975" s="6" t="str">
        <f>"878.865,00"</f>
        <v>878.865,00</v>
      </c>
      <c r="N5975" s="8" t="s">
        <v>4185</v>
      </c>
      <c r="O5975" s="7"/>
      <c r="P5975" s="2" t="s">
        <v>8596</v>
      </c>
      <c r="Q5975" s="7"/>
      <c r="R5975" s="1"/>
      <c r="S5975" s="1" t="str">
        <f>"N-98/18"</f>
        <v>N-98/18</v>
      </c>
      <c r="T5975" s="1" t="s">
        <v>452</v>
      </c>
    </row>
    <row r="5976" spans="1:20" ht="76.5" x14ac:dyDescent="0.25">
      <c r="A5976" s="6">
        <v>5955</v>
      </c>
      <c r="B5976" s="1" t="str">
        <f>"2018-1285"</f>
        <v>2018-1285</v>
      </c>
      <c r="C5976" s="1" t="s">
        <v>2089</v>
      </c>
      <c r="D5976" s="1" t="s">
        <v>1884</v>
      </c>
      <c r="E5976" s="1" t="str">
        <f>"2018/S 0F2-0026247"</f>
        <v>2018/S 0F2-0026247</v>
      </c>
      <c r="F5976" s="1" t="s">
        <v>22</v>
      </c>
      <c r="G5976" s="1" t="str">
        <f>CONCATENATE("TEKNOXGROUP HRVATSKA D.O.O.,"," ZASTAVNICE 25D,"," 10251 HRVATSKI LESKOVAC,"," OIB: 31826907316")</f>
        <v>TEKNOXGROUP HRVATSKA D.O.O., ZASTAVNICE 25D, 10251 HRVATSKI LESKOVAC, OIB: 31826907316</v>
      </c>
      <c r="H5976" s="7"/>
      <c r="I5976" s="8" t="s">
        <v>1977</v>
      </c>
      <c r="J5976" s="8" t="s">
        <v>4152</v>
      </c>
      <c r="K5976" s="6" t="str">
        <f>"1.257.920,00"</f>
        <v>1.257.920,00</v>
      </c>
      <c r="L5976" s="6" t="str">
        <f>"314.480,00"</f>
        <v>314.480,00</v>
      </c>
      <c r="M5976" s="6" t="str">
        <f>"1.572.400,00"</f>
        <v>1.572.400,00</v>
      </c>
      <c r="N5976" s="8" t="s">
        <v>124</v>
      </c>
      <c r="O5976" s="7"/>
      <c r="P5976" s="2" t="s">
        <v>5614</v>
      </c>
      <c r="Q5976" s="7"/>
      <c r="R5976" s="1"/>
      <c r="S5976" s="1" t="str">
        <f>"N-99/18"</f>
        <v>N-99/18</v>
      </c>
      <c r="T5976" s="1" t="s">
        <v>55</v>
      </c>
    </row>
    <row r="5977" spans="1:20" ht="76.5" x14ac:dyDescent="0.25">
      <c r="A5977" s="6">
        <v>5956</v>
      </c>
      <c r="B5977" s="1" t="str">
        <f>"2018-478"</f>
        <v>2018-478</v>
      </c>
      <c r="C5977" s="1" t="s">
        <v>4186</v>
      </c>
      <c r="D5977" s="1" t="s">
        <v>1979</v>
      </c>
      <c r="E5977" s="1" t="str">
        <f>"2018/S 0F2-0025978"</f>
        <v>2018/S 0F2-0025978</v>
      </c>
      <c r="F5977" s="1" t="s">
        <v>22</v>
      </c>
      <c r="G5977" s="1" t="str">
        <f>CONCATENATE("HIDRO UNA D.O.O.,"," JOSIPA ANIĆA 14,"," 10000 ZAGREB,"," OIB: 60109409627")</f>
        <v>HIDRO UNA D.O.O., JOSIPA ANIĆA 14, 10000 ZAGREB, OIB: 60109409627</v>
      </c>
      <c r="H5977" s="7"/>
      <c r="I5977" s="8" t="s">
        <v>445</v>
      </c>
      <c r="J5977" s="8" t="s">
        <v>2074</v>
      </c>
      <c r="K5977" s="6" t="str">
        <f>"63.600,00"</f>
        <v>63.600,00</v>
      </c>
      <c r="L5977" s="6" t="str">
        <f>"15.900,00"</f>
        <v>15.900,00</v>
      </c>
      <c r="M5977" s="6" t="str">
        <f>"79.500,00"</f>
        <v>79.500,00</v>
      </c>
      <c r="N5977" s="8" t="s">
        <v>124</v>
      </c>
      <c r="O5977" s="7"/>
      <c r="P5977" s="2" t="s">
        <v>5614</v>
      </c>
      <c r="Q5977" s="7"/>
      <c r="R5977" s="1"/>
      <c r="S5977" s="1" t="str">
        <f>"N-100/18"</f>
        <v>N-100/18</v>
      </c>
      <c r="T5977" s="1" t="s">
        <v>55</v>
      </c>
    </row>
    <row r="5978" spans="1:20" ht="63.75" x14ac:dyDescent="0.25">
      <c r="A5978" s="6">
        <v>5957</v>
      </c>
      <c r="B5978" s="1" t="str">
        <f>"2018-2734"</f>
        <v>2018-2734</v>
      </c>
      <c r="C5978" s="1" t="s">
        <v>4187</v>
      </c>
      <c r="D5978" s="1" t="s">
        <v>941</v>
      </c>
      <c r="E5978" s="1" t="str">
        <f>"2018/S 0F2-0035915"</f>
        <v>2018/S 0F2-0035915</v>
      </c>
      <c r="F5978" s="1" t="s">
        <v>22</v>
      </c>
      <c r="G5978" s="1" t="str">
        <f>CONCATENATE("KOLEKTOR-ZAGREB D.O.O.,"," IVANIĆGRADSKA 22,"," 10000 ZAGREB,"," OIB: 73209542242")</f>
        <v>KOLEKTOR-ZAGREB D.O.O., IVANIĆGRADSKA 22, 10000 ZAGREB, OIB: 73209542242</v>
      </c>
      <c r="H5978" s="7"/>
      <c r="I5978" s="8" t="s">
        <v>445</v>
      </c>
      <c r="J5978" s="8" t="s">
        <v>4188</v>
      </c>
      <c r="K5978" s="6" t="str">
        <f>"305.574,00"</f>
        <v>305.574,00</v>
      </c>
      <c r="L5978" s="6" t="str">
        <f>"76.393,50"</f>
        <v>76.393,50</v>
      </c>
      <c r="M5978" s="6" t="str">
        <f>"381.967,50"</f>
        <v>381.967,50</v>
      </c>
      <c r="N5978" s="8" t="s">
        <v>4027</v>
      </c>
      <c r="O5978" s="7"/>
      <c r="P5978" s="2" t="s">
        <v>8597</v>
      </c>
      <c r="Q5978" s="7"/>
      <c r="R5978" s="1"/>
      <c r="S5978" s="1" t="str">
        <f>"N-101/18"</f>
        <v>N-101/18</v>
      </c>
      <c r="T5978" s="1" t="s">
        <v>55</v>
      </c>
    </row>
    <row r="5979" spans="1:20" ht="127.5" x14ac:dyDescent="0.25">
      <c r="A5979" s="6">
        <v>5958</v>
      </c>
      <c r="B5979" s="1" t="str">
        <f>"2018-3114"</f>
        <v>2018-3114</v>
      </c>
      <c r="C5979" s="1" t="s">
        <v>4189</v>
      </c>
      <c r="D5979" s="1" t="s">
        <v>2068</v>
      </c>
      <c r="E5979" s="1" t="str">
        <f>"2018/S 0F2-0035219"</f>
        <v>2018/S 0F2-0035219</v>
      </c>
      <c r="F5979" s="1" t="s">
        <v>22</v>
      </c>
      <c r="G5979" s="1"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5979" s="7"/>
      <c r="I5979" s="8" t="s">
        <v>1954</v>
      </c>
      <c r="J5979" s="8" t="s">
        <v>4190</v>
      </c>
      <c r="K5979" s="6" t="str">
        <f>"519.449,19"</f>
        <v>519.449,19</v>
      </c>
      <c r="L5979" s="6" t="str">
        <f>"129.862,30"</f>
        <v>129.862,30</v>
      </c>
      <c r="M5979" s="6" t="str">
        <f>"649.311,49"</f>
        <v>649.311,49</v>
      </c>
      <c r="N5979" s="8" t="s">
        <v>225</v>
      </c>
      <c r="O5979" s="7"/>
      <c r="P5979" s="2" t="s">
        <v>8598</v>
      </c>
      <c r="Q5979" s="7"/>
      <c r="R5979" s="1"/>
      <c r="S5979" s="1" t="str">
        <f>"N-103/18"</f>
        <v>N-103/18</v>
      </c>
      <c r="T5979" s="1" t="s">
        <v>55</v>
      </c>
    </row>
    <row r="5980" spans="1:20" ht="63.75" x14ac:dyDescent="0.25">
      <c r="A5980" s="6">
        <v>5959</v>
      </c>
      <c r="B5980" s="1" t="str">
        <f>"2018-3113"</f>
        <v>2018-3113</v>
      </c>
      <c r="C5980" s="1" t="s">
        <v>4191</v>
      </c>
      <c r="D5980" s="1" t="s">
        <v>2068</v>
      </c>
      <c r="E5980" s="1" t="str">
        <f>"2018/S 0F2-0035908"</f>
        <v>2018/S 0F2-0035908</v>
      </c>
      <c r="F5980" s="1" t="s">
        <v>22</v>
      </c>
      <c r="G5980" s="1" t="str">
        <f>CONCATENATE("TEMPORIUM GRADNJA D.O.O.,"," LJUTOMERSKA ULICA 33A,"," 10000 ZAGREB,"," OIB: 6285048268")</f>
        <v>TEMPORIUM GRADNJA D.O.O., LJUTOMERSKA ULICA 33A, 10000 ZAGREB, OIB: 6285048268</v>
      </c>
      <c r="H5980" s="1" t="str">
        <f>CONCATENATE("INSTAL-PROM D.O.O.,"," OIB: 21231984689")</f>
        <v>INSTAL-PROM D.O.O., OIB: 21231984689</v>
      </c>
      <c r="I5980" s="8" t="s">
        <v>4192</v>
      </c>
      <c r="J5980" s="8" t="s">
        <v>4193</v>
      </c>
      <c r="K5980" s="6" t="str">
        <f>"569.015,47"</f>
        <v>569.015,47</v>
      </c>
      <c r="L5980" s="6" t="str">
        <f>"142.253,87"</f>
        <v>142.253,87</v>
      </c>
      <c r="M5980" s="6" t="str">
        <f>"711.269,34"</f>
        <v>711.269,34</v>
      </c>
      <c r="N5980" s="8" t="s">
        <v>124</v>
      </c>
      <c r="O5980" s="7"/>
      <c r="P5980" s="2" t="s">
        <v>5614</v>
      </c>
      <c r="Q5980" s="7"/>
      <c r="R5980" s="1"/>
      <c r="S5980" s="1" t="str">
        <f>"N-104/18"</f>
        <v>N-104/18</v>
      </c>
      <c r="T5980" s="1" t="s">
        <v>55</v>
      </c>
    </row>
    <row r="5981" spans="1:20" ht="38.25" x14ac:dyDescent="0.25">
      <c r="A5981" s="6">
        <v>5960</v>
      </c>
      <c r="B5981" s="1" t="str">
        <f>"2018-3040"</f>
        <v>2018-3040</v>
      </c>
      <c r="C5981" s="1" t="s">
        <v>4194</v>
      </c>
      <c r="D5981" s="1" t="s">
        <v>1871</v>
      </c>
      <c r="E5981" s="1" t="str">
        <f>"2018/S 0F2-0031955"</f>
        <v>2018/S 0F2-0031955</v>
      </c>
      <c r="F5981" s="1" t="s">
        <v>22</v>
      </c>
      <c r="G5981" s="1" t="str">
        <f>CONCATENATE("FRACASSO RI D.O.O.,"," ,"," OIB: 02744205849")</f>
        <v>FRACASSO RI D.O.O., , OIB: 02744205849</v>
      </c>
      <c r="H5981" s="7"/>
      <c r="I5981" s="8" t="s">
        <v>4195</v>
      </c>
      <c r="J5981" s="8" t="s">
        <v>4196</v>
      </c>
      <c r="K5981" s="6" t="str">
        <f>"1.495.491,50"</f>
        <v>1.495.491,50</v>
      </c>
      <c r="L5981" s="6" t="str">
        <f>"373.872,88"</f>
        <v>373.872,88</v>
      </c>
      <c r="M5981" s="6" t="str">
        <f>"1.869.364,38"</f>
        <v>1.869.364,38</v>
      </c>
      <c r="N5981" s="8" t="s">
        <v>4197</v>
      </c>
      <c r="O5981" s="7"/>
      <c r="P5981" s="2" t="s">
        <v>8599</v>
      </c>
      <c r="Q5981" s="7"/>
      <c r="R5981" s="1"/>
      <c r="S5981" s="1" t="str">
        <f>"N-106/18"</f>
        <v>N-106/18</v>
      </c>
      <c r="T5981" s="1" t="s">
        <v>32</v>
      </c>
    </row>
    <row r="5982" spans="1:20" ht="76.5" x14ac:dyDescent="0.25">
      <c r="A5982" s="6">
        <v>5961</v>
      </c>
      <c r="B5982" s="1" t="str">
        <f>"2018-1474"</f>
        <v>2018-1474</v>
      </c>
      <c r="C5982" s="1" t="s">
        <v>4198</v>
      </c>
      <c r="D5982" s="1" t="s">
        <v>1979</v>
      </c>
      <c r="E5982" s="1" t="str">
        <f>"2018/S 0F2-0031652"</f>
        <v>2018/S 0F2-0031652</v>
      </c>
      <c r="F5982" s="1" t="s">
        <v>22</v>
      </c>
      <c r="G5982" s="1" t="str">
        <f>CONCATENATE("HIDRO-A D.O.O.,"," VRLIČKA 24,"," 10000 ZAGREB,"," OIB: 84077835296")</f>
        <v>HIDRO-A D.O.O., VRLIČKA 24, 10000 ZAGREB, OIB: 84077835296</v>
      </c>
      <c r="H5982" s="7"/>
      <c r="I5982" s="8" t="s">
        <v>472</v>
      </c>
      <c r="J5982" s="8" t="s">
        <v>473</v>
      </c>
      <c r="K5982" s="6" t="str">
        <f>"114.362,50"</f>
        <v>114.362,50</v>
      </c>
      <c r="L5982" s="6" t="str">
        <f>"28.590,62"</f>
        <v>28.590,62</v>
      </c>
      <c r="M5982" s="6" t="str">
        <f>"142.953,12"</f>
        <v>142.953,12</v>
      </c>
      <c r="N5982" s="8" t="s">
        <v>124</v>
      </c>
      <c r="O5982" s="7"/>
      <c r="P5982" s="2" t="s">
        <v>5614</v>
      </c>
      <c r="Q5982" s="7"/>
      <c r="R5982" s="1"/>
      <c r="S5982" s="1" t="str">
        <f>"N-111/18"</f>
        <v>N-111/18</v>
      </c>
      <c r="T5982" s="1" t="s">
        <v>55</v>
      </c>
    </row>
    <row r="5983" spans="1:20" ht="63.75" x14ac:dyDescent="0.25">
      <c r="A5983" s="6">
        <v>5962</v>
      </c>
      <c r="B5983" s="1" t="str">
        <f>"2018-1262"</f>
        <v>2018-1262</v>
      </c>
      <c r="C5983" s="1" t="s">
        <v>4199</v>
      </c>
      <c r="D5983" s="1" t="s">
        <v>941</v>
      </c>
      <c r="E5983" s="1" t="str">
        <f>"2018/S 0F2-0036521"</f>
        <v>2018/S 0F2-0036521</v>
      </c>
      <c r="F5983" s="1" t="s">
        <v>22</v>
      </c>
      <c r="G5983" s="1" t="str">
        <f>CONCATENATE("HIDRO GRAD D.O.O.,"," GUSTAVA KRKLECA,"," RAKITJE 6,"," 10437 BESTOVJE,"," OIB: 49528301725")</f>
        <v>HIDRO GRAD D.O.O., GUSTAVA KRKLECA, RAKITJE 6, 10437 BESTOVJE, OIB: 49528301725</v>
      </c>
      <c r="H5983" s="7"/>
      <c r="I5983" s="8" t="s">
        <v>472</v>
      </c>
      <c r="J5983" s="8" t="s">
        <v>4200</v>
      </c>
      <c r="K5983" s="6" t="str">
        <f>"330.000,00"</f>
        <v>330.000,00</v>
      </c>
      <c r="L5983" s="6" t="str">
        <f>"82.500,00"</f>
        <v>82.500,00</v>
      </c>
      <c r="M5983" s="6" t="str">
        <f>"412.500,00"</f>
        <v>412.500,00</v>
      </c>
      <c r="N5983" s="8" t="s">
        <v>4201</v>
      </c>
      <c r="O5983" s="7"/>
      <c r="P5983" s="2" t="s">
        <v>8600</v>
      </c>
      <c r="Q5983" s="7"/>
      <c r="R5983" s="1"/>
      <c r="S5983" s="1" t="str">
        <f>"N-112/18"</f>
        <v>N-112/18</v>
      </c>
      <c r="T5983" s="1" t="s">
        <v>55</v>
      </c>
    </row>
    <row r="5984" spans="1:20" ht="63.75" x14ac:dyDescent="0.25">
      <c r="A5984" s="6">
        <v>5963</v>
      </c>
      <c r="B5984" s="1" t="str">
        <f>"2018-3118"</f>
        <v>2018-3118</v>
      </c>
      <c r="C5984" s="1" t="s">
        <v>4202</v>
      </c>
      <c r="D5984" s="1" t="s">
        <v>2068</v>
      </c>
      <c r="E5984" s="1" t="str">
        <f>"2018/S 0F2-0036404"</f>
        <v>2018/S 0F2-0036404</v>
      </c>
      <c r="F5984" s="1" t="s">
        <v>22</v>
      </c>
      <c r="G5984" s="1" t="str">
        <f>CONCATENATE("AMB GRADNJA D.O.O.,"," PRILAZ BARUNA FILIPOVIĆA 15,"," 10000 ZAGREB,"," OIB: 8527265147")</f>
        <v>AMB GRADNJA D.O.O., PRILAZ BARUNA FILIPOVIĆA 15, 10000 ZAGREB, OIB: 8527265147</v>
      </c>
      <c r="H5984" s="7"/>
      <c r="I5984" s="8" t="s">
        <v>472</v>
      </c>
      <c r="J5984" s="8" t="s">
        <v>4200</v>
      </c>
      <c r="K5984" s="6" t="str">
        <f>"1.089.405,71"</f>
        <v>1.089.405,71</v>
      </c>
      <c r="L5984" s="6" t="str">
        <f>"272.351,43"</f>
        <v>272.351,43</v>
      </c>
      <c r="M5984" s="6" t="str">
        <f>"1.361.757,14"</f>
        <v>1.361.757,14</v>
      </c>
      <c r="N5984" s="8" t="s">
        <v>4203</v>
      </c>
      <c r="O5984" s="7"/>
      <c r="P5984" s="2" t="s">
        <v>8601</v>
      </c>
      <c r="Q5984" s="7"/>
      <c r="R5984" s="1"/>
      <c r="S5984" s="1" t="str">
        <f>"N-113/18"</f>
        <v>N-113/18</v>
      </c>
      <c r="T5984" s="1" t="s">
        <v>55</v>
      </c>
    </row>
    <row r="5985" spans="1:20" ht="38.25" x14ac:dyDescent="0.25">
      <c r="A5985" s="6">
        <v>5964</v>
      </c>
      <c r="B5985" s="1" t="str">
        <f>"2018-3047"</f>
        <v>2018-3047</v>
      </c>
      <c r="C5985" s="1" t="s">
        <v>4204</v>
      </c>
      <c r="D5985" s="1" t="s">
        <v>2043</v>
      </c>
      <c r="E5985" s="1" t="str">
        <f>"2019/S 0F2-0000099"</f>
        <v>2019/S 0F2-0000099</v>
      </c>
      <c r="F5985" s="1" t="s">
        <v>22</v>
      </c>
      <c r="G5985" s="1" t="str">
        <f>CONCATENATE("PARTNER ELECTRIC D.O.O.,"," ,"," OIB: 2124600005")</f>
        <v>PARTNER ELECTRIC D.O.O., , OIB: 2124600005</v>
      </c>
      <c r="H5985" s="1" t="str">
        <f>CONCATENATE("COMBIS D.O.O.,"," OIB: 91678676896")</f>
        <v>COMBIS D.O.O., OIB: 91678676896</v>
      </c>
      <c r="I5985" s="8" t="s">
        <v>4205</v>
      </c>
      <c r="J5985" s="8" t="s">
        <v>4206</v>
      </c>
      <c r="K5985" s="6" t="str">
        <f>"429.938,48"</f>
        <v>429.938,48</v>
      </c>
      <c r="L5985" s="6" t="str">
        <f>"107.484,62"</f>
        <v>107.484,62</v>
      </c>
      <c r="M5985" s="6" t="str">
        <f>"537.423,10"</f>
        <v>537.423,10</v>
      </c>
      <c r="N5985" s="8" t="s">
        <v>4059</v>
      </c>
      <c r="O5985" s="7"/>
      <c r="P5985" s="2" t="s">
        <v>8602</v>
      </c>
      <c r="Q5985" s="7"/>
      <c r="R5985" s="1"/>
      <c r="S5985" s="1" t="str">
        <f>"N-115/18"</f>
        <v>N-115/18</v>
      </c>
      <c r="T5985" s="1" t="s">
        <v>32</v>
      </c>
    </row>
    <row r="5986" spans="1:20" ht="89.25" x14ac:dyDescent="0.25">
      <c r="A5986" s="6">
        <v>5965</v>
      </c>
      <c r="B5986" s="1" t="str">
        <f>"2018-3111"</f>
        <v>2018-3111</v>
      </c>
      <c r="C5986" s="1" t="s">
        <v>4207</v>
      </c>
      <c r="D5986" s="1" t="s">
        <v>2068</v>
      </c>
      <c r="E5986" s="1" t="str">
        <f>"2018/S 0F2-0035850"</f>
        <v>2018/S 0F2-0035850</v>
      </c>
      <c r="F5986" s="1" t="s">
        <v>22</v>
      </c>
      <c r="G5986" s="1" t="str">
        <f>CONCATENATE("BUBANJ - NISKOGRADNJA D.O.O.,"," KRUGE 7,"," 10000 ZAGREB,"," OIB: 29539944583")</f>
        <v>BUBANJ - NISKOGRADNJA D.O.O., KRUGE 7, 10000 ZAGREB, OIB: 29539944583</v>
      </c>
      <c r="H5986" s="1" t="str">
        <f>CONCATENATE("GEODIST D.O.O.,"," OIB: 70978671801",CHAR(10),"KINDER GRADNJA D.O.O.,"," OIB: 71001411174")</f>
        <v>GEODIST D.O.O., OIB: 70978671801
KINDER GRADNJA D.O.O., OIB: 71001411174</v>
      </c>
      <c r="I5986" s="8" t="s">
        <v>4208</v>
      </c>
      <c r="J5986" s="8" t="s">
        <v>4209</v>
      </c>
      <c r="K5986" s="6" t="str">
        <f>"649.880,08"</f>
        <v>649.880,08</v>
      </c>
      <c r="L5986" s="6" t="str">
        <f>"162.470,02"</f>
        <v>162.470,02</v>
      </c>
      <c r="M5986" s="6" t="str">
        <f>"812.350,10"</f>
        <v>812.350,10</v>
      </c>
      <c r="N5986" s="8" t="s">
        <v>124</v>
      </c>
      <c r="O5986" s="7"/>
      <c r="P5986" s="2" t="s">
        <v>5614</v>
      </c>
      <c r="Q5986" s="7"/>
      <c r="R5986" s="1"/>
      <c r="S5986" s="1" t="str">
        <f>"N-116/18"</f>
        <v>N-116/18</v>
      </c>
      <c r="T5986" s="1" t="s">
        <v>55</v>
      </c>
    </row>
    <row r="5987" spans="1:20" ht="63.75" x14ac:dyDescent="0.25">
      <c r="A5987" s="6">
        <v>5966</v>
      </c>
      <c r="B5987" s="1" t="str">
        <f>"2018-818"</f>
        <v>2018-818</v>
      </c>
      <c r="C5987" s="1" t="s">
        <v>4210</v>
      </c>
      <c r="D5987" s="1" t="s">
        <v>941</v>
      </c>
      <c r="E5987" s="1" t="str">
        <f>"2018/S 0F2-0029853"</f>
        <v>2018/S 0F2-0029853</v>
      </c>
      <c r="F5987" s="1" t="s">
        <v>22</v>
      </c>
      <c r="G5987" s="1" t="str">
        <f>CONCATENATE("BUBANJ - NISKOGRADNJA D.O.O.,"," KRUGE 7,"," 10000 ZAGREB,"," OIB: 29539944583")</f>
        <v>BUBANJ - NISKOGRADNJA D.O.O., KRUGE 7, 10000 ZAGREB, OIB: 29539944583</v>
      </c>
      <c r="H5987" s="1" t="str">
        <f>CONCATENATE("GEODIST D.O.O.,"," OIB: 709786718")</f>
        <v>GEODIST D.O.O., OIB: 709786718</v>
      </c>
      <c r="I5987" s="8" t="s">
        <v>472</v>
      </c>
      <c r="J5987" s="8" t="s">
        <v>4200</v>
      </c>
      <c r="K5987" s="6" t="str">
        <f>"582.372,40"</f>
        <v>582.372,40</v>
      </c>
      <c r="L5987" s="6" t="str">
        <f>"145.593,10"</f>
        <v>145.593,10</v>
      </c>
      <c r="M5987" s="6" t="str">
        <f>"727.965,50"</f>
        <v>727.965,50</v>
      </c>
      <c r="N5987" s="8" t="s">
        <v>4211</v>
      </c>
      <c r="O5987" s="7"/>
      <c r="P5987" s="2" t="s">
        <v>8603</v>
      </c>
      <c r="Q5987" s="7"/>
      <c r="R5987" s="1"/>
      <c r="S5987" s="1" t="str">
        <f>"N-118/18"</f>
        <v>N-118/18</v>
      </c>
      <c r="T5987" s="1" t="s">
        <v>55</v>
      </c>
    </row>
    <row r="5988" spans="1:20" ht="51" x14ac:dyDescent="0.25">
      <c r="A5988" s="6">
        <v>5967</v>
      </c>
      <c r="B5988" s="1" t="str">
        <f>"2018-2490"</f>
        <v>2018-2490</v>
      </c>
      <c r="C5988" s="1" t="s">
        <v>4212</v>
      </c>
      <c r="D5988" s="1" t="s">
        <v>941</v>
      </c>
      <c r="E5988" s="1" t="str">
        <f>"2018/S 0F2-0033475"</f>
        <v>2018/S 0F2-0033475</v>
      </c>
      <c r="F5988" s="1" t="s">
        <v>22</v>
      </c>
      <c r="G5988" s="1" t="str">
        <f>CONCATENATE("KOM-EKO D.O.O.,"," RADNIČKA CESTA 228,"," 10000 ZAGREB,"," OIB: 27859052647")</f>
        <v>KOM-EKO D.O.O., RADNIČKA CESTA 228, 10000 ZAGREB, OIB: 27859052647</v>
      </c>
      <c r="H5988" s="7"/>
      <c r="I5988" s="8" t="s">
        <v>492</v>
      </c>
      <c r="J5988" s="8" t="s">
        <v>1079</v>
      </c>
      <c r="K5988" s="6" t="str">
        <f>"435.214,25"</f>
        <v>435.214,25</v>
      </c>
      <c r="L5988" s="6" t="str">
        <f>"108.803,56"</f>
        <v>108.803,56</v>
      </c>
      <c r="M5988" s="6" t="str">
        <f>"544.017,81"</f>
        <v>544.017,81</v>
      </c>
      <c r="N5988" s="7"/>
      <c r="O5988" s="9">
        <v>43959</v>
      </c>
      <c r="P5988" s="2" t="s">
        <v>5614</v>
      </c>
      <c r="Q5988" s="7"/>
      <c r="R5988" s="1"/>
      <c r="S5988" s="1" t="str">
        <f>"N-119/18"</f>
        <v>N-119/18</v>
      </c>
      <c r="T5988" s="1" t="s">
        <v>55</v>
      </c>
    </row>
    <row r="5989" spans="1:20" ht="51" x14ac:dyDescent="0.25">
      <c r="A5989" s="6">
        <v>5968</v>
      </c>
      <c r="B5989" s="1" t="str">
        <f>"2018-1060"</f>
        <v>2018-1060</v>
      </c>
      <c r="C5989" s="1" t="s">
        <v>4213</v>
      </c>
      <c r="D5989" s="1" t="s">
        <v>941</v>
      </c>
      <c r="E5989" s="1" t="str">
        <f>"2018/S 0F2-0036610"</f>
        <v>2018/S 0F2-0036610</v>
      </c>
      <c r="F5989" s="1" t="s">
        <v>22</v>
      </c>
      <c r="G5989" s="1" t="str">
        <f>CONCATENATE("TIGRA D.O.O.,"," IVANIĆGRADSKA 22,"," 10000 ZAGREB,"," OIB: 2983006023")</f>
        <v>TIGRA D.O.O., IVANIĆGRADSKA 22, 10000 ZAGREB, OIB: 2983006023</v>
      </c>
      <c r="H5989" s="1" t="str">
        <f>CONCATENATE("DAGOR D.O.O.,"," OIB: 50966188893")</f>
        <v>DAGOR D.O.O., OIB: 50966188893</v>
      </c>
      <c r="I5989" s="8" t="s">
        <v>4214</v>
      </c>
      <c r="J5989" s="8" t="s">
        <v>4215</v>
      </c>
      <c r="K5989" s="6" t="str">
        <f>"2.452.625,28"</f>
        <v>2.452.625,28</v>
      </c>
      <c r="L5989" s="6" t="str">
        <f>"613.156,32"</f>
        <v>613.156,32</v>
      </c>
      <c r="M5989" s="6" t="str">
        <f>"3.065.781,60"</f>
        <v>3.065.781,60</v>
      </c>
      <c r="N5989" s="8" t="s">
        <v>124</v>
      </c>
      <c r="O5989" s="7"/>
      <c r="P5989" s="2" t="s">
        <v>5614</v>
      </c>
      <c r="Q5989" s="7"/>
      <c r="R5989" s="1"/>
      <c r="S5989" s="1" t="str">
        <f>"N-120/18"</f>
        <v>N-120/18</v>
      </c>
      <c r="T5989" s="1" t="s">
        <v>55</v>
      </c>
    </row>
    <row r="5990" spans="1:20" ht="51" x14ac:dyDescent="0.25">
      <c r="A5990" s="6">
        <v>5969</v>
      </c>
      <c r="B5990" s="1" t="str">
        <f>"2018-766"</f>
        <v>2018-766</v>
      </c>
      <c r="C5990" s="1" t="s">
        <v>4216</v>
      </c>
      <c r="D5990" s="1" t="s">
        <v>941</v>
      </c>
      <c r="E5990" s="1" t="str">
        <f>"2018/S 0F2-0035940"</f>
        <v>2018/S 0F2-0035940</v>
      </c>
      <c r="F5990" s="1" t="s">
        <v>22</v>
      </c>
      <c r="G5990" s="1" t="str">
        <f>CONCATENATE("NEVING D.O.O.,"," PAVLA RADIĆA 3,"," 10000 ZAGREB,"," OIB: 70989676533")</f>
        <v>NEVING D.O.O., PAVLA RADIĆA 3, 10000 ZAGREB, OIB: 70989676533</v>
      </c>
      <c r="H5990" s="1" t="str">
        <f>CONCATENATE("GEO GRUPA D.O.O.,"," OIB: 56055678342")</f>
        <v>GEO GRUPA D.O.O., OIB: 56055678342</v>
      </c>
      <c r="I5990" s="8" t="s">
        <v>4217</v>
      </c>
      <c r="J5990" s="8" t="s">
        <v>4218</v>
      </c>
      <c r="K5990" s="6" t="str">
        <f>"1.519.499,03"</f>
        <v>1.519.499,03</v>
      </c>
      <c r="L5990" s="6" t="str">
        <f>"379.874,76"</f>
        <v>379.874,76</v>
      </c>
      <c r="M5990" s="6" t="str">
        <f>"1.899.373,79"</f>
        <v>1.899.373,79</v>
      </c>
      <c r="N5990" s="8" t="s">
        <v>4219</v>
      </c>
      <c r="O5990" s="7"/>
      <c r="P5990" s="2" t="s">
        <v>8604</v>
      </c>
      <c r="Q5990" s="7"/>
      <c r="R5990" s="1"/>
      <c r="S5990" s="1" t="str">
        <f>"N-121/18"</f>
        <v>N-121/18</v>
      </c>
      <c r="T5990" s="1" t="s">
        <v>55</v>
      </c>
    </row>
    <row r="5991" spans="1:20" ht="76.5" x14ac:dyDescent="0.25">
      <c r="A5991" s="6">
        <v>5970</v>
      </c>
      <c r="B5991" s="1" t="str">
        <f>"2018-1453"</f>
        <v>2018-1453</v>
      </c>
      <c r="C5991" s="1" t="s">
        <v>4220</v>
      </c>
      <c r="D5991" s="1" t="s">
        <v>2068</v>
      </c>
      <c r="E5991" s="1" t="str">
        <f>"2018/S 0F2-0032628"</f>
        <v>2018/S 0F2-0032628</v>
      </c>
      <c r="F5991" s="1" t="s">
        <v>22</v>
      </c>
      <c r="G5991" s="1" t="str">
        <f>CONCATENATE("GRADEX &amp; CO D.O.O.,"," PAVLOVEC ZABOČKI,"," PRILAZ DR. FRANJE TUĐMANA 4,"," 49210 ZABOK,"," OIB: 73369080939")</f>
        <v>GRADEX &amp; CO D.O.O., PAVLOVEC ZABOČKI, PRILAZ DR. FRANJE TUĐMANA 4, 49210 ZABOK, OIB: 73369080939</v>
      </c>
      <c r="H5991" s="7"/>
      <c r="I5991" s="8" t="s">
        <v>4208</v>
      </c>
      <c r="J5991" s="8" t="s">
        <v>4209</v>
      </c>
      <c r="K5991" s="6" t="str">
        <f>"17.363.927,90"</f>
        <v>17.363.927,90</v>
      </c>
      <c r="L5991" s="6" t="str">
        <f>"4.340.981,98"</f>
        <v>4.340.981,98</v>
      </c>
      <c r="M5991" s="6" t="str">
        <f>"21.704.909,88"</f>
        <v>21.704.909,88</v>
      </c>
      <c r="N5991" s="8" t="s">
        <v>1988</v>
      </c>
      <c r="O5991" s="7"/>
      <c r="P5991" s="2" t="s">
        <v>8605</v>
      </c>
      <c r="Q5991" s="7"/>
      <c r="R5991" s="1"/>
      <c r="S5991" s="1" t="str">
        <f>"N-122/18"</f>
        <v>N-122/18</v>
      </c>
      <c r="T5991" s="1" t="s">
        <v>55</v>
      </c>
    </row>
    <row r="5992" spans="1:20" ht="76.5" x14ac:dyDescent="0.25">
      <c r="A5992" s="6">
        <v>5971</v>
      </c>
      <c r="B5992" s="1" t="str">
        <f>"2018-1394"</f>
        <v>2018-1394</v>
      </c>
      <c r="C5992" s="1" t="s">
        <v>4221</v>
      </c>
      <c r="D5992" s="1" t="s">
        <v>1979</v>
      </c>
      <c r="E5992" s="1" t="str">
        <f>"2018/S 0F2-0036766"</f>
        <v>2018/S 0F2-0036766</v>
      </c>
      <c r="F5992" s="1" t="s">
        <v>22</v>
      </c>
      <c r="G5992" s="1" t="str">
        <f>CONCATENATE("PROMPT PROJEKTIRANJE D.O.O.,"," TOMISLAVOVA 9,"," 10000 ZAGREB,"," OIB: 30094396634")</f>
        <v>PROMPT PROJEKTIRANJE D.O.O., TOMISLAVOVA 9, 10000 ZAGREB, OIB: 30094396634</v>
      </c>
      <c r="H5992" s="1" t="str">
        <f>CONCATENATE("GEOWELT D.O.O.,"," OIB: 0781552963")</f>
        <v>GEOWELT D.O.O., OIB: 0781552963</v>
      </c>
      <c r="I5992" s="8" t="s">
        <v>4208</v>
      </c>
      <c r="J5992" s="8" t="s">
        <v>4209</v>
      </c>
      <c r="K5992" s="6" t="str">
        <f>"167.000,00"</f>
        <v>167.000,00</v>
      </c>
      <c r="L5992" s="6" t="str">
        <f>"41.750,00"</f>
        <v>41.750,00</v>
      </c>
      <c r="M5992" s="6" t="str">
        <f>"208.750,00"</f>
        <v>208.750,00</v>
      </c>
      <c r="N5992" s="8" t="s">
        <v>124</v>
      </c>
      <c r="O5992" s="7"/>
      <c r="P5992" s="2" t="s">
        <v>5614</v>
      </c>
      <c r="Q5992" s="7"/>
      <c r="R5992" s="1"/>
      <c r="S5992" s="1" t="str">
        <f>"N-124/18"</f>
        <v>N-124/18</v>
      </c>
      <c r="T5992" s="1" t="s">
        <v>55</v>
      </c>
    </row>
    <row r="5993" spans="1:20" ht="51" x14ac:dyDescent="0.25">
      <c r="A5993" s="6">
        <v>5972</v>
      </c>
      <c r="B5993" s="1" t="str">
        <f>"2018-2740"</f>
        <v>2018-2740</v>
      </c>
      <c r="C5993" s="1" t="s">
        <v>4222</v>
      </c>
      <c r="D5993" s="1" t="s">
        <v>1979</v>
      </c>
      <c r="E5993" s="1" t="str">
        <f>"2018/S 0F2-0036306"</f>
        <v>2018/S 0F2-0036306</v>
      </c>
      <c r="F5993" s="1" t="s">
        <v>22</v>
      </c>
      <c r="G5993" s="1" t="str">
        <f>CONCATENATE("HIDROEKO D.O.O.,"," STARJAK 52,"," 10257 BREZOVICA,"," OIB: 34889829677")</f>
        <v>HIDROEKO D.O.O., STARJAK 52, 10257 BREZOVICA, OIB: 34889829677</v>
      </c>
      <c r="H5993" s="7"/>
      <c r="I5993" s="8" t="s">
        <v>4223</v>
      </c>
      <c r="J5993" s="8" t="s">
        <v>2097</v>
      </c>
      <c r="K5993" s="6" t="str">
        <f>"117.500,00"</f>
        <v>117.500,00</v>
      </c>
      <c r="L5993" s="6" t="str">
        <f>"29.375,00"</f>
        <v>29.375,00</v>
      </c>
      <c r="M5993" s="6" t="str">
        <f>"146.875,00"</f>
        <v>146.875,00</v>
      </c>
      <c r="N5993" s="8" t="s">
        <v>124</v>
      </c>
      <c r="O5993" s="7"/>
      <c r="P5993" s="2" t="s">
        <v>5614</v>
      </c>
      <c r="Q5993" s="7"/>
      <c r="R5993" s="1"/>
      <c r="S5993" s="1" t="str">
        <f>"N-125/18"</f>
        <v>N-125/18</v>
      </c>
      <c r="T5993" s="1" t="s">
        <v>55</v>
      </c>
    </row>
    <row r="5994" spans="1:20" ht="76.5" x14ac:dyDescent="0.25">
      <c r="A5994" s="6">
        <v>5973</v>
      </c>
      <c r="B5994" s="1" t="str">
        <f>"2018-1723"</f>
        <v>2018-1723</v>
      </c>
      <c r="C5994" s="1" t="s">
        <v>4224</v>
      </c>
      <c r="D5994" s="1" t="s">
        <v>1979</v>
      </c>
      <c r="E5994" s="1" t="str">
        <f>"2018/S 0F2-0024164"</f>
        <v>2018/S 0F2-0024164</v>
      </c>
      <c r="F5994" s="1" t="s">
        <v>22</v>
      </c>
      <c r="G5994" s="1" t="str">
        <f>CONCATENATE("DIPPOLD &amp; GEROLD-HIDROPROJEKT 91 D.O.O.,"," DESPRIMSKA 8,"," 10257 BREZOVICA,"," OIB: 89365215003")</f>
        <v>DIPPOLD &amp; GEROLD-HIDROPROJEKT 91 D.O.O., DESPRIMSKA 8, 10257 BREZOVICA, OIB: 89365215003</v>
      </c>
      <c r="H5994" s="1" t="str">
        <f>CONCATENATE("GEOM D.O.O.,"," OIB: 09241925730",CHAR(10),"FLAMIT D.O.O.,"," OIB: 84050612509")</f>
        <v>GEOM D.O.O., OIB: 09241925730
FLAMIT D.O.O., OIB: 84050612509</v>
      </c>
      <c r="I5994" s="8" t="s">
        <v>4223</v>
      </c>
      <c r="J5994" s="8" t="s">
        <v>2097</v>
      </c>
      <c r="K5994" s="6" t="str">
        <f>"178.500,00"</f>
        <v>178.500,00</v>
      </c>
      <c r="L5994" s="6" t="str">
        <f>"44.625,00"</f>
        <v>44.625,00</v>
      </c>
      <c r="M5994" s="6" t="str">
        <f>"223.125,00"</f>
        <v>223.125,00</v>
      </c>
      <c r="N5994" s="8" t="s">
        <v>124</v>
      </c>
      <c r="O5994" s="7"/>
      <c r="P5994" s="2" t="s">
        <v>5614</v>
      </c>
      <c r="Q5994" s="7"/>
      <c r="R5994" s="1"/>
      <c r="S5994" s="1" t="str">
        <f>"N-126/18"</f>
        <v>N-126/18</v>
      </c>
      <c r="T5994" s="1" t="s">
        <v>55</v>
      </c>
    </row>
    <row r="5995" spans="1:20" ht="114.75" x14ac:dyDescent="0.25">
      <c r="A5995" s="6">
        <v>5974</v>
      </c>
      <c r="B5995" s="1" t="str">
        <f>"2018-1179"</f>
        <v>2018-1179</v>
      </c>
      <c r="C5995" s="1" t="s">
        <v>4225</v>
      </c>
      <c r="D5995" s="1" t="s">
        <v>941</v>
      </c>
      <c r="E5995" s="1" t="str">
        <f>"2019/S 0F2-0001913"</f>
        <v>2019/S 0F2-0001913</v>
      </c>
      <c r="F5995" s="1" t="s">
        <v>22</v>
      </c>
      <c r="G5995" s="1"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5995" s="7"/>
      <c r="I5995" s="8" t="s">
        <v>492</v>
      </c>
      <c r="J5995" s="8" t="s">
        <v>4226</v>
      </c>
      <c r="K5995" s="6" t="str">
        <f>"1.149.467,25"</f>
        <v>1.149.467,25</v>
      </c>
      <c r="L5995" s="6" t="str">
        <f>"287.366,81"</f>
        <v>287.366,81</v>
      </c>
      <c r="M5995" s="6" t="str">
        <f>"1.436.834,06"</f>
        <v>1.436.834,06</v>
      </c>
      <c r="N5995" s="8" t="s">
        <v>4227</v>
      </c>
      <c r="O5995" s="7"/>
      <c r="P5995" s="2" t="s">
        <v>8606</v>
      </c>
      <c r="Q5995" s="7"/>
      <c r="R5995" s="1"/>
      <c r="S5995" s="1" t="str">
        <f>"N-128/18"</f>
        <v>N-128/18</v>
      </c>
      <c r="T5995" s="1" t="s">
        <v>55</v>
      </c>
    </row>
    <row r="5996" spans="1:20" ht="51" x14ac:dyDescent="0.25">
      <c r="A5996" s="6">
        <v>5975</v>
      </c>
      <c r="B5996" s="1" t="str">
        <f>"2018-242"</f>
        <v>2018-242</v>
      </c>
      <c r="C5996" s="1" t="s">
        <v>2119</v>
      </c>
      <c r="D5996" s="1" t="s">
        <v>867</v>
      </c>
      <c r="E5996" s="1" t="str">
        <f>"2019/S 0F2-0001512"</f>
        <v>2019/S 0F2-0001512</v>
      </c>
      <c r="F5996" s="1" t="s">
        <v>22</v>
      </c>
      <c r="G5996" s="1" t="str">
        <f>CONCATENATE("ENDRESS + HAUSER D.O.O.,"," JARUŠČICA 23,"," 10000 ZAGREB,"," OIB: 7265450036")</f>
        <v>ENDRESS + HAUSER D.O.O., JARUŠČICA 23, 10000 ZAGREB, OIB: 7265450036</v>
      </c>
      <c r="H5996" s="7"/>
      <c r="I5996" s="8" t="s">
        <v>4228</v>
      </c>
      <c r="J5996" s="8" t="s">
        <v>816</v>
      </c>
      <c r="K5996" s="6" t="str">
        <f>"729.992,77"</f>
        <v>729.992,77</v>
      </c>
      <c r="L5996" s="6" t="str">
        <f>"182.498,19"</f>
        <v>182.498,19</v>
      </c>
      <c r="M5996" s="6" t="str">
        <f>"912.490,96"</f>
        <v>912.490,96</v>
      </c>
      <c r="N5996" s="8" t="s">
        <v>538</v>
      </c>
      <c r="O5996" s="7"/>
      <c r="P5996" s="2" t="s">
        <v>8607</v>
      </c>
      <c r="Q5996" s="7"/>
      <c r="R5996" s="1"/>
      <c r="S5996" s="1" t="str">
        <f>"N-129/18"</f>
        <v>N-129/18</v>
      </c>
      <c r="T5996" s="1" t="s">
        <v>55</v>
      </c>
    </row>
    <row r="5997" spans="1:20" ht="51" x14ac:dyDescent="0.25">
      <c r="A5997" s="6">
        <v>5976</v>
      </c>
      <c r="B5997" s="1" t="str">
        <f>"2018-2070"</f>
        <v>2018-2070</v>
      </c>
      <c r="C5997" s="1" t="s">
        <v>4229</v>
      </c>
      <c r="D5997" s="1" t="s">
        <v>941</v>
      </c>
      <c r="E5997" s="1" t="str">
        <f>"2018/S 0F2-0036532"</f>
        <v>2018/S 0F2-0036532</v>
      </c>
      <c r="F5997" s="1" t="s">
        <v>22</v>
      </c>
      <c r="G5997" s="1" t="str">
        <f>CONCATENATE("TIGRA D.O.O.,"," IVANIĆGRADSKA 22,"," 10000 ZAGREB,"," OIB: 2983006023")</f>
        <v>TIGRA D.O.O., IVANIĆGRADSKA 22, 10000 ZAGREB, OIB: 2983006023</v>
      </c>
      <c r="H5997" s="1" t="str">
        <f>CONCATENATE("DAGOR D.O.O.,"," OIB: 50966188893")</f>
        <v>DAGOR D.O.O., OIB: 50966188893</v>
      </c>
      <c r="I5997" s="8" t="s">
        <v>4230</v>
      </c>
      <c r="J5997" s="8" t="s">
        <v>4231</v>
      </c>
      <c r="K5997" s="6" t="str">
        <f>"1.853.388,00"</f>
        <v>1.853.388,00</v>
      </c>
      <c r="L5997" s="6" t="str">
        <f>"463.347,00"</f>
        <v>463.347,00</v>
      </c>
      <c r="M5997" s="6" t="str">
        <f>"2.316.735,00"</f>
        <v>2.316.735,00</v>
      </c>
      <c r="N5997" s="8" t="s">
        <v>1047</v>
      </c>
      <c r="O5997" s="7"/>
      <c r="P5997" s="2" t="s">
        <v>8608</v>
      </c>
      <c r="Q5997" s="7"/>
      <c r="R5997" s="1"/>
      <c r="S5997" s="1" t="str">
        <f>"N-132/18"</f>
        <v>N-132/18</v>
      </c>
      <c r="T5997" s="1" t="s">
        <v>55</v>
      </c>
    </row>
    <row r="5998" spans="1:20" ht="51" x14ac:dyDescent="0.25">
      <c r="A5998" s="6">
        <v>5977</v>
      </c>
      <c r="B5998" s="1" t="str">
        <f>"2018-536"</f>
        <v>2018-536</v>
      </c>
      <c r="C5998" s="1" t="s">
        <v>4232</v>
      </c>
      <c r="D5998" s="1" t="s">
        <v>867</v>
      </c>
      <c r="E5998" s="1" t="str">
        <f>"2019/S 0F2-0005231"</f>
        <v>2019/S 0F2-0005231</v>
      </c>
      <c r="F5998" s="1" t="s">
        <v>22</v>
      </c>
      <c r="G5998" s="1" t="str">
        <f>CONCATENATE("IKOM D.O.O.,"," KOVINSKA 7,"," 10090 ZAGREB-SUSEDGRAD,"," OIB: 86247075815")</f>
        <v>IKOM D.O.O., KOVINSKA 7, 10090 ZAGREB-SUSEDGRAD, OIB: 86247075815</v>
      </c>
      <c r="H5998" s="7"/>
      <c r="I5998" s="8" t="s">
        <v>4233</v>
      </c>
      <c r="J5998" s="8" t="s">
        <v>4234</v>
      </c>
      <c r="K5998" s="6" t="str">
        <f>"1.497.000,00"</f>
        <v>1.497.000,00</v>
      </c>
      <c r="L5998" s="6" t="str">
        <f>"374.250,00"</f>
        <v>374.250,00</v>
      </c>
      <c r="M5998" s="6" t="str">
        <f>"1.871.250,00"</f>
        <v>1.871.250,00</v>
      </c>
      <c r="N5998" s="8" t="s">
        <v>3846</v>
      </c>
      <c r="O5998" s="7"/>
      <c r="P5998" s="2" t="s">
        <v>8609</v>
      </c>
      <c r="Q5998" s="7"/>
      <c r="R5998" s="1"/>
      <c r="S5998" s="1" t="str">
        <f>"N-133/18"</f>
        <v>N-133/18</v>
      </c>
      <c r="T5998" s="1" t="s">
        <v>452</v>
      </c>
    </row>
    <row r="5999" spans="1:20" ht="51" x14ac:dyDescent="0.25">
      <c r="A5999" s="6">
        <v>5978</v>
      </c>
      <c r="B5999" s="1" t="str">
        <f>"2018-3119"</f>
        <v>2018-3119</v>
      </c>
      <c r="C5999" s="1" t="s">
        <v>4235</v>
      </c>
      <c r="D5999" s="1" t="s">
        <v>2068</v>
      </c>
      <c r="E5999" s="1" t="str">
        <f>"2018/S 0F2-0033949"</f>
        <v>2018/S 0F2-0033949</v>
      </c>
      <c r="F5999" s="1" t="s">
        <v>22</v>
      </c>
      <c r="G5999" s="1" t="str">
        <f>CONCATENATE("KINDER GRADNJA D.O.O.,"," SELSKA 57,"," 10360 SESVETE,"," OIB: 71001411174")</f>
        <v>KINDER GRADNJA D.O.O., SELSKA 57, 10360 SESVETE, OIB: 71001411174</v>
      </c>
      <c r="H5999" s="1" t="str">
        <f>CONCATENATE("GEOFORMAT D.O.O.,"," OIB: 11342631919")</f>
        <v>GEOFORMAT D.O.O., OIB: 11342631919</v>
      </c>
      <c r="I5999" s="8" t="s">
        <v>484</v>
      </c>
      <c r="J5999" s="8" t="s">
        <v>4236</v>
      </c>
      <c r="K5999" s="6" t="str">
        <f>"559.654,85"</f>
        <v>559.654,85</v>
      </c>
      <c r="L5999" s="6" t="str">
        <f>"139.913,71"</f>
        <v>139.913,71</v>
      </c>
      <c r="M5999" s="6" t="str">
        <f>"699.568,56"</f>
        <v>699.568,56</v>
      </c>
      <c r="N5999" s="8" t="s">
        <v>3818</v>
      </c>
      <c r="O5999" s="7"/>
      <c r="P5999" s="2" t="s">
        <v>8610</v>
      </c>
      <c r="Q5999" s="7"/>
      <c r="R5999" s="1"/>
      <c r="S5999" s="1" t="str">
        <f>"N-135/18"</f>
        <v>N-135/18</v>
      </c>
      <c r="T5999" s="1" t="s">
        <v>55</v>
      </c>
    </row>
    <row r="6000" spans="1:20" ht="114.75" x14ac:dyDescent="0.25">
      <c r="A6000" s="6">
        <v>5979</v>
      </c>
      <c r="B6000" s="1" t="str">
        <f>"2018-1251"</f>
        <v>2018-1251</v>
      </c>
      <c r="C6000" s="1" t="s">
        <v>4237</v>
      </c>
      <c r="D6000" s="1" t="s">
        <v>4238</v>
      </c>
      <c r="E6000" s="1" t="str">
        <f>"2019/S 0F2-0002832"</f>
        <v>2019/S 0F2-0002832</v>
      </c>
      <c r="F6000" s="1" t="s">
        <v>22</v>
      </c>
      <c r="G6000" s="1" t="str">
        <f>CONCATENATE("Zajednica ponuditelja",CHAR(10),"CONTROLMATIK D.O.O.,"," PRIMORSKA 1,"," 42000 VARAŽDIN,"," OIB: 25020037517ZAGREL RITTMEYER D.O.O. LJUDEVITA POSAVSKOG 29,"," 10360 SESVETE,"," OIB: 00100837674")</f>
        <v>Zajednica ponuditelja
CONTROLMATIK D.O.O., PRIMORSKA 1, 42000 VARAŽDIN, OIB: 25020037517ZAGREL RITTMEYER D.O.O. LJUDEVITA POSAVSKOG 29, 10360 SESVETE, OIB: 00100837674</v>
      </c>
      <c r="H6000" s="7"/>
      <c r="I6000" s="8" t="s">
        <v>3875</v>
      </c>
      <c r="J6000" s="8" t="s">
        <v>4239</v>
      </c>
      <c r="K6000" s="6" t="str">
        <f>"796.650,00"</f>
        <v>796.650,00</v>
      </c>
      <c r="L6000" s="6" t="str">
        <f>"199.162,50"</f>
        <v>199.162,50</v>
      </c>
      <c r="M6000" s="6" t="str">
        <f>"995.812,50"</f>
        <v>995.812,50</v>
      </c>
      <c r="N6000" s="8" t="s">
        <v>124</v>
      </c>
      <c r="O6000" s="7"/>
      <c r="P6000" s="2" t="s">
        <v>5614</v>
      </c>
      <c r="Q6000" s="7"/>
      <c r="R6000" s="1"/>
      <c r="S6000" s="1" t="str">
        <f>"N-136/18"</f>
        <v>N-136/18</v>
      </c>
      <c r="T6000" s="1" t="s">
        <v>55</v>
      </c>
    </row>
    <row r="6001" spans="1:20" ht="114.75" x14ac:dyDescent="0.25">
      <c r="A6001" s="6">
        <v>5980</v>
      </c>
      <c r="B6001" s="1" t="str">
        <f>"2018-764"</f>
        <v>2018-764</v>
      </c>
      <c r="C6001" s="1" t="s">
        <v>4240</v>
      </c>
      <c r="D6001" s="1" t="s">
        <v>1979</v>
      </c>
      <c r="E6001" s="1" t="str">
        <f>"2018/S 0F2-0031996"</f>
        <v>2018/S 0F2-0031996</v>
      </c>
      <c r="F6001" s="1" t="s">
        <v>22</v>
      </c>
      <c r="G6001" s="1"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6001" s="7"/>
      <c r="I6001" s="8" t="s">
        <v>3875</v>
      </c>
      <c r="J6001" s="8" t="s">
        <v>70</v>
      </c>
      <c r="K6001" s="6" t="str">
        <f>"397.000,00"</f>
        <v>397.000,00</v>
      </c>
      <c r="L6001" s="6" t="str">
        <f>"99.250,00"</f>
        <v>99.250,00</v>
      </c>
      <c r="M6001" s="6" t="str">
        <f>"496.250,00"</f>
        <v>496.250,00</v>
      </c>
      <c r="N6001" s="8" t="s">
        <v>124</v>
      </c>
      <c r="O6001" s="7"/>
      <c r="P6001" s="2" t="s">
        <v>5614</v>
      </c>
      <c r="Q6001" s="7"/>
      <c r="R6001" s="1"/>
      <c r="S6001" s="1" t="str">
        <f>"N-139/18"</f>
        <v>N-139/18</v>
      </c>
      <c r="T6001" s="1" t="s">
        <v>55</v>
      </c>
    </row>
    <row r="6002" spans="1:20" ht="76.5" x14ac:dyDescent="0.25">
      <c r="A6002" s="6">
        <v>5981</v>
      </c>
      <c r="B6002" s="1" t="str">
        <f>"2018-2388"</f>
        <v>2018-2388</v>
      </c>
      <c r="C6002" s="1" t="s">
        <v>4241</v>
      </c>
      <c r="D6002" s="1" t="s">
        <v>1641</v>
      </c>
      <c r="E6002" s="1" t="str">
        <f>"2018/S 0F2-0031237"</f>
        <v>2018/S 0F2-0031237</v>
      </c>
      <c r="F6002" s="1" t="s">
        <v>22</v>
      </c>
      <c r="G6002" s="1" t="str">
        <f>CONCATENATE("PROMETNICE ZAGREB D.O.O.,"," GUNDULIĆEVE DUBRAVKE 28,"," 10020 ZAGREB,"," OIB: 28111148974")</f>
        <v>PROMETNICE ZAGREB D.O.O., GUNDULIĆEVE DUBRAVKE 28, 10020 ZAGREB, OIB: 28111148974</v>
      </c>
      <c r="H6002" s="1" t="str">
        <f>CONCATENATE("GEOPROMING D.O.O.,"," OIB: 88203028794",CHAR(10),"GEOMETRICUS D.O.O.,"," OIB: 28104778956")</f>
        <v>GEOPROMING D.O.O., OIB: 88203028794
GEOMETRICUS D.O.O., OIB: 28104778956</v>
      </c>
      <c r="I6002" s="8" t="s">
        <v>4242</v>
      </c>
      <c r="J6002" s="8" t="s">
        <v>861</v>
      </c>
      <c r="K6002" s="6" t="str">
        <f>"82.000,00"</f>
        <v>82.000,00</v>
      </c>
      <c r="L6002" s="6" t="str">
        <f>"20.500,00"</f>
        <v>20.500,00</v>
      </c>
      <c r="M6002" s="6" t="str">
        <f>"102.500,00"</f>
        <v>102.500,00</v>
      </c>
      <c r="N6002" s="8" t="s">
        <v>599</v>
      </c>
      <c r="O6002" s="7"/>
      <c r="P6002" s="2" t="s">
        <v>8611</v>
      </c>
      <c r="Q6002" s="7"/>
      <c r="R6002" s="1"/>
      <c r="S6002" s="1" t="str">
        <f>"N-141/18"</f>
        <v>N-141/18</v>
      </c>
      <c r="T6002" s="1" t="s">
        <v>55</v>
      </c>
    </row>
    <row r="6003" spans="1:20" ht="102" x14ac:dyDescent="0.25">
      <c r="A6003" s="6">
        <v>5982</v>
      </c>
      <c r="B6003" s="1" t="str">
        <f>"2018-2560"</f>
        <v>2018-2560</v>
      </c>
      <c r="C6003" s="1" t="s">
        <v>4243</v>
      </c>
      <c r="D6003" s="1" t="s">
        <v>1979</v>
      </c>
      <c r="E6003" s="1" t="str">
        <f>"2019/S 0F2-0005358"</f>
        <v>2019/S 0F2-0005358</v>
      </c>
      <c r="F6003" s="1" t="s">
        <v>22</v>
      </c>
      <c r="G6003" s="1" t="str">
        <f>CONCATENATE("D.I.A.T. D.O.O.,"," JABLANOVEČKA 37,"," 10 000 ZAGREB,"," OIB: 22889869555")</f>
        <v>D.I.A.T. D.O.O., JABLANOVEČKA 37, 10 000 ZAGREB, OIB: 22889869555</v>
      </c>
      <c r="H6003" s="7"/>
      <c r="I6003" s="8" t="s">
        <v>4034</v>
      </c>
      <c r="J6003" s="8" t="s">
        <v>4244</v>
      </c>
      <c r="K6003" s="6" t="str">
        <f>"107.350,00"</f>
        <v>107.350,00</v>
      </c>
      <c r="L6003" s="6" t="str">
        <f>"26.837,50"</f>
        <v>26.837,50</v>
      </c>
      <c r="M6003" s="6" t="str">
        <f>"134.187,50"</f>
        <v>134.187,50</v>
      </c>
      <c r="N6003" s="8" t="s">
        <v>124</v>
      </c>
      <c r="O6003" s="7"/>
      <c r="P6003" s="2" t="s">
        <v>5614</v>
      </c>
      <c r="Q6003" s="7"/>
      <c r="R6003" s="1"/>
      <c r="S6003" s="1" t="str">
        <f>"N-146/18"</f>
        <v>N-146/18</v>
      </c>
      <c r="T6003" s="1" t="s">
        <v>55</v>
      </c>
    </row>
    <row r="6004" spans="1:20" ht="76.5" x14ac:dyDescent="0.25">
      <c r="A6004" s="6">
        <v>5983</v>
      </c>
      <c r="B6004" s="1" t="str">
        <f>"2018-3146"</f>
        <v>2018-3146</v>
      </c>
      <c r="C6004" s="1" t="s">
        <v>1382</v>
      </c>
      <c r="D6004" s="1" t="s">
        <v>1383</v>
      </c>
      <c r="E6004" s="1" t="str">
        <f>"2019-S 0F2-0003909"</f>
        <v>2019-S 0F2-0003909</v>
      </c>
      <c r="F6004" s="1" t="s">
        <v>22</v>
      </c>
      <c r="G6004" s="1" t="str">
        <f>CONCATENATE("KINDER GRADNJA D.O.O.,"," SELSKA 57,"," 10360 SESVETE,"," OIB: 71001411174")</f>
        <v>KINDER GRADNJA D.O.O., SELSKA 57, 10360 SESVETE, OIB: 71001411174</v>
      </c>
      <c r="H6004" s="1" t="str">
        <f>CONCATENATE("KINDER OBRT ZA GRADNJU I USLUGE VL. TOMISLAV KINDER,"," OIB: 36605135183")</f>
        <v>KINDER OBRT ZA GRADNJU I USLUGE VL. TOMISLAV KINDER, OIB: 36605135183</v>
      </c>
      <c r="I6004" s="8" t="s">
        <v>4108</v>
      </c>
      <c r="J6004" s="8" t="s">
        <v>4245</v>
      </c>
      <c r="K6004" s="6" t="str">
        <f>"4.991.000,00"</f>
        <v>4.991.000,00</v>
      </c>
      <c r="L6004" s="6" t="str">
        <f>"1.247.750,00"</f>
        <v>1.247.750,00</v>
      </c>
      <c r="M6004" s="6" t="str">
        <f>"6.238.750,00"</f>
        <v>6.238.750,00</v>
      </c>
      <c r="N6004" s="8" t="s">
        <v>124</v>
      </c>
      <c r="O6004" s="7"/>
      <c r="P6004" s="2" t="s">
        <v>5614</v>
      </c>
      <c r="Q6004" s="7"/>
      <c r="R6004" s="1"/>
      <c r="S6004" s="1" t="str">
        <f>"N-148/18"</f>
        <v>N-148/18</v>
      </c>
      <c r="T6004" s="1" t="s">
        <v>55</v>
      </c>
    </row>
    <row r="6005" spans="1:20" ht="357" x14ac:dyDescent="0.25">
      <c r="A6005" s="6">
        <v>5984</v>
      </c>
      <c r="B6005" s="1" t="str">
        <f>"2018-2674"</f>
        <v>2018-2674</v>
      </c>
      <c r="C6005" s="1" t="s">
        <v>4246</v>
      </c>
      <c r="D6005" s="1" t="s">
        <v>1979</v>
      </c>
      <c r="E6005" s="1" t="str">
        <f>"2018/S 0F2-0030927"</f>
        <v>2018/S 0F2-0030927</v>
      </c>
      <c r="F6005" s="1" t="s">
        <v>22</v>
      </c>
      <c r="G6005" s="1"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6005" s="1" t="str">
        <f>CONCATENATE("PROJEKTNI BIRO NAGLIĆ D.O.O.,"," OIB: 18216105743",CHAR(10),"HIDROKON D.O.O.,"," OIB: 31977725905")</f>
        <v>PROJEKTNI BIRO NAGLIĆ D.O.O., OIB: 18216105743
HIDROKON D.O.O., OIB: 31977725905</v>
      </c>
      <c r="I6005" s="8" t="s">
        <v>3863</v>
      </c>
      <c r="J6005" s="8" t="s">
        <v>4247</v>
      </c>
      <c r="K6005" s="6" t="str">
        <f>"14.960.000,00"</f>
        <v>14.960.000,00</v>
      </c>
      <c r="L6005" s="6" t="str">
        <f>"3.740.000,00"</f>
        <v>3.740.000,00</v>
      </c>
      <c r="M6005" s="6" t="str">
        <f>"18.700.000,00"</f>
        <v>18.700.000,00</v>
      </c>
      <c r="N6005" s="8" t="s">
        <v>124</v>
      </c>
      <c r="O6005" s="7"/>
      <c r="P6005" s="2" t="s">
        <v>5614</v>
      </c>
      <c r="Q6005" s="7"/>
      <c r="R6005" s="1"/>
      <c r="S6005" s="1" t="str">
        <f>"N-150/18"</f>
        <v>N-150/18</v>
      </c>
      <c r="T6005" s="1" t="s">
        <v>55</v>
      </c>
    </row>
    <row r="6006" spans="1:20" ht="63.75" x14ac:dyDescent="0.25">
      <c r="A6006" s="6">
        <v>5985</v>
      </c>
      <c r="B6006" s="1" t="str">
        <f>"2018-3109"</f>
        <v>2018-3109</v>
      </c>
      <c r="C6006" s="1" t="s">
        <v>4248</v>
      </c>
      <c r="D6006" s="1" t="s">
        <v>2068</v>
      </c>
      <c r="E6006" s="1" t="str">
        <f>"2018/S 0F2-0034231"</f>
        <v>2018/S 0F2-0034231</v>
      </c>
      <c r="F6006" s="1" t="s">
        <v>22</v>
      </c>
      <c r="G6006" s="1" t="str">
        <f>CONCATENATE("AMB GRADNJA D.O.O.,"," PRILAZ BARUNA FILIPOVIĆA 15,"," 10000 ZAGREB,"," OIB: 8527265147")</f>
        <v>AMB GRADNJA D.O.O., PRILAZ BARUNA FILIPOVIĆA 15, 10000 ZAGREB, OIB: 8527265147</v>
      </c>
      <c r="H6006" s="7"/>
      <c r="I6006" s="8" t="s">
        <v>4249</v>
      </c>
      <c r="J6006" s="8" t="s">
        <v>4250</v>
      </c>
      <c r="K6006" s="6" t="str">
        <f>"2.398.390,00"</f>
        <v>2.398.390,00</v>
      </c>
      <c r="L6006" s="6" t="str">
        <f>"599.597,50"</f>
        <v>599.597,50</v>
      </c>
      <c r="M6006" s="6" t="str">
        <f>"2.997.987,50"</f>
        <v>2.997.987,50</v>
      </c>
      <c r="N6006" s="8" t="s">
        <v>3808</v>
      </c>
      <c r="O6006" s="7"/>
      <c r="P6006" s="2" t="s">
        <v>8612</v>
      </c>
      <c r="Q6006" s="7"/>
      <c r="R6006" s="1"/>
      <c r="S6006" s="1" t="str">
        <f>"N-152/18"</f>
        <v>N-152/18</v>
      </c>
      <c r="T6006" s="1" t="s">
        <v>55</v>
      </c>
    </row>
    <row r="6007" spans="1:20" ht="76.5" x14ac:dyDescent="0.25">
      <c r="A6007" s="6">
        <v>5986</v>
      </c>
      <c r="B6007" s="1" t="str">
        <f>"2019-9"</f>
        <v>2019-9</v>
      </c>
      <c r="C6007" s="1" t="s">
        <v>4251</v>
      </c>
      <c r="D6007" s="1" t="s">
        <v>4252</v>
      </c>
      <c r="E6007" s="1" t="str">
        <f>"2019/S 0F2-0006024"</f>
        <v>2019/S 0F2-0006024</v>
      </c>
      <c r="F6007" s="1" t="s">
        <v>22</v>
      </c>
      <c r="G6007" s="1" t="str">
        <f>CONCATENATE("ELEKTROCENTAR PETEK D.O.O.,"," ETANSKA CESTA 8,"," 10310 IVANIĆ-GRAD,"," OIB: 17491977848")</f>
        <v>ELEKTROCENTAR PETEK D.O.O., ETANSKA CESTA 8, 10310 IVANIĆ-GRAD, OIB: 17491977848</v>
      </c>
      <c r="H6007" s="7"/>
      <c r="I6007" s="8" t="s">
        <v>4253</v>
      </c>
      <c r="J6007" s="8" t="s">
        <v>4254</v>
      </c>
      <c r="K6007" s="6" t="str">
        <f>"10.377.760,42"</f>
        <v>10.377.760,42</v>
      </c>
      <c r="L6007" s="6" t="str">
        <f>"2.594.440,10"</f>
        <v>2.594.440,10</v>
      </c>
      <c r="M6007" s="6" t="str">
        <f>"12.972.200,52"</f>
        <v>12.972.200,52</v>
      </c>
      <c r="N6007" s="8" t="s">
        <v>3815</v>
      </c>
      <c r="O6007" s="7"/>
      <c r="P6007" s="2" t="s">
        <v>8613</v>
      </c>
      <c r="Q6007" s="7"/>
      <c r="R6007" s="1"/>
      <c r="S6007" s="1" t="str">
        <f>"N-2/19"</f>
        <v>N-2/19</v>
      </c>
      <c r="T6007" s="1" t="s">
        <v>32</v>
      </c>
    </row>
    <row r="6008" spans="1:20" ht="51" x14ac:dyDescent="0.25">
      <c r="A6008" s="6">
        <v>5987</v>
      </c>
      <c r="B6008" s="1" t="str">
        <f>"2019-2469"</f>
        <v>2019-2469</v>
      </c>
      <c r="C6008" s="1" t="s">
        <v>4255</v>
      </c>
      <c r="D6008" s="1" t="s">
        <v>4256</v>
      </c>
      <c r="E6008" s="1" t="str">
        <f>"2019/S 0F2-0011174"</f>
        <v>2019/S 0F2-0011174</v>
      </c>
      <c r="F6008" s="1" t="s">
        <v>22</v>
      </c>
      <c r="G6008" s="1" t="str">
        <f>CONCATENATE("IDEA PROJEKT D.O.O.,"," FLANATIČKA 25,"," 521000 PULA,"," OIB: 0225710134")</f>
        <v>IDEA PROJEKT D.O.O., FLANATIČKA 25, 521000 PULA, OIB: 0225710134</v>
      </c>
      <c r="H6008" s="7"/>
      <c r="I6008" s="8" t="s">
        <v>511</v>
      </c>
      <c r="J6008" s="8" t="s">
        <v>4257</v>
      </c>
      <c r="K6008" s="6" t="str">
        <f>"1.348.045,90"</f>
        <v>1.348.045,90</v>
      </c>
      <c r="L6008" s="6" t="str">
        <f>"337.011,48"</f>
        <v>337.011,48</v>
      </c>
      <c r="M6008" s="6" t="str">
        <f>"1.685.057,38"</f>
        <v>1.685.057,38</v>
      </c>
      <c r="N6008" s="8" t="s">
        <v>4258</v>
      </c>
      <c r="O6008" s="7"/>
      <c r="P6008" s="2" t="s">
        <v>8614</v>
      </c>
      <c r="Q6008" s="7"/>
      <c r="R6008" s="1"/>
      <c r="S6008" s="1" t="str">
        <f>"N-7/19"</f>
        <v>N-7/19</v>
      </c>
      <c r="T6008" s="1" t="s">
        <v>32</v>
      </c>
    </row>
    <row r="6009" spans="1:20" ht="76.5" x14ac:dyDescent="0.25">
      <c r="A6009" s="6">
        <v>5988</v>
      </c>
      <c r="B6009" s="1" t="str">
        <f>"2019-10"</f>
        <v>2019-10</v>
      </c>
      <c r="C6009" s="1" t="s">
        <v>4259</v>
      </c>
      <c r="D6009" s="1" t="s">
        <v>1641</v>
      </c>
      <c r="E6009" s="1" t="str">
        <f>"2019/S 0F2-0006453"</f>
        <v>2019/S 0F2-0006453</v>
      </c>
      <c r="F6009" s="1" t="s">
        <v>22</v>
      </c>
      <c r="G6009" s="1" t="str">
        <f>CONCATENATE("SEDRA CONSULTING D.O.O.,"," USKOPSKA 11,"," 10010 ZAGREB,"," OIB: 09177957072")</f>
        <v>SEDRA CONSULTING D.O.O., USKOPSKA 11, 10010 ZAGREB, OIB: 09177957072</v>
      </c>
      <c r="H6009" s="7"/>
      <c r="I6009" s="8" t="s">
        <v>3863</v>
      </c>
      <c r="J6009" s="8" t="s">
        <v>4260</v>
      </c>
      <c r="K6009" s="6" t="str">
        <f>"105.000,00"</f>
        <v>105.000,00</v>
      </c>
      <c r="L6009" s="6" t="str">
        <f>"26.250,00"</f>
        <v>26.250,00</v>
      </c>
      <c r="M6009" s="6" t="str">
        <f>"131.250,00"</f>
        <v>131.250,00</v>
      </c>
      <c r="N6009" s="8" t="s">
        <v>3479</v>
      </c>
      <c r="O6009" s="7"/>
      <c r="P6009" s="2" t="s">
        <v>8615</v>
      </c>
      <c r="Q6009" s="7"/>
      <c r="R6009" s="1"/>
      <c r="S6009" s="1" t="str">
        <f>"N-8/19"</f>
        <v>N-8/19</v>
      </c>
      <c r="T6009" s="1" t="s">
        <v>32</v>
      </c>
    </row>
    <row r="6010" spans="1:20" ht="63.75" x14ac:dyDescent="0.25">
      <c r="A6010" s="6">
        <v>5989</v>
      </c>
      <c r="B6010" s="1" t="str">
        <f>"2019-18"</f>
        <v>2019-18</v>
      </c>
      <c r="C6010" s="1" t="s">
        <v>4261</v>
      </c>
      <c r="D6010" s="1" t="s">
        <v>1641</v>
      </c>
      <c r="E6010" s="1" t="str">
        <f>"2019/S 0F2-0009553"</f>
        <v>2019/S 0F2-0009553</v>
      </c>
      <c r="F6010" s="1" t="s">
        <v>22</v>
      </c>
      <c r="G6010" s="1" t="str">
        <f>CONCATENATE("PROMETNICE ZAGREB D.O.O.,"," GUNDULIĆEVE DUBRAVKE 28,"," 10020 ZAGREB,"," OIB: 28111148974")</f>
        <v>PROMETNICE ZAGREB D.O.O., GUNDULIĆEVE DUBRAVKE 28, 10020 ZAGREB, OIB: 28111148974</v>
      </c>
      <c r="H6010" s="1" t="str">
        <f>CONCATENATE("GEOPROMING D.O.O.,"," OIB: 88203028794")</f>
        <v>GEOPROMING D.O.O., OIB: 88203028794</v>
      </c>
      <c r="I6010" s="8" t="s">
        <v>2273</v>
      </c>
      <c r="J6010" s="8" t="s">
        <v>4262</v>
      </c>
      <c r="K6010" s="6" t="str">
        <f>"73.000,00"</f>
        <v>73.000,00</v>
      </c>
      <c r="L6010" s="6" t="str">
        <f>"18.250,00"</f>
        <v>18.250,00</v>
      </c>
      <c r="M6010" s="6" t="str">
        <f>"91.250,00"</f>
        <v>91.250,00</v>
      </c>
      <c r="N6010" s="8" t="s">
        <v>124</v>
      </c>
      <c r="O6010" s="7"/>
      <c r="P6010" s="2" t="s">
        <v>5614</v>
      </c>
      <c r="Q6010" s="7"/>
      <c r="R6010" s="1"/>
      <c r="S6010" s="1" t="str">
        <f>"N-10/19"</f>
        <v>N-10/19</v>
      </c>
      <c r="T6010" s="1" t="s">
        <v>55</v>
      </c>
    </row>
    <row r="6011" spans="1:20" ht="76.5" x14ac:dyDescent="0.25">
      <c r="A6011" s="6">
        <v>5990</v>
      </c>
      <c r="B6011" s="1" t="str">
        <f>"2019-2569"</f>
        <v>2019-2569</v>
      </c>
      <c r="C6011" s="1" t="s">
        <v>4263</v>
      </c>
      <c r="D6011" s="1" t="s">
        <v>4264</v>
      </c>
      <c r="E6011" s="1" t="str">
        <f>"2019/S 0F2-0013404"</f>
        <v>2019/S 0F2-0013404</v>
      </c>
      <c r="F6011" s="1" t="s">
        <v>22</v>
      </c>
      <c r="G6011" s="1" t="str">
        <f>CONCATENATE("PERPETUUM MOBILE D.O.O.,"," DAMIRA TOMLJANOVIĆA-GAVRANA 13,"," 10000 ZAGREB,"," OIB: 67793850303")</f>
        <v>PERPETUUM MOBILE D.O.O., DAMIRA TOMLJANOVIĆA-GAVRANA 13, 10000 ZAGREB, OIB: 67793850303</v>
      </c>
      <c r="H6011" s="7"/>
      <c r="I6011" s="8" t="s">
        <v>3863</v>
      </c>
      <c r="J6011" s="8" t="s">
        <v>4260</v>
      </c>
      <c r="K6011" s="6" t="str">
        <f>"494.000,00"</f>
        <v>494.000,00</v>
      </c>
      <c r="L6011" s="6" t="str">
        <f>"123.500,00"</f>
        <v>123.500,00</v>
      </c>
      <c r="M6011" s="6" t="str">
        <f>"617.500,00"</f>
        <v>617.500,00</v>
      </c>
      <c r="N6011" s="8" t="s">
        <v>124</v>
      </c>
      <c r="O6011" s="7"/>
      <c r="P6011" s="2" t="s">
        <v>5614</v>
      </c>
      <c r="Q6011" s="7"/>
      <c r="R6011" s="1"/>
      <c r="S6011" s="1" t="str">
        <f>"N-11-ZGH/19"</f>
        <v>N-11-ZGH/19</v>
      </c>
      <c r="T6011" s="1" t="s">
        <v>32</v>
      </c>
    </row>
    <row r="6012" spans="1:20" ht="102" x14ac:dyDescent="0.25">
      <c r="A6012" s="6">
        <v>5991</v>
      </c>
      <c r="B6012" s="1" t="str">
        <f>"2019-98"</f>
        <v>2019-98</v>
      </c>
      <c r="C6012" s="1" t="s">
        <v>4265</v>
      </c>
      <c r="D6012" s="1" t="s">
        <v>1979</v>
      </c>
      <c r="E6012" s="1" t="str">
        <f>"2019/S 0F3-0034499"</f>
        <v>2019/S 0F3-0034499</v>
      </c>
      <c r="F6012" s="1" t="s">
        <v>22</v>
      </c>
      <c r="G6012" s="1" t="str">
        <f>CONCATENATE("HIDROKON D.O.O.,"," TRGOVAČKA 8,"," 10000 ZAGREB,"," OIB: 31977725905")</f>
        <v>HIDROKON D.O.O., TRGOVAČKA 8, 10000 ZAGREB, OIB: 31977725905</v>
      </c>
      <c r="H6012" s="7"/>
      <c r="I6012" s="8" t="s">
        <v>3543</v>
      </c>
      <c r="J6012" s="8" t="s">
        <v>1047</v>
      </c>
      <c r="K6012" s="6" t="str">
        <f>"223.000,00"</f>
        <v>223.000,00</v>
      </c>
      <c r="L6012" s="6" t="str">
        <f>"55.750,00"</f>
        <v>55.750,00</v>
      </c>
      <c r="M6012" s="6" t="str">
        <f>"278.750,00"</f>
        <v>278.750,00</v>
      </c>
      <c r="N6012" s="8" t="s">
        <v>124</v>
      </c>
      <c r="O6012" s="7"/>
      <c r="P6012" s="2" t="s">
        <v>5614</v>
      </c>
      <c r="Q6012" s="7"/>
      <c r="R6012" s="1"/>
      <c r="S6012" s="1" t="str">
        <f>"N-13/19"</f>
        <v>N-13/19</v>
      </c>
      <c r="T6012" s="1" t="s">
        <v>55</v>
      </c>
    </row>
    <row r="6013" spans="1:20" ht="51" x14ac:dyDescent="0.25">
      <c r="A6013" s="6">
        <v>5992</v>
      </c>
      <c r="B6013" s="1" t="str">
        <f>"2019-2287"</f>
        <v>2019-2287</v>
      </c>
      <c r="C6013" s="1" t="s">
        <v>4266</v>
      </c>
      <c r="D6013" s="1" t="s">
        <v>702</v>
      </c>
      <c r="E6013" s="1" t="str">
        <f>"2019/S 0F3-0034785"</f>
        <v>2019/S 0F3-0034785</v>
      </c>
      <c r="F6013" s="1" t="s">
        <v>22</v>
      </c>
      <c r="G6013" s="1" t="str">
        <f>CONCATENATE("GEORAD D.O.O.,"," KORNATSKA 1,"," 10000 ZAGREB,"," OIB: 49756748234")</f>
        <v>GEORAD D.O.O., KORNATSKA 1, 10000 ZAGREB, OIB: 49756748234</v>
      </c>
      <c r="H6013" s="7"/>
      <c r="I6013" s="8" t="s">
        <v>4056</v>
      </c>
      <c r="J6013" s="8" t="s">
        <v>2749</v>
      </c>
      <c r="K6013" s="6" t="str">
        <f>"2.890.371,31"</f>
        <v>2.890.371,31</v>
      </c>
      <c r="L6013" s="6" t="str">
        <f>"722.592,83"</f>
        <v>722.592,83</v>
      </c>
      <c r="M6013" s="6" t="str">
        <f>"3.612.964,14"</f>
        <v>3.612.964,14</v>
      </c>
      <c r="N6013" s="8" t="s">
        <v>4267</v>
      </c>
      <c r="O6013" s="7"/>
      <c r="P6013" s="2" t="s">
        <v>8616</v>
      </c>
      <c r="Q6013" s="7"/>
      <c r="R6013" s="1"/>
      <c r="S6013" s="1" t="str">
        <f>"N-14/19"</f>
        <v>N-14/19</v>
      </c>
      <c r="T6013" s="1" t="s">
        <v>452</v>
      </c>
    </row>
    <row r="6014" spans="1:20" ht="51" x14ac:dyDescent="0.25">
      <c r="A6014" s="6">
        <v>5993</v>
      </c>
      <c r="B6014" s="1" t="str">
        <f>"2019-2484"</f>
        <v>2019-2484</v>
      </c>
      <c r="C6014" s="1" t="s">
        <v>4268</v>
      </c>
      <c r="D6014" s="1" t="s">
        <v>941</v>
      </c>
      <c r="E6014" s="1" t="str">
        <f>"2019/S 0F2-0021274"</f>
        <v>2019/S 0F2-0021274</v>
      </c>
      <c r="F6014" s="1" t="s">
        <v>22</v>
      </c>
      <c r="G6014" s="1" t="str">
        <f>CONCATENATE("TIGRA D.O.O.,"," IVANIĆGRADSKA 22,"," 10000 ZAGREB,"," OIB: 2983006023")</f>
        <v>TIGRA D.O.O., IVANIĆGRADSKA 22, 10000 ZAGREB, OIB: 2983006023</v>
      </c>
      <c r="H6014" s="1" t="str">
        <f>CONCATENATE("DAGOR D.O.O.,"," OIB: 50966188893")</f>
        <v>DAGOR D.O.O., OIB: 50966188893</v>
      </c>
      <c r="I6014" s="8" t="s">
        <v>4063</v>
      </c>
      <c r="J6014" s="8" t="s">
        <v>4269</v>
      </c>
      <c r="K6014" s="6" t="str">
        <f>"775.841,25"</f>
        <v>775.841,25</v>
      </c>
      <c r="L6014" s="6" t="str">
        <f>"193.960,31"</f>
        <v>193.960,31</v>
      </c>
      <c r="M6014" s="6" t="str">
        <f>"969.801,56"</f>
        <v>969.801,56</v>
      </c>
      <c r="N6014" s="8" t="s">
        <v>1278</v>
      </c>
      <c r="O6014" s="7"/>
      <c r="P6014" s="2" t="s">
        <v>8617</v>
      </c>
      <c r="Q6014" s="7"/>
      <c r="R6014" s="1"/>
      <c r="S6014" s="1" t="str">
        <f>"N-15/19"</f>
        <v>N-15/19</v>
      </c>
      <c r="T6014" s="1" t="s">
        <v>55</v>
      </c>
    </row>
    <row r="6015" spans="1:20" ht="114.75" x14ac:dyDescent="0.25">
      <c r="A6015" s="6">
        <v>5994</v>
      </c>
      <c r="B6015" s="1" t="str">
        <f>"2019-1294"</f>
        <v>2019-1294</v>
      </c>
      <c r="C6015" s="1" t="s">
        <v>4270</v>
      </c>
      <c r="D6015" s="1" t="s">
        <v>1979</v>
      </c>
      <c r="E6015" s="1" t="str">
        <f>"2019/S 0F2-0019203"</f>
        <v>2019/S 0F2-0019203</v>
      </c>
      <c r="F6015" s="1" t="s">
        <v>22</v>
      </c>
      <c r="G6015" s="1" t="str">
        <f>CONCATENATE("HIDROKON D.O.O.,"," TRGOVAČKA 8,"," 10000 ZAGREB,"," OIB: 31977725905")</f>
        <v>HIDROKON D.O.O., TRGOVAČKA 8, 10000 ZAGREB, OIB: 31977725905</v>
      </c>
      <c r="H6015" s="7"/>
      <c r="I6015" s="8" t="s">
        <v>4271</v>
      </c>
      <c r="J6015" s="8" t="s">
        <v>25</v>
      </c>
      <c r="K6015" s="6" t="str">
        <f>"277.000,00"</f>
        <v>277.000,00</v>
      </c>
      <c r="L6015" s="6" t="str">
        <f>"69.250,00"</f>
        <v>69.250,00</v>
      </c>
      <c r="M6015" s="6" t="str">
        <f>"346.250,00"</f>
        <v>346.250,00</v>
      </c>
      <c r="N6015" s="8" t="s">
        <v>124</v>
      </c>
      <c r="O6015" s="7"/>
      <c r="P6015" s="2" t="s">
        <v>5614</v>
      </c>
      <c r="Q6015" s="7"/>
      <c r="R6015" s="1"/>
      <c r="S6015" s="1" t="str">
        <f>"N-16/19"</f>
        <v>N-16/19</v>
      </c>
      <c r="T6015" s="1" t="s">
        <v>55</v>
      </c>
    </row>
    <row r="6016" spans="1:20" ht="51" x14ac:dyDescent="0.25">
      <c r="A6016" s="6">
        <v>5995</v>
      </c>
      <c r="B6016" s="1" t="str">
        <f>"2019-1258"</f>
        <v>2019-1258</v>
      </c>
      <c r="C6016" s="1" t="s">
        <v>2117</v>
      </c>
      <c r="D6016" s="1" t="s">
        <v>2118</v>
      </c>
      <c r="E6016" s="1" t="str">
        <f>"2019/S 0F2-0021586"</f>
        <v>2019/S 0F2-0021586</v>
      </c>
      <c r="F6016" s="1" t="s">
        <v>22</v>
      </c>
      <c r="G6016" s="1" t="str">
        <f>CONCATENATE("HOLOSYS D.O.O.,"," KOVINSKA 4 A,"," 10000 ZAGREB,"," OIB: 79084286928")</f>
        <v>HOLOSYS D.O.O., KOVINSKA 4 A, 10000 ZAGREB, OIB: 79084286928</v>
      </c>
      <c r="H6016" s="7"/>
      <c r="I6016" s="8" t="s">
        <v>4272</v>
      </c>
      <c r="J6016" s="8" t="s">
        <v>4273</v>
      </c>
      <c r="K6016" s="6" t="str">
        <f>"1.355.052,50"</f>
        <v>1.355.052,50</v>
      </c>
      <c r="L6016" s="6" t="str">
        <f>"338.763,12"</f>
        <v>338.763,12</v>
      </c>
      <c r="M6016" s="6" t="str">
        <f>"1.693.815,62"</f>
        <v>1.693.815,62</v>
      </c>
      <c r="N6016" s="8" t="s">
        <v>4274</v>
      </c>
      <c r="O6016" s="7"/>
      <c r="P6016" s="2" t="s">
        <v>8618</v>
      </c>
      <c r="Q6016" s="7"/>
      <c r="R6016" s="1"/>
      <c r="S6016" s="1" t="str">
        <f>"N-18/19"</f>
        <v>N-18/19</v>
      </c>
      <c r="T6016" s="1" t="s">
        <v>452</v>
      </c>
    </row>
    <row r="6017" spans="1:20" ht="63.75" x14ac:dyDescent="0.25">
      <c r="A6017" s="6">
        <v>5996</v>
      </c>
      <c r="B6017" s="1" t="str">
        <f>"2019-2502"</f>
        <v>2019-2502</v>
      </c>
      <c r="C6017" s="1" t="s">
        <v>4275</v>
      </c>
      <c r="D6017" s="1" t="s">
        <v>941</v>
      </c>
      <c r="E6017" s="1" t="str">
        <f>"2019/S 0F2-0022730"</f>
        <v>2019/S 0F2-0022730</v>
      </c>
      <c r="F6017" s="1" t="s">
        <v>22</v>
      </c>
      <c r="G6017" s="1" t="str">
        <f>CONCATENATE("BUBANJ - NISKOGRADNJA D.O.O.,"," KRUGE 7,"," 10000 ZAGREB,"," OIB: 29539944583")</f>
        <v>BUBANJ - NISKOGRADNJA D.O.O., KRUGE 7, 10000 ZAGREB, OIB: 29539944583</v>
      </c>
      <c r="H6017" s="1" t="str">
        <f>CONCATENATE("GEODIST D.O.O.,"," OIB: 709786718")</f>
        <v>GEODIST D.O.O., OIB: 709786718</v>
      </c>
      <c r="I6017" s="8" t="s">
        <v>4185</v>
      </c>
      <c r="J6017" s="8" t="s">
        <v>4276</v>
      </c>
      <c r="K6017" s="6" t="str">
        <f>"1.703.170,00"</f>
        <v>1.703.170,00</v>
      </c>
      <c r="L6017" s="6" t="str">
        <f>"425.792,50"</f>
        <v>425.792,50</v>
      </c>
      <c r="M6017" s="6" t="str">
        <f>"2.128.962,50"</f>
        <v>2.128.962,50</v>
      </c>
      <c r="N6017" s="8" t="s">
        <v>124</v>
      </c>
      <c r="O6017" s="7"/>
      <c r="P6017" s="2" t="s">
        <v>5614</v>
      </c>
      <c r="Q6017" s="7"/>
      <c r="R6017" s="1"/>
      <c r="S6017" s="1" t="str">
        <f>"N-19/19"</f>
        <v>N-19/19</v>
      </c>
      <c r="T6017" s="1" t="s">
        <v>55</v>
      </c>
    </row>
    <row r="6018" spans="1:20" ht="102" x14ac:dyDescent="0.25">
      <c r="A6018" s="6">
        <v>5997</v>
      </c>
      <c r="B6018" s="1" t="str">
        <f>"2019-2483"</f>
        <v>2019-2483</v>
      </c>
      <c r="C6018" s="1" t="s">
        <v>4277</v>
      </c>
      <c r="D6018" s="1" t="s">
        <v>702</v>
      </c>
      <c r="E6018" s="1" t="str">
        <f>"2019/S 0F2-0019008"</f>
        <v>2019/S 0F2-0019008</v>
      </c>
      <c r="F6018" s="1" t="s">
        <v>22</v>
      </c>
      <c r="G6018" s="1"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6018" s="1" t="str">
        <f>CONCATENATE("GEO 6 D.O.O.,"," OIB: 56516261347")</f>
        <v>GEO 6 D.O.O., OIB: 56516261347</v>
      </c>
      <c r="I6018" s="8" t="s">
        <v>4027</v>
      </c>
      <c r="J6018" s="8" t="s">
        <v>4278</v>
      </c>
      <c r="K6018" s="6" t="str">
        <f>"571.241,00"</f>
        <v>571.241,00</v>
      </c>
      <c r="L6018" s="6" t="str">
        <f>"142.810,25"</f>
        <v>142.810,25</v>
      </c>
      <c r="M6018" s="6" t="str">
        <f>"714.051,25"</f>
        <v>714.051,25</v>
      </c>
      <c r="N6018" s="8" t="s">
        <v>4279</v>
      </c>
      <c r="O6018" s="7"/>
      <c r="P6018" s="2" t="s">
        <v>8619</v>
      </c>
      <c r="Q6018" s="7"/>
      <c r="R6018" s="1"/>
      <c r="S6018" s="1" t="str">
        <f>"N-20/19"</f>
        <v>N-20/19</v>
      </c>
      <c r="T6018" s="1" t="s">
        <v>452</v>
      </c>
    </row>
    <row r="6019" spans="1:20" ht="63.75" x14ac:dyDescent="0.25">
      <c r="A6019" s="6">
        <v>5998</v>
      </c>
      <c r="B6019" s="1" t="str">
        <f>"2019-2588"</f>
        <v>2019-2588</v>
      </c>
      <c r="C6019" s="1" t="s">
        <v>4280</v>
      </c>
      <c r="D6019" s="1" t="s">
        <v>900</v>
      </c>
      <c r="E6019" s="1" t="str">
        <f>"2019/S 0F2-0020189"</f>
        <v>2019/S 0F2-0020189</v>
      </c>
      <c r="F6019" s="1" t="s">
        <v>22</v>
      </c>
      <c r="G6019" s="1" t="str">
        <f>CONCATENATE("GRADITELJ SVRATIŠTA D.O.O.,"," IVANA ČESMIČKOG 16,"," 10000 ZAGREB,"," OIB: 5204465757")</f>
        <v>GRADITELJ SVRATIŠTA D.O.O., IVANA ČESMIČKOG 16, 10000 ZAGREB, OIB: 5204465757</v>
      </c>
      <c r="H6019" s="7"/>
      <c r="I6019" s="8" t="s">
        <v>4073</v>
      </c>
      <c r="J6019" s="8" t="s">
        <v>4281</v>
      </c>
      <c r="K6019" s="6" t="str">
        <f>"1.032.000,00"</f>
        <v>1.032.000,00</v>
      </c>
      <c r="L6019" s="6" t="str">
        <f>"258.000,00"</f>
        <v>258.000,00</v>
      </c>
      <c r="M6019" s="6" t="str">
        <f>"1.290.000,00"</f>
        <v>1.290.000,00</v>
      </c>
      <c r="N6019" s="8" t="s">
        <v>124</v>
      </c>
      <c r="O6019" s="7"/>
      <c r="P6019" s="2" t="s">
        <v>5614</v>
      </c>
      <c r="Q6019" s="7"/>
      <c r="R6019" s="1"/>
      <c r="S6019" s="1" t="str">
        <f>"N-21/19"</f>
        <v>N-21/19</v>
      </c>
      <c r="T6019" s="1" t="s">
        <v>55</v>
      </c>
    </row>
    <row r="6020" spans="1:20" ht="165.75" x14ac:dyDescent="0.25">
      <c r="A6020" s="6">
        <v>5999</v>
      </c>
      <c r="B6020" s="1" t="str">
        <f>"2019-2541"</f>
        <v>2019-2541</v>
      </c>
      <c r="C6020" s="1" t="s">
        <v>4282</v>
      </c>
      <c r="D6020" s="1" t="s">
        <v>702</v>
      </c>
      <c r="E6020" s="1" t="str">
        <f>"2019/S 0F2-0019078"</f>
        <v>2019/S 0F2-0019078</v>
      </c>
      <c r="F6020" s="1" t="s">
        <v>22</v>
      </c>
      <c r="G6020" s="1" t="str">
        <f>CONCATENATE("MONTER-STROJARSKE MONTAŽE D.D.,"," VELIMIRA ŠKORPIKA 28,"," 10000 ZAGREB,"," OIB: 13887374452")</f>
        <v>MONTER-STROJARSKE MONTAŽE D.D., VELIMIRA ŠKORPIKA 28, 10000 ZAGREB, OIB: 13887374452</v>
      </c>
      <c r="H6020" s="1"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6020" s="8" t="s">
        <v>4249</v>
      </c>
      <c r="J6020" s="8" t="s">
        <v>4250</v>
      </c>
      <c r="K6020" s="6" t="str">
        <f>"9.836.865,05"</f>
        <v>9.836.865,05</v>
      </c>
      <c r="L6020" s="6" t="str">
        <f>"2.459.216,26"</f>
        <v>2.459.216,26</v>
      </c>
      <c r="M6020" s="6" t="str">
        <f>"12.296.081,31"</f>
        <v>12.296.081,31</v>
      </c>
      <c r="N6020" s="8" t="s">
        <v>4283</v>
      </c>
      <c r="O6020" s="7"/>
      <c r="P6020" s="2" t="s">
        <v>8620</v>
      </c>
      <c r="Q6020" s="7"/>
      <c r="R6020" s="1"/>
      <c r="S6020" s="1" t="str">
        <f>"N-25/19"</f>
        <v>N-25/19</v>
      </c>
      <c r="T6020" s="1" t="s">
        <v>452</v>
      </c>
    </row>
    <row r="6021" spans="1:20" ht="63.75" x14ac:dyDescent="0.25">
      <c r="A6021" s="6">
        <v>6000</v>
      </c>
      <c r="B6021" s="1" t="str">
        <f>"2019-1846"</f>
        <v>2019-1846</v>
      </c>
      <c r="C6021" s="1" t="s">
        <v>4284</v>
      </c>
      <c r="D6021" s="1" t="s">
        <v>941</v>
      </c>
      <c r="E6021" s="1" t="str">
        <f>"2019/S 0F2-0021752"</f>
        <v>2019/S 0F2-0021752</v>
      </c>
      <c r="F6021" s="1" t="s">
        <v>22</v>
      </c>
      <c r="G6021" s="1" t="str">
        <f>CONCATENATE("TEMPORIUM GRADNJA D.O.O.,"," LJUTOMERSKA ULICA 33A,"," 10000 ZAGREB,"," OIB: 6285048268")</f>
        <v>TEMPORIUM GRADNJA D.O.O., LJUTOMERSKA ULICA 33A, 10000 ZAGREB, OIB: 6285048268</v>
      </c>
      <c r="H6021" s="1" t="str">
        <f>CONCATENATE("KAPITEL D.O.O.,"," OIB: 44838895379")</f>
        <v>KAPITEL D.O.O., OIB: 44838895379</v>
      </c>
      <c r="I6021" s="8" t="s">
        <v>4285</v>
      </c>
      <c r="J6021" s="8" t="s">
        <v>4286</v>
      </c>
      <c r="K6021" s="6" t="str">
        <f>"888.101,20"</f>
        <v>888.101,20</v>
      </c>
      <c r="L6021" s="6" t="str">
        <f>"222.025,30"</f>
        <v>222.025,30</v>
      </c>
      <c r="M6021" s="6" t="str">
        <f>"1.110.126,50"</f>
        <v>1.110.126,50</v>
      </c>
      <c r="N6021" s="8" t="s">
        <v>2559</v>
      </c>
      <c r="O6021" s="7"/>
      <c r="P6021" s="2" t="s">
        <v>8621</v>
      </c>
      <c r="Q6021" s="7"/>
      <c r="R6021" s="1"/>
      <c r="S6021" s="1" t="str">
        <f>"N-27/19"</f>
        <v>N-27/19</v>
      </c>
      <c r="T6021" s="1" t="s">
        <v>55</v>
      </c>
    </row>
    <row r="6022" spans="1:20" ht="63.75" x14ac:dyDescent="0.25">
      <c r="A6022" s="6">
        <v>6001</v>
      </c>
      <c r="B6022" s="1" t="str">
        <f>"2019-1213"</f>
        <v>2019-1213</v>
      </c>
      <c r="C6022" s="1" t="s">
        <v>4287</v>
      </c>
      <c r="D6022" s="1" t="s">
        <v>2122</v>
      </c>
      <c r="E6022" s="1" t="str">
        <f>"2019/S 0F2-0026293"</f>
        <v>2019/S 0F2-0026293</v>
      </c>
      <c r="F6022" s="1" t="s">
        <v>22</v>
      </c>
      <c r="G6022" s="1" t="str">
        <f>CONCATENATE("ZAGREL RITTMEYER D.O.O.,"," LJUDEVITA POSAVSKOG 29,"," 10360 SESVETE,"," OIB: 00100837674")</f>
        <v>ZAGREL RITTMEYER D.O.O., LJUDEVITA POSAVSKOG 29, 10360 SESVETE, OIB: 00100837674</v>
      </c>
      <c r="H6022" s="7"/>
      <c r="I6022" s="8" t="s">
        <v>4087</v>
      </c>
      <c r="J6022" s="8" t="s">
        <v>4288</v>
      </c>
      <c r="K6022" s="6" t="str">
        <f>"3.396.002,00"</f>
        <v>3.396.002,00</v>
      </c>
      <c r="L6022" s="6" t="str">
        <f>"849.000,50"</f>
        <v>849.000,50</v>
      </c>
      <c r="M6022" s="6" t="str">
        <f>"4.245.002,50"</f>
        <v>4.245.002,50</v>
      </c>
      <c r="N6022" s="8" t="s">
        <v>124</v>
      </c>
      <c r="O6022" s="7"/>
      <c r="P6022" s="2" t="s">
        <v>5614</v>
      </c>
      <c r="Q6022" s="7"/>
      <c r="R6022" s="1"/>
      <c r="S6022" s="1" t="str">
        <f>"N-29/19"</f>
        <v>N-29/19</v>
      </c>
      <c r="T6022" s="1" t="s">
        <v>55</v>
      </c>
    </row>
    <row r="6023" spans="1:20" ht="51" x14ac:dyDescent="0.25">
      <c r="A6023" s="6">
        <v>6002</v>
      </c>
      <c r="B6023" s="1" t="str">
        <f>"2019-1965"</f>
        <v>2019-1965</v>
      </c>
      <c r="C6023" s="1" t="s">
        <v>4289</v>
      </c>
      <c r="D6023" s="1" t="s">
        <v>1125</v>
      </c>
      <c r="E6023" s="1" t="str">
        <f>"2019/S 0F2-0022918"</f>
        <v>2019/S 0F2-0022918</v>
      </c>
      <c r="F6023" s="1" t="s">
        <v>22</v>
      </c>
      <c r="G6023" s="1" t="str">
        <f>CONCATENATE("VODOTEHNIKA D.D.,"," KOTURAŠKA CESTA 49,"," 10000 ZAGREB,"," OIB: 1763143132")</f>
        <v>VODOTEHNIKA D.D., KOTURAŠKA CESTA 49, 10000 ZAGREB, OIB: 1763143132</v>
      </c>
      <c r="H6023" s="1" t="str">
        <f>CONCATENATE("AMB GRADNJA D.O.O.,"," OIB: 8527265147")</f>
        <v>AMB GRADNJA D.O.O., OIB: 8527265147</v>
      </c>
      <c r="I6023" s="8" t="s">
        <v>4290</v>
      </c>
      <c r="J6023" s="8" t="s">
        <v>4291</v>
      </c>
      <c r="K6023" s="6" t="str">
        <f>"1.738.012,57"</f>
        <v>1.738.012,57</v>
      </c>
      <c r="L6023" s="6" t="str">
        <f>"434.503,14"</f>
        <v>434.503,14</v>
      </c>
      <c r="M6023" s="6" t="str">
        <f>"2.172.515,71"</f>
        <v>2.172.515,71</v>
      </c>
      <c r="N6023" s="8" t="s">
        <v>1237</v>
      </c>
      <c r="O6023" s="7"/>
      <c r="P6023" s="2" t="s">
        <v>8622</v>
      </c>
      <c r="Q6023" s="7"/>
      <c r="R6023" s="1"/>
      <c r="S6023" s="1" t="str">
        <f>"N-30/19"</f>
        <v>N-30/19</v>
      </c>
      <c r="T6023" s="1" t="s">
        <v>55</v>
      </c>
    </row>
    <row r="6024" spans="1:20" ht="63.75" x14ac:dyDescent="0.25">
      <c r="A6024" s="6">
        <v>6003</v>
      </c>
      <c r="B6024" s="1" t="str">
        <f>"2019-2864"</f>
        <v>2019-2864</v>
      </c>
      <c r="C6024" s="1" t="s">
        <v>4292</v>
      </c>
      <c r="D6024" s="1" t="s">
        <v>4293</v>
      </c>
      <c r="E6024" s="1" t="str">
        <f>"2019/S 0F2-0033423"</f>
        <v>2019/S 0F2-0033423</v>
      </c>
      <c r="F6024" s="1" t="s">
        <v>22</v>
      </c>
      <c r="G6024" s="1" t="str">
        <f>CONCATENATE("UPRAVITELJ GRADNJA - ODRŽAVANJE D.O.O,"," OREŠKOVIĆEVA 25,"," 10000 ZAGREB,"," OIB: 13039232608")</f>
        <v>UPRAVITELJ GRADNJA - ODRŽAVANJE D.O.O, OREŠKOVIĆEVA 25, 10000 ZAGREB, OIB: 13039232608</v>
      </c>
      <c r="H6024" s="7"/>
      <c r="I6024" s="8" t="s">
        <v>4294</v>
      </c>
      <c r="J6024" s="8" t="s">
        <v>2011</v>
      </c>
      <c r="K6024" s="6" t="str">
        <f>"1.449.903,63"</f>
        <v>1.449.903,63</v>
      </c>
      <c r="L6024" s="6" t="str">
        <f>"362.475,91"</f>
        <v>362.475,91</v>
      </c>
      <c r="M6024" s="6" t="str">
        <f>"1.812.379,54"</f>
        <v>1.812.379,54</v>
      </c>
      <c r="N6024" s="8" t="s">
        <v>4295</v>
      </c>
      <c r="O6024" s="7"/>
      <c r="P6024" s="2" t="s">
        <v>8623</v>
      </c>
      <c r="Q6024" s="7"/>
      <c r="R6024" s="1"/>
      <c r="S6024" s="1" t="str">
        <f>"N-31/19"</f>
        <v>N-31/19</v>
      </c>
      <c r="T6024" s="1" t="s">
        <v>32</v>
      </c>
    </row>
    <row r="6025" spans="1:20" ht="76.5" x14ac:dyDescent="0.25">
      <c r="A6025" s="6">
        <v>6004</v>
      </c>
      <c r="B6025" s="1" t="str">
        <f>"2019-1553"</f>
        <v>2019-1553</v>
      </c>
      <c r="C6025" s="1" t="s">
        <v>4296</v>
      </c>
      <c r="D6025" s="1" t="s">
        <v>1979</v>
      </c>
      <c r="E6025" s="1" t="str">
        <f>"2019/S 0F2-0027543"</f>
        <v>2019/S 0F2-0027543</v>
      </c>
      <c r="F6025" s="1" t="s">
        <v>22</v>
      </c>
      <c r="G6025" s="1" t="str">
        <f>CONCATENATE("INŽENJERING GRADNJA D.O.O.,"," DR. MILE BUDAKA 1,"," 35000 SLAVONSKI BROD,"," OIB: 15718789803")</f>
        <v>INŽENJERING GRADNJA D.O.O., DR. MILE BUDAKA 1, 35000 SLAVONSKI BROD, OIB: 15718789803</v>
      </c>
      <c r="H6025" s="7"/>
      <c r="I6025" s="8" t="s">
        <v>4294</v>
      </c>
      <c r="J6025" s="8" t="s">
        <v>2011</v>
      </c>
      <c r="K6025" s="6" t="str">
        <f>"580.000,00"</f>
        <v>580.000,00</v>
      </c>
      <c r="L6025" s="6" t="str">
        <f>"145.000,00"</f>
        <v>145.000,00</v>
      </c>
      <c r="M6025" s="6" t="str">
        <f>"725.000,00"</f>
        <v>725.000,00</v>
      </c>
      <c r="N6025" s="8" t="s">
        <v>124</v>
      </c>
      <c r="O6025" s="7"/>
      <c r="P6025" s="2" t="s">
        <v>5614</v>
      </c>
      <c r="Q6025" s="7"/>
      <c r="R6025" s="1"/>
      <c r="S6025" s="1" t="str">
        <f>"N-32/19"</f>
        <v>N-32/19</v>
      </c>
      <c r="T6025" s="1" t="s">
        <v>55</v>
      </c>
    </row>
    <row r="6026" spans="1:20" ht="114.75" x14ac:dyDescent="0.25">
      <c r="A6026" s="6">
        <v>6005</v>
      </c>
      <c r="B6026" s="1" t="str">
        <f>"2019-2075"</f>
        <v>2019-2075</v>
      </c>
      <c r="C6026" s="1" t="s">
        <v>4297</v>
      </c>
      <c r="D6026" s="1" t="s">
        <v>1979</v>
      </c>
      <c r="E6026" s="1" t="str">
        <f>"2019/S 0F2-0018699"</f>
        <v>2019/S 0F2-0018699</v>
      </c>
      <c r="F6026" s="1" t="s">
        <v>22</v>
      </c>
      <c r="G6026" s="1" t="str">
        <f>CONCATENATE("INŽENJERING GRADNJA D.O.O.,"," DR. MILE BUDAKA 1,"," 35000 SLAVONSKI BROD,"," OIB: 15718789803")</f>
        <v>INŽENJERING GRADNJA D.O.O., DR. MILE BUDAKA 1, 35000 SLAVONSKI BROD, OIB: 15718789803</v>
      </c>
      <c r="H6026" s="1" t="str">
        <f>CONCATENATE("GEOGYRUS D.O.O,"," OIB: 786521895")</f>
        <v>GEOGYRUS D.O.O, OIB: 786521895</v>
      </c>
      <c r="I6026" s="8" t="s">
        <v>4298</v>
      </c>
      <c r="J6026" s="8" t="s">
        <v>4299</v>
      </c>
      <c r="K6026" s="6" t="str">
        <f>"97.000,00"</f>
        <v>97.000,00</v>
      </c>
      <c r="L6026" s="6" t="str">
        <f>"24.250,00"</f>
        <v>24.250,00</v>
      </c>
      <c r="M6026" s="6" t="str">
        <f>"121.250,00"</f>
        <v>121.250,00</v>
      </c>
      <c r="N6026" s="8" t="s">
        <v>124</v>
      </c>
      <c r="O6026" s="7"/>
      <c r="P6026" s="2" t="s">
        <v>5614</v>
      </c>
      <c r="Q6026" s="7"/>
      <c r="R6026" s="1"/>
      <c r="S6026" s="1" t="str">
        <f>"N-33/19"</f>
        <v>N-33/19</v>
      </c>
      <c r="T6026" s="1" t="s">
        <v>55</v>
      </c>
    </row>
    <row r="6027" spans="1:20" ht="63.75" x14ac:dyDescent="0.25">
      <c r="A6027" s="6">
        <v>6006</v>
      </c>
      <c r="B6027" s="1" t="str">
        <f>"2019-1285"</f>
        <v>2019-1285</v>
      </c>
      <c r="C6027" s="1" t="s">
        <v>4300</v>
      </c>
      <c r="D6027" s="1" t="s">
        <v>1979</v>
      </c>
      <c r="E6027" s="1" t="str">
        <f>""</f>
        <v/>
      </c>
      <c r="F6027" s="1" t="s">
        <v>22</v>
      </c>
      <c r="G6027" s="1" t="str">
        <f>CONCATENATE("HIDRO UNA D.O.O.,"," JOSIPA ANIĆA 14,"," 10000 ZAGREB,"," OIB: 60109409627")</f>
        <v>HIDRO UNA D.O.O., JOSIPA ANIĆA 14, 10000 ZAGREB, OIB: 60109409627</v>
      </c>
      <c r="H6027" s="7"/>
      <c r="I6027" s="8" t="s">
        <v>1990</v>
      </c>
      <c r="J6027" s="8" t="s">
        <v>1991</v>
      </c>
      <c r="K6027" s="6" t="str">
        <f>"142.350,00"</f>
        <v>142.350,00</v>
      </c>
      <c r="L6027" s="6" t="str">
        <f>"35.587,50"</f>
        <v>35.587,50</v>
      </c>
      <c r="M6027" s="6" t="str">
        <f>"177.937,50"</f>
        <v>177.937,50</v>
      </c>
      <c r="N6027" s="8" t="s">
        <v>221</v>
      </c>
      <c r="O6027" s="7"/>
      <c r="P6027" s="2" t="s">
        <v>8624</v>
      </c>
      <c r="Q6027" s="7"/>
      <c r="R6027" s="1"/>
      <c r="S6027" s="1" t="str">
        <f>"N-36/19"</f>
        <v>N-36/19</v>
      </c>
      <c r="T6027" s="1" t="s">
        <v>55</v>
      </c>
    </row>
    <row r="6028" spans="1:20" ht="102" x14ac:dyDescent="0.25">
      <c r="A6028" s="6">
        <v>6007</v>
      </c>
      <c r="B6028" s="1" t="str">
        <f>"2019-2374"</f>
        <v>2019-2374</v>
      </c>
      <c r="C6028" s="1" t="s">
        <v>4301</v>
      </c>
      <c r="D6028" s="1" t="s">
        <v>483</v>
      </c>
      <c r="E6028" s="1" t="str">
        <f>"2019/S 0F2-0021921"</f>
        <v>2019/S 0F2-0021921</v>
      </c>
      <c r="F6028" s="1" t="s">
        <v>22</v>
      </c>
      <c r="G6028" s="1"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6028" s="7"/>
      <c r="I6028" s="8" t="s">
        <v>1990</v>
      </c>
      <c r="J6028" s="8" t="s">
        <v>1991</v>
      </c>
      <c r="K6028" s="6" t="str">
        <f>"729.159,64"</f>
        <v>729.159,64</v>
      </c>
      <c r="L6028" s="6" t="str">
        <f>"182.289,91"</f>
        <v>182.289,91</v>
      </c>
      <c r="M6028" s="6" t="str">
        <f>"911.449,55"</f>
        <v>911.449,55</v>
      </c>
      <c r="N6028" s="8" t="s">
        <v>124</v>
      </c>
      <c r="O6028" s="7"/>
      <c r="P6028" s="2" t="s">
        <v>5614</v>
      </c>
      <c r="Q6028" s="7"/>
      <c r="R6028" s="1"/>
      <c r="S6028" s="1" t="str">
        <f>"N-37/19"</f>
        <v>N-37/19</v>
      </c>
      <c r="T6028" s="1" t="s">
        <v>32</v>
      </c>
    </row>
    <row r="6029" spans="1:20" ht="102" x14ac:dyDescent="0.25">
      <c r="A6029" s="6">
        <v>6008</v>
      </c>
      <c r="B6029" s="1" t="str">
        <f>"2019-1154"</f>
        <v>2019-1154</v>
      </c>
      <c r="C6029" s="1" t="s">
        <v>4302</v>
      </c>
      <c r="D6029" s="1" t="s">
        <v>1979</v>
      </c>
      <c r="E6029" s="1" t="str">
        <f>"2019/S 0F2-0019253"</f>
        <v>2019/S 0F2-0019253</v>
      </c>
      <c r="F6029" s="1" t="s">
        <v>22</v>
      </c>
      <c r="G6029" s="1" t="str">
        <f>CONCATENATE("IPZ D.D.,"," PRILAZ BARUNA FILIPOVIĆA 21,"," 10000 ZAGREB,"," OIB: 9481097846")</f>
        <v>IPZ D.D., PRILAZ BARUNA FILIPOVIĆA 21, 10000 ZAGREB, OIB: 9481097846</v>
      </c>
      <c r="H6029" s="7"/>
      <c r="I6029" s="8" t="s">
        <v>4303</v>
      </c>
      <c r="J6029" s="8" t="s">
        <v>4295</v>
      </c>
      <c r="K6029" s="6" t="str">
        <f>"282.000,00"</f>
        <v>282.000,00</v>
      </c>
      <c r="L6029" s="6" t="str">
        <f>"70.500,00"</f>
        <v>70.500,00</v>
      </c>
      <c r="M6029" s="6" t="str">
        <f>"352.500,00"</f>
        <v>352.500,00</v>
      </c>
      <c r="N6029" s="8" t="s">
        <v>124</v>
      </c>
      <c r="O6029" s="7"/>
      <c r="P6029" s="2" t="s">
        <v>5614</v>
      </c>
      <c r="Q6029" s="7"/>
      <c r="R6029" s="1"/>
      <c r="S6029" s="1" t="str">
        <f>"N-39/19"</f>
        <v>N-39/19</v>
      </c>
      <c r="T6029" s="1" t="s">
        <v>55</v>
      </c>
    </row>
    <row r="6030" spans="1:20" ht="63.75" x14ac:dyDescent="0.25">
      <c r="A6030" s="6">
        <v>6009</v>
      </c>
      <c r="B6030" s="1" t="str">
        <f>"2019-1227"</f>
        <v>2019-1227</v>
      </c>
      <c r="C6030" s="1" t="s">
        <v>4304</v>
      </c>
      <c r="D6030" s="1" t="s">
        <v>941</v>
      </c>
      <c r="E6030" s="1" t="str">
        <f>"2019/S 0F2-0023610"</f>
        <v>2019/S 0F2-0023610</v>
      </c>
      <c r="F6030" s="1" t="s">
        <v>22</v>
      </c>
      <c r="G6030" s="1" t="str">
        <f>CONCATENATE("AMB GRADNJA D.O.O.,"," PRILAZ BARUNA FILIPOVIĆA 15,"," 10000 ZAGREB,"," OIB: 8527265147")</f>
        <v>AMB GRADNJA D.O.O., PRILAZ BARUNA FILIPOVIĆA 15, 10000 ZAGREB, OIB: 8527265147</v>
      </c>
      <c r="H6030" s="7"/>
      <c r="I6030" s="8" t="s">
        <v>1990</v>
      </c>
      <c r="J6030" s="8" t="s">
        <v>1991</v>
      </c>
      <c r="K6030" s="6" t="str">
        <f>"910.413,70"</f>
        <v>910.413,70</v>
      </c>
      <c r="L6030" s="6" t="str">
        <f>"227.603,42"</f>
        <v>227.603,42</v>
      </c>
      <c r="M6030" s="6" t="str">
        <f>"1.138.017,12"</f>
        <v>1.138.017,12</v>
      </c>
      <c r="N6030" s="8" t="s">
        <v>124</v>
      </c>
      <c r="O6030" s="7"/>
      <c r="P6030" s="2" t="s">
        <v>5614</v>
      </c>
      <c r="Q6030" s="7"/>
      <c r="R6030" s="1"/>
      <c r="S6030" s="1" t="str">
        <f>"N-40/19"</f>
        <v>N-40/19</v>
      </c>
      <c r="T6030" s="1" t="s">
        <v>55</v>
      </c>
    </row>
    <row r="6031" spans="1:20" ht="76.5" x14ac:dyDescent="0.25">
      <c r="A6031" s="6">
        <v>6010</v>
      </c>
      <c r="B6031" s="1" t="str">
        <f>"2019-1411"</f>
        <v>2019-1411</v>
      </c>
      <c r="C6031" s="1" t="s">
        <v>4305</v>
      </c>
      <c r="D6031" s="1" t="s">
        <v>4306</v>
      </c>
      <c r="E6031" s="1" t="str">
        <f>"2019/S 0F2-0025560"</f>
        <v>2019/S 0F2-0025560</v>
      </c>
      <c r="F6031" s="1" t="s">
        <v>22</v>
      </c>
      <c r="G6031" s="1" t="str">
        <f>CONCATENATE("KOLEKTOR SISTEH D.O.O.,"," ZASAVSKA CESTA 95,"," 1231 LJUBLJAN")</f>
        <v>KOLEKTOR SISTEH D.O.O., ZASAVSKA CESTA 95, 1231 LJUBLJAN</v>
      </c>
      <c r="H6031" s="7"/>
      <c r="I6031" s="8" t="s">
        <v>3871</v>
      </c>
      <c r="J6031" s="8" t="s">
        <v>4179</v>
      </c>
      <c r="K6031" s="6" t="str">
        <f>"8.930.687,00"</f>
        <v>8.930.687,00</v>
      </c>
      <c r="L6031" s="6" t="str">
        <f>"2.232.671,75"</f>
        <v>2.232.671,75</v>
      </c>
      <c r="M6031" s="6" t="str">
        <f>"11.163.358,75"</f>
        <v>11.163.358,75</v>
      </c>
      <c r="N6031" s="8" t="s">
        <v>124</v>
      </c>
      <c r="O6031" s="7"/>
      <c r="P6031" s="2" t="s">
        <v>5614</v>
      </c>
      <c r="Q6031" s="7"/>
      <c r="R6031" s="1"/>
      <c r="S6031" s="1" t="str">
        <f>"N-43/19"</f>
        <v>N-43/19</v>
      </c>
      <c r="T6031" s="1" t="s">
        <v>55</v>
      </c>
    </row>
    <row r="6032" spans="1:20" ht="51" x14ac:dyDescent="0.25">
      <c r="A6032" s="6">
        <v>6011</v>
      </c>
      <c r="B6032" s="1" t="str">
        <f>"2019-1333"</f>
        <v>2019-1333</v>
      </c>
      <c r="C6032" s="1" t="s">
        <v>4307</v>
      </c>
      <c r="D6032" s="1" t="s">
        <v>3918</v>
      </c>
      <c r="E6032" s="1" t="str">
        <f>"2019/S 0F2-0022748"</f>
        <v>2019/S 0F2-0022748</v>
      </c>
      <c r="F6032" s="1" t="s">
        <v>22</v>
      </c>
      <c r="G6032" s="1" t="str">
        <f>CONCATENATE("RADNIK D.D.,"," ULICA KRALJA TOMISLAVA 45,"," 48260 KRIŽEVCI,"," OIB: 21846792292")</f>
        <v>RADNIK D.D., ULICA KRALJA TOMISLAVA 45, 48260 KRIŽEVCI, OIB: 21846792292</v>
      </c>
      <c r="H6032" s="7"/>
      <c r="I6032" s="8" t="s">
        <v>4308</v>
      </c>
      <c r="J6032" s="8" t="s">
        <v>3808</v>
      </c>
      <c r="K6032" s="6" t="str">
        <f>"13.873.929,08"</f>
        <v>13.873.929,08</v>
      </c>
      <c r="L6032" s="6" t="str">
        <f>"3.468.482,27"</f>
        <v>3.468.482,27</v>
      </c>
      <c r="M6032" s="6" t="str">
        <f>"17.342.411,35"</f>
        <v>17.342.411,35</v>
      </c>
      <c r="N6032" s="8" t="s">
        <v>1103</v>
      </c>
      <c r="O6032" s="7"/>
      <c r="P6032" s="2" t="s">
        <v>8625</v>
      </c>
      <c r="Q6032" s="7"/>
      <c r="R6032" s="1"/>
      <c r="S6032" s="1" t="str">
        <f>"N-44/19"</f>
        <v>N-44/19</v>
      </c>
      <c r="T6032" s="1" t="s">
        <v>32</v>
      </c>
    </row>
    <row r="6033" spans="1:20" ht="63.75" x14ac:dyDescent="0.25">
      <c r="A6033" s="6">
        <v>6012</v>
      </c>
      <c r="B6033" s="1" t="str">
        <f>"2019-455"</f>
        <v>2019-455</v>
      </c>
      <c r="C6033" s="1" t="s">
        <v>4309</v>
      </c>
      <c r="D6033" s="1" t="s">
        <v>2068</v>
      </c>
      <c r="E6033" s="1" t="str">
        <f>"2019/S 0F2-0028077"</f>
        <v>2019/S 0F2-0028077</v>
      </c>
      <c r="F6033" s="1" t="s">
        <v>22</v>
      </c>
      <c r="G6033" s="1" t="str">
        <f>CONCATENATE("TEMPORIUM GRADNJA D.O.O.,"," LJUTOMERSKA ULICA 33A,"," 10000 ZAGREB,"," OIB: 6285048268")</f>
        <v>TEMPORIUM GRADNJA D.O.O., LJUTOMERSKA ULICA 33A, 10000 ZAGREB, OIB: 6285048268</v>
      </c>
      <c r="H6033" s="7"/>
      <c r="I6033" s="8" t="s">
        <v>4310</v>
      </c>
      <c r="J6033" s="8" t="s">
        <v>1086</v>
      </c>
      <c r="K6033" s="6" t="str">
        <f>"1.386.531,41"</f>
        <v>1.386.531,41</v>
      </c>
      <c r="L6033" s="6" t="str">
        <f>"346.632,85"</f>
        <v>346.632,85</v>
      </c>
      <c r="M6033" s="6" t="str">
        <f>"1.733.164,26"</f>
        <v>1.733.164,26</v>
      </c>
      <c r="N6033" s="8" t="s">
        <v>1042</v>
      </c>
      <c r="O6033" s="7"/>
      <c r="P6033" s="2" t="s">
        <v>8626</v>
      </c>
      <c r="Q6033" s="7"/>
      <c r="R6033" s="1"/>
      <c r="S6033" s="1" t="str">
        <f>"N-46/19"</f>
        <v>N-46/19</v>
      </c>
      <c r="T6033" s="1" t="s">
        <v>55</v>
      </c>
    </row>
    <row r="6034" spans="1:20" ht="89.25" x14ac:dyDescent="0.25">
      <c r="A6034" s="6">
        <v>6013</v>
      </c>
      <c r="B6034" s="1" t="str">
        <f>"2019-1364"</f>
        <v>2019-1364</v>
      </c>
      <c r="C6034" s="1" t="s">
        <v>4311</v>
      </c>
      <c r="D6034" s="1" t="s">
        <v>1979</v>
      </c>
      <c r="E6034" s="1" t="str">
        <f>"2019/S 0F2-0018335"</f>
        <v>2019/S 0F2-0018335</v>
      </c>
      <c r="F6034" s="1" t="s">
        <v>22</v>
      </c>
      <c r="G6034" s="1" t="str">
        <f>CONCATENATE("DIPPOLD &amp; GEROLD-HIDROPROJEKT 91 D.O.O.,"," DESPRIMSKA 8,"," 10257 BREZOVICA,"," OIB: 89365215003")</f>
        <v>DIPPOLD &amp; GEROLD-HIDROPROJEKT 91 D.O.O., DESPRIMSKA 8, 10257 BREZOVICA, OIB: 89365215003</v>
      </c>
      <c r="H6034" s="1" t="str">
        <f>CONCATENATE("EDC D.O.O.,"," OIB: 127392036")</f>
        <v>EDC D.O.O., OIB: 127392036</v>
      </c>
      <c r="I6034" s="8" t="s">
        <v>4312</v>
      </c>
      <c r="J6034" s="8" t="s">
        <v>904</v>
      </c>
      <c r="K6034" s="6" t="str">
        <f>"76.000,00"</f>
        <v>76.000,00</v>
      </c>
      <c r="L6034" s="6" t="str">
        <f>"19.000,00"</f>
        <v>19.000,00</v>
      </c>
      <c r="M6034" s="6" t="str">
        <f>"95.000,00"</f>
        <v>95.000,00</v>
      </c>
      <c r="N6034" s="8" t="s">
        <v>124</v>
      </c>
      <c r="O6034" s="7"/>
      <c r="P6034" s="2" t="s">
        <v>5614</v>
      </c>
      <c r="Q6034" s="7"/>
      <c r="R6034" s="1"/>
      <c r="S6034" s="1" t="str">
        <f>"N-48/19"</f>
        <v>N-48/19</v>
      </c>
      <c r="T6034" s="1" t="s">
        <v>55</v>
      </c>
    </row>
    <row r="6035" spans="1:20" ht="63.75" x14ac:dyDescent="0.25">
      <c r="A6035" s="6">
        <v>6014</v>
      </c>
      <c r="B6035" s="1" t="str">
        <f>"2019-2670"</f>
        <v>2019-2670</v>
      </c>
      <c r="C6035" s="1" t="s">
        <v>4313</v>
      </c>
      <c r="D6035" s="1" t="s">
        <v>1979</v>
      </c>
      <c r="E6035" s="1" t="str">
        <f>"2019/S 0F2-0033577"</f>
        <v>2019/S 0F2-0033577</v>
      </c>
      <c r="F6035" s="1" t="s">
        <v>22</v>
      </c>
      <c r="G6035" s="1" t="str">
        <f>CONCATENATE("D.I.A.T. D.O.O.,"," JABLANOVEČKA 37,"," 10 000 ZAGREB,"," OIB: 22889869555")</f>
        <v>D.I.A.T. D.O.O., JABLANOVEČKA 37, 10 000 ZAGREB, OIB: 22889869555</v>
      </c>
      <c r="H6035" s="7"/>
      <c r="I6035" s="8" t="s">
        <v>4314</v>
      </c>
      <c r="J6035" s="8" t="s">
        <v>2539</v>
      </c>
      <c r="K6035" s="6" t="str">
        <f>"154.080,00"</f>
        <v>154.080,00</v>
      </c>
      <c r="L6035" s="6" t="str">
        <f>"38.520,00"</f>
        <v>38.520,00</v>
      </c>
      <c r="M6035" s="6" t="str">
        <f>"192.600,00"</f>
        <v>192.600,00</v>
      </c>
      <c r="N6035" s="8" t="s">
        <v>124</v>
      </c>
      <c r="O6035" s="7"/>
      <c r="P6035" s="2" t="s">
        <v>5614</v>
      </c>
      <c r="Q6035" s="7"/>
      <c r="R6035" s="1"/>
      <c r="S6035" s="1" t="str">
        <f>"N-49/19"</f>
        <v>N-49/19</v>
      </c>
      <c r="T6035" s="1" t="s">
        <v>55</v>
      </c>
    </row>
    <row r="6036" spans="1:20" ht="51" x14ac:dyDescent="0.25">
      <c r="A6036" s="6">
        <v>6015</v>
      </c>
      <c r="B6036" s="1" t="str">
        <f>"2019-2854"</f>
        <v>2019-2854</v>
      </c>
      <c r="C6036" s="1" t="s">
        <v>4315</v>
      </c>
      <c r="D6036" s="1" t="s">
        <v>941</v>
      </c>
      <c r="E6036" s="1" t="str">
        <f>"2019/S 0F2-0035313"</f>
        <v>2019/S 0F2-0035313</v>
      </c>
      <c r="F6036" s="1" t="s">
        <v>22</v>
      </c>
      <c r="G6036" s="1" t="str">
        <f>CONCATENATE("GIP PIONIR D.O.O.,"," ZAGREBAČKA 145B,"," 10000 ZAGREB,"," OIB: 38262788673")</f>
        <v>GIP PIONIR D.O.O., ZAGREBAČKA 145B, 10000 ZAGREB, OIB: 38262788673</v>
      </c>
      <c r="H6036" s="1" t="str">
        <f>CONCATENATE("GRADKO D.O.O.,"," OIB: 35610274315")</f>
        <v>GRADKO D.O.O., OIB: 35610274315</v>
      </c>
      <c r="I6036" s="8" t="s">
        <v>3525</v>
      </c>
      <c r="J6036" s="8" t="s">
        <v>3526</v>
      </c>
      <c r="K6036" s="6" t="str">
        <f>"7.589.355,50"</f>
        <v>7.589.355,50</v>
      </c>
      <c r="L6036" s="6" t="str">
        <f>"1.897.338,88"</f>
        <v>1.897.338,88</v>
      </c>
      <c r="M6036" s="6" t="str">
        <f>"9.486.694,38"</f>
        <v>9.486.694,38</v>
      </c>
      <c r="N6036" s="8" t="s">
        <v>124</v>
      </c>
      <c r="O6036" s="7"/>
      <c r="P6036" s="2" t="s">
        <v>5614</v>
      </c>
      <c r="Q6036" s="7"/>
      <c r="R6036" s="1"/>
      <c r="S6036" s="1" t="str">
        <f>"N-52/19"</f>
        <v>N-52/19</v>
      </c>
      <c r="T6036" s="1" t="s">
        <v>55</v>
      </c>
    </row>
    <row r="6037" spans="1:20" ht="114.75" x14ac:dyDescent="0.25">
      <c r="A6037" s="6">
        <v>6016</v>
      </c>
      <c r="B6037" s="1" t="str">
        <f>"2019-2695"</f>
        <v>2019-2695</v>
      </c>
      <c r="C6037" s="1" t="s">
        <v>4316</v>
      </c>
      <c r="D6037" s="1" t="s">
        <v>3152</v>
      </c>
      <c r="E6037" s="1" t="str">
        <f>"2019/S 0F2-0028827"</f>
        <v>2019/S 0F2-0028827</v>
      </c>
      <c r="F6037" s="1" t="s">
        <v>22</v>
      </c>
      <c r="G6037" s="1"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6037" s="7"/>
      <c r="I6037" s="8" t="s">
        <v>3910</v>
      </c>
      <c r="J6037" s="8" t="s">
        <v>4317</v>
      </c>
      <c r="K6037" s="6" t="str">
        <f>"3.359.755,72"</f>
        <v>3.359.755,72</v>
      </c>
      <c r="L6037" s="6" t="str">
        <f>"839.938,93"</f>
        <v>839.938,93</v>
      </c>
      <c r="M6037" s="6" t="str">
        <f>"4.199.694,65"</f>
        <v>4.199.694,65</v>
      </c>
      <c r="N6037" s="8" t="s">
        <v>2602</v>
      </c>
      <c r="O6037" s="7"/>
      <c r="P6037" s="2" t="s">
        <v>8627</v>
      </c>
      <c r="Q6037" s="1" t="s">
        <v>1462</v>
      </c>
      <c r="R6037" s="1"/>
      <c r="S6037" s="1" t="str">
        <f>"N-53/19"</f>
        <v>N-53/19</v>
      </c>
      <c r="T6037" s="1" t="s">
        <v>32</v>
      </c>
    </row>
    <row r="6038" spans="1:20" ht="63.75" x14ac:dyDescent="0.25">
      <c r="A6038" s="6">
        <v>6017</v>
      </c>
      <c r="B6038" s="1" t="str">
        <f>"2019-1762"</f>
        <v>2019-1762</v>
      </c>
      <c r="C6038" s="1" t="s">
        <v>4318</v>
      </c>
      <c r="D6038" s="1" t="s">
        <v>1979</v>
      </c>
      <c r="E6038" s="1" t="str">
        <f>"2019/S 0F2-0022454"</f>
        <v>2019/S 0F2-0022454</v>
      </c>
      <c r="F6038" s="1" t="s">
        <v>22</v>
      </c>
      <c r="G6038" s="1" t="str">
        <f>CONCATENATE("HIDROKON D.O.O.,"," TRGOVAČKA 8,"," 10000 ZAGREB,"," OIB: 31977725905")</f>
        <v>HIDROKON D.O.O., TRGOVAČKA 8, 10000 ZAGREB, OIB: 31977725905</v>
      </c>
      <c r="H6038" s="7"/>
      <c r="I6038" s="8" t="s">
        <v>3977</v>
      </c>
      <c r="J6038" s="8" t="s">
        <v>4319</v>
      </c>
      <c r="K6038" s="6" t="str">
        <f>"112.000,00"</f>
        <v>112.000,00</v>
      </c>
      <c r="L6038" s="6" t="str">
        <f>"28.000,00"</f>
        <v>28.000,00</v>
      </c>
      <c r="M6038" s="6" t="str">
        <f>"140.000,00"</f>
        <v>140.000,00</v>
      </c>
      <c r="N6038" s="8" t="s">
        <v>124</v>
      </c>
      <c r="O6038" s="7"/>
      <c r="P6038" s="2" t="s">
        <v>5614</v>
      </c>
      <c r="Q6038" s="7"/>
      <c r="R6038" s="1"/>
      <c r="S6038" s="1" t="str">
        <f>"N-54/19"</f>
        <v>N-54/19</v>
      </c>
      <c r="T6038" s="1" t="s">
        <v>55</v>
      </c>
    </row>
    <row r="6039" spans="1:20" ht="51" x14ac:dyDescent="0.25">
      <c r="A6039" s="6">
        <v>6018</v>
      </c>
      <c r="B6039" s="1" t="str">
        <f>"2019-2079"</f>
        <v>2019-2079</v>
      </c>
      <c r="C6039" s="1" t="s">
        <v>4320</v>
      </c>
      <c r="D6039" s="1" t="s">
        <v>2057</v>
      </c>
      <c r="E6039" s="1" t="str">
        <f>"2019/S 0F2-0021607"</f>
        <v>2019/S 0F2-0021607</v>
      </c>
      <c r="F6039" s="1" t="s">
        <v>22</v>
      </c>
      <c r="G6039" s="1" t="str">
        <f>CONCATENATE("BIM PROJEKT D.O.O.,"," KUPSKA ULICA 2,"," 10000 ZAGREB,"," OIB: 64500625635")</f>
        <v>BIM PROJEKT D.O.O., KUPSKA ULICA 2, 10000 ZAGREB, OIB: 64500625635</v>
      </c>
      <c r="H6039" s="7"/>
      <c r="I6039" s="8" t="s">
        <v>4321</v>
      </c>
      <c r="J6039" s="8" t="s">
        <v>707</v>
      </c>
      <c r="K6039" s="6" t="str">
        <f>"825.000,00"</f>
        <v>825.000,00</v>
      </c>
      <c r="L6039" s="6" t="str">
        <f>"206.250,00"</f>
        <v>206.250,00</v>
      </c>
      <c r="M6039" s="6" t="str">
        <f>"1.031.250,00"</f>
        <v>1.031.250,00</v>
      </c>
      <c r="N6039" s="8" t="s">
        <v>2770</v>
      </c>
      <c r="O6039" s="7"/>
      <c r="P6039" s="2" t="s">
        <v>8628</v>
      </c>
      <c r="Q6039" s="7"/>
      <c r="R6039" s="1"/>
      <c r="S6039" s="1" t="str">
        <f>"N-55/19"</f>
        <v>N-55/19</v>
      </c>
      <c r="T6039" s="1" t="s">
        <v>32</v>
      </c>
    </row>
    <row r="6040" spans="1:20" ht="63.75" x14ac:dyDescent="0.25">
      <c r="A6040" s="6">
        <v>6019</v>
      </c>
      <c r="B6040" s="1" t="str">
        <f>"2019-1290"</f>
        <v>2019-1290</v>
      </c>
      <c r="C6040" s="1" t="s">
        <v>4322</v>
      </c>
      <c r="D6040" s="1" t="s">
        <v>1871</v>
      </c>
      <c r="E6040" s="1" t="str">
        <f>"2019/S 0F2-0031277"</f>
        <v>2019/S 0F2-0031277</v>
      </c>
      <c r="F6040" s="1" t="s">
        <v>22</v>
      </c>
      <c r="G6040" s="1" t="str">
        <f>CONCATENATE("M. SOLDO D.O.O.,"," DEBANIĆEVA 39,"," 10090 ZAGREB-SUSEDGRAD,"," OIB: 58353605637")</f>
        <v>M. SOLDO D.O.O., DEBANIĆEVA 39, 10090 ZAGREB-SUSEDGRAD, OIB: 58353605637</v>
      </c>
      <c r="H6040" s="7"/>
      <c r="I6040" s="8" t="s">
        <v>3525</v>
      </c>
      <c r="J6040" s="8" t="s">
        <v>3526</v>
      </c>
      <c r="K6040" s="6" t="str">
        <f>"4.259.443,00"</f>
        <v>4.259.443,00</v>
      </c>
      <c r="L6040" s="6" t="str">
        <f>"1.064.860,75"</f>
        <v>1.064.860,75</v>
      </c>
      <c r="M6040" s="6" t="str">
        <f>"5.324.303,75"</f>
        <v>5.324.303,75</v>
      </c>
      <c r="N6040" s="8" t="s">
        <v>124</v>
      </c>
      <c r="O6040" s="7"/>
      <c r="P6040" s="2" t="s">
        <v>5614</v>
      </c>
      <c r="Q6040" s="7"/>
      <c r="R6040" s="1"/>
      <c r="S6040" s="1" t="str">
        <f>"N-57-A/19"</f>
        <v>N-57-A/19</v>
      </c>
      <c r="T6040" s="1" t="s">
        <v>55</v>
      </c>
    </row>
    <row r="6041" spans="1:20" ht="51" x14ac:dyDescent="0.25">
      <c r="A6041" s="6">
        <v>6020</v>
      </c>
      <c r="B6041" s="1" t="str">
        <f>"2019-1290"</f>
        <v>2019-1290</v>
      </c>
      <c r="C6041" s="1" t="s">
        <v>4323</v>
      </c>
      <c r="D6041" s="1" t="s">
        <v>1871</v>
      </c>
      <c r="E6041" s="1" t="str">
        <f>"2019/S 0F2-0031277"</f>
        <v>2019/S 0F2-0031277</v>
      </c>
      <c r="F6041" s="1" t="s">
        <v>22</v>
      </c>
      <c r="G6041" s="1" t="str">
        <f>CONCATENATE("M. SOLDO D.O.O.,"," DEBANIĆEVA 39,"," 10090 ZAGREB-SUSEDGRAD,"," OIB: 58353605637")</f>
        <v>M. SOLDO D.O.O., DEBANIĆEVA 39, 10090 ZAGREB-SUSEDGRAD, OIB: 58353605637</v>
      </c>
      <c r="H6041" s="7"/>
      <c r="I6041" s="8" t="s">
        <v>3525</v>
      </c>
      <c r="J6041" s="8" t="s">
        <v>3526</v>
      </c>
      <c r="K6041" s="6" t="str">
        <f>"1.192.974,61"</f>
        <v>1.192.974,61</v>
      </c>
      <c r="L6041" s="6" t="str">
        <f>"298.243,65"</f>
        <v>298.243,65</v>
      </c>
      <c r="M6041" s="6" t="str">
        <f>"1.491.218,26"</f>
        <v>1.491.218,26</v>
      </c>
      <c r="N6041" s="8" t="s">
        <v>124</v>
      </c>
      <c r="O6041" s="7"/>
      <c r="P6041" s="2" t="s">
        <v>5614</v>
      </c>
      <c r="Q6041" s="7"/>
      <c r="R6041" s="1"/>
      <c r="S6041" s="1" t="str">
        <f>"N-57-B/19"</f>
        <v>N-57-B/19</v>
      </c>
      <c r="T6041" s="1" t="s">
        <v>55</v>
      </c>
    </row>
    <row r="6042" spans="1:20" ht="51" x14ac:dyDescent="0.25">
      <c r="A6042" s="6">
        <v>6021</v>
      </c>
      <c r="B6042" s="1" t="str">
        <f>"2019-1279"</f>
        <v>2019-1279</v>
      </c>
      <c r="C6042" s="1" t="s">
        <v>2263</v>
      </c>
      <c r="D6042" s="1" t="s">
        <v>1109</v>
      </c>
      <c r="E6042" s="1" t="str">
        <f>"2019/S 0F2-0034775"</f>
        <v>2019/S 0F2-0034775</v>
      </c>
      <c r="F6042" s="1" t="s">
        <v>22</v>
      </c>
      <c r="G6042" s="1" t="str">
        <f>CONCATENATE("TIGRA D.O.O.,"," IVANIĆGRADSKA 22,"," 10000 ZAGREB,"," OIB: 2983006023")</f>
        <v>TIGRA D.O.O., IVANIĆGRADSKA 22, 10000 ZAGREB, OIB: 2983006023</v>
      </c>
      <c r="H6042" s="7"/>
      <c r="I6042" s="8" t="s">
        <v>4324</v>
      </c>
      <c r="J6042" s="8" t="s">
        <v>1199</v>
      </c>
      <c r="K6042" s="6" t="str">
        <f>"6.976.176,00"</f>
        <v>6.976.176,00</v>
      </c>
      <c r="L6042" s="6" t="str">
        <f>"1.744.044,00"</f>
        <v>1.744.044,00</v>
      </c>
      <c r="M6042" s="6" t="str">
        <f>"8.720.220,00"</f>
        <v>8.720.220,00</v>
      </c>
      <c r="N6042" s="8" t="s">
        <v>253</v>
      </c>
      <c r="O6042" s="7"/>
      <c r="P6042" s="2" t="s">
        <v>7014</v>
      </c>
      <c r="Q6042" s="7"/>
      <c r="R6042" s="1"/>
      <c r="S6042" s="1" t="str">
        <f>"N-58/19"</f>
        <v>N-58/19</v>
      </c>
      <c r="T6042" s="1" t="s">
        <v>55</v>
      </c>
    </row>
    <row r="6043" spans="1:20" ht="63.75" x14ac:dyDescent="0.25">
      <c r="A6043" s="6">
        <v>6022</v>
      </c>
      <c r="B6043" s="1" t="str">
        <f>"2019-2241"</f>
        <v>2019-2241</v>
      </c>
      <c r="C6043" s="1" t="s">
        <v>4325</v>
      </c>
      <c r="D6043" s="1" t="s">
        <v>4326</v>
      </c>
      <c r="E6043" s="1" t="str">
        <f>"2019/S 0F2-0033307"</f>
        <v>2019/S 0F2-0033307</v>
      </c>
      <c r="F6043" s="1" t="s">
        <v>22</v>
      </c>
      <c r="G6043" s="1" t="str">
        <f>CONCATENATE("HIDRAULIKA KURELJA D.O.O.,"," MATENAČKA CESTA 41,"," 49290 DONJA STUBICA,"," OIB: 3092900595")</f>
        <v>HIDRAULIKA KURELJA D.O.O., MATENAČKA CESTA 41, 49290 DONJA STUBICA, OIB: 3092900595</v>
      </c>
      <c r="H6043" s="7"/>
      <c r="I6043" s="8" t="s">
        <v>4324</v>
      </c>
      <c r="J6043" s="8" t="s">
        <v>1199</v>
      </c>
      <c r="K6043" s="6" t="str">
        <f>"396.220,00"</f>
        <v>396.220,00</v>
      </c>
      <c r="L6043" s="6" t="str">
        <f>"99.055,00"</f>
        <v>99.055,00</v>
      </c>
      <c r="M6043" s="6" t="str">
        <f>"495.275,00"</f>
        <v>495.275,00</v>
      </c>
      <c r="N6043" s="8" t="s">
        <v>124</v>
      </c>
      <c r="O6043" s="7"/>
      <c r="P6043" s="2" t="s">
        <v>5614</v>
      </c>
      <c r="Q6043" s="7"/>
      <c r="R6043" s="1"/>
      <c r="S6043" s="1" t="str">
        <f>"N-62/19"</f>
        <v>N-62/19</v>
      </c>
      <c r="T6043" s="1" t="s">
        <v>55</v>
      </c>
    </row>
    <row r="6044" spans="1:20" ht="51" x14ac:dyDescent="0.25">
      <c r="A6044" s="6">
        <v>6023</v>
      </c>
      <c r="B6044" s="1" t="str">
        <f>"2019-1903"</f>
        <v>2019-1903</v>
      </c>
      <c r="C6044" s="1" t="s">
        <v>4327</v>
      </c>
      <c r="D6044" s="1" t="s">
        <v>1641</v>
      </c>
      <c r="E6044" s="1" t="str">
        <f>"2019/S 0F2-0038320"</f>
        <v>2019/S 0F2-0038320</v>
      </c>
      <c r="F6044" s="1" t="s">
        <v>22</v>
      </c>
      <c r="G6044" s="1" t="str">
        <f>CONCATENATE("INOCON D.O.O.,"," SR NJEMAČKE 10,"," 10000 ZAGREB,"," OIB: 5151216224")</f>
        <v>INOCON D.O.O., SR NJEMAČKE 10, 10000 ZAGREB, OIB: 5151216224</v>
      </c>
      <c r="H6044" s="1" t="str">
        <f>CONCATENATE("H5 D.O.O.,"," OIB: 24374623263")</f>
        <v>H5 D.O.O., OIB: 24374623263</v>
      </c>
      <c r="I6044" s="8" t="s">
        <v>4126</v>
      </c>
      <c r="J6044" s="8" t="s">
        <v>4328</v>
      </c>
      <c r="K6044" s="6" t="str">
        <f>"150.000,00"</f>
        <v>150.000,00</v>
      </c>
      <c r="L6044" s="6" t="str">
        <f>"37.500,00"</f>
        <v>37.500,00</v>
      </c>
      <c r="M6044" s="6" t="str">
        <f>"187.500,00"</f>
        <v>187.500,00</v>
      </c>
      <c r="N6044" s="8" t="s">
        <v>1247</v>
      </c>
      <c r="O6044" s="7"/>
      <c r="P6044" s="2" t="s">
        <v>6353</v>
      </c>
      <c r="Q6044" s="7"/>
      <c r="R6044" s="1"/>
      <c r="S6044" s="1" t="str">
        <f>"N-64-A/19"</f>
        <v>N-64-A/19</v>
      </c>
      <c r="T6044" s="1" t="s">
        <v>452</v>
      </c>
    </row>
    <row r="6045" spans="1:20" ht="51" x14ac:dyDescent="0.25">
      <c r="A6045" s="6">
        <v>6024</v>
      </c>
      <c r="B6045" s="1" t="str">
        <f>"2019-1903"</f>
        <v>2019-1903</v>
      </c>
      <c r="C6045" s="1" t="s">
        <v>4329</v>
      </c>
      <c r="D6045" s="1" t="s">
        <v>1641</v>
      </c>
      <c r="E6045" s="1" t="str">
        <f>"2019/S 0F2-0038320"</f>
        <v>2019/S 0F2-0038320</v>
      </c>
      <c r="F6045" s="1" t="s">
        <v>22</v>
      </c>
      <c r="G6045" s="1" t="str">
        <f>CONCATENATE("INOCON D.O.O.,"," SR NJEMAČKE 10,"," 10000 ZAGREB,"," OIB: 5151216224")</f>
        <v>INOCON D.O.O., SR NJEMAČKE 10, 10000 ZAGREB, OIB: 5151216224</v>
      </c>
      <c r="H6045" s="1" t="str">
        <f>CONCATENATE("H5 D.O.O.,"," OIB: 24374623263")</f>
        <v>H5 D.O.O., OIB: 24374623263</v>
      </c>
      <c r="I6045" s="8" t="s">
        <v>620</v>
      </c>
      <c r="J6045" s="8" t="s">
        <v>4330</v>
      </c>
      <c r="K6045" s="6" t="str">
        <f>"224.000,00"</f>
        <v>224.000,00</v>
      </c>
      <c r="L6045" s="6" t="str">
        <f>"56.000,00"</f>
        <v>56.000,00</v>
      </c>
      <c r="M6045" s="6" t="str">
        <f>"280.000,00"</f>
        <v>280.000,00</v>
      </c>
      <c r="N6045" s="8" t="s">
        <v>1247</v>
      </c>
      <c r="O6045" s="7"/>
      <c r="P6045" s="2" t="s">
        <v>5805</v>
      </c>
      <c r="Q6045" s="7"/>
      <c r="R6045" s="1"/>
      <c r="S6045" s="1" t="str">
        <f>"N-64-B/19"</f>
        <v>N-64-B/19</v>
      </c>
      <c r="T6045" s="1" t="s">
        <v>452</v>
      </c>
    </row>
    <row r="6046" spans="1:20" ht="51" x14ac:dyDescent="0.25">
      <c r="A6046" s="6">
        <v>6025</v>
      </c>
      <c r="B6046" s="1" t="str">
        <f>"2019-1903"</f>
        <v>2019-1903</v>
      </c>
      <c r="C6046" s="1" t="s">
        <v>4331</v>
      </c>
      <c r="D6046" s="1" t="s">
        <v>1641</v>
      </c>
      <c r="E6046" s="1" t="str">
        <f>"2019/S 0F2-0038320"</f>
        <v>2019/S 0F2-0038320</v>
      </c>
      <c r="F6046" s="1" t="s">
        <v>22</v>
      </c>
      <c r="G6046" s="1" t="str">
        <f>CONCATENATE("INOCON D.O.O.,"," SR NJEMAČKE 10,"," 10000 ZAGREB,"," OIB: 5151216224")</f>
        <v>INOCON D.O.O., SR NJEMAČKE 10, 10000 ZAGREB, OIB: 5151216224</v>
      </c>
      <c r="H6046" s="1" t="str">
        <f>CONCATENATE("H5 D.O.O.,"," OIB: 24374623263")</f>
        <v>H5 D.O.O., OIB: 24374623263</v>
      </c>
      <c r="I6046" s="8" t="s">
        <v>620</v>
      </c>
      <c r="J6046" s="8" t="s">
        <v>4330</v>
      </c>
      <c r="K6046" s="6" t="str">
        <f>"35.000,00"</f>
        <v>35.000,00</v>
      </c>
      <c r="L6046" s="6" t="str">
        <f>"8.750,00"</f>
        <v>8.750,00</v>
      </c>
      <c r="M6046" s="6" t="str">
        <f>"43.750,00"</f>
        <v>43.750,00</v>
      </c>
      <c r="N6046" s="8" t="s">
        <v>4291</v>
      </c>
      <c r="O6046" s="7"/>
      <c r="P6046" s="2" t="s">
        <v>7755</v>
      </c>
      <c r="Q6046" s="7"/>
      <c r="R6046" s="1"/>
      <c r="S6046" s="1" t="str">
        <f>"N-64-C/19"</f>
        <v>N-64-C/19</v>
      </c>
      <c r="T6046" s="1" t="s">
        <v>452</v>
      </c>
    </row>
    <row r="6047" spans="1:20" ht="51" x14ac:dyDescent="0.25">
      <c r="A6047" s="6">
        <v>6026</v>
      </c>
      <c r="B6047" s="1" t="str">
        <f>"2019-2043"</f>
        <v>2019-2043</v>
      </c>
      <c r="C6047" s="1" t="s">
        <v>4105</v>
      </c>
      <c r="D6047" s="1" t="s">
        <v>2132</v>
      </c>
      <c r="E6047" s="1" t="str">
        <f>"2019/S 0F2-0041070"</f>
        <v>2019/S 0F2-0041070</v>
      </c>
      <c r="F6047" s="1" t="s">
        <v>22</v>
      </c>
      <c r="G6047" s="1" t="str">
        <f>CONCATENATE("ANDEL D.O.O.,"," MAJSTORSKA 1/G,"," 10000 ZAGREB,"," OIB: 81891996613")</f>
        <v>ANDEL D.O.O., MAJSTORSKA 1/G, 10000 ZAGREB, OIB: 81891996613</v>
      </c>
      <c r="H6047" s="7"/>
      <c r="I6047" s="8" t="s">
        <v>620</v>
      </c>
      <c r="J6047" s="8" t="s">
        <v>120</v>
      </c>
      <c r="K6047" s="6" t="str">
        <f>"1.263.020,00"</f>
        <v>1.263.020,00</v>
      </c>
      <c r="L6047" s="6" t="str">
        <f>"315.755,00"</f>
        <v>315.755,00</v>
      </c>
      <c r="M6047" s="6" t="str">
        <f>"1.578.775,00"</f>
        <v>1.578.775,00</v>
      </c>
      <c r="N6047" s="8" t="s">
        <v>226</v>
      </c>
      <c r="O6047" s="7"/>
      <c r="P6047" s="2" t="s">
        <v>8629</v>
      </c>
      <c r="Q6047" s="7"/>
      <c r="R6047" s="1"/>
      <c r="S6047" s="1" t="str">
        <f>"N-65/19"</f>
        <v>N-65/19</v>
      </c>
      <c r="T6047" s="1" t="s">
        <v>452</v>
      </c>
    </row>
    <row r="6048" spans="1:20" ht="63.75" x14ac:dyDescent="0.25">
      <c r="A6048" s="6">
        <v>6027</v>
      </c>
      <c r="B6048" s="1" t="str">
        <f>"2019-1353"</f>
        <v>2019-1353</v>
      </c>
      <c r="C6048" s="1" t="s">
        <v>2264</v>
      </c>
      <c r="D6048" s="1" t="s">
        <v>941</v>
      </c>
      <c r="E6048" s="1" t="str">
        <f>"2019/S 0F2-0034874"</f>
        <v>2019/S 0F2-0034874</v>
      </c>
      <c r="F6048" s="1" t="s">
        <v>22</v>
      </c>
      <c r="G6048" s="1" t="str">
        <f>CONCATENATE("BOLČEVIĆ-GRADNJA D.O.O.,"," DUGOSELSKA CESTA 56,"," 10361 SESVETSKI KRALJEVEC,"," OIB: 520986705")</f>
        <v>BOLČEVIĆ-GRADNJA D.O.O., DUGOSELSKA CESTA 56, 10361 SESVETSKI KRALJEVEC, OIB: 520986705</v>
      </c>
      <c r="H6048" s="1" t="str">
        <f>CONCATENATE("MGV D.O.O.,"," OIB: 07790118186")</f>
        <v>MGV D.O.O., OIB: 07790118186</v>
      </c>
      <c r="I6048" s="8" t="s">
        <v>3528</v>
      </c>
      <c r="J6048" s="8" t="s">
        <v>4332</v>
      </c>
      <c r="K6048" s="6" t="str">
        <f>"5.883.324,19"</f>
        <v>5.883.324,19</v>
      </c>
      <c r="L6048" s="6" t="str">
        <f>"1.470.831,05"</f>
        <v>1.470.831,05</v>
      </c>
      <c r="M6048" s="6" t="str">
        <f>"7.354.155,24"</f>
        <v>7.354.155,24</v>
      </c>
      <c r="N6048" s="8" t="s">
        <v>124</v>
      </c>
      <c r="O6048" s="7"/>
      <c r="P6048" s="2" t="s">
        <v>5614</v>
      </c>
      <c r="Q6048" s="7"/>
      <c r="R6048" s="1"/>
      <c r="S6048" s="1" t="str">
        <f>"N-66/19"</f>
        <v>N-66/19</v>
      </c>
      <c r="T6048" s="1" t="s">
        <v>55</v>
      </c>
    </row>
    <row r="6049" spans="1:20" ht="63.75" x14ac:dyDescent="0.25">
      <c r="A6049" s="6">
        <v>6028</v>
      </c>
      <c r="B6049" s="1" t="str">
        <f>"2019-2664"</f>
        <v>2019-2664</v>
      </c>
      <c r="C6049" s="1" t="s">
        <v>4333</v>
      </c>
      <c r="D6049" s="1" t="s">
        <v>941</v>
      </c>
      <c r="E6049" s="1" t="str">
        <f>"2019/S 0F2-0028078"</f>
        <v>2019/S 0F2-0028078</v>
      </c>
      <c r="F6049" s="1" t="s">
        <v>22</v>
      </c>
      <c r="G6049" s="1" t="str">
        <f>CONCATENATE("TEMPORIUM GRADNJA D.O.O.,"," LJUTOMERSKA ULICA 33A,"," 10000 ZAGREB,"," OIB: 6285048268")</f>
        <v>TEMPORIUM GRADNJA D.O.O., LJUTOMERSKA ULICA 33A, 10000 ZAGREB, OIB: 6285048268</v>
      </c>
      <c r="H6049" s="1" t="str">
        <f>CONCATENATE("INSTAL-PROM D.O.O.,"," OIB: 21231984689")</f>
        <v>INSTAL-PROM D.O.O., OIB: 21231984689</v>
      </c>
      <c r="I6049" s="8" t="s">
        <v>603</v>
      </c>
      <c r="J6049" s="8" t="s">
        <v>4334</v>
      </c>
      <c r="K6049" s="6" t="str">
        <f>"837.493,20"</f>
        <v>837.493,20</v>
      </c>
      <c r="L6049" s="6" t="str">
        <f>"209.373,30"</f>
        <v>209.373,30</v>
      </c>
      <c r="M6049" s="6" t="str">
        <f>"1.046.866,50"</f>
        <v>1.046.866,50</v>
      </c>
      <c r="N6049" s="8" t="s">
        <v>1146</v>
      </c>
      <c r="O6049" s="7"/>
      <c r="P6049" s="2" t="s">
        <v>8630</v>
      </c>
      <c r="Q6049" s="7"/>
      <c r="R6049" s="1"/>
      <c r="S6049" s="1" t="str">
        <f>"N-68/19"</f>
        <v>N-68/19</v>
      </c>
      <c r="T6049" s="1" t="s">
        <v>55</v>
      </c>
    </row>
    <row r="6050" spans="1:20" ht="63.75" x14ac:dyDescent="0.25">
      <c r="A6050" s="6">
        <v>6029</v>
      </c>
      <c r="B6050" s="1" t="str">
        <f>"2019-2661"</f>
        <v>2019-2661</v>
      </c>
      <c r="C6050" s="1" t="s">
        <v>4335</v>
      </c>
      <c r="D6050" s="1" t="s">
        <v>941</v>
      </c>
      <c r="E6050" s="1" t="str">
        <f>"2019/S 0F2-0038241"</f>
        <v>2019/S 0F2-0038241</v>
      </c>
      <c r="F6050" s="1" t="s">
        <v>22</v>
      </c>
      <c r="G6050" s="1" t="str">
        <f>CONCATENATE("BOLČEVIĆ-GRADNJA D.O.O.,"," DUGOSELSKA CESTA 56,"," 10361 SESVETSKI KRALJEVEC,"," OIB: 520986705")</f>
        <v>BOLČEVIĆ-GRADNJA D.O.O., DUGOSELSKA CESTA 56, 10361 SESVETSKI KRALJEVEC, OIB: 520986705</v>
      </c>
      <c r="H6050" s="1" t="str">
        <f>CONCATENATE("MGV D.O.O.,"," OIB: 07790118186")</f>
        <v>MGV D.O.O., OIB: 07790118186</v>
      </c>
      <c r="I6050" s="8" t="s">
        <v>603</v>
      </c>
      <c r="J6050" s="8" t="s">
        <v>4334</v>
      </c>
      <c r="K6050" s="6" t="str">
        <f>"802.375,00"</f>
        <v>802.375,00</v>
      </c>
      <c r="L6050" s="6" t="str">
        <f>"200.593,75"</f>
        <v>200.593,75</v>
      </c>
      <c r="M6050" s="6" t="str">
        <f>"1.002.968,75"</f>
        <v>1.002.968,75</v>
      </c>
      <c r="N6050" s="8" t="s">
        <v>124</v>
      </c>
      <c r="O6050" s="7"/>
      <c r="P6050" s="2" t="s">
        <v>5614</v>
      </c>
      <c r="Q6050" s="7"/>
      <c r="R6050" s="1"/>
      <c r="S6050" s="1" t="str">
        <f>"N-69/19"</f>
        <v>N-69/19</v>
      </c>
      <c r="T6050" s="1" t="s">
        <v>55</v>
      </c>
    </row>
    <row r="6051" spans="1:20" ht="51" x14ac:dyDescent="0.25">
      <c r="A6051" s="6">
        <v>6030</v>
      </c>
      <c r="B6051" s="1" t="str">
        <f>"2019-2276"</f>
        <v>2019-2276</v>
      </c>
      <c r="C6051" s="1" t="s">
        <v>4336</v>
      </c>
      <c r="D6051" s="1" t="s">
        <v>702</v>
      </c>
      <c r="E6051" s="1" t="str">
        <f>"2019/S 0F2-0022816"</f>
        <v>2019/S 0F2-0022816</v>
      </c>
      <c r="F6051" s="1" t="s">
        <v>22</v>
      </c>
      <c r="G6051" s="1" t="str">
        <f>CONCATENATE("BK MONTAŽA D.O.O.,"," MEDARSKA 69,"," 10000 ZAGREB,"," OIB: 80580557122")</f>
        <v>BK MONTAŽA D.O.O., MEDARSKA 69, 10000 ZAGREB, OIB: 80580557122</v>
      </c>
      <c r="H6051" s="7"/>
      <c r="I6051" s="8" t="s">
        <v>4337</v>
      </c>
      <c r="J6051" s="8" t="s">
        <v>4338</v>
      </c>
      <c r="K6051" s="6" t="str">
        <f>"2.817.543,01"</f>
        <v>2.817.543,01</v>
      </c>
      <c r="L6051" s="6" t="str">
        <f>"704.385,75"</f>
        <v>704.385,75</v>
      </c>
      <c r="M6051" s="6" t="str">
        <f>"3.521.928,76"</f>
        <v>3.521.928,76</v>
      </c>
      <c r="N6051" s="8" t="s">
        <v>4339</v>
      </c>
      <c r="O6051" s="7"/>
      <c r="P6051" s="2" t="s">
        <v>8631</v>
      </c>
      <c r="Q6051" s="7"/>
      <c r="R6051" s="1"/>
      <c r="S6051" s="1" t="str">
        <f>"N-71/19"</f>
        <v>N-71/19</v>
      </c>
      <c r="T6051" s="1" t="s">
        <v>452</v>
      </c>
    </row>
    <row r="6052" spans="1:20" ht="63.75" x14ac:dyDescent="0.25">
      <c r="A6052" s="6">
        <v>6031</v>
      </c>
      <c r="B6052" s="1" t="str">
        <f>"2019-2825"</f>
        <v>2019-2825</v>
      </c>
      <c r="C6052" s="1" t="s">
        <v>4340</v>
      </c>
      <c r="D6052" s="1" t="s">
        <v>941</v>
      </c>
      <c r="E6052" s="1" t="str">
        <f>"2019/S 0F2-0037826"</f>
        <v>2019/S 0F2-0037826</v>
      </c>
      <c r="F6052" s="1" t="s">
        <v>22</v>
      </c>
      <c r="G6052" s="1" t="str">
        <f>CONCATENATE("TEMPORIUM GRADNJA D.O.O.,"," LJUTOMERSKA ULICA 33A,"," 10000 ZAGREB,"," OIB: 6285048268")</f>
        <v>TEMPORIUM GRADNJA D.O.O., LJUTOMERSKA ULICA 33A, 10000 ZAGREB, OIB: 6285048268</v>
      </c>
      <c r="H6052" s="1" t="str">
        <f>CONCATENATE("KAPITEL D.O.O.,"," OIB: 44838895379")</f>
        <v>KAPITEL D.O.O., OIB: 44838895379</v>
      </c>
      <c r="I6052" s="8" t="s">
        <v>4341</v>
      </c>
      <c r="J6052" s="8" t="s">
        <v>2018</v>
      </c>
      <c r="K6052" s="6" t="str">
        <f>"521.874,70"</f>
        <v>521.874,70</v>
      </c>
      <c r="L6052" s="6" t="str">
        <f>"130.468,68"</f>
        <v>130.468,68</v>
      </c>
      <c r="M6052" s="6" t="str">
        <f>"652.343,38"</f>
        <v>652.343,38</v>
      </c>
      <c r="N6052" s="8" t="s">
        <v>918</v>
      </c>
      <c r="O6052" s="7"/>
      <c r="P6052" s="2" t="s">
        <v>8632</v>
      </c>
      <c r="Q6052" s="7"/>
      <c r="R6052" s="1"/>
      <c r="S6052" s="1" t="str">
        <f>"N-72/19"</f>
        <v>N-72/19</v>
      </c>
      <c r="T6052" s="1" t="s">
        <v>55</v>
      </c>
    </row>
    <row r="6053" spans="1:20" ht="63.75" x14ac:dyDescent="0.25">
      <c r="A6053" s="6">
        <v>6032</v>
      </c>
      <c r="B6053" s="1" t="str">
        <f>"2019-2531"</f>
        <v>2019-2531</v>
      </c>
      <c r="C6053" s="1" t="s">
        <v>4342</v>
      </c>
      <c r="D6053" s="1" t="s">
        <v>1641</v>
      </c>
      <c r="E6053" s="1" t="str">
        <f>"2019/S 0F2-0034983"</f>
        <v>2019/S 0F2-0034983</v>
      </c>
      <c r="F6053" s="1" t="s">
        <v>22</v>
      </c>
      <c r="G6053" s="1" t="str">
        <f>CONCATENATE("BOMAT-PROJEKT D.O.O.,"," MARTIĆEVA 67,"," 10000 ZAGREB,"," OIB: 29570420856")</f>
        <v>BOMAT-PROJEKT D.O.O., MARTIĆEVA 67, 10000 ZAGREB, OIB: 29570420856</v>
      </c>
      <c r="H6053" s="7"/>
      <c r="I6053" s="8" t="s">
        <v>4343</v>
      </c>
      <c r="J6053" s="8" t="s">
        <v>2277</v>
      </c>
      <c r="K6053" s="6" t="str">
        <f>"47.700,00"</f>
        <v>47.700,00</v>
      </c>
      <c r="L6053" s="6" t="str">
        <f>"11.925,00"</f>
        <v>11.925,00</v>
      </c>
      <c r="M6053" s="6" t="str">
        <f>"59.625,00"</f>
        <v>59.625,00</v>
      </c>
      <c r="N6053" s="8" t="s">
        <v>124</v>
      </c>
      <c r="O6053" s="7"/>
      <c r="P6053" s="2" t="s">
        <v>5614</v>
      </c>
      <c r="Q6053" s="7"/>
      <c r="R6053" s="1"/>
      <c r="S6053" s="1" t="str">
        <f>"N-74/19"</f>
        <v>N-74/19</v>
      </c>
      <c r="T6053" s="1" t="s">
        <v>55</v>
      </c>
    </row>
    <row r="6054" spans="1:20" ht="63.75" x14ac:dyDescent="0.25">
      <c r="A6054" s="6">
        <v>6033</v>
      </c>
      <c r="B6054" s="1" t="str">
        <f>"2019-2828"</f>
        <v>2019-2828</v>
      </c>
      <c r="C6054" s="1" t="s">
        <v>4344</v>
      </c>
      <c r="D6054" s="1" t="s">
        <v>941</v>
      </c>
      <c r="E6054" s="1" t="str">
        <f>"2019/S 0F2-0036120"</f>
        <v>2019/S 0F2-0036120</v>
      </c>
      <c r="F6054" s="1" t="s">
        <v>22</v>
      </c>
      <c r="G6054" s="1" t="str">
        <f>CONCATENATE("BOLČEVIĆ-GRADNJA D.O.O.,"," DUGOSELSKA CESTA 56,"," 10361 SESVETSKI KRALJEVEC,"," OIB: 520986705")</f>
        <v>BOLČEVIĆ-GRADNJA D.O.O., DUGOSELSKA CESTA 56, 10361 SESVETSKI KRALJEVEC, OIB: 520986705</v>
      </c>
      <c r="H6054" s="1" t="str">
        <f>CONCATENATE("MGV D.O.O.,"," OIB: 07790118186")</f>
        <v>MGV D.O.O., OIB: 07790118186</v>
      </c>
      <c r="I6054" s="8" t="s">
        <v>2256</v>
      </c>
      <c r="J6054" s="8" t="s">
        <v>4345</v>
      </c>
      <c r="K6054" s="6" t="str">
        <f>"649.195,38"</f>
        <v>649.195,38</v>
      </c>
      <c r="L6054" s="6" t="str">
        <f>"162.298,84"</f>
        <v>162.298,84</v>
      </c>
      <c r="M6054" s="6" t="str">
        <f>"811.494,22"</f>
        <v>811.494,22</v>
      </c>
      <c r="N6054" s="8" t="s">
        <v>4346</v>
      </c>
      <c r="O6054" s="7"/>
      <c r="P6054" s="2" t="s">
        <v>8633</v>
      </c>
      <c r="Q6054" s="7"/>
      <c r="R6054" s="1"/>
      <c r="S6054" s="1" t="str">
        <f>"N-75/19"</f>
        <v>N-75/19</v>
      </c>
      <c r="T6054" s="1" t="s">
        <v>55</v>
      </c>
    </row>
    <row r="6055" spans="1:20" ht="63.75" x14ac:dyDescent="0.25">
      <c r="A6055" s="6">
        <v>6034</v>
      </c>
      <c r="B6055" s="1" t="str">
        <f>"2019-2929"</f>
        <v>2019-2929</v>
      </c>
      <c r="C6055" s="1" t="s">
        <v>4347</v>
      </c>
      <c r="D6055" s="1" t="s">
        <v>4348</v>
      </c>
      <c r="E6055" s="1" t="str">
        <f>"2019/S 0F2-0046157"</f>
        <v>2019/S 0F2-0046157</v>
      </c>
      <c r="F6055" s="1" t="s">
        <v>22</v>
      </c>
      <c r="G6055" s="1" t="str">
        <f>CONCATENATE("TEHNOZAVOD-MARUŠIĆ D.O.O.,"," XIII PODBREŽJE 26,"," 10000 ZAGREB,"," OIB: 2192647279")</f>
        <v>TEHNOZAVOD-MARUŠIĆ D.O.O., XIII PODBREŽJE 26, 10000 ZAGREB, OIB: 2192647279</v>
      </c>
      <c r="H6055" s="7"/>
      <c r="I6055" s="8" t="s">
        <v>3691</v>
      </c>
      <c r="J6055" s="8" t="s">
        <v>4349</v>
      </c>
      <c r="K6055" s="6" t="str">
        <f>"2.895.467,50"</f>
        <v>2.895.467,50</v>
      </c>
      <c r="L6055" s="6" t="str">
        <f>"723.866,88"</f>
        <v>723.866,88</v>
      </c>
      <c r="M6055" s="6" t="str">
        <f>"3.619.334,38"</f>
        <v>3.619.334,38</v>
      </c>
      <c r="N6055" s="8" t="s">
        <v>3815</v>
      </c>
      <c r="O6055" s="7"/>
      <c r="P6055" s="2" t="s">
        <v>8634</v>
      </c>
      <c r="Q6055" s="7"/>
      <c r="R6055" s="1"/>
      <c r="S6055" s="1" t="str">
        <f>"N-81/19"</f>
        <v>N-81/19</v>
      </c>
      <c r="T6055" s="1" t="s">
        <v>32</v>
      </c>
    </row>
    <row r="6056" spans="1:20" ht="165.75" x14ac:dyDescent="0.25">
      <c r="A6056" s="6">
        <v>6035</v>
      </c>
      <c r="B6056" s="1" t="str">
        <f>"2019-2980"</f>
        <v>2019-2980</v>
      </c>
      <c r="C6056" s="1" t="s">
        <v>4350</v>
      </c>
      <c r="D6056" s="1" t="s">
        <v>702</v>
      </c>
      <c r="E6056" s="1" t="str">
        <f>"2019/S 0F2-0044848"</f>
        <v>2019/S 0F2-0044848</v>
      </c>
      <c r="F6056" s="1" t="s">
        <v>22</v>
      </c>
      <c r="G6056" s="1"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6056" s="1" t="str">
        <f>CONCATENATE("GEAMEDITOR D.O.O.,"," OIB: 35959507784",CHAR(10),"WML-INTERNATIONAL J.D.O.O.,"," OIB: 37469723217")</f>
        <v>GEAMEDITOR D.O.O., OIB: 35959507784
WML-INTERNATIONAL J.D.O.O., OIB: 37469723217</v>
      </c>
      <c r="I6056" s="8" t="s">
        <v>703</v>
      </c>
      <c r="J6056" s="8" t="s">
        <v>1291</v>
      </c>
      <c r="K6056" s="6" t="str">
        <f>"2.846.289,00"</f>
        <v>2.846.289,00</v>
      </c>
      <c r="L6056" s="6" t="str">
        <f>"711.572,25"</f>
        <v>711.572,25</v>
      </c>
      <c r="M6056" s="6" t="str">
        <f>"3.557.861,25"</f>
        <v>3.557.861,25</v>
      </c>
      <c r="N6056" s="7"/>
      <c r="O6056" s="9">
        <v>44895</v>
      </c>
      <c r="P6056" s="2" t="s">
        <v>5614</v>
      </c>
      <c r="Q6056" s="7"/>
      <c r="R6056" s="1"/>
      <c r="S6056" s="1" t="str">
        <f>"N-84/19"</f>
        <v>N-84/19</v>
      </c>
      <c r="T6056" s="1" t="s">
        <v>452</v>
      </c>
    </row>
    <row r="6057" spans="1:20" ht="51" x14ac:dyDescent="0.25">
      <c r="A6057" s="6">
        <v>6036</v>
      </c>
      <c r="B6057" s="1" t="str">
        <f>"2019-2780"</f>
        <v>2019-2780</v>
      </c>
      <c r="C6057" s="1" t="s">
        <v>4351</v>
      </c>
      <c r="D6057" s="1" t="s">
        <v>2894</v>
      </c>
      <c r="E6057" s="1" t="str">
        <f>"2019/S 0F2-0045174"</f>
        <v>2019/S 0F2-0045174</v>
      </c>
      <c r="F6057" s="1" t="s">
        <v>22</v>
      </c>
      <c r="G6057" s="1" t="str">
        <f>CONCATENATE("OPUS DIGNUM D.O.O.,"," STROJARSKA CESTA 4,"," 10000 ZAGREB,"," OIB: 55065169446")</f>
        <v>OPUS DIGNUM D.O.O., STROJARSKA CESTA 4, 10000 ZAGREB, OIB: 55065169446</v>
      </c>
      <c r="H6057" s="1" t="str">
        <f>CONCATENATE("L.A.V.-INŽENJERING D.O.O.,"," OIB: 17927828219")</f>
        <v>L.A.V.-INŽENJERING D.O.O., OIB: 17927828219</v>
      </c>
      <c r="I6057" s="8" t="s">
        <v>703</v>
      </c>
      <c r="J6057" s="8" t="s">
        <v>1291</v>
      </c>
      <c r="K6057" s="6" t="str">
        <f>"3.149.607,40"</f>
        <v>3.149.607,40</v>
      </c>
      <c r="L6057" s="6" t="str">
        <f>"787.401,85"</f>
        <v>787.401,85</v>
      </c>
      <c r="M6057" s="6" t="str">
        <f>"3.937.009,25"</f>
        <v>3.937.009,25</v>
      </c>
      <c r="N6057" s="8" t="s">
        <v>37</v>
      </c>
      <c r="O6057" s="7"/>
      <c r="P6057" s="2" t="s">
        <v>8635</v>
      </c>
      <c r="Q6057" s="7"/>
      <c r="R6057" s="1"/>
      <c r="S6057" s="1" t="str">
        <f>"N-85/19"</f>
        <v>N-85/19</v>
      </c>
      <c r="T6057" s="1" t="s">
        <v>32</v>
      </c>
    </row>
    <row r="6058" spans="1:20" ht="51" x14ac:dyDescent="0.25">
      <c r="A6058" s="6">
        <v>6037</v>
      </c>
      <c r="B6058" s="1" t="str">
        <f>"2019-2871"</f>
        <v>2019-2871</v>
      </c>
      <c r="C6058" s="1" t="s">
        <v>4352</v>
      </c>
      <c r="D6058" s="1" t="s">
        <v>4353</v>
      </c>
      <c r="E6058" s="1" t="str">
        <f>"2019/S 0F2-0035113"</f>
        <v>2019/S 0F2-0035113</v>
      </c>
      <c r="F6058" s="1" t="s">
        <v>22</v>
      </c>
      <c r="G6058" s="1" t="str">
        <f>CONCATENATE("ENPRO D.O.O.,"," ŽAKANJE 7,"," 47276 ŽAKANJE,"," OIB: 13082887783")</f>
        <v>ENPRO D.O.O., ŽAKANJE 7, 47276 ŽAKANJE, OIB: 13082887783</v>
      </c>
      <c r="H6058" s="7"/>
      <c r="I6058" s="8" t="s">
        <v>3691</v>
      </c>
      <c r="J6058" s="8" t="s">
        <v>4349</v>
      </c>
      <c r="K6058" s="6" t="str">
        <f>"588.598,00"</f>
        <v>588.598,00</v>
      </c>
      <c r="L6058" s="6" t="str">
        <f>"147.149,50"</f>
        <v>147.149,50</v>
      </c>
      <c r="M6058" s="6" t="str">
        <f>"735.747,50"</f>
        <v>735.747,50</v>
      </c>
      <c r="N6058" s="8" t="s">
        <v>881</v>
      </c>
      <c r="O6058" s="7"/>
      <c r="P6058" s="2" t="s">
        <v>8636</v>
      </c>
      <c r="Q6058" s="7"/>
      <c r="R6058" s="1"/>
      <c r="S6058" s="1" t="str">
        <f>"N-86/19"</f>
        <v>N-86/19</v>
      </c>
      <c r="T6058" s="1" t="s">
        <v>32</v>
      </c>
    </row>
    <row r="6059" spans="1:20" ht="76.5" x14ac:dyDescent="0.25">
      <c r="A6059" s="6">
        <v>6038</v>
      </c>
      <c r="B6059" s="1" t="str">
        <f>"2019-2595"</f>
        <v>2019-2595</v>
      </c>
      <c r="C6059" s="1" t="s">
        <v>4354</v>
      </c>
      <c r="D6059" s="1" t="s">
        <v>1383</v>
      </c>
      <c r="E6059" s="1" t="str">
        <f>"2019/S 0F2-0034708"</f>
        <v>2019/S 0F2-0034708</v>
      </c>
      <c r="F6059" s="1" t="s">
        <v>22</v>
      </c>
      <c r="G6059" s="1" t="str">
        <f>CONCATENATE("IDEA PROJEKT D.O.O.,"," FLANATIČKA 25,"," 521000 PULA,"," OIB: 0225710134")</f>
        <v>IDEA PROJEKT D.O.O., FLANATIČKA 25, 521000 PULA, OIB: 0225710134</v>
      </c>
      <c r="H6059" s="1" t="str">
        <f>CONCATENATE("SIGMATEL - ELEKTROINSTALATERSKI I TRGOVAČKI OBRT,"," OIB: 33150470544")</f>
        <v>SIGMATEL - ELEKTROINSTALATERSKI I TRGOVAČKI OBRT, OIB: 33150470544</v>
      </c>
      <c r="I6059" s="8" t="s">
        <v>4355</v>
      </c>
      <c r="J6059" s="8" t="s">
        <v>4356</v>
      </c>
      <c r="K6059" s="6" t="str">
        <f>"1.999.627,28"</f>
        <v>1.999.627,28</v>
      </c>
      <c r="L6059" s="6" t="str">
        <f>"499.906,82"</f>
        <v>499.906,82</v>
      </c>
      <c r="M6059" s="6" t="str">
        <f>"2.499.534,10"</f>
        <v>2.499.534,10</v>
      </c>
      <c r="N6059" s="8" t="s">
        <v>4257</v>
      </c>
      <c r="O6059" s="7"/>
      <c r="P6059" s="2" t="s">
        <v>8637</v>
      </c>
      <c r="Q6059" s="7"/>
      <c r="R6059" s="1"/>
      <c r="S6059" s="1" t="str">
        <f>"N-89/19"</f>
        <v>N-89/19</v>
      </c>
      <c r="T6059" s="1" t="s">
        <v>32</v>
      </c>
    </row>
    <row r="6060" spans="1:20" ht="51" x14ac:dyDescent="0.25">
      <c r="A6060" s="6">
        <v>6039</v>
      </c>
      <c r="B6060" s="1" t="str">
        <f>"2019-2933"</f>
        <v>2019-2933</v>
      </c>
      <c r="C6060" s="1" t="s">
        <v>4357</v>
      </c>
      <c r="D6060" s="1" t="s">
        <v>3008</v>
      </c>
      <c r="E6060" s="1" t="str">
        <f>"2019/S 0F2-0041728"</f>
        <v>2019/S 0F2-0041728</v>
      </c>
      <c r="F6060" s="1" t="s">
        <v>22</v>
      </c>
      <c r="G6060" s="1" t="str">
        <f>CONCATENATE("STORM COMPUTERS D.O.O.,"," SAVICA I. 127,"," 10000 ZAGREB,"," OIB: 20142998436")</f>
        <v>STORM COMPUTERS D.O.O., SAVICA I. 127, 10000 ZAGREB, OIB: 20142998436</v>
      </c>
      <c r="H6060" s="7"/>
      <c r="I6060" s="8" t="s">
        <v>4104</v>
      </c>
      <c r="J6060" s="8" t="s">
        <v>1165</v>
      </c>
      <c r="K6060" s="6" t="str">
        <f>"918.958,00"</f>
        <v>918.958,00</v>
      </c>
      <c r="L6060" s="6" t="str">
        <f>"229.739,50"</f>
        <v>229.739,50</v>
      </c>
      <c r="M6060" s="6" t="str">
        <f>"1.148.697,50"</f>
        <v>1.148.697,50</v>
      </c>
      <c r="N6060" s="8" t="s">
        <v>4358</v>
      </c>
      <c r="O6060" s="7"/>
      <c r="P6060" s="2" t="s">
        <v>8638</v>
      </c>
      <c r="Q6060" s="7"/>
      <c r="R6060" s="1"/>
      <c r="S6060" s="1" t="str">
        <f>"N-90/19"</f>
        <v>N-90/19</v>
      </c>
      <c r="T6060" s="1" t="s">
        <v>452</v>
      </c>
    </row>
    <row r="6061" spans="1:20" ht="63.75" x14ac:dyDescent="0.25">
      <c r="A6061" s="6">
        <v>6040</v>
      </c>
      <c r="B6061" s="1" t="str">
        <f>"2019-2532"</f>
        <v>2019-2532</v>
      </c>
      <c r="C6061" s="1" t="s">
        <v>4359</v>
      </c>
      <c r="D6061" s="1" t="s">
        <v>1641</v>
      </c>
      <c r="E6061" s="1" t="str">
        <f>"2019/S 0F2-0036495"</f>
        <v>2019/S 0F2-0036495</v>
      </c>
      <c r="F6061" s="1" t="s">
        <v>22</v>
      </c>
      <c r="G6061" s="1" t="str">
        <f>CONCATENATE("SEDRA CONSULTING D.O.O.,"," USKOPSKA 11,"," 10010 ZAGREB,"," OIB: 09177957072")</f>
        <v>SEDRA CONSULTING D.O.O., USKOPSKA 11, 10010 ZAGREB, OIB: 09177957072</v>
      </c>
      <c r="H6061" s="7"/>
      <c r="I6061" s="8" t="s">
        <v>3948</v>
      </c>
      <c r="J6061" s="8" t="s">
        <v>587</v>
      </c>
      <c r="K6061" s="6" t="str">
        <f>"90.000,00"</f>
        <v>90.000,00</v>
      </c>
      <c r="L6061" s="6" t="str">
        <f>"22.500,00"</f>
        <v>22.500,00</v>
      </c>
      <c r="M6061" s="6" t="str">
        <f>"112.500,00"</f>
        <v>112.500,00</v>
      </c>
      <c r="N6061" s="8" t="s">
        <v>124</v>
      </c>
      <c r="O6061" s="7"/>
      <c r="P6061" s="2" t="s">
        <v>5614</v>
      </c>
      <c r="Q6061" s="7"/>
      <c r="R6061" s="1"/>
      <c r="S6061" s="1" t="str">
        <f>"N-92/19"</f>
        <v>N-92/19</v>
      </c>
      <c r="T6061" s="1" t="s">
        <v>55</v>
      </c>
    </row>
    <row r="6062" spans="1:20" ht="63.75" x14ac:dyDescent="0.25">
      <c r="A6062" s="6">
        <v>6041</v>
      </c>
      <c r="B6062" s="1" t="str">
        <f>"2019-1658"</f>
        <v>2019-1658</v>
      </c>
      <c r="C6062" s="1" t="s">
        <v>2377</v>
      </c>
      <c r="D6062" s="1" t="s">
        <v>1065</v>
      </c>
      <c r="E6062" s="1" t="str">
        <f>"2019/S 0F2-0044564"</f>
        <v>2019/S 0F2-0044564</v>
      </c>
      <c r="F6062" s="1" t="s">
        <v>22</v>
      </c>
      <c r="G6062" s="1" t="str">
        <f>CONCATENATE("AUTO HRVATSKA AUTOMOBILI d.o.o.,"," RADNIČKA CESTA 182,"," 10000 ZAGREB,"," OIB: 23035642859")</f>
        <v>AUTO HRVATSKA AUTOMOBILI d.o.o., RADNIČKA CESTA 182, 10000 ZAGREB, OIB: 23035642859</v>
      </c>
      <c r="H6062" s="7"/>
      <c r="I6062" s="8" t="s">
        <v>705</v>
      </c>
      <c r="J6062" s="8" t="s">
        <v>4091</v>
      </c>
      <c r="K6062" s="6" t="str">
        <f>"448.120,94"</f>
        <v>448.120,94</v>
      </c>
      <c r="L6062" s="6" t="str">
        <f>"112.030,24"</f>
        <v>112.030,24</v>
      </c>
      <c r="M6062" s="6" t="str">
        <f>"560.151,18"</f>
        <v>560.151,18</v>
      </c>
      <c r="N6062" s="8" t="s">
        <v>124</v>
      </c>
      <c r="O6062" s="7"/>
      <c r="P6062" s="2" t="s">
        <v>5614</v>
      </c>
      <c r="Q6062" s="7"/>
      <c r="R6062" s="1"/>
      <c r="S6062" s="1" t="str">
        <f>"N-93/19"</f>
        <v>N-93/19</v>
      </c>
      <c r="T6062" s="1" t="s">
        <v>55</v>
      </c>
    </row>
    <row r="6063" spans="1:20" ht="51" x14ac:dyDescent="0.25">
      <c r="A6063" s="6">
        <v>6042</v>
      </c>
      <c r="B6063" s="1" t="str">
        <f>"2019-1526"</f>
        <v>2019-1526</v>
      </c>
      <c r="C6063" s="1" t="s">
        <v>4360</v>
      </c>
      <c r="D6063" s="1" t="s">
        <v>941</v>
      </c>
      <c r="E6063" s="1" t="str">
        <f>"2019/S 0F2-0041961"</f>
        <v>2019/S 0F2-0041961</v>
      </c>
      <c r="F6063" s="1" t="s">
        <v>22</v>
      </c>
      <c r="G6063" s="1" t="str">
        <f>CONCATENATE("GEORAD D.O.O.,"," KORNATSKA 1,"," 10000 ZAGREB,"," OIB: 49756748234")</f>
        <v>GEORAD D.O.O., KORNATSKA 1, 10000 ZAGREB, OIB: 49756748234</v>
      </c>
      <c r="H6063" s="7"/>
      <c r="I6063" s="8" t="s">
        <v>705</v>
      </c>
      <c r="J6063" s="8" t="s">
        <v>4091</v>
      </c>
      <c r="K6063" s="6" t="str">
        <f>"410.510,00"</f>
        <v>410.510,00</v>
      </c>
      <c r="L6063" s="6" t="str">
        <f>"102.627,50"</f>
        <v>102.627,50</v>
      </c>
      <c r="M6063" s="6" t="str">
        <f>"513.137,50"</f>
        <v>513.137,50</v>
      </c>
      <c r="N6063" s="8" t="s">
        <v>2913</v>
      </c>
      <c r="O6063" s="7"/>
      <c r="P6063" s="2" t="s">
        <v>8639</v>
      </c>
      <c r="Q6063" s="7"/>
      <c r="R6063" s="1"/>
      <c r="S6063" s="1" t="str">
        <f>"N-94/19"</f>
        <v>N-94/19</v>
      </c>
      <c r="T6063" s="1" t="s">
        <v>55</v>
      </c>
    </row>
    <row r="6064" spans="1:20" ht="63.75" x14ac:dyDescent="0.25">
      <c r="A6064" s="6">
        <v>6043</v>
      </c>
      <c r="B6064" s="1" t="str">
        <f>"2019-2591"</f>
        <v>2019-2591</v>
      </c>
      <c r="C6064" s="1" t="s">
        <v>4361</v>
      </c>
      <c r="D6064" s="1" t="s">
        <v>941</v>
      </c>
      <c r="E6064" s="1" t="str">
        <f>"2019/S 0F2-0023176"</f>
        <v>2019/S 0F2-0023176</v>
      </c>
      <c r="F6064" s="1" t="s">
        <v>22</v>
      </c>
      <c r="G6064" s="1" t="str">
        <f>CONCATENATE("TEMPORIUM GRADNJA D.O.O.,"," LJUTOMERSKA ULICA 33A,"," 10000 ZAGREB,"," OIB: 6285048268")</f>
        <v>TEMPORIUM GRADNJA D.O.O., LJUTOMERSKA ULICA 33A, 10000 ZAGREB, OIB: 6285048268</v>
      </c>
      <c r="H6064" s="1" t="str">
        <f>CONCATENATE("INSTAL-PROM D.O.O.,"," OIB: 21231984689")</f>
        <v>INSTAL-PROM D.O.O., OIB: 21231984689</v>
      </c>
      <c r="I6064" s="8" t="s">
        <v>705</v>
      </c>
      <c r="J6064" s="8" t="s">
        <v>4091</v>
      </c>
      <c r="K6064" s="6" t="str">
        <f>"1.127.046,90"</f>
        <v>1.127.046,90</v>
      </c>
      <c r="L6064" s="6" t="str">
        <f>"281.761,72"</f>
        <v>281.761,72</v>
      </c>
      <c r="M6064" s="6" t="str">
        <f>"1.408.808,62"</f>
        <v>1.408.808,62</v>
      </c>
      <c r="N6064" s="8" t="s">
        <v>2770</v>
      </c>
      <c r="O6064" s="7"/>
      <c r="P6064" s="2" t="s">
        <v>8640</v>
      </c>
      <c r="Q6064" s="7"/>
      <c r="R6064" s="1"/>
      <c r="S6064" s="1" t="str">
        <f>"N-95/19"</f>
        <v>N-95/19</v>
      </c>
      <c r="T6064" s="1" t="s">
        <v>55</v>
      </c>
    </row>
    <row r="6065" spans="1:20" ht="63.75" x14ac:dyDescent="0.25">
      <c r="A6065" s="6">
        <v>6044</v>
      </c>
      <c r="B6065" s="1" t="str">
        <f>"2019-3011"</f>
        <v>2019-3011</v>
      </c>
      <c r="C6065" s="1" t="s">
        <v>4362</v>
      </c>
      <c r="D6065" s="1" t="s">
        <v>1352</v>
      </c>
      <c r="E6065" s="1" t="str">
        <f>"2020/S 0F2-0000015"</f>
        <v>2020/S 0F2-0000015</v>
      </c>
      <c r="F6065" s="1" t="s">
        <v>22</v>
      </c>
      <c r="G6065" s="1" t="str">
        <f>CONCATENATE("HIDRAULIKA KURELJA D.O.O.,"," MATENAČKA CESTA 41,"," 49290 DONJA STUBICA,"," OIB: 3092900595")</f>
        <v>HIDRAULIKA KURELJA D.O.O., MATENAČKA CESTA 41, 49290 DONJA STUBICA, OIB: 3092900595</v>
      </c>
      <c r="H6065" s="7"/>
      <c r="I6065" s="8" t="s">
        <v>4363</v>
      </c>
      <c r="J6065" s="8" t="s">
        <v>2559</v>
      </c>
      <c r="K6065" s="6" t="str">
        <f>"473.600,00"</f>
        <v>473.600,00</v>
      </c>
      <c r="L6065" s="6" t="str">
        <f>"118.400,00"</f>
        <v>118.400,00</v>
      </c>
      <c r="M6065" s="6" t="str">
        <f>"592.000,00"</f>
        <v>592.000,00</v>
      </c>
      <c r="N6065" s="8" t="s">
        <v>124</v>
      </c>
      <c r="O6065" s="7"/>
      <c r="P6065" s="2" t="s">
        <v>5614</v>
      </c>
      <c r="Q6065" s="7"/>
      <c r="R6065" s="1"/>
      <c r="S6065" s="1" t="str">
        <f>"N-96/19"</f>
        <v>N-96/19</v>
      </c>
      <c r="T6065" s="1" t="s">
        <v>55</v>
      </c>
    </row>
    <row r="6066" spans="1:20" ht="102" x14ac:dyDescent="0.25">
      <c r="A6066" s="6">
        <v>6045</v>
      </c>
      <c r="B6066" s="1" t="str">
        <f>"2019-1143"</f>
        <v>2019-1143</v>
      </c>
      <c r="C6066" s="1" t="s">
        <v>4364</v>
      </c>
      <c r="D6066" s="1" t="s">
        <v>1979</v>
      </c>
      <c r="E6066" s="1" t="str">
        <f>"2019/S 0F2-0047877"</f>
        <v>2019/S 0F2-0047877</v>
      </c>
      <c r="F6066" s="1" t="s">
        <v>22</v>
      </c>
      <c r="G6066" s="1" t="str">
        <f>CONCATENATE("D.I.A.T. D.O.O.,"," JABLANOVEČKA 37,"," 10 000 ZAGREB,"," OIB: 22889869555")</f>
        <v>D.I.A.T. D.O.O., JABLANOVEČKA 37, 10 000 ZAGREB, OIB: 22889869555</v>
      </c>
      <c r="H6066" s="7"/>
      <c r="I6066" s="8" t="s">
        <v>1994</v>
      </c>
      <c r="J6066" s="8" t="s">
        <v>2022</v>
      </c>
      <c r="K6066" s="6" t="str">
        <f>"97.150,00"</f>
        <v>97.150,00</v>
      </c>
      <c r="L6066" s="6" t="str">
        <f>"24.287,50"</f>
        <v>24.287,50</v>
      </c>
      <c r="M6066" s="6" t="str">
        <f>"121.437,50"</f>
        <v>121.437,50</v>
      </c>
      <c r="N6066" s="8" t="s">
        <v>124</v>
      </c>
      <c r="O6066" s="7"/>
      <c r="P6066" s="2" t="s">
        <v>5614</v>
      </c>
      <c r="Q6066" s="7"/>
      <c r="R6066" s="1"/>
      <c r="S6066" s="1" t="str">
        <f>"N-97/19"</f>
        <v>N-97/19</v>
      </c>
      <c r="T6066" s="1" t="s">
        <v>55</v>
      </c>
    </row>
    <row r="6067" spans="1:20" ht="76.5" x14ac:dyDescent="0.25">
      <c r="A6067" s="6">
        <v>6046</v>
      </c>
      <c r="B6067" s="1" t="str">
        <f>"2019-861"</f>
        <v>2019-861</v>
      </c>
      <c r="C6067" s="1" t="s">
        <v>4365</v>
      </c>
      <c r="D6067" s="1" t="s">
        <v>1979</v>
      </c>
      <c r="E6067" s="1" t="str">
        <f>"2019/S 0F2-0049464"</f>
        <v>2019/S 0F2-0049464</v>
      </c>
      <c r="F6067" s="1" t="s">
        <v>22</v>
      </c>
      <c r="G6067" s="1" t="str">
        <f>CONCATENATE("D.I.A.T. D.O.O.,"," JABLANOVEČKA 37,"," 10 000 ZAGREB,"," OIB: 22889869555")</f>
        <v>D.I.A.T. D.O.O., JABLANOVEČKA 37, 10 000 ZAGREB, OIB: 22889869555</v>
      </c>
      <c r="H6067" s="7"/>
      <c r="I6067" s="8" t="s">
        <v>1994</v>
      </c>
      <c r="J6067" s="8" t="s">
        <v>2022</v>
      </c>
      <c r="K6067" s="6" t="str">
        <f>"108.800,00"</f>
        <v>108.800,00</v>
      </c>
      <c r="L6067" s="6" t="str">
        <f>"27.200,00"</f>
        <v>27.200,00</v>
      </c>
      <c r="M6067" s="6" t="str">
        <f>"136.000,00"</f>
        <v>136.000,00</v>
      </c>
      <c r="N6067" s="8" t="s">
        <v>124</v>
      </c>
      <c r="O6067" s="7"/>
      <c r="P6067" s="2" t="s">
        <v>5614</v>
      </c>
      <c r="Q6067" s="7"/>
      <c r="R6067" s="1"/>
      <c r="S6067" s="1" t="str">
        <f>"N-98/19"</f>
        <v>N-98/19</v>
      </c>
      <c r="T6067" s="1" t="s">
        <v>55</v>
      </c>
    </row>
    <row r="6068" spans="1:20" ht="63.75" x14ac:dyDescent="0.25">
      <c r="A6068" s="6">
        <v>6047</v>
      </c>
      <c r="B6068" s="1" t="str">
        <f>"2019-2964"</f>
        <v>2019-2964</v>
      </c>
      <c r="C6068" s="1" t="s">
        <v>4366</v>
      </c>
      <c r="D6068" s="1" t="s">
        <v>941</v>
      </c>
      <c r="E6068" s="1" t="str">
        <f>"2019/S 0F2-0045155"</f>
        <v>2019/S 0F2-0045155</v>
      </c>
      <c r="F6068" s="1" t="s">
        <v>22</v>
      </c>
      <c r="G6068" s="1" t="str">
        <f>CONCATENATE("BUBANJ - NISKOGRADNJA D.O.O.,"," KRUGE 7,"," 10000 ZAGREB,"," OIB: 29539944583")</f>
        <v>BUBANJ - NISKOGRADNJA D.O.O., KRUGE 7, 10000 ZAGREB, OIB: 29539944583</v>
      </c>
      <c r="H6068" s="1" t="str">
        <f>CONCATENATE("GEODIST D.O.O.,"," OIB: 709786718")</f>
        <v>GEODIST D.O.O., OIB: 709786718</v>
      </c>
      <c r="I6068" s="8" t="s">
        <v>1994</v>
      </c>
      <c r="J6068" s="8" t="s">
        <v>2022</v>
      </c>
      <c r="K6068" s="6" t="str">
        <f>"8.887.385,00"</f>
        <v>8.887.385,00</v>
      </c>
      <c r="L6068" s="6" t="str">
        <f>"2.221.846,25"</f>
        <v>2.221.846,25</v>
      </c>
      <c r="M6068" s="6" t="str">
        <f>"11.109.231,25"</f>
        <v>11.109.231,25</v>
      </c>
      <c r="N6068" s="8" t="s">
        <v>124</v>
      </c>
      <c r="O6068" s="7"/>
      <c r="P6068" s="2" t="s">
        <v>5614</v>
      </c>
      <c r="Q6068" s="7"/>
      <c r="R6068" s="1"/>
      <c r="S6068" s="1" t="str">
        <f>"N-101/19"</f>
        <v>N-101/19</v>
      </c>
      <c r="T6068" s="1" t="s">
        <v>55</v>
      </c>
    </row>
    <row r="6069" spans="1:20" ht="51" x14ac:dyDescent="0.25">
      <c r="A6069" s="6">
        <v>6048</v>
      </c>
      <c r="B6069" s="1" t="str">
        <f>"2019-2482"</f>
        <v>2019-2482</v>
      </c>
      <c r="C6069" s="1" t="s">
        <v>2266</v>
      </c>
      <c r="D6069" s="1" t="s">
        <v>941</v>
      </c>
      <c r="E6069" s="1" t="str">
        <f>"2019/S 0F2-0037145"</f>
        <v>2019/S 0F2-0037145</v>
      </c>
      <c r="F6069" s="1" t="s">
        <v>22</v>
      </c>
      <c r="G6069" s="1" t="str">
        <f>CONCATENATE("GEORAD D.O.O.,"," KORNATSKA 1,"," 10000 ZAGREB,"," OIB: 49756748234")</f>
        <v>GEORAD D.O.O., KORNATSKA 1, 10000 ZAGREB, OIB: 49756748234</v>
      </c>
      <c r="H6069" s="7"/>
      <c r="I6069" s="8" t="s">
        <v>4355</v>
      </c>
      <c r="J6069" s="8" t="s">
        <v>4356</v>
      </c>
      <c r="K6069" s="6" t="str">
        <f>"15.150.349,61"</f>
        <v>15.150.349,61</v>
      </c>
      <c r="L6069" s="6" t="str">
        <f>"3.787.587,40"</f>
        <v>3.787.587,40</v>
      </c>
      <c r="M6069" s="6" t="str">
        <f>"18.937.937,01"</f>
        <v>18.937.937,01</v>
      </c>
      <c r="N6069" s="8" t="s">
        <v>124</v>
      </c>
      <c r="O6069" s="7"/>
      <c r="P6069" s="2" t="s">
        <v>5614</v>
      </c>
      <c r="Q6069" s="7"/>
      <c r="R6069" s="1"/>
      <c r="S6069" s="1" t="str">
        <f>"N-102/19"</f>
        <v>N-102/19</v>
      </c>
      <c r="T6069" s="1" t="s">
        <v>55</v>
      </c>
    </row>
    <row r="6070" spans="1:20" ht="102" x14ac:dyDescent="0.25">
      <c r="A6070" s="6">
        <v>6049</v>
      </c>
      <c r="B6070" s="1" t="str">
        <f>"2019-1439"</f>
        <v>2019-1439</v>
      </c>
      <c r="C6070" s="1" t="s">
        <v>4367</v>
      </c>
      <c r="D6070" s="1" t="s">
        <v>1979</v>
      </c>
      <c r="E6070" s="1" t="str">
        <f>"2019/S 0F2-0048560"</f>
        <v>2019/S 0F2-0048560</v>
      </c>
      <c r="F6070" s="1" t="s">
        <v>22</v>
      </c>
      <c r="G6070" s="1" t="str">
        <f>CONCATENATE("INSTITUT IGH D.D.,"," JANKA RAKUŠE 1,"," 10000 ZAGREB,"," OIB: 79766124714")</f>
        <v>INSTITUT IGH D.D., JANKA RAKUŠE 1, 10000 ZAGREB, OIB: 79766124714</v>
      </c>
      <c r="H6070" s="7"/>
      <c r="I6070" s="8" t="s">
        <v>4368</v>
      </c>
      <c r="J6070" s="8" t="s">
        <v>370</v>
      </c>
      <c r="K6070" s="6" t="str">
        <f>"283.500,00"</f>
        <v>283.500,00</v>
      </c>
      <c r="L6070" s="6" t="str">
        <f>"70.875,00"</f>
        <v>70.875,00</v>
      </c>
      <c r="M6070" s="6" t="str">
        <f>"354.375,00"</f>
        <v>354.375,00</v>
      </c>
      <c r="N6070" s="8" t="s">
        <v>124</v>
      </c>
      <c r="O6070" s="7"/>
      <c r="P6070" s="2" t="s">
        <v>5614</v>
      </c>
      <c r="Q6070" s="7"/>
      <c r="R6070" s="1"/>
      <c r="S6070" s="1" t="str">
        <f>"N-103/19"</f>
        <v>N-103/19</v>
      </c>
      <c r="T6070" s="1" t="s">
        <v>55</v>
      </c>
    </row>
    <row r="6071" spans="1:20" ht="76.5" x14ac:dyDescent="0.25">
      <c r="A6071" s="6">
        <v>6050</v>
      </c>
      <c r="B6071" s="1" t="str">
        <f>"2019-1878"</f>
        <v>2019-1878</v>
      </c>
      <c r="C6071" s="1" t="s">
        <v>4369</v>
      </c>
      <c r="D6071" s="1" t="s">
        <v>1979</v>
      </c>
      <c r="E6071" s="1" t="str">
        <f>"2019/S 0F2-0048144"</f>
        <v>2019/S 0F2-0048144</v>
      </c>
      <c r="F6071" s="1" t="s">
        <v>22</v>
      </c>
      <c r="G6071" s="1" t="str">
        <f>CONCATENATE("D.I.A.T. D.O.O.,"," JABLANOVEČKA 37,"," 10 000 ZAGREB,"," OIB: 22889869555")</f>
        <v>D.I.A.T. D.O.O., JABLANOVEČKA 37, 10 000 ZAGREB, OIB: 22889869555</v>
      </c>
      <c r="H6071" s="7"/>
      <c r="I6071" s="8" t="s">
        <v>4368</v>
      </c>
      <c r="J6071" s="8" t="s">
        <v>370</v>
      </c>
      <c r="K6071" s="6" t="str">
        <f>"94.800,00"</f>
        <v>94.800,00</v>
      </c>
      <c r="L6071" s="6" t="str">
        <f>"23.700,00"</f>
        <v>23.700,00</v>
      </c>
      <c r="M6071" s="6" t="str">
        <f>"118.500,00"</f>
        <v>118.500,00</v>
      </c>
      <c r="N6071" s="8" t="s">
        <v>124</v>
      </c>
      <c r="O6071" s="7"/>
      <c r="P6071" s="2" t="s">
        <v>5614</v>
      </c>
      <c r="Q6071" s="7"/>
      <c r="R6071" s="1"/>
      <c r="S6071" s="1" t="str">
        <f>"N-104/19"</f>
        <v>N-104/19</v>
      </c>
      <c r="T6071" s="1" t="s">
        <v>55</v>
      </c>
    </row>
    <row r="6072" spans="1:20" ht="89.25" x14ac:dyDescent="0.25">
      <c r="A6072" s="6">
        <v>6051</v>
      </c>
      <c r="B6072" s="1" t="str">
        <f>"2019-2498"</f>
        <v>2019-2498</v>
      </c>
      <c r="C6072" s="1" t="s">
        <v>4370</v>
      </c>
      <c r="D6072" s="1" t="s">
        <v>941</v>
      </c>
      <c r="E6072" s="1" t="str">
        <f>"2019/S 0F2-0047842"</f>
        <v>2019/S 0F2-0047842</v>
      </c>
      <c r="F6072" s="1" t="s">
        <v>22</v>
      </c>
      <c r="G6072" s="1" t="str">
        <f>CONCATENATE("BUBANJ - NISKOGRADNJA D.O.O.,"," KRUGE 7,"," 10000 ZAGREB,"," OIB: 29539944583")</f>
        <v>BUBANJ - NISKOGRADNJA D.O.O., KRUGE 7, 10000 ZAGREB, OIB: 29539944583</v>
      </c>
      <c r="H6072" s="1" t="str">
        <f>CONCATENATE("GEODIST D.O.O.,"," OIB: 70978671801",CHAR(10),"ELEKTROCENTAR PETEK D.O.O.,"," OIB: 17491977848")</f>
        <v>GEODIST D.O.O., OIB: 70978671801
ELEKTROCENTAR PETEK D.O.O., OIB: 17491977848</v>
      </c>
      <c r="I6072" s="8" t="s">
        <v>4368</v>
      </c>
      <c r="J6072" s="8" t="s">
        <v>370</v>
      </c>
      <c r="K6072" s="6" t="str">
        <f>"1.081.180,70"</f>
        <v>1.081.180,70</v>
      </c>
      <c r="L6072" s="6" t="str">
        <f>"270.295,18"</f>
        <v>270.295,18</v>
      </c>
      <c r="M6072" s="6" t="str">
        <f>"1.351.475,88"</f>
        <v>1.351.475,88</v>
      </c>
      <c r="N6072" s="8" t="s">
        <v>124</v>
      </c>
      <c r="O6072" s="7"/>
      <c r="P6072" s="2" t="s">
        <v>5614</v>
      </c>
      <c r="Q6072" s="7"/>
      <c r="R6072" s="1"/>
      <c r="S6072" s="1" t="str">
        <f>"N-105/19"</f>
        <v>N-105/19</v>
      </c>
      <c r="T6072" s="1" t="s">
        <v>55</v>
      </c>
    </row>
    <row r="6073" spans="1:20" ht="89.25" x14ac:dyDescent="0.25">
      <c r="A6073" s="6">
        <v>6052</v>
      </c>
      <c r="B6073" s="1" t="str">
        <f>"2019-2543"</f>
        <v>2019-2543</v>
      </c>
      <c r="C6073" s="1" t="s">
        <v>4371</v>
      </c>
      <c r="D6073" s="1" t="s">
        <v>1641</v>
      </c>
      <c r="E6073" s="1" t="str">
        <f>"2019/S 0F2-0038123"</f>
        <v>2019/S 0F2-0038123</v>
      </c>
      <c r="F6073" s="1" t="s">
        <v>22</v>
      </c>
      <c r="G6073" s="1" t="str">
        <f>CONCATENATE("EKO-PLAN D.O.O.,"," 2. JAZBINSKI GAJ 1A,"," 10000 ZAGREB,"," OIB: 55034160084")</f>
        <v>EKO-PLAN D.O.O., 2. JAZBINSKI GAJ 1A, 10000 ZAGREB, OIB: 55034160084</v>
      </c>
      <c r="H6073" s="7"/>
      <c r="I6073" s="8" t="s">
        <v>767</v>
      </c>
      <c r="J6073" s="8" t="s">
        <v>2134</v>
      </c>
      <c r="K6073" s="6" t="str">
        <f>"165.000,00"</f>
        <v>165.000,00</v>
      </c>
      <c r="L6073" s="6" t="str">
        <f>"41.250,00"</f>
        <v>41.250,00</v>
      </c>
      <c r="M6073" s="6" t="str">
        <f>"206.250,00"</f>
        <v>206.250,00</v>
      </c>
      <c r="N6073" s="8" t="s">
        <v>53</v>
      </c>
      <c r="O6073" s="7"/>
      <c r="P6073" s="2" t="s">
        <v>8641</v>
      </c>
      <c r="Q6073" s="7"/>
      <c r="R6073" s="1"/>
      <c r="S6073" s="1" t="str">
        <f>"N-107/19"</f>
        <v>N-107/19</v>
      </c>
      <c r="T6073" s="1" t="s">
        <v>55</v>
      </c>
    </row>
    <row r="6074" spans="1:20" ht="89.25" x14ac:dyDescent="0.25">
      <c r="A6074" s="6">
        <v>6053</v>
      </c>
      <c r="B6074" s="1" t="str">
        <f>"2019-554"</f>
        <v>2019-554</v>
      </c>
      <c r="C6074" s="1" t="s">
        <v>4372</v>
      </c>
      <c r="D6074" s="1" t="s">
        <v>1979</v>
      </c>
      <c r="E6074" s="1" t="str">
        <f>"2019/S 0F2-0045095"</f>
        <v>2019/S 0F2-0045095</v>
      </c>
      <c r="F6074" s="1" t="s">
        <v>22</v>
      </c>
      <c r="G6074" s="1" t="str">
        <f>CONCATENATE("HIDROKON D.O.O.,"," TRGOVAČKA 8,"," 10000 ZAGREB,"," OIB: 31977725905")</f>
        <v>HIDROKON D.O.O., TRGOVAČKA 8, 10000 ZAGREB, OIB: 31977725905</v>
      </c>
      <c r="H6074" s="7"/>
      <c r="I6074" s="8" t="s">
        <v>767</v>
      </c>
      <c r="J6074" s="8" t="s">
        <v>1069</v>
      </c>
      <c r="K6074" s="6" t="str">
        <f>"347.000,00"</f>
        <v>347.000,00</v>
      </c>
      <c r="L6074" s="6" t="str">
        <f>"86.750,00"</f>
        <v>86.750,00</v>
      </c>
      <c r="M6074" s="6" t="str">
        <f>"433.750,00"</f>
        <v>433.750,00</v>
      </c>
      <c r="N6074" s="8" t="s">
        <v>124</v>
      </c>
      <c r="O6074" s="7"/>
      <c r="P6074" s="2" t="s">
        <v>5614</v>
      </c>
      <c r="Q6074" s="7"/>
      <c r="R6074" s="1"/>
      <c r="S6074" s="1" t="str">
        <f>"N-109/19"</f>
        <v>N-109/19</v>
      </c>
      <c r="T6074" s="1" t="s">
        <v>55</v>
      </c>
    </row>
    <row r="6075" spans="1:20" ht="63.75" x14ac:dyDescent="0.25">
      <c r="A6075" s="6">
        <v>6054</v>
      </c>
      <c r="B6075" s="1" t="str">
        <f>"2019-2499"</f>
        <v>2019-2499</v>
      </c>
      <c r="C6075" s="1" t="s">
        <v>4373</v>
      </c>
      <c r="D6075" s="1" t="s">
        <v>941</v>
      </c>
      <c r="E6075" s="1" t="str">
        <f>"2019/S 0F2-0047962"</f>
        <v>2019/S 0F2-0047962</v>
      </c>
      <c r="F6075" s="1" t="s">
        <v>22</v>
      </c>
      <c r="G6075" s="1" t="str">
        <f>CONCATENATE("HIDRO GRAD D.O.O.,"," GUSTAVA KRKLECA,"," RAKITJE 6,"," 10437 BESTOVJE,"," OIB: 49528301725")</f>
        <v>HIDRO GRAD D.O.O., GUSTAVA KRKLECA, RAKITJE 6, 10437 BESTOVJE, OIB: 49528301725</v>
      </c>
      <c r="H6075" s="7"/>
      <c r="I6075" s="8" t="s">
        <v>767</v>
      </c>
      <c r="J6075" s="8" t="s">
        <v>1069</v>
      </c>
      <c r="K6075" s="6" t="str">
        <f>"887.845,00"</f>
        <v>887.845,00</v>
      </c>
      <c r="L6075" s="6" t="str">
        <f>"221.961,25"</f>
        <v>221.961,25</v>
      </c>
      <c r="M6075" s="6" t="str">
        <f>"1.109.806,25"</f>
        <v>1.109.806,25</v>
      </c>
      <c r="N6075" s="8" t="s">
        <v>4374</v>
      </c>
      <c r="O6075" s="7"/>
      <c r="P6075" s="2" t="s">
        <v>8642</v>
      </c>
      <c r="Q6075" s="7"/>
      <c r="R6075" s="1"/>
      <c r="S6075" s="1" t="str">
        <f>"N-110/19"</f>
        <v>N-110/19</v>
      </c>
      <c r="T6075" s="1" t="s">
        <v>55</v>
      </c>
    </row>
    <row r="6076" spans="1:20" ht="76.5" x14ac:dyDescent="0.25">
      <c r="A6076" s="6">
        <v>6055</v>
      </c>
      <c r="B6076" s="1" t="str">
        <f>"2019-1873"</f>
        <v>2019-1873</v>
      </c>
      <c r="C6076" s="1" t="s">
        <v>4375</v>
      </c>
      <c r="D6076" s="1" t="s">
        <v>1979</v>
      </c>
      <c r="E6076" s="1" t="str">
        <f>"2019/S 0F2-0050922"</f>
        <v>2019/S 0F2-0050922</v>
      </c>
      <c r="F6076" s="1" t="s">
        <v>22</v>
      </c>
      <c r="G6076" s="1" t="str">
        <f>CONCATENATE("D.I.A.T. D.O.O.,"," JABLANOVEČKA 37,"," 10 000 ZAGREB,"," OIB: 22889869555")</f>
        <v>D.I.A.T. D.O.O., JABLANOVEČKA 37, 10 000 ZAGREB, OIB: 22889869555</v>
      </c>
      <c r="H6076" s="7"/>
      <c r="I6076" s="8" t="s">
        <v>767</v>
      </c>
      <c r="J6076" s="8" t="s">
        <v>1069</v>
      </c>
      <c r="K6076" s="6" t="str">
        <f>"308.800,00"</f>
        <v>308.800,00</v>
      </c>
      <c r="L6076" s="6" t="str">
        <f>"77.200,00"</f>
        <v>77.200,00</v>
      </c>
      <c r="M6076" s="6" t="str">
        <f>"386.000,00"</f>
        <v>386.000,00</v>
      </c>
      <c r="N6076" s="8" t="s">
        <v>124</v>
      </c>
      <c r="O6076" s="7"/>
      <c r="P6076" s="2" t="s">
        <v>5614</v>
      </c>
      <c r="Q6076" s="7"/>
      <c r="R6076" s="1"/>
      <c r="S6076" s="1" t="str">
        <f>"N-112/19"</f>
        <v>N-112/19</v>
      </c>
      <c r="T6076" s="1" t="s">
        <v>55</v>
      </c>
    </row>
    <row r="6077" spans="1:20" ht="63.75" x14ac:dyDescent="0.25">
      <c r="A6077" s="6">
        <v>6056</v>
      </c>
      <c r="B6077" s="1" t="str">
        <f>"2019-2900"</f>
        <v>2019-2900</v>
      </c>
      <c r="C6077" s="1" t="s">
        <v>4376</v>
      </c>
      <c r="D6077" s="1" t="s">
        <v>941</v>
      </c>
      <c r="E6077" s="1" t="str">
        <f>"2019/S 0F2-0047858"</f>
        <v>2019/S 0F2-0047858</v>
      </c>
      <c r="F6077" s="1" t="s">
        <v>22</v>
      </c>
      <c r="G6077" s="1" t="str">
        <f>CONCATENATE("AMB GRADNJA D.O.O.,"," PRILAZ BARUNA FILIPOVIĆA 15,"," 10000 ZAGREB,"," OIB: 8527265147")</f>
        <v>AMB GRADNJA D.O.O., PRILAZ BARUNA FILIPOVIĆA 15, 10000 ZAGREB, OIB: 8527265147</v>
      </c>
      <c r="H6077" s="7"/>
      <c r="I6077" s="8" t="s">
        <v>767</v>
      </c>
      <c r="J6077" s="8" t="s">
        <v>1069</v>
      </c>
      <c r="K6077" s="6" t="str">
        <f>"2.850.316,25"</f>
        <v>2.850.316,25</v>
      </c>
      <c r="L6077" s="6" t="str">
        <f>"712.579,06"</f>
        <v>712.579,06</v>
      </c>
      <c r="M6077" s="6" t="str">
        <f>"3.562.895,31"</f>
        <v>3.562.895,31</v>
      </c>
      <c r="N6077" s="8" t="s">
        <v>124</v>
      </c>
      <c r="O6077" s="7"/>
      <c r="P6077" s="2" t="s">
        <v>5614</v>
      </c>
      <c r="Q6077" s="7"/>
      <c r="R6077" s="1"/>
      <c r="S6077" s="1" t="str">
        <f>"N-113/19"</f>
        <v>N-113/19</v>
      </c>
      <c r="T6077" s="1" t="s">
        <v>55</v>
      </c>
    </row>
    <row r="6078" spans="1:20" ht="165.75" x14ac:dyDescent="0.25">
      <c r="A6078" s="6">
        <v>6057</v>
      </c>
      <c r="B6078" s="1" t="str">
        <f>"2019-2934"</f>
        <v>2019-2934</v>
      </c>
      <c r="C6078" s="1" t="s">
        <v>4377</v>
      </c>
      <c r="D6078" s="1" t="s">
        <v>1979</v>
      </c>
      <c r="E6078" s="1" t="str">
        <f>"2019/S 0F2-0039302"</f>
        <v>2019/S 0F2-0039302</v>
      </c>
      <c r="F6078" s="1" t="s">
        <v>22</v>
      </c>
      <c r="G6078" s="1"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6078" s="7"/>
      <c r="I6078" s="8" t="s">
        <v>751</v>
      </c>
      <c r="J6078" s="8" t="s">
        <v>2896</v>
      </c>
      <c r="K6078" s="6" t="str">
        <f>"539.000,00"</f>
        <v>539.000,00</v>
      </c>
      <c r="L6078" s="6" t="str">
        <f>"134.750,00"</f>
        <v>134.750,00</v>
      </c>
      <c r="M6078" s="6" t="str">
        <f>"673.750,00"</f>
        <v>673.750,00</v>
      </c>
      <c r="N6078" s="8" t="s">
        <v>124</v>
      </c>
      <c r="O6078" s="7"/>
      <c r="P6078" s="2" t="s">
        <v>5614</v>
      </c>
      <c r="Q6078" s="7"/>
      <c r="R6078" s="1"/>
      <c r="S6078" s="1" t="str">
        <f>"N-116/19"</f>
        <v>N-116/19</v>
      </c>
      <c r="T6078" s="1" t="s">
        <v>55</v>
      </c>
    </row>
    <row r="6079" spans="1:20" ht="140.25" x14ac:dyDescent="0.25">
      <c r="A6079" s="6">
        <v>6058</v>
      </c>
      <c r="B6079" s="1" t="str">
        <f>"2019-2957"</f>
        <v>2019-2957</v>
      </c>
      <c r="C6079" s="1" t="s">
        <v>4378</v>
      </c>
      <c r="D6079" s="1" t="s">
        <v>2220</v>
      </c>
      <c r="E6079" s="1" t="str">
        <f>"2019/S 0F2-0049351"</f>
        <v>2019/S 0F2-0049351</v>
      </c>
      <c r="F6079" s="1" t="s">
        <v>22</v>
      </c>
      <c r="G6079" s="1"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6079" s="7"/>
      <c r="I6079" s="8" t="s">
        <v>751</v>
      </c>
      <c r="J6079" s="8" t="s">
        <v>2566</v>
      </c>
      <c r="K6079" s="6" t="str">
        <f>"745.750,00"</f>
        <v>745.750,00</v>
      </c>
      <c r="L6079" s="6" t="str">
        <f>"186.437,50"</f>
        <v>186.437,50</v>
      </c>
      <c r="M6079" s="6" t="str">
        <f>"932.187,50"</f>
        <v>932.187,50</v>
      </c>
      <c r="N6079" s="8" t="s">
        <v>1247</v>
      </c>
      <c r="O6079" s="7"/>
      <c r="P6079" s="2" t="s">
        <v>8643</v>
      </c>
      <c r="Q6079" s="1" t="s">
        <v>4379</v>
      </c>
      <c r="R6079" s="1"/>
      <c r="S6079" s="1" t="str">
        <f>"N-117/19"</f>
        <v>N-117/19</v>
      </c>
      <c r="T6079" s="1" t="s">
        <v>32</v>
      </c>
    </row>
    <row r="6080" spans="1:20" ht="51" x14ac:dyDescent="0.25">
      <c r="A6080" s="6">
        <v>6059</v>
      </c>
      <c r="B6080" s="1" t="str">
        <f>"2019-3017"</f>
        <v>2019-3017</v>
      </c>
      <c r="C6080" s="1" t="s">
        <v>4380</v>
      </c>
      <c r="D6080" s="1" t="s">
        <v>941</v>
      </c>
      <c r="E6080" s="1" t="str">
        <f>"2019/S 0F2-0048573"</f>
        <v>2019/S 0F2-0048573</v>
      </c>
      <c r="F6080" s="1" t="s">
        <v>22</v>
      </c>
      <c r="G6080" s="1" t="str">
        <f>CONCATENATE("GEORAD D.O.O.,"," KORNATSKA 1,"," 10000 ZAGREB,"," OIB: 49756748234")</f>
        <v>GEORAD D.O.O., KORNATSKA 1, 10000 ZAGREB, OIB: 49756748234</v>
      </c>
      <c r="H6080" s="7"/>
      <c r="I6080" s="8" t="s">
        <v>4022</v>
      </c>
      <c r="J6080" s="8" t="s">
        <v>767</v>
      </c>
      <c r="K6080" s="6" t="str">
        <f>"2.633.904,00"</f>
        <v>2.633.904,00</v>
      </c>
      <c r="L6080" s="6" t="str">
        <f>"658.476,00"</f>
        <v>658.476,00</v>
      </c>
      <c r="M6080" s="6" t="str">
        <f>"3.292.380,00"</f>
        <v>3.292.380,00</v>
      </c>
      <c r="N6080" s="8" t="s">
        <v>124</v>
      </c>
      <c r="O6080" s="7"/>
      <c r="P6080" s="2" t="s">
        <v>5614</v>
      </c>
      <c r="Q6080" s="7"/>
      <c r="R6080" s="1"/>
      <c r="S6080" s="1" t="str">
        <f>"N-118/19"</f>
        <v>N-118/19</v>
      </c>
      <c r="T6080" s="1" t="s">
        <v>55</v>
      </c>
    </row>
    <row r="6081" spans="1:20" ht="102" x14ac:dyDescent="0.25">
      <c r="A6081" s="6">
        <v>6060</v>
      </c>
      <c r="B6081" s="1" t="str">
        <f>"2019-520"</f>
        <v>2019-520</v>
      </c>
      <c r="C6081" s="1" t="s">
        <v>4381</v>
      </c>
      <c r="D6081" s="1" t="s">
        <v>1979</v>
      </c>
      <c r="E6081" s="1" t="str">
        <f>"2019/S 0F2-0047819"</f>
        <v>2019/S 0F2-0047819</v>
      </c>
      <c r="F6081" s="1" t="s">
        <v>22</v>
      </c>
      <c r="G6081" s="1" t="str">
        <f>CONCATENATE("INŽENJERING GRADNJA D.O.O.,"," DR. MILE BUDAKA 1,"," 35000 SLAVONSKI BROD,"," OIB: 15718789803")</f>
        <v>INŽENJERING GRADNJA D.O.O., DR. MILE BUDAKA 1, 35000 SLAVONSKI BROD, OIB: 15718789803</v>
      </c>
      <c r="H6081" s="1" t="str">
        <f>CONCATENATE("GEOGYRUS D.O.O,"," OIB: 786521895")</f>
        <v>GEOGYRUS D.O.O, OIB: 786521895</v>
      </c>
      <c r="I6081" s="8" t="s">
        <v>1998</v>
      </c>
      <c r="J6081" s="8" t="s">
        <v>2065</v>
      </c>
      <c r="K6081" s="6" t="str">
        <f>"79.899,00"</f>
        <v>79.899,00</v>
      </c>
      <c r="L6081" s="6" t="str">
        <f>"19.974,75"</f>
        <v>19.974,75</v>
      </c>
      <c r="M6081" s="6" t="str">
        <f>"99.873,75"</f>
        <v>99.873,75</v>
      </c>
      <c r="N6081" s="8" t="s">
        <v>124</v>
      </c>
      <c r="O6081" s="7"/>
      <c r="P6081" s="2" t="s">
        <v>5614</v>
      </c>
      <c r="Q6081" s="7"/>
      <c r="R6081" s="1"/>
      <c r="S6081" s="1" t="str">
        <f>"N-122/19"</f>
        <v>N-122/19</v>
      </c>
      <c r="T6081" s="1" t="s">
        <v>55</v>
      </c>
    </row>
    <row r="6082" spans="1:20" ht="63.75" x14ac:dyDescent="0.25">
      <c r="A6082" s="6">
        <v>6061</v>
      </c>
      <c r="B6082" s="1" t="str">
        <f>"2019-3021"</f>
        <v>2019-3021</v>
      </c>
      <c r="C6082" s="1" t="s">
        <v>4382</v>
      </c>
      <c r="D6082" s="1" t="s">
        <v>941</v>
      </c>
      <c r="E6082" s="1" t="str">
        <f>"2019/S 0F2-0048592"</f>
        <v>2019/S 0F2-0048592</v>
      </c>
      <c r="F6082" s="1" t="s">
        <v>22</v>
      </c>
      <c r="G6082" s="1" t="str">
        <f>CONCATENATE("BUBANJ - NISKOGRADNJA D.O.O.,"," KRUGE 7,"," 10000 ZAGREB,"," OIB: 29539944583")</f>
        <v>BUBANJ - NISKOGRADNJA D.O.O., KRUGE 7, 10000 ZAGREB, OIB: 29539944583</v>
      </c>
      <c r="H6082" s="1" t="str">
        <f>CONCATENATE("VILKOGRAD D.O.O.,"," OIB: 63433216144",CHAR(10),"GEODIST D.O.O.,"," OIB: 709786718")</f>
        <v>VILKOGRAD D.O.O., OIB: 63433216144
GEODIST D.O.O., OIB: 709786718</v>
      </c>
      <c r="I6082" s="8" t="s">
        <v>1998</v>
      </c>
      <c r="J6082" s="8" t="s">
        <v>2065</v>
      </c>
      <c r="K6082" s="6" t="str">
        <f>"5.273.291,00"</f>
        <v>5.273.291,00</v>
      </c>
      <c r="L6082" s="6" t="str">
        <f>"1.318.322,75"</f>
        <v>1.318.322,75</v>
      </c>
      <c r="M6082" s="6" t="str">
        <f>"6.591.613,75"</f>
        <v>6.591.613,75</v>
      </c>
      <c r="N6082" s="8" t="s">
        <v>1988</v>
      </c>
      <c r="O6082" s="7"/>
      <c r="P6082" s="2" t="s">
        <v>8644</v>
      </c>
      <c r="Q6082" s="7"/>
      <c r="R6082" s="1"/>
      <c r="S6082" s="1" t="str">
        <f>"N-123/19"</f>
        <v>N-123/19</v>
      </c>
      <c r="T6082" s="1" t="s">
        <v>55</v>
      </c>
    </row>
    <row r="6083" spans="1:20" ht="63.75" x14ac:dyDescent="0.25">
      <c r="A6083" s="6">
        <v>6062</v>
      </c>
      <c r="B6083" s="1" t="str">
        <f>"2019-2972"</f>
        <v>2019-2972</v>
      </c>
      <c r="C6083" s="1" t="s">
        <v>4383</v>
      </c>
      <c r="D6083" s="1" t="s">
        <v>941</v>
      </c>
      <c r="E6083" s="1" t="str">
        <f>"2019/S 0F2-0047701"</f>
        <v>2019/S 0F2-0047701</v>
      </c>
      <c r="F6083" s="1" t="s">
        <v>22</v>
      </c>
      <c r="G6083" s="1" t="str">
        <f>CONCATENATE("BOLČEVIĆ-GRADNJA D.O.O.,"," DUGOSELSKA CESTA 56,"," 10361 SESVETSKI KRALJEVEC,"," OIB: 520986705")</f>
        <v>BOLČEVIĆ-GRADNJA D.O.O., DUGOSELSKA CESTA 56, 10361 SESVETSKI KRALJEVEC, OIB: 520986705</v>
      </c>
      <c r="H6083" s="1" t="str">
        <f>CONCATENATE("MGV D.O.O.,"," OIB: 07790118186")</f>
        <v>MGV D.O.O., OIB: 07790118186</v>
      </c>
      <c r="I6083" s="8" t="s">
        <v>1998</v>
      </c>
      <c r="J6083" s="8" t="s">
        <v>2065</v>
      </c>
      <c r="K6083" s="6" t="str">
        <f>"933.499,00"</f>
        <v>933.499,00</v>
      </c>
      <c r="L6083" s="6" t="str">
        <f>"233.374,75"</f>
        <v>233.374,75</v>
      </c>
      <c r="M6083" s="6" t="str">
        <f>"1.166.873,75"</f>
        <v>1.166.873,75</v>
      </c>
      <c r="N6083" s="8" t="s">
        <v>124</v>
      </c>
      <c r="O6083" s="7"/>
      <c r="P6083" s="2" t="s">
        <v>5614</v>
      </c>
      <c r="Q6083" s="7"/>
      <c r="R6083" s="1"/>
      <c r="S6083" s="1" t="str">
        <f>"N-124/19"</f>
        <v>N-124/19</v>
      </c>
      <c r="T6083" s="1" t="s">
        <v>55</v>
      </c>
    </row>
    <row r="6084" spans="1:20" ht="63.75" x14ac:dyDescent="0.25">
      <c r="A6084" s="6">
        <v>6063</v>
      </c>
      <c r="B6084" s="1" t="str">
        <f>"2019-2480"</f>
        <v>2019-2480</v>
      </c>
      <c r="C6084" s="1" t="s">
        <v>4384</v>
      </c>
      <c r="D6084" s="1" t="s">
        <v>941</v>
      </c>
      <c r="E6084" s="1" t="str">
        <f>"2019/S 0F2-0048930"</f>
        <v>2019/S 0F2-0048930</v>
      </c>
      <c r="F6084" s="1" t="s">
        <v>22</v>
      </c>
      <c r="G6084" s="1" t="str">
        <f>CONCATENATE("BOLČEVIĆ-GRADNJA D.O.O.,"," DUGOSELSKA CESTA 56,"," 10361 SESVETSKI KRALJEVEC,"," OIB: 520986705")</f>
        <v>BOLČEVIĆ-GRADNJA D.O.O., DUGOSELSKA CESTA 56, 10361 SESVETSKI KRALJEVEC, OIB: 520986705</v>
      </c>
      <c r="H6084" s="1" t="str">
        <f>CONCATENATE("MGV D.O.O.,"," OIB: 07790118186")</f>
        <v>MGV D.O.O., OIB: 07790118186</v>
      </c>
      <c r="I6084" s="8" t="s">
        <v>1998</v>
      </c>
      <c r="J6084" s="8" t="s">
        <v>2065</v>
      </c>
      <c r="K6084" s="6" t="str">
        <f>"1.157.064,13"</f>
        <v>1.157.064,13</v>
      </c>
      <c r="L6084" s="6" t="str">
        <f>"289.266,03"</f>
        <v>289.266,03</v>
      </c>
      <c r="M6084" s="6" t="str">
        <f>"1.446.330,16"</f>
        <v>1.446.330,16</v>
      </c>
      <c r="N6084" s="8" t="s">
        <v>124</v>
      </c>
      <c r="O6084" s="7"/>
      <c r="P6084" s="2" t="s">
        <v>5614</v>
      </c>
      <c r="Q6084" s="7"/>
      <c r="R6084" s="1"/>
      <c r="S6084" s="1" t="str">
        <f>"N-125/19"</f>
        <v>N-125/19</v>
      </c>
      <c r="T6084" s="1" t="s">
        <v>55</v>
      </c>
    </row>
    <row r="6085" spans="1:20" ht="63.75" x14ac:dyDescent="0.25">
      <c r="A6085" s="6">
        <v>6064</v>
      </c>
      <c r="B6085" s="1" t="str">
        <f>"2019-1135"</f>
        <v>2019-1135</v>
      </c>
      <c r="C6085" s="1" t="s">
        <v>4385</v>
      </c>
      <c r="D6085" s="1" t="s">
        <v>941</v>
      </c>
      <c r="E6085" s="1" t="str">
        <f>"2019/S 0F2-0050081"</f>
        <v>2019/S 0F2-0050081</v>
      </c>
      <c r="F6085" s="1" t="s">
        <v>22</v>
      </c>
      <c r="G6085" s="1" t="str">
        <f>CONCATENATE("BUBANJ - NISKOGRADNJA D.O.O.,"," KRUGE 7,"," 10000 ZAGREB,"," OIB: 29539944583")</f>
        <v>BUBANJ - NISKOGRADNJA D.O.O., KRUGE 7, 10000 ZAGREB, OIB: 29539944583</v>
      </c>
      <c r="H6085" s="1" t="str">
        <f>CONCATENATE("GEODIST D.O.O.,"," OIB: 709786718")</f>
        <v>GEODIST D.O.O., OIB: 709786718</v>
      </c>
      <c r="I6085" s="8" t="s">
        <v>803</v>
      </c>
      <c r="J6085" s="8" t="s">
        <v>2083</v>
      </c>
      <c r="K6085" s="6" t="str">
        <f>"10.682.782,00"</f>
        <v>10.682.782,00</v>
      </c>
      <c r="L6085" s="6" t="str">
        <f>"2.670.695,50"</f>
        <v>2.670.695,50</v>
      </c>
      <c r="M6085" s="6" t="str">
        <f>"13.353.477,50"</f>
        <v>13.353.477,50</v>
      </c>
      <c r="N6085" s="8" t="s">
        <v>124</v>
      </c>
      <c r="O6085" s="7"/>
      <c r="P6085" s="2" t="s">
        <v>5614</v>
      </c>
      <c r="Q6085" s="7"/>
      <c r="R6085" s="1"/>
      <c r="S6085" s="1" t="str">
        <f>"N-127/19"</f>
        <v>N-127/19</v>
      </c>
      <c r="T6085" s="1" t="s">
        <v>55</v>
      </c>
    </row>
    <row r="6086" spans="1:20" ht="76.5" x14ac:dyDescent="0.25">
      <c r="A6086" s="6">
        <v>6065</v>
      </c>
      <c r="B6086" s="1" t="str">
        <f>"2019-2981"</f>
        <v>2019-2981</v>
      </c>
      <c r="C6086" s="1" t="s">
        <v>4386</v>
      </c>
      <c r="D6086" s="1" t="s">
        <v>702</v>
      </c>
      <c r="E6086" s="1" t="str">
        <f>"2019/S 0F2-0045915"</f>
        <v>2019/S 0F2-0045915</v>
      </c>
      <c r="F6086" s="1" t="s">
        <v>22</v>
      </c>
      <c r="G6086" s="1" t="str">
        <f>CONCATENATE("TEHNO-ELEKTRO D.O.O.,"," AUGUSTA CESARCA 3,"," 31400 ĐAKOVO,"," OIB: 1165756075")</f>
        <v>TEHNO-ELEKTRO D.O.O., AUGUSTA CESARCA 3, 31400 ĐAKOVO, OIB: 1165756075</v>
      </c>
      <c r="H6086" s="1" t="str">
        <f>CONCATENATE("URED OVLAŠTENOG INŽENJERA GEODEZIJE ZORAN MARČEC,"," OIB: 694009528")</f>
        <v>URED OVLAŠTENOG INŽENJERA GEODEZIJE ZORAN MARČEC, OIB: 694009528</v>
      </c>
      <c r="I6086" s="8" t="s">
        <v>767</v>
      </c>
      <c r="J6086" s="8" t="s">
        <v>1069</v>
      </c>
      <c r="K6086" s="6" t="str">
        <f>"866.435,10"</f>
        <v>866.435,10</v>
      </c>
      <c r="L6086" s="6" t="str">
        <f>"216.608,78"</f>
        <v>216.608,78</v>
      </c>
      <c r="M6086" s="6" t="str">
        <f>"1.083.043,88"</f>
        <v>1.083.043,88</v>
      </c>
      <c r="N6086" s="8" t="s">
        <v>124</v>
      </c>
      <c r="O6086" s="7"/>
      <c r="P6086" s="2" t="s">
        <v>5614</v>
      </c>
      <c r="Q6086" s="7"/>
      <c r="R6086" s="1"/>
      <c r="S6086" s="1" t="str">
        <f>"N-139/19"</f>
        <v>N-139/19</v>
      </c>
      <c r="T6086" s="1" t="s">
        <v>452</v>
      </c>
    </row>
    <row r="6087" spans="1:20" ht="63.75" x14ac:dyDescent="0.25">
      <c r="A6087" s="6">
        <v>6066</v>
      </c>
      <c r="B6087" s="1" t="str">
        <f>"2019-2493"</f>
        <v>2019-2493</v>
      </c>
      <c r="C6087" s="1" t="s">
        <v>4387</v>
      </c>
      <c r="D6087" s="1" t="s">
        <v>941</v>
      </c>
      <c r="E6087" s="1" t="str">
        <f>"2019/S 0F2-0050539"</f>
        <v>2019/S 0F2-0050539</v>
      </c>
      <c r="F6087" s="1" t="s">
        <v>22</v>
      </c>
      <c r="G6087" s="1" t="str">
        <f>CONCATENATE("BOLČEVIĆ-GRADNJA D.O.O.,"," DUGOSELSKA CESTA 56,"," 10361 SESVETSKI KRALJEVEC,"," OIB: 520986705")</f>
        <v>BOLČEVIĆ-GRADNJA D.O.O., DUGOSELSKA CESTA 56, 10361 SESVETSKI KRALJEVEC, OIB: 520986705</v>
      </c>
      <c r="H6087" s="7"/>
      <c r="I6087" s="8" t="s">
        <v>4226</v>
      </c>
      <c r="J6087" s="8" t="s">
        <v>1079</v>
      </c>
      <c r="K6087" s="6" t="str">
        <f>"1.363.255,00"</f>
        <v>1.363.255,00</v>
      </c>
      <c r="L6087" s="6" t="str">
        <f>"340.813,75"</f>
        <v>340.813,75</v>
      </c>
      <c r="M6087" s="6" t="str">
        <f>"1.704.068,75"</f>
        <v>1.704.068,75</v>
      </c>
      <c r="N6087" s="8" t="s">
        <v>124</v>
      </c>
      <c r="O6087" s="7"/>
      <c r="P6087" s="2" t="s">
        <v>5614</v>
      </c>
      <c r="Q6087" s="7"/>
      <c r="R6087" s="1"/>
      <c r="S6087" s="1" t="str">
        <f>"N-144/19"</f>
        <v>N-144/19</v>
      </c>
      <c r="T6087" s="1" t="s">
        <v>55</v>
      </c>
    </row>
    <row r="6088" spans="1:20" ht="63.75" x14ac:dyDescent="0.25">
      <c r="A6088" s="6">
        <v>6067</v>
      </c>
      <c r="B6088" s="1" t="str">
        <f>"2019-2491"</f>
        <v>2019-2491</v>
      </c>
      <c r="C6088" s="1" t="s">
        <v>4388</v>
      </c>
      <c r="D6088" s="1" t="s">
        <v>941</v>
      </c>
      <c r="E6088" s="1" t="str">
        <f>"2019/S 0F2-0051277"</f>
        <v>2019/S 0F2-0051277</v>
      </c>
      <c r="F6088" s="1" t="s">
        <v>22</v>
      </c>
      <c r="G6088" s="1" t="str">
        <f>CONCATENATE("TEMPORIUM GRADNJA D.O.O.,"," LJUTOMERSKA ULICA 33A,"," 10000 ZAGREB,"," OIB: 6285048268")</f>
        <v>TEMPORIUM GRADNJA D.O.O., LJUTOMERSKA ULICA 33A, 10000 ZAGREB, OIB: 6285048268</v>
      </c>
      <c r="H6088" s="7"/>
      <c r="I6088" s="8" t="s">
        <v>816</v>
      </c>
      <c r="J6088" s="8" t="s">
        <v>857</v>
      </c>
      <c r="K6088" s="6" t="str">
        <f>"1.727.118,32"</f>
        <v>1.727.118,32</v>
      </c>
      <c r="L6088" s="6" t="str">
        <f>"431.779,58"</f>
        <v>431.779,58</v>
      </c>
      <c r="M6088" s="6" t="str">
        <f>"2.158.897,90"</f>
        <v>2.158.897,90</v>
      </c>
      <c r="N6088" s="8" t="s">
        <v>124</v>
      </c>
      <c r="O6088" s="7"/>
      <c r="P6088" s="2" t="s">
        <v>5614</v>
      </c>
      <c r="Q6088" s="7"/>
      <c r="R6088" s="1"/>
      <c r="S6088" s="1" t="str">
        <f>"N-146/19"</f>
        <v>N-146/19</v>
      </c>
      <c r="T6088" s="1" t="s">
        <v>55</v>
      </c>
    </row>
    <row r="6089" spans="1:20" ht="51" x14ac:dyDescent="0.25">
      <c r="A6089" s="6">
        <v>6068</v>
      </c>
      <c r="B6089" s="1" t="str">
        <f>"2019-3002"</f>
        <v>2019-3002</v>
      </c>
      <c r="C6089" s="1" t="s">
        <v>4389</v>
      </c>
      <c r="D6089" s="1" t="s">
        <v>4390</v>
      </c>
      <c r="E6089" s="1" t="str">
        <f>"2020/S 0F2-0002100"</f>
        <v>2020/S 0F2-0002100</v>
      </c>
      <c r="F6089" s="1" t="s">
        <v>22</v>
      </c>
      <c r="G6089" s="1" t="str">
        <f>CONCATENATE("MACEL PLIN D.O.O.,"," MALEŠNICA 3C,"," 10000 ZAGREB,"," OIB: 36043571166")</f>
        <v>MACEL PLIN D.O.O., MALEŠNICA 3C, 10000 ZAGREB, OIB: 36043571166</v>
      </c>
      <c r="H6089" s="7"/>
      <c r="I6089" s="8" t="s">
        <v>4226</v>
      </c>
      <c r="J6089" s="8" t="s">
        <v>1079</v>
      </c>
      <c r="K6089" s="6" t="str">
        <f>"2.380.374,00"</f>
        <v>2.380.374,00</v>
      </c>
      <c r="L6089" s="6" t="str">
        <f>"595.093,50"</f>
        <v>595.093,50</v>
      </c>
      <c r="M6089" s="6" t="str">
        <f>"2.975.467,50"</f>
        <v>2.975.467,50</v>
      </c>
      <c r="N6089" s="8" t="s">
        <v>4091</v>
      </c>
      <c r="O6089" s="7"/>
      <c r="P6089" s="2" t="s">
        <v>8645</v>
      </c>
      <c r="Q6089" s="7"/>
      <c r="R6089" s="1"/>
      <c r="S6089" s="1" t="str">
        <f>"N-147/19"</f>
        <v>N-147/19</v>
      </c>
      <c r="T6089" s="1" t="s">
        <v>452</v>
      </c>
    </row>
    <row r="6090" spans="1:20" ht="51" x14ac:dyDescent="0.25">
      <c r="A6090" s="6">
        <v>6069</v>
      </c>
      <c r="B6090" s="1" t="str">
        <f>"2019-3083"</f>
        <v>2019-3083</v>
      </c>
      <c r="C6090" s="1" t="s">
        <v>4011</v>
      </c>
      <c r="D6090" s="1" t="s">
        <v>2168</v>
      </c>
      <c r="E6090" s="1" t="str">
        <f>"2020/S 0F2-0002242"</f>
        <v>2020/S 0F2-0002242</v>
      </c>
      <c r="F6090" s="1" t="s">
        <v>22</v>
      </c>
      <c r="G6090" s="1" t="str">
        <f>CONCATENATE("LEO GRAD D.O.O.,"," ZELINSKA 8,"," 10360 LUŽAN,"," OIB: 85068601099")</f>
        <v>LEO GRAD D.O.O., ZELINSKA 8, 10360 LUŽAN, OIB: 85068601099</v>
      </c>
      <c r="H6090" s="7"/>
      <c r="I6090" s="8" t="s">
        <v>838</v>
      </c>
      <c r="J6090" s="8" t="s">
        <v>1054</v>
      </c>
      <c r="K6090" s="6" t="str">
        <f>"581.677,80"</f>
        <v>581.677,80</v>
      </c>
      <c r="L6090" s="6" t="str">
        <f>"145.419,45"</f>
        <v>145.419,45</v>
      </c>
      <c r="M6090" s="6" t="str">
        <f>"727.097,25"</f>
        <v>727.097,25</v>
      </c>
      <c r="N6090" s="8" t="s">
        <v>1204</v>
      </c>
      <c r="O6090" s="7"/>
      <c r="P6090" s="2" t="s">
        <v>8646</v>
      </c>
      <c r="Q6090" s="7"/>
      <c r="R6090" s="1"/>
      <c r="S6090" s="1" t="str">
        <f>"N-151/19"</f>
        <v>N-151/19</v>
      </c>
      <c r="T6090" s="1" t="s">
        <v>452</v>
      </c>
    </row>
    <row r="6091" spans="1:20" ht="63.75" x14ac:dyDescent="0.25">
      <c r="A6091" s="6">
        <v>6070</v>
      </c>
      <c r="B6091" s="1" t="str">
        <f>"2019-2370"</f>
        <v>2019-2370</v>
      </c>
      <c r="C6091" s="1" t="s">
        <v>3678</v>
      </c>
      <c r="D6091" s="1" t="s">
        <v>702</v>
      </c>
      <c r="E6091" s="1" t="str">
        <f>"2020/S 0F2-0005980"</f>
        <v>2020/S 0F2-0005980</v>
      </c>
      <c r="F6091" s="1" t="s">
        <v>22</v>
      </c>
      <c r="G6091" s="1" t="str">
        <f>CONCATENATE("PA-EL D.O.O.,"," DUBROVČAN 33B,"," 49214 VELIKO TRGOVIŠĆE,"," OIB: 5674084932")</f>
        <v>PA-EL D.O.O., DUBROVČAN 33B, 49214 VELIKO TRGOVIŠĆE, OIB: 5674084932</v>
      </c>
      <c r="H6091" s="7"/>
      <c r="I6091" s="8" t="s">
        <v>4391</v>
      </c>
      <c r="J6091" s="8" t="s">
        <v>974</v>
      </c>
      <c r="K6091" s="6" t="str">
        <f>"1.349.242,50"</f>
        <v>1.349.242,50</v>
      </c>
      <c r="L6091" s="6" t="str">
        <f>"337.310,62"</f>
        <v>337.310,62</v>
      </c>
      <c r="M6091" s="6" t="str">
        <f>"1.686.553,12"</f>
        <v>1.686.553,12</v>
      </c>
      <c r="N6091" s="8" t="s">
        <v>440</v>
      </c>
      <c r="O6091" s="7"/>
      <c r="P6091" s="2" t="s">
        <v>8647</v>
      </c>
      <c r="Q6091" s="7"/>
      <c r="R6091" s="1"/>
      <c r="S6091" s="1" t="str">
        <f>"N-152/19"</f>
        <v>N-152/19</v>
      </c>
      <c r="T6091" s="1" t="s">
        <v>452</v>
      </c>
    </row>
    <row r="6092" spans="1:20" ht="102" x14ac:dyDescent="0.25">
      <c r="A6092" s="6">
        <v>6071</v>
      </c>
      <c r="B6092" s="1" t="str">
        <f>"2019-1157"</f>
        <v>2019-1157</v>
      </c>
      <c r="C6092" s="1" t="s">
        <v>4392</v>
      </c>
      <c r="D6092" s="1" t="s">
        <v>1979</v>
      </c>
      <c r="E6092" s="1" t="str">
        <f>"2019/S 0F2-0048540"</f>
        <v>2019/S 0F2-0048540</v>
      </c>
      <c r="F6092" s="1" t="s">
        <v>22</v>
      </c>
      <c r="G6092" s="1" t="str">
        <f>CONCATENATE("INSTITUT IGH D.D.,"," JANKA RAKUŠE 1,"," 10000 ZAGREB,"," OIB: 79766124714")</f>
        <v>INSTITUT IGH D.D., JANKA RAKUŠE 1, 10000 ZAGREB, OIB: 79766124714</v>
      </c>
      <c r="H6092" s="7"/>
      <c r="I6092" s="8" t="s">
        <v>834</v>
      </c>
      <c r="J6092" s="8" t="s">
        <v>477</v>
      </c>
      <c r="K6092" s="6" t="str">
        <f>"274.700,00"</f>
        <v>274.700,00</v>
      </c>
      <c r="L6092" s="6" t="str">
        <f>"68.675,00"</f>
        <v>68.675,00</v>
      </c>
      <c r="M6092" s="6" t="str">
        <f>"343.375,00"</f>
        <v>343.375,00</v>
      </c>
      <c r="N6092" s="8" t="s">
        <v>124</v>
      </c>
      <c r="O6092" s="7"/>
      <c r="P6092" s="2" t="s">
        <v>5614</v>
      </c>
      <c r="Q6092" s="7"/>
      <c r="R6092" s="1"/>
      <c r="S6092" s="1" t="str">
        <f>"N-154/19"</f>
        <v>N-154/19</v>
      </c>
      <c r="T6092" s="1" t="s">
        <v>55</v>
      </c>
    </row>
    <row r="6093" spans="1:20" ht="63.75" x14ac:dyDescent="0.25">
      <c r="A6093" s="6">
        <v>6072</v>
      </c>
      <c r="B6093" s="1" t="str">
        <f>"2019-2814"</f>
        <v>2019-2814</v>
      </c>
      <c r="C6093" s="1" t="s">
        <v>4393</v>
      </c>
      <c r="D6093" s="1" t="s">
        <v>941</v>
      </c>
      <c r="E6093" s="1" t="str">
        <f>"2019/S 0F2-0041597"</f>
        <v>2019/S 0F2-0041597</v>
      </c>
      <c r="F6093" s="1" t="s">
        <v>22</v>
      </c>
      <c r="G6093" s="1" t="str">
        <f>CONCATENATE("VODOTEHNIKA D.D.,"," KOTURAŠKA CESTA 49,"," 10000 ZAGREB,"," OIB: 1763143132")</f>
        <v>VODOTEHNIKA D.D., KOTURAŠKA CESTA 49, 10000 ZAGREB, OIB: 1763143132</v>
      </c>
      <c r="H6093" s="1" t="str">
        <f>CONCATENATE("KIM GRADNJA,"," OIB: ")</f>
        <v xml:space="preserve">KIM GRADNJA, OIB: </v>
      </c>
      <c r="I6093" s="8" t="s">
        <v>4394</v>
      </c>
      <c r="J6093" s="8" t="s">
        <v>1448</v>
      </c>
      <c r="K6093" s="6" t="str">
        <f>"4.430.067,12"</f>
        <v>4.430.067,12</v>
      </c>
      <c r="L6093" s="6" t="str">
        <f>"1.107.516,78"</f>
        <v>1.107.516,78</v>
      </c>
      <c r="M6093" s="6" t="str">
        <f>"5.537.583,90"</f>
        <v>5.537.583,90</v>
      </c>
      <c r="N6093" s="8" t="s">
        <v>124</v>
      </c>
      <c r="O6093" s="7"/>
      <c r="P6093" s="2" t="s">
        <v>5614</v>
      </c>
      <c r="Q6093" s="7"/>
      <c r="R6093" s="1"/>
      <c r="S6093" s="1" t="str">
        <f>"N-155/19"</f>
        <v>N-155/19</v>
      </c>
      <c r="T6093" s="1" t="s">
        <v>55</v>
      </c>
    </row>
    <row r="6094" spans="1:20" ht="63.75" x14ac:dyDescent="0.25">
      <c r="A6094" s="6">
        <v>6073</v>
      </c>
      <c r="B6094" s="1" t="str">
        <f>"2019-3073"</f>
        <v>2019-3073</v>
      </c>
      <c r="C6094" s="1" t="s">
        <v>4395</v>
      </c>
      <c r="D6094" s="1" t="s">
        <v>4396</v>
      </c>
      <c r="E6094" s="1" t="str">
        <f>"2020/S 0F2-0000560"</f>
        <v>2020/S 0F2-0000560</v>
      </c>
      <c r="F6094" s="1" t="s">
        <v>22</v>
      </c>
      <c r="G6094" s="1" t="str">
        <f>CONCATENATE("P T M G D.O.O.,"," GORNJOSTUPNIČKA 18,"," 10255 GORNJI STUPNIK,"," OIB: 5061792625")</f>
        <v>P T M G D.O.O., GORNJOSTUPNIČKA 18, 10255 GORNJI STUPNIK, OIB: 5061792625</v>
      </c>
      <c r="H6094" s="7"/>
      <c r="I6094" s="8" t="s">
        <v>4397</v>
      </c>
      <c r="J6094" s="8" t="s">
        <v>2605</v>
      </c>
      <c r="K6094" s="6" t="str">
        <f>"782.278,92"</f>
        <v>782.278,92</v>
      </c>
      <c r="L6094" s="6" t="str">
        <f>"195.569,73"</f>
        <v>195.569,73</v>
      </c>
      <c r="M6094" s="6" t="str">
        <f>"977.848,65"</f>
        <v>977.848,65</v>
      </c>
      <c r="N6094" s="8" t="s">
        <v>4398</v>
      </c>
      <c r="O6094" s="7"/>
      <c r="P6094" s="2" t="s">
        <v>8648</v>
      </c>
      <c r="Q6094" s="7"/>
      <c r="R6094" s="1"/>
      <c r="S6094" s="1" t="str">
        <f>"N-156/19"</f>
        <v>N-156/19</v>
      </c>
      <c r="T6094" s="1" t="s">
        <v>452</v>
      </c>
    </row>
    <row r="6095" spans="1:20" ht="114.75" x14ac:dyDescent="0.25">
      <c r="A6095" s="6">
        <v>6074</v>
      </c>
      <c r="B6095" s="1" t="str">
        <f>"2019-1234"</f>
        <v>2019-1234</v>
      </c>
      <c r="C6095" s="1" t="s">
        <v>4399</v>
      </c>
      <c r="D6095" s="1" t="s">
        <v>1979</v>
      </c>
      <c r="E6095" s="1" t="str">
        <f>"2019/S 0F2-0049765"</f>
        <v>2019/S 0F2-0049765</v>
      </c>
      <c r="F6095" s="1" t="s">
        <v>22</v>
      </c>
      <c r="G6095" s="1"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6095" s="1" t="str">
        <f>CONCATENATE("REPER PLUS D.O.O.,"," OIB: 21436549535")</f>
        <v>REPER PLUS D.O.O., OIB: 21436549535</v>
      </c>
      <c r="I6095" s="8" t="s">
        <v>4260</v>
      </c>
      <c r="J6095" s="8" t="s">
        <v>2560</v>
      </c>
      <c r="K6095" s="6" t="str">
        <f>"278.000,00"</f>
        <v>278.000,00</v>
      </c>
      <c r="L6095" s="6" t="str">
        <f>"69.500,00"</f>
        <v>69.500,00</v>
      </c>
      <c r="M6095" s="6" t="str">
        <f>"347.500,00"</f>
        <v>347.500,00</v>
      </c>
      <c r="N6095" s="8" t="s">
        <v>124</v>
      </c>
      <c r="O6095" s="7"/>
      <c r="P6095" s="2" t="s">
        <v>5614</v>
      </c>
      <c r="Q6095" s="7"/>
      <c r="R6095" s="1"/>
      <c r="S6095" s="1" t="str">
        <f>"N-157/19"</f>
        <v>N-157/19</v>
      </c>
      <c r="T6095" s="1" t="s">
        <v>55</v>
      </c>
    </row>
    <row r="6096" spans="1:20" ht="63.75" x14ac:dyDescent="0.25">
      <c r="A6096" s="6">
        <v>6075</v>
      </c>
      <c r="B6096" s="1" t="str">
        <f>"2019-1108"</f>
        <v>2019-1108</v>
      </c>
      <c r="C6096" s="1" t="s">
        <v>4400</v>
      </c>
      <c r="D6096" s="1" t="s">
        <v>941</v>
      </c>
      <c r="E6096" s="1" t="str">
        <f>"2019/S 0F2-0051047"</f>
        <v>2019/S 0F2-0051047</v>
      </c>
      <c r="F6096" s="1" t="s">
        <v>22</v>
      </c>
      <c r="G6096" s="1" t="str">
        <f>CONCATENATE("BUBANJ - NISKOGRADNJA D.O.O.,"," KRUGE 7,"," 10000 ZAGREB,"," OIB: 29539944583")</f>
        <v>BUBANJ - NISKOGRADNJA D.O.O., KRUGE 7, 10000 ZAGREB, OIB: 29539944583</v>
      </c>
      <c r="H6096" s="1" t="str">
        <f>CONCATENATE("GEODIST D.O.O.,"," OIB: 709786718")</f>
        <v>GEODIST D.O.O., OIB: 709786718</v>
      </c>
      <c r="I6096" s="8" t="s">
        <v>4260</v>
      </c>
      <c r="J6096" s="8" t="s">
        <v>2560</v>
      </c>
      <c r="K6096" s="6" t="str">
        <f>"5.920.912,76"</f>
        <v>5.920.912,76</v>
      </c>
      <c r="L6096" s="6" t="str">
        <f>"1.480.228,19"</f>
        <v>1.480.228,19</v>
      </c>
      <c r="M6096" s="6" t="str">
        <f>"7.401.140,95"</f>
        <v>7.401.140,95</v>
      </c>
      <c r="N6096" s="8" t="s">
        <v>124</v>
      </c>
      <c r="O6096" s="7"/>
      <c r="P6096" s="2" t="s">
        <v>5614</v>
      </c>
      <c r="Q6096" s="7"/>
      <c r="R6096" s="1"/>
      <c r="S6096" s="1" t="str">
        <f>"N-158/19"</f>
        <v>N-158/19</v>
      </c>
      <c r="T6096" s="1" t="s">
        <v>55</v>
      </c>
    </row>
    <row r="6097" spans="1:20" ht="76.5" x14ac:dyDescent="0.25">
      <c r="A6097" s="6">
        <v>6076</v>
      </c>
      <c r="B6097" s="1" t="str">
        <f>"2019-2542"</f>
        <v>2019-2542</v>
      </c>
      <c r="C6097" s="1" t="s">
        <v>4401</v>
      </c>
      <c r="D6097" s="1" t="s">
        <v>941</v>
      </c>
      <c r="E6097" s="1" t="str">
        <f>"2019/S 0F2-0039112"</f>
        <v>2019/S 0F2-0039112</v>
      </c>
      <c r="F6097" s="1" t="s">
        <v>22</v>
      </c>
      <c r="G6097" s="1" t="str">
        <f>CONCATENATE("TEMPORIUM GRADNJA D.O.O.,"," LJUTOMERSKA ULICA 33A,"," 10000 ZAGREB,"," OIB: 6285048268")</f>
        <v>TEMPORIUM GRADNJA D.O.O., LJUTOMERSKA ULICA 33A, 10000 ZAGREB, OIB: 6285048268</v>
      </c>
      <c r="H6097" s="1" t="str">
        <f>CONCATENATE("KAPITEL D.O.O.,"," OIB: 44838895379",CHAR(10),"INSTAL-PROM D.O.O.,"," OIB: 21231984689")</f>
        <v>KAPITEL D.O.O., OIB: 44838895379
INSTAL-PROM D.O.O., OIB: 21231984689</v>
      </c>
      <c r="I6097" s="8" t="s">
        <v>4260</v>
      </c>
      <c r="J6097" s="8" t="s">
        <v>159</v>
      </c>
      <c r="K6097" s="6" t="str">
        <f>"13.195.772,90"</f>
        <v>13.195.772,90</v>
      </c>
      <c r="L6097" s="6" t="str">
        <f>"3.298.943,22"</f>
        <v>3.298.943,22</v>
      </c>
      <c r="M6097" s="6" t="str">
        <f>"16.494.716,12"</f>
        <v>16.494.716,12</v>
      </c>
      <c r="N6097" s="8" t="s">
        <v>124</v>
      </c>
      <c r="O6097" s="7"/>
      <c r="P6097" s="2" t="s">
        <v>5614</v>
      </c>
      <c r="Q6097" s="7"/>
      <c r="R6097" s="1"/>
      <c r="S6097" s="1" t="str">
        <f>"N-159/19"</f>
        <v>N-159/19</v>
      </c>
      <c r="T6097" s="1" t="s">
        <v>55</v>
      </c>
    </row>
    <row r="6098" spans="1:20" ht="63.75" x14ac:dyDescent="0.25">
      <c r="A6098" s="6">
        <v>6077</v>
      </c>
      <c r="B6098" s="1" t="str">
        <f>"2019-2479"</f>
        <v>2019-2479</v>
      </c>
      <c r="C6098" s="1" t="s">
        <v>4402</v>
      </c>
      <c r="D6098" s="1" t="s">
        <v>941</v>
      </c>
      <c r="E6098" s="1" t="str">
        <f>"2020/S 0F2-0001710"</f>
        <v>2020/S 0F2-0001710</v>
      </c>
      <c r="F6098" s="1" t="s">
        <v>22</v>
      </c>
      <c r="G6098" s="1" t="str">
        <f>CONCATENATE("BOLČEVIĆ-GRADNJA D.O.O.,"," DUGOSELSKA CESTA 56,"," 10361 SESVETSKI KRALJEVEC,"," OIB: 520986705")</f>
        <v>BOLČEVIĆ-GRADNJA D.O.O., DUGOSELSKA CESTA 56, 10361 SESVETSKI KRALJEVEC, OIB: 520986705</v>
      </c>
      <c r="H6098" s="1" t="str">
        <f>CONCATENATE("MGV D.O.O.,"," OIB: 07790118186")</f>
        <v>MGV D.O.O., OIB: 07790118186</v>
      </c>
      <c r="I6098" s="8" t="s">
        <v>881</v>
      </c>
      <c r="J6098" s="8" t="s">
        <v>2657</v>
      </c>
      <c r="K6098" s="6" t="str">
        <f>"2.055.350,68"</f>
        <v>2.055.350,68</v>
      </c>
      <c r="L6098" s="6" t="str">
        <f>"513.837,67"</f>
        <v>513.837,67</v>
      </c>
      <c r="M6098" s="6" t="str">
        <f>"2.569.188,35"</f>
        <v>2.569.188,35</v>
      </c>
      <c r="N6098" s="8" t="s">
        <v>124</v>
      </c>
      <c r="O6098" s="7"/>
      <c r="P6098" s="2" t="s">
        <v>5614</v>
      </c>
      <c r="Q6098" s="7"/>
      <c r="R6098" s="1"/>
      <c r="S6098" s="1" t="str">
        <f>"N-161/19"</f>
        <v>N-161/19</v>
      </c>
      <c r="T6098" s="1" t="s">
        <v>55</v>
      </c>
    </row>
    <row r="6099" spans="1:20" ht="51" x14ac:dyDescent="0.25">
      <c r="A6099" s="6">
        <v>6078</v>
      </c>
      <c r="B6099" s="1" t="str">
        <f>"2019-3022"</f>
        <v>2019-3022</v>
      </c>
      <c r="C6099" s="1" t="s">
        <v>4403</v>
      </c>
      <c r="D6099" s="1" t="s">
        <v>941</v>
      </c>
      <c r="E6099" s="1" t="str">
        <f>"2020/S 0F2-0002771"</f>
        <v>2020/S 0F2-0002771</v>
      </c>
      <c r="F6099" s="1" t="s">
        <v>22</v>
      </c>
      <c r="G6099" s="1" t="str">
        <f>CONCATENATE("GIP PIONIR D.O.O.,"," ZAGREBAČKA 145B,"," 10000 ZAGREB,"," OIB: 38262788673")</f>
        <v>GIP PIONIR D.O.O., ZAGREBAČKA 145B, 10000 ZAGREB, OIB: 38262788673</v>
      </c>
      <c r="H6099" s="7"/>
      <c r="I6099" s="8" t="s">
        <v>3494</v>
      </c>
      <c r="J6099" s="8" t="s">
        <v>551</v>
      </c>
      <c r="K6099" s="6" t="str">
        <f>"1.378.177,00"</f>
        <v>1.378.177,00</v>
      </c>
      <c r="L6099" s="6" t="str">
        <f>"344.544,25"</f>
        <v>344.544,25</v>
      </c>
      <c r="M6099" s="6" t="str">
        <f>"1.722.721,25"</f>
        <v>1.722.721,25</v>
      </c>
      <c r="N6099" s="8" t="s">
        <v>126</v>
      </c>
      <c r="O6099" s="7"/>
      <c r="P6099" s="2" t="s">
        <v>8649</v>
      </c>
      <c r="Q6099" s="7"/>
      <c r="R6099" s="1"/>
      <c r="S6099" s="1" t="str">
        <f>"N-162/19"</f>
        <v>N-162/19</v>
      </c>
      <c r="T6099" s="1" t="s">
        <v>55</v>
      </c>
    </row>
    <row r="6100" spans="1:20" ht="63.75" x14ac:dyDescent="0.25">
      <c r="A6100" s="6">
        <v>6079</v>
      </c>
      <c r="B6100" s="1" t="str">
        <f>"2019-3099"</f>
        <v>2019-3099</v>
      </c>
      <c r="C6100" s="1" t="s">
        <v>4404</v>
      </c>
      <c r="D6100" s="1" t="s">
        <v>2132</v>
      </c>
      <c r="E6100" s="1" t="str">
        <f>"2020/S 0F2-0001204"</f>
        <v>2020/S 0F2-0001204</v>
      </c>
      <c r="F6100" s="1" t="s">
        <v>22</v>
      </c>
      <c r="G6100" s="1" t="str">
        <f>CONCATENATE("P T M G D.O.O.,"," GORNJOSTUPNIČKA 18,"," 10255 GORNJI STUPNIK,"," OIB: 5061792625")</f>
        <v>P T M G D.O.O., GORNJOSTUPNIČKA 18, 10255 GORNJI STUPNIK, OIB: 5061792625</v>
      </c>
      <c r="H6100" s="7"/>
      <c r="I6100" s="8" t="s">
        <v>4405</v>
      </c>
      <c r="J6100" s="8" t="s">
        <v>2740</v>
      </c>
      <c r="K6100" s="6" t="str">
        <f>"389.245,25"</f>
        <v>389.245,25</v>
      </c>
      <c r="L6100" s="6" t="str">
        <f>"97.311,31"</f>
        <v>97.311,31</v>
      </c>
      <c r="M6100" s="6" t="str">
        <f>"486.556,56"</f>
        <v>486.556,56</v>
      </c>
      <c r="N6100" s="8" t="s">
        <v>192</v>
      </c>
      <c r="O6100" s="7"/>
      <c r="P6100" s="2" t="s">
        <v>8650</v>
      </c>
      <c r="Q6100" s="7"/>
      <c r="R6100" s="1"/>
      <c r="S6100" s="1" t="str">
        <f>"N-165/19"</f>
        <v>N-165/19</v>
      </c>
      <c r="T6100" s="1" t="s">
        <v>452</v>
      </c>
    </row>
    <row r="6101" spans="1:20" ht="38.25" x14ac:dyDescent="0.25">
      <c r="A6101" s="6">
        <v>6080</v>
      </c>
      <c r="B6101" s="1" t="str">
        <f>"2019-2481"</f>
        <v>2019-2481</v>
      </c>
      <c r="C6101" s="1" t="s">
        <v>4406</v>
      </c>
      <c r="D6101" s="1" t="s">
        <v>941</v>
      </c>
      <c r="E6101" s="1" t="str">
        <f>"2020/S 0F2-0009156"</f>
        <v>2020/S 0F2-0009156</v>
      </c>
      <c r="F6101" s="1" t="s">
        <v>22</v>
      </c>
      <c r="G6101" s="1" t="str">
        <f>CONCATENATE("GUT D.O.O.,"," SISAČKA 37,"," 10000 ZAGREB,"," OIB: 9501710522")</f>
        <v>GUT D.O.O., SISAČKA 37, 10000 ZAGREB, OIB: 9501710522</v>
      </c>
      <c r="H6101" s="7"/>
      <c r="I6101" s="8" t="s">
        <v>946</v>
      </c>
      <c r="J6101" s="8" t="s">
        <v>2291</v>
      </c>
      <c r="K6101" s="6" t="str">
        <f>"797.686,24"</f>
        <v>797.686,24</v>
      </c>
      <c r="L6101" s="6" t="str">
        <f>"199.421,56"</f>
        <v>199.421,56</v>
      </c>
      <c r="M6101" s="6" t="str">
        <f>"997.107,80"</f>
        <v>997.107,80</v>
      </c>
      <c r="N6101" s="8" t="s">
        <v>911</v>
      </c>
      <c r="O6101" s="7"/>
      <c r="P6101" s="2" t="s">
        <v>8651</v>
      </c>
      <c r="Q6101" s="7"/>
      <c r="R6101" s="1"/>
      <c r="S6101" s="1" t="str">
        <f>"N-168/19"</f>
        <v>N-168/19</v>
      </c>
      <c r="T6101" s="1" t="s">
        <v>55</v>
      </c>
    </row>
    <row r="6102" spans="1:20" ht="51" x14ac:dyDescent="0.25">
      <c r="A6102" s="6">
        <v>6081</v>
      </c>
      <c r="B6102" s="1" t="str">
        <f>"2020-1679"</f>
        <v>2020-1679</v>
      </c>
      <c r="C6102" s="1" t="s">
        <v>4407</v>
      </c>
      <c r="D6102" s="1" t="s">
        <v>941</v>
      </c>
      <c r="E6102" s="1" t="str">
        <f>"2020/S 0F2-0013533"</f>
        <v>2020/S 0F2-0013533</v>
      </c>
      <c r="F6102" s="1" t="s">
        <v>22</v>
      </c>
      <c r="G6102" s="1" t="str">
        <f>CONCATENATE("BK MONTAŽA D.O.O.,"," MEDARSKA 69,"," 10000 ZAGREB,"," OIB: 80580557122")</f>
        <v>BK MONTAŽA D.O.O., MEDARSKA 69, 10000 ZAGREB, OIB: 80580557122</v>
      </c>
      <c r="H6102" s="7"/>
      <c r="I6102" s="8" t="s">
        <v>881</v>
      </c>
      <c r="J6102" s="8" t="s">
        <v>2657</v>
      </c>
      <c r="K6102" s="6" t="str">
        <f>"1.878.808,26"</f>
        <v>1.878.808,26</v>
      </c>
      <c r="L6102" s="6" t="str">
        <f>"469.702,06"</f>
        <v>469.702,06</v>
      </c>
      <c r="M6102" s="6" t="str">
        <f>"2.348.510,32"</f>
        <v>2.348.510,32</v>
      </c>
      <c r="N6102" s="8" t="s">
        <v>37</v>
      </c>
      <c r="O6102" s="7"/>
      <c r="P6102" s="2" t="s">
        <v>8652</v>
      </c>
      <c r="Q6102" s="7"/>
      <c r="R6102" s="1"/>
      <c r="S6102" s="1" t="str">
        <f>"N-1/20"</f>
        <v>N-1/20</v>
      </c>
      <c r="T6102" s="1" t="s">
        <v>55</v>
      </c>
    </row>
    <row r="6103" spans="1:20" ht="76.5" x14ac:dyDescent="0.25">
      <c r="A6103" s="6">
        <v>6082</v>
      </c>
      <c r="B6103" s="1" t="str">
        <f>"2020-1824"</f>
        <v>2020-1824</v>
      </c>
      <c r="C6103" s="1" t="s">
        <v>4408</v>
      </c>
      <c r="D6103" s="1" t="s">
        <v>2068</v>
      </c>
      <c r="E6103" s="1" t="str">
        <f>"2020/S 0F2-0021991"</f>
        <v>2020/S 0F2-0021991</v>
      </c>
      <c r="F6103" s="1" t="s">
        <v>22</v>
      </c>
      <c r="G6103" s="1" t="str">
        <f>CONCATENATE("GRADEX &amp; CO D.O.O.,"," PAVLOVEC ZABOČKI,"," PRILAZ DR. FRANJE TUĐMANA 4,"," 49210 ZABOK,"," OIB: 73369080939")</f>
        <v>GRADEX &amp; CO D.O.O., PAVLOVEC ZABOČKI, PRILAZ DR. FRANJE TUĐMANA 4, 49210 ZABOK, OIB: 73369080939</v>
      </c>
      <c r="H6103" s="7"/>
      <c r="I6103" s="8" t="s">
        <v>4409</v>
      </c>
      <c r="J6103" s="8" t="s">
        <v>1992</v>
      </c>
      <c r="K6103" s="6" t="str">
        <f>"2.494.382,00"</f>
        <v>2.494.382,00</v>
      </c>
      <c r="L6103" s="6" t="str">
        <f>"623.595,50"</f>
        <v>623.595,50</v>
      </c>
      <c r="M6103" s="6" t="str">
        <f>"3.117.977,50"</f>
        <v>3.117.977,50</v>
      </c>
      <c r="N6103" s="8" t="s">
        <v>124</v>
      </c>
      <c r="O6103" s="7"/>
      <c r="P6103" s="2" t="s">
        <v>5614</v>
      </c>
      <c r="Q6103" s="7"/>
      <c r="R6103" s="1"/>
      <c r="S6103" s="1" t="str">
        <f>"N-5/20"</f>
        <v>N-5/20</v>
      </c>
      <c r="T6103" s="1" t="s">
        <v>55</v>
      </c>
    </row>
    <row r="6104" spans="1:20" ht="178.5" x14ac:dyDescent="0.25">
      <c r="A6104" s="6">
        <v>6083</v>
      </c>
      <c r="B6104" s="1" t="str">
        <f>"2020-1747"</f>
        <v>2020-1747</v>
      </c>
      <c r="C6104" s="1" t="s">
        <v>4410</v>
      </c>
      <c r="D6104" s="1" t="s">
        <v>941</v>
      </c>
      <c r="E6104" s="1" t="str">
        <f>"2020/S 0F2-0026698"</f>
        <v>2020/S 0F2-0026698</v>
      </c>
      <c r="F6104" s="1" t="s">
        <v>22</v>
      </c>
      <c r="G6104" s="1" t="str">
        <f>CONCATENATE("GEOKOL D.O.O.,"," JOSIPA KOZARCA 41,"," 42000 VARAŽDIN,"," OIB: 28399231832")</f>
        <v>GEOKOL D.O.O., JOSIPA KOZARCA 41, 42000 VARAŽDIN, OIB: 28399231832</v>
      </c>
      <c r="H6104" s="1"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6104" s="8" t="s">
        <v>4411</v>
      </c>
      <c r="J6104" s="8" t="s">
        <v>98</v>
      </c>
      <c r="K6104" s="6" t="str">
        <f>"1.480.400,00"</f>
        <v>1.480.400,00</v>
      </c>
      <c r="L6104" s="6" t="str">
        <f>"370.100,00"</f>
        <v>370.100,00</v>
      </c>
      <c r="M6104" s="6" t="str">
        <f>"1.850.500,00"</f>
        <v>1.850.500,00</v>
      </c>
      <c r="N6104" s="8" t="s">
        <v>93</v>
      </c>
      <c r="O6104" s="7"/>
      <c r="P6104" s="2" t="s">
        <v>8653</v>
      </c>
      <c r="Q6104" s="7"/>
      <c r="R6104" s="1"/>
      <c r="S6104" s="1" t="str">
        <f>"N-10/20"</f>
        <v>N-10/20</v>
      </c>
      <c r="T6104" s="1" t="s">
        <v>55</v>
      </c>
    </row>
    <row r="6105" spans="1:20" ht="63.75" x14ac:dyDescent="0.25">
      <c r="A6105" s="6">
        <v>6084</v>
      </c>
      <c r="B6105" s="1" t="str">
        <f>"2020-2613"</f>
        <v>2020-2613</v>
      </c>
      <c r="C6105" s="1" t="s">
        <v>4412</v>
      </c>
      <c r="D6105" s="1" t="s">
        <v>941</v>
      </c>
      <c r="E6105" s="1" t="str">
        <f>"2020/S 0F2-0029756"</f>
        <v>2020/S 0F2-0029756</v>
      </c>
      <c r="F6105" s="1" t="s">
        <v>22</v>
      </c>
      <c r="G6105" s="1" t="str">
        <f>CONCATENATE("BUBANJ - NISKOGRADNJA D.O.O.,"," KRUGE 7,"," 10000 ZAGREB,"," OIB: 29539944583")</f>
        <v>BUBANJ - NISKOGRADNJA D.O.O., KRUGE 7, 10000 ZAGREB, OIB: 29539944583</v>
      </c>
      <c r="H6105" s="1" t="str">
        <f>CONCATENATE("GEODIST D.O.O.,"," OIB: 709786718")</f>
        <v>GEODIST D.O.O., OIB: 709786718</v>
      </c>
      <c r="I6105" s="8" t="s">
        <v>4413</v>
      </c>
      <c r="J6105" s="8" t="s">
        <v>441</v>
      </c>
      <c r="K6105" s="6" t="str">
        <f>"3.186.270,50"</f>
        <v>3.186.270,50</v>
      </c>
      <c r="L6105" s="6" t="str">
        <f>"796.567,62"</f>
        <v>796.567,62</v>
      </c>
      <c r="M6105" s="6" t="str">
        <f>"3.982.838,12"</f>
        <v>3.982.838,12</v>
      </c>
      <c r="N6105" s="8" t="s">
        <v>124</v>
      </c>
      <c r="O6105" s="7"/>
      <c r="P6105" s="2" t="s">
        <v>5614</v>
      </c>
      <c r="Q6105" s="7"/>
      <c r="R6105" s="1"/>
      <c r="S6105" s="1" t="str">
        <f>"N-12/20"</f>
        <v>N-12/20</v>
      </c>
      <c r="T6105" s="1" t="s">
        <v>55</v>
      </c>
    </row>
    <row r="6106" spans="1:20" ht="89.25" x14ac:dyDescent="0.25">
      <c r="A6106" s="6">
        <v>6085</v>
      </c>
      <c r="B6106" s="1" t="str">
        <f>"2020-156"</f>
        <v>2020-156</v>
      </c>
      <c r="C6106" s="1" t="s">
        <v>4414</v>
      </c>
      <c r="D6106" s="1" t="s">
        <v>2064</v>
      </c>
      <c r="E6106" s="1" t="str">
        <f>"2020/S 0F2-0028501"</f>
        <v>2020/S 0F2-0028501</v>
      </c>
      <c r="F6106" s="1" t="s">
        <v>22</v>
      </c>
      <c r="G6106" s="1" t="str">
        <f>CONCATENATE("SVEUČILIŠTE U ZAGREBU,"," RUDARSKO-GEOLOŠKO-NAFTNI FAKULTET,"," PIEROTTIJEVA 6,"," 10000 ZAGREB,"," OIB: 99534693762")</f>
        <v>SVEUČILIŠTE U ZAGREBU, RUDARSKO-GEOLOŠKO-NAFTNI FAKULTET, PIEROTTIJEVA 6, 10000 ZAGREB, OIB: 99534693762</v>
      </c>
      <c r="H6106" s="1" t="str">
        <f>CONCATENATE("HIDRO-GEO PROJEKT D.O.O.,"," OIB: 09473107998")</f>
        <v>HIDRO-GEO PROJEKT D.O.O., OIB: 09473107998</v>
      </c>
      <c r="I6106" s="8" t="s">
        <v>1008</v>
      </c>
      <c r="J6106" s="8" t="s">
        <v>1522</v>
      </c>
      <c r="K6106" s="6" t="str">
        <f>"927.350,00"</f>
        <v>927.350,00</v>
      </c>
      <c r="L6106" s="6" t="str">
        <f>"231.837,50"</f>
        <v>231.837,50</v>
      </c>
      <c r="M6106" s="6" t="str">
        <f>"1.159.187,50"</f>
        <v>1.159.187,50</v>
      </c>
      <c r="N6106" s="8" t="s">
        <v>124</v>
      </c>
      <c r="O6106" s="7"/>
      <c r="P6106" s="2" t="s">
        <v>5614</v>
      </c>
      <c r="Q6106" s="7"/>
      <c r="R6106" s="1"/>
      <c r="S6106" s="1" t="str">
        <f>"N-16/20"</f>
        <v>N-16/20</v>
      </c>
      <c r="T6106" s="1" t="s">
        <v>55</v>
      </c>
    </row>
    <row r="6107" spans="1:20" ht="51" x14ac:dyDescent="0.25">
      <c r="A6107" s="6">
        <v>6086</v>
      </c>
      <c r="B6107" s="1" t="str">
        <f>"2020-135"</f>
        <v>2020-135</v>
      </c>
      <c r="C6107" s="1" t="s">
        <v>4415</v>
      </c>
      <c r="D6107" s="1" t="s">
        <v>702</v>
      </c>
      <c r="E6107" s="1" t="str">
        <f>"2020/S 0F2-0028447"</f>
        <v>2020/S 0F2-0028447</v>
      </c>
      <c r="F6107" s="1" t="s">
        <v>22</v>
      </c>
      <c r="G6107" s="1" t="str">
        <f>CONCATENATE("PALIĆ INŽENJERING D.O.O.,"," MEDOVIĆEVA 7,"," 10000 ZAGREB,"," OIB: 99750077832")</f>
        <v>PALIĆ INŽENJERING D.O.O., MEDOVIĆEVA 7, 10000 ZAGREB, OIB: 99750077832</v>
      </c>
      <c r="H6107" s="1" t="str">
        <f>CONCATENATE("GEOANDA D.O.O.,"," OIB: 70840886172")</f>
        <v>GEOANDA D.O.O., OIB: 70840886172</v>
      </c>
      <c r="I6107" s="8" t="s">
        <v>3808</v>
      </c>
      <c r="J6107" s="8" t="s">
        <v>4123</v>
      </c>
      <c r="K6107" s="6" t="str">
        <f>"1.497.018,00"</f>
        <v>1.497.018,00</v>
      </c>
      <c r="L6107" s="6" t="str">
        <f>"374.254,50"</f>
        <v>374.254,50</v>
      </c>
      <c r="M6107" s="6" t="str">
        <f>"1.871.272,50"</f>
        <v>1.871.272,50</v>
      </c>
      <c r="N6107" s="8" t="s">
        <v>126</v>
      </c>
      <c r="O6107" s="7"/>
      <c r="P6107" s="2" t="s">
        <v>8654</v>
      </c>
      <c r="Q6107" s="7"/>
      <c r="R6107" s="1"/>
      <c r="S6107" s="1" t="str">
        <f>"N-20/20"</f>
        <v>N-20/20</v>
      </c>
      <c r="T6107" s="1" t="s">
        <v>452</v>
      </c>
    </row>
    <row r="6108" spans="1:20" ht="63.75" x14ac:dyDescent="0.25">
      <c r="A6108" s="6">
        <v>6087</v>
      </c>
      <c r="B6108" s="1" t="str">
        <f>"2020-2849"</f>
        <v>2020-2849</v>
      </c>
      <c r="C6108" s="1" t="s">
        <v>2268</v>
      </c>
      <c r="D6108" s="1" t="s">
        <v>2269</v>
      </c>
      <c r="E6108" s="1" t="str">
        <f>"2020/S 0F2-0020294"</f>
        <v>2020/S 0F2-0020294</v>
      </c>
      <c r="F6108" s="1" t="s">
        <v>22</v>
      </c>
      <c r="G6108" s="1" t="str">
        <f>CONCATENATE("STUDIO ZA ARHITEKTURU D.O.O.,"," PRILAZ GJURE DEŽELIĆA 52,"," 10000 ZAGREB,"," OIB: 5020505774")</f>
        <v>STUDIO ZA ARHITEKTURU D.O.O., PRILAZ GJURE DEŽELIĆA 52, 10000 ZAGREB, OIB: 5020505774</v>
      </c>
      <c r="H6108" s="7"/>
      <c r="I6108" s="8" t="s">
        <v>1106</v>
      </c>
      <c r="J6108" s="8" t="s">
        <v>4416</v>
      </c>
      <c r="K6108" s="6" t="str">
        <f>"2.000.000,00"</f>
        <v>2.000.000,00</v>
      </c>
      <c r="L6108" s="6" t="str">
        <f>"500.000,00"</f>
        <v>500.000,00</v>
      </c>
      <c r="M6108" s="6" t="str">
        <f>"2.500.000,00"</f>
        <v>2.500.000,00</v>
      </c>
      <c r="N6108" s="8" t="s">
        <v>124</v>
      </c>
      <c r="O6108" s="7"/>
      <c r="P6108" s="2" t="s">
        <v>5614</v>
      </c>
      <c r="Q6108" s="7"/>
      <c r="R6108" s="1"/>
      <c r="S6108" s="1" t="str">
        <f>"N-23/20"</f>
        <v>N-23/20</v>
      </c>
      <c r="T6108" s="1" t="s">
        <v>2060</v>
      </c>
    </row>
    <row r="6109" spans="1:20" ht="63.75" x14ac:dyDescent="0.25">
      <c r="A6109" s="6">
        <v>6088</v>
      </c>
      <c r="B6109" s="1" t="str">
        <f>"2020-329"</f>
        <v>2020-329</v>
      </c>
      <c r="C6109" s="1" t="s">
        <v>3406</v>
      </c>
      <c r="D6109" s="1" t="s">
        <v>2659</v>
      </c>
      <c r="E6109" s="1" t="str">
        <f>"2020/S 0F2-0030787"</f>
        <v>2020/S 0F2-0030787</v>
      </c>
      <c r="F6109" s="1" t="s">
        <v>22</v>
      </c>
      <c r="G6109" s="1" t="str">
        <f>CONCATENATE("HENNLICH D.O.O.,"," STUPNIČKOOBREŠKA 17,"," 10255 GORNJI STUPNIK,"," OIB: 44725135398")</f>
        <v>HENNLICH D.O.O., STUPNIČKOOBREŠKA 17, 10255 GORNJI STUPNIK, OIB: 44725135398</v>
      </c>
      <c r="H6109" s="7"/>
      <c r="I6109" s="8" t="s">
        <v>1008</v>
      </c>
      <c r="J6109" s="8" t="s">
        <v>1522</v>
      </c>
      <c r="K6109" s="6" t="str">
        <f>"239.414,40"</f>
        <v>239.414,40</v>
      </c>
      <c r="L6109" s="6" t="str">
        <f>"59.853,60"</f>
        <v>59.853,60</v>
      </c>
      <c r="M6109" s="6" t="str">
        <f>"299.268,00"</f>
        <v>299.268,00</v>
      </c>
      <c r="N6109" s="8" t="s">
        <v>124</v>
      </c>
      <c r="O6109" s="7"/>
      <c r="P6109" s="2" t="s">
        <v>5614</v>
      </c>
      <c r="Q6109" s="7"/>
      <c r="R6109" s="1"/>
      <c r="S6109" s="1" t="str">
        <f>"N-26/20"</f>
        <v>N-26/20</v>
      </c>
      <c r="T6109" s="1" t="s">
        <v>55</v>
      </c>
    </row>
    <row r="6110" spans="1:20" ht="89.25" x14ac:dyDescent="0.25">
      <c r="A6110" s="6">
        <v>6089</v>
      </c>
      <c r="B6110" s="1" t="str">
        <f>"2020-1655"</f>
        <v>2020-1655</v>
      </c>
      <c r="C6110" s="1" t="s">
        <v>4043</v>
      </c>
      <c r="D6110" s="1" t="s">
        <v>174</v>
      </c>
      <c r="E6110" s="1" t="str">
        <f>""</f>
        <v/>
      </c>
      <c r="F6110" s="1" t="s">
        <v>1040</v>
      </c>
      <c r="G6110" s="1" t="str">
        <f>CONCATENATE("ZAGREBAČKI HOLDING D.O.O.,"," PODRUŽNICA ZAGREBAČKE CESTE,"," DONJE SVETICE 48,"," 10000 ZAGREB,"," OIB: 85584865987")</f>
        <v>ZAGREBAČKI HOLDING D.O.O., PODRUŽNICA ZAGREBAČKE CESTE, DONJE SVETICE 48, 10000 ZAGREB, OIB: 85584865987</v>
      </c>
      <c r="H6110" s="7"/>
      <c r="I6110" s="8" t="s">
        <v>1213</v>
      </c>
      <c r="J6110" s="8" t="s">
        <v>206</v>
      </c>
      <c r="K6110" s="6" t="str">
        <f>"4.996.957,00"</f>
        <v>4.996.957,00</v>
      </c>
      <c r="L6110" s="6" t="str">
        <f>"1.249.239,25"</f>
        <v>1.249.239,25</v>
      </c>
      <c r="M6110" s="6" t="str">
        <f>"6.246.196,25"</f>
        <v>6.246.196,25</v>
      </c>
      <c r="N6110" s="8" t="s">
        <v>169</v>
      </c>
      <c r="O6110" s="7"/>
      <c r="P6110" s="2" t="s">
        <v>8655</v>
      </c>
      <c r="Q6110" s="7"/>
      <c r="R6110" s="1"/>
      <c r="S6110" s="1" t="str">
        <f>"N-27/20"</f>
        <v>N-27/20</v>
      </c>
      <c r="T6110" s="1" t="s">
        <v>452</v>
      </c>
    </row>
    <row r="6111" spans="1:20" ht="51" x14ac:dyDescent="0.25">
      <c r="A6111" s="6">
        <v>6090</v>
      </c>
      <c r="B6111" s="1" t="str">
        <f>"2020-308"</f>
        <v>2020-308</v>
      </c>
      <c r="C6111" s="1" t="s">
        <v>4417</v>
      </c>
      <c r="D6111" s="1" t="s">
        <v>941</v>
      </c>
      <c r="E6111" s="1" t="str">
        <f>"2020/S 0F2-0035723"</f>
        <v>2020/S 0F2-0035723</v>
      </c>
      <c r="F6111" s="1" t="s">
        <v>22</v>
      </c>
      <c r="G6111" s="1" t="str">
        <f>CONCATENATE("M.SOLDO D.O.O.,"," DEBANIĆEVA 39,"," 10000 ZAGREB,"," OIB: 58353605637")</f>
        <v>M.SOLDO D.O.O., DEBANIĆEVA 39, 10000 ZAGREB, OIB: 58353605637</v>
      </c>
      <c r="H6111" s="7"/>
      <c r="I6111" s="8" t="s">
        <v>4418</v>
      </c>
      <c r="J6111" s="8" t="s">
        <v>177</v>
      </c>
      <c r="K6111" s="6" t="str">
        <f>"773.840,00"</f>
        <v>773.840,00</v>
      </c>
      <c r="L6111" s="6" t="str">
        <f>"193.460,00"</f>
        <v>193.460,00</v>
      </c>
      <c r="M6111" s="6" t="str">
        <f>"967.300,00"</f>
        <v>967.300,00</v>
      </c>
      <c r="N6111" s="8" t="s">
        <v>2310</v>
      </c>
      <c r="O6111" s="7"/>
      <c r="P6111" s="2" t="s">
        <v>8656</v>
      </c>
      <c r="Q6111" s="7"/>
      <c r="R6111" s="1"/>
      <c r="S6111" s="1" t="str">
        <f>"N-33/20"</f>
        <v>N-33/20</v>
      </c>
      <c r="T6111" s="1" t="s">
        <v>55</v>
      </c>
    </row>
    <row r="6112" spans="1:20" ht="127.5" x14ac:dyDescent="0.25">
      <c r="A6112" s="6">
        <v>6091</v>
      </c>
      <c r="B6112" s="1" t="str">
        <f>"2020-144"</f>
        <v>2020-144</v>
      </c>
      <c r="C6112" s="1" t="s">
        <v>4419</v>
      </c>
      <c r="D6112" s="1" t="s">
        <v>941</v>
      </c>
      <c r="E6112" s="1" t="str">
        <f>"2020/S 0F2-0035689"</f>
        <v>2020/S 0F2-0035689</v>
      </c>
      <c r="F6112" s="1" t="s">
        <v>22</v>
      </c>
      <c r="G6112" s="1" t="str">
        <f>CONCATENATE("MONTER-STROJARSKE MONTAŽE D.D.,"," VELIMIRA ŠKORPIKA 28,"," 10000 ZAGREB,"," OIB: 13887374452")</f>
        <v>MONTER-STROJARSKE MONTAŽE D.D., VELIMIRA ŠKORPIKA 28, 10000 ZAGREB, OIB: 13887374452</v>
      </c>
      <c r="H6112" s="1" t="str">
        <f>CONCATENATE("ZAGREL RITTMEYER D.O.O.,"," OIB: 00100837674",CHAR(10),"GEOANDA D.O.O.,"," OIB: 70840886172",CHAR(10),"ARP LUČKO,"," D.O.O.,"," OIB: 91287071627")</f>
        <v>ZAGREL RITTMEYER D.O.O., OIB: 00100837674
GEOANDA D.O.O., OIB: 70840886172
ARP LUČKO, D.O.O., OIB: 91287071627</v>
      </c>
      <c r="I6112" s="8" t="s">
        <v>4418</v>
      </c>
      <c r="J6112" s="8" t="s">
        <v>177</v>
      </c>
      <c r="K6112" s="6" t="str">
        <f>"869.946,40"</f>
        <v>869.946,40</v>
      </c>
      <c r="L6112" s="6" t="str">
        <f>"217.486,60"</f>
        <v>217.486,60</v>
      </c>
      <c r="M6112" s="6" t="str">
        <f>"1.087.433,00"</f>
        <v>1.087.433,00</v>
      </c>
      <c r="N6112" s="8" t="s">
        <v>124</v>
      </c>
      <c r="O6112" s="7"/>
      <c r="P6112" s="2" t="s">
        <v>5614</v>
      </c>
      <c r="Q6112" s="7"/>
      <c r="R6112" s="1"/>
      <c r="S6112" s="1" t="str">
        <f>"N-34/20"</f>
        <v>N-34/20</v>
      </c>
      <c r="T6112" s="1" t="s">
        <v>55</v>
      </c>
    </row>
    <row r="6113" spans="1:20" ht="76.5" x14ac:dyDescent="0.25">
      <c r="A6113" s="6">
        <v>6092</v>
      </c>
      <c r="B6113" s="1" t="str">
        <f>"2015-2004"</f>
        <v>2015-2004</v>
      </c>
      <c r="C6113" s="1" t="s">
        <v>3582</v>
      </c>
      <c r="D6113" s="1" t="s">
        <v>1109</v>
      </c>
      <c r="E6113" s="1" t="str">
        <f>""</f>
        <v/>
      </c>
      <c r="F6113" s="1" t="s">
        <v>1848</v>
      </c>
      <c r="G6113" s="1" t="str">
        <f>CONCATENATE("GEORAD D.O.O.,"," KORNATSKA 1,"," 10000 ZAGREB,"," OIB: 49756748234")</f>
        <v>GEORAD D.O.O., KORNATSKA 1, 10000 ZAGREB, OIB: 49756748234</v>
      </c>
      <c r="H6113" s="7"/>
      <c r="I6113" s="8" t="s">
        <v>4134</v>
      </c>
      <c r="J6113" s="8" t="s">
        <v>4149</v>
      </c>
      <c r="K6113" s="6" t="str">
        <f>"98.965,96"</f>
        <v>98.965,96</v>
      </c>
      <c r="L6113" s="6" t="str">
        <f>"24.741,49"</f>
        <v>24.741,49</v>
      </c>
      <c r="M6113" s="6" t="str">
        <f>"123.707,45"</f>
        <v>123.707,45</v>
      </c>
      <c r="N6113" s="8" t="s">
        <v>124</v>
      </c>
      <c r="O6113" s="7"/>
      <c r="P6113" s="2" t="s">
        <v>5614</v>
      </c>
      <c r="Q6113" s="7"/>
      <c r="R6113" s="1"/>
      <c r="S6113" s="1" t="str">
        <f>"N-65/15-3"</f>
        <v>N-65/15-3</v>
      </c>
      <c r="T6113" s="1" t="s">
        <v>55</v>
      </c>
    </row>
    <row r="6114" spans="1:20" ht="102" x14ac:dyDescent="0.25">
      <c r="A6114" s="6">
        <v>6093</v>
      </c>
      <c r="B6114" s="1" t="str">
        <f>"2015-2001"</f>
        <v>2015-2001</v>
      </c>
      <c r="C6114" s="1" t="s">
        <v>3619</v>
      </c>
      <c r="D6114" s="1" t="s">
        <v>1109</v>
      </c>
      <c r="E6114" s="1" t="str">
        <f>""</f>
        <v/>
      </c>
      <c r="F6114" s="1" t="s">
        <v>1848</v>
      </c>
      <c r="G6114" s="1" t="str">
        <f>CONCATENATE("PALIR D.O.O.,"," DANE DUIĆA 3,"," 10000 ZAGREB,"," OIB: 19383246503")</f>
        <v>PALIR D.O.O., DANE DUIĆA 3, 10000 ZAGREB, OIB: 19383246503</v>
      </c>
      <c r="H6114" s="7"/>
      <c r="I6114" s="8" t="s">
        <v>3842</v>
      </c>
      <c r="J6114" s="8" t="s">
        <v>4420</v>
      </c>
      <c r="K6114" s="6" t="str">
        <f>"456.242,60"</f>
        <v>456.242,60</v>
      </c>
      <c r="L6114" s="6" t="str">
        <f>"114.060,65"</f>
        <v>114.060,65</v>
      </c>
      <c r="M6114" s="6" t="str">
        <f>"570.303,25"</f>
        <v>570.303,25</v>
      </c>
      <c r="N6114" s="8" t="s">
        <v>124</v>
      </c>
      <c r="O6114" s="7"/>
      <c r="P6114" s="2" t="s">
        <v>5614</v>
      </c>
      <c r="Q6114" s="7"/>
      <c r="R6114" s="1" t="s">
        <v>191</v>
      </c>
      <c r="S6114" s="1" t="str">
        <f>"N-89/15-4"</f>
        <v>N-89/15-4</v>
      </c>
      <c r="T6114" s="1" t="s">
        <v>55</v>
      </c>
    </row>
    <row r="6115" spans="1:20" ht="89.25" x14ac:dyDescent="0.25">
      <c r="A6115" s="6">
        <v>6094</v>
      </c>
      <c r="B6115" s="1" t="str">
        <f>"2015-2452"</f>
        <v>2015-2452</v>
      </c>
      <c r="C6115" s="1" t="s">
        <v>3628</v>
      </c>
      <c r="D6115" s="1" t="s">
        <v>1641</v>
      </c>
      <c r="E6115" s="1" t="str">
        <f>""</f>
        <v/>
      </c>
      <c r="F6115" s="1" t="s">
        <v>1848</v>
      </c>
      <c r="G6115" s="1" t="str">
        <f>CONCATENATE("HIDROPROJEKT D.O.O.,"," IVANA PERGOŠIĆA 4,"," 10000 ZAGREB,"," OIB: 3091581719")</f>
        <v>HIDROPROJEKT D.O.O., IVANA PERGOŠIĆA 4, 10000 ZAGREB, OIB: 3091581719</v>
      </c>
      <c r="H6115" s="7"/>
      <c r="I6115" s="8" t="s">
        <v>4170</v>
      </c>
      <c r="J6115" s="8" t="s">
        <v>1310</v>
      </c>
      <c r="K6115" s="6" t="str">
        <f>"72.124,70"</f>
        <v>72.124,70</v>
      </c>
      <c r="L6115" s="6" t="str">
        <f>"18.031,18"</f>
        <v>18.031,18</v>
      </c>
      <c r="M6115" s="6" t="str">
        <f>"90.155,88"</f>
        <v>90.155,88</v>
      </c>
      <c r="N6115" s="8" t="s">
        <v>124</v>
      </c>
      <c r="O6115" s="7"/>
      <c r="P6115" s="2" t="s">
        <v>5614</v>
      </c>
      <c r="Q6115" s="7"/>
      <c r="R6115" s="1"/>
      <c r="S6115" s="1" t="str">
        <f>"N-94/15-2"</f>
        <v>N-94/15-2</v>
      </c>
      <c r="T6115" s="1" t="s">
        <v>55</v>
      </c>
    </row>
    <row r="6116" spans="1:20" ht="76.5" x14ac:dyDescent="0.25">
      <c r="A6116" s="6">
        <v>6095</v>
      </c>
      <c r="B6116" s="1" t="str">
        <f>"2016-1944"</f>
        <v>2016-1944</v>
      </c>
      <c r="C6116" s="1" t="s">
        <v>3741</v>
      </c>
      <c r="D6116" s="1" t="s">
        <v>1979</v>
      </c>
      <c r="E6116" s="1" t="str">
        <f>""</f>
        <v/>
      </c>
      <c r="F6116" s="1" t="s">
        <v>1848</v>
      </c>
      <c r="G6116" s="1" t="str">
        <f>CONCATENATE("INSTITUT IGH D.D.,"," JANKA RAKUŠE 1,"," 10000 ZAGREB,"," OIB: 79766124714")</f>
        <v>INSTITUT IGH D.D., JANKA RAKUŠE 1, 10000 ZAGREB, OIB: 79766124714</v>
      </c>
      <c r="H6116" s="7"/>
      <c r="I6116" s="8" t="s">
        <v>4421</v>
      </c>
      <c r="J6116" s="8" t="s">
        <v>4422</v>
      </c>
      <c r="K6116" s="6" t="str">
        <f>"76.950,00"</f>
        <v>76.950,00</v>
      </c>
      <c r="L6116" s="6" t="str">
        <f>"19.237,50"</f>
        <v>19.237,50</v>
      </c>
      <c r="M6116" s="6" t="str">
        <f>"96.187,50"</f>
        <v>96.187,50</v>
      </c>
      <c r="N6116" s="8" t="s">
        <v>124</v>
      </c>
      <c r="O6116" s="7"/>
      <c r="P6116" s="2" t="s">
        <v>5614</v>
      </c>
      <c r="Q6116" s="7"/>
      <c r="R6116" s="1"/>
      <c r="S6116" s="1" t="str">
        <f>"N-74/16-2"</f>
        <v>N-74/16-2</v>
      </c>
      <c r="T6116" s="1" t="s">
        <v>55</v>
      </c>
    </row>
    <row r="6117" spans="1:20" ht="76.5" x14ac:dyDescent="0.25">
      <c r="A6117" s="6">
        <v>6096</v>
      </c>
      <c r="B6117" s="1" t="str">
        <f>"2016-2723"</f>
        <v>2016-2723</v>
      </c>
      <c r="C6117" s="1" t="s">
        <v>3807</v>
      </c>
      <c r="D6117" s="1" t="s">
        <v>1641</v>
      </c>
      <c r="E6117" s="1" t="str">
        <f>""</f>
        <v/>
      </c>
      <c r="F6117" s="1" t="s">
        <v>1848</v>
      </c>
      <c r="G6117" s="1" t="str">
        <f>CONCATENATE("INVESTINŽENJERING D.O.O.,"," TUŠKANOVA 41,"," 10000 ZAGREB,"," OIB: 78904416556")</f>
        <v>INVESTINŽENJERING D.O.O., TUŠKANOVA 41, 10000 ZAGREB, OIB: 78904416556</v>
      </c>
      <c r="H6117" s="7"/>
      <c r="I6117" s="8" t="s">
        <v>4423</v>
      </c>
      <c r="J6117" s="8" t="s">
        <v>686</v>
      </c>
      <c r="K6117" s="6" t="str">
        <f>"99.660,00"</f>
        <v>99.660,00</v>
      </c>
      <c r="L6117" s="6" t="str">
        <f>"24.915,00"</f>
        <v>24.915,00</v>
      </c>
      <c r="M6117" s="6" t="str">
        <f>"124.575,00"</f>
        <v>124.575,00</v>
      </c>
      <c r="N6117" s="8" t="s">
        <v>124</v>
      </c>
      <c r="O6117" s="7"/>
      <c r="P6117" s="2" t="s">
        <v>5614</v>
      </c>
      <c r="Q6117" s="7"/>
      <c r="R6117" s="1"/>
      <c r="S6117" s="1" t="str">
        <f>"N-134/16-1"</f>
        <v>N-134/16-1</v>
      </c>
      <c r="T6117" s="1" t="s">
        <v>32</v>
      </c>
    </row>
    <row r="6118" spans="1:20" ht="76.5" x14ac:dyDescent="0.25">
      <c r="A6118" s="6">
        <v>6097</v>
      </c>
      <c r="B6118" s="1" t="str">
        <f>"2016-2723"</f>
        <v>2016-2723</v>
      </c>
      <c r="C6118" s="1" t="s">
        <v>3807</v>
      </c>
      <c r="D6118" s="1" t="s">
        <v>1641</v>
      </c>
      <c r="E6118" s="1" t="str">
        <f>""</f>
        <v/>
      </c>
      <c r="F6118" s="1" t="s">
        <v>1848</v>
      </c>
      <c r="G6118" s="1" t="str">
        <f>CONCATENATE("INVESTINŽENJERING D.O.O.,"," TUŠKANOVA 41,"," 10000 ZAGREB,"," OIB: 78904416556")</f>
        <v>INVESTINŽENJERING D.O.O., TUŠKANOVA 41, 10000 ZAGREB, OIB: 78904416556</v>
      </c>
      <c r="H6118" s="7"/>
      <c r="I6118" s="8" t="s">
        <v>4424</v>
      </c>
      <c r="J6118" s="8" t="s">
        <v>4424</v>
      </c>
      <c r="K6118" s="6" t="str">
        <f>"98.850,00"</f>
        <v>98.850,00</v>
      </c>
      <c r="L6118" s="6" t="str">
        <f>"24.712,50"</f>
        <v>24.712,50</v>
      </c>
      <c r="M6118" s="6" t="str">
        <f>"123.562,50"</f>
        <v>123.562,50</v>
      </c>
      <c r="N6118" s="8" t="s">
        <v>440</v>
      </c>
      <c r="O6118" s="7"/>
      <c r="P6118" s="2" t="s">
        <v>8657</v>
      </c>
      <c r="Q6118" s="1"/>
      <c r="R6118" s="1"/>
      <c r="S6118" s="1" t="str">
        <f>"N-134/16-2"</f>
        <v>N-134/16-2</v>
      </c>
      <c r="T6118" s="1" t="s">
        <v>32</v>
      </c>
    </row>
    <row r="6119" spans="1:20" ht="76.5" x14ac:dyDescent="0.25">
      <c r="A6119" s="6">
        <v>6098</v>
      </c>
      <c r="B6119" s="1" t="str">
        <f>"2016-1896"</f>
        <v>2016-1896</v>
      </c>
      <c r="C6119" s="1" t="s">
        <v>3812</v>
      </c>
      <c r="D6119" s="1" t="s">
        <v>941</v>
      </c>
      <c r="E6119" s="1" t="str">
        <f>""</f>
        <v/>
      </c>
      <c r="F6119" s="1" t="s">
        <v>1848</v>
      </c>
      <c r="G6119" s="1" t="str">
        <f>CONCATENATE("PALIR D.O.O.,"," DANE DUIĆA 3,"," 10000 ZAGREB,"," OIB: 19383246503")</f>
        <v>PALIR D.O.O., DANE DUIĆA 3, 10000 ZAGREB, OIB: 19383246503</v>
      </c>
      <c r="H6119" s="7"/>
      <c r="I6119" s="8" t="s">
        <v>4425</v>
      </c>
      <c r="J6119" s="8" t="s">
        <v>4170</v>
      </c>
      <c r="K6119" s="6" t="str">
        <f>"114.205,00"</f>
        <v>114.205,00</v>
      </c>
      <c r="L6119" s="6" t="str">
        <f>"28.551,25"</f>
        <v>28.551,25</v>
      </c>
      <c r="M6119" s="6" t="str">
        <f>"142.756,25"</f>
        <v>142.756,25</v>
      </c>
      <c r="N6119" s="8" t="s">
        <v>3815</v>
      </c>
      <c r="O6119" s="7"/>
      <c r="P6119" s="2" t="s">
        <v>5614</v>
      </c>
      <c r="Q6119" s="7"/>
      <c r="R6119" s="1"/>
      <c r="S6119" s="1" t="str">
        <f>"N-138/16-3"</f>
        <v>N-138/16-3</v>
      </c>
      <c r="T6119" s="1" t="s">
        <v>55</v>
      </c>
    </row>
    <row r="6120" spans="1:20" ht="76.5" x14ac:dyDescent="0.25">
      <c r="A6120" s="6">
        <v>6099</v>
      </c>
      <c r="B6120" s="1" t="str">
        <f>"2016-3012"</f>
        <v>2016-3012</v>
      </c>
      <c r="C6120" s="1" t="s">
        <v>4426</v>
      </c>
      <c r="D6120" s="1" t="s">
        <v>941</v>
      </c>
      <c r="E6120" s="1" t="str">
        <f>""</f>
        <v/>
      </c>
      <c r="F6120" s="1" t="s">
        <v>1848</v>
      </c>
      <c r="G6120" s="1" t="str">
        <f>CONCATENATE("PALIR D.O.O.,"," DANE DUIĆA 3,"," 10000 ZAGREB,"," OIB: 19383246503")</f>
        <v>PALIR D.O.O., DANE DUIĆA 3, 10000 ZAGREB, OIB: 19383246503</v>
      </c>
      <c r="H6120" s="7"/>
      <c r="I6120" s="8" t="s">
        <v>3800</v>
      </c>
      <c r="J6120" s="8" t="s">
        <v>1966</v>
      </c>
      <c r="K6120" s="6" t="str">
        <f>"201.050,00"</f>
        <v>201.050,00</v>
      </c>
      <c r="L6120" s="6" t="str">
        <f>"50.262,50"</f>
        <v>50.262,50</v>
      </c>
      <c r="M6120" s="6" t="str">
        <f>"251.312,50"</f>
        <v>251.312,50</v>
      </c>
      <c r="N6120" s="8" t="s">
        <v>4147</v>
      </c>
      <c r="O6120" s="7"/>
      <c r="P6120" s="2" t="s">
        <v>8658</v>
      </c>
      <c r="Q6120" s="7"/>
      <c r="R6120" s="1"/>
      <c r="S6120" s="1" t="str">
        <f>"N-141/16-5"</f>
        <v>N-141/16-5</v>
      </c>
      <c r="T6120" s="1" t="s">
        <v>55</v>
      </c>
    </row>
    <row r="6121" spans="1:20" ht="102" x14ac:dyDescent="0.25">
      <c r="A6121" s="6">
        <v>6100</v>
      </c>
      <c r="B6121" s="1" t="str">
        <f t="shared" ref="B6121:B6127" si="243">"2016-3192"</f>
        <v>2016-3192</v>
      </c>
      <c r="C6121" s="1" t="s">
        <v>4427</v>
      </c>
      <c r="D6121" s="1" t="s">
        <v>4428</v>
      </c>
      <c r="E6121" s="1" t="str">
        <f>""</f>
        <v/>
      </c>
      <c r="F6121" s="1" t="s">
        <v>1848</v>
      </c>
      <c r="G6121" s="1" t="str">
        <f t="shared" ref="G6121:G6127" si="244">CONCATENATE("TEHNIKA D.D.,"," ULICA GRADA VUKOVARA 274,"," 10000 ZAGREB,"," OIB: 7303700125")</f>
        <v>TEHNIKA D.D., ULICA GRADA VUKOVARA 274, 10000 ZAGREB, OIB: 7303700125</v>
      </c>
      <c r="H6121" s="7"/>
      <c r="I6121" s="8" t="s">
        <v>4429</v>
      </c>
      <c r="J6121" s="8" t="s">
        <v>4430</v>
      </c>
      <c r="K6121" s="6" t="str">
        <f>"2.994.723,07"</f>
        <v>2.994.723,07</v>
      </c>
      <c r="L6121" s="6" t="str">
        <f>"748.680,77"</f>
        <v>748.680,77</v>
      </c>
      <c r="M6121" s="6" t="str">
        <f>"3.743.403,84"</f>
        <v>3.743.403,84</v>
      </c>
      <c r="N6121" s="8" t="s">
        <v>124</v>
      </c>
      <c r="O6121" s="7"/>
      <c r="P6121" s="2" t="s">
        <v>5614</v>
      </c>
      <c r="Q6121" s="7"/>
      <c r="R6121" s="1" t="s">
        <v>191</v>
      </c>
      <c r="S6121" s="1" t="str">
        <f>"N-162/16-6"</f>
        <v>N-162/16-6</v>
      </c>
      <c r="T6121" s="1" t="s">
        <v>32</v>
      </c>
    </row>
    <row r="6122" spans="1:20" ht="76.5" x14ac:dyDescent="0.25">
      <c r="A6122" s="6">
        <v>6101</v>
      </c>
      <c r="B6122" s="1" t="str">
        <f t="shared" si="243"/>
        <v>2016-3192</v>
      </c>
      <c r="C6122" s="1" t="s">
        <v>4427</v>
      </c>
      <c r="D6122" s="1" t="s">
        <v>4428</v>
      </c>
      <c r="E6122" s="1" t="str">
        <f>""</f>
        <v/>
      </c>
      <c r="F6122" s="1" t="s">
        <v>1848</v>
      </c>
      <c r="G6122" s="1" t="str">
        <f t="shared" si="244"/>
        <v>TEHNIKA D.D., ULICA GRADA VUKOVARA 274, 10000 ZAGREB, OIB: 7303700125</v>
      </c>
      <c r="H6122" s="7"/>
      <c r="I6122" s="8" t="s">
        <v>4431</v>
      </c>
      <c r="J6122" s="8" t="s">
        <v>4432</v>
      </c>
      <c r="K6122" s="6" t="str">
        <f>"2.138.542,95"</f>
        <v>2.138.542,95</v>
      </c>
      <c r="L6122" s="6" t="str">
        <f>"534.635,74"</f>
        <v>534.635,74</v>
      </c>
      <c r="M6122" s="6" t="str">
        <f>"2.673.178,69"</f>
        <v>2.673.178,69</v>
      </c>
      <c r="N6122" s="8" t="s">
        <v>124</v>
      </c>
      <c r="O6122" s="7"/>
      <c r="P6122" s="2" t="s">
        <v>5614</v>
      </c>
      <c r="Q6122" s="7"/>
      <c r="R6122" s="1"/>
      <c r="S6122" s="1" t="str">
        <f>"N-162/16-8"</f>
        <v>N-162/16-8</v>
      </c>
      <c r="T6122" s="1" t="s">
        <v>32</v>
      </c>
    </row>
    <row r="6123" spans="1:20" ht="76.5" x14ac:dyDescent="0.25">
      <c r="A6123" s="6">
        <v>6102</v>
      </c>
      <c r="B6123" s="1" t="str">
        <f t="shared" si="243"/>
        <v>2016-3192</v>
      </c>
      <c r="C6123" s="1" t="s">
        <v>4427</v>
      </c>
      <c r="D6123" s="1" t="s">
        <v>4428</v>
      </c>
      <c r="E6123" s="1" t="str">
        <f>""</f>
        <v/>
      </c>
      <c r="F6123" s="1" t="s">
        <v>1848</v>
      </c>
      <c r="G6123" s="1" t="str">
        <f t="shared" si="244"/>
        <v>TEHNIKA D.D., ULICA GRADA VUKOVARA 274, 10000 ZAGREB, OIB: 7303700125</v>
      </c>
      <c r="H6123" s="7"/>
      <c r="I6123" s="8" t="s">
        <v>4433</v>
      </c>
      <c r="J6123" s="8" t="s">
        <v>4267</v>
      </c>
      <c r="K6123" s="6" t="str">
        <f>"2.730.652,39"</f>
        <v>2.730.652,39</v>
      </c>
      <c r="L6123" s="6" t="str">
        <f>"682.663,10"</f>
        <v>682.663,10</v>
      </c>
      <c r="M6123" s="6" t="str">
        <f>"3.413.315,49"</f>
        <v>3.413.315,49</v>
      </c>
      <c r="N6123" s="8" t="s">
        <v>124</v>
      </c>
      <c r="O6123" s="7"/>
      <c r="P6123" s="2" t="s">
        <v>5614</v>
      </c>
      <c r="Q6123" s="7"/>
      <c r="R6123" s="1"/>
      <c r="S6123" s="1" t="str">
        <f>"N-162/16-9"</f>
        <v>N-162/16-9</v>
      </c>
      <c r="T6123" s="1" t="s">
        <v>32</v>
      </c>
    </row>
    <row r="6124" spans="1:20" ht="76.5" x14ac:dyDescent="0.25">
      <c r="A6124" s="6">
        <v>6103</v>
      </c>
      <c r="B6124" s="1" t="str">
        <f t="shared" si="243"/>
        <v>2016-3192</v>
      </c>
      <c r="C6124" s="1" t="s">
        <v>4427</v>
      </c>
      <c r="D6124" s="1" t="s">
        <v>4428</v>
      </c>
      <c r="E6124" s="1" t="str">
        <f>""</f>
        <v/>
      </c>
      <c r="F6124" s="1" t="s">
        <v>1848</v>
      </c>
      <c r="G6124" s="1" t="str">
        <f t="shared" si="244"/>
        <v>TEHNIKA D.D., ULICA GRADA VUKOVARA 274, 10000 ZAGREB, OIB: 7303700125</v>
      </c>
      <c r="H6124" s="7"/>
      <c r="I6124" s="8" t="s">
        <v>742</v>
      </c>
      <c r="J6124" s="8" t="s">
        <v>3815</v>
      </c>
      <c r="K6124" s="6" t="str">
        <f>"4.171.967,54"</f>
        <v>4.171.967,54</v>
      </c>
      <c r="L6124" s="6" t="str">
        <f>"1.042.991,88"</f>
        <v>1.042.991,88</v>
      </c>
      <c r="M6124" s="6" t="str">
        <f>"5.214.959,42"</f>
        <v>5.214.959,42</v>
      </c>
      <c r="N6124" s="8" t="s">
        <v>124</v>
      </c>
      <c r="O6124" s="7"/>
      <c r="P6124" s="2" t="s">
        <v>5614</v>
      </c>
      <c r="Q6124" s="7"/>
      <c r="R6124" s="1"/>
      <c r="S6124" s="1" t="str">
        <f>"N-162/16-10"</f>
        <v>N-162/16-10</v>
      </c>
      <c r="T6124" s="1" t="s">
        <v>32</v>
      </c>
    </row>
    <row r="6125" spans="1:20" ht="76.5" x14ac:dyDescent="0.25">
      <c r="A6125" s="6">
        <v>6104</v>
      </c>
      <c r="B6125" s="1" t="str">
        <f t="shared" si="243"/>
        <v>2016-3192</v>
      </c>
      <c r="C6125" s="1" t="s">
        <v>4427</v>
      </c>
      <c r="D6125" s="1" t="s">
        <v>4428</v>
      </c>
      <c r="E6125" s="1" t="str">
        <f>""</f>
        <v/>
      </c>
      <c r="F6125" s="1" t="s">
        <v>1848</v>
      </c>
      <c r="G6125" s="1" t="str">
        <f t="shared" si="244"/>
        <v>TEHNIKA D.D., ULICA GRADA VUKOVARA 274, 10000 ZAGREB, OIB: 7303700125</v>
      </c>
      <c r="H6125" s="7"/>
      <c r="I6125" s="8" t="s">
        <v>4211</v>
      </c>
      <c r="J6125" s="8" t="s">
        <v>4434</v>
      </c>
      <c r="K6125" s="6" t="str">
        <f>"5.271.581,86"</f>
        <v>5.271.581,86</v>
      </c>
      <c r="L6125" s="6" t="str">
        <f>"1.317.895,46"</f>
        <v>1.317.895,46</v>
      </c>
      <c r="M6125" s="6" t="str">
        <f>"6.589.477,32"</f>
        <v>6.589.477,32</v>
      </c>
      <c r="N6125" s="8" t="s">
        <v>124</v>
      </c>
      <c r="O6125" s="7"/>
      <c r="P6125" s="2" t="s">
        <v>5614</v>
      </c>
      <c r="Q6125" s="7"/>
      <c r="R6125" s="1"/>
      <c r="S6125" s="1" t="str">
        <f>"N-162/16-11"</f>
        <v>N-162/16-11</v>
      </c>
      <c r="T6125" s="1" t="s">
        <v>32</v>
      </c>
    </row>
    <row r="6126" spans="1:20" ht="409.5" x14ac:dyDescent="0.25">
      <c r="A6126" s="6">
        <v>6105</v>
      </c>
      <c r="B6126" s="1" t="str">
        <f t="shared" si="243"/>
        <v>2016-3192</v>
      </c>
      <c r="C6126" s="1" t="s">
        <v>4427</v>
      </c>
      <c r="D6126" s="1" t="s">
        <v>4428</v>
      </c>
      <c r="E6126" s="1" t="str">
        <f>""</f>
        <v/>
      </c>
      <c r="F6126" s="1" t="s">
        <v>1848</v>
      </c>
      <c r="G6126" s="1" t="str">
        <f t="shared" si="244"/>
        <v>TEHNIKA D.D., ULICA GRADA VUKOVARA 274, 10000 ZAGREB, OIB: 7303700125</v>
      </c>
      <c r="H6126" s="1" t="str">
        <f>CONCATENATE("SUNPROTECT D.O.O.,"," OIB: 54525958202",CHAR(10),"TVIN D.O.O.,"," OIB: 38872693315",CHAR(10),"INSPEKT D.O.O.,"," OIB: 24609583524",CHAR(10),"C.I.A.K. D.O.O.,"," OIB: 47428597158",CHAR(10),"PARTNER ELECTRIC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ELECTRIC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6126" s="8" t="s">
        <v>4435</v>
      </c>
      <c r="J6126" s="8" t="s">
        <v>915</v>
      </c>
      <c r="K6126" s="6" t="str">
        <f>"18.458.650,10"</f>
        <v>18.458.650,10</v>
      </c>
      <c r="L6126" s="6" t="str">
        <f>"4.614.662,52"</f>
        <v>4.614.662,52</v>
      </c>
      <c r="M6126" s="6" t="str">
        <f>"23.073.312,62"</f>
        <v>23.073.312,62</v>
      </c>
      <c r="N6126" s="8" t="s">
        <v>124</v>
      </c>
      <c r="O6126" s="7"/>
      <c r="P6126" s="2" t="s">
        <v>5614</v>
      </c>
      <c r="Q6126" s="7"/>
      <c r="R6126" s="1"/>
      <c r="S6126" s="1" t="str">
        <f>"N-162/16-12"</f>
        <v>N-162/16-12</v>
      </c>
      <c r="T6126" s="1" t="s">
        <v>32</v>
      </c>
    </row>
    <row r="6127" spans="1:20" ht="76.5" x14ac:dyDescent="0.25">
      <c r="A6127" s="6">
        <v>6106</v>
      </c>
      <c r="B6127" s="1" t="str">
        <f t="shared" si="243"/>
        <v>2016-3192</v>
      </c>
      <c r="C6127" s="1" t="s">
        <v>4427</v>
      </c>
      <c r="D6127" s="1" t="s">
        <v>4428</v>
      </c>
      <c r="E6127" s="1" t="str">
        <f>""</f>
        <v/>
      </c>
      <c r="F6127" s="1" t="s">
        <v>1848</v>
      </c>
      <c r="G6127" s="1" t="str">
        <f t="shared" si="244"/>
        <v>TEHNIKA D.D., ULICA GRADA VUKOVARA 274, 10000 ZAGREB, OIB: 7303700125</v>
      </c>
      <c r="H6127" s="7"/>
      <c r="I6127" s="8" t="s">
        <v>4436</v>
      </c>
      <c r="J6127" s="8" t="s">
        <v>4091</v>
      </c>
      <c r="K6127" s="6" t="str">
        <f>"1.313.773,36"</f>
        <v>1.313.773,36</v>
      </c>
      <c r="L6127" s="6" t="str">
        <f>"328.443,34"</f>
        <v>328.443,34</v>
      </c>
      <c r="M6127" s="6" t="str">
        <f>"1.642.216,70"</f>
        <v>1.642.216,70</v>
      </c>
      <c r="N6127" s="8" t="s">
        <v>124</v>
      </c>
      <c r="O6127" s="7"/>
      <c r="P6127" s="2" t="s">
        <v>5614</v>
      </c>
      <c r="Q6127" s="7"/>
      <c r="R6127" s="1"/>
      <c r="S6127" s="1" t="str">
        <f>"N-162/16-14"</f>
        <v>N-162/16-14</v>
      </c>
      <c r="T6127" s="1" t="s">
        <v>32</v>
      </c>
    </row>
    <row r="6128" spans="1:20" ht="76.5" x14ac:dyDescent="0.25">
      <c r="A6128" s="6">
        <v>6107</v>
      </c>
      <c r="B6128" s="1" t="str">
        <f>"2016-3010"</f>
        <v>2016-3010</v>
      </c>
      <c r="C6128" s="1" t="s">
        <v>4437</v>
      </c>
      <c r="D6128" s="1" t="s">
        <v>941</v>
      </c>
      <c r="E6128" s="1" t="str">
        <f>""</f>
        <v/>
      </c>
      <c r="F6128" s="1" t="s">
        <v>1848</v>
      </c>
      <c r="G6128" s="1" t="str">
        <f>CONCATENATE("BOLČEVIĆ-GRADNJA D.O.O.,"," DUGOSELSKA CESTA 56,"," 10361 SESVETSKI KRALJEVEC,"," OIB: 520986705")</f>
        <v>BOLČEVIĆ-GRADNJA D.O.O., DUGOSELSKA CESTA 56, 10361 SESVETSKI KRALJEVEC, OIB: 520986705</v>
      </c>
      <c r="H6128" s="7"/>
      <c r="I6128" s="8" t="s">
        <v>1972</v>
      </c>
      <c r="J6128" s="8" t="s">
        <v>4438</v>
      </c>
      <c r="K6128" s="6" t="str">
        <f>"1.146.700,00"</f>
        <v>1.146.700,00</v>
      </c>
      <c r="L6128" s="6" t="str">
        <f>"286.675,00"</f>
        <v>286.675,00</v>
      </c>
      <c r="M6128" s="6" t="str">
        <f>"1.433.375,00"</f>
        <v>1.433.375,00</v>
      </c>
      <c r="N6128" s="8" t="s">
        <v>440</v>
      </c>
      <c r="O6128" s="7"/>
      <c r="P6128" s="2" t="s">
        <v>8659</v>
      </c>
      <c r="Q6128" s="7"/>
      <c r="R6128" s="1"/>
      <c r="S6128" s="1" t="str">
        <f>"N-172/16-4"</f>
        <v>N-172/16-4</v>
      </c>
      <c r="T6128" s="1" t="s">
        <v>55</v>
      </c>
    </row>
    <row r="6129" spans="1:20" ht="76.5" x14ac:dyDescent="0.25">
      <c r="A6129" s="6">
        <v>6108</v>
      </c>
      <c r="B6129" s="1" t="str">
        <f>"2016-1949"</f>
        <v>2016-1949</v>
      </c>
      <c r="C6129" s="1" t="s">
        <v>3876</v>
      </c>
      <c r="D6129" s="1" t="s">
        <v>1109</v>
      </c>
      <c r="E6129" s="1" t="str">
        <f>""</f>
        <v/>
      </c>
      <c r="F6129" s="1" t="s">
        <v>1848</v>
      </c>
      <c r="G6129" s="1" t="str">
        <f>CONCATENATE("BOLČEVIĆ-GRADNJA D.O.O.,"," DUGOSELSKA CESTA 56,"," 10361 SESVETSKI KRALJEVEC,"," OIB: 520986705")</f>
        <v>BOLČEVIĆ-GRADNJA D.O.O., DUGOSELSKA CESTA 56, 10361 SESVETSKI KRALJEVEC, OIB: 520986705</v>
      </c>
      <c r="H6129" s="7"/>
      <c r="I6129" s="8" t="s">
        <v>4439</v>
      </c>
      <c r="J6129" s="8" t="s">
        <v>620</v>
      </c>
      <c r="K6129" s="6" t="str">
        <f>"463.534,14"</f>
        <v>463.534,14</v>
      </c>
      <c r="L6129" s="6" t="str">
        <f>"115.883,54"</f>
        <v>115.883,54</v>
      </c>
      <c r="M6129" s="6" t="str">
        <f>"579.417,68"</f>
        <v>579.417,68</v>
      </c>
      <c r="N6129" s="8" t="s">
        <v>126</v>
      </c>
      <c r="O6129" s="7"/>
      <c r="P6129" s="2" t="s">
        <v>8509</v>
      </c>
      <c r="Q6129" s="7"/>
      <c r="R6129" s="1"/>
      <c r="S6129" s="1" t="str">
        <f>"N-191/16-1"</f>
        <v>N-191/16-1</v>
      </c>
      <c r="T6129" s="1" t="s">
        <v>55</v>
      </c>
    </row>
    <row r="6130" spans="1:20" ht="76.5" x14ac:dyDescent="0.25">
      <c r="A6130" s="6">
        <v>6109</v>
      </c>
      <c r="B6130" s="1" t="str">
        <f>"2017-46"</f>
        <v>2017-46</v>
      </c>
      <c r="C6130" s="1" t="s">
        <v>3943</v>
      </c>
      <c r="D6130" s="1" t="s">
        <v>941</v>
      </c>
      <c r="E6130" s="1" t="str">
        <f>""</f>
        <v/>
      </c>
      <c r="F6130" s="1" t="s">
        <v>1848</v>
      </c>
      <c r="G6130" s="1" t="str">
        <f>CONCATENATE("VODOTEHNIKA D.D.,"," KOTURAŠKA CESTA 49,"," 10000 ZAGREB,"," OIB: 1763143132")</f>
        <v>VODOTEHNIKA D.D., KOTURAŠKA CESTA 49, 10000 ZAGREB, OIB: 1763143132</v>
      </c>
      <c r="H6130" s="7"/>
      <c r="I6130" s="8" t="s">
        <v>436</v>
      </c>
      <c r="J6130" s="8" t="s">
        <v>445</v>
      </c>
      <c r="K6130" s="6" t="str">
        <f>"71.931,87"</f>
        <v>71.931,87</v>
      </c>
      <c r="L6130" s="6" t="str">
        <f>"17.982,97"</f>
        <v>17.982,97</v>
      </c>
      <c r="M6130" s="6" t="str">
        <f>"89.914,84"</f>
        <v>89.914,84</v>
      </c>
      <c r="N6130" s="8" t="s">
        <v>124</v>
      </c>
      <c r="O6130" s="7"/>
      <c r="P6130" s="2" t="s">
        <v>5614</v>
      </c>
      <c r="Q6130" s="7"/>
      <c r="R6130" s="1"/>
      <c r="S6130" s="1" t="str">
        <f>"N-42/17-3"</f>
        <v>N-42/17-3</v>
      </c>
      <c r="T6130" s="1" t="s">
        <v>55</v>
      </c>
    </row>
    <row r="6131" spans="1:20" ht="76.5" x14ac:dyDescent="0.25">
      <c r="A6131" s="6">
        <v>6110</v>
      </c>
      <c r="B6131" s="1" t="str">
        <f>"2017-2630"</f>
        <v>2017-2630</v>
      </c>
      <c r="C6131" s="1" t="s">
        <v>3944</v>
      </c>
      <c r="D6131" s="1" t="s">
        <v>1979</v>
      </c>
      <c r="E6131" s="1" t="str">
        <f>""</f>
        <v/>
      </c>
      <c r="F6131" s="1" t="s">
        <v>1848</v>
      </c>
      <c r="G6131" s="1" t="str">
        <f>CONCATENATE("MAŠINOPROJEKT D.O.O.,"," BRAĆE DOMANY 8,"," 10000 ZAGREB,"," OIB: 673908426")</f>
        <v>MAŠINOPROJEKT D.O.O., BRAĆE DOMANY 8, 10000 ZAGREB, OIB: 673908426</v>
      </c>
      <c r="H6131" s="7"/>
      <c r="I6131" s="8" t="s">
        <v>4183</v>
      </c>
      <c r="J6131" s="8" t="s">
        <v>4183</v>
      </c>
      <c r="K6131" s="6" t="str">
        <f>"9.600,00"</f>
        <v>9.600,00</v>
      </c>
      <c r="L6131" s="6" t="str">
        <f>"2.400,00"</f>
        <v>2.400,00</v>
      </c>
      <c r="M6131" s="6" t="str">
        <f>"12.000,00"</f>
        <v>12.000,00</v>
      </c>
      <c r="N6131" s="8" t="s">
        <v>62</v>
      </c>
      <c r="O6131" s="7"/>
      <c r="P6131" s="2" t="s">
        <v>6378</v>
      </c>
      <c r="Q6131" s="7"/>
      <c r="R6131" s="1"/>
      <c r="S6131" s="1" t="str">
        <f>"N-44/17-1"</f>
        <v>N-44/17-1</v>
      </c>
      <c r="T6131" s="1" t="s">
        <v>55</v>
      </c>
    </row>
    <row r="6132" spans="1:20" ht="102" x14ac:dyDescent="0.25">
      <c r="A6132" s="6">
        <v>6111</v>
      </c>
      <c r="B6132" s="1" t="str">
        <f>"2017-62"</f>
        <v>2017-62</v>
      </c>
      <c r="C6132" s="1" t="s">
        <v>3951</v>
      </c>
      <c r="D6132" s="1" t="s">
        <v>3606</v>
      </c>
      <c r="E6132" s="1" t="str">
        <f>""</f>
        <v/>
      </c>
      <c r="F6132" s="1" t="s">
        <v>1848</v>
      </c>
      <c r="G6132" s="1" t="str">
        <f>CONCATENATE("ELEKTROCENTAR PETEK D.O.O.,"," ETANSKA CESTA 8,"," 10310 IVANIĆ-GRAD,"," OIB: 17491977848")</f>
        <v>ELEKTROCENTAR PETEK D.O.O., ETANSKA CESTA 8, 10310 IVANIĆ-GRAD, OIB: 17491977848</v>
      </c>
      <c r="H6132" s="7"/>
      <c r="I6132" s="8" t="s">
        <v>3842</v>
      </c>
      <c r="J6132" s="8" t="s">
        <v>3543</v>
      </c>
      <c r="K6132" s="6" t="str">
        <f>"159.006,53"</f>
        <v>159.006,53</v>
      </c>
      <c r="L6132" s="6" t="str">
        <f>"39.751,63"</f>
        <v>39.751,63</v>
      </c>
      <c r="M6132" s="6" t="str">
        <f>"198.758,16"</f>
        <v>198.758,16</v>
      </c>
      <c r="N6132" s="8" t="s">
        <v>1970</v>
      </c>
      <c r="O6132" s="7"/>
      <c r="P6132" s="2" t="s">
        <v>8533</v>
      </c>
      <c r="Q6132" s="7"/>
      <c r="R6132" s="1" t="s">
        <v>191</v>
      </c>
      <c r="S6132" s="1" t="str">
        <f>"N-51/17-1"</f>
        <v>N-51/17-1</v>
      </c>
      <c r="T6132" s="1" t="s">
        <v>55</v>
      </c>
    </row>
    <row r="6133" spans="1:20" ht="76.5" x14ac:dyDescent="0.25">
      <c r="A6133" s="6">
        <v>6112</v>
      </c>
      <c r="B6133" s="1" t="str">
        <f>"2017-142"</f>
        <v>2017-142</v>
      </c>
      <c r="C6133" s="1" t="s">
        <v>4440</v>
      </c>
      <c r="D6133" s="1" t="s">
        <v>941</v>
      </c>
      <c r="E6133" s="1" t="str">
        <f>""</f>
        <v/>
      </c>
      <c r="F6133" s="1" t="s">
        <v>1848</v>
      </c>
      <c r="G6133" s="1" t="str">
        <f>CONCATENATE("BOLČEVIĆ-GRADNJA D.O.O.,"," DUGOSELSKA CESTA 56,"," 10361 SESVETSKI KRALJEVEC,"," OIB: 520986705")</f>
        <v>BOLČEVIĆ-GRADNJA D.O.O., DUGOSELSKA CESTA 56, 10361 SESVETSKI KRALJEVEC, OIB: 520986705</v>
      </c>
      <c r="H6133" s="7"/>
      <c r="I6133" s="8" t="s">
        <v>4441</v>
      </c>
      <c r="J6133" s="8" t="s">
        <v>4438</v>
      </c>
      <c r="K6133" s="6" t="str">
        <f>"290.070,00"</f>
        <v>290.070,00</v>
      </c>
      <c r="L6133" s="6" t="str">
        <f>"72.517,50"</f>
        <v>72.517,50</v>
      </c>
      <c r="M6133" s="6" t="str">
        <f>"362.587,50"</f>
        <v>362.587,50</v>
      </c>
      <c r="N6133" s="8" t="s">
        <v>840</v>
      </c>
      <c r="O6133" s="7"/>
      <c r="P6133" s="2" t="s">
        <v>8660</v>
      </c>
      <c r="Q6133" s="7"/>
      <c r="R6133" s="1"/>
      <c r="S6133" s="1" t="str">
        <f>"N-80/17-3"</f>
        <v>N-80/17-3</v>
      </c>
      <c r="T6133" s="1" t="s">
        <v>55</v>
      </c>
    </row>
    <row r="6134" spans="1:20" ht="89.25" x14ac:dyDescent="0.25">
      <c r="A6134" s="6">
        <v>6113</v>
      </c>
      <c r="B6134" s="1" t="str">
        <f>"2017-2933"</f>
        <v>2017-2933</v>
      </c>
      <c r="C6134" s="1" t="s">
        <v>4018</v>
      </c>
      <c r="D6134" s="1" t="s">
        <v>2248</v>
      </c>
      <c r="E6134" s="1" t="str">
        <f>""</f>
        <v/>
      </c>
      <c r="F6134" s="1" t="s">
        <v>1848</v>
      </c>
      <c r="G6134" s="1" t="str">
        <f>CONCATENATE("PRONING DHI D.O.O.,"," RAČKOGA 3,"," 10000 ZAGREB,"," OIB: 37633620694")</f>
        <v>PRONING DHI D.O.O., RAČKOGA 3, 10000 ZAGREB, OIB: 37633620694</v>
      </c>
      <c r="H6134" s="7"/>
      <c r="I6134" s="8" t="s">
        <v>4078</v>
      </c>
      <c r="J6134" s="8" t="s">
        <v>4117</v>
      </c>
      <c r="K6134" s="6" t="str">
        <f>"1.450.000,00"</f>
        <v>1.450.000,00</v>
      </c>
      <c r="L6134" s="6" t="str">
        <f>"362.500,00"</f>
        <v>362.500,00</v>
      </c>
      <c r="M6134" s="6" t="str">
        <f>"1.812.500,00"</f>
        <v>1.812.500,00</v>
      </c>
      <c r="N6134" s="8" t="s">
        <v>124</v>
      </c>
      <c r="O6134" s="7"/>
      <c r="P6134" s="2" t="s">
        <v>5614</v>
      </c>
      <c r="Q6134" s="7"/>
      <c r="R6134" s="1"/>
      <c r="S6134" s="1" t="str">
        <f>"N-128/17-1"</f>
        <v>N-128/17-1</v>
      </c>
      <c r="T6134" s="1" t="s">
        <v>55</v>
      </c>
    </row>
    <row r="6135" spans="1:20" ht="76.5" x14ac:dyDescent="0.25">
      <c r="A6135" s="6">
        <v>6114</v>
      </c>
      <c r="B6135" s="1" t="str">
        <f>"2017-2623"</f>
        <v>2017-2623</v>
      </c>
      <c r="C6135" s="1" t="s">
        <v>4019</v>
      </c>
      <c r="D6135" s="1" t="s">
        <v>4020</v>
      </c>
      <c r="E6135" s="1" t="str">
        <f>""</f>
        <v/>
      </c>
      <c r="F6135" s="1" t="s">
        <v>1848</v>
      </c>
      <c r="G6135" s="1" t="str">
        <f>CONCATENATE("MI MARIS D.O.O.,"," ŽITNA 12,"," 10310 IVANIĆ-GRAD,"," OIB: 38118858399")</f>
        <v>MI MARIS D.O.O., ŽITNA 12, 10310 IVANIĆ-GRAD, OIB: 38118858399</v>
      </c>
      <c r="H6135" s="7"/>
      <c r="I6135" s="8" t="s">
        <v>4442</v>
      </c>
      <c r="J6135" s="8" t="s">
        <v>4442</v>
      </c>
      <c r="K6135" s="6" t="str">
        <f>"830.823,64"</f>
        <v>830.823,64</v>
      </c>
      <c r="L6135" s="6" t="str">
        <f>"207.705,91"</f>
        <v>207.705,91</v>
      </c>
      <c r="M6135" s="6" t="str">
        <f>"1.038.529,55"</f>
        <v>1.038.529,55</v>
      </c>
      <c r="N6135" s="8" t="s">
        <v>4110</v>
      </c>
      <c r="O6135" s="7"/>
      <c r="P6135" s="2" t="s">
        <v>8661</v>
      </c>
      <c r="Q6135" s="7"/>
      <c r="R6135" s="1"/>
      <c r="S6135" s="1" t="str">
        <f>"N-132/17-2"</f>
        <v>N-132/17-2</v>
      </c>
      <c r="T6135" s="1" t="s">
        <v>32</v>
      </c>
    </row>
    <row r="6136" spans="1:20" ht="76.5" x14ac:dyDescent="0.25">
      <c r="A6136" s="6">
        <v>6115</v>
      </c>
      <c r="B6136" s="1" t="str">
        <f>"2018-1457"</f>
        <v>2018-1457</v>
      </c>
      <c r="C6136" s="1" t="s">
        <v>4443</v>
      </c>
      <c r="D6136" s="1" t="s">
        <v>486</v>
      </c>
      <c r="E6136" s="1" t="str">
        <f>""</f>
        <v/>
      </c>
      <c r="F6136" s="1" t="s">
        <v>1848</v>
      </c>
      <c r="G6136" s="1" t="str">
        <f>CONCATENATE("MONTER-STROJARSKE MONTAŽE D.D.,"," VELIMIRA ŠKORPIKA 28,"," 10000 ZAGREB,"," OIB: 13887374452")</f>
        <v>MONTER-STROJARSKE MONTAŽE D.D., VELIMIRA ŠKORPIKA 28, 10000 ZAGREB, OIB: 13887374452</v>
      </c>
      <c r="H6136" s="7"/>
      <c r="I6136" s="8" t="s">
        <v>4223</v>
      </c>
      <c r="J6136" s="8" t="s">
        <v>4444</v>
      </c>
      <c r="K6136" s="6" t="str">
        <f>"92.178,00"</f>
        <v>92.178,00</v>
      </c>
      <c r="L6136" s="6" t="str">
        <f>"23.044,50"</f>
        <v>23.044,50</v>
      </c>
      <c r="M6136" s="6" t="str">
        <f>"115.222,50"</f>
        <v>115.222,50</v>
      </c>
      <c r="N6136" s="8" t="s">
        <v>558</v>
      </c>
      <c r="O6136" s="7"/>
      <c r="P6136" s="2" t="s">
        <v>8662</v>
      </c>
      <c r="Q6136" s="7"/>
      <c r="R6136" s="1"/>
      <c r="S6136" s="1" t="str">
        <f>"N-13/18-2"</f>
        <v>N-13/18-2</v>
      </c>
      <c r="T6136" s="1" t="s">
        <v>55</v>
      </c>
    </row>
    <row r="6137" spans="1:20" ht="76.5" x14ac:dyDescent="0.25">
      <c r="A6137" s="6">
        <v>6116</v>
      </c>
      <c r="B6137" s="1" t="str">
        <f>"2018-385"</f>
        <v>2018-385</v>
      </c>
      <c r="C6137" s="1" t="s">
        <v>4089</v>
      </c>
      <c r="D6137" s="1" t="s">
        <v>941</v>
      </c>
      <c r="E6137" s="1" t="str">
        <f>""</f>
        <v/>
      </c>
      <c r="F6137" s="1" t="s">
        <v>1848</v>
      </c>
      <c r="G6137" s="1" t="str">
        <f>CONCATENATE("GRADEX &amp; CO D.O.O.,"," PAVLOVEC ZABOČKI,"," PRILAZ DR. FRANJE TUĐMANA 4,"," 49210 ZABOK,"," OIB: 73369080939")</f>
        <v>GRADEX &amp; CO D.O.O., PAVLOVEC ZABOČKI, PRILAZ DR. FRANJE TUĐMANA 4, 49210 ZABOK, OIB: 73369080939</v>
      </c>
      <c r="H6137" s="7"/>
      <c r="I6137" s="8" t="s">
        <v>4444</v>
      </c>
      <c r="J6137" s="8" t="s">
        <v>4090</v>
      </c>
      <c r="K6137" s="6" t="str">
        <f>"44.000,00"</f>
        <v>44.000,00</v>
      </c>
      <c r="L6137" s="6" t="str">
        <f>"11.000,00"</f>
        <v>11.000,00</v>
      </c>
      <c r="M6137" s="6" t="str">
        <f>"55.000,00"</f>
        <v>55.000,00</v>
      </c>
      <c r="N6137" s="8" t="s">
        <v>4091</v>
      </c>
      <c r="O6137" s="7"/>
      <c r="P6137" s="2" t="s">
        <v>5614</v>
      </c>
      <c r="Q6137" s="7"/>
      <c r="R6137" s="1"/>
      <c r="S6137" s="1" t="str">
        <f>"N-27/18-1"</f>
        <v>N-27/18-1</v>
      </c>
      <c r="T6137" s="1" t="s">
        <v>55</v>
      </c>
    </row>
    <row r="6138" spans="1:20" ht="76.5" x14ac:dyDescent="0.25">
      <c r="A6138" s="6">
        <v>6117</v>
      </c>
      <c r="B6138" s="1" t="str">
        <f>"2018-2562"</f>
        <v>2018-2562</v>
      </c>
      <c r="C6138" s="1" t="s">
        <v>4096</v>
      </c>
      <c r="D6138" s="1" t="s">
        <v>1109</v>
      </c>
      <c r="E6138" s="1" t="str">
        <f>""</f>
        <v/>
      </c>
      <c r="F6138" s="1" t="s">
        <v>1848</v>
      </c>
      <c r="G6138" s="1" t="str">
        <f>CONCATENATE("BUBANJ - NISKOGRADNJA D.O.O.,"," KRUGE 7,"," 10000 ZAGREB,"," OIB: 29539944583")</f>
        <v>BUBANJ - NISKOGRADNJA D.O.O., KRUGE 7, 10000 ZAGREB, OIB: 29539944583</v>
      </c>
      <c r="H6138" s="7"/>
      <c r="I6138" s="8" t="s">
        <v>4445</v>
      </c>
      <c r="J6138" s="8" t="s">
        <v>4117</v>
      </c>
      <c r="K6138" s="6" t="str">
        <f>"2.331.741,39"</f>
        <v>2.331.741,39</v>
      </c>
      <c r="L6138" s="6" t="str">
        <f>"582.935,35"</f>
        <v>582.935,35</v>
      </c>
      <c r="M6138" s="6" t="str">
        <f>"2.914.676,74"</f>
        <v>2.914.676,74</v>
      </c>
      <c r="N6138" s="8" t="s">
        <v>124</v>
      </c>
      <c r="O6138" s="7"/>
      <c r="P6138" s="2" t="s">
        <v>5614</v>
      </c>
      <c r="Q6138" s="7"/>
      <c r="R6138" s="1"/>
      <c r="S6138" s="1" t="str">
        <f>"N-30/18-1"</f>
        <v>N-30/18-1</v>
      </c>
      <c r="T6138" s="1" t="s">
        <v>55</v>
      </c>
    </row>
    <row r="6139" spans="1:20" ht="76.5" x14ac:dyDescent="0.25">
      <c r="A6139" s="6">
        <v>6118</v>
      </c>
      <c r="B6139" s="1" t="str">
        <f>"2018-2868"</f>
        <v>2018-2868</v>
      </c>
      <c r="C6139" s="1" t="s">
        <v>4102</v>
      </c>
      <c r="D6139" s="1" t="s">
        <v>1641</v>
      </c>
      <c r="E6139" s="1" t="str">
        <f>""</f>
        <v/>
      </c>
      <c r="F6139" s="1" t="s">
        <v>1848</v>
      </c>
      <c r="G6139" s="1" t="str">
        <f>CONCATENATE("PROJECT 4 YOU D.O.O.,"," KLENOVEC 44,"," 10431 SVETA NEDELJA,"," OIB: 330813372")</f>
        <v>PROJECT 4 YOU D.O.O., KLENOVEC 44, 10431 SVETA NEDELJA, OIB: 330813372</v>
      </c>
      <c r="H6139" s="7"/>
      <c r="I6139" s="8" t="s">
        <v>4446</v>
      </c>
      <c r="J6139" s="8" t="s">
        <v>4181</v>
      </c>
      <c r="K6139" s="6" t="str">
        <f>"20.900,00"</f>
        <v>20.900,00</v>
      </c>
      <c r="L6139" s="6" t="str">
        <f>"5.225,00"</f>
        <v>5.225,00</v>
      </c>
      <c r="M6139" s="6" t="str">
        <f>"26.125,00"</f>
        <v>26.125,00</v>
      </c>
      <c r="N6139" s="8" t="s">
        <v>124</v>
      </c>
      <c r="O6139" s="7"/>
      <c r="P6139" s="2" t="s">
        <v>5614</v>
      </c>
      <c r="Q6139" s="7"/>
      <c r="R6139" s="1"/>
      <c r="S6139" s="1" t="str">
        <f>"N-35/18-2"</f>
        <v>N-35/18-2</v>
      </c>
      <c r="T6139" s="1" t="s">
        <v>55</v>
      </c>
    </row>
    <row r="6140" spans="1:20" ht="76.5" x14ac:dyDescent="0.25">
      <c r="A6140" s="6">
        <v>6119</v>
      </c>
      <c r="B6140" s="1" t="str">
        <f>"2018-2891"</f>
        <v>2018-2891</v>
      </c>
      <c r="C6140" s="1" t="s">
        <v>4447</v>
      </c>
      <c r="D6140" s="1" t="s">
        <v>2068</v>
      </c>
      <c r="E6140" s="1" t="str">
        <f>""</f>
        <v/>
      </c>
      <c r="F6140" s="1" t="s">
        <v>1848</v>
      </c>
      <c r="G6140" s="1" t="str">
        <f>CONCATENATE("INSTAL-PROM D.O.O.,"," LJUTOMERSKA 33A,"," 10040 ZAGREB,"," OIB: 21231984689")</f>
        <v>INSTAL-PROM D.O.O., LJUTOMERSKA 33A, 10040 ZAGREB, OIB: 21231984689</v>
      </c>
      <c r="H6140" s="7"/>
      <c r="I6140" s="8" t="s">
        <v>4314</v>
      </c>
      <c r="J6140" s="8" t="s">
        <v>4314</v>
      </c>
      <c r="K6140" s="6" t="str">
        <f>"30.549,00"</f>
        <v>30.549,00</v>
      </c>
      <c r="L6140" s="6" t="str">
        <f>"7.637,25"</f>
        <v>7.637,25</v>
      </c>
      <c r="M6140" s="6" t="str">
        <f>"38.186,25"</f>
        <v>38.186,25</v>
      </c>
      <c r="N6140" s="8" t="s">
        <v>3525</v>
      </c>
      <c r="O6140" s="7"/>
      <c r="P6140" s="2" t="s">
        <v>8663</v>
      </c>
      <c r="Q6140" s="7"/>
      <c r="R6140" s="1"/>
      <c r="S6140" s="1" t="str">
        <f>"N-39/18-1"</f>
        <v>N-39/18-1</v>
      </c>
      <c r="T6140" s="1" t="s">
        <v>55</v>
      </c>
    </row>
    <row r="6141" spans="1:20" ht="76.5" x14ac:dyDescent="0.25">
      <c r="A6141" s="6">
        <v>6120</v>
      </c>
      <c r="B6141" s="1" t="str">
        <f>"2018-1484"</f>
        <v>2018-1484</v>
      </c>
      <c r="C6141" s="1" t="s">
        <v>4448</v>
      </c>
      <c r="D6141" s="1" t="s">
        <v>1641</v>
      </c>
      <c r="E6141" s="1" t="str">
        <f>""</f>
        <v/>
      </c>
      <c r="F6141" s="1" t="s">
        <v>1848</v>
      </c>
      <c r="G6141" s="1" t="str">
        <f>CONCATENATE("PROJECT 4 YOU D.O.O.,"," KLENOVEC 44,"," 10431 SVETA NEDELJA,"," OIB: 330813372")</f>
        <v>PROJECT 4 YOU D.O.O., KLENOVEC 44, 10431 SVETA NEDELJA, OIB: 330813372</v>
      </c>
      <c r="H6141" s="7"/>
      <c r="I6141" s="8" t="s">
        <v>4449</v>
      </c>
      <c r="J6141" s="8" t="s">
        <v>4449</v>
      </c>
      <c r="K6141" s="6" t="str">
        <f>"19.570,00"</f>
        <v>19.570,00</v>
      </c>
      <c r="L6141" s="6" t="str">
        <f>"4.892,50"</f>
        <v>4.892,50</v>
      </c>
      <c r="M6141" s="6" t="str">
        <f>"24.462,50"</f>
        <v>24.462,50</v>
      </c>
      <c r="N6141" s="8" t="s">
        <v>3815</v>
      </c>
      <c r="O6141" s="7"/>
      <c r="P6141" s="2" t="s">
        <v>8664</v>
      </c>
      <c r="Q6141" s="7"/>
      <c r="R6141" s="1"/>
      <c r="S6141" s="1" t="str">
        <f>"N-45/18-1"</f>
        <v>N-45/18-1</v>
      </c>
      <c r="T6141" s="1" t="s">
        <v>55</v>
      </c>
    </row>
    <row r="6142" spans="1:20" ht="102" x14ac:dyDescent="0.25">
      <c r="A6142" s="6">
        <v>6121</v>
      </c>
      <c r="B6142" s="1" t="str">
        <f>"2018-1809"</f>
        <v>2018-1809</v>
      </c>
      <c r="C6142" s="1" t="s">
        <v>4148</v>
      </c>
      <c r="D6142" s="1" t="s">
        <v>1979</v>
      </c>
      <c r="E6142" s="1" t="str">
        <f>""</f>
        <v/>
      </c>
      <c r="F6142" s="1" t="s">
        <v>1848</v>
      </c>
      <c r="G6142" s="1" t="str">
        <f>CONCATENATE("HIDROEKO D.O.O.,"," STARJAK 52,"," 10257 BREZOVICA,"," OIB: 34889829677")</f>
        <v>HIDROEKO D.O.O., STARJAK 52, 10257 BREZOVICA, OIB: 34889829677</v>
      </c>
      <c r="H6142" s="7"/>
      <c r="I6142" s="8" t="s">
        <v>1204</v>
      </c>
      <c r="J6142" s="8" t="s">
        <v>1310</v>
      </c>
      <c r="K6142" s="6" t="str">
        <f>"154.500,00"</f>
        <v>154.500,00</v>
      </c>
      <c r="L6142" s="6" t="str">
        <f>"38.625,00"</f>
        <v>38.625,00</v>
      </c>
      <c r="M6142" s="6" t="str">
        <f>"193.125,00"</f>
        <v>193.125,00</v>
      </c>
      <c r="N6142" s="8" t="s">
        <v>124</v>
      </c>
      <c r="O6142" s="7"/>
      <c r="P6142" s="2" t="s">
        <v>5614</v>
      </c>
      <c r="Q6142" s="7"/>
      <c r="R6142" s="1"/>
      <c r="S6142" s="1" t="str">
        <f>"N-67/18-1"</f>
        <v>N-67/18-1</v>
      </c>
      <c r="T6142" s="1" t="s">
        <v>55</v>
      </c>
    </row>
    <row r="6143" spans="1:20" ht="76.5" x14ac:dyDescent="0.25">
      <c r="A6143" s="6">
        <v>6122</v>
      </c>
      <c r="B6143" s="1" t="str">
        <f>"2018-1437"</f>
        <v>2018-1437</v>
      </c>
      <c r="C6143" s="1" t="s">
        <v>4156</v>
      </c>
      <c r="D6143" s="1" t="s">
        <v>941</v>
      </c>
      <c r="E6143" s="1" t="str">
        <f>""</f>
        <v/>
      </c>
      <c r="F6143" s="1" t="s">
        <v>1848</v>
      </c>
      <c r="G6143" s="1" t="str">
        <f>CONCATENATE("PALIR D.O.O.,"," DANE DUIĆA 3,"," 10000 ZAGREB,"," OIB: 19383246503")</f>
        <v>PALIR D.O.O., DANE DUIĆA 3, 10000 ZAGREB, OIB: 19383246503</v>
      </c>
      <c r="H6143" s="7"/>
      <c r="I6143" s="8" t="s">
        <v>2465</v>
      </c>
      <c r="J6143" s="8" t="s">
        <v>4201</v>
      </c>
      <c r="K6143" s="6" t="str">
        <f>"1.330.294,79"</f>
        <v>1.330.294,79</v>
      </c>
      <c r="L6143" s="6" t="str">
        <f>"332.573,70"</f>
        <v>332.573,70</v>
      </c>
      <c r="M6143" s="6" t="str">
        <f>"1.662.868,49"</f>
        <v>1.662.868,49</v>
      </c>
      <c r="N6143" s="8" t="s">
        <v>640</v>
      </c>
      <c r="O6143" s="7"/>
      <c r="P6143" s="2" t="s">
        <v>8588</v>
      </c>
      <c r="Q6143" s="7"/>
      <c r="R6143" s="1"/>
      <c r="S6143" s="1" t="str">
        <f>"N-71/18-1"</f>
        <v>N-71/18-1</v>
      </c>
      <c r="T6143" s="1" t="s">
        <v>55</v>
      </c>
    </row>
    <row r="6144" spans="1:20" ht="76.5" x14ac:dyDescent="0.25">
      <c r="A6144" s="6">
        <v>6123</v>
      </c>
      <c r="B6144" s="1" t="str">
        <f>"2018-1443"</f>
        <v>2018-1443</v>
      </c>
      <c r="C6144" s="1" t="s">
        <v>4450</v>
      </c>
      <c r="D6144" s="1" t="s">
        <v>941</v>
      </c>
      <c r="E6144" s="1" t="str">
        <f>""</f>
        <v/>
      </c>
      <c r="F6144" s="1" t="s">
        <v>1848</v>
      </c>
      <c r="G6144" s="1" t="str">
        <f>CONCATENATE("PALIR D.O.O.,"," DANE DUIĆA 3,"," 10000 ZAGREB,"," OIB: 19383246503")</f>
        <v>PALIR D.O.O., DANE DUIĆA 3, 10000 ZAGREB, OIB: 19383246503</v>
      </c>
      <c r="H6144" s="7"/>
      <c r="I6144" s="8" t="s">
        <v>4310</v>
      </c>
      <c r="J6144" s="8" t="s">
        <v>4279</v>
      </c>
      <c r="K6144" s="6" t="str">
        <f>"332.411,30"</f>
        <v>332.411,30</v>
      </c>
      <c r="L6144" s="6" t="str">
        <f>"83.102,82"</f>
        <v>83.102,82</v>
      </c>
      <c r="M6144" s="6" t="str">
        <f>"415.514,12"</f>
        <v>415.514,12</v>
      </c>
      <c r="N6144" s="8" t="s">
        <v>4017</v>
      </c>
      <c r="O6144" s="7"/>
      <c r="P6144" s="2" t="s">
        <v>8665</v>
      </c>
      <c r="Q6144" s="7"/>
      <c r="R6144" s="1"/>
      <c r="S6144" s="1" t="str">
        <f>"N-73/18-1"</f>
        <v>N-73/18-1</v>
      </c>
      <c r="T6144" s="1" t="s">
        <v>55</v>
      </c>
    </row>
    <row r="6145" spans="1:20" ht="76.5" x14ac:dyDescent="0.25">
      <c r="A6145" s="6">
        <v>6124</v>
      </c>
      <c r="B6145" s="1" t="str">
        <f>"2018-1443"</f>
        <v>2018-1443</v>
      </c>
      <c r="C6145" s="1" t="s">
        <v>4450</v>
      </c>
      <c r="D6145" s="1" t="s">
        <v>941</v>
      </c>
      <c r="E6145" s="1" t="str">
        <f>""</f>
        <v/>
      </c>
      <c r="F6145" s="1" t="s">
        <v>1848</v>
      </c>
      <c r="G6145" s="1" t="str">
        <f>CONCATENATE("PALIR D.O.O.,"," DANE DUIĆA 3,"," 10000 ZAGREB,"," OIB: 19383246503")</f>
        <v>PALIR D.O.O., DANE DUIĆA 3, 10000 ZAGREB, OIB: 19383246503</v>
      </c>
      <c r="H6145" s="7"/>
      <c r="I6145" s="8" t="s">
        <v>2000</v>
      </c>
      <c r="J6145" s="8" t="s">
        <v>2000</v>
      </c>
      <c r="K6145" s="6" t="str">
        <f>"32.776,60"</f>
        <v>32.776,60</v>
      </c>
      <c r="L6145" s="6" t="str">
        <f>"8.194,15"</f>
        <v>8.194,15</v>
      </c>
      <c r="M6145" s="6" t="str">
        <f>"40.970,75"</f>
        <v>40.970,75</v>
      </c>
      <c r="N6145" s="8" t="s">
        <v>4017</v>
      </c>
      <c r="O6145" s="7"/>
      <c r="P6145" s="2" t="s">
        <v>5614</v>
      </c>
      <c r="Q6145" s="7"/>
      <c r="R6145" s="1"/>
      <c r="S6145" s="1" t="str">
        <f>"N-73/18-2"</f>
        <v>N-73/18-2</v>
      </c>
      <c r="T6145" s="1" t="s">
        <v>55</v>
      </c>
    </row>
    <row r="6146" spans="1:20" ht="76.5" x14ac:dyDescent="0.25">
      <c r="A6146" s="6">
        <v>6125</v>
      </c>
      <c r="B6146" s="1" t="str">
        <f>"2018-1370"</f>
        <v>2018-1370</v>
      </c>
      <c r="C6146" s="1" t="s">
        <v>4173</v>
      </c>
      <c r="D6146" s="1" t="s">
        <v>1979</v>
      </c>
      <c r="E6146" s="1" t="str">
        <f>""</f>
        <v/>
      </c>
      <c r="F6146" s="1" t="s">
        <v>1848</v>
      </c>
      <c r="G6146" s="1" t="str">
        <f>CONCATENATE("PROMPT PROJEKTIRANJE D.O.O.,"," TOMISLAVOVA 9,"," 10000 ZAGREB,"," OIB: 30094396634")</f>
        <v>PROMPT PROJEKTIRANJE D.O.O., TOMISLAVOVA 9, 10000 ZAGREB, OIB: 30094396634</v>
      </c>
      <c r="H6146" s="7"/>
      <c r="I6146" s="8" t="s">
        <v>4110</v>
      </c>
      <c r="J6146" s="8" t="s">
        <v>680</v>
      </c>
      <c r="K6146" s="6" t="str">
        <f>"21.230,00"</f>
        <v>21.230,00</v>
      </c>
      <c r="L6146" s="6" t="str">
        <f>"5.307,50"</f>
        <v>5.307,50</v>
      </c>
      <c r="M6146" s="6" t="str">
        <f>"26.537,50"</f>
        <v>26.537,50</v>
      </c>
      <c r="N6146" s="8" t="s">
        <v>124</v>
      </c>
      <c r="O6146" s="7"/>
      <c r="P6146" s="2" t="s">
        <v>5614</v>
      </c>
      <c r="Q6146" s="7"/>
      <c r="R6146" s="1"/>
      <c r="S6146" s="1" t="str">
        <f>"N-88/18-1"</f>
        <v>N-88/18-1</v>
      </c>
      <c r="T6146" s="1" t="s">
        <v>55</v>
      </c>
    </row>
    <row r="6147" spans="1:20" ht="76.5" x14ac:dyDescent="0.25">
      <c r="A6147" s="6">
        <v>6126</v>
      </c>
      <c r="B6147" s="1" t="str">
        <f>"2018-2724"</f>
        <v>2018-2724</v>
      </c>
      <c r="C6147" s="1" t="s">
        <v>4176</v>
      </c>
      <c r="D6147" s="1" t="s">
        <v>941</v>
      </c>
      <c r="E6147" s="1" t="str">
        <f>""</f>
        <v/>
      </c>
      <c r="F6147" s="1" t="s">
        <v>1848</v>
      </c>
      <c r="G6147" s="1" t="str">
        <f>CONCATENATE("PALIR D.O.O.,"," DANE DUIĆA 3,"," 10000 ZAGREB,"," OIB: 19383246503")</f>
        <v>PALIR D.O.O., DANE DUIĆA 3, 10000 ZAGREB, OIB: 19383246503</v>
      </c>
      <c r="H6147" s="7"/>
      <c r="I6147" s="8" t="s">
        <v>1278</v>
      </c>
      <c r="J6147" s="8" t="s">
        <v>1278</v>
      </c>
      <c r="K6147" s="6" t="str">
        <f>"1.203.300,00"</f>
        <v>1.203.300,00</v>
      </c>
      <c r="L6147" s="6" t="str">
        <f>"300.825,00"</f>
        <v>300.825,00</v>
      </c>
      <c r="M6147" s="6" t="str">
        <f>"1.504.125,00"</f>
        <v>1.504.125,00</v>
      </c>
      <c r="N6147" s="8" t="s">
        <v>124</v>
      </c>
      <c r="O6147" s="7"/>
      <c r="P6147" s="2" t="s">
        <v>5614</v>
      </c>
      <c r="Q6147" s="7"/>
      <c r="R6147" s="1"/>
      <c r="S6147" s="1" t="str">
        <f>"N-93/18#1"</f>
        <v>N-93/18#1</v>
      </c>
      <c r="T6147" s="1" t="s">
        <v>55</v>
      </c>
    </row>
    <row r="6148" spans="1:20" ht="102" x14ac:dyDescent="0.25">
      <c r="A6148" s="6">
        <v>6127</v>
      </c>
      <c r="B6148" s="1" t="str">
        <f>"2018-3101"</f>
        <v>2018-3101</v>
      </c>
      <c r="C6148" s="1" t="s">
        <v>4451</v>
      </c>
      <c r="D6148" s="1" t="s">
        <v>2057</v>
      </c>
      <c r="E6148" s="1" t="str">
        <f>""</f>
        <v/>
      </c>
      <c r="F6148" s="1" t="s">
        <v>1848</v>
      </c>
      <c r="G6148" s="1" t="str">
        <f>CONCATENATE("CAPITAL ING D.O.O.,"," KSAVERSKA CESTA 6,"," 10000 ZAGREB,"," OIB: 75926310092")</f>
        <v>CAPITAL ING D.O.O., KSAVERSKA CESTA 6, 10000 ZAGREB, OIB: 75926310092</v>
      </c>
      <c r="H6148" s="7"/>
      <c r="I6148" s="8" t="s">
        <v>1204</v>
      </c>
      <c r="J6148" s="8" t="s">
        <v>1247</v>
      </c>
      <c r="K6148" s="6" t="str">
        <f>"29.760,00"</f>
        <v>29.760,00</v>
      </c>
      <c r="L6148" s="6" t="str">
        <f>"7.440,00"</f>
        <v>7.440,00</v>
      </c>
      <c r="M6148" s="6" t="str">
        <f>"37.200,00"</f>
        <v>37.200,00</v>
      </c>
      <c r="N6148" s="8" t="s">
        <v>4349</v>
      </c>
      <c r="O6148" s="7"/>
      <c r="P6148" s="2" t="s">
        <v>8666</v>
      </c>
      <c r="Q6148" s="7"/>
      <c r="R6148" s="1"/>
      <c r="S6148" s="1" t="str">
        <f>"N-102/18-1"</f>
        <v>N-102/18-1</v>
      </c>
      <c r="T6148" s="1" t="s">
        <v>55</v>
      </c>
    </row>
    <row r="6149" spans="1:20" ht="76.5" x14ac:dyDescent="0.25">
      <c r="A6149" s="6">
        <v>6128</v>
      </c>
      <c r="B6149" s="1" t="str">
        <f>"2018-3114"</f>
        <v>2018-3114</v>
      </c>
      <c r="C6149" s="1" t="s">
        <v>4189</v>
      </c>
      <c r="D6149" s="1" t="s">
        <v>2068</v>
      </c>
      <c r="E6149" s="1" t="str">
        <f>""</f>
        <v/>
      </c>
      <c r="F6149" s="1" t="s">
        <v>1848</v>
      </c>
      <c r="G6149" s="1" t="str">
        <f>CONCATENATE("TEMPORIUM GRADNJA D.O.O.,"," LJUTOMERSKA ULICA 33A,"," 10000 ZAGREB,"," OIB: 6285048268")</f>
        <v>TEMPORIUM GRADNJA D.O.O., LJUTOMERSKA ULICA 33A, 10000 ZAGREB, OIB: 6285048268</v>
      </c>
      <c r="H6149" s="7"/>
      <c r="I6149" s="8" t="s">
        <v>4452</v>
      </c>
      <c r="J6149" s="8" t="s">
        <v>4452</v>
      </c>
      <c r="K6149" s="6" t="str">
        <f>"153.329,31"</f>
        <v>153.329,31</v>
      </c>
      <c r="L6149" s="6" t="str">
        <f>"38.332,33"</f>
        <v>38.332,33</v>
      </c>
      <c r="M6149" s="6" t="str">
        <f>"191.661,64"</f>
        <v>191.661,64</v>
      </c>
      <c r="N6149" s="8" t="s">
        <v>225</v>
      </c>
      <c r="O6149" s="7"/>
      <c r="P6149" s="2" t="s">
        <v>8598</v>
      </c>
      <c r="Q6149" s="7"/>
      <c r="R6149" s="1"/>
      <c r="S6149" s="1" t="str">
        <f>"N-103/18-1"</f>
        <v>N-103/18-1</v>
      </c>
      <c r="T6149" s="1" t="s">
        <v>55</v>
      </c>
    </row>
    <row r="6150" spans="1:20" ht="76.5" x14ac:dyDescent="0.25">
      <c r="A6150" s="6">
        <v>6129</v>
      </c>
      <c r="B6150" s="1" t="str">
        <f>"2018-750"</f>
        <v>2018-750</v>
      </c>
      <c r="C6150" s="1" t="s">
        <v>4453</v>
      </c>
      <c r="D6150" s="1" t="s">
        <v>941</v>
      </c>
      <c r="E6150" s="1" t="str">
        <f>""</f>
        <v/>
      </c>
      <c r="F6150" s="1" t="s">
        <v>1848</v>
      </c>
      <c r="G6150" s="1" t="str">
        <f>CONCATENATE("MONTER-STROJARSKE MONTAŽE D.D.,"," VELIMIRA ŠKORPIKA 28,"," 10000 ZAGREB,"," OIB: 13887374452")</f>
        <v>MONTER-STROJARSKE MONTAŽE D.D., VELIMIRA ŠKORPIKA 28, 10000 ZAGREB, OIB: 13887374452</v>
      </c>
      <c r="H6150" s="7"/>
      <c r="I6150" s="8" t="s">
        <v>4454</v>
      </c>
      <c r="J6150" s="8" t="s">
        <v>4030</v>
      </c>
      <c r="K6150" s="6" t="str">
        <f>"2.687.810,75"</f>
        <v>2.687.810,75</v>
      </c>
      <c r="L6150" s="6" t="str">
        <f>"671.952,69"</f>
        <v>671.952,69</v>
      </c>
      <c r="M6150" s="6" t="str">
        <f>"3.359.763,44"</f>
        <v>3.359.763,44</v>
      </c>
      <c r="N6150" s="8" t="s">
        <v>4455</v>
      </c>
      <c r="O6150" s="7"/>
      <c r="P6150" s="2" t="s">
        <v>8667</v>
      </c>
      <c r="Q6150" s="7"/>
      <c r="R6150" s="1"/>
      <c r="S6150" s="1" t="str">
        <f>"N-110/18-2"</f>
        <v>N-110/18-2</v>
      </c>
      <c r="T6150" s="1" t="s">
        <v>55</v>
      </c>
    </row>
    <row r="6151" spans="1:20" ht="76.5" x14ac:dyDescent="0.25">
      <c r="A6151" s="6">
        <v>6130</v>
      </c>
      <c r="B6151" s="1" t="str">
        <f>"2018-1453"</f>
        <v>2018-1453</v>
      </c>
      <c r="C6151" s="1" t="s">
        <v>4220</v>
      </c>
      <c r="D6151" s="1" t="s">
        <v>2068</v>
      </c>
      <c r="E6151" s="1" t="str">
        <f>""</f>
        <v/>
      </c>
      <c r="F6151" s="1" t="s">
        <v>1848</v>
      </c>
      <c r="G6151" s="1" t="str">
        <f>CONCATENATE("GRADEX &amp; CO D.O.O.,"," PAVLOVEC ZABOČKI,"," PRILAZ DR. FRANJE TUĐMANA 4,"," 49210 ZABOK,"," OIB: 73369080939")</f>
        <v>GRADEX &amp; CO D.O.O., PAVLOVEC ZABOČKI, PRILAZ DR. FRANJE TUĐMANA 4, 49210 ZABOK, OIB: 73369080939</v>
      </c>
      <c r="H6151" s="7"/>
      <c r="I6151" s="8" t="s">
        <v>4456</v>
      </c>
      <c r="J6151" s="8" t="s">
        <v>4456</v>
      </c>
      <c r="K6151" s="6" t="str">
        <f>"468.406,06"</f>
        <v>468.406,06</v>
      </c>
      <c r="L6151" s="6" t="str">
        <f>"117.101,52"</f>
        <v>117.101,52</v>
      </c>
      <c r="M6151" s="6" t="str">
        <f>"585.507,58"</f>
        <v>585.507,58</v>
      </c>
      <c r="N6151" s="8" t="s">
        <v>1988</v>
      </c>
      <c r="O6151" s="7"/>
      <c r="P6151" s="2" t="s">
        <v>8605</v>
      </c>
      <c r="Q6151" s="7"/>
      <c r="R6151" s="1"/>
      <c r="S6151" s="1" t="str">
        <f>"N-122/18-2"</f>
        <v>N-122/18-2</v>
      </c>
      <c r="T6151" s="1" t="s">
        <v>55</v>
      </c>
    </row>
    <row r="6152" spans="1:20" ht="102" x14ac:dyDescent="0.25">
      <c r="A6152" s="6">
        <v>6131</v>
      </c>
      <c r="B6152" s="1" t="str">
        <f>"2018-1975"</f>
        <v>2018-1975</v>
      </c>
      <c r="C6152" s="1" t="s">
        <v>1978</v>
      </c>
      <c r="D6152" s="1" t="s">
        <v>1979</v>
      </c>
      <c r="E6152" s="1" t="str">
        <f>""</f>
        <v/>
      </c>
      <c r="F6152" s="1" t="s">
        <v>1848</v>
      </c>
      <c r="G6152" s="1" t="str">
        <f>CONCATENATE("HIDROING D.O.O.,"," TADIJE SMIČIKLASA 1,"," 31000 OSIJEK,"," OIB: 08428329477")</f>
        <v>HIDROING D.O.O., TADIJE SMIČIKLASA 1, 31000 OSIJEK, OIB: 08428329477</v>
      </c>
      <c r="H6152" s="7"/>
      <c r="I6152" s="8" t="s">
        <v>4244</v>
      </c>
      <c r="J6152" s="8" t="s">
        <v>1980</v>
      </c>
      <c r="K6152" s="6" t="str">
        <f>"169.850,00"</f>
        <v>169.850,00</v>
      </c>
      <c r="L6152" s="6" t="str">
        <f>"42.462,50"</f>
        <v>42.462,50</v>
      </c>
      <c r="M6152" s="6" t="str">
        <f>"212.312,50"</f>
        <v>212.312,50</v>
      </c>
      <c r="N6152" s="8" t="s">
        <v>124</v>
      </c>
      <c r="O6152" s="7"/>
      <c r="P6152" s="2" t="s">
        <v>5614</v>
      </c>
      <c r="Q6152" s="7"/>
      <c r="R6152" s="1"/>
      <c r="S6152" s="1" t="str">
        <f>"N-134/18-1"</f>
        <v>N-134/18-1</v>
      </c>
      <c r="T6152" s="1" t="s">
        <v>55</v>
      </c>
    </row>
    <row r="6153" spans="1:20" ht="102" x14ac:dyDescent="0.25">
      <c r="A6153" s="6">
        <v>6132</v>
      </c>
      <c r="B6153" s="1" t="str">
        <f>"2018-1975"</f>
        <v>2018-1975</v>
      </c>
      <c r="C6153" s="1" t="s">
        <v>1978</v>
      </c>
      <c r="D6153" s="1" t="s">
        <v>1979</v>
      </c>
      <c r="E6153" s="1" t="str">
        <f>""</f>
        <v/>
      </c>
      <c r="F6153" s="1" t="s">
        <v>1848</v>
      </c>
      <c r="G6153" s="1" t="str">
        <f>CONCATENATE("HIDROING D.O.O.,"," TADIJE SMIČIKLASA 1,"," 31000 OSIJEK,"," OIB: 08428329477")</f>
        <v>HIDROING D.O.O., TADIJE SMIČIKLASA 1, 31000 OSIJEK, OIB: 08428329477</v>
      </c>
      <c r="H6153" s="7"/>
      <c r="I6153" s="8" t="s">
        <v>1344</v>
      </c>
      <c r="J6153" s="8" t="s">
        <v>1356</v>
      </c>
      <c r="K6153" s="6" t="str">
        <f>"690.150,00"</f>
        <v>690.150,00</v>
      </c>
      <c r="L6153" s="6" t="str">
        <f>"172.537,50"</f>
        <v>172.537,50</v>
      </c>
      <c r="M6153" s="6" t="str">
        <f>"862.687,50"</f>
        <v>862.687,50</v>
      </c>
      <c r="N6153" s="8" t="s">
        <v>124</v>
      </c>
      <c r="O6153" s="7"/>
      <c r="P6153" s="2" t="s">
        <v>5614</v>
      </c>
      <c r="Q6153" s="7"/>
      <c r="R6153" s="1"/>
      <c r="S6153" s="1" t="str">
        <f>"N-134/18-2"</f>
        <v>N-134/18-2</v>
      </c>
      <c r="T6153" s="1" t="s">
        <v>55</v>
      </c>
    </row>
    <row r="6154" spans="1:20" ht="76.5" x14ac:dyDescent="0.25">
      <c r="A6154" s="6">
        <v>6133</v>
      </c>
      <c r="B6154" s="1" t="str">
        <f>"2018-1251"</f>
        <v>2018-1251</v>
      </c>
      <c r="C6154" s="1" t="s">
        <v>4237</v>
      </c>
      <c r="D6154" s="1" t="s">
        <v>4238</v>
      </c>
      <c r="E6154" s="1" t="str">
        <f>""</f>
        <v/>
      </c>
      <c r="F6154" s="1" t="s">
        <v>1848</v>
      </c>
      <c r="G6154" s="1" t="str">
        <f>CONCATENATE("CONTROLMATIK D.O.O.,"," PRIMORSKA 1,"," 42000 VARAŽDIN,"," OIB: 25020037517")</f>
        <v>CONTROLMATIK D.O.O., PRIMORSKA 1, 42000 VARAŽDIN, OIB: 25020037517</v>
      </c>
      <c r="H6154" s="7"/>
      <c r="I6154" s="8" t="s">
        <v>1970</v>
      </c>
      <c r="J6154" s="8" t="s">
        <v>4239</v>
      </c>
      <c r="K6154" s="6" t="str">
        <f>"48.200,00"</f>
        <v>48.200,00</v>
      </c>
      <c r="L6154" s="6" t="str">
        <f>"12.050,00"</f>
        <v>12.050,00</v>
      </c>
      <c r="M6154" s="6" t="str">
        <f>"60.250,00"</f>
        <v>60.250,00</v>
      </c>
      <c r="N6154" s="8" t="s">
        <v>124</v>
      </c>
      <c r="O6154" s="7"/>
      <c r="P6154" s="2" t="s">
        <v>5614</v>
      </c>
      <c r="Q6154" s="7"/>
      <c r="R6154" s="1"/>
      <c r="S6154" s="1" t="str">
        <f>"N-136/18-1"</f>
        <v>N-136/18-1</v>
      </c>
      <c r="T6154" s="1" t="s">
        <v>55</v>
      </c>
    </row>
    <row r="6155" spans="1:20" ht="76.5" x14ac:dyDescent="0.25">
      <c r="A6155" s="6">
        <v>6134</v>
      </c>
      <c r="B6155" s="1" t="str">
        <f>"2018-3112"</f>
        <v>2018-3112</v>
      </c>
      <c r="C6155" s="1" t="s">
        <v>4457</v>
      </c>
      <c r="D6155" s="1" t="s">
        <v>2068</v>
      </c>
      <c r="E6155" s="1" t="str">
        <f>""</f>
        <v/>
      </c>
      <c r="F6155" s="1" t="s">
        <v>1848</v>
      </c>
      <c r="G6155" s="1" t="str">
        <f>CONCATENATE("NERING D.O.O.,"," LIVADARSKI PUT 24,"," 10360 SESVETE,"," OIB: 85965934616")</f>
        <v>NERING D.O.O., LIVADARSKI PUT 24, 10360 SESVETE, OIB: 85965934616</v>
      </c>
      <c r="H6155" s="7"/>
      <c r="I6155" s="8" t="s">
        <v>4409</v>
      </c>
      <c r="J6155" s="8" t="s">
        <v>4458</v>
      </c>
      <c r="K6155" s="6" t="str">
        <f>"647.028,64"</f>
        <v>647.028,64</v>
      </c>
      <c r="L6155" s="6" t="str">
        <f>"161.757,16"</f>
        <v>161.757,16</v>
      </c>
      <c r="M6155" s="6" t="str">
        <f>"808.785,80"</f>
        <v>808.785,80</v>
      </c>
      <c r="N6155" s="8" t="s">
        <v>3808</v>
      </c>
      <c r="O6155" s="7"/>
      <c r="P6155" s="2" t="s">
        <v>8668</v>
      </c>
      <c r="Q6155" s="7"/>
      <c r="R6155" s="1"/>
      <c r="S6155" s="1" t="str">
        <f>"N-142/18-1"</f>
        <v>N-142/18-1</v>
      </c>
      <c r="T6155" s="1" t="s">
        <v>55</v>
      </c>
    </row>
    <row r="6156" spans="1:20" ht="76.5" x14ac:dyDescent="0.25">
      <c r="A6156" s="6">
        <v>6135</v>
      </c>
      <c r="B6156" s="1" t="str">
        <f>"2018-3008"</f>
        <v>2018-3008</v>
      </c>
      <c r="C6156" s="1" t="s">
        <v>4459</v>
      </c>
      <c r="D6156" s="1" t="s">
        <v>3979</v>
      </c>
      <c r="E6156" s="1" t="str">
        <f>""</f>
        <v/>
      </c>
      <c r="F6156" s="1" t="s">
        <v>1848</v>
      </c>
      <c r="G6156" s="1" t="str">
        <f>CONCATENATE("GEOKOL D.O.O.,"," JOSIPA KOZARCA 41,"," 42000 VARAŽDIN,"," OIB: 28399231832")</f>
        <v>GEOKOL D.O.O., JOSIPA KOZARCA 41, 42000 VARAŽDIN, OIB: 28399231832</v>
      </c>
      <c r="H6156" s="7"/>
      <c r="I6156" s="8" t="s">
        <v>4456</v>
      </c>
      <c r="J6156" s="8" t="s">
        <v>4456</v>
      </c>
      <c r="K6156" s="6" t="str">
        <f>"54.000,00"</f>
        <v>54.000,00</v>
      </c>
      <c r="L6156" s="6" t="str">
        <f>"13.500,00"</f>
        <v>13.500,00</v>
      </c>
      <c r="M6156" s="6" t="str">
        <f>"67.500,00"</f>
        <v>67.500,00</v>
      </c>
      <c r="N6156" s="8" t="s">
        <v>4460</v>
      </c>
      <c r="O6156" s="7"/>
      <c r="P6156" s="2" t="s">
        <v>8669</v>
      </c>
      <c r="Q6156" s="7"/>
      <c r="R6156" s="1"/>
      <c r="S6156" s="1" t="str">
        <f>"N-144/18-1"</f>
        <v>N-144/18-1</v>
      </c>
      <c r="T6156" s="1" t="s">
        <v>55</v>
      </c>
    </row>
    <row r="6157" spans="1:20" ht="76.5" x14ac:dyDescent="0.25">
      <c r="A6157" s="6">
        <v>6136</v>
      </c>
      <c r="B6157" s="1" t="str">
        <f>"2018-3120"</f>
        <v>2018-3120</v>
      </c>
      <c r="C6157" s="1" t="s">
        <v>4461</v>
      </c>
      <c r="D6157" s="1" t="s">
        <v>2068</v>
      </c>
      <c r="E6157" s="1" t="str">
        <f>""</f>
        <v/>
      </c>
      <c r="F6157" s="1" t="s">
        <v>1848</v>
      </c>
      <c r="G6157" s="1" t="str">
        <f>CONCATENATE("KINDER GRADNJA D.O.O.,"," SELSKA 57,"," 10360 SESVETE,"," OIB: 71001411174")</f>
        <v>KINDER GRADNJA D.O.O., SELSKA 57, 10360 SESVETE, OIB: 71001411174</v>
      </c>
      <c r="H6157" s="7"/>
      <c r="I6157" s="8" t="s">
        <v>4462</v>
      </c>
      <c r="J6157" s="8" t="s">
        <v>4463</v>
      </c>
      <c r="K6157" s="6" t="str">
        <f>"30.145,28"</f>
        <v>30.145,28</v>
      </c>
      <c r="L6157" s="6" t="str">
        <f>"7.536,32"</f>
        <v>7.536,32</v>
      </c>
      <c r="M6157" s="6" t="str">
        <f>"37.681,60"</f>
        <v>37.681,60</v>
      </c>
      <c r="N6157" s="8" t="s">
        <v>822</v>
      </c>
      <c r="O6157" s="7"/>
      <c r="P6157" s="2" t="s">
        <v>8670</v>
      </c>
      <c r="Q6157" s="7"/>
      <c r="R6157" s="1"/>
      <c r="S6157" s="1" t="str">
        <f>"N-147/18-1"</f>
        <v>N-147/18-1</v>
      </c>
      <c r="T6157" s="1" t="s">
        <v>55</v>
      </c>
    </row>
    <row r="6158" spans="1:20" ht="76.5" x14ac:dyDescent="0.25">
      <c r="A6158" s="6">
        <v>6137</v>
      </c>
      <c r="B6158" s="1" t="str">
        <f>"2019-159"</f>
        <v>2019-159</v>
      </c>
      <c r="C6158" s="1" t="s">
        <v>4464</v>
      </c>
      <c r="D6158" s="1" t="s">
        <v>2168</v>
      </c>
      <c r="E6158" s="1" t="str">
        <f>""</f>
        <v/>
      </c>
      <c r="F6158" s="1" t="s">
        <v>1848</v>
      </c>
      <c r="G6158" s="1" t="str">
        <f>CONCATENATE("CONEL D.O.O.,"," KNEZA BORNE 5,"," 10000 ZAGREB,"," OIB: 97614500728")</f>
        <v>CONEL D.O.O., KNEZA BORNE 5, 10000 ZAGREB, OIB: 97614500728</v>
      </c>
      <c r="H6158" s="7"/>
      <c r="I6158" s="8" t="s">
        <v>576</v>
      </c>
      <c r="J6158" s="8" t="s">
        <v>4465</v>
      </c>
      <c r="K6158" s="6" t="str">
        <f>"88.330,00"</f>
        <v>88.330,00</v>
      </c>
      <c r="L6158" s="6" t="str">
        <f>"22.082,50"</f>
        <v>22.082,50</v>
      </c>
      <c r="M6158" s="6" t="str">
        <f>"110.412,50"</f>
        <v>110.412,50</v>
      </c>
      <c r="N6158" s="8" t="s">
        <v>4466</v>
      </c>
      <c r="O6158" s="7"/>
      <c r="P6158" s="2" t="s">
        <v>8671</v>
      </c>
      <c r="Q6158" s="7"/>
      <c r="R6158" s="1"/>
      <c r="S6158" s="1" t="str">
        <f>"N-12/19-1"</f>
        <v>N-12/19-1</v>
      </c>
      <c r="T6158" s="1" t="s">
        <v>452</v>
      </c>
    </row>
    <row r="6159" spans="1:20" ht="76.5" x14ac:dyDescent="0.25">
      <c r="A6159" s="6">
        <v>6138</v>
      </c>
      <c r="B6159" s="1" t="str">
        <f>"2019-83"</f>
        <v>2019-83</v>
      </c>
      <c r="C6159" s="1" t="s">
        <v>4467</v>
      </c>
      <c r="D6159" s="1" t="s">
        <v>1109</v>
      </c>
      <c r="E6159" s="1" t="str">
        <f>""</f>
        <v/>
      </c>
      <c r="F6159" s="1" t="s">
        <v>1848</v>
      </c>
      <c r="G6159" s="1" t="str">
        <f>CONCATENATE("AKTIV GLOBAL D.O.O.,"," RADNIČKA CESTA 57,"," 10000 ZAGREB,"," OIB: 6531407526")</f>
        <v>AKTIV GLOBAL D.O.O., RADNIČKA CESTA 57, 10000 ZAGREB, OIB: 6531407526</v>
      </c>
      <c r="H6159" s="7"/>
      <c r="I6159" s="8" t="s">
        <v>4468</v>
      </c>
      <c r="J6159" s="8" t="s">
        <v>4273</v>
      </c>
      <c r="K6159" s="6" t="str">
        <f>"137.951,84"</f>
        <v>137.951,84</v>
      </c>
      <c r="L6159" s="6" t="str">
        <f>"34.487,96"</f>
        <v>34.487,96</v>
      </c>
      <c r="M6159" s="6" t="str">
        <f>"172.439,80"</f>
        <v>172.439,80</v>
      </c>
      <c r="N6159" s="8" t="s">
        <v>4469</v>
      </c>
      <c r="O6159" s="7"/>
      <c r="P6159" s="2" t="s">
        <v>8672</v>
      </c>
      <c r="Q6159" s="7"/>
      <c r="R6159" s="1"/>
      <c r="S6159" s="1" t="str">
        <f>"N-17/19-1"</f>
        <v>N-17/19-1</v>
      </c>
      <c r="T6159" s="1" t="s">
        <v>55</v>
      </c>
    </row>
    <row r="6160" spans="1:20" ht="76.5" x14ac:dyDescent="0.25">
      <c r="A6160" s="6">
        <v>6139</v>
      </c>
      <c r="B6160" s="1" t="str">
        <f>"2019-1213"</f>
        <v>2019-1213</v>
      </c>
      <c r="C6160" s="1" t="s">
        <v>4287</v>
      </c>
      <c r="D6160" s="1" t="s">
        <v>2122</v>
      </c>
      <c r="E6160" s="1" t="str">
        <f>""</f>
        <v/>
      </c>
      <c r="F6160" s="1" t="s">
        <v>1848</v>
      </c>
      <c r="G6160" s="1" t="str">
        <f>CONCATENATE("ZAGREL RITTMEYER D.O.O.,"," LJUDEVITA POSAVSKOG 29,"," 10360 SESVETE,"," OIB: 00100837674")</f>
        <v>ZAGREL RITTMEYER D.O.O., LJUDEVITA POSAVSKOG 29, 10360 SESVETE, OIB: 00100837674</v>
      </c>
      <c r="H6160" s="7"/>
      <c r="I6160" s="8" t="s">
        <v>4470</v>
      </c>
      <c r="J6160" s="8" t="s">
        <v>4288</v>
      </c>
      <c r="K6160" s="6" t="str">
        <f>"775.912,05"</f>
        <v>775.912,05</v>
      </c>
      <c r="L6160" s="6" t="str">
        <f>"193.978,01"</f>
        <v>193.978,01</v>
      </c>
      <c r="M6160" s="6" t="str">
        <f>"969.890,06"</f>
        <v>969.890,06</v>
      </c>
      <c r="N6160" s="8" t="s">
        <v>124</v>
      </c>
      <c r="O6160" s="7"/>
      <c r="P6160" s="2" t="s">
        <v>5614</v>
      </c>
      <c r="Q6160" s="7"/>
      <c r="R6160" s="1"/>
      <c r="S6160" s="1" t="str">
        <f>"N-29/19-1"</f>
        <v>N-29/19-1</v>
      </c>
      <c r="T6160" s="1" t="s">
        <v>55</v>
      </c>
    </row>
    <row r="6161" spans="1:20" ht="76.5" x14ac:dyDescent="0.25">
      <c r="A6161" s="6">
        <v>6140</v>
      </c>
      <c r="B6161" s="1" t="str">
        <f>"2019-2503"</f>
        <v>2019-2503</v>
      </c>
      <c r="C6161" s="1" t="s">
        <v>3571</v>
      </c>
      <c r="D6161" s="1" t="s">
        <v>941</v>
      </c>
      <c r="E6161" s="1" t="str">
        <f>""</f>
        <v/>
      </c>
      <c r="F6161" s="1" t="s">
        <v>1848</v>
      </c>
      <c r="G6161" s="1" t="str">
        <f>CONCATENATE("TIGRA D.O.O.,"," IVANIĆGRADSKA 22,"," 10000 ZAGREB,"," OIB: 2983006023")</f>
        <v>TIGRA D.O.O., IVANIĆGRADSKA 22, 10000 ZAGREB, OIB: 2983006023</v>
      </c>
      <c r="H6161" s="7"/>
      <c r="I6161" s="8" t="s">
        <v>1047</v>
      </c>
      <c r="J6161" s="8" t="s">
        <v>968</v>
      </c>
      <c r="K6161" s="6" t="str">
        <f>"418.847,70"</f>
        <v>418.847,70</v>
      </c>
      <c r="L6161" s="6" t="str">
        <f>"104.711,92"</f>
        <v>104.711,92</v>
      </c>
      <c r="M6161" s="6" t="str">
        <f>"523.559,62"</f>
        <v>523.559,62</v>
      </c>
      <c r="N6161" s="8" t="s">
        <v>1250</v>
      </c>
      <c r="O6161" s="7"/>
      <c r="P6161" s="2" t="s">
        <v>8673</v>
      </c>
      <c r="Q6161" s="7"/>
      <c r="R6161" s="1"/>
      <c r="S6161" s="1" t="str">
        <f>"N-35/19-1"</f>
        <v>N-35/19-1</v>
      </c>
      <c r="T6161" s="1" t="s">
        <v>55</v>
      </c>
    </row>
    <row r="6162" spans="1:20" ht="76.5" x14ac:dyDescent="0.25">
      <c r="A6162" s="6">
        <v>6141</v>
      </c>
      <c r="B6162" s="1" t="str">
        <f>"2019-1411"</f>
        <v>2019-1411</v>
      </c>
      <c r="C6162" s="1" t="s">
        <v>4305</v>
      </c>
      <c r="D6162" s="1" t="s">
        <v>4306</v>
      </c>
      <c r="E6162" s="1" t="str">
        <f>""</f>
        <v/>
      </c>
      <c r="F6162" s="1" t="s">
        <v>1848</v>
      </c>
      <c r="G6162" s="1" t="str">
        <f>CONCATENATE("KOLEKTOR SISTEH D.O.O.,"," ZASAVSKA CESTA 95,"," 1231 LJUBLJAN")</f>
        <v>KOLEKTOR SISTEH D.O.O., ZASAVSKA CESTA 95, 1231 LJUBLJAN</v>
      </c>
      <c r="H6162" s="7"/>
      <c r="I6162" s="8" t="s">
        <v>1146</v>
      </c>
      <c r="J6162" s="8" t="s">
        <v>1146</v>
      </c>
      <c r="K6162" s="6" t="str">
        <f>"1.915.565,00"</f>
        <v>1.915.565,00</v>
      </c>
      <c r="L6162" s="6" t="str">
        <f>"478.891,25"</f>
        <v>478.891,25</v>
      </c>
      <c r="M6162" s="6" t="str">
        <f>"2.394.456,25"</f>
        <v>2.394.456,25</v>
      </c>
      <c r="N6162" s="8" t="s">
        <v>124</v>
      </c>
      <c r="O6162" s="7"/>
      <c r="P6162" s="2" t="s">
        <v>5614</v>
      </c>
      <c r="Q6162" s="7"/>
      <c r="R6162" s="1"/>
      <c r="S6162" s="1" t="str">
        <f>"N-43/19-1"</f>
        <v>N-43/19-1</v>
      </c>
      <c r="T6162" s="1" t="s">
        <v>55</v>
      </c>
    </row>
    <row r="6163" spans="1:20" ht="76.5" x14ac:dyDescent="0.25">
      <c r="A6163" s="6">
        <v>6142</v>
      </c>
      <c r="B6163" s="1" t="str">
        <f>"2019-2854"</f>
        <v>2019-2854</v>
      </c>
      <c r="C6163" s="1" t="s">
        <v>4315</v>
      </c>
      <c r="D6163" s="1" t="s">
        <v>941</v>
      </c>
      <c r="E6163" s="1" t="str">
        <f>""</f>
        <v/>
      </c>
      <c r="F6163" s="1" t="s">
        <v>1848</v>
      </c>
      <c r="G6163" s="1" t="str">
        <f>CONCATENATE("GIP PIONIR D.O.O.,"," ZAGREBAČKA 145B,"," 10000 ZAGREB,"," OIB: 38262788673")</f>
        <v>GIP PIONIR D.O.O., ZAGREBAČKA 145B, 10000 ZAGREB, OIB: 38262788673</v>
      </c>
      <c r="H6163" s="7"/>
      <c r="I6163" s="8" t="s">
        <v>4471</v>
      </c>
      <c r="J6163" s="8" t="s">
        <v>3526</v>
      </c>
      <c r="K6163" s="6" t="str">
        <f>"2.270.261,50"</f>
        <v>2.270.261,50</v>
      </c>
      <c r="L6163" s="6" t="str">
        <f>"567.565,38"</f>
        <v>567.565,38</v>
      </c>
      <c r="M6163" s="6" t="str">
        <f>"2.837.826,88"</f>
        <v>2.837.826,88</v>
      </c>
      <c r="N6163" s="8" t="s">
        <v>124</v>
      </c>
      <c r="O6163" s="7"/>
      <c r="P6163" s="2" t="s">
        <v>5614</v>
      </c>
      <c r="Q6163" s="7"/>
      <c r="R6163" s="1"/>
      <c r="S6163" s="1" t="str">
        <f>"N-52/19-1"</f>
        <v>N-52/19-1</v>
      </c>
      <c r="T6163" s="1" t="s">
        <v>55</v>
      </c>
    </row>
    <row r="6164" spans="1:20" ht="76.5" x14ac:dyDescent="0.25">
      <c r="A6164" s="6">
        <v>6143</v>
      </c>
      <c r="B6164" s="1" t="str">
        <f>"2019-2844"</f>
        <v>2019-2844</v>
      </c>
      <c r="C6164" s="1" t="s">
        <v>4472</v>
      </c>
      <c r="D6164" s="1" t="s">
        <v>2168</v>
      </c>
      <c r="E6164" s="1" t="str">
        <f>""</f>
        <v/>
      </c>
      <c r="F6164" s="1" t="s">
        <v>1848</v>
      </c>
      <c r="G6164" s="1" t="str">
        <f>CONCATENATE("PALACE D.O.O.,"," PLANINSKA 13A,"," 10000 ZAGREB,"," OIB: 71999757503")</f>
        <v>PALACE D.O.O., PLANINSKA 13A, 10000 ZAGREB, OIB: 71999757503</v>
      </c>
      <c r="H6164" s="7"/>
      <c r="I6164" s="8" t="s">
        <v>4172</v>
      </c>
      <c r="J6164" s="8" t="s">
        <v>1115</v>
      </c>
      <c r="K6164" s="6" t="str">
        <f>"171.575,00"</f>
        <v>171.575,00</v>
      </c>
      <c r="L6164" s="6" t="str">
        <f>"42.893,75"</f>
        <v>42.893,75</v>
      </c>
      <c r="M6164" s="6" t="str">
        <f>"214.468,75"</f>
        <v>214.468,75</v>
      </c>
      <c r="N6164" s="8" t="s">
        <v>124</v>
      </c>
      <c r="O6164" s="7"/>
      <c r="P6164" s="2" t="s">
        <v>5614</v>
      </c>
      <c r="Q6164" s="7"/>
      <c r="R6164" s="1"/>
      <c r="S6164" s="1" t="str">
        <f>"N-56/19-3"</f>
        <v>N-56/19-3</v>
      </c>
      <c r="T6164" s="1" t="s">
        <v>32</v>
      </c>
    </row>
    <row r="6165" spans="1:20" ht="76.5" x14ac:dyDescent="0.25">
      <c r="A6165" s="6">
        <v>6144</v>
      </c>
      <c r="B6165" s="1" t="str">
        <f>"2019-2811"</f>
        <v>2019-2811</v>
      </c>
      <c r="C6165" s="1" t="s">
        <v>4473</v>
      </c>
      <c r="D6165" s="1" t="s">
        <v>1125</v>
      </c>
      <c r="E6165" s="1" t="str">
        <f>""</f>
        <v/>
      </c>
      <c r="F6165" s="1" t="s">
        <v>1848</v>
      </c>
      <c r="G6165" s="1" t="str">
        <f>CONCATENATE("VODOTEHNIKA D.D.,"," KOTURAŠKA CESTA 49,"," 10000 ZAGREB,"," OIB: 1763143132")</f>
        <v>VODOTEHNIKA D.D., KOTURAŠKA CESTA 49, 10000 ZAGREB, OIB: 1763143132</v>
      </c>
      <c r="H6165" s="7"/>
      <c r="I6165" s="8" t="s">
        <v>1000</v>
      </c>
      <c r="J6165" s="8" t="s">
        <v>4345</v>
      </c>
      <c r="K6165" s="6" t="str">
        <f>"1.275.366,01"</f>
        <v>1.275.366,01</v>
      </c>
      <c r="L6165" s="6" t="str">
        <f>"318.841,50"</f>
        <v>318.841,50</v>
      </c>
      <c r="M6165" s="6" t="str">
        <f>"1.594.207,51"</f>
        <v>1.594.207,51</v>
      </c>
      <c r="N6165" s="8" t="s">
        <v>440</v>
      </c>
      <c r="O6165" s="7"/>
      <c r="P6165" s="2" t="s">
        <v>8674</v>
      </c>
      <c r="Q6165" s="7"/>
      <c r="R6165" s="1"/>
      <c r="S6165" s="1" t="str">
        <f>"N-76/19-1"</f>
        <v>N-76/19-1</v>
      </c>
      <c r="T6165" s="1" t="s">
        <v>55</v>
      </c>
    </row>
    <row r="6166" spans="1:20" ht="76.5" x14ac:dyDescent="0.25">
      <c r="A6166" s="6">
        <v>6145</v>
      </c>
      <c r="B6166" s="1" t="str">
        <f>"2019-2964"</f>
        <v>2019-2964</v>
      </c>
      <c r="C6166" s="1" t="s">
        <v>4366</v>
      </c>
      <c r="D6166" s="1" t="s">
        <v>941</v>
      </c>
      <c r="E6166" s="1" t="str">
        <f>""</f>
        <v/>
      </c>
      <c r="F6166" s="1" t="s">
        <v>1848</v>
      </c>
      <c r="G6166" s="1" t="str">
        <f>CONCATENATE("BUBANJ - NISKOGRADNJA D.O.O.,"," KRUGE 7,"," 10000 ZAGREB,"," OIB: 29539944583")</f>
        <v>BUBANJ - NISKOGRADNJA D.O.O., KRUGE 7, 10000 ZAGREB, OIB: 29539944583</v>
      </c>
      <c r="H6166" s="7"/>
      <c r="I6166" s="8" t="s">
        <v>1861</v>
      </c>
      <c r="J6166" s="8" t="s">
        <v>2852</v>
      </c>
      <c r="K6166" s="6" t="str">
        <f>"1.599.747,14"</f>
        <v>1.599.747,14</v>
      </c>
      <c r="L6166" s="6" t="str">
        <f>"399.936,78"</f>
        <v>399.936,78</v>
      </c>
      <c r="M6166" s="6" t="str">
        <f>"1.999.683,92"</f>
        <v>1.999.683,92</v>
      </c>
      <c r="N6166" s="8" t="s">
        <v>124</v>
      </c>
      <c r="O6166" s="7"/>
      <c r="P6166" s="2" t="s">
        <v>5614</v>
      </c>
      <c r="Q6166" s="7"/>
      <c r="R6166" s="1"/>
      <c r="S6166" s="1" t="str">
        <f>"N-101/19#1"</f>
        <v>N-101/19#1</v>
      </c>
      <c r="T6166" s="1" t="s">
        <v>55</v>
      </c>
    </row>
    <row r="6167" spans="1:20" ht="76.5" x14ac:dyDescent="0.25">
      <c r="A6167" s="6">
        <v>6146</v>
      </c>
      <c r="B6167" s="1" t="str">
        <f>"2019-2500"</f>
        <v>2019-2500</v>
      </c>
      <c r="C6167" s="1" t="s">
        <v>4474</v>
      </c>
      <c r="D6167" s="1" t="s">
        <v>941</v>
      </c>
      <c r="E6167" s="1" t="str">
        <f>""</f>
        <v/>
      </c>
      <c r="F6167" s="1" t="s">
        <v>1848</v>
      </c>
      <c r="G6167" s="1" t="str">
        <f>CONCATENATE("GUT D.O.O.,"," SISAČKA 37,"," 10000 ZAGREB,"," OIB: 9501710522")</f>
        <v>GUT D.O.O., SISAČKA 37, 10000 ZAGREB, OIB: 9501710522</v>
      </c>
      <c r="H6167" s="7"/>
      <c r="I6167" s="8" t="s">
        <v>1134</v>
      </c>
      <c r="J6167" s="8" t="s">
        <v>1134</v>
      </c>
      <c r="K6167" s="6" t="str">
        <f>"174.238,16"</f>
        <v>174.238,16</v>
      </c>
      <c r="L6167" s="6" t="str">
        <f>"43.559,54"</f>
        <v>43.559,54</v>
      </c>
      <c r="M6167" s="6" t="str">
        <f>"217.797,70"</f>
        <v>217.797,70</v>
      </c>
      <c r="N6167" s="8" t="s">
        <v>540</v>
      </c>
      <c r="O6167" s="7"/>
      <c r="P6167" s="2" t="s">
        <v>8675</v>
      </c>
      <c r="Q6167" s="7"/>
      <c r="R6167" s="1"/>
      <c r="S6167" s="1" t="str">
        <f>"N-111/19-1"</f>
        <v>N-111/19-1</v>
      </c>
      <c r="T6167" s="1" t="s">
        <v>55</v>
      </c>
    </row>
    <row r="6168" spans="1:20" ht="76.5" x14ac:dyDescent="0.25">
      <c r="A6168" s="6">
        <v>6147</v>
      </c>
      <c r="B6168" s="1" t="str">
        <f>"2019-3021"</f>
        <v>2019-3021</v>
      </c>
      <c r="C6168" s="1" t="s">
        <v>4382</v>
      </c>
      <c r="D6168" s="1" t="s">
        <v>941</v>
      </c>
      <c r="E6168" s="1" t="str">
        <f>""</f>
        <v/>
      </c>
      <c r="F6168" s="1" t="s">
        <v>1848</v>
      </c>
      <c r="G6168" s="1" t="str">
        <f>CONCATENATE("BUBANJ - NISKOGRADNJA D.O.O.,"," KRUGE 7,"," 10000 ZAGREB,"," OIB: 29539944583")</f>
        <v>BUBANJ - NISKOGRADNJA D.O.O., KRUGE 7, 10000 ZAGREB, OIB: 29539944583</v>
      </c>
      <c r="H6168" s="7"/>
      <c r="I6168" s="8" t="s">
        <v>4475</v>
      </c>
      <c r="J6168" s="8" t="s">
        <v>2065</v>
      </c>
      <c r="K6168" s="6" t="str">
        <f>"971.574,69"</f>
        <v>971.574,69</v>
      </c>
      <c r="L6168" s="6" t="str">
        <f>"242.893,67"</f>
        <v>242.893,67</v>
      </c>
      <c r="M6168" s="6" t="str">
        <f>"1.214.468,36"</f>
        <v>1.214.468,36</v>
      </c>
      <c r="N6168" s="8" t="s">
        <v>1988</v>
      </c>
      <c r="O6168" s="7"/>
      <c r="P6168" s="2" t="s">
        <v>8644</v>
      </c>
      <c r="Q6168" s="7"/>
      <c r="R6168" s="1"/>
      <c r="S6168" s="1" t="str">
        <f>"N-123/19-1"</f>
        <v>N-123/19-1</v>
      </c>
      <c r="T6168" s="1" t="s">
        <v>55</v>
      </c>
    </row>
    <row r="6169" spans="1:20" ht="76.5" x14ac:dyDescent="0.25">
      <c r="A6169" s="6">
        <v>6148</v>
      </c>
      <c r="B6169" s="1" t="str">
        <f>"2019-2901"</f>
        <v>2019-2901</v>
      </c>
      <c r="C6169" s="1" t="s">
        <v>4476</v>
      </c>
      <c r="D6169" s="1" t="s">
        <v>941</v>
      </c>
      <c r="E6169" s="1" t="str">
        <f>""</f>
        <v/>
      </c>
      <c r="F6169" s="1" t="s">
        <v>1848</v>
      </c>
      <c r="G6169" s="1" t="str">
        <f>CONCATENATE("KOLEKTOR-ZAGREB D.O.O.,"," IVANIĆGRADSKA 22,"," 10000 ZAGREB,"," OIB: 73209542242")</f>
        <v>KOLEKTOR-ZAGREB D.O.O., IVANIĆGRADSKA 22, 10000 ZAGREB, OIB: 73209542242</v>
      </c>
      <c r="H6169" s="7"/>
      <c r="I6169" s="8" t="s">
        <v>2636</v>
      </c>
      <c r="J6169" s="8" t="s">
        <v>1079</v>
      </c>
      <c r="K6169" s="6" t="str">
        <f>"166.947,81"</f>
        <v>166.947,81</v>
      </c>
      <c r="L6169" s="6" t="str">
        <f>"41.736,95"</f>
        <v>41.736,95</v>
      </c>
      <c r="M6169" s="6" t="str">
        <f>"208.684,76"</f>
        <v>208.684,76</v>
      </c>
      <c r="N6169" s="8" t="s">
        <v>1054</v>
      </c>
      <c r="O6169" s="7"/>
      <c r="P6169" s="2" t="s">
        <v>8676</v>
      </c>
      <c r="Q6169" s="7"/>
      <c r="R6169" s="1"/>
      <c r="S6169" s="1" t="str">
        <f>"N-145/19#1"</f>
        <v>N-145/19#1</v>
      </c>
      <c r="T6169" s="1" t="s">
        <v>55</v>
      </c>
    </row>
    <row r="6170" spans="1:20" ht="63.75" x14ac:dyDescent="0.25">
      <c r="A6170" s="6">
        <v>6149</v>
      </c>
      <c r="B6170" s="1" t="str">
        <f>"2017-2896"</f>
        <v>2017-2896</v>
      </c>
      <c r="C6170" s="1" t="s">
        <v>4477</v>
      </c>
      <c r="D6170" s="1" t="s">
        <v>4478</v>
      </c>
      <c r="E6170" s="1" t="str">
        <f>""</f>
        <v/>
      </c>
      <c r="F6170" s="1" t="s">
        <v>1860</v>
      </c>
      <c r="G6170" s="1" t="str">
        <f>CONCATENATE(" HIDRO GRAD D.O.O.,"," GUSTAVA KRKLECA,"," RAKITJE 6,"," 10437 BESTOVJE,"," OIB: 49528301725")</f>
        <v xml:space="preserve"> HIDRO GRAD D.O.O., GUSTAVA KRKLECA, RAKITJE 6, 10437 BESTOVJE, OIB: 49528301725</v>
      </c>
      <c r="H6170" s="7"/>
      <c r="I6170" s="8" t="s">
        <v>4479</v>
      </c>
      <c r="J6170" s="8" t="s">
        <v>4480</v>
      </c>
      <c r="K6170" s="6" t="str">
        <f>"178.255,00"</f>
        <v>178.255,00</v>
      </c>
      <c r="L6170" s="6" t="str">
        <f>"44.563,75"</f>
        <v>44.563,75</v>
      </c>
      <c r="M6170" s="6" t="str">
        <f>"222.818,75"</f>
        <v>222.818,75</v>
      </c>
      <c r="N6170" s="8" t="s">
        <v>124</v>
      </c>
      <c r="O6170" s="7"/>
      <c r="P6170" s="2" t="s">
        <v>5614</v>
      </c>
      <c r="Q6170" s="7"/>
      <c r="R6170" s="1"/>
      <c r="S6170" s="1" t="str">
        <f>"GZ-UN-2017-74296"</f>
        <v>GZ-UN-2017-74296</v>
      </c>
      <c r="T6170" s="1" t="s">
        <v>32</v>
      </c>
    </row>
    <row r="6171" spans="1:20" ht="51" x14ac:dyDescent="0.25">
      <c r="A6171" s="6">
        <v>6150</v>
      </c>
      <c r="B6171" s="1" t="str">
        <f>"2019-879"</f>
        <v>2019-879</v>
      </c>
      <c r="C6171" s="1" t="s">
        <v>2305</v>
      </c>
      <c r="D6171" s="1" t="s">
        <v>2306</v>
      </c>
      <c r="E6171" s="1" t="str">
        <f>""</f>
        <v/>
      </c>
      <c r="F6171" s="1" t="s">
        <v>1860</v>
      </c>
      <c r="G6171" s="1" t="str">
        <f>CONCATENATE(" ZGOMBIĆ D.O.O.,"," PAVLA HATZA 4,"," 10000 ZAGREB,"," OIB: 06559614903")</f>
        <v xml:space="preserve"> ZGOMBIĆ D.O.O., PAVLA HATZA 4, 10000 ZAGREB, OIB: 06559614903</v>
      </c>
      <c r="H6171" s="7"/>
      <c r="I6171" s="8" t="s">
        <v>4146</v>
      </c>
      <c r="J6171" s="8" t="s">
        <v>4481</v>
      </c>
      <c r="K6171" s="6" t="str">
        <f>"190.000,00"</f>
        <v>190.000,00</v>
      </c>
      <c r="L6171" s="6" t="str">
        <f>"47.500,00"</f>
        <v>47.500,00</v>
      </c>
      <c r="M6171" s="6" t="str">
        <f>"237.500,00"</f>
        <v>237.500,00</v>
      </c>
      <c r="N6171" s="8" t="s">
        <v>124</v>
      </c>
      <c r="O6171" s="7"/>
      <c r="P6171" s="2" t="s">
        <v>5614</v>
      </c>
      <c r="Q6171" s="7"/>
      <c r="R6171" s="1"/>
      <c r="S6171" s="1" t="str">
        <f>"GZ-UN-2020-12371"</f>
        <v>GZ-UN-2020-12371</v>
      </c>
      <c r="T6171" s="1" t="s">
        <v>55</v>
      </c>
    </row>
    <row r="6172" spans="1:20" ht="63.75" x14ac:dyDescent="0.25">
      <c r="A6172" s="6">
        <v>6151</v>
      </c>
      <c r="B6172" s="1" t="str">
        <f>"2017-2564"</f>
        <v>2017-2564</v>
      </c>
      <c r="C6172" s="1" t="s">
        <v>4482</v>
      </c>
      <c r="D6172" s="1" t="s">
        <v>4483</v>
      </c>
      <c r="E6172" s="1" t="str">
        <f>""</f>
        <v/>
      </c>
      <c r="F6172" s="1" t="s">
        <v>1860</v>
      </c>
      <c r="G6172" s="1" t="str">
        <f>CONCATENATE(" ODVJETNIK LOVRO ZOVKO,"," OGNJESLAVA UTJEŠANOVIĆA 1,"," 10000 ZAGREB,"," OIB: 0028314523")</f>
        <v xml:space="preserve"> ODVJETNIK LOVRO ZOVKO, OGNJESLAVA UTJEŠANOVIĆA 1, 10000 ZAGREB, OIB: 0028314523</v>
      </c>
      <c r="H6172" s="7"/>
      <c r="I6172" s="8" t="s">
        <v>4484</v>
      </c>
      <c r="J6172" s="8" t="s">
        <v>4485</v>
      </c>
      <c r="K6172" s="6" t="str">
        <f>"140.000,00"</f>
        <v>140.000,00</v>
      </c>
      <c r="L6172" s="6" t="str">
        <f>"35.000,00"</f>
        <v>35.000,00</v>
      </c>
      <c r="M6172" s="6" t="str">
        <f>"175.000,00"</f>
        <v>175.000,00</v>
      </c>
      <c r="N6172" s="8" t="s">
        <v>124</v>
      </c>
      <c r="O6172" s="7"/>
      <c r="P6172" s="2" t="s">
        <v>5614</v>
      </c>
      <c r="Q6172" s="7"/>
      <c r="R6172" s="1"/>
      <c r="S6172" s="1" t="str">
        <f>"J-JUN-2017-1295"</f>
        <v>J-JUN-2017-1295</v>
      </c>
      <c r="T6172" s="1" t="s">
        <v>32</v>
      </c>
    </row>
    <row r="6173" spans="1:20" ht="89.25" x14ac:dyDescent="0.25">
      <c r="A6173" s="6">
        <v>6152</v>
      </c>
      <c r="B6173" s="1" t="str">
        <f>"2017-2491"</f>
        <v>2017-2491</v>
      </c>
      <c r="C6173" s="1" t="s">
        <v>4486</v>
      </c>
      <c r="D6173" s="1" t="s">
        <v>4264</v>
      </c>
      <c r="E6173" s="1" t="str">
        <f>""</f>
        <v/>
      </c>
      <c r="F6173" s="1" t="s">
        <v>1860</v>
      </c>
      <c r="G6173" s="1" t="str">
        <f>CONCATENATE(" PWC-PRICEWATERHOUSECOOPERS D.O.O.,"," ULICA KNEZA LJUDEVITA POSAVSKOG 31/VI,"," 10000 ZAGREB,"," OIB: 81744835353")</f>
        <v xml:space="preserve"> PWC-PRICEWATERHOUSECOOPERS D.O.O., ULICA KNEZA LJUDEVITA POSAVSKOG 31/VI, 10000 ZAGREB, OIB: 81744835353</v>
      </c>
      <c r="H6173" s="7"/>
      <c r="I6173" s="8" t="s">
        <v>3671</v>
      </c>
      <c r="J6173" s="8" t="s">
        <v>4487</v>
      </c>
      <c r="K6173" s="6" t="str">
        <f>"165.000,00"</f>
        <v>165.000,00</v>
      </c>
      <c r="L6173" s="6" t="str">
        <f>"41.250,00"</f>
        <v>41.250,00</v>
      </c>
      <c r="M6173" s="6" t="str">
        <f>"206.250,00"</f>
        <v>206.250,00</v>
      </c>
      <c r="N6173" s="8" t="s">
        <v>4487</v>
      </c>
      <c r="O6173" s="7"/>
      <c r="P6173" s="2" t="s">
        <v>8677</v>
      </c>
      <c r="Q6173" s="7"/>
      <c r="R6173" s="1"/>
      <c r="S6173" s="1" t="str">
        <f>"J-UN-2017-733"</f>
        <v>J-UN-2017-733</v>
      </c>
      <c r="T6173" s="1" t="s">
        <v>32</v>
      </c>
    </row>
    <row r="6174" spans="1:20" ht="89.25" x14ac:dyDescent="0.25">
      <c r="A6174" s="6">
        <v>6153</v>
      </c>
      <c r="B6174" s="1" t="str">
        <f>"2017-2497"</f>
        <v>2017-2497</v>
      </c>
      <c r="C6174" s="1" t="s">
        <v>4488</v>
      </c>
      <c r="D6174" s="1" t="s">
        <v>4489</v>
      </c>
      <c r="E6174" s="1" t="str">
        <f>""</f>
        <v/>
      </c>
      <c r="F6174" s="1" t="s">
        <v>1860</v>
      </c>
      <c r="G6174" s="1" t="str">
        <f>CONCATENATE(" PWC-PRICEWATERHOUSECOOPERS D.O.O.,"," ULICA KNEZA LJUDEVITA POSAVSKOG 31/VI,"," 10000 ZAGREB,"," OIB: 81744835353")</f>
        <v xml:space="preserve"> PWC-PRICEWATERHOUSECOOPERS D.O.O., ULICA KNEZA LJUDEVITA POSAVSKOG 31/VI, 10000 ZAGREB, OIB: 81744835353</v>
      </c>
      <c r="H6174" s="7"/>
      <c r="I6174" s="8" t="s">
        <v>3671</v>
      </c>
      <c r="J6174" s="8" t="s">
        <v>4487</v>
      </c>
      <c r="K6174" s="6" t="str">
        <f>"118.500,00"</f>
        <v>118.500,00</v>
      </c>
      <c r="L6174" s="6" t="str">
        <f>"29.625,00"</f>
        <v>29.625,00</v>
      </c>
      <c r="M6174" s="6" t="str">
        <f>"148.125,00"</f>
        <v>148.125,00</v>
      </c>
      <c r="N6174" s="8" t="s">
        <v>4487</v>
      </c>
      <c r="O6174" s="7"/>
      <c r="P6174" s="2" t="s">
        <v>8678</v>
      </c>
      <c r="Q6174" s="7"/>
      <c r="R6174" s="1"/>
      <c r="S6174" s="1" t="str">
        <f>"J-UN-2017-769"</f>
        <v>J-UN-2017-769</v>
      </c>
      <c r="T6174" s="1" t="s">
        <v>32</v>
      </c>
    </row>
    <row r="6175" spans="1:20" ht="127.5" x14ac:dyDescent="0.25">
      <c r="A6175" s="6">
        <v>6154</v>
      </c>
      <c r="B6175" s="1" t="str">
        <f>"2017-208"</f>
        <v>2017-208</v>
      </c>
      <c r="C6175" s="1" t="s">
        <v>4490</v>
      </c>
      <c r="D6175" s="1" t="s">
        <v>1979</v>
      </c>
      <c r="E6175" s="1" t="str">
        <f>""</f>
        <v/>
      </c>
      <c r="F6175" s="1" t="s">
        <v>1860</v>
      </c>
      <c r="G6175" s="1" t="str">
        <f>CONCATENATE(" HIDRO UNA D.O.O.,"," JOSIPA ANIĆA 14,"," 10000 ZAGREB,"," OIB: 60109409627")</f>
        <v xml:space="preserve"> HIDRO UNA D.O.O., JOSIPA ANIĆA 14, 10000 ZAGREB, OIB: 60109409627</v>
      </c>
      <c r="H6175" s="1" t="str">
        <f>CONCATENATE("AQUA . OMEGA D.O.O.,"," OIB: 76884978496",CHAR(10),"URED OVLAŠTENOG INŽENJERU GEODEZIJE MARKO BRCKOVIĆ,"," OIB: 28599647174")</f>
        <v>AQUA . OMEGA D.O.O., OIB: 76884978496
URED OVLAŠTENOG INŽENJERU GEODEZIJE MARKO BRCKOVIĆ, OIB: 28599647174</v>
      </c>
      <c r="I6175" s="8" t="s">
        <v>4491</v>
      </c>
      <c r="J6175" s="8" t="s">
        <v>4492</v>
      </c>
      <c r="K6175" s="6" t="str">
        <f>"44.800,00"</f>
        <v>44.800,00</v>
      </c>
      <c r="L6175" s="6" t="str">
        <f>"11.200,00"</f>
        <v>11.200,00</v>
      </c>
      <c r="M6175" s="6" t="str">
        <f>"56.000,00"</f>
        <v>56.000,00</v>
      </c>
      <c r="N6175" s="8" t="s">
        <v>124</v>
      </c>
      <c r="O6175" s="7"/>
      <c r="P6175" s="2" t="s">
        <v>5614</v>
      </c>
      <c r="Q6175" s="7"/>
      <c r="R6175" s="1"/>
      <c r="S6175" s="1" t="str">
        <f>"J-N-166/17"</f>
        <v>J-N-166/17</v>
      </c>
      <c r="T6175" s="1" t="s">
        <v>55</v>
      </c>
    </row>
    <row r="6176" spans="1:20" ht="63.75" x14ac:dyDescent="0.25">
      <c r="A6176" s="6">
        <v>6155</v>
      </c>
      <c r="B6176" s="1" t="str">
        <f>"2017-116"</f>
        <v>2017-116</v>
      </c>
      <c r="C6176" s="1" t="s">
        <v>2702</v>
      </c>
      <c r="D6176" s="1" t="s">
        <v>1209</v>
      </c>
      <c r="E6176" s="1" t="str">
        <f>""</f>
        <v/>
      </c>
      <c r="F6176" s="1" t="s">
        <v>1860</v>
      </c>
      <c r="G6176" s="1" t="str">
        <f>CONCATENATE(" DRÄGER SAFETY D.O.O.,"," AVENIJA VEĆESLAVA HOLJEVCA 40,"," 10010 ZAGREB,"," OIB: 32874587842")</f>
        <v xml:space="preserve"> DRÄGER SAFETY D.O.O., AVENIJA VEĆESLAVA HOLJEVCA 40, 10010 ZAGREB, OIB: 32874587842</v>
      </c>
      <c r="H6176" s="7"/>
      <c r="I6176" s="8" t="s">
        <v>3615</v>
      </c>
      <c r="J6176" s="8" t="s">
        <v>4493</v>
      </c>
      <c r="K6176" s="6" t="str">
        <f>"144.602,22"</f>
        <v>144.602,22</v>
      </c>
      <c r="L6176" s="6" t="str">
        <f>"36.150,56"</f>
        <v>36.150,56</v>
      </c>
      <c r="M6176" s="6" t="str">
        <f>"180.752,78"</f>
        <v>180.752,78</v>
      </c>
      <c r="N6176" s="8" t="s">
        <v>3698</v>
      </c>
      <c r="O6176" s="7"/>
      <c r="P6176" s="2" t="s">
        <v>8679</v>
      </c>
      <c r="Q6176" s="7"/>
      <c r="R6176" s="1"/>
      <c r="S6176" s="1" t="str">
        <f>"J-N-509/17"</f>
        <v>J-N-509/17</v>
      </c>
      <c r="T6176" s="1" t="s">
        <v>452</v>
      </c>
    </row>
    <row r="6177" spans="1:20" ht="51" x14ac:dyDescent="0.25">
      <c r="A6177" s="6">
        <v>6156</v>
      </c>
      <c r="B6177" s="1" t="str">
        <f>"2017-2095"</f>
        <v>2017-2095</v>
      </c>
      <c r="C6177" s="1" t="s">
        <v>4494</v>
      </c>
      <c r="D6177" s="1" t="s">
        <v>2729</v>
      </c>
      <c r="E6177" s="1" t="str">
        <f>""</f>
        <v/>
      </c>
      <c r="F6177" s="1" t="s">
        <v>1860</v>
      </c>
      <c r="G6177" s="1" t="str">
        <f>CONCATENATE(" TÜV NORD ADRIATIC D.O.O.,"," ,"," OIB: 64520989853")</f>
        <v xml:space="preserve"> TÜV NORD ADRIATIC D.O.O., , OIB: 64520989853</v>
      </c>
      <c r="H6177" s="7"/>
      <c r="I6177" s="8" t="s">
        <v>4495</v>
      </c>
      <c r="J6177" s="8" t="s">
        <v>4496</v>
      </c>
      <c r="K6177" s="6" t="str">
        <f>"50.000,00"</f>
        <v>50.000,00</v>
      </c>
      <c r="L6177" s="6" t="str">
        <f>"12.500,00"</f>
        <v>12.500,00</v>
      </c>
      <c r="M6177" s="6" t="str">
        <f>"62.500,00"</f>
        <v>62.500,00</v>
      </c>
      <c r="N6177" s="8" t="s">
        <v>124</v>
      </c>
      <c r="O6177" s="7"/>
      <c r="P6177" s="2" t="s">
        <v>5614</v>
      </c>
      <c r="Q6177" s="7"/>
      <c r="R6177" s="1"/>
      <c r="S6177" s="1" t="str">
        <f>"J-N-760/17"</f>
        <v>J-N-760/17</v>
      </c>
      <c r="T6177" s="1" t="s">
        <v>55</v>
      </c>
    </row>
    <row r="6178" spans="1:20" ht="63.75" x14ac:dyDescent="0.25">
      <c r="A6178" s="6">
        <v>6157</v>
      </c>
      <c r="B6178" s="1" t="str">
        <f>"2017-2547"</f>
        <v>2017-2547</v>
      </c>
      <c r="C6178" s="1" t="s">
        <v>4497</v>
      </c>
      <c r="D6178" s="1" t="s">
        <v>4498</v>
      </c>
      <c r="E6178" s="1" t="str">
        <f>""</f>
        <v/>
      </c>
      <c r="F6178" s="1" t="s">
        <v>1860</v>
      </c>
      <c r="G6178" s="1" t="str">
        <f>CONCATENATE(" STRUCTURA PLAN D.O.O.,"," V. KLAIĆA 3,"," 10360 SESVETE,"," POPOVEC,"," OIB: 02792985387")</f>
        <v xml:space="preserve"> STRUCTURA PLAN D.O.O., V. KLAIĆA 3, 10360 SESVETE, POPOVEC, OIB: 02792985387</v>
      </c>
      <c r="H6178" s="1" t="str">
        <f>CONCATENATE("GEOANDA D.O.O.,"," OIB: 70840886172")</f>
        <v>GEOANDA D.O.O., OIB: 70840886172</v>
      </c>
      <c r="I6178" s="8" t="s">
        <v>4499</v>
      </c>
      <c r="J6178" s="8" t="s">
        <v>4500</v>
      </c>
      <c r="K6178" s="6" t="str">
        <f>"32.400,00"</f>
        <v>32.400,00</v>
      </c>
      <c r="L6178" s="6" t="str">
        <f>"8.100,00"</f>
        <v>8.100,00</v>
      </c>
      <c r="M6178" s="6" t="str">
        <f>"40.500,00"</f>
        <v>40.500,00</v>
      </c>
      <c r="N6178" s="8" t="s">
        <v>124</v>
      </c>
      <c r="O6178" s="7"/>
      <c r="P6178" s="2" t="s">
        <v>5614</v>
      </c>
      <c r="Q6178" s="7"/>
      <c r="R6178" s="1"/>
      <c r="S6178" s="1" t="str">
        <f>"J-N-793/17"</f>
        <v>J-N-793/17</v>
      </c>
      <c r="T6178" s="1" t="s">
        <v>32</v>
      </c>
    </row>
    <row r="6179" spans="1:20" ht="89.25" x14ac:dyDescent="0.25">
      <c r="A6179" s="6">
        <v>6158</v>
      </c>
      <c r="B6179" s="1" t="str">
        <f>"2017-258"</f>
        <v>2017-258</v>
      </c>
      <c r="C6179" s="1" t="s">
        <v>4501</v>
      </c>
      <c r="D6179" s="1" t="s">
        <v>1979</v>
      </c>
      <c r="E6179" s="1" t="str">
        <f>""</f>
        <v/>
      </c>
      <c r="F6179" s="1" t="s">
        <v>1860</v>
      </c>
      <c r="G6179" s="1" t="str">
        <f>CONCATENATE(" PROJEKTNI BIRO NAGLIĆ D.O.O.,"," OLIBSKA 17,"," 10000 ZAGREB,"," OIB: 18216105743")</f>
        <v xml:space="preserve"> PROJEKTNI BIRO NAGLIĆ D.O.O., OLIBSKA 17, 10000 ZAGREB, OIB: 18216105743</v>
      </c>
      <c r="H6179" s="7"/>
      <c r="I6179" s="8" t="s">
        <v>4502</v>
      </c>
      <c r="J6179" s="8" t="s">
        <v>3972</v>
      </c>
      <c r="K6179" s="6" t="str">
        <f>"38.800,00"</f>
        <v>38.800,00</v>
      </c>
      <c r="L6179" s="6" t="str">
        <f>"9.700,00"</f>
        <v>9.700,00</v>
      </c>
      <c r="M6179" s="6" t="str">
        <f>"48.500,00"</f>
        <v>48.500,00</v>
      </c>
      <c r="N6179" s="8" t="s">
        <v>124</v>
      </c>
      <c r="O6179" s="7"/>
      <c r="P6179" s="2" t="s">
        <v>5614</v>
      </c>
      <c r="Q6179" s="7"/>
      <c r="R6179" s="1"/>
      <c r="S6179" s="1" t="str">
        <f>"J-N-809/17"</f>
        <v>J-N-809/17</v>
      </c>
      <c r="T6179" s="1" t="s">
        <v>55</v>
      </c>
    </row>
    <row r="6180" spans="1:20" ht="63.75" x14ac:dyDescent="0.25">
      <c r="A6180" s="6">
        <v>6159</v>
      </c>
      <c r="B6180" s="1" t="str">
        <f>"2017-251"</f>
        <v>2017-251</v>
      </c>
      <c r="C6180" s="1" t="s">
        <v>4503</v>
      </c>
      <c r="D6180" s="1" t="s">
        <v>1979</v>
      </c>
      <c r="E6180" s="1" t="str">
        <f>""</f>
        <v/>
      </c>
      <c r="F6180" s="1" t="s">
        <v>1860</v>
      </c>
      <c r="G6180" s="1" t="str">
        <f>CONCATENATE(" HIDROEKO D.O.O.,"," STARJAK 52,"," 10257 BREZOVICA,"," OIB: 34889829677")</f>
        <v xml:space="preserve"> HIDROEKO D.O.O., STARJAK 52, 10257 BREZOVICA, OIB: 34889829677</v>
      </c>
      <c r="H6180" s="7"/>
      <c r="I6180" s="8" t="s">
        <v>3761</v>
      </c>
      <c r="J6180" s="8" t="s">
        <v>3774</v>
      </c>
      <c r="K6180" s="6" t="str">
        <f>"48.500,00"</f>
        <v>48.500,00</v>
      </c>
      <c r="L6180" s="6" t="str">
        <f>"12.125,00"</f>
        <v>12.125,00</v>
      </c>
      <c r="M6180" s="6" t="str">
        <f>"60.625,00"</f>
        <v>60.625,00</v>
      </c>
      <c r="N6180" s="8" t="s">
        <v>124</v>
      </c>
      <c r="O6180" s="7"/>
      <c r="P6180" s="2" t="s">
        <v>5614</v>
      </c>
      <c r="Q6180" s="7"/>
      <c r="R6180" s="1"/>
      <c r="S6180" s="1" t="str">
        <f>"J-N-826/17"</f>
        <v>J-N-826/17</v>
      </c>
      <c r="T6180" s="1" t="s">
        <v>55</v>
      </c>
    </row>
    <row r="6181" spans="1:20" ht="63.75" x14ac:dyDescent="0.25">
      <c r="A6181" s="6">
        <v>6160</v>
      </c>
      <c r="B6181" s="1" t="str">
        <f>"2017-222"</f>
        <v>2017-222</v>
      </c>
      <c r="C6181" s="1" t="s">
        <v>4504</v>
      </c>
      <c r="D6181" s="1" t="s">
        <v>1979</v>
      </c>
      <c r="E6181" s="1" t="str">
        <f>""</f>
        <v/>
      </c>
      <c r="F6181" s="1" t="s">
        <v>1860</v>
      </c>
      <c r="G6181" s="1" t="str">
        <f>CONCATENATE(" IPZ-NISKOGRADNJA D.O.O.,"," TRG BANA JOSIPA JELAČIĆA 1/II,"," 10000 ZAGREB,"," OIB: 79761663049")</f>
        <v xml:space="preserve"> IPZ-NISKOGRADNJA D.O.O., TRG BANA JOSIPA JELAČIĆA 1/II, 10000 ZAGREB, OIB: 79761663049</v>
      </c>
      <c r="H6181" s="7"/>
      <c r="I6181" s="8" t="s">
        <v>3761</v>
      </c>
      <c r="J6181" s="8" t="s">
        <v>3774</v>
      </c>
      <c r="K6181" s="6" t="str">
        <f>"68.860,00"</f>
        <v>68.860,00</v>
      </c>
      <c r="L6181" s="6" t="str">
        <f>"17.215,00"</f>
        <v>17.215,00</v>
      </c>
      <c r="M6181" s="6" t="str">
        <f>"86.075,00"</f>
        <v>86.075,00</v>
      </c>
      <c r="N6181" s="8" t="s">
        <v>2277</v>
      </c>
      <c r="O6181" s="7"/>
      <c r="P6181" s="2" t="s">
        <v>8680</v>
      </c>
      <c r="Q6181" s="7"/>
      <c r="R6181" s="1"/>
      <c r="S6181" s="1" t="str">
        <f>"J-N-833/17"</f>
        <v>J-N-833/17</v>
      </c>
      <c r="T6181" s="1" t="s">
        <v>55</v>
      </c>
    </row>
    <row r="6182" spans="1:20" ht="89.25" x14ac:dyDescent="0.25">
      <c r="A6182" s="6">
        <v>6161</v>
      </c>
      <c r="B6182" s="1" t="str">
        <f>"2017-263"</f>
        <v>2017-263</v>
      </c>
      <c r="C6182" s="1" t="s">
        <v>4505</v>
      </c>
      <c r="D6182" s="1" t="s">
        <v>1979</v>
      </c>
      <c r="E6182" s="1" t="str">
        <f>""</f>
        <v/>
      </c>
      <c r="F6182" s="1" t="s">
        <v>1860</v>
      </c>
      <c r="G6182" s="1" t="str">
        <f>CONCATENATE(" PROJEKTNI BIRO NAGLIĆ D.O.O.,"," OLIBSKA 17,"," 10000 ZAGREB,"," OIB: 18216105743")</f>
        <v xml:space="preserve"> PROJEKTNI BIRO NAGLIĆ D.O.O., OLIBSKA 17, 10000 ZAGREB, OIB: 18216105743</v>
      </c>
      <c r="H6182" s="7"/>
      <c r="I6182" s="8" t="s">
        <v>4506</v>
      </c>
      <c r="J6182" s="8" t="s">
        <v>4507</v>
      </c>
      <c r="K6182" s="6" t="str">
        <f>"38.800,00"</f>
        <v>38.800,00</v>
      </c>
      <c r="L6182" s="6" t="str">
        <f>"9.700,00"</f>
        <v>9.700,00</v>
      </c>
      <c r="M6182" s="6" t="str">
        <f>"48.500,00"</f>
        <v>48.500,00</v>
      </c>
      <c r="N6182" s="8" t="s">
        <v>2696</v>
      </c>
      <c r="O6182" s="7"/>
      <c r="P6182" s="2" t="s">
        <v>7239</v>
      </c>
      <c r="Q6182" s="7"/>
      <c r="R6182" s="1"/>
      <c r="S6182" s="1" t="str">
        <f>"J-N-887/17"</f>
        <v>J-N-887/17</v>
      </c>
      <c r="T6182" s="1" t="s">
        <v>55</v>
      </c>
    </row>
    <row r="6183" spans="1:20" ht="76.5" x14ac:dyDescent="0.25">
      <c r="A6183" s="6">
        <v>6162</v>
      </c>
      <c r="B6183" s="1" t="str">
        <f>"2017-255"</f>
        <v>2017-255</v>
      </c>
      <c r="C6183" s="1" t="s">
        <v>4508</v>
      </c>
      <c r="D6183" s="1" t="s">
        <v>1979</v>
      </c>
      <c r="E6183" s="1" t="str">
        <f>""</f>
        <v/>
      </c>
      <c r="F6183" s="1" t="s">
        <v>1860</v>
      </c>
      <c r="G6183" s="1" t="str">
        <f>CONCATENATE(" PROJEKTNI BIRO NAGLIĆ D.O.O.,"," OLIBSKA 17,"," 10000 ZAGREB,"," OIB: 18216105743")</f>
        <v xml:space="preserve"> PROJEKTNI BIRO NAGLIĆ D.O.O., OLIBSKA 17, 10000 ZAGREB, OIB: 18216105743</v>
      </c>
      <c r="H6183" s="7"/>
      <c r="I6183" s="8" t="s">
        <v>4506</v>
      </c>
      <c r="J6183" s="8" t="s">
        <v>4507</v>
      </c>
      <c r="K6183" s="6" t="str">
        <f>"48.000,00"</f>
        <v>48.000,00</v>
      </c>
      <c r="L6183" s="6" t="str">
        <f>"12.000,00"</f>
        <v>12.000,00</v>
      </c>
      <c r="M6183" s="6" t="str">
        <f>"60.000,00"</f>
        <v>60.000,00</v>
      </c>
      <c r="N6183" s="8" t="s">
        <v>3877</v>
      </c>
      <c r="O6183" s="7"/>
      <c r="P6183" s="2" t="s">
        <v>8681</v>
      </c>
      <c r="Q6183" s="7"/>
      <c r="R6183" s="1"/>
      <c r="S6183" s="1" t="str">
        <f>"J-N-888/17"</f>
        <v>J-N-888/17</v>
      </c>
      <c r="T6183" s="1" t="s">
        <v>55</v>
      </c>
    </row>
    <row r="6184" spans="1:20" ht="63.75" x14ac:dyDescent="0.25">
      <c r="A6184" s="6">
        <v>6163</v>
      </c>
      <c r="B6184" s="1" t="str">
        <f>"2017-218"</f>
        <v>2017-218</v>
      </c>
      <c r="C6184" s="1" t="s">
        <v>4509</v>
      </c>
      <c r="D6184" s="1" t="s">
        <v>1979</v>
      </c>
      <c r="E6184" s="1" t="str">
        <f>""</f>
        <v/>
      </c>
      <c r="F6184" s="1" t="s">
        <v>1860</v>
      </c>
      <c r="G6184" s="1" t="str">
        <f>CONCATENATE(" PROJEKTNI BIRO NAGLIĆ D.O.O.,"," OLIBSKA 17,"," 10000 ZAGREB,"," OIB: 18216105743")</f>
        <v xml:space="preserve"> PROJEKTNI BIRO NAGLIĆ D.O.O., OLIBSKA 17, 10000 ZAGREB, OIB: 18216105743</v>
      </c>
      <c r="H6184" s="7"/>
      <c r="I6184" s="8" t="s">
        <v>3502</v>
      </c>
      <c r="J6184" s="8" t="s">
        <v>4510</v>
      </c>
      <c r="K6184" s="6" t="str">
        <f>"68.500,00"</f>
        <v>68.500,00</v>
      </c>
      <c r="L6184" s="6" t="str">
        <f>"17.125,00"</f>
        <v>17.125,00</v>
      </c>
      <c r="M6184" s="6" t="str">
        <f>"85.625,00"</f>
        <v>85.625,00</v>
      </c>
      <c r="N6184" s="8" t="s">
        <v>124</v>
      </c>
      <c r="O6184" s="7"/>
      <c r="P6184" s="2" t="s">
        <v>5614</v>
      </c>
      <c r="Q6184" s="7"/>
      <c r="R6184" s="1"/>
      <c r="S6184" s="1" t="str">
        <f>"J-N-928/17"</f>
        <v>J-N-928/17</v>
      </c>
      <c r="T6184" s="1" t="s">
        <v>55</v>
      </c>
    </row>
    <row r="6185" spans="1:20" ht="63.75" x14ac:dyDescent="0.25">
      <c r="A6185" s="6">
        <v>6164</v>
      </c>
      <c r="B6185" s="1" t="str">
        <f>"2017-238"</f>
        <v>2017-238</v>
      </c>
      <c r="C6185" s="1" t="s">
        <v>4511</v>
      </c>
      <c r="D6185" s="1" t="s">
        <v>1979</v>
      </c>
      <c r="E6185" s="1" t="str">
        <f>""</f>
        <v/>
      </c>
      <c r="F6185" s="1" t="s">
        <v>1860</v>
      </c>
      <c r="G6185" s="1" t="str">
        <f>CONCATENATE(" PROJEKTNI BIRO NAGLIĆ D.O.O.,"," OLIBSKA 17,"," 10000 ZAGREB,"," OIB: 18216105743")</f>
        <v xml:space="preserve"> PROJEKTNI BIRO NAGLIĆ D.O.O., OLIBSKA 17, 10000 ZAGREB, OIB: 18216105743</v>
      </c>
      <c r="H6185" s="7"/>
      <c r="I6185" s="8" t="s">
        <v>3502</v>
      </c>
      <c r="J6185" s="8" t="s">
        <v>4510</v>
      </c>
      <c r="K6185" s="6" t="str">
        <f>"58.500,00"</f>
        <v>58.500,00</v>
      </c>
      <c r="L6185" s="6" t="str">
        <f>"14.625,00"</f>
        <v>14.625,00</v>
      </c>
      <c r="M6185" s="6" t="str">
        <f>"73.125,00"</f>
        <v>73.125,00</v>
      </c>
      <c r="N6185" s="8" t="s">
        <v>124</v>
      </c>
      <c r="O6185" s="7"/>
      <c r="P6185" s="2" t="s">
        <v>5614</v>
      </c>
      <c r="Q6185" s="7"/>
      <c r="R6185" s="1"/>
      <c r="S6185" s="1" t="str">
        <f>"J-N-931/17"</f>
        <v>J-N-931/17</v>
      </c>
      <c r="T6185" s="1" t="s">
        <v>55</v>
      </c>
    </row>
    <row r="6186" spans="1:20" ht="51" x14ac:dyDescent="0.25">
      <c r="A6186" s="6">
        <v>6165</v>
      </c>
      <c r="B6186" s="1" t="str">
        <f>"2017-117"</f>
        <v>2017-117</v>
      </c>
      <c r="C6186" s="1" t="s">
        <v>4512</v>
      </c>
      <c r="D6186" s="1" t="s">
        <v>1007</v>
      </c>
      <c r="E6186" s="1" t="str">
        <f>""</f>
        <v/>
      </c>
      <c r="F6186" s="1" t="s">
        <v>1860</v>
      </c>
      <c r="G6186" s="1" t="str">
        <f>CONCATENATE(" TERMOPLIN D. D.,"," VJEKOSLAVA ŠPINČIĆA 78,"," 42000 VARAŽDIN,"," OIB: 70140364776")</f>
        <v xml:space="preserve"> TERMOPLIN D. D., VJEKOSLAVA ŠPINČIĆA 78, 42000 VARAŽDIN, OIB: 70140364776</v>
      </c>
      <c r="H6186" s="7"/>
      <c r="I6186" s="8" t="s">
        <v>4513</v>
      </c>
      <c r="J6186" s="8" t="s">
        <v>4514</v>
      </c>
      <c r="K6186" s="6" t="str">
        <f>"89.555,00"</f>
        <v>89.555,00</v>
      </c>
      <c r="L6186" s="6" t="str">
        <f>"22.388,75"</f>
        <v>22.388,75</v>
      </c>
      <c r="M6186" s="6" t="str">
        <f>"111.943,75"</f>
        <v>111.943,75</v>
      </c>
      <c r="N6186" s="8" t="s">
        <v>3845</v>
      </c>
      <c r="O6186" s="7"/>
      <c r="P6186" s="2" t="s">
        <v>8682</v>
      </c>
      <c r="Q6186" s="7"/>
      <c r="R6186" s="1"/>
      <c r="S6186" s="1" t="str">
        <f>"J-N-959/17"</f>
        <v>J-N-959/17</v>
      </c>
      <c r="T6186" s="1" t="s">
        <v>452</v>
      </c>
    </row>
    <row r="6187" spans="1:20" ht="63.75" x14ac:dyDescent="0.25">
      <c r="A6187" s="6">
        <v>6166</v>
      </c>
      <c r="B6187" s="1" t="str">
        <f>"2017-2519"</f>
        <v>2017-2519</v>
      </c>
      <c r="C6187" s="1" t="s">
        <v>4515</v>
      </c>
      <c r="D6187" s="1" t="s">
        <v>941</v>
      </c>
      <c r="E6187" s="1" t="str">
        <f>""</f>
        <v/>
      </c>
      <c r="F6187" s="1" t="s">
        <v>1860</v>
      </c>
      <c r="G6187" s="1" t="str">
        <f>CONCATENATE(" BOLČEVIĆ-GRADNJA D.O.O.,"," DUGOSELSKA CESTA 56,"," 10361 SESVETSKI KRALJEVEC,"," OIB: 520986705")</f>
        <v xml:space="preserve"> BOLČEVIĆ-GRADNJA D.O.O., DUGOSELSKA CESTA 56, 10361 SESVETSKI KRALJEVEC, OIB: 520986705</v>
      </c>
      <c r="H6187" s="1" t="str">
        <f>CONCATENATE("M G V D.O.O.,"," OIB: 72602155595")</f>
        <v>M G V D.O.O., OIB: 72602155595</v>
      </c>
      <c r="I6187" s="8" t="s">
        <v>4513</v>
      </c>
      <c r="J6187" s="8" t="s">
        <v>4514</v>
      </c>
      <c r="K6187" s="6" t="str">
        <f>"317.026,15"</f>
        <v>317.026,15</v>
      </c>
      <c r="L6187" s="6" t="str">
        <f>"79.256,54"</f>
        <v>79.256,54</v>
      </c>
      <c r="M6187" s="6" t="str">
        <f>"396.282,69"</f>
        <v>396.282,69</v>
      </c>
      <c r="N6187" s="8" t="s">
        <v>3795</v>
      </c>
      <c r="O6187" s="7"/>
      <c r="P6187" s="2" t="s">
        <v>8683</v>
      </c>
      <c r="Q6187" s="7"/>
      <c r="R6187" s="1"/>
      <c r="S6187" s="1" t="str">
        <f>"J-N-960/17"</f>
        <v>J-N-960/17</v>
      </c>
      <c r="T6187" s="1" t="s">
        <v>55</v>
      </c>
    </row>
    <row r="6188" spans="1:20" ht="89.25" x14ac:dyDescent="0.25">
      <c r="A6188" s="6">
        <v>6167</v>
      </c>
      <c r="B6188" s="1" t="str">
        <f>"2017-234"</f>
        <v>2017-234</v>
      </c>
      <c r="C6188" s="1" t="s">
        <v>4516</v>
      </c>
      <c r="D6188" s="1" t="s">
        <v>1979</v>
      </c>
      <c r="E6188" s="1" t="str">
        <f>""</f>
        <v/>
      </c>
      <c r="F6188" s="1" t="s">
        <v>1860</v>
      </c>
      <c r="G6188" s="1" t="str">
        <f>CONCATENATE(" HIDROEKO D.O.O.,"," STARJAK 52,"," 10257 BREZOVICA,"," OIB: 34889829677")</f>
        <v xml:space="preserve"> HIDROEKO D.O.O., STARJAK 52, 10257 BREZOVICA, OIB: 34889829677</v>
      </c>
      <c r="H6188" s="7"/>
      <c r="I6188" s="8" t="s">
        <v>3883</v>
      </c>
      <c r="J6188" s="8" t="s">
        <v>3884</v>
      </c>
      <c r="K6188" s="6" t="str">
        <f>"58.600,00"</f>
        <v>58.600,00</v>
      </c>
      <c r="L6188" s="6" t="str">
        <f>"14.650,00"</f>
        <v>14.650,00</v>
      </c>
      <c r="M6188" s="6" t="str">
        <f>"73.250,00"</f>
        <v>73.250,00</v>
      </c>
      <c r="N6188" s="8" t="s">
        <v>124</v>
      </c>
      <c r="O6188" s="7"/>
      <c r="P6188" s="2" t="s">
        <v>5614</v>
      </c>
      <c r="Q6188" s="7"/>
      <c r="R6188" s="1"/>
      <c r="S6188" s="1" t="str">
        <f>"J-N-1016/17"</f>
        <v>J-N-1016/17</v>
      </c>
      <c r="T6188" s="1" t="s">
        <v>55</v>
      </c>
    </row>
    <row r="6189" spans="1:20" ht="76.5" x14ac:dyDescent="0.25">
      <c r="A6189" s="6">
        <v>6168</v>
      </c>
      <c r="B6189" s="1" t="str">
        <f>"2017-250"</f>
        <v>2017-250</v>
      </c>
      <c r="C6189" s="1" t="s">
        <v>4517</v>
      </c>
      <c r="D6189" s="1" t="s">
        <v>1979</v>
      </c>
      <c r="E6189" s="1" t="str">
        <f>""</f>
        <v/>
      </c>
      <c r="F6189" s="1" t="s">
        <v>1860</v>
      </c>
      <c r="G6189" s="1" t="str">
        <f>CONCATENATE(" IPZ-NISKOGRADNJA D.O.O.,"," TRG BANA JOSIPA JELAČIĆA 1/II,"," 10000 ZAGREB,"," OIB: 79761663049")</f>
        <v xml:space="preserve"> IPZ-NISKOGRADNJA D.O.O., TRG BANA JOSIPA JELAČIĆA 1/II, 10000 ZAGREB, OIB: 79761663049</v>
      </c>
      <c r="H6189" s="7"/>
      <c r="I6189" s="8" t="s">
        <v>4518</v>
      </c>
      <c r="J6189" s="8" t="s">
        <v>3726</v>
      </c>
      <c r="K6189" s="6" t="str">
        <f>"43.000,00"</f>
        <v>43.000,00</v>
      </c>
      <c r="L6189" s="6" t="str">
        <f>"10.750,00"</f>
        <v>10.750,00</v>
      </c>
      <c r="M6189" s="6" t="str">
        <f>"53.750,00"</f>
        <v>53.750,00</v>
      </c>
      <c r="N6189" s="8" t="s">
        <v>124</v>
      </c>
      <c r="O6189" s="7"/>
      <c r="P6189" s="2" t="s">
        <v>5614</v>
      </c>
      <c r="Q6189" s="7"/>
      <c r="R6189" s="1"/>
      <c r="S6189" s="1" t="str">
        <f>"J-N-1017/17"</f>
        <v>J-N-1017/17</v>
      </c>
      <c r="T6189" s="1" t="s">
        <v>55</v>
      </c>
    </row>
    <row r="6190" spans="1:20" ht="63.75" x14ac:dyDescent="0.25">
      <c r="A6190" s="6">
        <v>6169</v>
      </c>
      <c r="B6190" s="1" t="str">
        <f>"2017-252"</f>
        <v>2017-252</v>
      </c>
      <c r="C6190" s="1" t="s">
        <v>4519</v>
      </c>
      <c r="D6190" s="1" t="s">
        <v>1979</v>
      </c>
      <c r="E6190" s="1" t="str">
        <f>""</f>
        <v/>
      </c>
      <c r="F6190" s="1" t="s">
        <v>1860</v>
      </c>
      <c r="G6190" s="1" t="str">
        <f>CONCATENATE(" PROMPT PROJEKTIRANJE D.O.O.,"," TOMISLAVOVA 9,"," 10000 ZAGREB,"," OIB: 30094396634")</f>
        <v xml:space="preserve"> PROMPT PROJEKTIRANJE D.O.O., TOMISLAVOVA 9, 10000 ZAGREB, OIB: 30094396634</v>
      </c>
      <c r="H6190" s="7"/>
      <c r="I6190" s="8" t="s">
        <v>4520</v>
      </c>
      <c r="J6190" s="8" t="s">
        <v>4029</v>
      </c>
      <c r="K6190" s="6" t="str">
        <f>"48.250,00"</f>
        <v>48.250,00</v>
      </c>
      <c r="L6190" s="6" t="str">
        <f>"12.062,50"</f>
        <v>12.062,50</v>
      </c>
      <c r="M6190" s="6" t="str">
        <f>"60.312,50"</f>
        <v>60.312,50</v>
      </c>
      <c r="N6190" s="8" t="s">
        <v>124</v>
      </c>
      <c r="O6190" s="7"/>
      <c r="P6190" s="2" t="s">
        <v>5614</v>
      </c>
      <c r="Q6190" s="7"/>
      <c r="R6190" s="1"/>
      <c r="S6190" s="1" t="str">
        <f>"J-N-1018/17"</f>
        <v>J-N-1018/17</v>
      </c>
      <c r="T6190" s="1" t="s">
        <v>55</v>
      </c>
    </row>
    <row r="6191" spans="1:20" ht="102" x14ac:dyDescent="0.25">
      <c r="A6191" s="6">
        <v>6170</v>
      </c>
      <c r="B6191" s="1" t="str">
        <f>"2017-202"</f>
        <v>2017-202</v>
      </c>
      <c r="C6191" s="1" t="s">
        <v>4521</v>
      </c>
      <c r="D6191" s="1" t="s">
        <v>1979</v>
      </c>
      <c r="E6191" s="1" t="str">
        <f>""</f>
        <v/>
      </c>
      <c r="F6191" s="1" t="s">
        <v>1860</v>
      </c>
      <c r="G6191" s="1" t="str">
        <f>CONCATENATE(" MAŠINOPROJEKT D.O.O.,"," BRAĆE DOMANY 8,"," 10000 ZAGREB,"," OIB: 673908426")</f>
        <v xml:space="preserve"> MAŠINOPROJEKT D.O.O., BRAĆE DOMANY 8, 10000 ZAGREB, OIB: 673908426</v>
      </c>
      <c r="H6191" s="7"/>
      <c r="I6191" s="8" t="s">
        <v>4520</v>
      </c>
      <c r="J6191" s="8" t="s">
        <v>4029</v>
      </c>
      <c r="K6191" s="6" t="str">
        <f>"52.490,00"</f>
        <v>52.490,00</v>
      </c>
      <c r="L6191" s="6" t="str">
        <f>"13.122,50"</f>
        <v>13.122,50</v>
      </c>
      <c r="M6191" s="6" t="str">
        <f>"65.612,50"</f>
        <v>65.612,50</v>
      </c>
      <c r="N6191" s="8" t="s">
        <v>124</v>
      </c>
      <c r="O6191" s="7"/>
      <c r="P6191" s="2" t="s">
        <v>5614</v>
      </c>
      <c r="Q6191" s="7"/>
      <c r="R6191" s="1"/>
      <c r="S6191" s="1" t="str">
        <f>"J-N-1019/17"</f>
        <v>J-N-1019/17</v>
      </c>
      <c r="T6191" s="1" t="s">
        <v>55</v>
      </c>
    </row>
    <row r="6192" spans="1:20" ht="76.5" x14ac:dyDescent="0.25">
      <c r="A6192" s="6">
        <v>6171</v>
      </c>
      <c r="B6192" s="1" t="str">
        <f>"2017-204"</f>
        <v>2017-204</v>
      </c>
      <c r="C6192" s="1" t="s">
        <v>4522</v>
      </c>
      <c r="D6192" s="1" t="s">
        <v>1979</v>
      </c>
      <c r="E6192" s="1" t="str">
        <f>""</f>
        <v/>
      </c>
      <c r="F6192" s="1" t="s">
        <v>1860</v>
      </c>
      <c r="G6192" s="1" t="str">
        <f>CONCATENATE(" HIDRO UNA D.O.O.,"," JOSIPA ANIĆA 14,"," 10000 ZAGREB,"," OIB: 60109409627")</f>
        <v xml:space="preserve"> HIDRO UNA D.O.O., JOSIPA ANIĆA 14, 10000 ZAGREB, OIB: 60109409627</v>
      </c>
      <c r="H6192" s="1" t="str">
        <f>CONCATENATE("AQUA . OMEGA D.O.O.,"," OIB: 76884978496")</f>
        <v>AQUA . OMEGA D.O.O., OIB: 76884978496</v>
      </c>
      <c r="I6192" s="8" t="s">
        <v>4523</v>
      </c>
      <c r="J6192" s="8" t="s">
        <v>4524</v>
      </c>
      <c r="K6192" s="6" t="str">
        <f>"23.950,00"</f>
        <v>23.950,00</v>
      </c>
      <c r="L6192" s="6" t="str">
        <f>"5.987,50"</f>
        <v>5.987,50</v>
      </c>
      <c r="M6192" s="6" t="str">
        <f>"29.937,50"</f>
        <v>29.937,50</v>
      </c>
      <c r="N6192" s="8" t="s">
        <v>221</v>
      </c>
      <c r="O6192" s="7"/>
      <c r="P6192" s="2" t="s">
        <v>7239</v>
      </c>
      <c r="Q6192" s="7"/>
      <c r="R6192" s="1"/>
      <c r="S6192" s="1" t="str">
        <f>"J-N-1032/17"</f>
        <v>J-N-1032/17</v>
      </c>
      <c r="T6192" s="1" t="s">
        <v>55</v>
      </c>
    </row>
    <row r="6193" spans="1:20" ht="165.75" x14ac:dyDescent="0.25">
      <c r="A6193" s="6">
        <v>6172</v>
      </c>
      <c r="B6193" s="1" t="str">
        <f>"2017-136"</f>
        <v>2017-136</v>
      </c>
      <c r="C6193" s="1" t="s">
        <v>4525</v>
      </c>
      <c r="D6193" s="1" t="s">
        <v>515</v>
      </c>
      <c r="E6193" s="1" t="str">
        <f>""</f>
        <v/>
      </c>
      <c r="F6193" s="1" t="s">
        <v>1860</v>
      </c>
      <c r="G6193" s="1" t="str">
        <f>CONCATENATE(" ZIK D.O.O.,"," LJUDEVITA GAJA 17/III,"," 10000 ZAGREB,"," OIB: 74121470605")</f>
        <v xml:space="preserve"> ZIK D.O.O., LJUDEVITA GAJA 17/III, 10000 ZAGREB, OIB: 74121470605</v>
      </c>
      <c r="H6193" s="7"/>
      <c r="I6193" s="8" t="s">
        <v>3887</v>
      </c>
      <c r="J6193" s="8" t="s">
        <v>4526</v>
      </c>
      <c r="K6193" s="6" t="str">
        <f>"128.000,00"</f>
        <v>128.000,00</v>
      </c>
      <c r="L6193" s="6" t="str">
        <f>"32.000,00"</f>
        <v>32.000,00</v>
      </c>
      <c r="M6193" s="6" t="str">
        <f>"160.000,00"</f>
        <v>160.000,00</v>
      </c>
      <c r="N6193" s="8" t="s">
        <v>124</v>
      </c>
      <c r="O6193" s="7"/>
      <c r="P6193" s="2" t="s">
        <v>5614</v>
      </c>
      <c r="Q6193" s="7"/>
      <c r="R6193" s="1"/>
      <c r="S6193" s="1" t="str">
        <f>"J-N-1061/17"</f>
        <v>J-N-1061/17</v>
      </c>
      <c r="T6193" s="1" t="s">
        <v>55</v>
      </c>
    </row>
    <row r="6194" spans="1:20" ht="51" x14ac:dyDescent="0.25">
      <c r="A6194" s="6">
        <v>6173</v>
      </c>
      <c r="B6194" s="1" t="str">
        <f>"2017-1562"</f>
        <v>2017-1562</v>
      </c>
      <c r="C6194" s="1" t="s">
        <v>4527</v>
      </c>
      <c r="D6194" s="1" t="s">
        <v>381</v>
      </c>
      <c r="E6194" s="1" t="str">
        <f>""</f>
        <v/>
      </c>
      <c r="F6194" s="1" t="s">
        <v>1860</v>
      </c>
      <c r="G6194" s="1" t="str">
        <f>CONCATENATE(" HRT - ŠARIĆ D.O.O.,"," ZAGREBAČKA 217,"," 10370 DUGO SELO,"," OIB: 76454212077")</f>
        <v xml:space="preserve"> HRT - ŠARIĆ D.O.O., ZAGREBAČKA 217, 10370 DUGO SELO, OIB: 76454212077</v>
      </c>
      <c r="H6194" s="7"/>
      <c r="I6194" s="8" t="s">
        <v>3887</v>
      </c>
      <c r="J6194" s="8" t="s">
        <v>3888</v>
      </c>
      <c r="K6194" s="6" t="str">
        <f>"32.170,00"</f>
        <v>32.170,00</v>
      </c>
      <c r="L6194" s="6" t="str">
        <f>"8.042,50"</f>
        <v>8.042,50</v>
      </c>
      <c r="M6194" s="6" t="str">
        <f>"40.212,50"</f>
        <v>40.212,50</v>
      </c>
      <c r="N6194" s="8" t="s">
        <v>4528</v>
      </c>
      <c r="O6194" s="7"/>
      <c r="P6194" s="2" t="s">
        <v>8684</v>
      </c>
      <c r="Q6194" s="7"/>
      <c r="R6194" s="1"/>
      <c r="S6194" s="1" t="str">
        <f>"J-N-1062/17"</f>
        <v>J-N-1062/17</v>
      </c>
      <c r="T6194" s="1" t="s">
        <v>452</v>
      </c>
    </row>
    <row r="6195" spans="1:20" ht="102" x14ac:dyDescent="0.25">
      <c r="A6195" s="6">
        <v>6174</v>
      </c>
      <c r="B6195" s="1" t="str">
        <f>"2017-203"</f>
        <v>2017-203</v>
      </c>
      <c r="C6195" s="1" t="s">
        <v>4529</v>
      </c>
      <c r="D6195" s="1" t="s">
        <v>1979</v>
      </c>
      <c r="E6195" s="1" t="str">
        <f>""</f>
        <v/>
      </c>
      <c r="F6195" s="1" t="s">
        <v>1860</v>
      </c>
      <c r="G6195" s="1" t="str">
        <f>CONCATENATE(" HIDRO UNA D.O.O.,"," JOSIPA ANIĆA 14,"," 10000 ZAGREB,"," OIB: 60109409627")</f>
        <v xml:space="preserve"> HIDRO UNA D.O.O., JOSIPA ANIĆA 14, 10000 ZAGREB, OIB: 60109409627</v>
      </c>
      <c r="H6195" s="7"/>
      <c r="I6195" s="8" t="s">
        <v>3887</v>
      </c>
      <c r="J6195" s="8" t="s">
        <v>3888</v>
      </c>
      <c r="K6195" s="6" t="str">
        <f>"29.850,00"</f>
        <v>29.850,00</v>
      </c>
      <c r="L6195" s="6" t="str">
        <f>"7.462,50"</f>
        <v>7.462,50</v>
      </c>
      <c r="M6195" s="6" t="str">
        <f>"37.312,50"</f>
        <v>37.312,50</v>
      </c>
      <c r="N6195" s="8" t="s">
        <v>124</v>
      </c>
      <c r="O6195" s="7"/>
      <c r="P6195" s="2" t="s">
        <v>5614</v>
      </c>
      <c r="Q6195" s="7"/>
      <c r="R6195" s="1"/>
      <c r="S6195" s="1" t="str">
        <f>"J-N-1063/17"</f>
        <v>J-N-1063/17</v>
      </c>
      <c r="T6195" s="1" t="s">
        <v>55</v>
      </c>
    </row>
    <row r="6196" spans="1:20" ht="76.5" x14ac:dyDescent="0.25">
      <c r="A6196" s="6">
        <v>6175</v>
      </c>
      <c r="B6196" s="1" t="str">
        <f>"2017-245"</f>
        <v>2017-245</v>
      </c>
      <c r="C6196" s="1" t="s">
        <v>4530</v>
      </c>
      <c r="D6196" s="1" t="s">
        <v>1979</v>
      </c>
      <c r="E6196" s="1" t="str">
        <f>""</f>
        <v/>
      </c>
      <c r="F6196" s="1" t="s">
        <v>1860</v>
      </c>
      <c r="G6196" s="1" t="str">
        <f>CONCATENATE(" HIDROEKO D.O.O.,"," STARJAK 52,"," 10257 BREZOVICA,"," OIB: 34889829677")</f>
        <v xml:space="preserve"> HIDROEKO D.O.O., STARJAK 52, 10257 BREZOVICA, OIB: 34889829677</v>
      </c>
      <c r="H6196" s="7"/>
      <c r="I6196" s="8" t="s">
        <v>4531</v>
      </c>
      <c r="J6196" s="8" t="s">
        <v>4532</v>
      </c>
      <c r="K6196" s="6" t="str">
        <f>"48.700,00"</f>
        <v>48.700,00</v>
      </c>
      <c r="L6196" s="6" t="str">
        <f>"12.175,00"</f>
        <v>12.175,00</v>
      </c>
      <c r="M6196" s="6" t="str">
        <f>"60.875,00"</f>
        <v>60.875,00</v>
      </c>
      <c r="N6196" s="8" t="s">
        <v>124</v>
      </c>
      <c r="O6196" s="7"/>
      <c r="P6196" s="2" t="s">
        <v>5614</v>
      </c>
      <c r="Q6196" s="7"/>
      <c r="R6196" s="1"/>
      <c r="S6196" s="1" t="str">
        <f>"J-N-1133/17"</f>
        <v>J-N-1133/17</v>
      </c>
      <c r="T6196" s="1" t="s">
        <v>55</v>
      </c>
    </row>
    <row r="6197" spans="1:20" ht="76.5" x14ac:dyDescent="0.25">
      <c r="A6197" s="6">
        <v>6176</v>
      </c>
      <c r="B6197" s="1" t="str">
        <f>"2017-197"</f>
        <v>2017-197</v>
      </c>
      <c r="C6197" s="1" t="s">
        <v>4533</v>
      </c>
      <c r="D6197" s="1" t="s">
        <v>1979</v>
      </c>
      <c r="E6197" s="1" t="str">
        <f>""</f>
        <v/>
      </c>
      <c r="F6197" s="1" t="s">
        <v>1860</v>
      </c>
      <c r="G6197" s="1" t="str">
        <f>CONCATENATE(" HIDRO UNA D.O.O.,"," JOSIPA ANIĆA 14,"," 10000 ZAGREB,"," OIB: 60109409627")</f>
        <v xml:space="preserve"> HIDRO UNA D.O.O., JOSIPA ANIĆA 14, 10000 ZAGREB, OIB: 60109409627</v>
      </c>
      <c r="H6197" s="1" t="str">
        <f>CONCATENATE("AQUA . OMEGA D.O.O.,"," OIB: 76884978496")</f>
        <v>AQUA . OMEGA D.O.O., OIB: 76884978496</v>
      </c>
      <c r="I6197" s="8" t="s">
        <v>4534</v>
      </c>
      <c r="J6197" s="8" t="s">
        <v>4037</v>
      </c>
      <c r="K6197" s="6" t="str">
        <f>"68.250,00"</f>
        <v>68.250,00</v>
      </c>
      <c r="L6197" s="6" t="str">
        <f>"17.062,50"</f>
        <v>17.062,50</v>
      </c>
      <c r="M6197" s="6" t="str">
        <f>"85.312,50"</f>
        <v>85.312,50</v>
      </c>
      <c r="N6197" s="8" t="s">
        <v>124</v>
      </c>
      <c r="O6197" s="7"/>
      <c r="P6197" s="2" t="s">
        <v>5614</v>
      </c>
      <c r="Q6197" s="7"/>
      <c r="R6197" s="1"/>
      <c r="S6197" s="1" t="str">
        <f>"J-N-1207/17"</f>
        <v>J-N-1207/17</v>
      </c>
      <c r="T6197" s="1" t="s">
        <v>55</v>
      </c>
    </row>
    <row r="6198" spans="1:20" ht="63.75" x14ac:dyDescent="0.25">
      <c r="A6198" s="6">
        <v>6177</v>
      </c>
      <c r="B6198" s="1" t="str">
        <f>"2017-209"</f>
        <v>2017-209</v>
      </c>
      <c r="C6198" s="1" t="s">
        <v>4535</v>
      </c>
      <c r="D6198" s="1" t="s">
        <v>1979</v>
      </c>
      <c r="E6198" s="1" t="str">
        <f>""</f>
        <v/>
      </c>
      <c r="F6198" s="1" t="s">
        <v>1860</v>
      </c>
      <c r="G6198" s="1" t="str">
        <f>CONCATENATE(" HIDRO UNA D.O.O.,"," JOSIPA ANIĆA 14,"," 10000 ZAGREB,"," OIB: 60109409627")</f>
        <v xml:space="preserve"> HIDRO UNA D.O.O., JOSIPA ANIĆA 14, 10000 ZAGREB, OIB: 60109409627</v>
      </c>
      <c r="H6198" s="1" t="str">
        <f>CONCATENATE("AQUA . OMEGA D.O.O.,"," OIB: 76884978496")</f>
        <v>AQUA . OMEGA D.O.O., OIB: 76884978496</v>
      </c>
      <c r="I6198" s="8" t="s">
        <v>3624</v>
      </c>
      <c r="J6198" s="8" t="s">
        <v>4536</v>
      </c>
      <c r="K6198" s="6" t="str">
        <f>"27.300,00"</f>
        <v>27.300,00</v>
      </c>
      <c r="L6198" s="6" t="str">
        <f>"6.825,00"</f>
        <v>6.825,00</v>
      </c>
      <c r="M6198" s="6" t="str">
        <f>"34.125,00"</f>
        <v>34.125,00</v>
      </c>
      <c r="N6198" s="8" t="s">
        <v>124</v>
      </c>
      <c r="O6198" s="7"/>
      <c r="P6198" s="2" t="s">
        <v>5614</v>
      </c>
      <c r="Q6198" s="7"/>
      <c r="R6198" s="1"/>
      <c r="S6198" s="1" t="str">
        <f>"J-N-1260/17"</f>
        <v>J-N-1260/17</v>
      </c>
      <c r="T6198" s="1" t="s">
        <v>55</v>
      </c>
    </row>
    <row r="6199" spans="1:20" ht="127.5" x14ac:dyDescent="0.25">
      <c r="A6199" s="6">
        <v>6178</v>
      </c>
      <c r="B6199" s="1" t="str">
        <f>"2017-196"</f>
        <v>2017-196</v>
      </c>
      <c r="C6199" s="1" t="s">
        <v>4537</v>
      </c>
      <c r="D6199" s="1" t="s">
        <v>1979</v>
      </c>
      <c r="E6199" s="1" t="str">
        <f>""</f>
        <v/>
      </c>
      <c r="F6199" s="1" t="s">
        <v>1860</v>
      </c>
      <c r="G6199" s="1" t="str">
        <f>CONCATENATE(" HIDRO UNA D.O.O.,"," JOSIPA ANIĆA 14,"," 10000 ZAGREB,"," OIB: 60109409627")</f>
        <v xml:space="preserve"> HIDRO UNA D.O.O., JOSIPA ANIĆA 14, 10000 ZAGREB, OIB: 60109409627</v>
      </c>
      <c r="H6199" s="1" t="str">
        <f>CONCATENATE("AQUA . OMEGA D.O.O.,"," OIB: 76884978496",CHAR(10),"URED OVLAŠTENOG INŽENJERU GEODEZIJE MARKO BRCKOVIĆ,"," OIB: 28599647174")</f>
        <v>AQUA . OMEGA D.O.O., OIB: 76884978496
URED OVLAŠTENOG INŽENJERU GEODEZIJE MARKO BRCKOVIĆ, OIB: 28599647174</v>
      </c>
      <c r="I6199" s="8" t="s">
        <v>4538</v>
      </c>
      <c r="J6199" s="8" t="s">
        <v>4539</v>
      </c>
      <c r="K6199" s="6" t="str">
        <f>"62.250,00"</f>
        <v>62.250,00</v>
      </c>
      <c r="L6199" s="6" t="str">
        <f>"15.562,50"</f>
        <v>15.562,50</v>
      </c>
      <c r="M6199" s="6" t="str">
        <f>"77.812,50"</f>
        <v>77.812,50</v>
      </c>
      <c r="N6199" s="8" t="s">
        <v>124</v>
      </c>
      <c r="O6199" s="7"/>
      <c r="P6199" s="2" t="s">
        <v>5614</v>
      </c>
      <c r="Q6199" s="7"/>
      <c r="R6199" s="1"/>
      <c r="S6199" s="1" t="str">
        <f>"J-N-1308/17"</f>
        <v>J-N-1308/17</v>
      </c>
      <c r="T6199" s="1" t="s">
        <v>55</v>
      </c>
    </row>
    <row r="6200" spans="1:20" ht="51" x14ac:dyDescent="0.25">
      <c r="A6200" s="6">
        <v>6179</v>
      </c>
      <c r="B6200" s="1" t="str">
        <f>"2017-153"</f>
        <v>2017-153</v>
      </c>
      <c r="C6200" s="1" t="s">
        <v>4540</v>
      </c>
      <c r="D6200" s="1" t="s">
        <v>941</v>
      </c>
      <c r="E6200" s="1" t="str">
        <f>""</f>
        <v/>
      </c>
      <c r="F6200" s="1" t="s">
        <v>1860</v>
      </c>
      <c r="G6200" s="1" t="str">
        <f>CONCATENATE(" INSTAL-PROM D.O.O.,"," LJUTOMERSKA 33A,"," 10040 ZAGREB,"," OIB: 21231984689")</f>
        <v xml:space="preserve"> INSTAL-PROM D.O.O., LJUTOMERSKA 33A, 10040 ZAGREB, OIB: 21231984689</v>
      </c>
      <c r="H6200" s="1" t="str">
        <f>CONCATENATE("GEO 6 D.O.O.,"," OIB: 56516261347")</f>
        <v>GEO 6 D.O.O., OIB: 56516261347</v>
      </c>
      <c r="I6200" s="8" t="s">
        <v>23</v>
      </c>
      <c r="J6200" s="8" t="s">
        <v>3891</v>
      </c>
      <c r="K6200" s="6" t="str">
        <f>"199.168,50"</f>
        <v>199.168,50</v>
      </c>
      <c r="L6200" s="6" t="str">
        <f>"49.792,12"</f>
        <v>49.792,12</v>
      </c>
      <c r="M6200" s="6" t="str">
        <f>"248.960,62"</f>
        <v>248.960,62</v>
      </c>
      <c r="N6200" s="8" t="s">
        <v>124</v>
      </c>
      <c r="O6200" s="7"/>
      <c r="P6200" s="2" t="s">
        <v>5614</v>
      </c>
      <c r="Q6200" s="7"/>
      <c r="R6200" s="1"/>
      <c r="S6200" s="1" t="str">
        <f>"J-N-1309/17"</f>
        <v>J-N-1309/17</v>
      </c>
      <c r="T6200" s="1" t="s">
        <v>55</v>
      </c>
    </row>
    <row r="6201" spans="1:20" ht="140.25" x14ac:dyDescent="0.25">
      <c r="A6201" s="6">
        <v>6180</v>
      </c>
      <c r="B6201" s="1" t="str">
        <f>"2017-2794"</f>
        <v>2017-2794</v>
      </c>
      <c r="C6201" s="1" t="s">
        <v>4541</v>
      </c>
      <c r="D6201" s="1" t="s">
        <v>4542</v>
      </c>
      <c r="E6201" s="1" t="str">
        <f>""</f>
        <v/>
      </c>
      <c r="F6201" s="1" t="s">
        <v>1860</v>
      </c>
      <c r="G6201" s="1"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6201" s="7"/>
      <c r="I6201" s="8" t="s">
        <v>4543</v>
      </c>
      <c r="J6201" s="8" t="s">
        <v>4544</v>
      </c>
      <c r="K6201" s="6" t="str">
        <f>"65.000,00"</f>
        <v>65.000,00</v>
      </c>
      <c r="L6201" s="6" t="str">
        <f>"16.250,00"</f>
        <v>16.250,00</v>
      </c>
      <c r="M6201" s="6" t="str">
        <f>"81.250,00"</f>
        <v>81.250,00</v>
      </c>
      <c r="N6201" s="8" t="s">
        <v>124</v>
      </c>
      <c r="O6201" s="7"/>
      <c r="P6201" s="2" t="s">
        <v>5614</v>
      </c>
      <c r="Q6201" s="7"/>
      <c r="R6201" s="1"/>
      <c r="S6201" s="1" t="str">
        <f>"J-N-1667/17"</f>
        <v>J-N-1667/17</v>
      </c>
      <c r="T6201" s="1" t="s">
        <v>32</v>
      </c>
    </row>
    <row r="6202" spans="1:20" ht="63.75" x14ac:dyDescent="0.25">
      <c r="A6202" s="6">
        <v>6181</v>
      </c>
      <c r="B6202" s="1" t="str">
        <f>"2017-2780"</f>
        <v>2017-2780</v>
      </c>
      <c r="C6202" s="1" t="s">
        <v>4545</v>
      </c>
      <c r="D6202" s="1" t="s">
        <v>2113</v>
      </c>
      <c r="E6202" s="1" t="str">
        <f>""</f>
        <v/>
      </c>
      <c r="F6202" s="1" t="s">
        <v>1860</v>
      </c>
      <c r="G6202" s="1" t="str">
        <f>CONCATENATE(" KULTURA PROSTORA D.O.O,"," MATIJE DIVKOVIĆA 1,"," 10000 ZAGREB,"," OIB: 47515095633")</f>
        <v xml:space="preserve"> KULTURA PROSTORA D.O.O, MATIJE DIVKOVIĆA 1, 10000 ZAGREB, OIB: 47515095633</v>
      </c>
      <c r="H6202" s="7"/>
      <c r="I6202" s="8" t="s">
        <v>4546</v>
      </c>
      <c r="J6202" s="8" t="s">
        <v>4547</v>
      </c>
      <c r="K6202" s="6" t="str">
        <f>"207.879,43"</f>
        <v>207.879,43</v>
      </c>
      <c r="L6202" s="6" t="str">
        <f>"51.969,86"</f>
        <v>51.969,86</v>
      </c>
      <c r="M6202" s="6" t="str">
        <f>"259.849,29"</f>
        <v>259.849,29</v>
      </c>
      <c r="N6202" s="8" t="s">
        <v>4548</v>
      </c>
      <c r="O6202" s="7"/>
      <c r="P6202" s="2" t="s">
        <v>8685</v>
      </c>
      <c r="Q6202" s="1"/>
      <c r="R6202" s="1"/>
      <c r="S6202" s="1" t="str">
        <f>"J-N-1672/17"</f>
        <v>J-N-1672/17</v>
      </c>
      <c r="T6202" s="1" t="s">
        <v>32</v>
      </c>
    </row>
    <row r="6203" spans="1:20" ht="51" x14ac:dyDescent="0.25">
      <c r="A6203" s="6">
        <v>6182</v>
      </c>
      <c r="B6203" s="1" t="str">
        <f>"2017-2761"</f>
        <v>2017-2761</v>
      </c>
      <c r="C6203" s="1" t="s">
        <v>4549</v>
      </c>
      <c r="D6203" s="1" t="s">
        <v>2168</v>
      </c>
      <c r="E6203" s="1" t="str">
        <f>""</f>
        <v/>
      </c>
      <c r="F6203" s="1" t="s">
        <v>1860</v>
      </c>
      <c r="G6203" s="1" t="str">
        <f>CONCATENATE(" LEO GRAD D.O.O.,"," ZELINSKA 8,"," 10360 LUŽAN,"," OIB: 85068601099")</f>
        <v xml:space="preserve"> LEO GRAD D.O.O., ZELINSKA 8, 10360 LUŽAN, OIB: 85068601099</v>
      </c>
      <c r="H6203" s="7"/>
      <c r="I6203" s="8" t="s">
        <v>4546</v>
      </c>
      <c r="J6203" s="8" t="s">
        <v>4547</v>
      </c>
      <c r="K6203" s="6" t="str">
        <f>"295.870,00"</f>
        <v>295.870,00</v>
      </c>
      <c r="L6203" s="6" t="str">
        <f>"73.967,50"</f>
        <v>73.967,50</v>
      </c>
      <c r="M6203" s="6" t="str">
        <f>"369.837,50"</f>
        <v>369.837,50</v>
      </c>
      <c r="N6203" s="8" t="s">
        <v>4550</v>
      </c>
      <c r="O6203" s="7"/>
      <c r="P6203" s="2" t="s">
        <v>8686</v>
      </c>
      <c r="Q6203" s="7"/>
      <c r="R6203" s="1"/>
      <c r="S6203" s="1" t="str">
        <f>"J-N-1673/17"</f>
        <v>J-N-1673/17</v>
      </c>
      <c r="T6203" s="1" t="s">
        <v>452</v>
      </c>
    </row>
    <row r="6204" spans="1:20" ht="140.25" x14ac:dyDescent="0.25">
      <c r="A6204" s="6">
        <v>6183</v>
      </c>
      <c r="B6204" s="1" t="str">
        <f>"2017-2558"</f>
        <v>2017-2558</v>
      </c>
      <c r="C6204" s="1" t="s">
        <v>4551</v>
      </c>
      <c r="D6204" s="1" t="s">
        <v>702</v>
      </c>
      <c r="E6204" s="1" t="str">
        <f>""</f>
        <v/>
      </c>
      <c r="F6204" s="1" t="s">
        <v>1860</v>
      </c>
      <c r="G6204" s="1" t="str">
        <f>CONCATENATE(" MONTMONTAŽA-ZAVARTEK D.O.O.,"," RAKITNICA 2,"," 10040 ZAGREB,"," OIB: 1628810323")</f>
        <v xml:space="preserve"> MONTMONTAŽA-ZAVARTEK D.O.O., RAKITNICA 2, 10040 ZAGREB, OIB: 1628810323</v>
      </c>
      <c r="H6204" s="1" t="str">
        <f>CONCATENATE("MONTMONTAŽA D.D.,"," OIB: 48696032271",CHAR(10),"TEMEX D.O.O.,"," OIB: 89610149986",CHAR(10),"ZIT D.O.O.,"," OIB: 58721577676",CHAR(10),"ELOB D.O.O.,"," OIB: 90957063004")</f>
        <v>MONTMONTAŽA D.D., OIB: 48696032271
TEMEX D.O.O., OIB: 89610149986
ZIT D.O.O., OIB: 58721577676
ELOB D.O.O., OIB: 90957063004</v>
      </c>
      <c r="I6204" s="8" t="s">
        <v>3868</v>
      </c>
      <c r="J6204" s="8" t="s">
        <v>3477</v>
      </c>
      <c r="K6204" s="6" t="str">
        <f>"391.744,80"</f>
        <v>391.744,80</v>
      </c>
      <c r="L6204" s="6" t="str">
        <f>"97.936,20"</f>
        <v>97.936,20</v>
      </c>
      <c r="M6204" s="6" t="str">
        <f>"489.681,00"</f>
        <v>489.681,00</v>
      </c>
      <c r="N6204" s="8" t="s">
        <v>3627</v>
      </c>
      <c r="O6204" s="7"/>
      <c r="P6204" s="2" t="s">
        <v>8687</v>
      </c>
      <c r="Q6204" s="7"/>
      <c r="R6204" s="1"/>
      <c r="S6204" s="1" t="str">
        <f>"J-N-1676/17"</f>
        <v>J-N-1676/17</v>
      </c>
      <c r="T6204" s="1" t="s">
        <v>452</v>
      </c>
    </row>
    <row r="6205" spans="1:20" ht="63.75" x14ac:dyDescent="0.25">
      <c r="A6205" s="6">
        <v>6184</v>
      </c>
      <c r="B6205" s="1" t="str">
        <f>"2017-2699"</f>
        <v>2017-2699</v>
      </c>
      <c r="C6205" s="1" t="s">
        <v>4552</v>
      </c>
      <c r="D6205" s="1" t="s">
        <v>4553</v>
      </c>
      <c r="E6205" s="1" t="str">
        <f>""</f>
        <v/>
      </c>
      <c r="F6205" s="1" t="s">
        <v>1860</v>
      </c>
      <c r="G6205" s="1" t="str">
        <f>CONCATENATE(" TEHNO-ELEKTRO D.O.O.,"," AUGUSTA CESARCA 3,"," 31400 ĐAKOVO,"," OIB: 1165756075")</f>
        <v xml:space="preserve"> TEHNO-ELEKTRO D.O.O., AUGUSTA CESARCA 3, 31400 ĐAKOVO, OIB: 1165756075</v>
      </c>
      <c r="H6205" s="7"/>
      <c r="I6205" s="8" t="s">
        <v>4554</v>
      </c>
      <c r="J6205" s="8" t="s">
        <v>4106</v>
      </c>
      <c r="K6205" s="6" t="str">
        <f>"424.885,00"</f>
        <v>424.885,00</v>
      </c>
      <c r="L6205" s="6" t="str">
        <f>"106.221,25"</f>
        <v>106.221,25</v>
      </c>
      <c r="M6205" s="6" t="str">
        <f>"531.106,25"</f>
        <v>531.106,25</v>
      </c>
      <c r="N6205" s="8" t="s">
        <v>3822</v>
      </c>
      <c r="O6205" s="7"/>
      <c r="P6205" s="2" t="s">
        <v>8688</v>
      </c>
      <c r="Q6205" s="7"/>
      <c r="R6205" s="1"/>
      <c r="S6205" s="1" t="str">
        <f>"J-N-1678/17"</f>
        <v>J-N-1678/17</v>
      </c>
      <c r="T6205" s="1" t="s">
        <v>32</v>
      </c>
    </row>
    <row r="6206" spans="1:20" ht="51" x14ac:dyDescent="0.25">
      <c r="A6206" s="6">
        <v>6185</v>
      </c>
      <c r="B6206" s="1" t="str">
        <f>"2017-2808"</f>
        <v>2017-2808</v>
      </c>
      <c r="C6206" s="1" t="s">
        <v>4555</v>
      </c>
      <c r="D6206" s="1" t="s">
        <v>544</v>
      </c>
      <c r="E6206" s="1" t="str">
        <f>""</f>
        <v/>
      </c>
      <c r="F6206" s="1" t="s">
        <v>1860</v>
      </c>
      <c r="G6206" s="1" t="str">
        <f>CONCATENATE(" VODOSKOK D.D.,"," ČULINEČKA CESTA 221/C,"," 10040 ZAGREB,"," OIB: 34134218058")</f>
        <v xml:space="preserve"> VODOSKOK D.D., ČULINEČKA CESTA 221/C, 10040 ZAGREB, OIB: 34134218058</v>
      </c>
      <c r="H6206" s="7"/>
      <c r="I6206" s="8" t="s">
        <v>3523</v>
      </c>
      <c r="J6206" s="8" t="s">
        <v>3669</v>
      </c>
      <c r="K6206" s="6" t="str">
        <f>"198.985,00"</f>
        <v>198.985,00</v>
      </c>
      <c r="L6206" s="6" t="str">
        <f>"49.746,25"</f>
        <v>49.746,25</v>
      </c>
      <c r="M6206" s="6" t="str">
        <f>"248.731,25"</f>
        <v>248.731,25</v>
      </c>
      <c r="N6206" s="8" t="s">
        <v>620</v>
      </c>
      <c r="O6206" s="7"/>
      <c r="P6206" s="2" t="s">
        <v>8689</v>
      </c>
      <c r="Q6206" s="7"/>
      <c r="R6206" s="1"/>
      <c r="S6206" s="1" t="str">
        <f>"J-N-1680/17"</f>
        <v>J-N-1680/17</v>
      </c>
      <c r="T6206" s="1" t="s">
        <v>452</v>
      </c>
    </row>
    <row r="6207" spans="1:20" ht="76.5" x14ac:dyDescent="0.25">
      <c r="A6207" s="6">
        <v>6186</v>
      </c>
      <c r="B6207" s="1" t="str">
        <f>"2017-243"</f>
        <v>2017-243</v>
      </c>
      <c r="C6207" s="1" t="s">
        <v>4556</v>
      </c>
      <c r="D6207" s="1" t="s">
        <v>1979</v>
      </c>
      <c r="E6207" s="1" t="str">
        <f>""</f>
        <v/>
      </c>
      <c r="F6207" s="1" t="s">
        <v>1860</v>
      </c>
      <c r="G6207" s="1" t="str">
        <f>CONCATENATE(" PROJEKTNI BIRO NAGLIĆ D.O.O.,"," OLIBSKA 17,"," 10000 ZAGREB,"," OIB: 18216105743")</f>
        <v xml:space="preserve"> PROJEKTNI BIRO NAGLIĆ D.O.O., OLIBSKA 17, 10000 ZAGREB, OIB: 18216105743</v>
      </c>
      <c r="H6207" s="7"/>
      <c r="I6207" s="8" t="s">
        <v>3718</v>
      </c>
      <c r="J6207" s="8" t="s">
        <v>413</v>
      </c>
      <c r="K6207" s="6" t="str">
        <f>"48.000,00"</f>
        <v>48.000,00</v>
      </c>
      <c r="L6207" s="6" t="str">
        <f>"12.000,00"</f>
        <v>12.000,00</v>
      </c>
      <c r="M6207" s="6" t="str">
        <f>"60.000,00"</f>
        <v>60.000,00</v>
      </c>
      <c r="N6207" s="8" t="s">
        <v>124</v>
      </c>
      <c r="O6207" s="7"/>
      <c r="P6207" s="2" t="s">
        <v>5614</v>
      </c>
      <c r="Q6207" s="7"/>
      <c r="R6207" s="1"/>
      <c r="S6207" s="1" t="str">
        <f>"J-N-1684/17"</f>
        <v>J-N-1684/17</v>
      </c>
      <c r="T6207" s="1" t="s">
        <v>55</v>
      </c>
    </row>
    <row r="6208" spans="1:20" ht="102" x14ac:dyDescent="0.25">
      <c r="A6208" s="6">
        <v>6187</v>
      </c>
      <c r="B6208" s="1" t="str">
        <f>"2017-2738"</f>
        <v>2017-2738</v>
      </c>
      <c r="C6208" s="1" t="s">
        <v>4557</v>
      </c>
      <c r="D6208" s="1" t="s">
        <v>1979</v>
      </c>
      <c r="E6208" s="1" t="str">
        <f>""</f>
        <v/>
      </c>
      <c r="F6208" s="1" t="s">
        <v>1860</v>
      </c>
      <c r="G6208" s="1"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6208" s="7"/>
      <c r="I6208" s="8" t="s">
        <v>3752</v>
      </c>
      <c r="J6208" s="8" t="s">
        <v>3994</v>
      </c>
      <c r="K6208" s="6" t="str">
        <f>"63.080,00"</f>
        <v>63.080,00</v>
      </c>
      <c r="L6208" s="6" t="str">
        <f>"15.770,00"</f>
        <v>15.770,00</v>
      </c>
      <c r="M6208" s="6" t="str">
        <f>"78.850,00"</f>
        <v>78.850,00</v>
      </c>
      <c r="N6208" s="8" t="s">
        <v>124</v>
      </c>
      <c r="O6208" s="7"/>
      <c r="P6208" s="2" t="s">
        <v>5614</v>
      </c>
      <c r="Q6208" s="7"/>
      <c r="R6208" s="1"/>
      <c r="S6208" s="1" t="str">
        <f>"J-N-1686/17"</f>
        <v>J-N-1686/17</v>
      </c>
      <c r="T6208" s="1" t="s">
        <v>55</v>
      </c>
    </row>
    <row r="6209" spans="1:20" ht="63.75" x14ac:dyDescent="0.25">
      <c r="A6209" s="6">
        <v>6188</v>
      </c>
      <c r="B6209" s="1" t="str">
        <f>"2017-49"</f>
        <v>2017-49</v>
      </c>
      <c r="C6209" s="1" t="s">
        <v>4558</v>
      </c>
      <c r="D6209" s="1" t="s">
        <v>941</v>
      </c>
      <c r="E6209" s="1" t="str">
        <f>""</f>
        <v/>
      </c>
      <c r="F6209" s="1" t="s">
        <v>1860</v>
      </c>
      <c r="G6209" s="1" t="str">
        <f>CONCATENATE(" HIDRO GRAD D.O.O.,"," GUSTAVA KRKLECA,"," RAKITJE 6,"," 10437 BESTOVJE,"," OIB: 49528301725")</f>
        <v xml:space="preserve"> HIDRO GRAD D.O.O., GUSTAVA KRKLECA, RAKITJE 6, 10437 BESTOVJE, OIB: 49528301725</v>
      </c>
      <c r="H6209" s="7"/>
      <c r="I6209" s="8" t="s">
        <v>4559</v>
      </c>
      <c r="J6209" s="8" t="s">
        <v>4560</v>
      </c>
      <c r="K6209" s="6" t="str">
        <f>"178.920,00"</f>
        <v>178.920,00</v>
      </c>
      <c r="L6209" s="6" t="str">
        <f>"44.730,00"</f>
        <v>44.730,00</v>
      </c>
      <c r="M6209" s="6" t="str">
        <f>"223.650,00"</f>
        <v>223.650,00</v>
      </c>
      <c r="N6209" s="8" t="s">
        <v>558</v>
      </c>
      <c r="O6209" s="7"/>
      <c r="P6209" s="2" t="s">
        <v>8690</v>
      </c>
      <c r="Q6209" s="7"/>
      <c r="R6209" s="1"/>
      <c r="S6209" s="1" t="str">
        <f>"J-N-1688/17"</f>
        <v>J-N-1688/17</v>
      </c>
      <c r="T6209" s="1" t="s">
        <v>55</v>
      </c>
    </row>
    <row r="6210" spans="1:20" ht="51" x14ac:dyDescent="0.25">
      <c r="A6210" s="6">
        <v>6189</v>
      </c>
      <c r="B6210" s="1" t="str">
        <f>"2017-2771"</f>
        <v>2017-2771</v>
      </c>
      <c r="C6210" s="1" t="s">
        <v>4561</v>
      </c>
      <c r="D6210" s="1" t="s">
        <v>4562</v>
      </c>
      <c r="E6210" s="1" t="str">
        <f>""</f>
        <v/>
      </c>
      <c r="F6210" s="1" t="s">
        <v>1860</v>
      </c>
      <c r="G6210" s="1" t="str">
        <f>CONCATENATE(" BK MONTAŽA D.O.O.,"," DORE PEJAČEVIĆ 1,"," 10000 ZAGREB,"," OIB: 80580557122")</f>
        <v xml:space="preserve"> BK MONTAŽA D.O.O., DORE PEJAČEVIĆ 1, 10000 ZAGREB, OIB: 80580557122</v>
      </c>
      <c r="H6210" s="1" t="str">
        <f>CONCATENATE("GROMATIC KR D.O.O.,"," OIB: 82769972632")</f>
        <v>GROMATIC KR D.O.O., OIB: 82769972632</v>
      </c>
      <c r="I6210" s="8" t="s">
        <v>4559</v>
      </c>
      <c r="J6210" s="8" t="s">
        <v>4560</v>
      </c>
      <c r="K6210" s="6" t="str">
        <f>"268.671,30"</f>
        <v>268.671,30</v>
      </c>
      <c r="L6210" s="6" t="str">
        <f>"67.167,82"</f>
        <v>67.167,82</v>
      </c>
      <c r="M6210" s="6" t="str">
        <f>"335.839,12"</f>
        <v>335.839,12</v>
      </c>
      <c r="N6210" s="8" t="s">
        <v>268</v>
      </c>
      <c r="O6210" s="7"/>
      <c r="P6210" s="2" t="s">
        <v>8691</v>
      </c>
      <c r="Q6210" s="7"/>
      <c r="R6210" s="1"/>
      <c r="S6210" s="1" t="str">
        <f>"J-N-1690/17"</f>
        <v>J-N-1690/17</v>
      </c>
      <c r="T6210" s="1" t="s">
        <v>32</v>
      </c>
    </row>
    <row r="6211" spans="1:20" ht="63.75" x14ac:dyDescent="0.25">
      <c r="A6211" s="6">
        <v>6190</v>
      </c>
      <c r="B6211" s="1" t="str">
        <f>"2017-2797"</f>
        <v>2017-2797</v>
      </c>
      <c r="C6211" s="1" t="s">
        <v>4563</v>
      </c>
      <c r="D6211" s="1" t="s">
        <v>1979</v>
      </c>
      <c r="E6211" s="1" t="str">
        <f>""</f>
        <v/>
      </c>
      <c r="F6211" s="1" t="s">
        <v>1860</v>
      </c>
      <c r="G6211" s="1" t="str">
        <f>CONCATENATE(" HIDROEKO D.O.O.,"," STARJAK 52,"," 10257 BREZOVICA,"," OIB: 34889829677")</f>
        <v xml:space="preserve"> HIDROEKO D.O.O., STARJAK 52, 10257 BREZOVICA, OIB: 34889829677</v>
      </c>
      <c r="H6211" s="7"/>
      <c r="I6211" s="8" t="s">
        <v>3840</v>
      </c>
      <c r="J6211" s="8" t="s">
        <v>4564</v>
      </c>
      <c r="K6211" s="6" t="str">
        <f>"33.800,00"</f>
        <v>33.800,00</v>
      </c>
      <c r="L6211" s="6" t="str">
        <f>"8.450,00"</f>
        <v>8.450,00</v>
      </c>
      <c r="M6211" s="6" t="str">
        <f>"42.250,00"</f>
        <v>42.250,00</v>
      </c>
      <c r="N6211" s="8" t="s">
        <v>124</v>
      </c>
      <c r="O6211" s="7"/>
      <c r="P6211" s="2" t="s">
        <v>5614</v>
      </c>
      <c r="Q6211" s="7"/>
      <c r="R6211" s="1"/>
      <c r="S6211" s="1" t="str">
        <f>"J-N-1691/17"</f>
        <v>J-N-1691/17</v>
      </c>
      <c r="T6211" s="1" t="s">
        <v>55</v>
      </c>
    </row>
    <row r="6212" spans="1:20" ht="76.5" x14ac:dyDescent="0.25">
      <c r="A6212" s="6">
        <v>6191</v>
      </c>
      <c r="B6212" s="1" t="str">
        <f>"2017-2763"</f>
        <v>2017-2763</v>
      </c>
      <c r="C6212" s="1" t="s">
        <v>4565</v>
      </c>
      <c r="D6212" s="1" t="s">
        <v>1979</v>
      </c>
      <c r="E6212" s="1" t="str">
        <f>""</f>
        <v/>
      </c>
      <c r="F6212" s="1" t="s">
        <v>1860</v>
      </c>
      <c r="G6212" s="1" t="str">
        <f>CONCATENATE(" ARHINGTRADE D.O.O.,"," GAJEVA 47,"," 10000 ZAGREB,"," OIB: 19240285746")</f>
        <v xml:space="preserve"> ARHINGTRADE D.O.O., GAJEVA 47, 10000 ZAGREB, OIB: 19240285746</v>
      </c>
      <c r="H6212" s="1" t="str">
        <f>CONCATENATE("PROMJER D.O.O.,"," OIB: 72919419273")</f>
        <v>PROMJER D.O.O., OIB: 72919419273</v>
      </c>
      <c r="I6212" s="8" t="s">
        <v>4566</v>
      </c>
      <c r="J6212" s="8" t="s">
        <v>4567</v>
      </c>
      <c r="K6212" s="6" t="str">
        <f>"93.000,00"</f>
        <v>93.000,00</v>
      </c>
      <c r="L6212" s="6" t="str">
        <f>"23.250,00"</f>
        <v>23.250,00</v>
      </c>
      <c r="M6212" s="6" t="str">
        <f>"116.250,00"</f>
        <v>116.250,00</v>
      </c>
      <c r="N6212" s="8" t="s">
        <v>124</v>
      </c>
      <c r="O6212" s="7"/>
      <c r="P6212" s="2" t="s">
        <v>5614</v>
      </c>
      <c r="Q6212" s="7"/>
      <c r="R6212" s="1"/>
      <c r="S6212" s="1" t="str">
        <f>"J-N-1698/17"</f>
        <v>J-N-1698/17</v>
      </c>
      <c r="T6212" s="1" t="s">
        <v>55</v>
      </c>
    </row>
    <row r="6213" spans="1:20" ht="89.25" x14ac:dyDescent="0.25">
      <c r="A6213" s="6">
        <v>6192</v>
      </c>
      <c r="B6213" s="1" t="str">
        <f>"2017-2617"</f>
        <v>2017-2617</v>
      </c>
      <c r="C6213" s="1" t="s">
        <v>4568</v>
      </c>
      <c r="D6213" s="1" t="s">
        <v>1641</v>
      </c>
      <c r="E6213" s="1" t="str">
        <f>""</f>
        <v/>
      </c>
      <c r="F6213" s="1" t="s">
        <v>1860</v>
      </c>
      <c r="G6213" s="1" t="str">
        <f>CONCATENATE(" URED OVLAŠTENOG INŽENJERA GRAĐEVINARSTVA GORDANA BRAJE,"," NOVA CESTA 152,"," 10000 ZAGREB,"," OIB: 25092213322")</f>
        <v xml:space="preserve"> URED OVLAŠTENOG INŽENJERA GRAĐEVINARSTVA GORDANA BRAJE, NOVA CESTA 152, 10000 ZAGREB, OIB: 25092213322</v>
      </c>
      <c r="H6213" s="1" t="str">
        <f>CONCATENATE("EHO-COENG D.O.O.,"," OIB: 52184999125")</f>
        <v>EHO-COENG D.O.O., OIB: 52184999125</v>
      </c>
      <c r="I6213" s="8" t="s">
        <v>4569</v>
      </c>
      <c r="J6213" s="8" t="s">
        <v>4570</v>
      </c>
      <c r="K6213" s="6" t="str">
        <f>"10.600,00"</f>
        <v>10.600,00</v>
      </c>
      <c r="L6213" s="6" t="str">
        <f>"2.650,00"</f>
        <v>2.650,00</v>
      </c>
      <c r="M6213" s="6" t="str">
        <f>"13.250,00"</f>
        <v>13.250,00</v>
      </c>
      <c r="N6213" s="8" t="s">
        <v>124</v>
      </c>
      <c r="O6213" s="7"/>
      <c r="P6213" s="2" t="s">
        <v>5614</v>
      </c>
      <c r="Q6213" s="7"/>
      <c r="R6213" s="1"/>
      <c r="S6213" s="1" t="str">
        <f>"J-N-1700/17"</f>
        <v>J-N-1700/17</v>
      </c>
      <c r="T6213" s="1" t="s">
        <v>32</v>
      </c>
    </row>
    <row r="6214" spans="1:20" ht="89.25" x14ac:dyDescent="0.25">
      <c r="A6214" s="6">
        <v>6193</v>
      </c>
      <c r="B6214" s="1" t="str">
        <f>"2017-2924"</f>
        <v>2017-2924</v>
      </c>
      <c r="C6214" s="1" t="s">
        <v>4571</v>
      </c>
      <c r="D6214" s="1" t="s">
        <v>2195</v>
      </c>
      <c r="E6214" s="1" t="str">
        <f>""</f>
        <v/>
      </c>
      <c r="F6214" s="1" t="s">
        <v>1860</v>
      </c>
      <c r="G6214" s="1" t="str">
        <f>CONCATENATE(" TERMOINŽENJERING-MONTAŽA D.D.,"," BUKOVJE BISTRANSKO,"," STUBIČKA 358,"," 10298 DONJA BISTRA,"," OIB: 72469078487")</f>
        <v xml:space="preserve"> TERMOINŽENJERING-MONTAŽA D.D., BUKOVJE BISTRANSKO, STUBIČKA 358, 10298 DONJA BISTRA, OIB: 72469078487</v>
      </c>
      <c r="H6214" s="7"/>
      <c r="I6214" s="8" t="s">
        <v>4572</v>
      </c>
      <c r="J6214" s="8" t="s">
        <v>4573</v>
      </c>
      <c r="K6214" s="6" t="str">
        <f>"238.623,00"</f>
        <v>238.623,00</v>
      </c>
      <c r="L6214" s="6" t="str">
        <f>"59.655,75"</f>
        <v>59.655,75</v>
      </c>
      <c r="M6214" s="6" t="str">
        <f>"298.278,75"</f>
        <v>298.278,75</v>
      </c>
      <c r="N6214" s="8" t="s">
        <v>3554</v>
      </c>
      <c r="O6214" s="7"/>
      <c r="P6214" s="2" t="s">
        <v>8692</v>
      </c>
      <c r="Q6214" s="7"/>
      <c r="R6214" s="1"/>
      <c r="S6214" s="1" t="str">
        <f>"J-N-1701/17"</f>
        <v>J-N-1701/17</v>
      </c>
      <c r="T6214" s="1" t="s">
        <v>32</v>
      </c>
    </row>
    <row r="6215" spans="1:20" ht="51" x14ac:dyDescent="0.25">
      <c r="A6215" s="6">
        <v>6194</v>
      </c>
      <c r="B6215" s="1" t="str">
        <f>"2017-2638"</f>
        <v>2017-2638</v>
      </c>
      <c r="C6215" s="1" t="s">
        <v>4574</v>
      </c>
      <c r="D6215" s="1" t="s">
        <v>1383</v>
      </c>
      <c r="E6215" s="1" t="str">
        <f>""</f>
        <v/>
      </c>
      <c r="F6215" s="1" t="s">
        <v>1860</v>
      </c>
      <c r="G6215" s="1" t="str">
        <f>CONCATENATE(" RANUS D.O.O.,"," STUBIČKA 44,"," 10000 ZAGREB,"," OIB: 65348127386")</f>
        <v xml:space="preserve"> RANUS D.O.O., STUBIČKA 44, 10000 ZAGREB, OIB: 65348127386</v>
      </c>
      <c r="H6215" s="1" t="str">
        <f>CONCATENATE("C.I.A.K. D.O.O.,"," OIB: 47428597158")</f>
        <v>C.I.A.K. D.O.O., OIB: 47428597158</v>
      </c>
      <c r="I6215" s="8" t="s">
        <v>3892</v>
      </c>
      <c r="J6215" s="8" t="s">
        <v>4134</v>
      </c>
      <c r="K6215" s="6" t="str">
        <f>"257.295,50"</f>
        <v>257.295,50</v>
      </c>
      <c r="L6215" s="6" t="str">
        <f>"64.323,88"</f>
        <v>64.323,88</v>
      </c>
      <c r="M6215" s="6" t="str">
        <f>"321.619,38"</f>
        <v>321.619,38</v>
      </c>
      <c r="N6215" s="8" t="s">
        <v>3888</v>
      </c>
      <c r="O6215" s="7"/>
      <c r="P6215" s="2" t="s">
        <v>8693</v>
      </c>
      <c r="Q6215" s="1" t="s">
        <v>4575</v>
      </c>
      <c r="R6215" s="1"/>
      <c r="S6215" s="1" t="str">
        <f>"J-N-1706/17"</f>
        <v>J-N-1706/17</v>
      </c>
      <c r="T6215" s="1" t="s">
        <v>32</v>
      </c>
    </row>
    <row r="6216" spans="1:20" ht="102" x14ac:dyDescent="0.25">
      <c r="A6216" s="6">
        <v>6195</v>
      </c>
      <c r="B6216" s="1" t="str">
        <f>"2017-18"</f>
        <v>2017-18</v>
      </c>
      <c r="C6216" s="1" t="s">
        <v>4576</v>
      </c>
      <c r="D6216" s="1" t="s">
        <v>1824</v>
      </c>
      <c r="E6216" s="1" t="str">
        <f>""</f>
        <v/>
      </c>
      <c r="F6216" s="1" t="s">
        <v>1860</v>
      </c>
      <c r="G6216" s="1" t="str">
        <f>CONCATENATE(" TOMISLAV VITKOVIĆ D.O.O.,"," GOSPOČAK 102,"," 10000 ZAGREB,"," OIB: 77808965838")</f>
        <v xml:space="preserve"> TOMISLAV VITKOVIĆ D.O.O., GOSPOČAK 102, 10000 ZAGREB, OIB: 77808965838</v>
      </c>
      <c r="H6216" s="7"/>
      <c r="I6216" s="8" t="s">
        <v>4577</v>
      </c>
      <c r="J6216" s="8" t="s">
        <v>4578</v>
      </c>
      <c r="K6216" s="6" t="str">
        <f>"121.500,00"</f>
        <v>121.500,00</v>
      </c>
      <c r="L6216" s="6" t="str">
        <f>"30.375,00"</f>
        <v>30.375,00</v>
      </c>
      <c r="M6216" s="6" t="str">
        <f>"151.875,00"</f>
        <v>151.875,00</v>
      </c>
      <c r="N6216" s="8" t="s">
        <v>124</v>
      </c>
      <c r="O6216" s="7"/>
      <c r="P6216" s="2" t="s">
        <v>5614</v>
      </c>
      <c r="Q6216" s="7"/>
      <c r="R6216" s="1"/>
      <c r="S6216" s="1" t="str">
        <f>"J-N-1710/17"</f>
        <v>J-N-1710/17</v>
      </c>
      <c r="T6216" s="1" t="s">
        <v>55</v>
      </c>
    </row>
    <row r="6217" spans="1:20" ht="63.75" x14ac:dyDescent="0.25">
      <c r="A6217" s="6">
        <v>6196</v>
      </c>
      <c r="B6217" s="1" t="str">
        <f>"2018-1102"</f>
        <v>2018-1102</v>
      </c>
      <c r="C6217" s="1" t="s">
        <v>4579</v>
      </c>
      <c r="D6217" s="1" t="s">
        <v>1979</v>
      </c>
      <c r="E6217" s="1" t="str">
        <f>""</f>
        <v/>
      </c>
      <c r="F6217" s="1" t="s">
        <v>1860</v>
      </c>
      <c r="G6217" s="1" t="str">
        <f>CONCATENATE(" HIDRO UNA D.O.O.,"," JOSIPA ANIĆA 14,"," 10000 ZAGREB,"," OIB: 60109409627")</f>
        <v xml:space="preserve"> HIDRO UNA D.O.O., JOSIPA ANIĆA 14, 10000 ZAGREB, OIB: 60109409627</v>
      </c>
      <c r="H6217" s="7"/>
      <c r="I6217" s="8" t="s">
        <v>4580</v>
      </c>
      <c r="J6217" s="8" t="s">
        <v>3519</v>
      </c>
      <c r="K6217" s="6" t="str">
        <f>"87.650,00"</f>
        <v>87.650,00</v>
      </c>
      <c r="L6217" s="6" t="str">
        <f>"21.912,50"</f>
        <v>21.912,50</v>
      </c>
      <c r="M6217" s="6" t="str">
        <f>"109.562,50"</f>
        <v>109.562,50</v>
      </c>
      <c r="N6217" s="8" t="s">
        <v>124</v>
      </c>
      <c r="O6217" s="7"/>
      <c r="P6217" s="2" t="s">
        <v>5614</v>
      </c>
      <c r="Q6217" s="7"/>
      <c r="R6217" s="1"/>
      <c r="S6217" s="1" t="str">
        <f>"J-N-5/18"</f>
        <v>J-N-5/18</v>
      </c>
      <c r="T6217" s="1" t="s">
        <v>55</v>
      </c>
    </row>
    <row r="6218" spans="1:20" ht="76.5" x14ac:dyDescent="0.25">
      <c r="A6218" s="6">
        <v>6197</v>
      </c>
      <c r="B6218" s="1" t="str">
        <f>"2018-1996"</f>
        <v>2018-1996</v>
      </c>
      <c r="C6218" s="1" t="s">
        <v>4581</v>
      </c>
      <c r="D6218" s="1" t="s">
        <v>2068</v>
      </c>
      <c r="E6218" s="1" t="str">
        <f>""</f>
        <v/>
      </c>
      <c r="F6218" s="1" t="s">
        <v>1860</v>
      </c>
      <c r="G6218" s="1" t="str">
        <f>CONCATENATE(" TEMPORIUM GRADNJA D.O.O.,"," LJUTOMERSKA ULICA 33A,"," 10000 ZAGREB,"," OIB: 6285048268")</f>
        <v xml:space="preserve"> TEMPORIUM GRADNJA D.O.O., LJUTOMERSKA ULICA 33A, 10000 ZAGREB, OIB: 6285048268</v>
      </c>
      <c r="H6218" s="1" t="str">
        <f>CONCATENATE("INSTAL-PROM D.O.O.,"," OIB: 21231984689",CHAR(10),"GEO 6 D.O.O.,"," OIB: 56516261347")</f>
        <v>INSTAL-PROM D.O.O., OIB: 21231984689
GEO 6 D.O.O., OIB: 56516261347</v>
      </c>
      <c r="I6218" s="8" t="s">
        <v>4582</v>
      </c>
      <c r="J6218" s="8" t="s">
        <v>4583</v>
      </c>
      <c r="K6218" s="6" t="str">
        <f>"364.272,30"</f>
        <v>364.272,30</v>
      </c>
      <c r="L6218" s="6" t="str">
        <f>"91.068,08"</f>
        <v>91.068,08</v>
      </c>
      <c r="M6218" s="6" t="str">
        <f>"455.340,38"</f>
        <v>455.340,38</v>
      </c>
      <c r="N6218" s="8" t="s">
        <v>3910</v>
      </c>
      <c r="O6218" s="7"/>
      <c r="P6218" s="2" t="s">
        <v>8694</v>
      </c>
      <c r="Q6218" s="7"/>
      <c r="R6218" s="1"/>
      <c r="S6218" s="1" t="str">
        <f>"J-N-6/18"</f>
        <v>J-N-6/18</v>
      </c>
      <c r="T6218" s="1" t="s">
        <v>55</v>
      </c>
    </row>
    <row r="6219" spans="1:20" ht="63.75" x14ac:dyDescent="0.25">
      <c r="A6219" s="6">
        <v>6198</v>
      </c>
      <c r="B6219" s="1" t="str">
        <f>"2018-2059"</f>
        <v>2018-2059</v>
      </c>
      <c r="C6219" s="1" t="s">
        <v>4584</v>
      </c>
      <c r="D6219" s="1" t="s">
        <v>1979</v>
      </c>
      <c r="E6219" s="1" t="str">
        <f>""</f>
        <v/>
      </c>
      <c r="F6219" s="1" t="s">
        <v>1860</v>
      </c>
      <c r="G6219" s="1" t="str">
        <f>CONCATENATE(" HIDRO UNA D.O.O.,"," JOSIPA ANIĆA 14,"," 10000 ZAGREB,"," OIB: 60109409627")</f>
        <v xml:space="preserve"> HIDRO UNA D.O.O., JOSIPA ANIĆA 14, 10000 ZAGREB, OIB: 60109409627</v>
      </c>
      <c r="H6219" s="1" t="str">
        <f>CONCATENATE("AQUA . OMEGA D.O.O.,"," OIB: 76884978496")</f>
        <v>AQUA . OMEGA D.O.O., OIB: 76884978496</v>
      </c>
      <c r="I6219" s="8" t="s">
        <v>4493</v>
      </c>
      <c r="J6219" s="8" t="s">
        <v>4230</v>
      </c>
      <c r="K6219" s="6" t="str">
        <f>"38.360,00"</f>
        <v>38.360,00</v>
      </c>
      <c r="L6219" s="6" t="str">
        <f>"9.590,00"</f>
        <v>9.590,00</v>
      </c>
      <c r="M6219" s="6" t="str">
        <f>"47.950,00"</f>
        <v>47.950,00</v>
      </c>
      <c r="N6219" s="8" t="s">
        <v>124</v>
      </c>
      <c r="O6219" s="7"/>
      <c r="P6219" s="2" t="s">
        <v>5614</v>
      </c>
      <c r="Q6219" s="7"/>
      <c r="R6219" s="1"/>
      <c r="S6219" s="1" t="str">
        <f>"J-N-8/18"</f>
        <v>J-N-8/18</v>
      </c>
      <c r="T6219" s="1" t="s">
        <v>55</v>
      </c>
    </row>
    <row r="6220" spans="1:20" ht="76.5" x14ac:dyDescent="0.25">
      <c r="A6220" s="6">
        <v>6199</v>
      </c>
      <c r="B6220" s="1" t="str">
        <f>"2018-2165"</f>
        <v>2018-2165</v>
      </c>
      <c r="C6220" s="1" t="s">
        <v>4585</v>
      </c>
      <c r="D6220" s="1" t="s">
        <v>1979</v>
      </c>
      <c r="E6220" s="1" t="str">
        <f>""</f>
        <v/>
      </c>
      <c r="F6220" s="1" t="s">
        <v>1860</v>
      </c>
      <c r="G6220" s="1" t="str">
        <f>CONCATENATE(" KAPROJEKT D.O.O.,"," M. VRHOVCA 3,"," 47000 KARLOVAC,"," OIB: 42714818335")</f>
        <v xml:space="preserve"> KAPROJEKT D.O.O., M. VRHOVCA 3, 47000 KARLOVAC, OIB: 42714818335</v>
      </c>
      <c r="H6220" s="1" t="str">
        <f>CONCATENATE("GEOASPEKT D.O.O.,"," OIB: 65266041437")</f>
        <v>GEOASPEKT D.O.O., OIB: 65266041437</v>
      </c>
      <c r="I6220" s="8" t="s">
        <v>3802</v>
      </c>
      <c r="J6220" s="8" t="s">
        <v>4586</v>
      </c>
      <c r="K6220" s="6" t="str">
        <f>"40.500,00"</f>
        <v>40.500,00</v>
      </c>
      <c r="L6220" s="6" t="str">
        <f>"10.125,00"</f>
        <v>10.125,00</v>
      </c>
      <c r="M6220" s="6" t="str">
        <f>"50.625,00"</f>
        <v>50.625,00</v>
      </c>
      <c r="N6220" s="8" t="s">
        <v>124</v>
      </c>
      <c r="O6220" s="7"/>
      <c r="P6220" s="2" t="s">
        <v>5614</v>
      </c>
      <c r="Q6220" s="7"/>
      <c r="R6220" s="1"/>
      <c r="S6220" s="1" t="str">
        <f>"J-N-15/18"</f>
        <v>J-N-15/18</v>
      </c>
      <c r="T6220" s="1" t="s">
        <v>55</v>
      </c>
    </row>
    <row r="6221" spans="1:20" ht="51" x14ac:dyDescent="0.25">
      <c r="A6221" s="6">
        <v>6200</v>
      </c>
      <c r="B6221" s="1" t="str">
        <f>"2018-1244"</f>
        <v>2018-1244</v>
      </c>
      <c r="C6221" s="1" t="s">
        <v>4587</v>
      </c>
      <c r="D6221" s="1" t="s">
        <v>941</v>
      </c>
      <c r="E6221" s="1" t="str">
        <f>""</f>
        <v/>
      </c>
      <c r="F6221" s="1" t="s">
        <v>1860</v>
      </c>
      <c r="G6221" s="1" t="str">
        <f>CONCATENATE(" GEORAD D.O.O.,"," KORNATSKA 1,"," 10000 ZAGREB,"," OIB: 49756748234")</f>
        <v xml:space="preserve"> GEORAD D.O.O., KORNATSKA 1, 10000 ZAGREB, OIB: 49756748234</v>
      </c>
      <c r="H6221" s="7"/>
      <c r="I6221" s="8" t="s">
        <v>4588</v>
      </c>
      <c r="J6221" s="8" t="s">
        <v>3882</v>
      </c>
      <c r="K6221" s="6" t="str">
        <f>"315.872,00"</f>
        <v>315.872,00</v>
      </c>
      <c r="L6221" s="6" t="str">
        <f>"78.968,00"</f>
        <v>78.968,00</v>
      </c>
      <c r="M6221" s="6" t="str">
        <f>"394.840,00"</f>
        <v>394.840,00</v>
      </c>
      <c r="N6221" s="8" t="s">
        <v>4103</v>
      </c>
      <c r="O6221" s="7"/>
      <c r="P6221" s="2" t="s">
        <v>8695</v>
      </c>
      <c r="Q6221" s="7"/>
      <c r="R6221" s="1"/>
      <c r="S6221" s="1" t="str">
        <f>"J-N-16/18"</f>
        <v>J-N-16/18</v>
      </c>
      <c r="T6221" s="1" t="s">
        <v>55</v>
      </c>
    </row>
    <row r="6222" spans="1:20" ht="51" x14ac:dyDescent="0.25">
      <c r="A6222" s="6">
        <v>6201</v>
      </c>
      <c r="B6222" s="1" t="str">
        <f>"2018-2491"</f>
        <v>2018-2491</v>
      </c>
      <c r="C6222" s="1" t="s">
        <v>2371</v>
      </c>
      <c r="D6222" s="1" t="s">
        <v>2372</v>
      </c>
      <c r="E6222" s="1" t="str">
        <f>""</f>
        <v/>
      </c>
      <c r="F6222" s="1" t="s">
        <v>1860</v>
      </c>
      <c r="G6222" s="1" t="str">
        <f>CONCATENATE(" HM PATRIA D.O.O.,"," OBOJ 47,"," 10000 ZAGREB,"," OIB: 89124687679")</f>
        <v xml:space="preserve"> HM PATRIA D.O.O., OBOJ 47, 10000 ZAGREB, OIB: 89124687679</v>
      </c>
      <c r="H6222" s="7"/>
      <c r="I6222" s="8" t="s">
        <v>3698</v>
      </c>
      <c r="J6222" s="8" t="s">
        <v>4589</v>
      </c>
      <c r="K6222" s="6" t="str">
        <f>"77.470,00"</f>
        <v>77.470,00</v>
      </c>
      <c r="L6222" s="6" t="str">
        <f>"19.367,50"</f>
        <v>19.367,50</v>
      </c>
      <c r="M6222" s="6" t="str">
        <f>"96.837,50"</f>
        <v>96.837,50</v>
      </c>
      <c r="N6222" s="8" t="s">
        <v>3946</v>
      </c>
      <c r="O6222" s="7"/>
      <c r="P6222" s="2" t="s">
        <v>8696</v>
      </c>
      <c r="Q6222" s="7"/>
      <c r="R6222" s="1"/>
      <c r="S6222" s="1" t="str">
        <f>"J-N-17/18"</f>
        <v>J-N-17/18</v>
      </c>
      <c r="T6222" s="1" t="s">
        <v>55</v>
      </c>
    </row>
    <row r="6223" spans="1:20" ht="63.75" x14ac:dyDescent="0.25">
      <c r="A6223" s="6">
        <v>6202</v>
      </c>
      <c r="B6223" s="1" t="str">
        <f>"2018-2693"</f>
        <v>2018-2693</v>
      </c>
      <c r="C6223" s="1" t="s">
        <v>4590</v>
      </c>
      <c r="D6223" s="1" t="s">
        <v>1979</v>
      </c>
      <c r="E6223" s="1" t="str">
        <f>""</f>
        <v/>
      </c>
      <c r="F6223" s="1" t="s">
        <v>1860</v>
      </c>
      <c r="G6223" s="1" t="str">
        <f>CONCATENATE(" HIDRO PLUS D.O.O.,"," REISNEROVA 115,"," 31000 OSIJEK,"," OIB: 33089184428")</f>
        <v xml:space="preserve"> HIDRO PLUS D.O.O., REISNEROVA 115, 31000 OSIJEK, OIB: 33089184428</v>
      </c>
      <c r="H6223" s="7"/>
      <c r="I6223" s="8" t="s">
        <v>3884</v>
      </c>
      <c r="J6223" s="8" t="s">
        <v>4591</v>
      </c>
      <c r="K6223" s="6" t="str">
        <f>"34.200,00"</f>
        <v>34.200,00</v>
      </c>
      <c r="L6223" s="6" t="str">
        <f>"8.550,00"</f>
        <v>8.550,00</v>
      </c>
      <c r="M6223" s="6" t="str">
        <f>"42.750,00"</f>
        <v>42.750,00</v>
      </c>
      <c r="N6223" s="8" t="s">
        <v>124</v>
      </c>
      <c r="O6223" s="7"/>
      <c r="P6223" s="2" t="s">
        <v>5614</v>
      </c>
      <c r="Q6223" s="7"/>
      <c r="R6223" s="1"/>
      <c r="S6223" s="1" t="str">
        <f>"J-N-19/18"</f>
        <v>J-N-19/18</v>
      </c>
      <c r="T6223" s="1" t="s">
        <v>55</v>
      </c>
    </row>
    <row r="6224" spans="1:20" ht="89.25" x14ac:dyDescent="0.25">
      <c r="A6224" s="6">
        <v>6203</v>
      </c>
      <c r="B6224" s="1" t="str">
        <f>"2018-2290"</f>
        <v>2018-2290</v>
      </c>
      <c r="C6224" s="1" t="s">
        <v>4592</v>
      </c>
      <c r="D6224" s="1" t="s">
        <v>1979</v>
      </c>
      <c r="E6224" s="1" t="str">
        <f>""</f>
        <v/>
      </c>
      <c r="F6224" s="1" t="s">
        <v>1860</v>
      </c>
      <c r="G6224" s="1" t="str">
        <f>CONCATENATE(" HIDRO PLUS D.O.O.,"," REISNEROVA 115,"," 31000 OSIJEK,"," OIB: 33089184428")</f>
        <v xml:space="preserve"> HIDRO PLUS D.O.O., REISNEROVA 115, 31000 OSIJEK, OIB: 33089184428</v>
      </c>
      <c r="H6224" s="1" t="str">
        <f>CONCATENATE("URED OVLAŠTENOG INŽENJERA GEODEZIJE FRANJO MIJAKOVIĆ,"," OIB: 34353658529")</f>
        <v>URED OVLAŠTENOG INŽENJERA GEODEZIJE FRANJO MIJAKOVIĆ, OIB: 34353658529</v>
      </c>
      <c r="I6224" s="8" t="s">
        <v>3884</v>
      </c>
      <c r="J6224" s="8" t="s">
        <v>4591</v>
      </c>
      <c r="K6224" s="6" t="str">
        <f>"48.400,00"</f>
        <v>48.400,00</v>
      </c>
      <c r="L6224" s="6" t="str">
        <f>"12.100,00"</f>
        <v>12.100,00</v>
      </c>
      <c r="M6224" s="6" t="str">
        <f>"60.500,00"</f>
        <v>60.500,00</v>
      </c>
      <c r="N6224" s="8" t="s">
        <v>124</v>
      </c>
      <c r="O6224" s="7"/>
      <c r="P6224" s="2" t="s">
        <v>5614</v>
      </c>
      <c r="Q6224" s="7"/>
      <c r="R6224" s="1"/>
      <c r="S6224" s="1" t="str">
        <f>"J-N-20/18"</f>
        <v>J-N-20/18</v>
      </c>
      <c r="T6224" s="1" t="s">
        <v>55</v>
      </c>
    </row>
    <row r="6225" spans="1:20" ht="63.75" x14ac:dyDescent="0.25">
      <c r="A6225" s="6">
        <v>6204</v>
      </c>
      <c r="B6225" s="1" t="str">
        <f>"2018-2017"</f>
        <v>2018-2017</v>
      </c>
      <c r="C6225" s="1" t="s">
        <v>4593</v>
      </c>
      <c r="D6225" s="1" t="s">
        <v>1979</v>
      </c>
      <c r="E6225" s="1" t="str">
        <f>""</f>
        <v/>
      </c>
      <c r="F6225" s="1" t="s">
        <v>1860</v>
      </c>
      <c r="G6225" s="1" t="str">
        <f>CONCATENATE(" SEDRA CONSULTING D.O.O.,"," USKOPSKA 11,"," 10010 ZAGREB,"," OIB: 09177957072")</f>
        <v xml:space="preserve"> SEDRA CONSULTING D.O.O., USKOPSKA 11, 10010 ZAGREB, OIB: 09177957072</v>
      </c>
      <c r="H6225" s="7"/>
      <c r="I6225" s="8" t="s">
        <v>4048</v>
      </c>
      <c r="J6225" s="8" t="s">
        <v>4049</v>
      </c>
      <c r="K6225" s="6" t="str">
        <f>"68.000,00"</f>
        <v>68.000,00</v>
      </c>
      <c r="L6225" s="6" t="str">
        <f>"17.000,00"</f>
        <v>17.000,00</v>
      </c>
      <c r="M6225" s="6" t="str">
        <f>"85.000,00"</f>
        <v>85.000,00</v>
      </c>
      <c r="N6225" s="8" t="s">
        <v>4594</v>
      </c>
      <c r="O6225" s="7"/>
      <c r="P6225" s="2" t="s">
        <v>8697</v>
      </c>
      <c r="Q6225" s="7"/>
      <c r="R6225" s="1"/>
      <c r="S6225" s="1" t="str">
        <f>"J-N-21/18"</f>
        <v>J-N-21/18</v>
      </c>
      <c r="T6225" s="1" t="s">
        <v>55</v>
      </c>
    </row>
    <row r="6226" spans="1:20" ht="76.5" x14ac:dyDescent="0.25">
      <c r="A6226" s="6">
        <v>6205</v>
      </c>
      <c r="B6226" s="1" t="str">
        <f>"2018-2314"</f>
        <v>2018-2314</v>
      </c>
      <c r="C6226" s="1" t="s">
        <v>4595</v>
      </c>
      <c r="D6226" s="1" t="s">
        <v>941</v>
      </c>
      <c r="E6226" s="1" t="str">
        <f>""</f>
        <v/>
      </c>
      <c r="F6226" s="1" t="s">
        <v>1860</v>
      </c>
      <c r="G6226" s="1" t="str">
        <f>CONCATENATE(" NEVING D.O.O.,"," PAVLA RADIĆA 3,"," 10000 ZAGREB,"," OIB: 70989676533")</f>
        <v xml:space="preserve"> NEVING D.O.O., PAVLA RADIĆA 3, 10000 ZAGREB, OIB: 70989676533</v>
      </c>
      <c r="H6226" s="1" t="str">
        <f>CONCATENATE("AKSIJAL D.O.O.,"," OIB: 73216285877",CHAR(10),"GEO GRUPA D.O.O.,"," OIB: 56055678342")</f>
        <v>AKSIJAL D.O.O., OIB: 73216285877
GEO GRUPA D.O.O., OIB: 56055678342</v>
      </c>
      <c r="I6226" s="8" t="s">
        <v>4596</v>
      </c>
      <c r="J6226" s="8" t="s">
        <v>4597</v>
      </c>
      <c r="K6226" s="6" t="str">
        <f>"255.815,00"</f>
        <v>255.815,00</v>
      </c>
      <c r="L6226" s="6" t="str">
        <f>"63.953,75"</f>
        <v>63.953,75</v>
      </c>
      <c r="M6226" s="6" t="str">
        <f>"319.768,75"</f>
        <v>319.768,75</v>
      </c>
      <c r="N6226" s="8" t="s">
        <v>4598</v>
      </c>
      <c r="O6226" s="7"/>
      <c r="P6226" s="2" t="s">
        <v>8698</v>
      </c>
      <c r="Q6226" s="7"/>
      <c r="R6226" s="1"/>
      <c r="S6226" s="1" t="str">
        <f>"J-N-22/18"</f>
        <v>J-N-22/18</v>
      </c>
      <c r="T6226" s="1" t="s">
        <v>55</v>
      </c>
    </row>
    <row r="6227" spans="1:20" ht="63.75" x14ac:dyDescent="0.25">
      <c r="A6227" s="6">
        <v>6206</v>
      </c>
      <c r="B6227" s="1" t="str">
        <f>"2018-1791"</f>
        <v>2018-1791</v>
      </c>
      <c r="C6227" s="1" t="s">
        <v>4599</v>
      </c>
      <c r="D6227" s="1" t="s">
        <v>1979</v>
      </c>
      <c r="E6227" s="1" t="str">
        <f>""</f>
        <v/>
      </c>
      <c r="F6227" s="1" t="s">
        <v>1860</v>
      </c>
      <c r="G6227" s="1" t="str">
        <f>CONCATENATE(" ARHINGTRADE D.O.O.,"," GAJEVA 47,"," 10000 ZAGREB,"," OIB: 19240285746")</f>
        <v xml:space="preserve"> ARHINGTRADE D.O.O., GAJEVA 47, 10000 ZAGREB, OIB: 19240285746</v>
      </c>
      <c r="H6227" s="7"/>
      <c r="I6227" s="8" t="s">
        <v>3477</v>
      </c>
      <c r="J6227" s="8" t="s">
        <v>4600</v>
      </c>
      <c r="K6227" s="6" t="str">
        <f>"87.000,00"</f>
        <v>87.000,00</v>
      </c>
      <c r="L6227" s="6" t="str">
        <f>"21.750,00"</f>
        <v>21.750,00</v>
      </c>
      <c r="M6227" s="6" t="str">
        <f>"108.750,00"</f>
        <v>108.750,00</v>
      </c>
      <c r="N6227" s="8" t="s">
        <v>124</v>
      </c>
      <c r="O6227" s="7"/>
      <c r="P6227" s="2" t="s">
        <v>5614</v>
      </c>
      <c r="Q6227" s="7"/>
      <c r="R6227" s="1"/>
      <c r="S6227" s="1" t="str">
        <f>"J-N-24/18"</f>
        <v>J-N-24/18</v>
      </c>
      <c r="T6227" s="1" t="s">
        <v>55</v>
      </c>
    </row>
    <row r="6228" spans="1:20" ht="63.75" x14ac:dyDescent="0.25">
      <c r="A6228" s="6">
        <v>6207</v>
      </c>
      <c r="B6228" s="1" t="str">
        <f>"2018-2437"</f>
        <v>2018-2437</v>
      </c>
      <c r="C6228" s="1" t="s">
        <v>4601</v>
      </c>
      <c r="D6228" s="1" t="s">
        <v>1979</v>
      </c>
      <c r="E6228" s="1" t="str">
        <f>""</f>
        <v/>
      </c>
      <c r="F6228" s="1" t="s">
        <v>1860</v>
      </c>
      <c r="G6228" s="1" t="str">
        <f>CONCATENATE(" IGR D.O.O.,"," AUGUSTA ŠENOE 9,"," 10000 ZAGREB,"," OIB: 00000519429")</f>
        <v xml:space="preserve"> IGR D.O.O., AUGUSTA ŠENOE 9, 10000 ZAGREB, OIB: 00000519429</v>
      </c>
      <c r="H6228" s="7"/>
      <c r="I6228" s="8" t="s">
        <v>4602</v>
      </c>
      <c r="J6228" s="8" t="s">
        <v>4197</v>
      </c>
      <c r="K6228" s="6" t="str">
        <f>"45.000,00"</f>
        <v>45.000,00</v>
      </c>
      <c r="L6228" s="6" t="str">
        <f>"11.250,00"</f>
        <v>11.250,00</v>
      </c>
      <c r="M6228" s="6" t="str">
        <f>"56.250,00"</f>
        <v>56.250,00</v>
      </c>
      <c r="N6228" s="8" t="s">
        <v>124</v>
      </c>
      <c r="O6228" s="7"/>
      <c r="P6228" s="2" t="s">
        <v>5614</v>
      </c>
      <c r="Q6228" s="7"/>
      <c r="R6228" s="1"/>
      <c r="S6228" s="1" t="str">
        <f>"J-N-25/18"</f>
        <v>J-N-25/18</v>
      </c>
      <c r="T6228" s="1" t="s">
        <v>55</v>
      </c>
    </row>
    <row r="6229" spans="1:20" ht="76.5" x14ac:dyDescent="0.25">
      <c r="A6229" s="6">
        <v>6208</v>
      </c>
      <c r="B6229" s="1" t="str">
        <f>"2018-368"</f>
        <v>2018-368</v>
      </c>
      <c r="C6229" s="1" t="s">
        <v>4603</v>
      </c>
      <c r="D6229" s="1" t="s">
        <v>941</v>
      </c>
      <c r="E6229" s="1" t="str">
        <f>""</f>
        <v/>
      </c>
      <c r="F6229" s="1" t="s">
        <v>1860</v>
      </c>
      <c r="G6229" s="1" t="str">
        <f>CONCATENATE(" HIDRO GRAD D.O.O.,"," GUSTAVA KRKLECA,"," RAKITJE 6,"," 10437 BESTOVJE,"," OIB: 49528301725")</f>
        <v xml:space="preserve"> HIDRO GRAD D.O.O., GUSTAVA KRKLECA, RAKITJE 6, 10437 BESTOVJE, OIB: 49528301725</v>
      </c>
      <c r="H6229" s="1" t="str">
        <f>CONCATENATE("PATRLJI D.O.O.,"," OIB: 11170922230",CHAR(10),"GEO MEDIA D.O.O.,"," OIB: 63264844366")</f>
        <v>PATRLJI D.O.O., OIB: 11170922230
GEO MEDIA D.O.O., OIB: 63264844366</v>
      </c>
      <c r="I6229" s="8" t="s">
        <v>4029</v>
      </c>
      <c r="J6229" s="8" t="s">
        <v>4604</v>
      </c>
      <c r="K6229" s="6" t="str">
        <f>"177.887,43"</f>
        <v>177.887,43</v>
      </c>
      <c r="L6229" s="6" t="str">
        <f>"44.471,86"</f>
        <v>44.471,86</v>
      </c>
      <c r="M6229" s="6" t="str">
        <f>"222.359,29"</f>
        <v>222.359,29</v>
      </c>
      <c r="N6229" s="8" t="s">
        <v>4073</v>
      </c>
      <c r="O6229" s="7"/>
      <c r="P6229" s="2" t="s">
        <v>8699</v>
      </c>
      <c r="Q6229" s="7"/>
      <c r="R6229" s="1"/>
      <c r="S6229" s="1" t="str">
        <f>"J-N-26/18"</f>
        <v>J-N-26/18</v>
      </c>
      <c r="T6229" s="1" t="s">
        <v>55</v>
      </c>
    </row>
    <row r="6230" spans="1:20" ht="63.75" x14ac:dyDescent="0.25">
      <c r="A6230" s="6">
        <v>6209</v>
      </c>
      <c r="B6230" s="1" t="str">
        <f>"2018-2041"</f>
        <v>2018-2041</v>
      </c>
      <c r="C6230" s="1" t="s">
        <v>3406</v>
      </c>
      <c r="D6230" s="1" t="s">
        <v>2659</v>
      </c>
      <c r="E6230" s="1" t="str">
        <f>""</f>
        <v/>
      </c>
      <c r="F6230" s="1" t="s">
        <v>1860</v>
      </c>
      <c r="G6230" s="1" t="str">
        <f>CONCATENATE(" HENNLICH D.O.O.,"," STUPNIČKOOBREŠKA 17,"," 10255 GORNJI STUPNIK,"," OIB: 44725135398")</f>
        <v xml:space="preserve"> HENNLICH D.O.O., STUPNIČKOOBREŠKA 17, 10255 GORNJI STUPNIK, OIB: 44725135398</v>
      </c>
      <c r="H6230" s="7"/>
      <c r="I6230" s="8" t="s">
        <v>4605</v>
      </c>
      <c r="J6230" s="8" t="s">
        <v>3902</v>
      </c>
      <c r="K6230" s="6" t="str">
        <f>"198.360,00"</f>
        <v>198.360,00</v>
      </c>
      <c r="L6230" s="6" t="str">
        <f>"49.590,00"</f>
        <v>49.590,00</v>
      </c>
      <c r="M6230" s="6" t="str">
        <f>"247.950,00"</f>
        <v>247.950,00</v>
      </c>
      <c r="N6230" s="8" t="s">
        <v>124</v>
      </c>
      <c r="O6230" s="7"/>
      <c r="P6230" s="2" t="s">
        <v>5614</v>
      </c>
      <c r="Q6230" s="7"/>
      <c r="R6230" s="1"/>
      <c r="S6230" s="1" t="str">
        <f>"J-N-30/18"</f>
        <v>J-N-30/18</v>
      </c>
      <c r="T6230" s="1" t="s">
        <v>55</v>
      </c>
    </row>
    <row r="6231" spans="1:20" ht="89.25" x14ac:dyDescent="0.25">
      <c r="A6231" s="6">
        <v>6210</v>
      </c>
      <c r="B6231" s="1" t="str">
        <f>"2018-1455"</f>
        <v>2018-1455</v>
      </c>
      <c r="C6231" s="1" t="s">
        <v>4606</v>
      </c>
      <c r="D6231" s="1" t="s">
        <v>1979</v>
      </c>
      <c r="E6231" s="1" t="str">
        <f>""</f>
        <v/>
      </c>
      <c r="F6231" s="1" t="s">
        <v>1860</v>
      </c>
      <c r="G6231" s="1" t="str">
        <f>CONCATENATE(" IGR D.O.O.,"," AUGUSTA ŠENOE 9,"," 10000 ZAGREB,"," OIB: 00000519429")</f>
        <v xml:space="preserve"> IGR D.O.O., AUGUSTA ŠENOE 9, 10000 ZAGREB, OIB: 00000519429</v>
      </c>
      <c r="H6231" s="7"/>
      <c r="I6231" s="8" t="s">
        <v>4607</v>
      </c>
      <c r="J6231" s="8" t="s">
        <v>4608</v>
      </c>
      <c r="K6231" s="6" t="str">
        <f>"32.500,00"</f>
        <v>32.500,00</v>
      </c>
      <c r="L6231" s="6" t="str">
        <f>"8.125,00"</f>
        <v>8.125,00</v>
      </c>
      <c r="M6231" s="6" t="str">
        <f>"40.625,00"</f>
        <v>40.625,00</v>
      </c>
      <c r="N6231" s="8" t="s">
        <v>124</v>
      </c>
      <c r="O6231" s="7"/>
      <c r="P6231" s="2" t="s">
        <v>5614</v>
      </c>
      <c r="Q6231" s="7"/>
      <c r="R6231" s="1"/>
      <c r="S6231" s="1" t="str">
        <f>"J-N-33/18"</f>
        <v>J-N-33/18</v>
      </c>
      <c r="T6231" s="1" t="s">
        <v>55</v>
      </c>
    </row>
    <row r="6232" spans="1:20" ht="76.5" x14ac:dyDescent="0.25">
      <c r="A6232" s="6">
        <v>6211</v>
      </c>
      <c r="B6232" s="1" t="str">
        <f>"2018-2077"</f>
        <v>2018-2077</v>
      </c>
      <c r="C6232" s="1" t="s">
        <v>4609</v>
      </c>
      <c r="D6232" s="1" t="s">
        <v>1979</v>
      </c>
      <c r="E6232" s="1" t="str">
        <f>""</f>
        <v/>
      </c>
      <c r="F6232" s="1" t="s">
        <v>1860</v>
      </c>
      <c r="G6232" s="1" t="str">
        <f>CONCATENATE(" PROJEKTNI BIRO NAGLIĆ D.O.O.,"," OLIBSKA 17,"," 10000 ZAGREB,"," OIB: 18216105743")</f>
        <v xml:space="preserve"> PROJEKTNI BIRO NAGLIĆ D.O.O., OLIBSKA 17, 10000 ZAGREB, OIB: 18216105743</v>
      </c>
      <c r="H6232" s="7"/>
      <c r="I6232" s="8" t="s">
        <v>4610</v>
      </c>
      <c r="J6232" s="8" t="s">
        <v>4611</v>
      </c>
      <c r="K6232" s="6" t="str">
        <f>"58.500,00"</f>
        <v>58.500,00</v>
      </c>
      <c r="L6232" s="6" t="str">
        <f>"14.625,00"</f>
        <v>14.625,00</v>
      </c>
      <c r="M6232" s="6" t="str">
        <f>"73.125,00"</f>
        <v>73.125,00</v>
      </c>
      <c r="N6232" s="8" t="s">
        <v>124</v>
      </c>
      <c r="O6232" s="7"/>
      <c r="P6232" s="2" t="s">
        <v>5614</v>
      </c>
      <c r="Q6232" s="7"/>
      <c r="R6232" s="1"/>
      <c r="S6232" s="1" t="str">
        <f>"J-N-34/18"</f>
        <v>J-N-34/18</v>
      </c>
      <c r="T6232" s="1" t="s">
        <v>55</v>
      </c>
    </row>
    <row r="6233" spans="1:20" ht="89.25" x14ac:dyDescent="0.25">
      <c r="A6233" s="6">
        <v>6212</v>
      </c>
      <c r="B6233" s="1" t="str">
        <f>"2018-1124"</f>
        <v>2018-1124</v>
      </c>
      <c r="C6233" s="1" t="s">
        <v>4612</v>
      </c>
      <c r="D6233" s="1" t="s">
        <v>1979</v>
      </c>
      <c r="E6233" s="1" t="str">
        <f>""</f>
        <v/>
      </c>
      <c r="F6233" s="1" t="s">
        <v>1860</v>
      </c>
      <c r="G6233" s="1" t="str">
        <f>CONCATENATE(" KAPROJEKT D.O.O.,"," M. VRHOVCA 3,"," 47000 KARLOVAC,"," OIB: 42714818335")</f>
        <v xml:space="preserve"> KAPROJEKT D.O.O., M. VRHOVCA 3, 47000 KARLOVAC, OIB: 42714818335</v>
      </c>
      <c r="H6233" s="1" t="str">
        <f>CONCATENATE("GEOASPEKT D.O.O.,"," OIB: 65266041437")</f>
        <v>GEOASPEKT D.O.O., OIB: 65266041437</v>
      </c>
      <c r="I6233" s="8" t="s">
        <v>4613</v>
      </c>
      <c r="J6233" s="8" t="s">
        <v>4614</v>
      </c>
      <c r="K6233" s="6" t="str">
        <f>"78.600,00"</f>
        <v>78.600,00</v>
      </c>
      <c r="L6233" s="6" t="str">
        <f>"19.650,00"</f>
        <v>19.650,00</v>
      </c>
      <c r="M6233" s="6" t="str">
        <f>"98.250,00"</f>
        <v>98.250,00</v>
      </c>
      <c r="N6233" s="8" t="s">
        <v>124</v>
      </c>
      <c r="O6233" s="7"/>
      <c r="P6233" s="2" t="s">
        <v>5614</v>
      </c>
      <c r="Q6233" s="7"/>
      <c r="R6233" s="1"/>
      <c r="S6233" s="1" t="str">
        <f>"J-N-35/18"</f>
        <v>J-N-35/18</v>
      </c>
      <c r="T6233" s="1" t="s">
        <v>55</v>
      </c>
    </row>
    <row r="6234" spans="1:20" ht="76.5" x14ac:dyDescent="0.25">
      <c r="A6234" s="6">
        <v>6213</v>
      </c>
      <c r="B6234" s="1" t="str">
        <f>"2018-1142"</f>
        <v>2018-1142</v>
      </c>
      <c r="C6234" s="1" t="s">
        <v>4615</v>
      </c>
      <c r="D6234" s="1" t="s">
        <v>1979</v>
      </c>
      <c r="E6234" s="1" t="str">
        <f>""</f>
        <v/>
      </c>
      <c r="F6234" s="1" t="s">
        <v>1860</v>
      </c>
      <c r="G6234" s="1" t="str">
        <f>CONCATENATE(" SEDRA CONSULTING D.O.O.,"," USKOPSKA 11,"," 10010 ZAGREB,"," OIB: 09177957072")</f>
        <v xml:space="preserve"> SEDRA CONSULTING D.O.O., USKOPSKA 11, 10010 ZAGREB, OIB: 09177957072</v>
      </c>
      <c r="H6234" s="7"/>
      <c r="I6234" s="8" t="s">
        <v>4616</v>
      </c>
      <c r="J6234" s="8" t="s">
        <v>4088</v>
      </c>
      <c r="K6234" s="6" t="str">
        <f>"24.400,00"</f>
        <v>24.400,00</v>
      </c>
      <c r="L6234" s="6" t="str">
        <f>"6.100,00"</f>
        <v>6.100,00</v>
      </c>
      <c r="M6234" s="6" t="str">
        <f>"30.500,00"</f>
        <v>30.500,00</v>
      </c>
      <c r="N6234" s="8" t="s">
        <v>3520</v>
      </c>
      <c r="O6234" s="7"/>
      <c r="P6234" s="2" t="s">
        <v>8700</v>
      </c>
      <c r="Q6234" s="7"/>
      <c r="R6234" s="1"/>
      <c r="S6234" s="1" t="str">
        <f>"J-N-36/18"</f>
        <v>J-N-36/18</v>
      </c>
      <c r="T6234" s="1" t="s">
        <v>55</v>
      </c>
    </row>
    <row r="6235" spans="1:20" ht="51" x14ac:dyDescent="0.25">
      <c r="A6235" s="6">
        <v>6214</v>
      </c>
      <c r="B6235" s="1" t="str">
        <f>"2018-2653"</f>
        <v>2018-2653</v>
      </c>
      <c r="C6235" s="1" t="s">
        <v>1096</v>
      </c>
      <c r="D6235" s="1" t="s">
        <v>2797</v>
      </c>
      <c r="E6235" s="1" t="str">
        <f>""</f>
        <v/>
      </c>
      <c r="F6235" s="1" t="s">
        <v>1860</v>
      </c>
      <c r="G6235" s="1" t="str">
        <f>CONCATENATE(" FEROMIHIN D.O.O.,"," MOSLOVAČKA 22,"," 10315 NOVOSELEC,"," OIB: 34404573953")</f>
        <v xml:space="preserve"> FEROMIHIN D.O.O., MOSLOVAČKA 22, 10315 NOVOSELEC, OIB: 34404573953</v>
      </c>
      <c r="H6235" s="7"/>
      <c r="I6235" s="8" t="s">
        <v>4617</v>
      </c>
      <c r="J6235" s="8" t="s">
        <v>4249</v>
      </c>
      <c r="K6235" s="6" t="str">
        <f>"189.828,00"</f>
        <v>189.828,00</v>
      </c>
      <c r="L6235" s="6" t="str">
        <f>"47.457,00"</f>
        <v>47.457,00</v>
      </c>
      <c r="M6235" s="6" t="str">
        <f>"237.285,00"</f>
        <v>237.285,00</v>
      </c>
      <c r="N6235" s="8" t="s">
        <v>4618</v>
      </c>
      <c r="O6235" s="7"/>
      <c r="P6235" s="2" t="s">
        <v>8701</v>
      </c>
      <c r="Q6235" s="7"/>
      <c r="R6235" s="1"/>
      <c r="S6235" s="1" t="str">
        <f>"J-N-48/18"</f>
        <v>J-N-48/18</v>
      </c>
      <c r="T6235" s="1" t="s">
        <v>452</v>
      </c>
    </row>
    <row r="6236" spans="1:20" ht="114.75" x14ac:dyDescent="0.25">
      <c r="A6236" s="6">
        <v>6215</v>
      </c>
      <c r="B6236" s="1" t="str">
        <f>"2018-2654"</f>
        <v>2018-2654</v>
      </c>
      <c r="C6236" s="1" t="s">
        <v>4619</v>
      </c>
      <c r="D6236" s="1" t="s">
        <v>941</v>
      </c>
      <c r="E6236" s="1" t="str">
        <f>""</f>
        <v/>
      </c>
      <c r="F6236" s="1" t="s">
        <v>1860</v>
      </c>
      <c r="G6236" s="1" t="str">
        <f>CONCATENATE(" NEVING D.O.O.,"," PAVLA RADIĆA 3,"," 10000 ZAGREB,"," OIB: 70989676533")</f>
        <v xml:space="preserve"> NEVING D.O.O., PAVLA RADIĆA 3, 10000 ZAGREB, OIB: 70989676533</v>
      </c>
      <c r="H6236" s="1" t="str">
        <f>CONCATENATE("AKSIJAL D.O.O.,"," OIB: 73216285877",CHAR(10),"GEO GRUPA D.O.O.,"," OIB: 56055678342",CHAR(10),"NERING D.O.O.,"," OIB: 85965934616")</f>
        <v>AKSIJAL D.O.O., OIB: 73216285877
GEO GRUPA D.O.O., OIB: 56055678342
NERING D.O.O., OIB: 85965934616</v>
      </c>
      <c r="I6236" s="8" t="s">
        <v>4492</v>
      </c>
      <c r="J6236" s="8" t="s">
        <v>558</v>
      </c>
      <c r="K6236" s="6" t="str">
        <f>"190.851,60"</f>
        <v>190.851,60</v>
      </c>
      <c r="L6236" s="6" t="str">
        <f>"47.712,90"</f>
        <v>47.712,90</v>
      </c>
      <c r="M6236" s="6" t="str">
        <f>"238.564,50"</f>
        <v>238.564,50</v>
      </c>
      <c r="N6236" s="8" t="s">
        <v>4620</v>
      </c>
      <c r="O6236" s="7"/>
      <c r="P6236" s="2" t="s">
        <v>8702</v>
      </c>
      <c r="Q6236" s="7"/>
      <c r="R6236" s="1"/>
      <c r="S6236" s="1" t="str">
        <f>"J-N-51/18"</f>
        <v>J-N-51/18</v>
      </c>
      <c r="T6236" s="1" t="s">
        <v>55</v>
      </c>
    </row>
    <row r="6237" spans="1:20" ht="63.75" x14ac:dyDescent="0.25">
      <c r="A6237" s="6">
        <v>6216</v>
      </c>
      <c r="B6237" s="1" t="str">
        <f>"2018-2843"</f>
        <v>2018-2843</v>
      </c>
      <c r="C6237" s="1" t="s">
        <v>2475</v>
      </c>
      <c r="D6237" s="1" t="s">
        <v>1824</v>
      </c>
      <c r="E6237" s="1" t="str">
        <f>""</f>
        <v/>
      </c>
      <c r="F6237" s="1" t="s">
        <v>1860</v>
      </c>
      <c r="G6237" s="1" t="str">
        <f>CONCATENATE(" VERIDON D.O.O.,"," LISIČINA 20,"," 10000 ZAGREB,"," OIB: 81434223394")</f>
        <v xml:space="preserve"> VERIDON D.O.O., LISIČINA 20, 10000 ZAGREB, OIB: 81434223394</v>
      </c>
      <c r="H6237" s="7"/>
      <c r="I6237" s="8" t="s">
        <v>4621</v>
      </c>
      <c r="J6237" s="8" t="s">
        <v>4622</v>
      </c>
      <c r="K6237" s="6" t="str">
        <f>"129.950,00"</f>
        <v>129.950,00</v>
      </c>
      <c r="L6237" s="6" t="str">
        <f>"32.487,50"</f>
        <v>32.487,50</v>
      </c>
      <c r="M6237" s="6" t="str">
        <f>"162.437,50"</f>
        <v>162.437,50</v>
      </c>
      <c r="N6237" s="8" t="s">
        <v>124</v>
      </c>
      <c r="O6237" s="7"/>
      <c r="P6237" s="2" t="s">
        <v>5614</v>
      </c>
      <c r="Q6237" s="7"/>
      <c r="R6237" s="1"/>
      <c r="S6237" s="1" t="str">
        <f>"J-N-52/18"</f>
        <v>J-N-52/18</v>
      </c>
      <c r="T6237" s="1" t="s">
        <v>55</v>
      </c>
    </row>
    <row r="6238" spans="1:20" ht="51" x14ac:dyDescent="0.25">
      <c r="A6238" s="6">
        <v>6217</v>
      </c>
      <c r="B6238" s="1" t="str">
        <f>"2018-2116"</f>
        <v>2018-2116</v>
      </c>
      <c r="C6238" s="1" t="s">
        <v>4623</v>
      </c>
      <c r="D6238" s="1" t="s">
        <v>4624</v>
      </c>
      <c r="E6238" s="1" t="str">
        <f>""</f>
        <v/>
      </c>
      <c r="F6238" s="1" t="s">
        <v>1860</v>
      </c>
      <c r="G6238" s="1" t="str">
        <f>CONCATENATE(" NETIS D.O.O.,"," BARTOLIĆI 45,"," 10000 ZAGREB,"," OIB: 7269190057")</f>
        <v xml:space="preserve"> NETIS D.O.O., BARTOLIĆI 45, 10000 ZAGREB, OIB: 7269190057</v>
      </c>
      <c r="H6238" s="7"/>
      <c r="I6238" s="8" t="s">
        <v>4621</v>
      </c>
      <c r="J6238" s="8" t="s">
        <v>4622</v>
      </c>
      <c r="K6238" s="6" t="str">
        <f>"183.847,45"</f>
        <v>183.847,45</v>
      </c>
      <c r="L6238" s="6" t="str">
        <f>"45.961,86"</f>
        <v>45.961,86</v>
      </c>
      <c r="M6238" s="6" t="str">
        <f>"229.809,31"</f>
        <v>229.809,31</v>
      </c>
      <c r="N6238" s="8" t="s">
        <v>124</v>
      </c>
      <c r="O6238" s="7"/>
      <c r="P6238" s="2" t="s">
        <v>5614</v>
      </c>
      <c r="Q6238" s="7"/>
      <c r="R6238" s="1"/>
      <c r="S6238" s="1" t="str">
        <f>"J-N-53/18"</f>
        <v>J-N-53/18</v>
      </c>
      <c r="T6238" s="1" t="s">
        <v>55</v>
      </c>
    </row>
    <row r="6239" spans="1:20" ht="89.25" x14ac:dyDescent="0.25">
      <c r="A6239" s="6">
        <v>6218</v>
      </c>
      <c r="B6239" s="1" t="str">
        <f>"2018-1620"</f>
        <v>2018-1620</v>
      </c>
      <c r="C6239" s="1" t="s">
        <v>4625</v>
      </c>
      <c r="D6239" s="1" t="s">
        <v>1979</v>
      </c>
      <c r="E6239" s="1" t="str">
        <f>""</f>
        <v/>
      </c>
      <c r="F6239" s="1" t="s">
        <v>1860</v>
      </c>
      <c r="G6239" s="1" t="str">
        <f>CONCATENATE(" PRONGRAD BIRO D.O.O.,"," VRISNIČKA 16,"," 10000 ZAGREB,"," OIB: 39036393587")</f>
        <v xml:space="preserve"> PRONGRAD BIRO D.O.O., VRISNIČKA 16, 10000 ZAGREB, OIB: 39036393587</v>
      </c>
      <c r="H6239" s="7"/>
      <c r="I6239" s="8" t="s">
        <v>3942</v>
      </c>
      <c r="J6239" s="8" t="s">
        <v>3940</v>
      </c>
      <c r="K6239" s="6" t="str">
        <f>"67.000,00"</f>
        <v>67.000,00</v>
      </c>
      <c r="L6239" s="6" t="str">
        <f>"16.750,00"</f>
        <v>16.750,00</v>
      </c>
      <c r="M6239" s="6" t="str">
        <f>"83.750,00"</f>
        <v>83.750,00</v>
      </c>
      <c r="N6239" s="8" t="s">
        <v>124</v>
      </c>
      <c r="O6239" s="7"/>
      <c r="P6239" s="2" t="s">
        <v>5614</v>
      </c>
      <c r="Q6239" s="7"/>
      <c r="R6239" s="1"/>
      <c r="S6239" s="1" t="str">
        <f>"J-N-58/18"</f>
        <v>J-N-58/18</v>
      </c>
      <c r="T6239" s="1" t="s">
        <v>55</v>
      </c>
    </row>
    <row r="6240" spans="1:20" ht="63.75" x14ac:dyDescent="0.25">
      <c r="A6240" s="6">
        <v>6219</v>
      </c>
      <c r="B6240" s="1" t="str">
        <f>"2018-1411"</f>
        <v>2018-1411</v>
      </c>
      <c r="C6240" s="1" t="s">
        <v>4626</v>
      </c>
      <c r="D6240" s="1" t="s">
        <v>1979</v>
      </c>
      <c r="E6240" s="1" t="str">
        <f>""</f>
        <v/>
      </c>
      <c r="F6240" s="1" t="s">
        <v>1860</v>
      </c>
      <c r="G6240" s="1" t="str">
        <f>CONCATENATE(" ECOINA D.O.O.,"," SR NJEMAČKE 10,"," 10000 ZAGREB,"," OIB: 98219968247")</f>
        <v xml:space="preserve"> ECOINA D.O.O., SR NJEMAČKE 10, 10000 ZAGREB, OIB: 98219968247</v>
      </c>
      <c r="H6240" s="7"/>
      <c r="I6240" s="8" t="s">
        <v>3942</v>
      </c>
      <c r="J6240" s="8" t="s">
        <v>3940</v>
      </c>
      <c r="K6240" s="6" t="str">
        <f>"82.700,00"</f>
        <v>82.700,00</v>
      </c>
      <c r="L6240" s="6" t="str">
        <f>"20.675,00"</f>
        <v>20.675,00</v>
      </c>
      <c r="M6240" s="6" t="str">
        <f>"103.375,00"</f>
        <v>103.375,00</v>
      </c>
      <c r="N6240" s="8" t="s">
        <v>124</v>
      </c>
      <c r="O6240" s="7"/>
      <c r="P6240" s="2" t="s">
        <v>5614</v>
      </c>
      <c r="Q6240" s="7"/>
      <c r="R6240" s="1"/>
      <c r="S6240" s="1" t="str">
        <f>"J-N-59/18"</f>
        <v>J-N-59/18</v>
      </c>
      <c r="T6240" s="1" t="s">
        <v>55</v>
      </c>
    </row>
    <row r="6241" spans="1:20" ht="63.75" x14ac:dyDescent="0.25">
      <c r="A6241" s="6">
        <v>6220</v>
      </c>
      <c r="B6241" s="1" t="str">
        <f>"2018-807"</f>
        <v>2018-807</v>
      </c>
      <c r="C6241" s="1" t="s">
        <v>4627</v>
      </c>
      <c r="D6241" s="1" t="s">
        <v>1979</v>
      </c>
      <c r="E6241" s="1" t="str">
        <f>""</f>
        <v/>
      </c>
      <c r="F6241" s="1" t="s">
        <v>1860</v>
      </c>
      <c r="G6241" s="1" t="str">
        <f>CONCATENATE(" HIDRO PLUS D.O.O.,"," REISNEROVA 115,"," 31000 OSIJEK,"," OIB: 33089184428")</f>
        <v xml:space="preserve"> HIDRO PLUS D.O.O., REISNEROVA 115, 31000 OSIJEK, OIB: 33089184428</v>
      </c>
      <c r="H6241" s="7"/>
      <c r="I6241" s="8" t="s">
        <v>299</v>
      </c>
      <c r="J6241" s="8" t="s">
        <v>4628</v>
      </c>
      <c r="K6241" s="6" t="str">
        <f>"53.330,00"</f>
        <v>53.330,00</v>
      </c>
      <c r="L6241" s="6" t="str">
        <f>"13.332,50"</f>
        <v>13.332,50</v>
      </c>
      <c r="M6241" s="6" t="str">
        <f>"66.662,50"</f>
        <v>66.662,50</v>
      </c>
      <c r="N6241" s="8" t="s">
        <v>124</v>
      </c>
      <c r="O6241" s="7"/>
      <c r="P6241" s="2" t="s">
        <v>5614</v>
      </c>
      <c r="Q6241" s="7"/>
      <c r="R6241" s="1"/>
      <c r="S6241" s="1" t="str">
        <f>"J-N-60/18"</f>
        <v>J-N-60/18</v>
      </c>
      <c r="T6241" s="1" t="s">
        <v>55</v>
      </c>
    </row>
    <row r="6242" spans="1:20" ht="114.75" x14ac:dyDescent="0.25">
      <c r="A6242" s="6">
        <v>6221</v>
      </c>
      <c r="B6242" s="1" t="str">
        <f>"2018-1751"</f>
        <v>2018-1751</v>
      </c>
      <c r="C6242" s="1" t="s">
        <v>4629</v>
      </c>
      <c r="D6242" s="1" t="s">
        <v>1979</v>
      </c>
      <c r="E6242" s="1" t="str">
        <f>""</f>
        <v/>
      </c>
      <c r="F6242" s="1" t="s">
        <v>1860</v>
      </c>
      <c r="G6242" s="1" t="str">
        <f>CONCATENATE(" PRONING DHI D.O.O.,"," RAČKOGA 3,"," 10000 ZAGREB,"," OIB: 37633620694")</f>
        <v xml:space="preserve"> PRONING DHI D.O.O., RAČKOGA 3, 10000 ZAGREB, OIB: 37633620694</v>
      </c>
      <c r="H6242" s="7"/>
      <c r="I6242" s="8" t="s">
        <v>419</v>
      </c>
      <c r="J6242" s="8" t="s">
        <v>4630</v>
      </c>
      <c r="K6242" s="6" t="str">
        <f>"199.000,00"</f>
        <v>199.000,00</v>
      </c>
      <c r="L6242" s="6" t="str">
        <f>"49.750,00"</f>
        <v>49.750,00</v>
      </c>
      <c r="M6242" s="6" t="str">
        <f>"248.750,00"</f>
        <v>248.750,00</v>
      </c>
      <c r="N6242" s="8" t="s">
        <v>3528</v>
      </c>
      <c r="O6242" s="7"/>
      <c r="P6242" s="2" t="s">
        <v>8703</v>
      </c>
      <c r="Q6242" s="7"/>
      <c r="R6242" s="1"/>
      <c r="S6242" s="1" t="str">
        <f>"J-N-61/18"</f>
        <v>J-N-61/18</v>
      </c>
      <c r="T6242" s="1" t="s">
        <v>55</v>
      </c>
    </row>
    <row r="6243" spans="1:20" ht="51" x14ac:dyDescent="0.25">
      <c r="A6243" s="6">
        <v>6222</v>
      </c>
      <c r="B6243" s="1" t="str">
        <f>"2018-2500"</f>
        <v>2018-2500</v>
      </c>
      <c r="C6243" s="1" t="s">
        <v>4631</v>
      </c>
      <c r="D6243" s="1" t="s">
        <v>1979</v>
      </c>
      <c r="E6243" s="1" t="str">
        <f>""</f>
        <v/>
      </c>
      <c r="F6243" s="1" t="s">
        <v>1860</v>
      </c>
      <c r="G6243" s="1" t="str">
        <f>CONCATENATE(" PRONING DHI D.O.O.,"," RAČKOGA 3,"," 10000 ZAGREB,"," OIB: 37633620694")</f>
        <v xml:space="preserve"> PRONING DHI D.O.O., RAČKOGA 3, 10000 ZAGREB, OIB: 37633620694</v>
      </c>
      <c r="H6243" s="7"/>
      <c r="I6243" s="8" t="s">
        <v>4632</v>
      </c>
      <c r="J6243" s="8" t="s">
        <v>4633</v>
      </c>
      <c r="K6243" s="6" t="str">
        <f>"199.000,00"</f>
        <v>199.000,00</v>
      </c>
      <c r="L6243" s="6" t="str">
        <f>"49.750,00"</f>
        <v>49.750,00</v>
      </c>
      <c r="M6243" s="6" t="str">
        <f>"248.750,00"</f>
        <v>248.750,00</v>
      </c>
      <c r="N6243" s="8" t="s">
        <v>124</v>
      </c>
      <c r="O6243" s="7"/>
      <c r="P6243" s="2" t="s">
        <v>5614</v>
      </c>
      <c r="Q6243" s="7"/>
      <c r="R6243" s="1"/>
      <c r="S6243" s="1" t="str">
        <f>"J-N-67/18"</f>
        <v>J-N-67/18</v>
      </c>
      <c r="T6243" s="1" t="s">
        <v>55</v>
      </c>
    </row>
    <row r="6244" spans="1:20" ht="63.75" x14ac:dyDescent="0.25">
      <c r="A6244" s="6">
        <v>6223</v>
      </c>
      <c r="B6244" s="1" t="str">
        <f>"2018-1414"</f>
        <v>2018-1414</v>
      </c>
      <c r="C6244" s="1" t="s">
        <v>4634</v>
      </c>
      <c r="D6244" s="1" t="s">
        <v>941</v>
      </c>
      <c r="E6244" s="1" t="str">
        <f>""</f>
        <v/>
      </c>
      <c r="F6244" s="1" t="s">
        <v>1860</v>
      </c>
      <c r="G6244" s="1" t="str">
        <f>CONCATENATE(" TEMPORIUM GRADNJA D.O.O.,"," LJUTOMERSKA ULICA 33A,"," 10000 ZAGREB,"," OIB: 6285048268")</f>
        <v xml:space="preserve"> TEMPORIUM GRADNJA D.O.O., LJUTOMERSKA ULICA 33A, 10000 ZAGREB, OIB: 6285048268</v>
      </c>
      <c r="H6244" s="1" t="str">
        <f>CONCATENATE("GEO 6 D.O.O.,"," OIB: 56516261347")</f>
        <v>GEO 6 D.O.O., OIB: 56516261347</v>
      </c>
      <c r="I6244" s="8" t="s">
        <v>4635</v>
      </c>
      <c r="J6244" s="8" t="s">
        <v>4636</v>
      </c>
      <c r="K6244" s="6" t="str">
        <f>"283.601,30"</f>
        <v>283.601,30</v>
      </c>
      <c r="L6244" s="6" t="str">
        <f>"70.900,32"</f>
        <v>70.900,32</v>
      </c>
      <c r="M6244" s="6" t="str">
        <f>"354.501,62"</f>
        <v>354.501,62</v>
      </c>
      <c r="N6244" s="8" t="s">
        <v>4637</v>
      </c>
      <c r="O6244" s="7"/>
      <c r="P6244" s="2" t="s">
        <v>8704</v>
      </c>
      <c r="Q6244" s="7"/>
      <c r="R6244" s="1"/>
      <c r="S6244" s="1" t="str">
        <f>"J-N-68/18"</f>
        <v>J-N-68/18</v>
      </c>
      <c r="T6244" s="1" t="s">
        <v>55</v>
      </c>
    </row>
    <row r="6245" spans="1:20" ht="63.75" x14ac:dyDescent="0.25">
      <c r="A6245" s="6">
        <v>6224</v>
      </c>
      <c r="B6245" s="1" t="str">
        <f>"2018-2563"</f>
        <v>2018-2563</v>
      </c>
      <c r="C6245" s="1" t="s">
        <v>4638</v>
      </c>
      <c r="D6245" s="1" t="s">
        <v>941</v>
      </c>
      <c r="E6245" s="1" t="str">
        <f>""</f>
        <v/>
      </c>
      <c r="F6245" s="1" t="s">
        <v>1860</v>
      </c>
      <c r="G6245" s="1" t="str">
        <f>CONCATENATE(" HIDRO GRAD D.O.O.,"," GUSTAVA KRKLECA,"," RAKITJE 6,"," 10437 BESTOVJE,"," OIB: 49528301725")</f>
        <v xml:space="preserve"> HIDRO GRAD D.O.O., GUSTAVA KRKLECA, RAKITJE 6, 10437 BESTOVJE, OIB: 49528301725</v>
      </c>
      <c r="H6245" s="7"/>
      <c r="I6245" s="8" t="s">
        <v>4639</v>
      </c>
      <c r="J6245" s="8" t="s">
        <v>3528</v>
      </c>
      <c r="K6245" s="6" t="str">
        <f>"138.270,50"</f>
        <v>138.270,50</v>
      </c>
      <c r="L6245" s="6" t="str">
        <f>"34.567,62"</f>
        <v>34.567,62</v>
      </c>
      <c r="M6245" s="6" t="str">
        <f>"172.838,12"</f>
        <v>172.838,12</v>
      </c>
      <c r="N6245" s="8" t="s">
        <v>2373</v>
      </c>
      <c r="O6245" s="7"/>
      <c r="P6245" s="2" t="s">
        <v>8705</v>
      </c>
      <c r="Q6245" s="7"/>
      <c r="R6245" s="1"/>
      <c r="S6245" s="1" t="str">
        <f>"J-N-80/18"</f>
        <v>J-N-80/18</v>
      </c>
      <c r="T6245" s="1" t="s">
        <v>55</v>
      </c>
    </row>
    <row r="6246" spans="1:20" ht="51" x14ac:dyDescent="0.25">
      <c r="A6246" s="6">
        <v>6225</v>
      </c>
      <c r="B6246" s="1" t="str">
        <f>"2018-293"</f>
        <v>2018-293</v>
      </c>
      <c r="C6246" s="1" t="s">
        <v>4640</v>
      </c>
      <c r="D6246" s="1" t="s">
        <v>74</v>
      </c>
      <c r="E6246" s="1" t="str">
        <f>""</f>
        <v/>
      </c>
      <c r="F6246" s="1" t="s">
        <v>1860</v>
      </c>
      <c r="G6246" s="1" t="str">
        <f>CONCATENATE(" INFOSISTEM D.D.,"," SAVSKA OPATOVINA 36,"," 10000 ZAGREB,"," OIB: 93572324237")</f>
        <v xml:space="preserve"> INFOSISTEM D.D., SAVSKA OPATOVINA 36, 10000 ZAGREB, OIB: 93572324237</v>
      </c>
      <c r="H6246" s="7"/>
      <c r="I6246" s="8" t="s">
        <v>4567</v>
      </c>
      <c r="J6246" s="8" t="s">
        <v>4641</v>
      </c>
      <c r="K6246" s="6" t="str">
        <f>"198.000,00"</f>
        <v>198.000,00</v>
      </c>
      <c r="L6246" s="6" t="str">
        <f>"49.500,00"</f>
        <v>49.500,00</v>
      </c>
      <c r="M6246" s="6" t="str">
        <f>"247.500,00"</f>
        <v>247.500,00</v>
      </c>
      <c r="N6246" s="8" t="s">
        <v>124</v>
      </c>
      <c r="O6246" s="7"/>
      <c r="P6246" s="2" t="s">
        <v>5614</v>
      </c>
      <c r="Q6246" s="7"/>
      <c r="R6246" s="1"/>
      <c r="S6246" s="1" t="str">
        <f>"J-N-81/18"</f>
        <v>J-N-81/18</v>
      </c>
      <c r="T6246" s="1" t="s">
        <v>55</v>
      </c>
    </row>
    <row r="6247" spans="1:20" ht="63.75" x14ac:dyDescent="0.25">
      <c r="A6247" s="6">
        <v>6226</v>
      </c>
      <c r="B6247" s="1" t="str">
        <f>"2016-2312"</f>
        <v>2016-2312</v>
      </c>
      <c r="C6247" s="1" t="s">
        <v>4642</v>
      </c>
      <c r="D6247" s="1" t="s">
        <v>941</v>
      </c>
      <c r="E6247" s="1" t="str">
        <f>""</f>
        <v/>
      </c>
      <c r="F6247" s="1" t="s">
        <v>1860</v>
      </c>
      <c r="G6247" s="1" t="str">
        <f>CONCATENATE(" AMB GRADNJA D.O.O.,"," PRILAZ BARUNA FILIPOVIĆA 15,"," 10000 ZAGREB,"," OIB: 8527265147")</f>
        <v xml:space="preserve"> AMB GRADNJA D.O.O., PRILAZ BARUNA FILIPOVIĆA 15, 10000 ZAGREB, OIB: 8527265147</v>
      </c>
      <c r="H6247" s="7"/>
      <c r="I6247" s="8" t="s">
        <v>4643</v>
      </c>
      <c r="J6247" s="8" t="s">
        <v>4644</v>
      </c>
      <c r="K6247" s="6" t="str">
        <f>"203.471,61"</f>
        <v>203.471,61</v>
      </c>
      <c r="L6247" s="6" t="str">
        <f>"50.867,90"</f>
        <v>50.867,90</v>
      </c>
      <c r="M6247" s="6" t="str">
        <f>"254.339,51"</f>
        <v>254.339,51</v>
      </c>
      <c r="N6247" s="8" t="s">
        <v>124</v>
      </c>
      <c r="O6247" s="7"/>
      <c r="P6247" s="2" t="s">
        <v>5614</v>
      </c>
      <c r="Q6247" s="7"/>
      <c r="R6247" s="1"/>
      <c r="S6247" s="1" t="str">
        <f>"J-N-1453/2017"</f>
        <v>J-N-1453/2017</v>
      </c>
      <c r="T6247" s="1" t="s">
        <v>55</v>
      </c>
    </row>
    <row r="6248" spans="1:20" ht="89.25" x14ac:dyDescent="0.25">
      <c r="A6248" s="6">
        <v>6227</v>
      </c>
      <c r="B6248" s="1" t="str">
        <f>"2017-78"</f>
        <v>2017-78</v>
      </c>
      <c r="C6248" s="1" t="s">
        <v>4645</v>
      </c>
      <c r="D6248" s="1" t="s">
        <v>1979</v>
      </c>
      <c r="E6248" s="1" t="str">
        <f>""</f>
        <v/>
      </c>
      <c r="F6248" s="1" t="s">
        <v>1860</v>
      </c>
      <c r="G6248" s="1" t="str">
        <f>CONCATENATE(" PROJEKTNI BIRO NAGLIĆ D.O.O.,"," OLIBSKA 17,"," 10000 ZAGREB,"," OIB: 18216105743")</f>
        <v xml:space="preserve"> PROJEKTNI BIRO NAGLIĆ D.O.O., OLIBSKA 17, 10000 ZAGREB, OIB: 18216105743</v>
      </c>
      <c r="H6248" s="7"/>
      <c r="I6248" s="8" t="s">
        <v>3680</v>
      </c>
      <c r="J6248" s="8" t="s">
        <v>4646</v>
      </c>
      <c r="K6248" s="6" t="str">
        <f>"48.500,00"</f>
        <v>48.500,00</v>
      </c>
      <c r="L6248" s="6" t="str">
        <f>"12.125,00"</f>
        <v>12.125,00</v>
      </c>
      <c r="M6248" s="6" t="str">
        <f>"60.625,00"</f>
        <v>60.625,00</v>
      </c>
      <c r="N6248" s="7"/>
      <c r="O6248" s="9">
        <v>43728</v>
      </c>
      <c r="P6248" s="2" t="s">
        <v>5881</v>
      </c>
      <c r="Q6248" s="7"/>
      <c r="R6248" s="1"/>
      <c r="S6248" s="1" t="str">
        <f>"J-N-1612/2017"</f>
        <v>J-N-1612/2017</v>
      </c>
      <c r="T6248" s="1" t="s">
        <v>55</v>
      </c>
    </row>
    <row r="6249" spans="1:20" ht="63.75" x14ac:dyDescent="0.25">
      <c r="A6249" s="6">
        <v>6228</v>
      </c>
      <c r="B6249" s="1" t="str">
        <f>"2017-2798"</f>
        <v>2017-2798</v>
      </c>
      <c r="C6249" s="1" t="s">
        <v>4647</v>
      </c>
      <c r="D6249" s="1" t="s">
        <v>1979</v>
      </c>
      <c r="E6249" s="1" t="str">
        <f>""</f>
        <v/>
      </c>
      <c r="F6249" s="1" t="s">
        <v>1860</v>
      </c>
      <c r="G6249" s="1" t="str">
        <f>CONCATENATE(" D.I.A.T. D.O.O.,"," JABLANOVEČKA 37,"," 10 000 ZAGREB,"," OIB: 22889869555")</f>
        <v xml:space="preserve"> D.I.A.T. D.O.O., JABLANOVEČKA 37, 10 000 ZAGREB, OIB: 22889869555</v>
      </c>
      <c r="H6249" s="7"/>
      <c r="I6249" s="8" t="s">
        <v>4546</v>
      </c>
      <c r="J6249" s="8" t="s">
        <v>4547</v>
      </c>
      <c r="K6249" s="6" t="str">
        <f>"78.780,00"</f>
        <v>78.780,00</v>
      </c>
      <c r="L6249" s="6" t="str">
        <f>"19.695,00"</f>
        <v>19.695,00</v>
      </c>
      <c r="M6249" s="6" t="str">
        <f>"98.475,00"</f>
        <v>98.475,00</v>
      </c>
      <c r="N6249" s="8" t="s">
        <v>2300</v>
      </c>
      <c r="O6249" s="7"/>
      <c r="P6249" s="2" t="s">
        <v>6313</v>
      </c>
      <c r="Q6249" s="7"/>
      <c r="R6249" s="1"/>
      <c r="S6249" s="1" t="str">
        <f>"J-N-1671/2017"</f>
        <v>J-N-1671/2017</v>
      </c>
      <c r="T6249" s="1" t="s">
        <v>55</v>
      </c>
    </row>
    <row r="6250" spans="1:20" ht="76.5" x14ac:dyDescent="0.25">
      <c r="A6250" s="6">
        <v>6229</v>
      </c>
      <c r="B6250" s="1" t="str">
        <f>"2017-2812"</f>
        <v>2017-2812</v>
      </c>
      <c r="C6250" s="1" t="s">
        <v>4648</v>
      </c>
      <c r="D6250" s="1" t="s">
        <v>854</v>
      </c>
      <c r="E6250" s="1" t="str">
        <f>""</f>
        <v/>
      </c>
      <c r="F6250" s="1" t="s">
        <v>1860</v>
      </c>
      <c r="G6250" s="1" t="str">
        <f>CONCATENATE(" ZVIBOR D.O.O.,"," ZAVRTNICA 36,"," 10000 ZAGREB,"," OIB: 03454358063")</f>
        <v xml:space="preserve"> ZVIBOR D.O.O., ZAVRTNICA 36, 10000 ZAGREB, OIB: 03454358063</v>
      </c>
      <c r="H6250" s="7"/>
      <c r="I6250" s="8" t="s">
        <v>3752</v>
      </c>
      <c r="J6250" s="8" t="s">
        <v>4012</v>
      </c>
      <c r="K6250" s="6" t="str">
        <f>"188.779,00"</f>
        <v>188.779,00</v>
      </c>
      <c r="L6250" s="6" t="str">
        <f>"47.194,75"</f>
        <v>47.194,75</v>
      </c>
      <c r="M6250" s="6" t="str">
        <f>"235.973,75"</f>
        <v>235.973,75</v>
      </c>
      <c r="N6250" s="8" t="s">
        <v>3635</v>
      </c>
      <c r="O6250" s="7"/>
      <c r="P6250" s="2" t="s">
        <v>8706</v>
      </c>
      <c r="Q6250" s="7"/>
      <c r="R6250" s="1"/>
      <c r="S6250" s="1" t="str">
        <f>"JNU-2017-3004"</f>
        <v>JNU-2017-3004</v>
      </c>
      <c r="T6250" s="1" t="s">
        <v>32</v>
      </c>
    </row>
    <row r="6251" spans="1:20" ht="51" x14ac:dyDescent="0.25">
      <c r="A6251" s="6">
        <v>6230</v>
      </c>
      <c r="B6251" s="1" t="str">
        <f>"2017-2947"</f>
        <v>2017-2947</v>
      </c>
      <c r="C6251" s="1" t="s">
        <v>4649</v>
      </c>
      <c r="D6251" s="1" t="s">
        <v>2331</v>
      </c>
      <c r="E6251" s="1" t="str">
        <f>""</f>
        <v/>
      </c>
      <c r="F6251" s="1" t="s">
        <v>1860</v>
      </c>
      <c r="G6251" s="1" t="str">
        <f>CONCATENATE(" FABULAR BRANDING D.O.O.,"," ROKOV PERIVOJ 3,"," 10000 ZAGREB,"," OIB: 90031854242")</f>
        <v xml:space="preserve"> FABULAR BRANDING D.O.O., ROKOV PERIVOJ 3, 10000 ZAGREB, OIB: 90031854242</v>
      </c>
      <c r="H6251" s="7"/>
      <c r="I6251" s="8" t="s">
        <v>4650</v>
      </c>
      <c r="J6251" s="8" t="s">
        <v>4487</v>
      </c>
      <c r="K6251" s="6" t="str">
        <f>"190.000,00"</f>
        <v>190.000,00</v>
      </c>
      <c r="L6251" s="6" t="str">
        <f>"47.500,00"</f>
        <v>47.500,00</v>
      </c>
      <c r="M6251" s="6" t="str">
        <f>"237.500,00"</f>
        <v>237.500,00</v>
      </c>
      <c r="N6251" s="8" t="s">
        <v>124</v>
      </c>
      <c r="O6251" s="7"/>
      <c r="P6251" s="2" t="s">
        <v>5614</v>
      </c>
      <c r="Q6251" s="7"/>
      <c r="R6251" s="1"/>
      <c r="S6251" s="1" t="str">
        <f>"JNU-2017-4017"</f>
        <v>JNU-2017-4017</v>
      </c>
      <c r="T6251" s="1" t="s">
        <v>1055</v>
      </c>
    </row>
    <row r="6252" spans="1:20" ht="51" x14ac:dyDescent="0.25">
      <c r="A6252" s="6">
        <v>6231</v>
      </c>
      <c r="B6252" s="1" t="str">
        <f>"2017-1201"</f>
        <v>2017-1201</v>
      </c>
      <c r="C6252" s="1" t="s">
        <v>2316</v>
      </c>
      <c r="D6252" s="1" t="s">
        <v>2211</v>
      </c>
      <c r="E6252" s="1" t="str">
        <f>""</f>
        <v/>
      </c>
      <c r="F6252" s="1" t="s">
        <v>1860</v>
      </c>
      <c r="G6252" s="1" t="str">
        <f>CONCATENATE(" HAUSKA I PARTNER D.O.O.,"," ILICA 246A,"," 10000 ZAGREB,"," OIB: 2142962152")</f>
        <v xml:space="preserve"> HAUSKA I PARTNER D.O.O., ILICA 246A, 10000 ZAGREB, OIB: 2142962152</v>
      </c>
      <c r="H6252" s="7"/>
      <c r="I6252" s="8" t="s">
        <v>4651</v>
      </c>
      <c r="J6252" s="8" t="s">
        <v>4548</v>
      </c>
      <c r="K6252" s="6" t="str">
        <f>"97.000,00"</f>
        <v>97.000,00</v>
      </c>
      <c r="L6252" s="6" t="str">
        <f>"24.250,00"</f>
        <v>24.250,00</v>
      </c>
      <c r="M6252" s="6" t="str">
        <f>"121.250,00"</f>
        <v>121.250,00</v>
      </c>
      <c r="N6252" s="8" t="s">
        <v>4652</v>
      </c>
      <c r="O6252" s="7"/>
      <c r="P6252" s="2" t="s">
        <v>8707</v>
      </c>
      <c r="Q6252" s="7"/>
      <c r="R6252" s="1"/>
      <c r="S6252" s="1" t="str">
        <f>"JNU-2017-4205"</f>
        <v>JNU-2017-4205</v>
      </c>
      <c r="T6252" s="1" t="s">
        <v>32</v>
      </c>
    </row>
    <row r="6253" spans="1:20" ht="51" x14ac:dyDescent="0.25">
      <c r="A6253" s="6">
        <v>6232</v>
      </c>
      <c r="B6253" s="1" t="str">
        <f>"2018-2111"</f>
        <v>2018-2111</v>
      </c>
      <c r="C6253" s="1" t="s">
        <v>4653</v>
      </c>
      <c r="D6253" s="1" t="s">
        <v>1209</v>
      </c>
      <c r="E6253" s="1" t="str">
        <f>""</f>
        <v/>
      </c>
      <c r="F6253" s="1" t="s">
        <v>1860</v>
      </c>
      <c r="G6253" s="1" t="str">
        <f>CONCATENATE(" TAHOGRAF D.O.O.,"," DR. FRANJE TUĐMANA 24,"," 10431 SVETA NEDELJA,"," OIB: 73777060562")</f>
        <v xml:space="preserve"> TAHOGRAF D.O.O., DR. FRANJE TUĐMANA 24, 10431 SVETA NEDELJA, OIB: 73777060562</v>
      </c>
      <c r="H6253" s="7"/>
      <c r="I6253" s="8" t="s">
        <v>4654</v>
      </c>
      <c r="J6253" s="8" t="s">
        <v>464</v>
      </c>
      <c r="K6253" s="6" t="str">
        <f>"60.202,65"</f>
        <v>60.202,65</v>
      </c>
      <c r="L6253" s="6" t="str">
        <f>"15.050,66"</f>
        <v>15.050,66</v>
      </c>
      <c r="M6253" s="6" t="str">
        <f>"75.253,31"</f>
        <v>75.253,31</v>
      </c>
      <c r="N6253" s="8" t="s">
        <v>4230</v>
      </c>
      <c r="O6253" s="7"/>
      <c r="P6253" s="2" t="s">
        <v>8708</v>
      </c>
      <c r="Q6253" s="1"/>
      <c r="R6253" s="1"/>
      <c r="S6253" s="1" t="str">
        <f>"JNU-2018-1494"</f>
        <v>JNU-2018-1494</v>
      </c>
      <c r="T6253" s="1" t="s">
        <v>32</v>
      </c>
    </row>
    <row r="6254" spans="1:20" ht="63.75" x14ac:dyDescent="0.25">
      <c r="A6254" s="6">
        <v>6233</v>
      </c>
      <c r="B6254" s="1" t="str">
        <f>"2018-3076"</f>
        <v>2018-3076</v>
      </c>
      <c r="C6254" s="1" t="s">
        <v>4655</v>
      </c>
      <c r="D6254" s="1" t="s">
        <v>945</v>
      </c>
      <c r="E6254" s="1" t="str">
        <f>""</f>
        <v/>
      </c>
      <c r="F6254" s="1" t="s">
        <v>1860</v>
      </c>
      <c r="G6254" s="1" t="str">
        <f>CONCATENATE(" REGENERACIJA D.O.O.,"," PRILAZ DR. FRANJE TUĐMANA 15,"," 49210 ZABOK,"," OIB: 66421949049")</f>
        <v xml:space="preserve"> REGENERACIJA D.O.O., PRILAZ DR. FRANJE TUĐMANA 15, 49210 ZABOK, OIB: 66421949049</v>
      </c>
      <c r="H6254" s="7"/>
      <c r="I6254" s="8" t="s">
        <v>367</v>
      </c>
      <c r="J6254" s="8" t="s">
        <v>4438</v>
      </c>
      <c r="K6254" s="6" t="str">
        <f>"120.000,00"</f>
        <v>120.000,00</v>
      </c>
      <c r="L6254" s="6" t="str">
        <f>"30.000,00"</f>
        <v>30.000,00</v>
      </c>
      <c r="M6254" s="6" t="str">
        <f>"150.000,00"</f>
        <v>150.000,00</v>
      </c>
      <c r="N6254" s="8" t="s">
        <v>3562</v>
      </c>
      <c r="O6254" s="7"/>
      <c r="P6254" s="2" t="s">
        <v>8709</v>
      </c>
      <c r="Q6254" s="7"/>
      <c r="R6254" s="1"/>
      <c r="S6254" s="1" t="str">
        <f>"JNU-2018-1886"</f>
        <v>JNU-2018-1886</v>
      </c>
      <c r="T6254" s="1" t="s">
        <v>32</v>
      </c>
    </row>
    <row r="6255" spans="1:20" ht="76.5" x14ac:dyDescent="0.25">
      <c r="A6255" s="6">
        <v>6234</v>
      </c>
      <c r="B6255" s="1" t="str">
        <f>"2018-566"</f>
        <v>2018-566</v>
      </c>
      <c r="C6255" s="1" t="s">
        <v>4656</v>
      </c>
      <c r="D6255" s="1" t="s">
        <v>2107</v>
      </c>
      <c r="E6255" s="1" t="str">
        <f>""</f>
        <v/>
      </c>
      <c r="F6255" s="1" t="s">
        <v>1860</v>
      </c>
      <c r="G6255" s="1" t="str">
        <f>CONCATENATE(" URBANE IDEJE D.O.O.,"," LJUDEVITA GAJA 26A,"," 10430 SAMOBOR,"," OIB: 30740253189")</f>
        <v xml:space="preserve"> URBANE IDEJE D.O.O., LJUDEVITA GAJA 26A, 10430 SAMOBOR, OIB: 30740253189</v>
      </c>
      <c r="H6255" s="7"/>
      <c r="I6255" s="8" t="s">
        <v>4657</v>
      </c>
      <c r="J6255" s="8" t="s">
        <v>4658</v>
      </c>
      <c r="K6255" s="6" t="str">
        <f>"48.570,00"</f>
        <v>48.570,00</v>
      </c>
      <c r="L6255" s="6" t="str">
        <f>"12.142,50"</f>
        <v>12.142,50</v>
      </c>
      <c r="M6255" s="6" t="str">
        <f>"60.712,50"</f>
        <v>60.712,50</v>
      </c>
      <c r="N6255" s="7"/>
      <c r="O6255" s="9">
        <v>43458</v>
      </c>
      <c r="P6255" s="2" t="s">
        <v>5614</v>
      </c>
      <c r="Q6255" s="7"/>
      <c r="R6255" s="1"/>
      <c r="S6255" s="1" t="str">
        <f>"JNU-2018-2696"</f>
        <v>JNU-2018-2696</v>
      </c>
      <c r="T6255" s="1" t="s">
        <v>32</v>
      </c>
    </row>
    <row r="6256" spans="1:20" ht="76.5" x14ac:dyDescent="0.25">
      <c r="A6256" s="6">
        <v>6235</v>
      </c>
      <c r="B6256" s="1" t="str">
        <f>"2018-566"</f>
        <v>2018-566</v>
      </c>
      <c r="C6256" s="1" t="s">
        <v>4656</v>
      </c>
      <c r="D6256" s="1" t="s">
        <v>2107</v>
      </c>
      <c r="E6256" s="1" t="str">
        <f>""</f>
        <v/>
      </c>
      <c r="F6256" s="1" t="s">
        <v>1860</v>
      </c>
      <c r="G6256" s="1" t="str">
        <f>CONCATENATE(" URBANE IDEJE D.O.O.,"," LJUDEVITA GAJA 26A,"," 10430 SAMOBOR,"," OIB: 30740253189")</f>
        <v xml:space="preserve"> URBANE IDEJE D.O.O., LJUDEVITA GAJA 26A, 10430 SAMOBOR, OIB: 30740253189</v>
      </c>
      <c r="H6256" s="7"/>
      <c r="I6256" s="8" t="s">
        <v>4657</v>
      </c>
      <c r="J6256" s="8" t="s">
        <v>4658</v>
      </c>
      <c r="K6256" s="6" t="str">
        <f>"63.140,00"</f>
        <v>63.140,00</v>
      </c>
      <c r="L6256" s="6" t="str">
        <f>"15.785,00"</f>
        <v>15.785,00</v>
      </c>
      <c r="M6256" s="6" t="str">
        <f>"78.925,00"</f>
        <v>78.925,00</v>
      </c>
      <c r="N6256" s="7"/>
      <c r="O6256" s="9">
        <v>43458</v>
      </c>
      <c r="P6256" s="2" t="s">
        <v>5614</v>
      </c>
      <c r="Q6256" s="7"/>
      <c r="R6256" s="1"/>
      <c r="S6256" s="1" t="str">
        <f>"JNU-2018-2697"</f>
        <v>JNU-2018-2697</v>
      </c>
      <c r="T6256" s="1" t="s">
        <v>32</v>
      </c>
    </row>
    <row r="6257" spans="1:20" ht="76.5" x14ac:dyDescent="0.25">
      <c r="A6257" s="6">
        <v>6236</v>
      </c>
      <c r="B6257" s="1" t="str">
        <f>"2018-566"</f>
        <v>2018-566</v>
      </c>
      <c r="C6257" s="1" t="s">
        <v>4656</v>
      </c>
      <c r="D6257" s="1" t="s">
        <v>2107</v>
      </c>
      <c r="E6257" s="1" t="str">
        <f>""</f>
        <v/>
      </c>
      <c r="F6257" s="1" t="s">
        <v>1860</v>
      </c>
      <c r="G6257" s="1" t="str">
        <f>CONCATENATE(" URBANE IDEJE D.O.O.,"," LJUDEVITA GAJA 26A,"," 10430 SAMOBOR,"," OIB: 30740253189")</f>
        <v xml:space="preserve"> URBANE IDEJE D.O.O., LJUDEVITA GAJA 26A, 10430 SAMOBOR, OIB: 30740253189</v>
      </c>
      <c r="H6257" s="7"/>
      <c r="I6257" s="8" t="s">
        <v>4657</v>
      </c>
      <c r="J6257" s="8" t="s">
        <v>4658</v>
      </c>
      <c r="K6257" s="6" t="str">
        <f>"33.420,00"</f>
        <v>33.420,00</v>
      </c>
      <c r="L6257" s="6" t="str">
        <f>"8.355,00"</f>
        <v>8.355,00</v>
      </c>
      <c r="M6257" s="6" t="str">
        <f>"41.775,00"</f>
        <v>41.775,00</v>
      </c>
      <c r="N6257" s="8" t="s">
        <v>124</v>
      </c>
      <c r="O6257" s="7"/>
      <c r="P6257" s="2" t="s">
        <v>5614</v>
      </c>
      <c r="Q6257" s="7"/>
      <c r="R6257" s="1"/>
      <c r="S6257" s="1" t="str">
        <f>"JNU-2018-2698"</f>
        <v>JNU-2018-2698</v>
      </c>
      <c r="T6257" s="1" t="s">
        <v>32</v>
      </c>
    </row>
    <row r="6258" spans="1:20" ht="51" x14ac:dyDescent="0.25">
      <c r="A6258" s="6">
        <v>6237</v>
      </c>
      <c r="B6258" s="1" t="str">
        <f>"2018-3159"</f>
        <v>2018-3159</v>
      </c>
      <c r="C6258" s="1" t="s">
        <v>4659</v>
      </c>
      <c r="D6258" s="1" t="s">
        <v>4660</v>
      </c>
      <c r="E6258" s="1" t="str">
        <f>""</f>
        <v/>
      </c>
      <c r="F6258" s="1" t="s">
        <v>1860</v>
      </c>
      <c r="G6258" s="1" t="str">
        <f>CONCATENATE(" IN2 D.O.O.,"," MAROHNIĆEVA 1/1,"," 10000 ZAGREB,"," OIB: 68195665956")</f>
        <v xml:space="preserve"> IN2 D.O.O., MAROHNIĆEVA 1/1, 10000 ZAGREB, OIB: 68195665956</v>
      </c>
      <c r="H6258" s="7"/>
      <c r="I6258" s="8" t="s">
        <v>4103</v>
      </c>
      <c r="J6258" s="8" t="s">
        <v>4104</v>
      </c>
      <c r="K6258" s="6" t="str">
        <f>"190.000,00"</f>
        <v>190.000,00</v>
      </c>
      <c r="L6258" s="6" t="str">
        <f>"47.500,00"</f>
        <v>47.500,00</v>
      </c>
      <c r="M6258" s="6" t="str">
        <f>"237.500,00"</f>
        <v>237.500,00</v>
      </c>
      <c r="N6258" s="8" t="s">
        <v>124</v>
      </c>
      <c r="O6258" s="7"/>
      <c r="P6258" s="2" t="s">
        <v>5614</v>
      </c>
      <c r="Q6258" s="7"/>
      <c r="R6258" s="1"/>
      <c r="S6258" s="1" t="str">
        <f>"JNU-2018-2818"</f>
        <v>JNU-2018-2818</v>
      </c>
      <c r="T6258" s="1" t="s">
        <v>32</v>
      </c>
    </row>
    <row r="6259" spans="1:20" ht="76.5" x14ac:dyDescent="0.25">
      <c r="A6259" s="6">
        <v>6238</v>
      </c>
      <c r="B6259" s="1" t="str">
        <f>"2018-566"</f>
        <v>2018-566</v>
      </c>
      <c r="C6259" s="1" t="s">
        <v>4656</v>
      </c>
      <c r="D6259" s="1" t="s">
        <v>2107</v>
      </c>
      <c r="E6259" s="1" t="str">
        <f>""</f>
        <v/>
      </c>
      <c r="F6259" s="1" t="s">
        <v>1860</v>
      </c>
      <c r="G6259" s="1" t="str">
        <f>CONCATENATE(" URBANE IDEJE D.O.O.,"," LJUDEVITA GAJA 26A,"," 10430 SAMOBOR,"," OIB: 30740253189")</f>
        <v xml:space="preserve"> URBANE IDEJE D.O.O., LJUDEVITA GAJA 26A, 10430 SAMOBOR, OIB: 30740253189</v>
      </c>
      <c r="H6259" s="7"/>
      <c r="I6259" s="8" t="s">
        <v>4661</v>
      </c>
      <c r="J6259" s="8" t="s">
        <v>4662</v>
      </c>
      <c r="K6259" s="6" t="str">
        <f>"63.140,00"</f>
        <v>63.140,00</v>
      </c>
      <c r="L6259" s="6" t="str">
        <f>"15.785,00"</f>
        <v>15.785,00</v>
      </c>
      <c r="M6259" s="6" t="str">
        <f>"78.925,00"</f>
        <v>78.925,00</v>
      </c>
      <c r="N6259" s="8" t="s">
        <v>124</v>
      </c>
      <c r="O6259" s="7"/>
      <c r="P6259" s="2" t="s">
        <v>5614</v>
      </c>
      <c r="Q6259" s="7"/>
      <c r="R6259" s="1"/>
      <c r="S6259" s="1" t="str">
        <f>"JNU-2018-3095"</f>
        <v>JNU-2018-3095</v>
      </c>
      <c r="T6259" s="1" t="s">
        <v>32</v>
      </c>
    </row>
    <row r="6260" spans="1:20" ht="76.5" x14ac:dyDescent="0.25">
      <c r="A6260" s="6">
        <v>6239</v>
      </c>
      <c r="B6260" s="1" t="str">
        <f>"2018-566"</f>
        <v>2018-566</v>
      </c>
      <c r="C6260" s="1" t="s">
        <v>4656</v>
      </c>
      <c r="D6260" s="1" t="s">
        <v>2107</v>
      </c>
      <c r="E6260" s="1" t="str">
        <f>""</f>
        <v/>
      </c>
      <c r="F6260" s="1" t="s">
        <v>1860</v>
      </c>
      <c r="G6260" s="1" t="str">
        <f>CONCATENATE(" URBANE IDEJE D.O.O.,"," LJUDEVITA GAJA 26A,"," 10430 SAMOBOR,"," OIB: 30740253189")</f>
        <v xml:space="preserve"> URBANE IDEJE D.O.O., LJUDEVITA GAJA 26A, 10430 SAMOBOR, OIB: 30740253189</v>
      </c>
      <c r="H6260" s="7"/>
      <c r="I6260" s="8" t="s">
        <v>4661</v>
      </c>
      <c r="J6260" s="8" t="s">
        <v>4662</v>
      </c>
      <c r="K6260" s="6" t="str">
        <f>"48.570,00"</f>
        <v>48.570,00</v>
      </c>
      <c r="L6260" s="6" t="str">
        <f>"12.142,50"</f>
        <v>12.142,50</v>
      </c>
      <c r="M6260" s="6" t="str">
        <f>"60.712,50"</f>
        <v>60.712,50</v>
      </c>
      <c r="N6260" s="8" t="s">
        <v>124</v>
      </c>
      <c r="O6260" s="7"/>
      <c r="P6260" s="2" t="s">
        <v>5614</v>
      </c>
      <c r="Q6260" s="7"/>
      <c r="R6260" s="1"/>
      <c r="S6260" s="1" t="str">
        <f>"JNU-2018-3096"</f>
        <v>JNU-2018-3096</v>
      </c>
      <c r="T6260" s="1" t="s">
        <v>32</v>
      </c>
    </row>
    <row r="6261" spans="1:20" ht="51" x14ac:dyDescent="0.25">
      <c r="A6261" s="6">
        <v>6240</v>
      </c>
      <c r="B6261" s="1" t="str">
        <f>"2019-2654"</f>
        <v>2019-2654</v>
      </c>
      <c r="C6261" s="1" t="s">
        <v>4663</v>
      </c>
      <c r="D6261" s="1" t="s">
        <v>945</v>
      </c>
      <c r="E6261" s="1" t="str">
        <f>""</f>
        <v/>
      </c>
      <c r="F6261" s="1" t="s">
        <v>1860</v>
      </c>
      <c r="G6261" s="1" t="str">
        <f>CONCATENATE(" EKO-FLOR PLUS D.O.O.,"," MOKRICE 180C,"," 49243 OROSLAVJE,"," OIB: 50730247993")</f>
        <v xml:space="preserve"> EKO-FLOR PLUS D.O.O., MOKRICE 180C, 49243 OROSLAVJE, OIB: 50730247993</v>
      </c>
      <c r="H6261" s="7"/>
      <c r="I6261" s="8" t="s">
        <v>4233</v>
      </c>
      <c r="J6261" s="8" t="s">
        <v>4664</v>
      </c>
      <c r="K6261" s="6" t="str">
        <f>"190.000,00"</f>
        <v>190.000,00</v>
      </c>
      <c r="L6261" s="6" t="str">
        <f>"47.500,00"</f>
        <v>47.500,00</v>
      </c>
      <c r="M6261" s="6" t="str">
        <f>"237.500,00"</f>
        <v>237.500,00</v>
      </c>
      <c r="N6261" s="8" t="s">
        <v>4664</v>
      </c>
      <c r="O6261" s="7"/>
      <c r="P6261" s="2" t="s">
        <v>8710</v>
      </c>
      <c r="Q6261" s="7"/>
      <c r="R6261" s="1"/>
      <c r="S6261" s="1" t="str">
        <f>"JNU-2019-3298"</f>
        <v>JNU-2019-3298</v>
      </c>
      <c r="T6261" s="1" t="s">
        <v>32</v>
      </c>
    </row>
    <row r="6262" spans="1:20" ht="51" x14ac:dyDescent="0.25">
      <c r="A6262" s="6">
        <v>6241</v>
      </c>
      <c r="B6262" s="1" t="str">
        <f>"2019-2286"</f>
        <v>2019-2286</v>
      </c>
      <c r="C6262" s="1" t="s">
        <v>4653</v>
      </c>
      <c r="D6262" s="1" t="s">
        <v>1209</v>
      </c>
      <c r="E6262" s="1" t="str">
        <f>""</f>
        <v/>
      </c>
      <c r="F6262" s="1" t="s">
        <v>1860</v>
      </c>
      <c r="G6262" s="1" t="str">
        <f>CONCATENATE(" TAHOGRAF D.O.O.,"," DR. FRANJE TUĐMANA 24,"," 10431 SVETA NEDELJA,"," OIB: 73777060562")</f>
        <v xml:space="preserve"> TAHOGRAF D.O.O., DR. FRANJE TUĐMANA 24, 10431 SVETA NEDELJA, OIB: 73777060562</v>
      </c>
      <c r="H6262" s="7"/>
      <c r="I6262" s="8" t="s">
        <v>4665</v>
      </c>
      <c r="J6262" s="8" t="s">
        <v>4117</v>
      </c>
      <c r="K6262" s="6" t="str">
        <f>"121.939,62"</f>
        <v>121.939,62</v>
      </c>
      <c r="L6262" s="6" t="str">
        <f>"30.484,90"</f>
        <v>30.484,90</v>
      </c>
      <c r="M6262" s="6" t="str">
        <f>"152.424,52"</f>
        <v>152.424,52</v>
      </c>
      <c r="N6262" s="8" t="s">
        <v>4274</v>
      </c>
      <c r="O6262" s="7"/>
      <c r="P6262" s="2" t="s">
        <v>8711</v>
      </c>
      <c r="Q6262" s="7"/>
      <c r="R6262" s="1"/>
      <c r="S6262" s="1" t="str">
        <f>"JNU-2019-3660"</f>
        <v>JNU-2019-3660</v>
      </c>
      <c r="T6262" s="1" t="s">
        <v>32</v>
      </c>
    </row>
    <row r="6263" spans="1:20" ht="51" x14ac:dyDescent="0.25">
      <c r="A6263" s="6">
        <v>6242</v>
      </c>
      <c r="B6263" s="1" t="str">
        <f>"2019-2723"</f>
        <v>2019-2723</v>
      </c>
      <c r="C6263" s="1" t="s">
        <v>4666</v>
      </c>
      <c r="D6263" s="1" t="s">
        <v>1581</v>
      </c>
      <c r="E6263" s="1" t="str">
        <f>""</f>
        <v/>
      </c>
      <c r="F6263" s="1" t="s">
        <v>1860</v>
      </c>
      <c r="G6263" s="1" t="str">
        <f>CONCATENATE(" TEH - GRADNJA D.O.O.,"," KSENIJE KANTOCI 3,"," 10000 ZAGREB,"," OIB: 13530191392")</f>
        <v xml:space="preserve"> TEH - GRADNJA D.O.O., KSENIJE KANTOCI 3, 10000 ZAGREB, OIB: 13530191392</v>
      </c>
      <c r="H6263" s="7"/>
      <c r="I6263" s="8" t="s">
        <v>4197</v>
      </c>
      <c r="J6263" s="8" t="s">
        <v>3690</v>
      </c>
      <c r="K6263" s="6" t="str">
        <f>"298.954,45"</f>
        <v>298.954,45</v>
      </c>
      <c r="L6263" s="6" t="str">
        <f>"74.738,61"</f>
        <v>74.738,61</v>
      </c>
      <c r="M6263" s="6" t="str">
        <f>"373.693,06"</f>
        <v>373.693,06</v>
      </c>
      <c r="N6263" s="8" t="s">
        <v>4667</v>
      </c>
      <c r="O6263" s="7"/>
      <c r="P6263" s="2" t="s">
        <v>8712</v>
      </c>
      <c r="Q6263" s="7"/>
      <c r="R6263" s="1"/>
      <c r="S6263" s="1" t="str">
        <f>"JNU-2019-3782"</f>
        <v>JNU-2019-3782</v>
      </c>
      <c r="T6263" s="1" t="s">
        <v>32</v>
      </c>
    </row>
    <row r="6264" spans="1:20" ht="51" x14ac:dyDescent="0.25">
      <c r="A6264" s="6">
        <v>6243</v>
      </c>
      <c r="B6264" s="1" t="str">
        <f>"2019-287"</f>
        <v>2019-287</v>
      </c>
      <c r="C6264" s="1" t="s">
        <v>2288</v>
      </c>
      <c r="D6264" s="1" t="s">
        <v>1007</v>
      </c>
      <c r="E6264" s="1" t="str">
        <f>""</f>
        <v/>
      </c>
      <c r="F6264" s="1" t="s">
        <v>1860</v>
      </c>
      <c r="G6264" s="1" t="str">
        <f>CONCATENATE(" CAMELOT SISTEMI D.O.O.,"," FRANKOPANSKA 22,"," 10000 ZAGREB,"," OIB: 79572418476")</f>
        <v xml:space="preserve"> CAMELOT SISTEMI D.O.O., FRANKOPANSKA 22, 10000 ZAGREB, OIB: 79572418476</v>
      </c>
      <c r="H6264" s="7"/>
      <c r="I6264" s="8" t="s">
        <v>4665</v>
      </c>
      <c r="J6264" s="8" t="s">
        <v>4668</v>
      </c>
      <c r="K6264" s="6" t="str">
        <f>"41.860,64"</f>
        <v>41.860,64</v>
      </c>
      <c r="L6264" s="6" t="str">
        <f>"10.465,16"</f>
        <v>10.465,16</v>
      </c>
      <c r="M6264" s="6" t="str">
        <f>"52.325,80"</f>
        <v>52.325,80</v>
      </c>
      <c r="N6264" s="8" t="s">
        <v>4669</v>
      </c>
      <c r="O6264" s="7"/>
      <c r="P6264" s="2" t="s">
        <v>8713</v>
      </c>
      <c r="Q6264" s="7"/>
      <c r="R6264" s="1"/>
      <c r="S6264" s="1" t="str">
        <f>"JNU-2019-3832"</f>
        <v>JNU-2019-3832</v>
      </c>
      <c r="T6264" s="1" t="s">
        <v>32</v>
      </c>
    </row>
    <row r="6265" spans="1:20" ht="51" x14ac:dyDescent="0.25">
      <c r="A6265" s="6">
        <v>6244</v>
      </c>
      <c r="B6265" s="1" t="str">
        <f>"2019-2648"</f>
        <v>2019-2648</v>
      </c>
      <c r="C6265" s="1" t="s">
        <v>2286</v>
      </c>
      <c r="D6265" s="1" t="s">
        <v>2287</v>
      </c>
      <c r="E6265" s="1" t="str">
        <f>""</f>
        <v/>
      </c>
      <c r="F6265" s="1" t="s">
        <v>1860</v>
      </c>
      <c r="G6265" s="1" t="str">
        <f>CONCATENATE(" STORM COMPUTERS D.O.O.,"," SAVICA I. 127,"," 10000 ZAGREB,"," OIB: 20142998436")</f>
        <v xml:space="preserve"> STORM COMPUTERS D.O.O., SAVICA I. 127, 10000 ZAGREB, OIB: 20142998436</v>
      </c>
      <c r="H6265" s="7"/>
      <c r="I6265" s="8" t="s">
        <v>4670</v>
      </c>
      <c r="J6265" s="8" t="s">
        <v>1047</v>
      </c>
      <c r="K6265" s="6" t="str">
        <f>"69.520,00"</f>
        <v>69.520,00</v>
      </c>
      <c r="L6265" s="6" t="str">
        <f>"17.380,00"</f>
        <v>17.380,00</v>
      </c>
      <c r="M6265" s="6" t="str">
        <f>"86.900,00"</f>
        <v>86.900,00</v>
      </c>
      <c r="N6265" s="8" t="s">
        <v>4458</v>
      </c>
      <c r="O6265" s="7"/>
      <c r="P6265" s="2" t="s">
        <v>8714</v>
      </c>
      <c r="Q6265" s="7"/>
      <c r="R6265" s="1"/>
      <c r="S6265" s="1" t="str">
        <f>"JNU-2019-3938"</f>
        <v>JNU-2019-3938</v>
      </c>
      <c r="T6265" s="1" t="s">
        <v>32</v>
      </c>
    </row>
    <row r="6266" spans="1:20" ht="63.75" x14ac:dyDescent="0.25">
      <c r="A6266" s="6">
        <v>6245</v>
      </c>
      <c r="B6266" s="1" t="str">
        <f>"2019-407"</f>
        <v>2019-407</v>
      </c>
      <c r="C6266" s="1" t="s">
        <v>4671</v>
      </c>
      <c r="D6266" s="1" t="s">
        <v>2280</v>
      </c>
      <c r="E6266" s="1" t="str">
        <f>""</f>
        <v/>
      </c>
      <c r="F6266" s="1" t="s">
        <v>1860</v>
      </c>
      <c r="G6266" s="1" t="str">
        <f>CONCATENATE(" PISMORAD D.O.O.,"," INDUSTRIJSKA 5,"," 10431 SVETA NEDELJA-NOVAKI,"," OIB: 33260306505")</f>
        <v xml:space="preserve"> PISMORAD D.O.O., INDUSTRIJSKA 5, 10431 SVETA NEDELJA-NOVAKI, OIB: 33260306505</v>
      </c>
      <c r="H6266" s="7"/>
      <c r="I6266" s="8" t="s">
        <v>4095</v>
      </c>
      <c r="J6266" s="8" t="s">
        <v>4117</v>
      </c>
      <c r="K6266" s="6" t="str">
        <f>"48.600,00"</f>
        <v>48.600,00</v>
      </c>
      <c r="L6266" s="6" t="str">
        <f>"12.150,00"</f>
        <v>12.150,00</v>
      </c>
      <c r="M6266" s="6" t="str">
        <f>"60.750,00"</f>
        <v>60.750,00</v>
      </c>
      <c r="N6266" s="8" t="s">
        <v>4672</v>
      </c>
      <c r="O6266" s="7"/>
      <c r="P6266" s="2" t="s">
        <v>8715</v>
      </c>
      <c r="Q6266" s="7"/>
      <c r="R6266" s="1"/>
      <c r="S6266" s="1" t="str">
        <f>"JNU-2019-4144"</f>
        <v>JNU-2019-4144</v>
      </c>
      <c r="T6266" s="1" t="s">
        <v>32</v>
      </c>
    </row>
    <row r="6267" spans="1:20" ht="51" x14ac:dyDescent="0.25">
      <c r="A6267" s="6">
        <v>6246</v>
      </c>
      <c r="B6267" s="1" t="str">
        <f>"2019-423"</f>
        <v>2019-423</v>
      </c>
      <c r="C6267" s="1" t="s">
        <v>4673</v>
      </c>
      <c r="D6267" s="1" t="s">
        <v>4674</v>
      </c>
      <c r="E6267" s="1" t="str">
        <f>""</f>
        <v/>
      </c>
      <c r="F6267" s="1" t="s">
        <v>1860</v>
      </c>
      <c r="G6267" s="1" t="str">
        <f>CONCATENATE(" PRIGORAC-GRAĐENJE d.o.o.,"," JELKOVEČKA 4,"," 10360 SESVETE,"," OIB: 53456405017")</f>
        <v xml:space="preserve"> PRIGORAC-GRAĐENJE d.o.o., JELKOVEČKA 4, 10360 SESVETE, OIB: 53456405017</v>
      </c>
      <c r="H6267" s="7"/>
      <c r="I6267" s="8" t="s">
        <v>4675</v>
      </c>
      <c r="J6267" s="8" t="s">
        <v>4676</v>
      </c>
      <c r="K6267" s="6" t="str">
        <f>"498.504,00"</f>
        <v>498.504,00</v>
      </c>
      <c r="L6267" s="6" t="str">
        <f>"124.626,00"</f>
        <v>124.626,00</v>
      </c>
      <c r="M6267" s="6" t="str">
        <f>"623.130,00"</f>
        <v>623.130,00</v>
      </c>
      <c r="N6267" s="8" t="s">
        <v>3528</v>
      </c>
      <c r="O6267" s="7"/>
      <c r="P6267" s="2" t="s">
        <v>8716</v>
      </c>
      <c r="Q6267" s="7"/>
      <c r="R6267" s="1"/>
      <c r="S6267" s="1" t="str">
        <f>"JNU-2019-4287"</f>
        <v>JNU-2019-4287</v>
      </c>
      <c r="T6267" s="1" t="s">
        <v>32</v>
      </c>
    </row>
    <row r="6268" spans="1:20" ht="63.75" x14ac:dyDescent="0.25">
      <c r="A6268" s="6">
        <v>6247</v>
      </c>
      <c r="B6268" s="1" t="str">
        <f>"2019-2847"</f>
        <v>2019-2847</v>
      </c>
      <c r="C6268" s="1" t="s">
        <v>4677</v>
      </c>
      <c r="D6268" s="1" t="s">
        <v>1865</v>
      </c>
      <c r="E6268" s="1" t="str">
        <f>""</f>
        <v/>
      </c>
      <c r="F6268" s="1" t="s">
        <v>1860</v>
      </c>
      <c r="G6268" s="1" t="str">
        <f>CONCATENATE(" B.E.T. D.O.O. IZDVOJENI URED PR SELECT,"," JARUŠČICA 5,"," 10000 ZAGREB,"," OIB: 5138580615")</f>
        <v xml:space="preserve"> B.E.T. D.O.O. IZDVOJENI URED PR SELECT, JARUŠČICA 5, 10000 ZAGREB, OIB: 5138580615</v>
      </c>
      <c r="H6268" s="7"/>
      <c r="I6268" s="8" t="s">
        <v>4059</v>
      </c>
      <c r="J6268" s="8" t="s">
        <v>4117</v>
      </c>
      <c r="K6268" s="6" t="str">
        <f>"189.120,00"</f>
        <v>189.120,00</v>
      </c>
      <c r="L6268" s="6" t="str">
        <f>"47.280,00"</f>
        <v>47.280,00</v>
      </c>
      <c r="M6268" s="6" t="str">
        <f>"236.400,00"</f>
        <v>236.400,00</v>
      </c>
      <c r="N6268" s="8" t="s">
        <v>4678</v>
      </c>
      <c r="O6268" s="7"/>
      <c r="P6268" s="2" t="s">
        <v>8717</v>
      </c>
      <c r="Q6268" s="7"/>
      <c r="R6268" s="1"/>
      <c r="S6268" s="1" t="str">
        <f>"JNU-2019-4312"</f>
        <v>JNU-2019-4312</v>
      </c>
      <c r="T6268" s="1" t="s">
        <v>32</v>
      </c>
    </row>
    <row r="6269" spans="1:20" ht="63.75" x14ac:dyDescent="0.25">
      <c r="A6269" s="6">
        <v>6248</v>
      </c>
      <c r="B6269" s="1" t="str">
        <f>"2019-2846"</f>
        <v>2019-2846</v>
      </c>
      <c r="C6269" s="1" t="s">
        <v>4679</v>
      </c>
      <c r="D6269" s="1" t="s">
        <v>2057</v>
      </c>
      <c r="E6269" s="1" t="str">
        <f>""</f>
        <v/>
      </c>
      <c r="F6269" s="1" t="s">
        <v>1860</v>
      </c>
      <c r="G6269" s="1" t="str">
        <f>CONCATENATE(" ADL STRUKTURA D.O.O.,"," VRBIK 20,"," 10000 ZAGREB,"," OIB: 66445349777")</f>
        <v xml:space="preserve"> ADL STRUKTURA D.O.O., VRBIK 20, 10000 ZAGREB, OIB: 66445349777</v>
      </c>
      <c r="H6269" s="7"/>
      <c r="I6269" s="8" t="s">
        <v>4680</v>
      </c>
      <c r="J6269" s="8" t="s">
        <v>4681</v>
      </c>
      <c r="K6269" s="6" t="str">
        <f>"197.900,00"</f>
        <v>197.900,00</v>
      </c>
      <c r="L6269" s="6" t="str">
        <f>"49.475,00"</f>
        <v>49.475,00</v>
      </c>
      <c r="M6269" s="6" t="str">
        <f>"247.375,00"</f>
        <v>247.375,00</v>
      </c>
      <c r="N6269" s="8" t="s">
        <v>4465</v>
      </c>
      <c r="O6269" s="7"/>
      <c r="P6269" s="2" t="s">
        <v>8718</v>
      </c>
      <c r="Q6269" s="7"/>
      <c r="R6269" s="1"/>
      <c r="S6269" s="1" t="str">
        <f>"JNU-2019-4378"</f>
        <v>JNU-2019-4378</v>
      </c>
      <c r="T6269" s="1" t="s">
        <v>32</v>
      </c>
    </row>
    <row r="6270" spans="1:20" ht="51" x14ac:dyDescent="0.25">
      <c r="A6270" s="6">
        <v>6249</v>
      </c>
      <c r="B6270" s="1" t="str">
        <f>"2019-2872"</f>
        <v>2019-2872</v>
      </c>
      <c r="C6270" s="1" t="s">
        <v>4682</v>
      </c>
      <c r="D6270" s="1" t="s">
        <v>837</v>
      </c>
      <c r="E6270" s="1" t="str">
        <f>""</f>
        <v/>
      </c>
      <c r="F6270" s="1" t="s">
        <v>1860</v>
      </c>
      <c r="G6270" s="1" t="str">
        <f>CONCATENATE(" ZAGREBAČKE PEKARNE KLARA D.D.,"," UTINJSKA 48,"," 10000 ZAGREB,"," OIB: 76842508189")</f>
        <v xml:space="preserve"> ZAGREBAČKE PEKARNE KLARA D.D., UTINJSKA 48, 10000 ZAGREB, OIB: 76842508189</v>
      </c>
      <c r="H6270" s="7"/>
      <c r="I6270" s="8" t="s">
        <v>4312</v>
      </c>
      <c r="J6270" s="8" t="s">
        <v>3815</v>
      </c>
      <c r="K6270" s="6" t="str">
        <f>"167.585,10"</f>
        <v>167.585,10</v>
      </c>
      <c r="L6270" s="6" t="str">
        <f>"41.896,28"</f>
        <v>41.896,28</v>
      </c>
      <c r="M6270" s="6" t="str">
        <f>"209.481,38"</f>
        <v>209.481,38</v>
      </c>
      <c r="N6270" s="8" t="s">
        <v>4262</v>
      </c>
      <c r="O6270" s="7"/>
      <c r="P6270" s="2" t="s">
        <v>8719</v>
      </c>
      <c r="Q6270" s="1"/>
      <c r="R6270" s="1"/>
      <c r="S6270" s="1" t="str">
        <f>"JNU-2019-5149"</f>
        <v>JNU-2019-5149</v>
      </c>
      <c r="T6270" s="1" t="s">
        <v>32</v>
      </c>
    </row>
    <row r="6271" spans="1:20" ht="51" x14ac:dyDescent="0.25">
      <c r="A6271" s="6">
        <v>6250</v>
      </c>
      <c r="B6271" s="1" t="str">
        <f>"2019-3061"</f>
        <v>2019-3061</v>
      </c>
      <c r="C6271" s="1" t="s">
        <v>4683</v>
      </c>
      <c r="D6271" s="1" t="s">
        <v>2542</v>
      </c>
      <c r="E6271" s="1" t="str">
        <f>""</f>
        <v/>
      </c>
      <c r="F6271" s="1" t="s">
        <v>1860</v>
      </c>
      <c r="G6271" s="1" t="str">
        <f>CONCATENATE(" KEMOKOP D.O.O.,"," INDUSTRIJSKA ULICA 10,"," 10370 DUGO SELO,"," OIB: 1291670373")</f>
        <v xml:space="preserve"> KEMOKOP D.O.O., INDUSTRIJSKA ULICA 10, 10370 DUGO SELO, OIB: 1291670373</v>
      </c>
      <c r="H6271" s="7"/>
      <c r="I6271" s="8" t="s">
        <v>4658</v>
      </c>
      <c r="J6271" s="8" t="s">
        <v>3677</v>
      </c>
      <c r="K6271" s="6" t="str">
        <f>"170.000,00"</f>
        <v>170.000,00</v>
      </c>
      <c r="L6271" s="6" t="str">
        <f>"42.500,00"</f>
        <v>42.500,00</v>
      </c>
      <c r="M6271" s="6" t="str">
        <f>"212.500,00"</f>
        <v>212.500,00</v>
      </c>
      <c r="N6271" s="8" t="s">
        <v>124</v>
      </c>
      <c r="O6271" s="7"/>
      <c r="P6271" s="2" t="s">
        <v>5614</v>
      </c>
      <c r="Q6271" s="7"/>
      <c r="R6271" s="1"/>
      <c r="S6271" s="1" t="str">
        <f>"JNU-2019-5508"</f>
        <v>JNU-2019-5508</v>
      </c>
      <c r="T6271" s="1" t="s">
        <v>32</v>
      </c>
    </row>
    <row r="6272" spans="1:20" ht="63.75" x14ac:dyDescent="0.25">
      <c r="A6272" s="6">
        <v>6251</v>
      </c>
      <c r="B6272" s="1" t="str">
        <f>"2019-1336"</f>
        <v>2019-1336</v>
      </c>
      <c r="C6272" s="1" t="s">
        <v>4684</v>
      </c>
      <c r="D6272" s="1" t="s">
        <v>1641</v>
      </c>
      <c r="E6272" s="1" t="str">
        <f>""</f>
        <v/>
      </c>
      <c r="F6272" s="1" t="s">
        <v>1860</v>
      </c>
      <c r="G6272" s="1" t="str">
        <f>CONCATENATE(" EXPERTO CREDE D.O.O.,"," JADRANSKA AVENIJA 6/46,"," 10000 ZAGREB,"," OIB: 7492589837")</f>
        <v xml:space="preserve"> EXPERTO CREDE D.O.O., JADRANSKA AVENIJA 6/46, 10000 ZAGREB, OIB: 7492589837</v>
      </c>
      <c r="H6272" s="7"/>
      <c r="I6272" s="8" t="s">
        <v>3910</v>
      </c>
      <c r="J6272" s="8" t="s">
        <v>4317</v>
      </c>
      <c r="K6272" s="6" t="str">
        <f>"199.000,00"</f>
        <v>199.000,00</v>
      </c>
      <c r="L6272" s="6" t="str">
        <f>"49.750,00"</f>
        <v>49.750,00</v>
      </c>
      <c r="M6272" s="6" t="str">
        <f>"248.750,00"</f>
        <v>248.750,00</v>
      </c>
      <c r="N6272" s="8" t="s">
        <v>771</v>
      </c>
      <c r="O6272" s="7"/>
      <c r="P6272" s="2" t="s">
        <v>8720</v>
      </c>
      <c r="Q6272" s="7"/>
      <c r="R6272" s="1"/>
      <c r="S6272" s="1" t="str">
        <f>"JNU-2019-5566"</f>
        <v>JNU-2019-5566</v>
      </c>
      <c r="T6272" s="1" t="s">
        <v>32</v>
      </c>
    </row>
    <row r="6273" spans="1:20" ht="63.75" x14ac:dyDescent="0.25">
      <c r="A6273" s="6">
        <v>6252</v>
      </c>
      <c r="B6273" s="1" t="str">
        <f>"2019-2681"</f>
        <v>2019-2681</v>
      </c>
      <c r="C6273" s="1" t="s">
        <v>4685</v>
      </c>
      <c r="D6273" s="1" t="s">
        <v>2107</v>
      </c>
      <c r="E6273" s="1" t="str">
        <f>""</f>
        <v/>
      </c>
      <c r="F6273" s="1" t="s">
        <v>1860</v>
      </c>
      <c r="G6273" s="1" t="str">
        <f>CONCATENATE(" KAP4 D.O.O.,"," POKORNOGA 9,"," 10000 ZAGREB,"," OIB: 68965490837")</f>
        <v xml:space="preserve"> KAP4 D.O.O., POKORNOGA 9, 10000 ZAGREB, OIB: 68965490837</v>
      </c>
      <c r="H6273" s="7"/>
      <c r="I6273" s="8" t="s">
        <v>2258</v>
      </c>
      <c r="J6273" s="8" t="s">
        <v>4686</v>
      </c>
      <c r="K6273" s="6" t="str">
        <f>"29.400,00"</f>
        <v>29.400,00</v>
      </c>
      <c r="L6273" s="6" t="str">
        <f>"7.350,00"</f>
        <v>7.350,00</v>
      </c>
      <c r="M6273" s="6" t="str">
        <f>"36.750,00"</f>
        <v>36.750,00</v>
      </c>
      <c r="N6273" s="8" t="s">
        <v>4687</v>
      </c>
      <c r="O6273" s="7"/>
      <c r="P6273" s="2" t="s">
        <v>8721</v>
      </c>
      <c r="Q6273" s="7"/>
      <c r="R6273" s="1"/>
      <c r="S6273" s="1" t="str">
        <f>"JNU-2019-6090"</f>
        <v>JNU-2019-6090</v>
      </c>
      <c r="T6273" s="1" t="s">
        <v>32</v>
      </c>
    </row>
    <row r="6274" spans="1:20" ht="51" x14ac:dyDescent="0.25">
      <c r="A6274" s="6">
        <v>6253</v>
      </c>
      <c r="B6274" s="1" t="str">
        <f>"2019-3066"</f>
        <v>2019-3066</v>
      </c>
      <c r="C6274" s="1" t="s">
        <v>4688</v>
      </c>
      <c r="D6274" s="1" t="s">
        <v>900</v>
      </c>
      <c r="E6274" s="1" t="str">
        <f>""</f>
        <v/>
      </c>
      <c r="F6274" s="1" t="s">
        <v>1860</v>
      </c>
      <c r="G6274" s="1" t="str">
        <f>CONCATENATE(" AUTOPRIJEVOZNIK VL. ŽELJKO SRUK,"," VINAREC 93,"," 48267 OREHOVEC,"," OIB: 9696910366")</f>
        <v xml:space="preserve"> AUTOPRIJEVOZNIK VL. ŽELJKO SRUK, VINAREC 93, 48267 OREHOVEC, OIB: 9696910366</v>
      </c>
      <c r="H6274" s="7"/>
      <c r="I6274" s="8" t="s">
        <v>4341</v>
      </c>
      <c r="J6274" s="8" t="s">
        <v>4689</v>
      </c>
      <c r="K6274" s="6" t="str">
        <f>"178.500,00"</f>
        <v>178.500,00</v>
      </c>
      <c r="L6274" s="6" t="str">
        <f>"44.625,00"</f>
        <v>44.625,00</v>
      </c>
      <c r="M6274" s="6" t="str">
        <f>"223.125,00"</f>
        <v>223.125,00</v>
      </c>
      <c r="N6274" s="8" t="s">
        <v>124</v>
      </c>
      <c r="O6274" s="7"/>
      <c r="P6274" s="2" t="s">
        <v>5614</v>
      </c>
      <c r="Q6274" s="7"/>
      <c r="R6274" s="1"/>
      <c r="S6274" s="1" t="str">
        <f>"JNU-2019-6146"</f>
        <v>JNU-2019-6146</v>
      </c>
      <c r="T6274" s="1" t="s">
        <v>32</v>
      </c>
    </row>
    <row r="6275" spans="1:20" ht="25.5" x14ac:dyDescent="0.25">
      <c r="A6275" s="6">
        <v>6254</v>
      </c>
      <c r="B6275" s="1" t="str">
        <f>"2019-3124"</f>
        <v>2019-3124</v>
      </c>
      <c r="C6275" s="1" t="s">
        <v>4690</v>
      </c>
      <c r="D6275" s="1" t="s">
        <v>2542</v>
      </c>
      <c r="E6275" s="1" t="str">
        <f>""</f>
        <v/>
      </c>
      <c r="F6275" s="1" t="s">
        <v>1860</v>
      </c>
      <c r="G6275" s="1" t="str">
        <f>CONCATENATE(" REOMA GRUPA D.O.O.,"," ,"," OIB: 61791785783")</f>
        <v xml:space="preserve"> REOMA GRUPA D.O.O., , OIB: 61791785783</v>
      </c>
      <c r="H6275" s="7"/>
      <c r="I6275" s="8" t="s">
        <v>4641</v>
      </c>
      <c r="J6275" s="8" t="s">
        <v>4691</v>
      </c>
      <c r="K6275" s="6" t="str">
        <f>"100.000,00"</f>
        <v>100.000,00</v>
      </c>
      <c r="L6275" s="6" t="str">
        <f>"25.000,00"</f>
        <v>25.000,00</v>
      </c>
      <c r="M6275" s="6" t="str">
        <f>"125.000,00"</f>
        <v>125.000,00</v>
      </c>
      <c r="N6275" s="8" t="s">
        <v>2257</v>
      </c>
      <c r="O6275" s="7"/>
      <c r="P6275" s="2" t="s">
        <v>8722</v>
      </c>
      <c r="Q6275" s="7"/>
      <c r="R6275" s="1"/>
      <c r="S6275" s="1" t="str">
        <f>"JNU-2019-6208"</f>
        <v>JNU-2019-6208</v>
      </c>
      <c r="T6275" s="1" t="s">
        <v>32</v>
      </c>
    </row>
    <row r="6276" spans="1:20" ht="89.25" x14ac:dyDescent="0.25">
      <c r="A6276" s="6">
        <v>6255</v>
      </c>
      <c r="B6276" s="1" t="str">
        <f>"2020-6"</f>
        <v>2020-6</v>
      </c>
      <c r="C6276" s="1" t="s">
        <v>4692</v>
      </c>
      <c r="D6276" s="1" t="s">
        <v>2439</v>
      </c>
      <c r="E6276" s="1" t="str">
        <f>""</f>
        <v/>
      </c>
      <c r="F6276" s="1" t="s">
        <v>1860</v>
      </c>
      <c r="G6276" s="1" t="str">
        <f>CONCATENATE(" ENERGETSKI INSTITUT HRVOJE POŽAR,"," SAVSKA 163,"," 10000 ZAGREB,"," OIB: 43980170614")</f>
        <v xml:space="preserve"> ENERGETSKI INSTITUT HRVOJE POŽAR, SAVSKA 163, 10000 ZAGREB, OIB: 43980170614</v>
      </c>
      <c r="H6276" s="7"/>
      <c r="I6276" s="8" t="s">
        <v>3948</v>
      </c>
      <c r="J6276" s="8" t="s">
        <v>1247</v>
      </c>
      <c r="K6276" s="6" t="str">
        <f>"195.000,00"</f>
        <v>195.000,00</v>
      </c>
      <c r="L6276" s="6" t="str">
        <f>"48.750,00"</f>
        <v>48.750,00</v>
      </c>
      <c r="M6276" s="6" t="str">
        <f>"243.750,00"</f>
        <v>243.750,00</v>
      </c>
      <c r="N6276" s="8" t="s">
        <v>834</v>
      </c>
      <c r="O6276" s="7"/>
      <c r="P6276" s="2" t="s">
        <v>8723</v>
      </c>
      <c r="Q6276" s="7"/>
      <c r="R6276" s="1"/>
      <c r="S6276" s="1" t="str">
        <f>"JNU-2020-70"</f>
        <v>JNU-2020-70</v>
      </c>
      <c r="T6276" s="1" t="s">
        <v>32</v>
      </c>
    </row>
    <row r="6277" spans="1:20" ht="51" x14ac:dyDescent="0.25">
      <c r="A6277" s="6">
        <v>6256</v>
      </c>
      <c r="B6277" s="1" t="str">
        <f>"2020-1627"</f>
        <v>2020-1627</v>
      </c>
      <c r="C6277" s="1" t="s">
        <v>4693</v>
      </c>
      <c r="D6277" s="1" t="s">
        <v>2211</v>
      </c>
      <c r="E6277" s="1" t="str">
        <f>""</f>
        <v/>
      </c>
      <c r="F6277" s="1" t="s">
        <v>1860</v>
      </c>
      <c r="G6277" s="1" t="str">
        <f>CONCATENATE(" UMIUM D.O.O.,"," ŠESTINSKA CESTA 11,"," 10000 ZAGREB,"," OIB: 3116021415")</f>
        <v xml:space="preserve"> UMIUM D.O.O., ŠESTINSKA CESTA 11, 10000 ZAGREB, OIB: 3116021415</v>
      </c>
      <c r="H6277" s="7"/>
      <c r="I6277" s="8" t="s">
        <v>4267</v>
      </c>
      <c r="J6277" s="8" t="s">
        <v>465</v>
      </c>
      <c r="K6277" s="6" t="str">
        <f>"158.000,00"</f>
        <v>158.000,00</v>
      </c>
      <c r="L6277" s="6" t="str">
        <f>"39.500,00"</f>
        <v>39.500,00</v>
      </c>
      <c r="M6277" s="6" t="str">
        <f>"197.500,00"</f>
        <v>197.500,00</v>
      </c>
      <c r="N6277" s="8" t="s">
        <v>2036</v>
      </c>
      <c r="O6277" s="7"/>
      <c r="P6277" s="2" t="s">
        <v>8724</v>
      </c>
      <c r="Q6277" s="7"/>
      <c r="R6277" s="1"/>
      <c r="S6277" s="1" t="str">
        <f>"JNU-2020-172"</f>
        <v>JNU-2020-172</v>
      </c>
      <c r="T6277" s="1" t="s">
        <v>32</v>
      </c>
    </row>
    <row r="6278" spans="1:20" ht="51" x14ac:dyDescent="0.25">
      <c r="A6278" s="6">
        <v>6257</v>
      </c>
      <c r="B6278" s="1" t="str">
        <f>"2020-2636"</f>
        <v>2020-2636</v>
      </c>
      <c r="C6278" s="1" t="s">
        <v>2545</v>
      </c>
      <c r="D6278" s="1" t="s">
        <v>2509</v>
      </c>
      <c r="E6278" s="1" t="str">
        <f>""</f>
        <v/>
      </c>
      <c r="F6278" s="1" t="s">
        <v>1860</v>
      </c>
      <c r="G6278" s="1" t="str">
        <f>CONCATENATE(" UMIUM D.O.O.,"," ŠESTINSKA CESTA 11,"," 10000 ZAGREB,"," OIB: 3116021415")</f>
        <v xml:space="preserve"> UMIUM D.O.O., ŠESTINSKA CESTA 11, 10000 ZAGREB, OIB: 3116021415</v>
      </c>
      <c r="H6278" s="7"/>
      <c r="I6278" s="8" t="s">
        <v>4267</v>
      </c>
      <c r="J6278" s="8" t="s">
        <v>465</v>
      </c>
      <c r="K6278" s="6" t="str">
        <f>"192.500,00"</f>
        <v>192.500,00</v>
      </c>
      <c r="L6278" s="6" t="str">
        <f>"48.125,00"</f>
        <v>48.125,00</v>
      </c>
      <c r="M6278" s="6" t="str">
        <f>"240.625,00"</f>
        <v>240.625,00</v>
      </c>
      <c r="N6278" s="8" t="s">
        <v>2036</v>
      </c>
      <c r="O6278" s="7"/>
      <c r="P6278" s="2" t="s">
        <v>8725</v>
      </c>
      <c r="Q6278" s="7"/>
      <c r="R6278" s="1"/>
      <c r="S6278" s="1" t="str">
        <f>"JNU-2020-173"</f>
        <v>JNU-2020-173</v>
      </c>
      <c r="T6278" s="1" t="s">
        <v>32</v>
      </c>
    </row>
    <row r="6279" spans="1:20" ht="51" x14ac:dyDescent="0.25">
      <c r="A6279" s="6">
        <v>6258</v>
      </c>
      <c r="B6279" s="1" t="str">
        <f>"2020-1243"</f>
        <v>2020-1243</v>
      </c>
      <c r="C6279" s="1" t="s">
        <v>4682</v>
      </c>
      <c r="D6279" s="1" t="s">
        <v>837</v>
      </c>
      <c r="E6279" s="1" t="str">
        <f>""</f>
        <v/>
      </c>
      <c r="F6279" s="1" t="s">
        <v>1860</v>
      </c>
      <c r="G6279" s="1" t="str">
        <f>CONCATENATE(" KONZUM PLUS D.O.O.,"," MARIJANA ČAVIĆA 1,"," 10000 ZAGREB,"," OIB: 62226620908")</f>
        <v xml:space="preserve"> KONZUM PLUS D.O.O., MARIJANA ČAVIĆA 1, 10000 ZAGREB, OIB: 62226620908</v>
      </c>
      <c r="H6279" s="7"/>
      <c r="I6279" s="8" t="s">
        <v>4470</v>
      </c>
      <c r="J6279" s="8" t="s">
        <v>2705</v>
      </c>
      <c r="K6279" s="6" t="str">
        <f>"33.692,00"</f>
        <v>33.692,00</v>
      </c>
      <c r="L6279" s="6" t="str">
        <f>"8.423,00"</f>
        <v>8.423,00</v>
      </c>
      <c r="M6279" s="6" t="str">
        <f>"42.115,00"</f>
        <v>42.115,00</v>
      </c>
      <c r="N6279" s="8" t="s">
        <v>2705</v>
      </c>
      <c r="O6279" s="7"/>
      <c r="P6279" s="2" t="s">
        <v>8726</v>
      </c>
      <c r="Q6279" s="1"/>
      <c r="R6279" s="1"/>
      <c r="S6279" s="1" t="str">
        <f>"JNU-2020-785"</f>
        <v>JNU-2020-785</v>
      </c>
      <c r="T6279" s="1" t="s">
        <v>32</v>
      </c>
    </row>
    <row r="6280" spans="1:20" ht="51" x14ac:dyDescent="0.25">
      <c r="A6280" s="6">
        <v>6259</v>
      </c>
      <c r="B6280" s="1" t="str">
        <f>"2020-461"</f>
        <v>2020-461</v>
      </c>
      <c r="C6280" s="1" t="s">
        <v>2286</v>
      </c>
      <c r="D6280" s="1" t="s">
        <v>2287</v>
      </c>
      <c r="E6280" s="1" t="str">
        <f>""</f>
        <v/>
      </c>
      <c r="F6280" s="1" t="s">
        <v>1860</v>
      </c>
      <c r="G6280" s="1" t="str">
        <f>CONCATENATE(" STORM COMPUTERS D.O.O.,"," SAVICA I. 127,"," 10000 ZAGREB,"," OIB: 20142998436")</f>
        <v xml:space="preserve"> STORM COMPUTERS D.O.O., SAVICA I. 127, 10000 ZAGREB, OIB: 20142998436</v>
      </c>
      <c r="H6280" s="7"/>
      <c r="I6280" s="8" t="s">
        <v>4254</v>
      </c>
      <c r="J6280" s="8" t="s">
        <v>2725</v>
      </c>
      <c r="K6280" s="6" t="str">
        <f>"64.912,00"</f>
        <v>64.912,00</v>
      </c>
      <c r="L6280" s="6" t="str">
        <f>"16.228,00"</f>
        <v>16.228,00</v>
      </c>
      <c r="M6280" s="6" t="str">
        <f>"81.140,00"</f>
        <v>81.140,00</v>
      </c>
      <c r="N6280" s="8" t="s">
        <v>465</v>
      </c>
      <c r="O6280" s="7"/>
      <c r="P6280" s="2" t="s">
        <v>8727</v>
      </c>
      <c r="Q6280" s="7"/>
      <c r="R6280" s="1"/>
      <c r="S6280" s="1" t="str">
        <f>"JNU-2020-949"</f>
        <v>JNU-2020-949</v>
      </c>
      <c r="T6280" s="1" t="s">
        <v>32</v>
      </c>
    </row>
    <row r="6281" spans="1:20" ht="63.75" x14ac:dyDescent="0.25">
      <c r="A6281" s="6">
        <v>6260</v>
      </c>
      <c r="B6281" s="1" t="str">
        <f>"2020-816"</f>
        <v>2020-816</v>
      </c>
      <c r="C6281" s="1" t="s">
        <v>4685</v>
      </c>
      <c r="D6281" s="1" t="s">
        <v>2107</v>
      </c>
      <c r="E6281" s="1" t="str">
        <f>""</f>
        <v/>
      </c>
      <c r="F6281" s="1" t="s">
        <v>1860</v>
      </c>
      <c r="G6281" s="1" t="str">
        <f>CONCATENATE(" IPZ-NISKOGRADNJA D.O.O.,"," TRG BANA JOSIPA JELAČIĆA 1/II,"," 10000 ZAGREB,"," OIB: 79761663049")</f>
        <v xml:space="preserve"> IPZ-NISKOGRADNJA D.O.O., TRG BANA JOSIPA JELAČIĆA 1/II, 10000 ZAGREB, OIB: 79761663049</v>
      </c>
      <c r="H6281" s="7"/>
      <c r="I6281" s="8" t="s">
        <v>4694</v>
      </c>
      <c r="J6281" s="8" t="s">
        <v>1247</v>
      </c>
      <c r="K6281" s="6" t="str">
        <f>"52.000,00"</f>
        <v>52.000,00</v>
      </c>
      <c r="L6281" s="6" t="str">
        <f>"13.000,00"</f>
        <v>13.000,00</v>
      </c>
      <c r="M6281" s="6" t="str">
        <f>"65.000,00"</f>
        <v>65.000,00</v>
      </c>
      <c r="N6281" s="7"/>
      <c r="O6281" s="9">
        <v>44057</v>
      </c>
      <c r="P6281" s="2" t="s">
        <v>5614</v>
      </c>
      <c r="Q6281" s="7"/>
      <c r="R6281" s="1"/>
      <c r="S6281" s="1" t="str">
        <f>"JNU-2020-1280"</f>
        <v>JNU-2020-1280</v>
      </c>
      <c r="T6281" s="1" t="s">
        <v>32</v>
      </c>
    </row>
    <row r="6282" spans="1:20" ht="51" x14ac:dyDescent="0.25">
      <c r="A6282" s="6">
        <v>6261</v>
      </c>
      <c r="B6282" s="1" t="str">
        <f>"2020-2879"</f>
        <v>2020-2879</v>
      </c>
      <c r="C6282" s="1" t="s">
        <v>4695</v>
      </c>
      <c r="D6282" s="1" t="s">
        <v>185</v>
      </c>
      <c r="E6282" s="1" t="str">
        <f>""</f>
        <v/>
      </c>
      <c r="F6282" s="1" t="s">
        <v>1860</v>
      </c>
      <c r="G6282" s="1" t="str">
        <f>CONCATENATE(" TEKTON GRADNJA D.O.O.,"," NOVA VES 17,"," 10000 ZAGREB,"," OIB: 23929404756")</f>
        <v xml:space="preserve"> TEKTON GRADNJA D.O.O., NOVA VES 17, 10000 ZAGREB, OIB: 23929404756</v>
      </c>
      <c r="H6282" s="7"/>
      <c r="I6282" s="8" t="s">
        <v>4696</v>
      </c>
      <c r="J6282" s="8" t="s">
        <v>2792</v>
      </c>
      <c r="K6282" s="6" t="str">
        <f>"249.990,68"</f>
        <v>249.990,68</v>
      </c>
      <c r="L6282" s="6" t="str">
        <f>"62.497,67"</f>
        <v>62.497,67</v>
      </c>
      <c r="M6282" s="6" t="str">
        <f>"312.488,35"</f>
        <v>312.488,35</v>
      </c>
      <c r="N6282" s="8" t="s">
        <v>4697</v>
      </c>
      <c r="O6282" s="7"/>
      <c r="P6282" s="2" t="s">
        <v>8728</v>
      </c>
      <c r="Q6282" s="7"/>
      <c r="R6282" s="1"/>
      <c r="S6282" s="1" t="str">
        <f>"JNU-2020-1544"</f>
        <v>JNU-2020-1544</v>
      </c>
      <c r="T6282" s="1" t="s">
        <v>32</v>
      </c>
    </row>
    <row r="6283" spans="1:20" ht="63.75" x14ac:dyDescent="0.25">
      <c r="A6283" s="6">
        <v>6262</v>
      </c>
      <c r="B6283" s="1" t="str">
        <f>"2020-1282"</f>
        <v>2020-1282</v>
      </c>
      <c r="C6283" s="1" t="s">
        <v>4698</v>
      </c>
      <c r="D6283" s="1" t="s">
        <v>87</v>
      </c>
      <c r="E6283" s="1" t="str">
        <f>""</f>
        <v/>
      </c>
      <c r="F6283" s="1" t="s">
        <v>1860</v>
      </c>
      <c r="G6283" s="1" t="str">
        <f>CONCATENATE(" SPECIJALNI PROIZVODI OD DRVA FRAN,"," D.O.O.,"," LOŠINJSKA 8,"," 10000 ZAGREB,"," OIB: 48781797715")</f>
        <v xml:space="preserve"> SPECIJALNI PROIZVODI OD DRVA FRAN, D.O.O., LOŠINJSKA 8, 10000 ZAGREB, OIB: 48781797715</v>
      </c>
      <c r="H6283" s="7"/>
      <c r="I6283" s="8" t="s">
        <v>4699</v>
      </c>
      <c r="J6283" s="8" t="s">
        <v>1182</v>
      </c>
      <c r="K6283" s="6" t="str">
        <f>"140.000,00"</f>
        <v>140.000,00</v>
      </c>
      <c r="L6283" s="6" t="str">
        <f>"35.000,00"</f>
        <v>35.000,00</v>
      </c>
      <c r="M6283" s="6" t="str">
        <f>"175.000,00"</f>
        <v>175.000,00</v>
      </c>
      <c r="N6283" s="8" t="s">
        <v>4295</v>
      </c>
      <c r="O6283" s="7"/>
      <c r="P6283" s="2" t="s">
        <v>8729</v>
      </c>
      <c r="Q6283" s="1"/>
      <c r="R6283" s="1"/>
      <c r="S6283" s="1" t="str">
        <f>"JNU-2020-1621"</f>
        <v>JNU-2020-1621</v>
      </c>
      <c r="T6283" s="1" t="s">
        <v>32</v>
      </c>
    </row>
    <row r="6284" spans="1:20" ht="63.75" x14ac:dyDescent="0.25">
      <c r="A6284" s="6">
        <v>6263</v>
      </c>
      <c r="B6284" s="1" t="str">
        <f>"2020-2191"</f>
        <v>2020-2191</v>
      </c>
      <c r="C6284" s="1" t="s">
        <v>2795</v>
      </c>
      <c r="D6284" s="1" t="s">
        <v>1619</v>
      </c>
      <c r="E6284" s="1" t="str">
        <f>""</f>
        <v/>
      </c>
      <c r="F6284" s="1" t="s">
        <v>1860</v>
      </c>
      <c r="G6284" s="1" t="str">
        <f>CONCATENATE(" GRA-PO D.O.O.,"," GOSPODARSKA 5B,"," 10255 ZAGREB - STUPNIK,"," OIB: 05364995085")</f>
        <v xml:space="preserve"> GRA-PO D.O.O., GOSPODARSKA 5B, 10255 ZAGREB - STUPNIK, OIB: 05364995085</v>
      </c>
      <c r="H6284" s="7"/>
      <c r="I6284" s="8" t="s">
        <v>4339</v>
      </c>
      <c r="J6284" s="8" t="s">
        <v>2696</v>
      </c>
      <c r="K6284" s="6" t="str">
        <f>"11.866,00"</f>
        <v>11.866,00</v>
      </c>
      <c r="L6284" s="6" t="str">
        <f>"2.966,50"</f>
        <v>2.966,50</v>
      </c>
      <c r="M6284" s="6" t="str">
        <f>"14.832,50"</f>
        <v>14.832,50</v>
      </c>
      <c r="N6284" s="8" t="s">
        <v>124</v>
      </c>
      <c r="O6284" s="7"/>
      <c r="P6284" s="2" t="s">
        <v>5614</v>
      </c>
      <c r="Q6284" s="7"/>
      <c r="R6284" s="1"/>
      <c r="S6284" s="1" t="str">
        <f>"JNU-2020-1689"</f>
        <v>JNU-2020-1689</v>
      </c>
      <c r="T6284" s="1" t="s">
        <v>32</v>
      </c>
    </row>
    <row r="6285" spans="1:20" ht="51" x14ac:dyDescent="0.25">
      <c r="A6285" s="6">
        <v>6264</v>
      </c>
      <c r="B6285" s="1" t="str">
        <f>"2020-2886"</f>
        <v>2020-2886</v>
      </c>
      <c r="C6285" s="1" t="s">
        <v>4700</v>
      </c>
      <c r="D6285" s="1" t="s">
        <v>2029</v>
      </c>
      <c r="E6285" s="1" t="str">
        <f>""</f>
        <v/>
      </c>
      <c r="F6285" s="1" t="s">
        <v>1860</v>
      </c>
      <c r="G6285" s="1" t="str">
        <f>CONCATENATE(" DELOITTE D.O.O.,"," RADNIČKA CESTA 80,"," 10000 ZAGREB,"," OIB: 1168645778")</f>
        <v xml:space="preserve"> DELOITTE D.O.O., RADNIČKA CESTA 80, 10000 ZAGREB, OIB: 1168645778</v>
      </c>
      <c r="H6285" s="7"/>
      <c r="I6285" s="8" t="s">
        <v>4286</v>
      </c>
      <c r="J6285" s="8" t="s">
        <v>4701</v>
      </c>
      <c r="K6285" s="6" t="str">
        <f>"167.370,00"</f>
        <v>167.370,00</v>
      </c>
      <c r="L6285" s="6" t="str">
        <f>"41.842,50"</f>
        <v>41.842,50</v>
      </c>
      <c r="M6285" s="6" t="str">
        <f>"209.212,50"</f>
        <v>209.212,50</v>
      </c>
      <c r="N6285" s="8" t="s">
        <v>124</v>
      </c>
      <c r="O6285" s="7"/>
      <c r="P6285" s="2" t="s">
        <v>5614</v>
      </c>
      <c r="Q6285" s="7"/>
      <c r="R6285" s="1"/>
      <c r="S6285" s="1" t="str">
        <f>"JNU-2020-1766"</f>
        <v>JNU-2020-1766</v>
      </c>
      <c r="T6285" s="1" t="s">
        <v>32</v>
      </c>
    </row>
    <row r="6286" spans="1:20" ht="102" x14ac:dyDescent="0.25">
      <c r="A6286" s="6">
        <v>6265</v>
      </c>
      <c r="B6286" s="1" t="str">
        <f>"2020-2904"</f>
        <v>2020-2904</v>
      </c>
      <c r="C6286" s="1" t="s">
        <v>4702</v>
      </c>
      <c r="D6286" s="1" t="s">
        <v>4703</v>
      </c>
      <c r="E6286" s="1" t="str">
        <f>""</f>
        <v/>
      </c>
      <c r="F6286" s="1" t="s">
        <v>1860</v>
      </c>
      <c r="G6286" s="1" t="str">
        <f>CONCATENATE(" KING ICT D.O.O.,"," BUZINSKI PRILAZ 10,"," 10010 ZAGREB,"," OIB: 67001695549")</f>
        <v xml:space="preserve"> KING ICT D.O.O., BUZINSKI PRILAZ 10, 10010 ZAGREB, OIB: 67001695549</v>
      </c>
      <c r="H6286" s="7"/>
      <c r="I6286" s="8" t="s">
        <v>4704</v>
      </c>
      <c r="J6286" s="8" t="s">
        <v>4705</v>
      </c>
      <c r="K6286" s="6" t="str">
        <f>"190.000,00"</f>
        <v>190.000,00</v>
      </c>
      <c r="L6286" s="6" t="str">
        <f>"47.500,00"</f>
        <v>47.500,00</v>
      </c>
      <c r="M6286" s="6" t="str">
        <f>"237.500,00"</f>
        <v>237.500,00</v>
      </c>
      <c r="N6286" s="8" t="s">
        <v>124</v>
      </c>
      <c r="O6286" s="7"/>
      <c r="P6286" s="2" t="s">
        <v>5614</v>
      </c>
      <c r="Q6286" s="7"/>
      <c r="R6286" s="1"/>
      <c r="S6286" s="1" t="str">
        <f>"JNU-2020-1777"</f>
        <v>JNU-2020-1777</v>
      </c>
      <c r="T6286" s="1" t="s">
        <v>32</v>
      </c>
    </row>
    <row r="6287" spans="1:20" ht="51" x14ac:dyDescent="0.25">
      <c r="A6287" s="6">
        <v>6266</v>
      </c>
      <c r="B6287" s="1" t="str">
        <f>"2020-2898"</f>
        <v>2020-2898</v>
      </c>
      <c r="C6287" s="1" t="s">
        <v>4706</v>
      </c>
      <c r="D6287" s="1" t="s">
        <v>2211</v>
      </c>
      <c r="E6287" s="1" t="str">
        <f>""</f>
        <v/>
      </c>
      <c r="F6287" s="1" t="s">
        <v>1860</v>
      </c>
      <c r="G6287" s="1" t="str">
        <f>CONCATENATE(" PRESIDO D.O.O.,"," REPUBLIKE AUSTRIJE 23,"," 10000 ZAGREB,"," OIB: 41687433318")</f>
        <v xml:space="preserve"> PRESIDO D.O.O., REPUBLIKE AUSTRIJE 23, 10000 ZAGREB, OIB: 41687433318</v>
      </c>
      <c r="H6287" s="7"/>
      <c r="I6287" s="8" t="s">
        <v>4219</v>
      </c>
      <c r="J6287" s="8" t="s">
        <v>4219</v>
      </c>
      <c r="K6287" s="6" t="str">
        <f>"47.500,00"</f>
        <v>47.500,00</v>
      </c>
      <c r="L6287" s="6" t="str">
        <f>"11.875,00"</f>
        <v>11.875,00</v>
      </c>
      <c r="M6287" s="6" t="str">
        <f>"59.375,00"</f>
        <v>59.375,00</v>
      </c>
      <c r="N6287" s="8" t="s">
        <v>124</v>
      </c>
      <c r="O6287" s="7"/>
      <c r="P6287" s="2" t="s">
        <v>5614</v>
      </c>
      <c r="Q6287" s="7"/>
      <c r="R6287" s="1"/>
      <c r="S6287" s="1" t="str">
        <f>"JNU-2020-1844"</f>
        <v>JNU-2020-1844</v>
      </c>
      <c r="T6287" s="1" t="s">
        <v>32</v>
      </c>
    </row>
    <row r="6288" spans="1:20" ht="51" x14ac:dyDescent="0.25">
      <c r="A6288" s="6">
        <v>6267</v>
      </c>
      <c r="B6288" s="1" t="str">
        <f>"2020-2935"</f>
        <v>2020-2935</v>
      </c>
      <c r="C6288" s="1" t="s">
        <v>4707</v>
      </c>
      <c r="D6288" s="1" t="s">
        <v>1209</v>
      </c>
      <c r="E6288" s="1" t="str">
        <f>""</f>
        <v/>
      </c>
      <c r="F6288" s="1" t="s">
        <v>1860</v>
      </c>
      <c r="G6288" s="1" t="str">
        <f>CONCATENATE(" TAHOGRAF D.O.O.,"," DR. FRANJE TUĐMANA 24,"," 10431 SVETA NEDELJA,"," OIB: 73777060562")</f>
        <v xml:space="preserve"> TAHOGRAF D.O.O., DR. FRANJE TUĐMANA 24, 10431 SVETA NEDELJA, OIB: 73777060562</v>
      </c>
      <c r="H6288" s="7"/>
      <c r="I6288" s="8" t="s">
        <v>1066</v>
      </c>
      <c r="J6288" s="8" t="s">
        <v>1271</v>
      </c>
      <c r="K6288" s="6" t="str">
        <f>"99.642,93"</f>
        <v>99.642,93</v>
      </c>
      <c r="L6288" s="6" t="str">
        <f>"24.910,73"</f>
        <v>24.910,73</v>
      </c>
      <c r="M6288" s="6" t="str">
        <f>"124.553,66"</f>
        <v>124.553,66</v>
      </c>
      <c r="N6288" s="8" t="s">
        <v>1397</v>
      </c>
      <c r="O6288" s="7"/>
      <c r="P6288" s="2" t="s">
        <v>8730</v>
      </c>
      <c r="Q6288" s="7"/>
      <c r="R6288" s="1"/>
      <c r="S6288" s="1" t="str">
        <f>"JNU-2020-2691"</f>
        <v>JNU-2020-2691</v>
      </c>
      <c r="T6288" s="1" t="s">
        <v>32</v>
      </c>
    </row>
    <row r="6289" spans="1:20" ht="63.75" x14ac:dyDescent="0.25">
      <c r="A6289" s="6">
        <v>6268</v>
      </c>
      <c r="B6289" s="1" t="str">
        <f>"2020-2908"</f>
        <v>2020-2908</v>
      </c>
      <c r="C6289" s="1" t="s">
        <v>4708</v>
      </c>
      <c r="D6289" s="1" t="s">
        <v>2103</v>
      </c>
      <c r="E6289" s="1" t="str">
        <f>""</f>
        <v/>
      </c>
      <c r="F6289" s="1" t="s">
        <v>1860</v>
      </c>
      <c r="G6289" s="1" t="str">
        <f>CONCATENATE(" CULTRO PROJEKT D.O.O.,"," ZAGREBAČKA CESTA 191,"," 10000 ZAGREB,"," OIB: 17303121767")</f>
        <v xml:space="preserve"> CULTRO PROJEKT D.O.O., ZAGREBAČKA CESTA 191, 10000 ZAGREB, OIB: 17303121767</v>
      </c>
      <c r="H6289" s="7"/>
      <c r="I6289" s="8" t="s">
        <v>1066</v>
      </c>
      <c r="J6289" s="8" t="s">
        <v>1247</v>
      </c>
      <c r="K6289" s="6" t="str">
        <f>"293.790,20"</f>
        <v>293.790,20</v>
      </c>
      <c r="L6289" s="6" t="str">
        <f>"73.447,55"</f>
        <v>73.447,55</v>
      </c>
      <c r="M6289" s="6" t="str">
        <f>"367.237,75"</f>
        <v>367.237,75</v>
      </c>
      <c r="N6289" s="8" t="s">
        <v>4709</v>
      </c>
      <c r="O6289" s="7"/>
      <c r="P6289" s="2" t="s">
        <v>8731</v>
      </c>
      <c r="Q6289" s="7"/>
      <c r="R6289" s="1"/>
      <c r="S6289" s="1" t="str">
        <f>"JNU-2020-2706"</f>
        <v>JNU-2020-2706</v>
      </c>
      <c r="T6289" s="1" t="s">
        <v>32</v>
      </c>
    </row>
    <row r="6290" spans="1:20" ht="51" x14ac:dyDescent="0.25">
      <c r="A6290" s="6">
        <v>6269</v>
      </c>
      <c r="B6290" s="1" t="str">
        <f>"2020-2981"</f>
        <v>2020-2981</v>
      </c>
      <c r="C6290" s="1" t="s">
        <v>4710</v>
      </c>
      <c r="D6290" s="1" t="s">
        <v>2211</v>
      </c>
      <c r="E6290" s="1" t="str">
        <f>""</f>
        <v/>
      </c>
      <c r="F6290" s="1" t="s">
        <v>1860</v>
      </c>
      <c r="G6290" s="1" t="str">
        <f>CONCATENATE(" HORVATH WOLF D.O.O.,"," PETRAČIĆEVA 6,"," 10000 ZAGREB,"," OIB: 21975632012")</f>
        <v xml:space="preserve"> HORVATH WOLF D.O.O., PETRAČIĆEVA 6, 10000 ZAGREB, OIB: 21975632012</v>
      </c>
      <c r="H6290" s="7"/>
      <c r="I6290" s="8" t="s">
        <v>4711</v>
      </c>
      <c r="J6290" s="8" t="s">
        <v>4712</v>
      </c>
      <c r="K6290" s="6" t="str">
        <f>"68.000,00"</f>
        <v>68.000,00</v>
      </c>
      <c r="L6290" s="6" t="str">
        <f>"17.000,00"</f>
        <v>17.000,00</v>
      </c>
      <c r="M6290" s="6" t="str">
        <f>"85.000,00"</f>
        <v>85.000,00</v>
      </c>
      <c r="N6290" s="8" t="s">
        <v>124</v>
      </c>
      <c r="O6290" s="7"/>
      <c r="P6290" s="2" t="s">
        <v>5614</v>
      </c>
      <c r="Q6290" s="7"/>
      <c r="R6290" s="1"/>
      <c r="S6290" s="1" t="str">
        <f>"JNU-2020-2990"</f>
        <v>JNU-2020-2990</v>
      </c>
      <c r="T6290" s="1" t="s">
        <v>32</v>
      </c>
    </row>
    <row r="6291" spans="1:20" ht="63.75" x14ac:dyDescent="0.25">
      <c r="A6291" s="6">
        <v>6270</v>
      </c>
      <c r="B6291" s="1" t="str">
        <f>"2020-2003"</f>
        <v>2020-2003</v>
      </c>
      <c r="C6291" s="1" t="s">
        <v>2624</v>
      </c>
      <c r="D6291" s="1" t="s">
        <v>1334</v>
      </c>
      <c r="E6291" s="1" t="str">
        <f>""</f>
        <v/>
      </c>
      <c r="F6291" s="1" t="s">
        <v>1860</v>
      </c>
      <c r="G6291" s="1" t="str">
        <f>CONCATENATE(" COLOR-CHEM D.O.O.,"," DRAGUTINA DOMJANIĆA 10,"," 10290 ZAPREŠIĆ,"," OIB: 25899170348")</f>
        <v xml:space="preserve"> COLOR-CHEM D.O.O., DRAGUTINA DOMJANIĆA 10, 10290 ZAPREŠIĆ, OIB: 25899170348</v>
      </c>
      <c r="H6291" s="7"/>
      <c r="I6291" s="8" t="s">
        <v>4418</v>
      </c>
      <c r="J6291" s="8" t="s">
        <v>1988</v>
      </c>
      <c r="K6291" s="6" t="str">
        <f>"34.985,00"</f>
        <v>34.985,00</v>
      </c>
      <c r="L6291" s="6" t="str">
        <f>"8.746,25"</f>
        <v>8.746,25</v>
      </c>
      <c r="M6291" s="6" t="str">
        <f>"43.731,25"</f>
        <v>43.731,25</v>
      </c>
      <c r="N6291" s="8" t="s">
        <v>2462</v>
      </c>
      <c r="O6291" s="7"/>
      <c r="P6291" s="2" t="s">
        <v>8732</v>
      </c>
      <c r="Q6291" s="7"/>
      <c r="R6291" s="1"/>
      <c r="S6291" s="1" t="str">
        <f>"JNU-2020-3132"</f>
        <v>JNU-2020-3132</v>
      </c>
      <c r="T6291" s="1" t="s">
        <v>32</v>
      </c>
    </row>
    <row r="6292" spans="1:20" ht="38.25" x14ac:dyDescent="0.25">
      <c r="A6292" s="6">
        <v>6271</v>
      </c>
      <c r="B6292" s="1" t="str">
        <f>"2020-821"</f>
        <v>2020-821</v>
      </c>
      <c r="C6292" s="1" t="s">
        <v>2808</v>
      </c>
      <c r="D6292" s="1" t="s">
        <v>2809</v>
      </c>
      <c r="E6292" s="1" t="str">
        <f>""</f>
        <v/>
      </c>
      <c r="F6292" s="1" t="s">
        <v>1860</v>
      </c>
      <c r="G6292" s="1" t="str">
        <f>CONCATENATE(" BBB  D.O.O.,"," SOPNIČKA 93A,"," 10360 SESVETE,"," OIB: 46219067545")</f>
        <v xml:space="preserve"> BBB  D.O.O., SOPNIČKA 93A, 10360 SESVETE, OIB: 46219067545</v>
      </c>
      <c r="H6292" s="7"/>
      <c r="I6292" s="8" t="s">
        <v>4345</v>
      </c>
      <c r="J6292" s="8" t="s">
        <v>440</v>
      </c>
      <c r="K6292" s="6" t="str">
        <f>"7.950,00"</f>
        <v>7.950,00</v>
      </c>
      <c r="L6292" s="6" t="str">
        <f>"1.987,50"</f>
        <v>1.987,50</v>
      </c>
      <c r="M6292" s="6" t="str">
        <f>"9.937,50"</f>
        <v>9.937,50</v>
      </c>
      <c r="N6292" s="8" t="s">
        <v>124</v>
      </c>
      <c r="O6292" s="7"/>
      <c r="P6292" s="2" t="s">
        <v>5614</v>
      </c>
      <c r="Q6292" s="7"/>
      <c r="R6292" s="1"/>
      <c r="S6292" s="1" t="str">
        <f>"JNU-2020-3136"</f>
        <v>JNU-2020-3136</v>
      </c>
      <c r="T6292" s="1" t="s">
        <v>32</v>
      </c>
    </row>
    <row r="6293" spans="1:20" ht="63.75" x14ac:dyDescent="0.25">
      <c r="A6293" s="6">
        <v>6272</v>
      </c>
      <c r="B6293" s="1" t="str">
        <f>"2020-2972"</f>
        <v>2020-2972</v>
      </c>
      <c r="C6293" s="1" t="s">
        <v>4713</v>
      </c>
      <c r="D6293" s="1" t="s">
        <v>914</v>
      </c>
      <c r="E6293" s="1" t="str">
        <f>""</f>
        <v/>
      </c>
      <c r="F6293" s="1" t="s">
        <v>1860</v>
      </c>
      <c r="G6293" s="1" t="str">
        <f>CONCATENATE(" VOLVO GROUP CROATIA D.O.O.,"," KARLOVAČKA CESTA 94,"," 10000 ZAGREB,"," OIB: 88704563307")</f>
        <v xml:space="preserve"> VOLVO GROUP CROATIA D.O.O., KARLOVAČKA CESTA 94, 10000 ZAGREB, OIB: 88704563307</v>
      </c>
      <c r="H6293" s="7"/>
      <c r="I6293" s="8" t="s">
        <v>1237</v>
      </c>
      <c r="J6293" s="8" t="s">
        <v>2030</v>
      </c>
      <c r="K6293" s="6" t="str">
        <f>"159.937,68"</f>
        <v>159.937,68</v>
      </c>
      <c r="L6293" s="6" t="str">
        <f>"39.984,42"</f>
        <v>39.984,42</v>
      </c>
      <c r="M6293" s="6" t="str">
        <f>"199.922,10"</f>
        <v>199.922,10</v>
      </c>
      <c r="N6293" s="8" t="s">
        <v>2537</v>
      </c>
      <c r="O6293" s="7"/>
      <c r="P6293" s="2" t="s">
        <v>8733</v>
      </c>
      <c r="Q6293" s="7"/>
      <c r="R6293" s="1"/>
      <c r="S6293" s="1" t="str">
        <f>"JNU-2020-3174"</f>
        <v>JNU-2020-3174</v>
      </c>
      <c r="T6293" s="1" t="s">
        <v>32</v>
      </c>
    </row>
    <row r="6294" spans="1:20" ht="51" x14ac:dyDescent="0.25">
      <c r="A6294" s="6">
        <v>6273</v>
      </c>
      <c r="B6294" s="1" t="str">
        <f>"2016-2560"</f>
        <v>2016-2560</v>
      </c>
      <c r="C6294" s="1" t="s">
        <v>4714</v>
      </c>
      <c r="D6294" s="1" t="s">
        <v>2168</v>
      </c>
      <c r="E6294" s="1" t="str">
        <f>""</f>
        <v/>
      </c>
      <c r="F6294" s="1" t="s">
        <v>1860</v>
      </c>
      <c r="G6294" s="1" t="str">
        <f>CONCATENATE(" HEDOM D.O.O.,"," VELIKA CESTA 28,"," 10000 ZAGREB,"," OIB: 62485998118")</f>
        <v xml:space="preserve"> HEDOM D.O.O., VELIKA CESTA 28, 10000 ZAGREB, OIB: 62485998118</v>
      </c>
      <c r="H6294" s="7"/>
      <c r="I6294" s="8" t="s">
        <v>4715</v>
      </c>
      <c r="J6294" s="8" t="s">
        <v>3498</v>
      </c>
      <c r="K6294" s="6" t="str">
        <f>"483.291,70"</f>
        <v>483.291,70</v>
      </c>
      <c r="L6294" s="6" t="str">
        <f>"120.822,92"</f>
        <v>120.822,92</v>
      </c>
      <c r="M6294" s="6" t="str">
        <f>"604.114,62"</f>
        <v>604.114,62</v>
      </c>
      <c r="N6294" s="8" t="s">
        <v>4716</v>
      </c>
      <c r="O6294" s="7"/>
      <c r="P6294" s="2" t="s">
        <v>8734</v>
      </c>
      <c r="Q6294" s="7"/>
      <c r="R6294" s="1"/>
      <c r="S6294" s="1" t="str">
        <f>"N-B-22/16"</f>
        <v>N-B-22/16</v>
      </c>
      <c r="T6294" s="1" t="s">
        <v>86</v>
      </c>
    </row>
    <row r="6295" spans="1:20" ht="63.75" x14ac:dyDescent="0.25">
      <c r="A6295" s="6">
        <v>6274</v>
      </c>
      <c r="B6295" s="1" t="str">
        <f>"2016-2529"</f>
        <v>2016-2529</v>
      </c>
      <c r="C6295" s="1" t="s">
        <v>4717</v>
      </c>
      <c r="D6295" s="1" t="s">
        <v>702</v>
      </c>
      <c r="E6295" s="1" t="str">
        <f>""</f>
        <v/>
      </c>
      <c r="F6295" s="1" t="s">
        <v>1860</v>
      </c>
      <c r="G6295" s="1" t="str">
        <f>CONCATENATE(" BOLČEVIĆ-GRADNJA D.O.O.,"," DUGOSELSKA CESTA 56,"," 10361 SESVETSKI KRALJEVEC,"," OIB: 520986705")</f>
        <v xml:space="preserve"> BOLČEVIĆ-GRADNJA D.O.O., DUGOSELSKA CESTA 56, 10361 SESVETSKI KRALJEVEC, OIB: 520986705</v>
      </c>
      <c r="H6295" s="7"/>
      <c r="I6295" s="8" t="s">
        <v>3497</v>
      </c>
      <c r="J6295" s="8" t="s">
        <v>3498</v>
      </c>
      <c r="K6295" s="6" t="str">
        <f>"180.590,00"</f>
        <v>180.590,00</v>
      </c>
      <c r="L6295" s="6" t="str">
        <f>"45.147,50"</f>
        <v>45.147,50</v>
      </c>
      <c r="M6295" s="6" t="str">
        <f>"225.737,50"</f>
        <v>225.737,50</v>
      </c>
      <c r="N6295" s="8" t="s">
        <v>3721</v>
      </c>
      <c r="O6295" s="7"/>
      <c r="P6295" s="2" t="s">
        <v>8735</v>
      </c>
      <c r="Q6295" s="7"/>
      <c r="R6295" s="1"/>
      <c r="S6295" s="1" t="str">
        <f>"N-B-35/16"</f>
        <v>N-B-35/16</v>
      </c>
      <c r="T6295" s="1" t="s">
        <v>452</v>
      </c>
    </row>
    <row r="6296" spans="1:20" ht="63.75" x14ac:dyDescent="0.25">
      <c r="A6296" s="6">
        <v>6275</v>
      </c>
      <c r="B6296" s="1" t="str">
        <f>"2016-2524"</f>
        <v>2016-2524</v>
      </c>
      <c r="C6296" s="1" t="s">
        <v>4718</v>
      </c>
      <c r="D6296" s="1" t="s">
        <v>702</v>
      </c>
      <c r="E6296" s="1" t="str">
        <f>""</f>
        <v/>
      </c>
      <c r="F6296" s="1" t="s">
        <v>1860</v>
      </c>
      <c r="G6296" s="1" t="str">
        <f>CONCATENATE(" BOLČEVIĆ-GRADNJA D.O.O.,"," DUGOSELSKA CESTA 56,"," 10361 SESVETSKI KRALJEVEC,"," OIB: 520986705")</f>
        <v xml:space="preserve"> BOLČEVIĆ-GRADNJA D.O.O., DUGOSELSKA CESTA 56, 10361 SESVETSKI KRALJEVEC, OIB: 520986705</v>
      </c>
      <c r="H6296" s="7"/>
      <c r="I6296" s="8" t="s">
        <v>3497</v>
      </c>
      <c r="J6296" s="8" t="s">
        <v>4719</v>
      </c>
      <c r="K6296" s="6" t="str">
        <f>"126.041,50"</f>
        <v>126.041,50</v>
      </c>
      <c r="L6296" s="6" t="str">
        <f>"31.510,38"</f>
        <v>31.510,38</v>
      </c>
      <c r="M6296" s="6" t="str">
        <f>"157.551,88"</f>
        <v>157.551,88</v>
      </c>
      <c r="N6296" s="8" t="s">
        <v>4720</v>
      </c>
      <c r="O6296" s="7"/>
      <c r="P6296" s="2" t="s">
        <v>8736</v>
      </c>
      <c r="Q6296" s="7"/>
      <c r="R6296" s="1"/>
      <c r="S6296" s="1" t="str">
        <f>"N-B-40/16"</f>
        <v>N-B-40/16</v>
      </c>
      <c r="T6296" s="1" t="s">
        <v>452</v>
      </c>
    </row>
    <row r="6297" spans="1:20" ht="51" x14ac:dyDescent="0.25">
      <c r="A6297" s="6">
        <v>6276</v>
      </c>
      <c r="B6297" s="1" t="str">
        <f>"2016-2527"</f>
        <v>2016-2527</v>
      </c>
      <c r="C6297" s="1" t="s">
        <v>4721</v>
      </c>
      <c r="D6297" s="1" t="s">
        <v>702</v>
      </c>
      <c r="E6297" s="1" t="str">
        <f>""</f>
        <v/>
      </c>
      <c r="F6297" s="1" t="s">
        <v>1860</v>
      </c>
      <c r="G6297" s="1" t="str">
        <f>CONCATENATE(" TEMEX D.O.O.,"," JANUŠEVEČKA 11,"," 10000 ZAGREB,"," OIB: 89610149986")</f>
        <v xml:space="preserve"> TEMEX D.O.O., JANUŠEVEČKA 11, 10000 ZAGREB, OIB: 89610149986</v>
      </c>
      <c r="H6297" s="7"/>
      <c r="I6297" s="8" t="s">
        <v>3614</v>
      </c>
      <c r="J6297" s="8" t="s">
        <v>3615</v>
      </c>
      <c r="K6297" s="6" t="str">
        <f>"78.230,00"</f>
        <v>78.230,00</v>
      </c>
      <c r="L6297" s="6" t="str">
        <f>"19.557,50"</f>
        <v>19.557,50</v>
      </c>
      <c r="M6297" s="6" t="str">
        <f>"97.787,50"</f>
        <v>97.787,50</v>
      </c>
      <c r="N6297" s="8" t="s">
        <v>4487</v>
      </c>
      <c r="O6297" s="7"/>
      <c r="P6297" s="2" t="s">
        <v>8737</v>
      </c>
      <c r="Q6297" s="7"/>
      <c r="R6297" s="1"/>
      <c r="S6297" s="1" t="str">
        <f>"N-B-51/16"</f>
        <v>N-B-51/16</v>
      </c>
      <c r="T6297" s="1" t="s">
        <v>452</v>
      </c>
    </row>
    <row r="6298" spans="1:20" ht="76.5" x14ac:dyDescent="0.25">
      <c r="A6298" s="6">
        <v>6277</v>
      </c>
      <c r="B6298" s="1" t="str">
        <f>"2016-2530"</f>
        <v>2016-2530</v>
      </c>
      <c r="C6298" s="1" t="s">
        <v>4722</v>
      </c>
      <c r="D6298" s="1" t="s">
        <v>702</v>
      </c>
      <c r="E6298" s="1" t="str">
        <f>""</f>
        <v/>
      </c>
      <c r="F6298" s="1" t="s">
        <v>1860</v>
      </c>
      <c r="G6298" s="1" t="str">
        <f>CONCATENATE(" INSTAL-PROM D.O.O.,"," LJUTOMERSKA 33A,"," 10040 ZAGREB,"," OIB: 21231984689")</f>
        <v xml:space="preserve"> INSTAL-PROM D.O.O., LJUTOMERSKA 33A, 10040 ZAGREB, OIB: 21231984689</v>
      </c>
      <c r="H6298" s="7"/>
      <c r="I6298" s="8" t="s">
        <v>4723</v>
      </c>
      <c r="J6298" s="8" t="s">
        <v>4484</v>
      </c>
      <c r="K6298" s="6" t="str">
        <f>"359.887,20"</f>
        <v>359.887,20</v>
      </c>
      <c r="L6298" s="6" t="str">
        <f>"89.971,80"</f>
        <v>89.971,80</v>
      </c>
      <c r="M6298" s="6" t="str">
        <f>"449.859,00"</f>
        <v>449.859,00</v>
      </c>
      <c r="N6298" s="8" t="s">
        <v>4724</v>
      </c>
      <c r="O6298" s="7"/>
      <c r="P6298" s="2" t="s">
        <v>8738</v>
      </c>
      <c r="Q6298" s="7"/>
      <c r="R6298" s="1"/>
      <c r="S6298" s="1" t="str">
        <f>"N-B-58/16"</f>
        <v>N-B-58/16</v>
      </c>
      <c r="T6298" s="1" t="s">
        <v>452</v>
      </c>
    </row>
    <row r="6299" spans="1:20" ht="76.5" x14ac:dyDescent="0.25">
      <c r="A6299" s="6">
        <v>6278</v>
      </c>
      <c r="B6299" s="1" t="str">
        <f>"2016-2327"</f>
        <v>2016-2327</v>
      </c>
      <c r="C6299" s="1" t="s">
        <v>4725</v>
      </c>
      <c r="D6299" s="1" t="s">
        <v>1979</v>
      </c>
      <c r="E6299" s="1" t="str">
        <f>""</f>
        <v/>
      </c>
      <c r="F6299" s="1" t="s">
        <v>1860</v>
      </c>
      <c r="G6299" s="1" t="str">
        <f>CONCATENATE(" IPZ-NISKOGRADNJA D.O.O.,"," TRG BANA JOSIPA JELAČIĆA 1/II,"," 10000 ZAGREB,"," OIB: 79761663049")</f>
        <v xml:space="preserve"> IPZ-NISKOGRADNJA D.O.O., TRG BANA JOSIPA JELAČIĆA 1/II, 10000 ZAGREB, OIB: 79761663049</v>
      </c>
      <c r="H6299" s="7"/>
      <c r="I6299" s="8" t="s">
        <v>4726</v>
      </c>
      <c r="J6299" s="8" t="s">
        <v>3858</v>
      </c>
      <c r="K6299" s="6" t="str">
        <f>"41.600,00"</f>
        <v>41.600,00</v>
      </c>
      <c r="L6299" s="6" t="str">
        <f>"10.400,00"</f>
        <v>10.400,00</v>
      </c>
      <c r="M6299" s="6" t="str">
        <f>"52.000,00"</f>
        <v>52.000,00</v>
      </c>
      <c r="N6299" s="8" t="s">
        <v>124</v>
      </c>
      <c r="O6299" s="7"/>
      <c r="P6299" s="2" t="s">
        <v>5614</v>
      </c>
      <c r="Q6299" s="7"/>
      <c r="R6299" s="1"/>
      <c r="S6299" s="1" t="str">
        <f>"N-B-67/16"</f>
        <v>N-B-67/16</v>
      </c>
      <c r="T6299" s="1" t="s">
        <v>55</v>
      </c>
    </row>
    <row r="6300" spans="1:20" ht="63.75" x14ac:dyDescent="0.25">
      <c r="A6300" s="6">
        <v>6279</v>
      </c>
      <c r="B6300" s="1" t="str">
        <f>"2016-2031"</f>
        <v>2016-2031</v>
      </c>
      <c r="C6300" s="1" t="s">
        <v>4727</v>
      </c>
      <c r="D6300" s="1" t="s">
        <v>1979</v>
      </c>
      <c r="E6300" s="1" t="str">
        <f>""</f>
        <v/>
      </c>
      <c r="F6300" s="1" t="s">
        <v>1860</v>
      </c>
      <c r="G6300" s="1" t="str">
        <f>CONCATENATE(" PROMPT PROJEKTIRANJE D.O.O.,"," TOMISLAVOVA 9,"," 10000 ZAGREB,"," OIB: 30094396634")</f>
        <v xml:space="preserve"> PROMPT PROJEKTIRANJE D.O.O., TOMISLAVOVA 9, 10000 ZAGREB, OIB: 30094396634</v>
      </c>
      <c r="H6300" s="7"/>
      <c r="I6300" s="8" t="s">
        <v>4728</v>
      </c>
      <c r="J6300" s="8" t="s">
        <v>4506</v>
      </c>
      <c r="K6300" s="6" t="str">
        <f>"38.900,00"</f>
        <v>38.900,00</v>
      </c>
      <c r="L6300" s="6" t="str">
        <f>"9.725,00"</f>
        <v>9.725,00</v>
      </c>
      <c r="M6300" s="6" t="str">
        <f>"48.625,00"</f>
        <v>48.625,00</v>
      </c>
      <c r="N6300" s="8" t="s">
        <v>124</v>
      </c>
      <c r="O6300" s="7"/>
      <c r="P6300" s="2" t="s">
        <v>5614</v>
      </c>
      <c r="Q6300" s="7"/>
      <c r="R6300" s="1"/>
      <c r="S6300" s="1" t="str">
        <f>"N-B-74/16"</f>
        <v>N-B-74/16</v>
      </c>
      <c r="T6300" s="1" t="s">
        <v>55</v>
      </c>
    </row>
    <row r="6301" spans="1:20" ht="51" x14ac:dyDescent="0.25">
      <c r="A6301" s="6">
        <v>6280</v>
      </c>
      <c r="B6301" s="1" t="str">
        <f>"2016-2445"</f>
        <v>2016-2445</v>
      </c>
      <c r="C6301" s="1" t="s">
        <v>2707</v>
      </c>
      <c r="D6301" s="1" t="s">
        <v>2708</v>
      </c>
      <c r="E6301" s="1" t="str">
        <f>""</f>
        <v/>
      </c>
      <c r="F6301" s="1" t="s">
        <v>1860</v>
      </c>
      <c r="G6301" s="1" t="str">
        <f>CONCATENATE(" TED D.O.O.,"," VRHOVČEV VIJENAC 84,"," 10000 ZAGREB,"," OIB: 22740118957")</f>
        <v xml:space="preserve"> TED D.O.O., VRHOVČEV VIJENAC 84, 10000 ZAGREB, OIB: 22740118957</v>
      </c>
      <c r="H6301" s="7"/>
      <c r="I6301" s="8" t="s">
        <v>3501</v>
      </c>
      <c r="J6301" s="8" t="s">
        <v>3502</v>
      </c>
      <c r="K6301" s="6" t="str">
        <f>"118.350,00"</f>
        <v>118.350,00</v>
      </c>
      <c r="L6301" s="6" t="str">
        <f>"29.587,50"</f>
        <v>29.587,50</v>
      </c>
      <c r="M6301" s="6" t="str">
        <f>"147.937,50"</f>
        <v>147.937,50</v>
      </c>
      <c r="N6301" s="8" t="s">
        <v>4729</v>
      </c>
      <c r="O6301" s="7"/>
      <c r="P6301" s="2" t="s">
        <v>8739</v>
      </c>
      <c r="Q6301" s="7"/>
      <c r="R6301" s="1"/>
      <c r="S6301" s="1" t="str">
        <f>"N-B-77/16"</f>
        <v>N-B-77/16</v>
      </c>
      <c r="T6301" s="1" t="s">
        <v>32</v>
      </c>
    </row>
    <row r="6302" spans="1:20" ht="89.25" x14ac:dyDescent="0.25">
      <c r="A6302" s="6">
        <v>6281</v>
      </c>
      <c r="B6302" s="1" t="str">
        <f>"2016-2332"</f>
        <v>2016-2332</v>
      </c>
      <c r="C6302" s="1" t="s">
        <v>4730</v>
      </c>
      <c r="D6302" s="1" t="s">
        <v>1979</v>
      </c>
      <c r="E6302" s="1" t="str">
        <f>""</f>
        <v/>
      </c>
      <c r="F6302" s="1" t="s">
        <v>1860</v>
      </c>
      <c r="G6302" s="1" t="str">
        <f>CONCATENATE(" ARHINGTRADE D.O.O.,"," GAJEVA 47,"," 10000 ZAGREB,"," OIB: 19240285746")</f>
        <v xml:space="preserve"> ARHINGTRADE D.O.O., GAJEVA 47, 10000 ZAGREB, OIB: 19240285746</v>
      </c>
      <c r="H6302" s="7"/>
      <c r="I6302" s="8" t="s">
        <v>4731</v>
      </c>
      <c r="J6302" s="8" t="s">
        <v>4513</v>
      </c>
      <c r="K6302" s="6" t="str">
        <f>"43.000,00"</f>
        <v>43.000,00</v>
      </c>
      <c r="L6302" s="6" t="str">
        <f>"10.750,00"</f>
        <v>10.750,00</v>
      </c>
      <c r="M6302" s="6" t="str">
        <f>"53.750,00"</f>
        <v>53.750,00</v>
      </c>
      <c r="N6302" s="8" t="s">
        <v>124</v>
      </c>
      <c r="O6302" s="7"/>
      <c r="P6302" s="2" t="s">
        <v>5614</v>
      </c>
      <c r="Q6302" s="7"/>
      <c r="R6302" s="1"/>
      <c r="S6302" s="1" t="str">
        <f>"N-B-83/16"</f>
        <v>N-B-83/16</v>
      </c>
      <c r="T6302" s="1" t="s">
        <v>55</v>
      </c>
    </row>
    <row r="6303" spans="1:20" ht="51" x14ac:dyDescent="0.25">
      <c r="A6303" s="6">
        <v>6282</v>
      </c>
      <c r="B6303" s="1" t="str">
        <f>"2016-2337"</f>
        <v>2016-2337</v>
      </c>
      <c r="C6303" s="1" t="s">
        <v>4732</v>
      </c>
      <c r="D6303" s="1" t="s">
        <v>1979</v>
      </c>
      <c r="E6303" s="1" t="str">
        <f>""</f>
        <v/>
      </c>
      <c r="F6303" s="1" t="s">
        <v>1860</v>
      </c>
      <c r="G6303" s="1" t="str">
        <f>CONCATENATE(" EKO-PLAN D.O.O.,"," 2. JAZBINSKI GAJ 1A,"," 10000 ZAGREB,"," OIB: 55034160084")</f>
        <v xml:space="preserve"> EKO-PLAN D.O.O., 2. JAZBINSKI GAJ 1A, 10000 ZAGREB, OIB: 55034160084</v>
      </c>
      <c r="H6303" s="7"/>
      <c r="I6303" s="8" t="s">
        <v>4731</v>
      </c>
      <c r="J6303" s="8" t="s">
        <v>4513</v>
      </c>
      <c r="K6303" s="6" t="str">
        <f>"89.100,00"</f>
        <v>89.100,00</v>
      </c>
      <c r="L6303" s="6" t="str">
        <f>"22.275,00"</f>
        <v>22.275,00</v>
      </c>
      <c r="M6303" s="6" t="str">
        <f>"111.375,00"</f>
        <v>111.375,00</v>
      </c>
      <c r="N6303" s="8" t="s">
        <v>124</v>
      </c>
      <c r="O6303" s="7"/>
      <c r="P6303" s="2" t="s">
        <v>5614</v>
      </c>
      <c r="Q6303" s="7"/>
      <c r="R6303" s="1"/>
      <c r="S6303" s="1" t="str">
        <f>"N-B-84/16"</f>
        <v>N-B-84/16</v>
      </c>
      <c r="T6303" s="1" t="s">
        <v>55</v>
      </c>
    </row>
    <row r="6304" spans="1:20" ht="51" x14ac:dyDescent="0.25">
      <c r="A6304" s="6">
        <v>6283</v>
      </c>
      <c r="B6304" s="1" t="str">
        <f>"2016-1161"</f>
        <v>2016-1161</v>
      </c>
      <c r="C6304" s="1" t="s">
        <v>4527</v>
      </c>
      <c r="D6304" s="1" t="s">
        <v>381</v>
      </c>
      <c r="E6304" s="1" t="str">
        <f>""</f>
        <v/>
      </c>
      <c r="F6304" s="1" t="s">
        <v>1860</v>
      </c>
      <c r="G6304" s="1" t="str">
        <f>CONCATENATE(" HRT - ŠARIĆ D.O.O.,"," ZAGREBAČKA 217,"," 10370 DUGO SELO,"," OIB: 76454212077")</f>
        <v xml:space="preserve"> HRT - ŠARIĆ D.O.O., ZAGREBAČKA 217, 10370 DUGO SELO, OIB: 76454212077</v>
      </c>
      <c r="H6304" s="7"/>
      <c r="I6304" s="8" t="s">
        <v>4733</v>
      </c>
      <c r="J6304" s="8" t="s">
        <v>4734</v>
      </c>
      <c r="K6304" s="6" t="str">
        <f>"32.683,00"</f>
        <v>32.683,00</v>
      </c>
      <c r="L6304" s="6" t="str">
        <f>"8.170,75"</f>
        <v>8.170,75</v>
      </c>
      <c r="M6304" s="6" t="str">
        <f>"40.853,75"</f>
        <v>40.853,75</v>
      </c>
      <c r="N6304" s="8" t="s">
        <v>4735</v>
      </c>
      <c r="O6304" s="7"/>
      <c r="P6304" s="2" t="s">
        <v>8740</v>
      </c>
      <c r="Q6304" s="7"/>
      <c r="R6304" s="1"/>
      <c r="S6304" s="1" t="str">
        <f>"N-B-88/16"</f>
        <v>N-B-88/16</v>
      </c>
      <c r="T6304" s="1" t="s">
        <v>452</v>
      </c>
    </row>
    <row r="6305" spans="1:20" ht="76.5" x14ac:dyDescent="0.25">
      <c r="A6305" s="6">
        <v>6284</v>
      </c>
      <c r="B6305" s="1" t="str">
        <f>"2016-166"</f>
        <v>2016-166</v>
      </c>
      <c r="C6305" s="1" t="s">
        <v>4736</v>
      </c>
      <c r="D6305" s="1" t="s">
        <v>4737</v>
      </c>
      <c r="E6305" s="1" t="str">
        <f>""</f>
        <v/>
      </c>
      <c r="F6305" s="1" t="s">
        <v>1860</v>
      </c>
      <c r="G6305" s="1" t="str">
        <f>CONCATENATE(" E.G.S.-ELEKTROGRADITELJSTVO D.O.O.,"," ALBERTA FORTISA 10,"," 10090 ZAGREB,"," OIB: 83439900916")</f>
        <v xml:space="preserve"> E.G.S.-ELEKTROGRADITELJSTVO D.O.O., ALBERTA FORTISA 10, 10090 ZAGREB, OIB: 83439900916</v>
      </c>
      <c r="H6305" s="7"/>
      <c r="I6305" s="8" t="s">
        <v>4733</v>
      </c>
      <c r="J6305" s="8" t="s">
        <v>4734</v>
      </c>
      <c r="K6305" s="6" t="str">
        <f>"239.699,80"</f>
        <v>239.699,80</v>
      </c>
      <c r="L6305" s="6" t="str">
        <f>"59.924,95"</f>
        <v>59.924,95</v>
      </c>
      <c r="M6305" s="6" t="str">
        <f>"299.624,75"</f>
        <v>299.624,75</v>
      </c>
      <c r="N6305" s="8" t="s">
        <v>4738</v>
      </c>
      <c r="O6305" s="7"/>
      <c r="P6305" s="2" t="s">
        <v>8741</v>
      </c>
      <c r="Q6305" s="7"/>
      <c r="R6305" s="1"/>
      <c r="S6305" s="1" t="str">
        <f>"N-B-91/16"</f>
        <v>N-B-91/16</v>
      </c>
      <c r="T6305" s="1" t="s">
        <v>32</v>
      </c>
    </row>
    <row r="6306" spans="1:20" ht="76.5" x14ac:dyDescent="0.25">
      <c r="A6306" s="6">
        <v>6285</v>
      </c>
      <c r="B6306" s="1" t="str">
        <f>"2016-2008"</f>
        <v>2016-2008</v>
      </c>
      <c r="C6306" s="1" t="s">
        <v>4739</v>
      </c>
      <c r="D6306" s="1" t="s">
        <v>1979</v>
      </c>
      <c r="E6306" s="1" t="str">
        <f>""</f>
        <v/>
      </c>
      <c r="F6306" s="1" t="s">
        <v>1860</v>
      </c>
      <c r="G6306" s="1" t="str">
        <f>CONCATENATE(" NOBISCUM D.O.O.,"," PUTINE 22A,"," 10291 ZDENCI BRDOVEČKI,"," OIB: 61494985197")</f>
        <v xml:space="preserve"> NOBISCUM D.O.O., PUTINE 22A, 10291 ZDENCI BRDOVEČKI, OIB: 61494985197</v>
      </c>
      <c r="H6306" s="7"/>
      <c r="I6306" s="8" t="s">
        <v>4740</v>
      </c>
      <c r="J6306" s="8" t="s">
        <v>4518</v>
      </c>
      <c r="K6306" s="6" t="str">
        <f>"38.800,00"</f>
        <v>38.800,00</v>
      </c>
      <c r="L6306" s="6" t="str">
        <f>"9.700,00"</f>
        <v>9.700,00</v>
      </c>
      <c r="M6306" s="6" t="str">
        <f>"48.500,00"</f>
        <v>48.500,00</v>
      </c>
      <c r="N6306" s="8" t="s">
        <v>124</v>
      </c>
      <c r="O6306" s="7"/>
      <c r="P6306" s="2" t="s">
        <v>5614</v>
      </c>
      <c r="Q6306" s="7"/>
      <c r="R6306" s="1"/>
      <c r="S6306" s="1" t="str">
        <f>"N-B-92/16"</f>
        <v>N-B-92/16</v>
      </c>
      <c r="T6306" s="1" t="s">
        <v>55</v>
      </c>
    </row>
    <row r="6307" spans="1:20" ht="51" x14ac:dyDescent="0.25">
      <c r="A6307" s="6">
        <v>6286</v>
      </c>
      <c r="B6307" s="1" t="str">
        <f>"2016-2664"</f>
        <v>2016-2664</v>
      </c>
      <c r="C6307" s="1" t="s">
        <v>4741</v>
      </c>
      <c r="D6307" s="1" t="s">
        <v>4742</v>
      </c>
      <c r="E6307" s="1" t="str">
        <f>""</f>
        <v/>
      </c>
      <c r="F6307" s="1" t="s">
        <v>1860</v>
      </c>
      <c r="G6307" s="1" t="str">
        <f>CONCATENATE(" BONAC D.O.O.,"," BRAĆE RADIĆA 1,"," 42204 DONJI KNEGINEC,"," OIB: 24686870727")</f>
        <v xml:space="preserve"> BONAC D.O.O., BRAĆE RADIĆA 1, 42204 DONJI KNEGINEC, OIB: 24686870727</v>
      </c>
      <c r="H6307" s="7"/>
      <c r="I6307" s="8" t="s">
        <v>4743</v>
      </c>
      <c r="J6307" s="8" t="s">
        <v>4744</v>
      </c>
      <c r="K6307" s="6" t="str">
        <f>"277.738,30"</f>
        <v>277.738,30</v>
      </c>
      <c r="L6307" s="6" t="str">
        <f>"69.434,58"</f>
        <v>69.434,58</v>
      </c>
      <c r="M6307" s="6" t="str">
        <f>"347.172,88"</f>
        <v>347.172,88</v>
      </c>
      <c r="N6307" s="8" t="s">
        <v>4745</v>
      </c>
      <c r="O6307" s="7"/>
      <c r="P6307" s="2" t="s">
        <v>8742</v>
      </c>
      <c r="Q6307" s="7"/>
      <c r="R6307" s="1"/>
      <c r="S6307" s="1" t="str">
        <f>"N-B-96/16"</f>
        <v>N-B-96/16</v>
      </c>
      <c r="T6307" s="1" t="s">
        <v>452</v>
      </c>
    </row>
    <row r="6308" spans="1:20" ht="89.25" x14ac:dyDescent="0.25">
      <c r="A6308" s="6">
        <v>6287</v>
      </c>
      <c r="B6308" s="1" t="str">
        <f>"2016-2335"</f>
        <v>2016-2335</v>
      </c>
      <c r="C6308" s="1" t="s">
        <v>4746</v>
      </c>
      <c r="D6308" s="1" t="s">
        <v>1979</v>
      </c>
      <c r="E6308" s="1" t="str">
        <f>""</f>
        <v/>
      </c>
      <c r="F6308" s="1" t="s">
        <v>1860</v>
      </c>
      <c r="G6308" s="1" t="str">
        <f>CONCATENATE(" PROMPT PROJEKTIRANJE D.O.O.,"," TOMISLAVOVA 9,"," 10000 ZAGREB,"," OIB: 30094396634")</f>
        <v xml:space="preserve"> PROMPT PROJEKTIRANJE D.O.O., TOMISLAVOVA 9, 10000 ZAGREB, OIB: 30094396634</v>
      </c>
      <c r="H6308" s="7"/>
      <c r="I6308" s="8" t="s">
        <v>4747</v>
      </c>
      <c r="J6308" s="8" t="s">
        <v>4748</v>
      </c>
      <c r="K6308" s="6" t="str">
        <f>"24.650,00"</f>
        <v>24.650,00</v>
      </c>
      <c r="L6308" s="6" t="str">
        <f>"6.162,50"</f>
        <v>6.162,50</v>
      </c>
      <c r="M6308" s="6" t="str">
        <f>"30.812,50"</f>
        <v>30.812,50</v>
      </c>
      <c r="N6308" s="8" t="s">
        <v>124</v>
      </c>
      <c r="O6308" s="7"/>
      <c r="P6308" s="2" t="s">
        <v>5614</v>
      </c>
      <c r="Q6308" s="7"/>
      <c r="R6308" s="1"/>
      <c r="S6308" s="1" t="str">
        <f>"N-B-101/16"</f>
        <v>N-B-101/16</v>
      </c>
      <c r="T6308" s="1" t="s">
        <v>55</v>
      </c>
    </row>
    <row r="6309" spans="1:20" ht="63.75" x14ac:dyDescent="0.25">
      <c r="A6309" s="6">
        <v>6288</v>
      </c>
      <c r="B6309" s="1" t="str">
        <f>"2016-1997"</f>
        <v>2016-1997</v>
      </c>
      <c r="C6309" s="1" t="s">
        <v>4749</v>
      </c>
      <c r="D6309" s="1" t="s">
        <v>1979</v>
      </c>
      <c r="E6309" s="1" t="str">
        <f>""</f>
        <v/>
      </c>
      <c r="F6309" s="1" t="s">
        <v>1860</v>
      </c>
      <c r="G6309" s="1" t="str">
        <f>CONCATENATE(" MAŠINOPROJEKT D.O.O.,"," BRAĆE DOMANY 8,"," 10000 ZAGREB,"," OIB: 673908426")</f>
        <v xml:space="preserve"> MAŠINOPROJEKT D.O.O., BRAĆE DOMANY 8, 10000 ZAGREB, OIB: 673908426</v>
      </c>
      <c r="H6309" s="7"/>
      <c r="I6309" s="8" t="s">
        <v>3620</v>
      </c>
      <c r="J6309" s="8" t="s">
        <v>3621</v>
      </c>
      <c r="K6309" s="6" t="str">
        <f>"98.890,00"</f>
        <v>98.890,00</v>
      </c>
      <c r="L6309" s="6" t="str">
        <f>"24.722,50"</f>
        <v>24.722,50</v>
      </c>
      <c r="M6309" s="6" t="str">
        <f>"123.612,50"</f>
        <v>123.612,50</v>
      </c>
      <c r="N6309" s="8" t="s">
        <v>124</v>
      </c>
      <c r="O6309" s="7"/>
      <c r="P6309" s="2" t="s">
        <v>5614</v>
      </c>
      <c r="Q6309" s="7"/>
      <c r="R6309" s="1"/>
      <c r="S6309" s="1" t="str">
        <f>"N-B-107/16"</f>
        <v>N-B-107/16</v>
      </c>
      <c r="T6309" s="1" t="s">
        <v>55</v>
      </c>
    </row>
    <row r="6310" spans="1:20" ht="51" x14ac:dyDescent="0.25">
      <c r="A6310" s="6">
        <v>6289</v>
      </c>
      <c r="B6310" s="1" t="str">
        <f>"2016-2340"</f>
        <v>2016-2340</v>
      </c>
      <c r="C6310" s="1" t="s">
        <v>4750</v>
      </c>
      <c r="D6310" s="1" t="s">
        <v>1979</v>
      </c>
      <c r="E6310" s="1" t="str">
        <f>""</f>
        <v/>
      </c>
      <c r="F6310" s="1" t="s">
        <v>1860</v>
      </c>
      <c r="G6310" s="1" t="str">
        <f>CONCATENATE(" EKO-PLAN D.O.O.,"," 2. JAZBINSKI GAJ 1A,"," 10000 ZAGREB,"," OIB: 55034160084")</f>
        <v xml:space="preserve"> EKO-PLAN D.O.O., 2. JAZBINSKI GAJ 1A, 10000 ZAGREB, OIB: 55034160084</v>
      </c>
      <c r="H6310" s="7"/>
      <c r="I6310" s="8" t="s">
        <v>4751</v>
      </c>
      <c r="J6310" s="8" t="s">
        <v>4752</v>
      </c>
      <c r="K6310" s="6" t="str">
        <f>"49.100,00"</f>
        <v>49.100,00</v>
      </c>
      <c r="L6310" s="6" t="str">
        <f>"12.275,00"</f>
        <v>12.275,00</v>
      </c>
      <c r="M6310" s="6" t="str">
        <f>"61.375,00"</f>
        <v>61.375,00</v>
      </c>
      <c r="N6310" s="8" t="s">
        <v>124</v>
      </c>
      <c r="O6310" s="7"/>
      <c r="P6310" s="2" t="s">
        <v>5614</v>
      </c>
      <c r="Q6310" s="7"/>
      <c r="R6310" s="1"/>
      <c r="S6310" s="1" t="str">
        <f>"N-B-112/16"</f>
        <v>N-B-112/16</v>
      </c>
      <c r="T6310" s="1" t="s">
        <v>55</v>
      </c>
    </row>
    <row r="6311" spans="1:20" ht="89.25" x14ac:dyDescent="0.25">
      <c r="A6311" s="6">
        <v>6290</v>
      </c>
      <c r="B6311" s="1" t="str">
        <f>"2015-2715"</f>
        <v>2015-2715</v>
      </c>
      <c r="C6311" s="1" t="s">
        <v>4753</v>
      </c>
      <c r="D6311" s="1" t="s">
        <v>2107</v>
      </c>
      <c r="E6311" s="1" t="str">
        <f>""</f>
        <v/>
      </c>
      <c r="F6311" s="1" t="s">
        <v>1860</v>
      </c>
      <c r="G6311" s="1" t="str">
        <f>CONCATENATE(" ARHINGTRADE D.O.O.,"," GAJEVA 47,"," 10000 ZAGREB,"," OIB: 19240285746")</f>
        <v xml:space="preserve"> ARHINGTRADE D.O.O., GAJEVA 47, 10000 ZAGREB, OIB: 19240285746</v>
      </c>
      <c r="H6311" s="7"/>
      <c r="I6311" s="8" t="s">
        <v>4751</v>
      </c>
      <c r="J6311" s="8" t="s">
        <v>4752</v>
      </c>
      <c r="K6311" s="6" t="str">
        <f>"87.000,00"</f>
        <v>87.000,00</v>
      </c>
      <c r="L6311" s="6" t="str">
        <f>"21.750,00"</f>
        <v>21.750,00</v>
      </c>
      <c r="M6311" s="6" t="str">
        <f>"108.750,00"</f>
        <v>108.750,00</v>
      </c>
      <c r="N6311" s="8" t="s">
        <v>124</v>
      </c>
      <c r="O6311" s="7"/>
      <c r="P6311" s="2" t="s">
        <v>5614</v>
      </c>
      <c r="Q6311" s="7"/>
      <c r="R6311" s="1"/>
      <c r="S6311" s="1" t="str">
        <f>"N-B-116/16"</f>
        <v>N-B-116/16</v>
      </c>
      <c r="T6311" s="1" t="s">
        <v>55</v>
      </c>
    </row>
    <row r="6312" spans="1:20" ht="63.75" x14ac:dyDescent="0.25">
      <c r="A6312" s="6">
        <v>6291</v>
      </c>
      <c r="B6312" s="1" t="str">
        <f>"2016-2004"</f>
        <v>2016-2004</v>
      </c>
      <c r="C6312" s="1" t="s">
        <v>4754</v>
      </c>
      <c r="D6312" s="1" t="s">
        <v>1979</v>
      </c>
      <c r="E6312" s="1" t="str">
        <f>""</f>
        <v/>
      </c>
      <c r="F6312" s="1" t="s">
        <v>1860</v>
      </c>
      <c r="G6312" s="1" t="str">
        <f>CONCATENATE(" EKO-PLAN D.O.O.,"," 2. JAZBINSKI GAJ 1A,"," 10000 ZAGREB,"," OIB: 55034160084")</f>
        <v xml:space="preserve"> EKO-PLAN D.O.O., 2. JAZBINSKI GAJ 1A, 10000 ZAGREB, OIB: 55034160084</v>
      </c>
      <c r="H6312" s="7"/>
      <c r="I6312" s="8" t="s">
        <v>3657</v>
      </c>
      <c r="J6312" s="8" t="s">
        <v>3658</v>
      </c>
      <c r="K6312" s="6" t="str">
        <f>"27.100,00"</f>
        <v>27.100,00</v>
      </c>
      <c r="L6312" s="6" t="str">
        <f>"6.775,00"</f>
        <v>6.775,00</v>
      </c>
      <c r="M6312" s="6" t="str">
        <f>"33.875,00"</f>
        <v>33.875,00</v>
      </c>
      <c r="N6312" s="8" t="s">
        <v>124</v>
      </c>
      <c r="O6312" s="7"/>
      <c r="P6312" s="2" t="s">
        <v>5614</v>
      </c>
      <c r="Q6312" s="7"/>
      <c r="R6312" s="1"/>
      <c r="S6312" s="1" t="str">
        <f>"N-B-117/16"</f>
        <v>N-B-117/16</v>
      </c>
      <c r="T6312" s="1" t="s">
        <v>55</v>
      </c>
    </row>
    <row r="6313" spans="1:20" ht="76.5" x14ac:dyDescent="0.25">
      <c r="A6313" s="6">
        <v>6292</v>
      </c>
      <c r="B6313" s="1" t="str">
        <f>"2016-2011"</f>
        <v>2016-2011</v>
      </c>
      <c r="C6313" s="1" t="s">
        <v>4755</v>
      </c>
      <c r="D6313" s="1" t="s">
        <v>1979</v>
      </c>
      <c r="E6313" s="1" t="str">
        <f>""</f>
        <v/>
      </c>
      <c r="F6313" s="1" t="s">
        <v>1860</v>
      </c>
      <c r="G6313" s="1" t="str">
        <f>CONCATENATE(" HIDROKONZALT PROJEKTIRANJE D.O.O.,"," KRALJA ZVONIMIRA 60,"," 21210 SOLIN,"," OIB: 32472397445")</f>
        <v xml:space="preserve"> HIDROKONZALT PROJEKTIRANJE D.O.O., KRALJA ZVONIMIRA 60, 21210 SOLIN, OIB: 32472397445</v>
      </c>
      <c r="H6313" s="7"/>
      <c r="I6313" s="8" t="s">
        <v>4756</v>
      </c>
      <c r="J6313" s="8" t="s">
        <v>4643</v>
      </c>
      <c r="K6313" s="6" t="str">
        <f>"35.000,00"</f>
        <v>35.000,00</v>
      </c>
      <c r="L6313" s="6" t="str">
        <f>"8.750,00"</f>
        <v>8.750,00</v>
      </c>
      <c r="M6313" s="6" t="str">
        <f>"43.750,00"</f>
        <v>43.750,00</v>
      </c>
      <c r="N6313" s="8" t="s">
        <v>124</v>
      </c>
      <c r="O6313" s="7"/>
      <c r="P6313" s="2" t="s">
        <v>5614</v>
      </c>
      <c r="Q6313" s="7"/>
      <c r="R6313" s="1"/>
      <c r="S6313" s="1" t="str">
        <f>"N-B-118/16"</f>
        <v>N-B-118/16</v>
      </c>
      <c r="T6313" s="1" t="s">
        <v>55</v>
      </c>
    </row>
    <row r="6314" spans="1:20" ht="63.75" x14ac:dyDescent="0.25">
      <c r="A6314" s="6">
        <v>6293</v>
      </c>
      <c r="B6314" s="1" t="str">
        <f>"2016-1991"</f>
        <v>2016-1991</v>
      </c>
      <c r="C6314" s="1" t="s">
        <v>4757</v>
      </c>
      <c r="D6314" s="1" t="s">
        <v>1979</v>
      </c>
      <c r="E6314" s="1" t="str">
        <f>""</f>
        <v/>
      </c>
      <c r="F6314" s="1" t="s">
        <v>1860</v>
      </c>
      <c r="G6314" s="1" t="str">
        <f>CONCATENATE(" HIDRO UNA D.O.O.,"," JOSIPA ANIĆA 14,"," 10000 ZAGREB,"," OIB: 60109409627")</f>
        <v xml:space="preserve"> HIDRO UNA D.O.O., JOSIPA ANIĆA 14, 10000 ZAGREB, OIB: 60109409627</v>
      </c>
      <c r="H6314" s="7"/>
      <c r="I6314" s="8" t="s">
        <v>4758</v>
      </c>
      <c r="J6314" s="8" t="s">
        <v>4759</v>
      </c>
      <c r="K6314" s="6" t="str">
        <f>"39.025,00"</f>
        <v>39.025,00</v>
      </c>
      <c r="L6314" s="6" t="str">
        <f>"9.756,25"</f>
        <v>9.756,25</v>
      </c>
      <c r="M6314" s="6" t="str">
        <f>"48.781,25"</f>
        <v>48.781,25</v>
      </c>
      <c r="N6314" s="8" t="s">
        <v>1530</v>
      </c>
      <c r="O6314" s="7"/>
      <c r="P6314" s="2" t="s">
        <v>8743</v>
      </c>
      <c r="Q6314" s="7"/>
      <c r="R6314" s="1"/>
      <c r="S6314" s="1" t="str">
        <f>"N-B-122/16"</f>
        <v>N-B-122/16</v>
      </c>
      <c r="T6314" s="1" t="s">
        <v>55</v>
      </c>
    </row>
    <row r="6315" spans="1:20" ht="63.75" x14ac:dyDescent="0.25">
      <c r="A6315" s="6">
        <v>6294</v>
      </c>
      <c r="B6315" s="1" t="str">
        <f>"2016-364"</f>
        <v>2016-364</v>
      </c>
      <c r="C6315" s="1" t="s">
        <v>4760</v>
      </c>
      <c r="D6315" s="1" t="s">
        <v>1209</v>
      </c>
      <c r="E6315" s="1" t="str">
        <f>""</f>
        <v/>
      </c>
      <c r="F6315" s="1" t="s">
        <v>1860</v>
      </c>
      <c r="G6315" s="1" t="str">
        <f>CONCATENATE(" DRÄGER SAFETY D.O.O.,"," AVENIJA VEĆESLAVA HOLJEVCA 40,"," 10010 ZAGREB,"," OIB: 32874587842")</f>
        <v xml:space="preserve"> DRÄGER SAFETY D.O.O., AVENIJA VEĆESLAVA HOLJEVCA 40, 10010 ZAGREB, OIB: 32874587842</v>
      </c>
      <c r="H6315" s="7"/>
      <c r="I6315" s="8" t="s">
        <v>4761</v>
      </c>
      <c r="J6315" s="8" t="s">
        <v>4762</v>
      </c>
      <c r="K6315" s="6" t="str">
        <f>"133.716,57"</f>
        <v>133.716,57</v>
      </c>
      <c r="L6315" s="6" t="str">
        <f>"33.429,14"</f>
        <v>33.429,14</v>
      </c>
      <c r="M6315" s="6" t="str">
        <f>"167.145,71"</f>
        <v>167.145,71</v>
      </c>
      <c r="N6315" s="8" t="s">
        <v>3813</v>
      </c>
      <c r="O6315" s="7"/>
      <c r="P6315" s="2" t="s">
        <v>8744</v>
      </c>
      <c r="Q6315" s="7"/>
      <c r="R6315" s="1"/>
      <c r="S6315" s="1" t="str">
        <f>"N-B-125/16"</f>
        <v>N-B-125/16</v>
      </c>
      <c r="T6315" s="1" t="s">
        <v>452</v>
      </c>
    </row>
    <row r="6316" spans="1:20" ht="51" x14ac:dyDescent="0.25">
      <c r="A6316" s="6">
        <v>6295</v>
      </c>
      <c r="B6316" s="1" t="str">
        <f>"2016-2316"</f>
        <v>2016-2316</v>
      </c>
      <c r="C6316" s="1" t="s">
        <v>4763</v>
      </c>
      <c r="D6316" s="1" t="s">
        <v>941</v>
      </c>
      <c r="E6316" s="1" t="str">
        <f>""</f>
        <v/>
      </c>
      <c r="F6316" s="1" t="s">
        <v>1860</v>
      </c>
      <c r="G6316" s="1" t="str">
        <f>CONCATENATE(" INSTAL-PROM D.O.O.,"," LJUTOMERSKA 33A,"," 10040 ZAGREB,"," OIB: 21231984689")</f>
        <v xml:space="preserve"> INSTAL-PROM D.O.O., LJUTOMERSKA 33A, 10040 ZAGREB, OIB: 21231984689</v>
      </c>
      <c r="H6316" s="7"/>
      <c r="I6316" s="8" t="s">
        <v>1950</v>
      </c>
      <c r="J6316" s="8" t="s">
        <v>4764</v>
      </c>
      <c r="K6316" s="6" t="str">
        <f>"159.167,00"</f>
        <v>159.167,00</v>
      </c>
      <c r="L6316" s="6" t="str">
        <f>"39.791,75"</f>
        <v>39.791,75</v>
      </c>
      <c r="M6316" s="6" t="str">
        <f>"198.958,75"</f>
        <v>198.958,75</v>
      </c>
      <c r="N6316" s="8" t="s">
        <v>3836</v>
      </c>
      <c r="O6316" s="7"/>
      <c r="P6316" s="2" t="s">
        <v>8745</v>
      </c>
      <c r="Q6316" s="7"/>
      <c r="R6316" s="1"/>
      <c r="S6316" s="1" t="str">
        <f>"N-B-126/16"</f>
        <v>N-B-126/16</v>
      </c>
      <c r="T6316" s="1" t="s">
        <v>55</v>
      </c>
    </row>
    <row r="6317" spans="1:20" ht="51" x14ac:dyDescent="0.25">
      <c r="A6317" s="6">
        <v>6296</v>
      </c>
      <c r="B6317" s="1" t="str">
        <f>"2015-2675"</f>
        <v>2015-2675</v>
      </c>
      <c r="C6317" s="1" t="s">
        <v>4765</v>
      </c>
      <c r="D6317" s="1" t="s">
        <v>941</v>
      </c>
      <c r="E6317" s="1" t="str">
        <f>""</f>
        <v/>
      </c>
      <c r="F6317" s="1" t="s">
        <v>1860</v>
      </c>
      <c r="G6317" s="1" t="str">
        <f>CONCATENATE(" GAJANT D.O.O.,"," JELEKOVIĆI 24,"," 10000 ZAGREB,"," OIB: 12621259758")</f>
        <v xml:space="preserve"> GAJANT D.O.O., JELEKOVIĆI 24, 10000 ZAGREB, OIB: 12621259758</v>
      </c>
      <c r="H6317" s="7"/>
      <c r="I6317" s="8" t="s">
        <v>4766</v>
      </c>
      <c r="J6317" s="8" t="s">
        <v>4767</v>
      </c>
      <c r="K6317" s="6" t="str">
        <f>"249.912,00"</f>
        <v>249.912,00</v>
      </c>
      <c r="L6317" s="6" t="str">
        <f>"62.478,00"</f>
        <v>62.478,00</v>
      </c>
      <c r="M6317" s="6" t="str">
        <f>"312.390,00"</f>
        <v>312.390,00</v>
      </c>
      <c r="N6317" s="8" t="s">
        <v>4735</v>
      </c>
      <c r="O6317" s="7"/>
      <c r="P6317" s="2" t="s">
        <v>8746</v>
      </c>
      <c r="Q6317" s="7"/>
      <c r="R6317" s="1"/>
      <c r="S6317" s="1" t="str">
        <f>"N-B-128/16"</f>
        <v>N-B-128/16</v>
      </c>
      <c r="T6317" s="1" t="s">
        <v>55</v>
      </c>
    </row>
    <row r="6318" spans="1:20" ht="51" x14ac:dyDescent="0.25">
      <c r="A6318" s="6">
        <v>6297</v>
      </c>
      <c r="B6318" s="1" t="str">
        <f>"2016-1344"</f>
        <v>2016-1344</v>
      </c>
      <c r="C6318" s="1" t="s">
        <v>4512</v>
      </c>
      <c r="D6318" s="1" t="s">
        <v>1007</v>
      </c>
      <c r="E6318" s="1" t="str">
        <f>""</f>
        <v/>
      </c>
      <c r="F6318" s="1" t="s">
        <v>1860</v>
      </c>
      <c r="G6318" s="1" t="str">
        <f>CONCATENATE(" TERMOPLIN D. D.,"," VJEKOSLAVA ŠPINČIĆA 78,"," 42000 VARAŽDIN,"," OIB: 70140364776")</f>
        <v xml:space="preserve"> TERMOPLIN D. D., VJEKOSLAVA ŠPINČIĆA 78, 42000 VARAŽDIN, OIB: 70140364776</v>
      </c>
      <c r="H6318" s="7"/>
      <c r="I6318" s="8" t="s">
        <v>4768</v>
      </c>
      <c r="J6318" s="8" t="s">
        <v>4769</v>
      </c>
      <c r="K6318" s="6" t="str">
        <f>"88.994,00"</f>
        <v>88.994,00</v>
      </c>
      <c r="L6318" s="6" t="str">
        <f>"22.248,50"</f>
        <v>22.248,50</v>
      </c>
      <c r="M6318" s="6" t="str">
        <f>"111.242,50"</f>
        <v>111.242,50</v>
      </c>
      <c r="N6318" s="8" t="s">
        <v>4735</v>
      </c>
      <c r="O6318" s="7"/>
      <c r="P6318" s="2" t="s">
        <v>8747</v>
      </c>
      <c r="Q6318" s="7"/>
      <c r="R6318" s="1"/>
      <c r="S6318" s="1" t="str">
        <f>"N-B-131/16"</f>
        <v>N-B-131/16</v>
      </c>
      <c r="T6318" s="1" t="s">
        <v>452</v>
      </c>
    </row>
    <row r="6319" spans="1:20" ht="76.5" x14ac:dyDescent="0.25">
      <c r="A6319" s="6">
        <v>6298</v>
      </c>
      <c r="B6319" s="1" t="str">
        <f>"2016-812"</f>
        <v>2016-812</v>
      </c>
      <c r="C6319" s="1" t="s">
        <v>2455</v>
      </c>
      <c r="D6319" s="1" t="s">
        <v>174</v>
      </c>
      <c r="E6319" s="1" t="str">
        <f>""</f>
        <v/>
      </c>
      <c r="F6319" s="1" t="s">
        <v>1860</v>
      </c>
      <c r="G6319" s="1" t="str">
        <f>CONCATENATE(" M.SOLDO D.O.O.,"," DEBANIĆEVA 39,"," 10000 ZAGREB,"," OIB: 58353605637")</f>
        <v xml:space="preserve"> M.SOLDO D.O.O., DEBANIĆEVA 39, 10000 ZAGREB, OIB: 58353605637</v>
      </c>
      <c r="H6319" s="7"/>
      <c r="I6319" s="8" t="s">
        <v>4768</v>
      </c>
      <c r="J6319" s="8" t="s">
        <v>4769</v>
      </c>
      <c r="K6319" s="6" t="str">
        <f>"190.400,00"</f>
        <v>190.400,00</v>
      </c>
      <c r="L6319" s="6" t="str">
        <f>"47.600,00"</f>
        <v>47.600,00</v>
      </c>
      <c r="M6319" s="6" t="str">
        <f>"238.000,00"</f>
        <v>238.000,00</v>
      </c>
      <c r="N6319" s="8" t="s">
        <v>124</v>
      </c>
      <c r="O6319" s="7"/>
      <c r="P6319" s="2" t="s">
        <v>5614</v>
      </c>
      <c r="Q6319" s="7"/>
      <c r="R6319" s="1"/>
      <c r="S6319" s="1" t="str">
        <f>"N-B-132/16"</f>
        <v>N-B-132/16</v>
      </c>
      <c r="T6319" s="1" t="s">
        <v>55</v>
      </c>
    </row>
    <row r="6320" spans="1:20" ht="63.75" x14ac:dyDescent="0.25">
      <c r="A6320" s="6">
        <v>6299</v>
      </c>
      <c r="B6320" s="1" t="str">
        <f>"2016-2271"</f>
        <v>2016-2271</v>
      </c>
      <c r="C6320" s="1" t="s">
        <v>4770</v>
      </c>
      <c r="D6320" s="1" t="s">
        <v>941</v>
      </c>
      <c r="E6320" s="1" t="str">
        <f>""</f>
        <v/>
      </c>
      <c r="F6320" s="1" t="s">
        <v>1860</v>
      </c>
      <c r="G6320" s="1" t="str">
        <f>CONCATENATE(" HIDRO GRAD D.O.O.,"," GUSTAVA KRKLECA,"," RAKITJE 6,"," 10437 BESTOVJE,"," OIB: 49528301725")</f>
        <v xml:space="preserve"> HIDRO GRAD D.O.O., GUSTAVA KRKLECA, RAKITJE 6, 10437 BESTOVJE, OIB: 49528301725</v>
      </c>
      <c r="H6320" s="7"/>
      <c r="I6320" s="8" t="s">
        <v>4771</v>
      </c>
      <c r="J6320" s="8" t="s">
        <v>4543</v>
      </c>
      <c r="K6320" s="6" t="str">
        <f>"189.446,00"</f>
        <v>189.446,00</v>
      </c>
      <c r="L6320" s="6" t="str">
        <f>"47.361,50"</f>
        <v>47.361,50</v>
      </c>
      <c r="M6320" s="6" t="str">
        <f>"236.807,50"</f>
        <v>236.807,50</v>
      </c>
      <c r="N6320" s="8" t="s">
        <v>3900</v>
      </c>
      <c r="O6320" s="7"/>
      <c r="P6320" s="2" t="s">
        <v>6858</v>
      </c>
      <c r="Q6320" s="7"/>
      <c r="R6320" s="1"/>
      <c r="S6320" s="1" t="str">
        <f>"N-B-139/16"</f>
        <v>N-B-139/16</v>
      </c>
      <c r="T6320" s="1" t="s">
        <v>55</v>
      </c>
    </row>
    <row r="6321" spans="1:20" ht="63.75" x14ac:dyDescent="0.25">
      <c r="A6321" s="6">
        <v>6300</v>
      </c>
      <c r="B6321" s="1" t="str">
        <f>"2016-2317"</f>
        <v>2016-2317</v>
      </c>
      <c r="C6321" s="1" t="s">
        <v>4772</v>
      </c>
      <c r="D6321" s="1" t="s">
        <v>941</v>
      </c>
      <c r="E6321" s="1" t="str">
        <f>""</f>
        <v/>
      </c>
      <c r="F6321" s="1" t="s">
        <v>1860</v>
      </c>
      <c r="G6321" s="1" t="str">
        <f>CONCATENATE(" HIDRO GRAD D.O.O.,"," GUSTAVA KRKLECA,"," RAKITJE 6,"," 10437 BESTOVJE,"," OIB: 49528301725")</f>
        <v xml:space="preserve"> HIDRO GRAD D.O.O., GUSTAVA KRKLECA, RAKITJE 6, 10437 BESTOVJE, OIB: 49528301725</v>
      </c>
      <c r="H6321" s="7"/>
      <c r="I6321" s="8" t="s">
        <v>4773</v>
      </c>
      <c r="J6321" s="8" t="s">
        <v>3931</v>
      </c>
      <c r="K6321" s="6" t="str">
        <f>"147.415,00"</f>
        <v>147.415,00</v>
      </c>
      <c r="L6321" s="6" t="str">
        <f>"36.853,75"</f>
        <v>36.853,75</v>
      </c>
      <c r="M6321" s="6" t="str">
        <f>"184.268,75"</f>
        <v>184.268,75</v>
      </c>
      <c r="N6321" s="8" t="s">
        <v>413</v>
      </c>
      <c r="O6321" s="7"/>
      <c r="P6321" s="2" t="s">
        <v>8748</v>
      </c>
      <c r="Q6321" s="7"/>
      <c r="R6321" s="1"/>
      <c r="S6321" s="1" t="str">
        <f>"N-B-140/16"</f>
        <v>N-B-140/16</v>
      </c>
      <c r="T6321" s="1" t="s">
        <v>55</v>
      </c>
    </row>
    <row r="6322" spans="1:20" ht="51" x14ac:dyDescent="0.25">
      <c r="A6322" s="6">
        <v>6301</v>
      </c>
      <c r="B6322" s="1" t="str">
        <f>"2016-2774"</f>
        <v>2016-2774</v>
      </c>
      <c r="C6322" s="1" t="s">
        <v>4774</v>
      </c>
      <c r="D6322" s="1" t="s">
        <v>4775</v>
      </c>
      <c r="E6322" s="1" t="str">
        <f>""</f>
        <v/>
      </c>
      <c r="F6322" s="1" t="s">
        <v>1860</v>
      </c>
      <c r="G6322" s="1" t="str">
        <f>CONCATENATE(" VODOSKOK D.D.,"," ČULINEČKA CESTA 221/C,"," 10040 ZAGREB,"," OIB: 34134218058")</f>
        <v xml:space="preserve"> VODOSKOK D.D., ČULINEČKA CESTA 221/C, 10040 ZAGREB, OIB: 34134218058</v>
      </c>
      <c r="H6322" s="7"/>
      <c r="I6322" s="8" t="s">
        <v>4773</v>
      </c>
      <c r="J6322" s="8" t="s">
        <v>3931</v>
      </c>
      <c r="K6322" s="6" t="str">
        <f>"159.146,00"</f>
        <v>159.146,00</v>
      </c>
      <c r="L6322" s="6" t="str">
        <f>"39.786,50"</f>
        <v>39.786,50</v>
      </c>
      <c r="M6322" s="6" t="str">
        <f>"198.932,50"</f>
        <v>198.932,50</v>
      </c>
      <c r="N6322" s="8" t="s">
        <v>4776</v>
      </c>
      <c r="O6322" s="7"/>
      <c r="P6322" s="2" t="s">
        <v>8749</v>
      </c>
      <c r="Q6322" s="7"/>
      <c r="R6322" s="1"/>
      <c r="S6322" s="1" t="str">
        <f>"N-B-141/16"</f>
        <v>N-B-141/16</v>
      </c>
      <c r="T6322" s="1" t="s">
        <v>452</v>
      </c>
    </row>
    <row r="6323" spans="1:20" ht="89.25" x14ac:dyDescent="0.25">
      <c r="A6323" s="6">
        <v>6302</v>
      </c>
      <c r="B6323" s="1" t="str">
        <f>"2016-2341"</f>
        <v>2016-2341</v>
      </c>
      <c r="C6323" s="1" t="s">
        <v>4777</v>
      </c>
      <c r="D6323" s="1" t="s">
        <v>1979</v>
      </c>
      <c r="E6323" s="1" t="str">
        <f>""</f>
        <v/>
      </c>
      <c r="F6323" s="1" t="s">
        <v>1860</v>
      </c>
      <c r="G6323" s="1" t="str">
        <f>CONCATENATE(" MAŠINOPROJEKT D.O.O.,"," BRAĆE DOMANY 8,"," 10000 ZAGREB,"," OIB: 673908426")</f>
        <v xml:space="preserve"> MAŠINOPROJEKT D.O.O., BRAĆE DOMANY 8, 10000 ZAGREB, OIB: 673908426</v>
      </c>
      <c r="H6323" s="7"/>
      <c r="I6323" s="8" t="s">
        <v>4778</v>
      </c>
      <c r="J6323" s="8" t="s">
        <v>4779</v>
      </c>
      <c r="K6323" s="6" t="str">
        <f>"64.890,00"</f>
        <v>64.890,00</v>
      </c>
      <c r="L6323" s="6" t="str">
        <f>"16.222,50"</f>
        <v>16.222,50</v>
      </c>
      <c r="M6323" s="6" t="str">
        <f>"81.112,50"</f>
        <v>81.112,50</v>
      </c>
      <c r="N6323" s="8" t="s">
        <v>124</v>
      </c>
      <c r="O6323" s="7"/>
      <c r="P6323" s="2" t="s">
        <v>5614</v>
      </c>
      <c r="Q6323" s="7"/>
      <c r="R6323" s="1"/>
      <c r="S6323" s="1" t="str">
        <f>"N-B-142/16"</f>
        <v>N-B-142/16</v>
      </c>
      <c r="T6323" s="1" t="s">
        <v>55</v>
      </c>
    </row>
    <row r="6324" spans="1:20" ht="63.75" x14ac:dyDescent="0.25">
      <c r="A6324" s="6">
        <v>6303</v>
      </c>
      <c r="B6324" s="1" t="str">
        <f>"2016-2342"</f>
        <v>2016-2342</v>
      </c>
      <c r="C6324" s="1" t="s">
        <v>4780</v>
      </c>
      <c r="D6324" s="1" t="s">
        <v>1979</v>
      </c>
      <c r="E6324" s="1" t="str">
        <f>""</f>
        <v/>
      </c>
      <c r="F6324" s="1" t="s">
        <v>1860</v>
      </c>
      <c r="G6324" s="1" t="str">
        <f>CONCATENATE(" MAŠINOPROJEKT D.O.O.,"," BRAĆE DOMANY 8,"," 10000 ZAGREB,"," OIB: 673908426")</f>
        <v xml:space="preserve"> MAŠINOPROJEKT D.O.O., BRAĆE DOMANY 8, 10000 ZAGREB, OIB: 673908426</v>
      </c>
      <c r="H6324" s="7"/>
      <c r="I6324" s="8" t="s">
        <v>4778</v>
      </c>
      <c r="J6324" s="8" t="s">
        <v>4779</v>
      </c>
      <c r="K6324" s="6" t="str">
        <f>"40.000,00"</f>
        <v>40.000,00</v>
      </c>
      <c r="L6324" s="6" t="str">
        <f>"10.000,00"</f>
        <v>10.000,00</v>
      </c>
      <c r="M6324" s="6" t="str">
        <f>"50.000,00"</f>
        <v>50.000,00</v>
      </c>
      <c r="N6324" s="8" t="s">
        <v>124</v>
      </c>
      <c r="O6324" s="7"/>
      <c r="P6324" s="2" t="s">
        <v>5614</v>
      </c>
      <c r="Q6324" s="7"/>
      <c r="R6324" s="1"/>
      <c r="S6324" s="1" t="str">
        <f>"N-B-143/16"</f>
        <v>N-B-143/16</v>
      </c>
      <c r="T6324" s="1" t="s">
        <v>55</v>
      </c>
    </row>
    <row r="6325" spans="1:20" ht="63.75" x14ac:dyDescent="0.25">
      <c r="A6325" s="6">
        <v>6304</v>
      </c>
      <c r="B6325" s="1" t="str">
        <f>"2016-2318"</f>
        <v>2016-2318</v>
      </c>
      <c r="C6325" s="1" t="s">
        <v>4781</v>
      </c>
      <c r="D6325" s="1" t="s">
        <v>941</v>
      </c>
      <c r="E6325" s="1" t="str">
        <f>""</f>
        <v/>
      </c>
      <c r="F6325" s="1" t="s">
        <v>1860</v>
      </c>
      <c r="G6325" s="1" t="str">
        <f>CONCATENATE(" HIDRO GRAD D.O.O.,"," GUSTAVA KRKLECA,"," RAKITJE 6,"," 10437 BESTOVJE,"," OIB: 49528301725")</f>
        <v xml:space="preserve"> HIDRO GRAD D.O.O., GUSTAVA KRKLECA, RAKITJE 6, 10437 BESTOVJE, OIB: 49528301725</v>
      </c>
      <c r="H6325" s="7"/>
      <c r="I6325" s="8" t="s">
        <v>3731</v>
      </c>
      <c r="J6325" s="8" t="s">
        <v>3732</v>
      </c>
      <c r="K6325" s="6" t="str">
        <f>"125.447,00"</f>
        <v>125.447,00</v>
      </c>
      <c r="L6325" s="6" t="str">
        <f>"31.361,75"</f>
        <v>31.361,75</v>
      </c>
      <c r="M6325" s="6" t="str">
        <f>"156.808,75"</f>
        <v>156.808,75</v>
      </c>
      <c r="N6325" s="8" t="s">
        <v>124</v>
      </c>
      <c r="O6325" s="7"/>
      <c r="P6325" s="2" t="s">
        <v>5614</v>
      </c>
      <c r="Q6325" s="7"/>
      <c r="R6325" s="1"/>
      <c r="S6325" s="1" t="str">
        <f>"N-B-148/16"</f>
        <v>N-B-148/16</v>
      </c>
      <c r="T6325" s="1" t="s">
        <v>55</v>
      </c>
    </row>
    <row r="6326" spans="1:20" ht="63.75" x14ac:dyDescent="0.25">
      <c r="A6326" s="6">
        <v>6305</v>
      </c>
      <c r="B6326" s="1" t="str">
        <f>"2016-2292"</f>
        <v>2016-2292</v>
      </c>
      <c r="C6326" s="1" t="s">
        <v>4782</v>
      </c>
      <c r="D6326" s="1" t="s">
        <v>941</v>
      </c>
      <c r="E6326" s="1" t="str">
        <f>""</f>
        <v/>
      </c>
      <c r="F6326" s="1" t="s">
        <v>1860</v>
      </c>
      <c r="G6326" s="1" t="str">
        <f>CONCATENATE(" HIDRO GRAD D.O.O.,"," GUSTAVA KRKLECA,"," RAKITJE 6,"," 10437 BESTOVJE,"," OIB: 49528301725")</f>
        <v xml:space="preserve"> HIDRO GRAD D.O.O., GUSTAVA KRKLECA, RAKITJE 6, 10437 BESTOVJE, OIB: 49528301725</v>
      </c>
      <c r="H6326" s="7"/>
      <c r="I6326" s="8" t="s">
        <v>3731</v>
      </c>
      <c r="J6326" s="8" t="s">
        <v>3732</v>
      </c>
      <c r="K6326" s="6" t="str">
        <f>"248.290,00"</f>
        <v>248.290,00</v>
      </c>
      <c r="L6326" s="6" t="str">
        <f>"62.072,50"</f>
        <v>62.072,50</v>
      </c>
      <c r="M6326" s="6" t="str">
        <f>"310.362,50"</f>
        <v>310.362,50</v>
      </c>
      <c r="N6326" s="8" t="s">
        <v>413</v>
      </c>
      <c r="O6326" s="7"/>
      <c r="P6326" s="2" t="s">
        <v>8750</v>
      </c>
      <c r="Q6326" s="7"/>
      <c r="R6326" s="1"/>
      <c r="S6326" s="1" t="str">
        <f>"N-B-149/16"</f>
        <v>N-B-149/16</v>
      </c>
      <c r="T6326" s="1" t="s">
        <v>55</v>
      </c>
    </row>
    <row r="6327" spans="1:20" ht="63.75" x14ac:dyDescent="0.25">
      <c r="A6327" s="6">
        <v>6306</v>
      </c>
      <c r="B6327" s="1" t="str">
        <f>"2016-2933"</f>
        <v>2016-2933</v>
      </c>
      <c r="C6327" s="1" t="s">
        <v>4783</v>
      </c>
      <c r="D6327" s="1" t="s">
        <v>1979</v>
      </c>
      <c r="E6327" s="1" t="str">
        <f>""</f>
        <v/>
      </c>
      <c r="F6327" s="1" t="s">
        <v>1860</v>
      </c>
      <c r="G6327" s="1" t="str">
        <f>CONCATENATE(" HIDROEKO D.O.O.,"," STARJAK 52,"," 10257 BREZOVICA,"," OIB: 34889829677")</f>
        <v xml:space="preserve"> HIDROEKO D.O.O., STARJAK 52, 10257 BREZOVICA, OIB: 34889829677</v>
      </c>
      <c r="H6327" s="7"/>
      <c r="I6327" s="8" t="s">
        <v>4784</v>
      </c>
      <c r="J6327" s="8" t="s">
        <v>4785</v>
      </c>
      <c r="K6327" s="6" t="str">
        <f>"38.000,00"</f>
        <v>38.000,00</v>
      </c>
      <c r="L6327" s="6" t="str">
        <f>"9.500,00"</f>
        <v>9.500,00</v>
      </c>
      <c r="M6327" s="6" t="str">
        <f>"47.500,00"</f>
        <v>47.500,00</v>
      </c>
      <c r="N6327" s="8" t="s">
        <v>124</v>
      </c>
      <c r="O6327" s="7"/>
      <c r="P6327" s="2" t="s">
        <v>5614</v>
      </c>
      <c r="Q6327" s="7"/>
      <c r="R6327" s="1"/>
      <c r="S6327" s="1" t="str">
        <f>"N-B-152/16"</f>
        <v>N-B-152/16</v>
      </c>
      <c r="T6327" s="1" t="s">
        <v>55</v>
      </c>
    </row>
    <row r="6328" spans="1:20" ht="76.5" x14ac:dyDescent="0.25">
      <c r="A6328" s="6">
        <v>6307</v>
      </c>
      <c r="B6328" s="1" t="str">
        <f>"2016-2936"</f>
        <v>2016-2936</v>
      </c>
      <c r="C6328" s="1" t="s">
        <v>4786</v>
      </c>
      <c r="D6328" s="1" t="s">
        <v>1979</v>
      </c>
      <c r="E6328" s="1" t="str">
        <f>""</f>
        <v/>
      </c>
      <c r="F6328" s="1" t="s">
        <v>1860</v>
      </c>
      <c r="G6328" s="1" t="str">
        <f>CONCATENATE(" PROJEKTNI BIRO NAGLIĆ D.O.O.,"," OLIBSKA 17,"," 10000 ZAGREB,"," OIB: 18216105743")</f>
        <v xml:space="preserve"> PROJEKTNI BIRO NAGLIĆ D.O.O., OLIBSKA 17, 10000 ZAGREB, OIB: 18216105743</v>
      </c>
      <c r="H6328" s="7"/>
      <c r="I6328" s="8" t="s">
        <v>4787</v>
      </c>
      <c r="J6328" s="8" t="s">
        <v>4788</v>
      </c>
      <c r="K6328" s="6" t="str">
        <f>"28.000,00"</f>
        <v>28.000,00</v>
      </c>
      <c r="L6328" s="6" t="str">
        <f>"7.000,00"</f>
        <v>7.000,00</v>
      </c>
      <c r="M6328" s="6" t="str">
        <f>"35.000,00"</f>
        <v>35.000,00</v>
      </c>
      <c r="N6328" s="8" t="s">
        <v>4789</v>
      </c>
      <c r="O6328" s="7"/>
      <c r="P6328" s="2" t="s">
        <v>7224</v>
      </c>
      <c r="Q6328" s="7"/>
      <c r="R6328" s="1"/>
      <c r="S6328" s="1" t="str">
        <f>"N-B-154/16"</f>
        <v>N-B-154/16</v>
      </c>
      <c r="T6328" s="1" t="s">
        <v>55</v>
      </c>
    </row>
    <row r="6329" spans="1:20" ht="76.5" x14ac:dyDescent="0.25">
      <c r="A6329" s="6">
        <v>6308</v>
      </c>
      <c r="B6329" s="1" t="str">
        <f>"2016-2938"</f>
        <v>2016-2938</v>
      </c>
      <c r="C6329" s="1" t="s">
        <v>4790</v>
      </c>
      <c r="D6329" s="1" t="s">
        <v>1979</v>
      </c>
      <c r="E6329" s="1" t="str">
        <f>""</f>
        <v/>
      </c>
      <c r="F6329" s="1" t="s">
        <v>1860</v>
      </c>
      <c r="G6329" s="1" t="str">
        <f>CONCATENATE(" PROJEKTNI BIRO NAGLIĆ D.O.O.,"," OLIBSKA 17,"," 10000 ZAGREB,"," OIB: 18216105743")</f>
        <v xml:space="preserve"> PROJEKTNI BIRO NAGLIĆ D.O.O., OLIBSKA 17, 10000 ZAGREB, OIB: 18216105743</v>
      </c>
      <c r="H6329" s="7"/>
      <c r="I6329" s="8" t="s">
        <v>4787</v>
      </c>
      <c r="J6329" s="8" t="s">
        <v>4788</v>
      </c>
      <c r="K6329" s="6" t="str">
        <f>"58.000,00"</f>
        <v>58.000,00</v>
      </c>
      <c r="L6329" s="6" t="str">
        <f>"14.500,00"</f>
        <v>14.500,00</v>
      </c>
      <c r="M6329" s="6" t="str">
        <f>"72.500,00"</f>
        <v>72.500,00</v>
      </c>
      <c r="N6329" s="8" t="s">
        <v>124</v>
      </c>
      <c r="O6329" s="7"/>
      <c r="P6329" s="2" t="s">
        <v>5614</v>
      </c>
      <c r="Q6329" s="7"/>
      <c r="R6329" s="1"/>
      <c r="S6329" s="1" t="str">
        <f>"N-B-158/16"</f>
        <v>N-B-158/16</v>
      </c>
      <c r="T6329" s="1" t="s">
        <v>55</v>
      </c>
    </row>
    <row r="6330" spans="1:20" ht="63.75" x14ac:dyDescent="0.25">
      <c r="A6330" s="6">
        <v>6309</v>
      </c>
      <c r="B6330" s="1" t="str">
        <f>"2016-1942"</f>
        <v>2016-1942</v>
      </c>
      <c r="C6330" s="1" t="s">
        <v>4791</v>
      </c>
      <c r="D6330" s="1" t="s">
        <v>1979</v>
      </c>
      <c r="E6330" s="1" t="str">
        <f>""</f>
        <v/>
      </c>
      <c r="F6330" s="1" t="s">
        <v>1860</v>
      </c>
      <c r="G6330" s="1" t="str">
        <f>CONCATENATE(" HIDROKONZALT PROJEKTIRANJE D.O.O.,"," KRALJA ZVONIMIRA 60,"," 21210 SOLIN,"," OIB: 32472397445")</f>
        <v xml:space="preserve"> HIDROKONZALT PROJEKTIRANJE D.O.O., KRALJA ZVONIMIRA 60, 21210 SOLIN, OIB: 32472397445</v>
      </c>
      <c r="H6330" s="7"/>
      <c r="I6330" s="8" t="s">
        <v>4787</v>
      </c>
      <c r="J6330" s="8" t="s">
        <v>4788</v>
      </c>
      <c r="K6330" s="6" t="str">
        <f>"52.000,00"</f>
        <v>52.000,00</v>
      </c>
      <c r="L6330" s="6" t="str">
        <f>"13.000,00"</f>
        <v>13.000,00</v>
      </c>
      <c r="M6330" s="6" t="str">
        <f>"65.000,00"</f>
        <v>65.000,00</v>
      </c>
      <c r="N6330" s="8" t="s">
        <v>124</v>
      </c>
      <c r="O6330" s="7"/>
      <c r="P6330" s="2" t="s">
        <v>5614</v>
      </c>
      <c r="Q6330" s="7"/>
      <c r="R6330" s="1"/>
      <c r="S6330" s="1" t="str">
        <f>"N-B-159/16"</f>
        <v>N-B-159/16</v>
      </c>
      <c r="T6330" s="1" t="s">
        <v>55</v>
      </c>
    </row>
    <row r="6331" spans="1:20" ht="51" x14ac:dyDescent="0.25">
      <c r="A6331" s="6">
        <v>6310</v>
      </c>
      <c r="B6331" s="1" t="str">
        <f>"2016-2009"</f>
        <v>2016-2009</v>
      </c>
      <c r="C6331" s="1" t="s">
        <v>4792</v>
      </c>
      <c r="D6331" s="1" t="s">
        <v>1979</v>
      </c>
      <c r="E6331" s="1" t="str">
        <f>""</f>
        <v/>
      </c>
      <c r="F6331" s="1" t="s">
        <v>1860</v>
      </c>
      <c r="G6331" s="1" t="str">
        <f>CONCATENATE(" EKO-PLAN D.O.O.,"," 2. JAZBINSKI GAJ 1A,"," 10000 ZAGREB,"," OIB: 55034160084")</f>
        <v xml:space="preserve"> EKO-PLAN D.O.O., 2. JAZBINSKI GAJ 1A, 10000 ZAGREB, OIB: 55034160084</v>
      </c>
      <c r="H6331" s="7"/>
      <c r="I6331" s="8" t="s">
        <v>4793</v>
      </c>
      <c r="J6331" s="8" t="s">
        <v>4794</v>
      </c>
      <c r="K6331" s="6" t="str">
        <f>"39.700,00"</f>
        <v>39.700,00</v>
      </c>
      <c r="L6331" s="6" t="str">
        <f>"9.925,00"</f>
        <v>9.925,00</v>
      </c>
      <c r="M6331" s="6" t="str">
        <f>"49.625,00"</f>
        <v>49.625,00</v>
      </c>
      <c r="N6331" s="8" t="s">
        <v>124</v>
      </c>
      <c r="O6331" s="7"/>
      <c r="P6331" s="2" t="s">
        <v>5614</v>
      </c>
      <c r="Q6331" s="7"/>
      <c r="R6331" s="1"/>
      <c r="S6331" s="1" t="str">
        <f>"N-B-160/16"</f>
        <v>N-B-160/16</v>
      </c>
      <c r="T6331" s="1" t="s">
        <v>55</v>
      </c>
    </row>
    <row r="6332" spans="1:20" ht="63.75" x14ac:dyDescent="0.25">
      <c r="A6332" s="6">
        <v>6311</v>
      </c>
      <c r="B6332" s="1" t="str">
        <f>"2016-2931"</f>
        <v>2016-2931</v>
      </c>
      <c r="C6332" s="1" t="s">
        <v>4795</v>
      </c>
      <c r="D6332" s="1" t="s">
        <v>1979</v>
      </c>
      <c r="E6332" s="1" t="str">
        <f>""</f>
        <v/>
      </c>
      <c r="F6332" s="1" t="s">
        <v>1860</v>
      </c>
      <c r="G6332" s="1" t="str">
        <f>CONCATENATE(" PROJEKTNI BIRO NAGLIĆ D.O.O.,"," OLIBSKA 17,"," 10000 ZAGREB,"," OIB: 18216105743")</f>
        <v xml:space="preserve"> PROJEKTNI BIRO NAGLIĆ D.O.O., OLIBSKA 17, 10000 ZAGREB, OIB: 18216105743</v>
      </c>
      <c r="H6332" s="7"/>
      <c r="I6332" s="8" t="s">
        <v>4793</v>
      </c>
      <c r="J6332" s="8" t="s">
        <v>4794</v>
      </c>
      <c r="K6332" s="6" t="str">
        <f>"48.000,00"</f>
        <v>48.000,00</v>
      </c>
      <c r="L6332" s="6" t="str">
        <f>"12.000,00"</f>
        <v>12.000,00</v>
      </c>
      <c r="M6332" s="6" t="str">
        <f>"60.000,00"</f>
        <v>60.000,00</v>
      </c>
      <c r="N6332" s="8" t="s">
        <v>124</v>
      </c>
      <c r="O6332" s="7"/>
      <c r="P6332" s="2" t="s">
        <v>5614</v>
      </c>
      <c r="Q6332" s="7"/>
      <c r="R6332" s="1"/>
      <c r="S6332" s="1" t="str">
        <f>"N-B-162/16"</f>
        <v>N-B-162/16</v>
      </c>
      <c r="T6332" s="1" t="s">
        <v>55</v>
      </c>
    </row>
    <row r="6333" spans="1:20" ht="63.75" x14ac:dyDescent="0.25">
      <c r="A6333" s="6">
        <v>6312</v>
      </c>
      <c r="B6333" s="1" t="str">
        <f>"2016-2942"</f>
        <v>2016-2942</v>
      </c>
      <c r="C6333" s="1" t="s">
        <v>4796</v>
      </c>
      <c r="D6333" s="1" t="s">
        <v>1979</v>
      </c>
      <c r="E6333" s="1" t="str">
        <f>""</f>
        <v/>
      </c>
      <c r="F6333" s="1" t="s">
        <v>1860</v>
      </c>
      <c r="G6333" s="1" t="str">
        <f>CONCATENATE(" IPZ-NISKOGRADNJA D.O.O.,"," TRG BANA JOSIPA JELAČIĆA 1/II,"," 10000 ZAGREB,"," OIB: 79761663049")</f>
        <v xml:space="preserve"> IPZ-NISKOGRADNJA D.O.O., TRG BANA JOSIPA JELAČIĆA 1/II, 10000 ZAGREB, OIB: 79761663049</v>
      </c>
      <c r="H6333" s="7"/>
      <c r="I6333" s="8" t="s">
        <v>4797</v>
      </c>
      <c r="J6333" s="8" t="s">
        <v>3749</v>
      </c>
      <c r="K6333" s="6" t="str">
        <f>"38.000,00"</f>
        <v>38.000,00</v>
      </c>
      <c r="L6333" s="6" t="str">
        <f>"9.500,00"</f>
        <v>9.500,00</v>
      </c>
      <c r="M6333" s="6" t="str">
        <f>"47.500,00"</f>
        <v>47.500,00</v>
      </c>
      <c r="N6333" s="8" t="s">
        <v>124</v>
      </c>
      <c r="O6333" s="7"/>
      <c r="P6333" s="2" t="s">
        <v>5614</v>
      </c>
      <c r="Q6333" s="7"/>
      <c r="R6333" s="1"/>
      <c r="S6333" s="1" t="str">
        <f>"N-B-164/16"</f>
        <v>N-B-164/16</v>
      </c>
      <c r="T6333" s="1" t="s">
        <v>55</v>
      </c>
    </row>
    <row r="6334" spans="1:20" ht="51" x14ac:dyDescent="0.25">
      <c r="A6334" s="6">
        <v>6313</v>
      </c>
      <c r="B6334" s="1" t="str">
        <f>"2016-2941"</f>
        <v>2016-2941</v>
      </c>
      <c r="C6334" s="1" t="s">
        <v>4798</v>
      </c>
      <c r="D6334" s="1" t="s">
        <v>1979</v>
      </c>
      <c r="E6334" s="1" t="str">
        <f>""</f>
        <v/>
      </c>
      <c r="F6334" s="1" t="s">
        <v>1860</v>
      </c>
      <c r="G6334" s="1" t="str">
        <f>CONCATENATE(" HIDROEKO D.O.O.,"," STARJAK 52,"," 10257 BREZOVICA,"," OIB: 34889829677")</f>
        <v xml:space="preserve"> HIDROEKO D.O.O., STARJAK 52, 10257 BREZOVICA, OIB: 34889829677</v>
      </c>
      <c r="H6334" s="7"/>
      <c r="I6334" s="8" t="s">
        <v>4799</v>
      </c>
      <c r="J6334" s="8" t="s">
        <v>4800</v>
      </c>
      <c r="K6334" s="6" t="str">
        <f>"58.000,00"</f>
        <v>58.000,00</v>
      </c>
      <c r="L6334" s="6" t="str">
        <f>"14.500,00"</f>
        <v>14.500,00</v>
      </c>
      <c r="M6334" s="6" t="str">
        <f>"72.500,00"</f>
        <v>72.500,00</v>
      </c>
      <c r="N6334" s="8" t="s">
        <v>124</v>
      </c>
      <c r="O6334" s="7"/>
      <c r="P6334" s="2" t="s">
        <v>5614</v>
      </c>
      <c r="Q6334" s="7"/>
      <c r="R6334" s="1"/>
      <c r="S6334" s="1" t="str">
        <f>"N-B-167/16"</f>
        <v>N-B-167/16</v>
      </c>
      <c r="T6334" s="1" t="s">
        <v>55</v>
      </c>
    </row>
    <row r="6335" spans="1:20" ht="63.75" x14ac:dyDescent="0.25">
      <c r="A6335" s="6">
        <v>6314</v>
      </c>
      <c r="B6335" s="1" t="str">
        <f>"2016-2939"</f>
        <v>2016-2939</v>
      </c>
      <c r="C6335" s="1" t="s">
        <v>4801</v>
      </c>
      <c r="D6335" s="1" t="s">
        <v>1979</v>
      </c>
      <c r="E6335" s="1" t="str">
        <f>""</f>
        <v/>
      </c>
      <c r="F6335" s="1" t="s">
        <v>1860</v>
      </c>
      <c r="G6335" s="1" t="str">
        <f>CONCATENATE(" PROJEKTNI BIRO NAGLIĆ D.O.O.,"," OLIBSKA 17,"," 10000 ZAGREB,"," OIB: 18216105743")</f>
        <v xml:space="preserve"> PROJEKTNI BIRO NAGLIĆ D.O.O., OLIBSKA 17, 10000 ZAGREB, OIB: 18216105743</v>
      </c>
      <c r="H6335" s="7"/>
      <c r="I6335" s="8" t="s">
        <v>4793</v>
      </c>
      <c r="J6335" s="8" t="s">
        <v>4794</v>
      </c>
      <c r="K6335" s="6" t="str">
        <f>"48.000,00"</f>
        <v>48.000,00</v>
      </c>
      <c r="L6335" s="6" t="str">
        <f>"12.000,00"</f>
        <v>12.000,00</v>
      </c>
      <c r="M6335" s="6" t="str">
        <f>"60.000,00"</f>
        <v>60.000,00</v>
      </c>
      <c r="N6335" s="8" t="s">
        <v>124</v>
      </c>
      <c r="O6335" s="7"/>
      <c r="P6335" s="2" t="s">
        <v>5614</v>
      </c>
      <c r="Q6335" s="7"/>
      <c r="R6335" s="1"/>
      <c r="S6335" s="1" t="str">
        <f>"N-B-168/16"</f>
        <v>N-B-168/16</v>
      </c>
      <c r="T6335" s="1" t="s">
        <v>55</v>
      </c>
    </row>
    <row r="6336" spans="1:20" ht="51" x14ac:dyDescent="0.25">
      <c r="A6336" s="6">
        <v>6315</v>
      </c>
      <c r="B6336" s="1" t="str">
        <f>"2016-2355"</f>
        <v>2016-2355</v>
      </c>
      <c r="C6336" s="1" t="s">
        <v>4802</v>
      </c>
      <c r="D6336" s="1" t="s">
        <v>845</v>
      </c>
      <c r="E6336" s="1" t="str">
        <f>""</f>
        <v/>
      </c>
      <c r="F6336" s="1" t="s">
        <v>1860</v>
      </c>
      <c r="G6336" s="1" t="str">
        <f>CONCATENATE(" GEOTEHNIKA J.D.O.O.,"," BLATA 35C,"," 22211 VODICE,"," OIB: 54793730035")</f>
        <v xml:space="preserve"> GEOTEHNIKA J.D.O.O., BLATA 35C, 22211 VODICE, OIB: 54793730035</v>
      </c>
      <c r="H6336" s="7"/>
      <c r="I6336" s="8" t="s">
        <v>3647</v>
      </c>
      <c r="J6336" s="8" t="s">
        <v>4803</v>
      </c>
      <c r="K6336" s="6" t="str">
        <f>"68.900,00"</f>
        <v>68.900,00</v>
      </c>
      <c r="L6336" s="6" t="str">
        <f>"17.225,00"</f>
        <v>17.225,00</v>
      </c>
      <c r="M6336" s="6" t="str">
        <f>"86.125,00"</f>
        <v>86.125,00</v>
      </c>
      <c r="N6336" s="8" t="s">
        <v>124</v>
      </c>
      <c r="O6336" s="7"/>
      <c r="P6336" s="2" t="s">
        <v>5614</v>
      </c>
      <c r="Q6336" s="7"/>
      <c r="R6336" s="1"/>
      <c r="S6336" s="1" t="str">
        <f>"N-B-170/16"</f>
        <v>N-B-170/16</v>
      </c>
      <c r="T6336" s="1" t="s">
        <v>55</v>
      </c>
    </row>
    <row r="6337" spans="1:20" ht="51" x14ac:dyDescent="0.25">
      <c r="A6337" s="6">
        <v>6316</v>
      </c>
      <c r="B6337" s="1" t="str">
        <f>"2016-2013"</f>
        <v>2016-2013</v>
      </c>
      <c r="C6337" s="1" t="s">
        <v>4804</v>
      </c>
      <c r="D6337" s="1" t="s">
        <v>1979</v>
      </c>
      <c r="E6337" s="1" t="str">
        <f>""</f>
        <v/>
      </c>
      <c r="F6337" s="1" t="s">
        <v>1860</v>
      </c>
      <c r="G6337" s="1" t="str">
        <f>CONCATENATE(" HIT-PROJEKT D.O.O.,"," JAGNEDJE 3,"," 10000 ZAGREB,"," OIB: 494240228")</f>
        <v xml:space="preserve"> HIT-PROJEKT D.O.O., JAGNEDJE 3, 10000 ZAGREB, OIB: 494240228</v>
      </c>
      <c r="H6337" s="7"/>
      <c r="I6337" s="8" t="s">
        <v>3522</v>
      </c>
      <c r="J6337" s="8" t="s">
        <v>3523</v>
      </c>
      <c r="K6337" s="6" t="str">
        <f>"34.000,00"</f>
        <v>34.000,00</v>
      </c>
      <c r="L6337" s="6" t="str">
        <f>"8.500,00"</f>
        <v>8.500,00</v>
      </c>
      <c r="M6337" s="6" t="str">
        <f>"42.500,00"</f>
        <v>42.500,00</v>
      </c>
      <c r="N6337" s="8" t="s">
        <v>124</v>
      </c>
      <c r="O6337" s="7"/>
      <c r="P6337" s="2" t="s">
        <v>5614</v>
      </c>
      <c r="Q6337" s="7"/>
      <c r="R6337" s="1"/>
      <c r="S6337" s="1" t="str">
        <f>"N-B-171/16"</f>
        <v>N-B-171/16</v>
      </c>
      <c r="T6337" s="1" t="s">
        <v>55</v>
      </c>
    </row>
    <row r="6338" spans="1:20" ht="63.75" x14ac:dyDescent="0.25">
      <c r="A6338" s="6">
        <v>6317</v>
      </c>
      <c r="B6338" s="1" t="str">
        <f>"2016-2983"</f>
        <v>2016-2983</v>
      </c>
      <c r="C6338" s="1" t="s">
        <v>4805</v>
      </c>
      <c r="D6338" s="1" t="s">
        <v>1979</v>
      </c>
      <c r="E6338" s="1" t="str">
        <f>""</f>
        <v/>
      </c>
      <c r="F6338" s="1" t="s">
        <v>1860</v>
      </c>
      <c r="G6338" s="1" t="str">
        <f>CONCATENATE(" PROJEKTNI BIRO NAGLIĆ D.O.O.,"," OLIBSKA 17,"," 10000 ZAGREB,"," OIB: 18216105743")</f>
        <v xml:space="preserve"> PROJEKTNI BIRO NAGLIĆ D.O.O., OLIBSKA 17, 10000 ZAGREB, OIB: 18216105743</v>
      </c>
      <c r="H6338" s="7"/>
      <c r="I6338" s="8" t="s">
        <v>4793</v>
      </c>
      <c r="J6338" s="8" t="s">
        <v>4794</v>
      </c>
      <c r="K6338" s="6" t="str">
        <f>"67.000,00"</f>
        <v>67.000,00</v>
      </c>
      <c r="L6338" s="6" t="str">
        <f>"16.750,00"</f>
        <v>16.750,00</v>
      </c>
      <c r="M6338" s="6" t="str">
        <f>"83.750,00"</f>
        <v>83.750,00</v>
      </c>
      <c r="N6338" s="8" t="s">
        <v>4056</v>
      </c>
      <c r="O6338" s="7"/>
      <c r="P6338" s="2" t="s">
        <v>8751</v>
      </c>
      <c r="Q6338" s="7"/>
      <c r="R6338" s="1"/>
      <c r="S6338" s="1" t="str">
        <f>"N-B-172/16"</f>
        <v>N-B-172/16</v>
      </c>
      <c r="T6338" s="1" t="s">
        <v>55</v>
      </c>
    </row>
    <row r="6339" spans="1:20" ht="63.75" x14ac:dyDescent="0.25">
      <c r="A6339" s="6">
        <v>6318</v>
      </c>
      <c r="B6339" s="1" t="str">
        <f>"2016-2000"</f>
        <v>2016-2000</v>
      </c>
      <c r="C6339" s="1" t="s">
        <v>4806</v>
      </c>
      <c r="D6339" s="1" t="s">
        <v>1979</v>
      </c>
      <c r="E6339" s="1" t="str">
        <f>""</f>
        <v/>
      </c>
      <c r="F6339" s="1" t="s">
        <v>1860</v>
      </c>
      <c r="G6339" s="1" t="str">
        <f>CONCATENATE(" HIDROKONZALT PROJEKTIRANJE D.O.O.,"," KRALJA ZVONIMIRA 60,"," 21210 SOLIN,"," OIB: 32472397445")</f>
        <v xml:space="preserve"> HIDROKONZALT PROJEKTIRANJE D.O.O., KRALJA ZVONIMIRA 60, 21210 SOLIN, OIB: 32472397445</v>
      </c>
      <c r="H6339" s="7"/>
      <c r="I6339" s="8" t="s">
        <v>4787</v>
      </c>
      <c r="J6339" s="8" t="s">
        <v>4788</v>
      </c>
      <c r="K6339" s="6" t="str">
        <f>"28.000,00"</f>
        <v>28.000,00</v>
      </c>
      <c r="L6339" s="6" t="str">
        <f>"7.000,00"</f>
        <v>7.000,00</v>
      </c>
      <c r="M6339" s="6" t="str">
        <f>"35.000,00"</f>
        <v>35.000,00</v>
      </c>
      <c r="N6339" s="8" t="s">
        <v>124</v>
      </c>
      <c r="O6339" s="7"/>
      <c r="P6339" s="2" t="s">
        <v>5614</v>
      </c>
      <c r="Q6339" s="7"/>
      <c r="R6339" s="1"/>
      <c r="S6339" s="1" t="str">
        <f>"N-B-173/16"</f>
        <v>N-B-173/16</v>
      </c>
      <c r="T6339" s="1" t="s">
        <v>55</v>
      </c>
    </row>
    <row r="6340" spans="1:20" ht="63.75" x14ac:dyDescent="0.25">
      <c r="A6340" s="6">
        <v>6319</v>
      </c>
      <c r="B6340" s="1" t="str">
        <f>"2016-2019"</f>
        <v>2016-2019</v>
      </c>
      <c r="C6340" s="1" t="s">
        <v>4807</v>
      </c>
      <c r="D6340" s="1" t="s">
        <v>1979</v>
      </c>
      <c r="E6340" s="1" t="str">
        <f>""</f>
        <v/>
      </c>
      <c r="F6340" s="1" t="s">
        <v>1860</v>
      </c>
      <c r="G6340" s="1" t="str">
        <f>CONCATENATE(" HIDROKONZALT PROJEKTIRANJE D.O.O.,"," KRALJA ZVONIMIRA 60,"," 21210 SOLIN,"," OIB: 32472397445")</f>
        <v xml:space="preserve"> HIDROKONZALT PROJEKTIRANJE D.O.O., KRALJA ZVONIMIRA 60, 21210 SOLIN, OIB: 32472397445</v>
      </c>
      <c r="H6340" s="7"/>
      <c r="I6340" s="8" t="s">
        <v>3717</v>
      </c>
      <c r="J6340" s="8" t="s">
        <v>3718</v>
      </c>
      <c r="K6340" s="6" t="str">
        <f>"35.000,00"</f>
        <v>35.000,00</v>
      </c>
      <c r="L6340" s="6" t="str">
        <f>"8.750,00"</f>
        <v>8.750,00</v>
      </c>
      <c r="M6340" s="6" t="str">
        <f>"43.750,00"</f>
        <v>43.750,00</v>
      </c>
      <c r="N6340" s="8" t="s">
        <v>124</v>
      </c>
      <c r="O6340" s="7"/>
      <c r="P6340" s="2" t="s">
        <v>5614</v>
      </c>
      <c r="Q6340" s="7"/>
      <c r="R6340" s="1"/>
      <c r="S6340" s="1" t="str">
        <f>"N-B-174/16"</f>
        <v>N-B-174/16</v>
      </c>
      <c r="T6340" s="1" t="s">
        <v>55</v>
      </c>
    </row>
    <row r="6341" spans="1:20" ht="165.75" x14ac:dyDescent="0.25">
      <c r="A6341" s="6">
        <v>6320</v>
      </c>
      <c r="B6341" s="1" t="str">
        <f>"2016-2324"</f>
        <v>2016-2324</v>
      </c>
      <c r="C6341" s="1" t="s">
        <v>4808</v>
      </c>
      <c r="D6341" s="1" t="s">
        <v>941</v>
      </c>
      <c r="E6341" s="1" t="str">
        <f>""</f>
        <v/>
      </c>
      <c r="F6341" s="1" t="s">
        <v>1860</v>
      </c>
      <c r="G6341" s="1" t="str">
        <f>CONCATENATE(" HIDRO GRAD D.O.O.,"," GUSTAVA KRKLECA,"," RAKITJE 6,"," 10437 BESTOVJE,"," OIB: 49528301725")</f>
        <v xml:space="preserve"> HIDRO GRAD D.O.O., GUSTAVA KRKLECA, RAKITJE 6, 10437 BESTOVJE, OIB: 49528301725</v>
      </c>
      <c r="H6341" s="1"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6341" s="8" t="s">
        <v>4809</v>
      </c>
      <c r="J6341" s="8" t="s">
        <v>4554</v>
      </c>
      <c r="K6341" s="6" t="str">
        <f>"174.634,00"</f>
        <v>174.634,00</v>
      </c>
      <c r="L6341" s="6" t="str">
        <f>"43.658,50"</f>
        <v>43.658,50</v>
      </c>
      <c r="M6341" s="6" t="str">
        <f>"218.292,50"</f>
        <v>218.292,50</v>
      </c>
      <c r="N6341" s="8" t="s">
        <v>558</v>
      </c>
      <c r="O6341" s="7"/>
      <c r="P6341" s="2" t="s">
        <v>8752</v>
      </c>
      <c r="Q6341" s="7"/>
      <c r="R6341" s="1"/>
      <c r="S6341" s="1" t="str">
        <f>"N-B-175/16"</f>
        <v>N-B-175/16</v>
      </c>
      <c r="T6341" s="1" t="s">
        <v>55</v>
      </c>
    </row>
    <row r="6342" spans="1:20" ht="51" x14ac:dyDescent="0.25">
      <c r="A6342" s="6">
        <v>6321</v>
      </c>
      <c r="B6342" s="1" t="str">
        <f>"2016-2947"</f>
        <v>2016-2947</v>
      </c>
      <c r="C6342" s="1" t="s">
        <v>4810</v>
      </c>
      <c r="D6342" s="1" t="s">
        <v>1979</v>
      </c>
      <c r="E6342" s="1" t="str">
        <f>""</f>
        <v/>
      </c>
      <c r="F6342" s="1" t="s">
        <v>1860</v>
      </c>
      <c r="G6342" s="1" t="str">
        <f>CONCATENATE(" HIDROEKO D.O.O.,"," STARJAK 52,"," 10257 BREZOVICA,"," OIB: 34889829677")</f>
        <v xml:space="preserve"> HIDROEKO D.O.O., STARJAK 52, 10257 BREZOVICA, OIB: 34889829677</v>
      </c>
      <c r="H6342" s="7"/>
      <c r="I6342" s="8" t="s">
        <v>3647</v>
      </c>
      <c r="J6342" s="8" t="s">
        <v>4803</v>
      </c>
      <c r="K6342" s="6" t="str">
        <f>"38.000,00"</f>
        <v>38.000,00</v>
      </c>
      <c r="L6342" s="6" t="str">
        <f>"9.500,00"</f>
        <v>9.500,00</v>
      </c>
      <c r="M6342" s="6" t="str">
        <f>"47.500,00"</f>
        <v>47.500,00</v>
      </c>
      <c r="N6342" s="8" t="s">
        <v>124</v>
      </c>
      <c r="O6342" s="7"/>
      <c r="P6342" s="2" t="s">
        <v>5614</v>
      </c>
      <c r="Q6342" s="7"/>
      <c r="R6342" s="1"/>
      <c r="S6342" s="1" t="str">
        <f>"N-B-176/16"</f>
        <v>N-B-176/16</v>
      </c>
      <c r="T6342" s="1" t="s">
        <v>55</v>
      </c>
    </row>
    <row r="6343" spans="1:20" ht="63.75" x14ac:dyDescent="0.25">
      <c r="A6343" s="6">
        <v>6322</v>
      </c>
      <c r="B6343" s="1" t="str">
        <f>"2016-2339"</f>
        <v>2016-2339</v>
      </c>
      <c r="C6343" s="1" t="s">
        <v>4811</v>
      </c>
      <c r="D6343" s="1" t="s">
        <v>1979</v>
      </c>
      <c r="E6343" s="1" t="str">
        <f>""</f>
        <v/>
      </c>
      <c r="F6343" s="1" t="s">
        <v>1860</v>
      </c>
      <c r="G6343" s="1" t="str">
        <f>CONCATENATE(" HIDROKONZALT PROJEKTIRANJE D.O.O.,"," KRALJA ZVONIMIRA 60,"," 21210 SOLIN,"," OIB: 32472397445")</f>
        <v xml:space="preserve"> HIDROKONZALT PROJEKTIRANJE D.O.O., KRALJA ZVONIMIRA 60, 21210 SOLIN, OIB: 32472397445</v>
      </c>
      <c r="H6343" s="7"/>
      <c r="I6343" s="8" t="s">
        <v>3717</v>
      </c>
      <c r="J6343" s="8" t="s">
        <v>3718</v>
      </c>
      <c r="K6343" s="6" t="str">
        <f>"43.000,00"</f>
        <v>43.000,00</v>
      </c>
      <c r="L6343" s="6" t="str">
        <f>"10.750,00"</f>
        <v>10.750,00</v>
      </c>
      <c r="M6343" s="6" t="str">
        <f>"53.750,00"</f>
        <v>53.750,00</v>
      </c>
      <c r="N6343" s="8" t="s">
        <v>124</v>
      </c>
      <c r="O6343" s="7"/>
      <c r="P6343" s="2" t="s">
        <v>5614</v>
      </c>
      <c r="Q6343" s="7"/>
      <c r="R6343" s="1"/>
      <c r="S6343" s="1" t="str">
        <f>"N-B-177/16"</f>
        <v>N-B-177/16</v>
      </c>
      <c r="T6343" s="1" t="s">
        <v>55</v>
      </c>
    </row>
    <row r="6344" spans="1:20" ht="51" x14ac:dyDescent="0.25">
      <c r="A6344" s="6">
        <v>6323</v>
      </c>
      <c r="B6344" s="1" t="str">
        <f>"2016-2943"</f>
        <v>2016-2943</v>
      </c>
      <c r="C6344" s="1" t="s">
        <v>4812</v>
      </c>
      <c r="D6344" s="1" t="s">
        <v>1979</v>
      </c>
      <c r="E6344" s="1" t="str">
        <f>""</f>
        <v/>
      </c>
      <c r="F6344" s="1" t="s">
        <v>1860</v>
      </c>
      <c r="G6344" s="1" t="str">
        <f>CONCATENATE(" HIDROEKO D.O.O.,"," STARJAK 52,"," 10257 BREZOVICA,"," OIB: 34889829677")</f>
        <v xml:space="preserve"> HIDROEKO D.O.O., STARJAK 52, 10257 BREZOVICA, OIB: 34889829677</v>
      </c>
      <c r="H6344" s="7"/>
      <c r="I6344" s="8" t="s">
        <v>3717</v>
      </c>
      <c r="J6344" s="8" t="s">
        <v>3718</v>
      </c>
      <c r="K6344" s="6" t="str">
        <f>"48.500,00"</f>
        <v>48.500,00</v>
      </c>
      <c r="L6344" s="6" t="str">
        <f>"12.125,00"</f>
        <v>12.125,00</v>
      </c>
      <c r="M6344" s="6" t="str">
        <f>"60.625,00"</f>
        <v>60.625,00</v>
      </c>
      <c r="N6344" s="8" t="s">
        <v>124</v>
      </c>
      <c r="O6344" s="7"/>
      <c r="P6344" s="2" t="s">
        <v>5614</v>
      </c>
      <c r="Q6344" s="7"/>
      <c r="R6344" s="1"/>
      <c r="S6344" s="1" t="str">
        <f>"N-B-179/16"</f>
        <v>N-B-179/16</v>
      </c>
      <c r="T6344" s="1" t="s">
        <v>55</v>
      </c>
    </row>
    <row r="6345" spans="1:20" ht="89.25" x14ac:dyDescent="0.25">
      <c r="A6345" s="6">
        <v>6324</v>
      </c>
      <c r="B6345" s="1" t="str">
        <f>"2016-2988"</f>
        <v>2016-2988</v>
      </c>
      <c r="C6345" s="1" t="s">
        <v>4813</v>
      </c>
      <c r="D6345" s="1" t="s">
        <v>1979</v>
      </c>
      <c r="E6345" s="1" t="str">
        <f>""</f>
        <v/>
      </c>
      <c r="F6345" s="1" t="s">
        <v>1860</v>
      </c>
      <c r="G6345" s="1" t="str">
        <f>CONCATENATE(" HIDROEKO D.O.O.,"," STARJAK 52,"," 10257 BREZOVICA,"," OIB: 34889829677")</f>
        <v xml:space="preserve"> HIDROEKO D.O.O., STARJAK 52, 10257 BREZOVICA, OIB: 34889829677</v>
      </c>
      <c r="H6345" s="7"/>
      <c r="I6345" s="8" t="s">
        <v>4797</v>
      </c>
      <c r="J6345" s="8" t="s">
        <v>3749</v>
      </c>
      <c r="K6345" s="6" t="str">
        <f>"57.000,00"</f>
        <v>57.000,00</v>
      </c>
      <c r="L6345" s="6" t="str">
        <f>"14.250,00"</f>
        <v>14.250,00</v>
      </c>
      <c r="M6345" s="6" t="str">
        <f>"71.250,00"</f>
        <v>71.250,00</v>
      </c>
      <c r="N6345" s="8" t="s">
        <v>124</v>
      </c>
      <c r="O6345" s="7"/>
      <c r="P6345" s="2" t="s">
        <v>5614</v>
      </c>
      <c r="Q6345" s="7"/>
      <c r="R6345" s="1"/>
      <c r="S6345" s="1" t="str">
        <f>"N-B-180/16"</f>
        <v>N-B-180/16</v>
      </c>
      <c r="T6345" s="1" t="s">
        <v>55</v>
      </c>
    </row>
    <row r="6346" spans="1:20" ht="63.75" x14ac:dyDescent="0.25">
      <c r="A6346" s="6">
        <v>6325</v>
      </c>
      <c r="B6346" s="1" t="str">
        <f>"2016-1916"</f>
        <v>2016-1916</v>
      </c>
      <c r="C6346" s="1" t="s">
        <v>4814</v>
      </c>
      <c r="D6346" s="1" t="s">
        <v>941</v>
      </c>
      <c r="E6346" s="1" t="str">
        <f>""</f>
        <v/>
      </c>
      <c r="F6346" s="1" t="s">
        <v>1860</v>
      </c>
      <c r="G6346" s="1" t="str">
        <f>CONCATENATE(" BOLČEVIĆ-GRADNJA D.O.O.,"," DUGOSELSKA CESTA 56,"," 10361 SESVETSKI KRALJEVEC,"," OIB: 520986705")</f>
        <v xml:space="preserve"> BOLČEVIĆ-GRADNJA D.O.O., DUGOSELSKA CESTA 56, 10361 SESVETSKI KRALJEVEC, OIB: 520986705</v>
      </c>
      <c r="H6346" s="7"/>
      <c r="I6346" s="8" t="s">
        <v>3717</v>
      </c>
      <c r="J6346" s="8" t="s">
        <v>3718</v>
      </c>
      <c r="K6346" s="6" t="str">
        <f>"257.895,00"</f>
        <v>257.895,00</v>
      </c>
      <c r="L6346" s="6" t="str">
        <f>"64.473,75"</f>
        <v>64.473,75</v>
      </c>
      <c r="M6346" s="6" t="str">
        <f>"322.368,75"</f>
        <v>322.368,75</v>
      </c>
      <c r="N6346" s="8" t="s">
        <v>3897</v>
      </c>
      <c r="O6346" s="7"/>
      <c r="P6346" s="2" t="s">
        <v>8753</v>
      </c>
      <c r="Q6346" s="7"/>
      <c r="R6346" s="1"/>
      <c r="S6346" s="1" t="str">
        <f>"N-B-181/16"</f>
        <v>N-B-181/16</v>
      </c>
      <c r="T6346" s="1" t="s">
        <v>55</v>
      </c>
    </row>
    <row r="6347" spans="1:20" ht="51" x14ac:dyDescent="0.25">
      <c r="A6347" s="6">
        <v>6326</v>
      </c>
      <c r="B6347" s="1" t="str">
        <f>"2016-2202"</f>
        <v>2016-2202</v>
      </c>
      <c r="C6347" s="1" t="s">
        <v>4815</v>
      </c>
      <c r="D6347" s="1" t="s">
        <v>941</v>
      </c>
      <c r="E6347" s="1" t="str">
        <f>""</f>
        <v/>
      </c>
      <c r="F6347" s="1" t="s">
        <v>1860</v>
      </c>
      <c r="G6347" s="1" t="str">
        <f>CONCATENATE(" KOM-EKO D.O.O.,"," RADNIČKA CESTA 228,"," 10000 ZAGREB,"," OIB: 27859052647")</f>
        <v xml:space="preserve"> KOM-EKO D.O.O., RADNIČKA CESTA 228, 10000 ZAGREB, OIB: 27859052647</v>
      </c>
      <c r="H6347" s="7"/>
      <c r="I6347" s="8" t="s">
        <v>3717</v>
      </c>
      <c r="J6347" s="8" t="s">
        <v>3718</v>
      </c>
      <c r="K6347" s="6" t="str">
        <f>"217.006,00"</f>
        <v>217.006,00</v>
      </c>
      <c r="L6347" s="6" t="str">
        <f>"54.251,50"</f>
        <v>54.251,50</v>
      </c>
      <c r="M6347" s="6" t="str">
        <f>"271.257,50"</f>
        <v>271.257,50</v>
      </c>
      <c r="N6347" s="8" t="s">
        <v>124</v>
      </c>
      <c r="O6347" s="7"/>
      <c r="P6347" s="2" t="s">
        <v>5614</v>
      </c>
      <c r="Q6347" s="7"/>
      <c r="R6347" s="1"/>
      <c r="S6347" s="1" t="str">
        <f>"N-B-182/16"</f>
        <v>N-B-182/16</v>
      </c>
      <c r="T6347" s="1" t="s">
        <v>55</v>
      </c>
    </row>
    <row r="6348" spans="1:20" ht="51" x14ac:dyDescent="0.25">
      <c r="A6348" s="6">
        <v>6327</v>
      </c>
      <c r="B6348" s="1" t="str">
        <f>"2016-1915"</f>
        <v>2016-1915</v>
      </c>
      <c r="C6348" s="1" t="s">
        <v>4816</v>
      </c>
      <c r="D6348" s="1" t="s">
        <v>941</v>
      </c>
      <c r="E6348" s="1" t="str">
        <f>""</f>
        <v/>
      </c>
      <c r="F6348" s="1" t="s">
        <v>1860</v>
      </c>
      <c r="G6348" s="1" t="str">
        <f>CONCATENATE(" GEORAD D.O.O.,"," KORNATSKA 1,"," 10000 ZAGREB,"," OIB: 49756748234")</f>
        <v xml:space="preserve"> GEORAD D.O.O., KORNATSKA 1, 10000 ZAGREB, OIB: 49756748234</v>
      </c>
      <c r="H6348" s="7"/>
      <c r="I6348" s="8" t="s">
        <v>4817</v>
      </c>
      <c r="J6348" s="8" t="s">
        <v>4818</v>
      </c>
      <c r="K6348" s="6" t="str">
        <f>"215.103,00"</f>
        <v>215.103,00</v>
      </c>
      <c r="L6348" s="6" t="str">
        <f>"53.775,75"</f>
        <v>53.775,75</v>
      </c>
      <c r="M6348" s="6" t="str">
        <f>"268.878,75"</f>
        <v>268.878,75</v>
      </c>
      <c r="N6348" s="8" t="s">
        <v>4819</v>
      </c>
      <c r="O6348" s="7"/>
      <c r="P6348" s="2" t="s">
        <v>8754</v>
      </c>
      <c r="Q6348" s="7"/>
      <c r="R6348" s="1"/>
      <c r="S6348" s="1" t="str">
        <f>"N-B-183/16"</f>
        <v>N-B-183/16</v>
      </c>
      <c r="T6348" s="1" t="s">
        <v>55</v>
      </c>
    </row>
    <row r="6349" spans="1:20" ht="165.75" x14ac:dyDescent="0.25">
      <c r="A6349" s="6">
        <v>6328</v>
      </c>
      <c r="B6349" s="1" t="str">
        <f>"2016-2273"</f>
        <v>2016-2273</v>
      </c>
      <c r="C6349" s="1" t="s">
        <v>4820</v>
      </c>
      <c r="D6349" s="1" t="s">
        <v>941</v>
      </c>
      <c r="E6349" s="1" t="str">
        <f>""</f>
        <v/>
      </c>
      <c r="F6349" s="1" t="s">
        <v>1860</v>
      </c>
      <c r="G6349" s="1" t="str">
        <f>CONCATENATE(" HIDRO GRAD D.O.O.,"," GUSTAVA KRKLECA,"," RAKITJE 6,"," 10437 BESTOVJE,"," OIB: 49528301725")</f>
        <v xml:space="preserve"> HIDRO GRAD D.O.O., GUSTAVA KRKLECA, RAKITJE 6, 10437 BESTOVJE, OIB: 49528301725</v>
      </c>
      <c r="H6349" s="1"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6349" s="8" t="s">
        <v>3755</v>
      </c>
      <c r="J6349" s="8" t="s">
        <v>3756</v>
      </c>
      <c r="K6349" s="6" t="str">
        <f>"192.315,00"</f>
        <v>192.315,00</v>
      </c>
      <c r="L6349" s="6" t="str">
        <f>"48.078,75"</f>
        <v>48.078,75</v>
      </c>
      <c r="M6349" s="6" t="str">
        <f>"240.393,75"</f>
        <v>240.393,75</v>
      </c>
      <c r="N6349" s="8" t="s">
        <v>558</v>
      </c>
      <c r="O6349" s="7"/>
      <c r="P6349" s="2" t="s">
        <v>8755</v>
      </c>
      <c r="Q6349" s="7"/>
      <c r="R6349" s="1"/>
      <c r="S6349" s="1" t="str">
        <f>"N-B-185/16"</f>
        <v>N-B-185/16</v>
      </c>
      <c r="T6349" s="1" t="s">
        <v>55</v>
      </c>
    </row>
    <row r="6350" spans="1:20" ht="63.75" x14ac:dyDescent="0.25">
      <c r="A6350" s="6">
        <v>6329</v>
      </c>
      <c r="B6350" s="1" t="str">
        <f>"2016-1989"</f>
        <v>2016-1989</v>
      </c>
      <c r="C6350" s="1" t="s">
        <v>4821</v>
      </c>
      <c r="D6350" s="1" t="s">
        <v>1979</v>
      </c>
      <c r="E6350" s="1" t="str">
        <f>""</f>
        <v/>
      </c>
      <c r="F6350" s="1" t="s">
        <v>1860</v>
      </c>
      <c r="G6350" s="1" t="str">
        <f>CONCATENATE(" HIDROEKO D.O.O.,"," STARJAK 52,"," 10257 BREZOVICA,"," OIB: 34889829677")</f>
        <v xml:space="preserve"> HIDROEKO D.O.O., STARJAK 52, 10257 BREZOVICA, OIB: 34889829677</v>
      </c>
      <c r="H6350" s="7"/>
      <c r="I6350" s="8" t="s">
        <v>3702</v>
      </c>
      <c r="J6350" s="8" t="s">
        <v>3703</v>
      </c>
      <c r="K6350" s="6" t="str">
        <f>"49.500,00"</f>
        <v>49.500,00</v>
      </c>
      <c r="L6350" s="6" t="str">
        <f>"12.375,00"</f>
        <v>12.375,00</v>
      </c>
      <c r="M6350" s="6" t="str">
        <f>"61.875,00"</f>
        <v>61.875,00</v>
      </c>
      <c r="N6350" s="8" t="s">
        <v>124</v>
      </c>
      <c r="O6350" s="7"/>
      <c r="P6350" s="2" t="s">
        <v>5614</v>
      </c>
      <c r="Q6350" s="7"/>
      <c r="R6350" s="1"/>
      <c r="S6350" s="1" t="str">
        <f>"N-B-186/16"</f>
        <v>N-B-186/16</v>
      </c>
      <c r="T6350" s="1" t="s">
        <v>55</v>
      </c>
    </row>
    <row r="6351" spans="1:20" ht="51" x14ac:dyDescent="0.25">
      <c r="A6351" s="6">
        <v>6330</v>
      </c>
      <c r="B6351" s="1" t="str">
        <f>"2016-2097"</f>
        <v>2016-2097</v>
      </c>
      <c r="C6351" s="1" t="s">
        <v>4822</v>
      </c>
      <c r="D6351" s="1" t="s">
        <v>1641</v>
      </c>
      <c r="E6351" s="1" t="str">
        <f>""</f>
        <v/>
      </c>
      <c r="F6351" s="1" t="s">
        <v>1860</v>
      </c>
      <c r="G6351" s="1" t="str">
        <f>CONCATENATE(" KOPIMA D.O.O.,"," VRBIK 8B,"," 10000 ZAGREB,"," OIB: 04662252043")</f>
        <v xml:space="preserve"> KOPIMA D.O.O., VRBIK 8B, 10000 ZAGREB, OIB: 04662252043</v>
      </c>
      <c r="H6351" s="7"/>
      <c r="I6351" s="8" t="s">
        <v>4823</v>
      </c>
      <c r="J6351" s="8" t="s">
        <v>3957</v>
      </c>
      <c r="K6351" s="6" t="str">
        <f>"67.900,00"</f>
        <v>67.900,00</v>
      </c>
      <c r="L6351" s="6" t="str">
        <f>"16.975,00"</f>
        <v>16.975,00</v>
      </c>
      <c r="M6351" s="6" t="str">
        <f>"84.875,00"</f>
        <v>84.875,00</v>
      </c>
      <c r="N6351" s="8" t="s">
        <v>1135</v>
      </c>
      <c r="O6351" s="7"/>
      <c r="P6351" s="2" t="s">
        <v>7647</v>
      </c>
      <c r="Q6351" s="7"/>
      <c r="R6351" s="1"/>
      <c r="S6351" s="1" t="str">
        <f>"N-B-187/16"</f>
        <v>N-B-187/16</v>
      </c>
      <c r="T6351" s="1" t="s">
        <v>55</v>
      </c>
    </row>
    <row r="6352" spans="1:20" ht="63.75" x14ac:dyDescent="0.25">
      <c r="A6352" s="6">
        <v>6331</v>
      </c>
      <c r="B6352" s="1" t="str">
        <f>"2016-1893"</f>
        <v>2016-1893</v>
      </c>
      <c r="C6352" s="1" t="s">
        <v>4824</v>
      </c>
      <c r="D6352" s="1" t="s">
        <v>941</v>
      </c>
      <c r="E6352" s="1" t="str">
        <f>""</f>
        <v/>
      </c>
      <c r="F6352" s="1" t="s">
        <v>1860</v>
      </c>
      <c r="G6352" s="1" t="str">
        <f>CONCATENATE(" AMB GRADNJA D.O.O.,"," PRILAZ BARUNA FILIPOVIĆA 15,"," 10000 ZAGREB,"," OIB: 8527265147")</f>
        <v xml:space="preserve"> AMB GRADNJA D.O.O., PRILAZ BARUNA FILIPOVIĆA 15, 10000 ZAGREB, OIB: 8527265147</v>
      </c>
      <c r="H6352" s="1" t="str">
        <f>CONCATENATE("KOPER D.O.O.,"," OIB: 39308317306")</f>
        <v>KOPER D.O.O., OIB: 39308317306</v>
      </c>
      <c r="I6352" s="8" t="s">
        <v>4823</v>
      </c>
      <c r="J6352" s="8" t="s">
        <v>3957</v>
      </c>
      <c r="K6352" s="6" t="str">
        <f>"291.066,00"</f>
        <v>291.066,00</v>
      </c>
      <c r="L6352" s="6" t="str">
        <f>"72.766,50"</f>
        <v>72.766,50</v>
      </c>
      <c r="M6352" s="6" t="str">
        <f>"363.832,50"</f>
        <v>363.832,50</v>
      </c>
      <c r="N6352" s="8" t="s">
        <v>124</v>
      </c>
      <c r="O6352" s="7"/>
      <c r="P6352" s="2" t="s">
        <v>5614</v>
      </c>
      <c r="Q6352" s="7"/>
      <c r="R6352" s="1"/>
      <c r="S6352" s="1" t="str">
        <f>"N-B-188/16"</f>
        <v>N-B-188/16</v>
      </c>
      <c r="T6352" s="1" t="s">
        <v>55</v>
      </c>
    </row>
    <row r="6353" spans="1:20" ht="51" x14ac:dyDescent="0.25">
      <c r="A6353" s="6">
        <v>6332</v>
      </c>
      <c r="B6353" s="1" t="str">
        <f>"2016-1927"</f>
        <v>2016-1927</v>
      </c>
      <c r="C6353" s="1" t="s">
        <v>4825</v>
      </c>
      <c r="D6353" s="1" t="s">
        <v>941</v>
      </c>
      <c r="E6353" s="1" t="str">
        <f>""</f>
        <v/>
      </c>
      <c r="F6353" s="1" t="s">
        <v>1860</v>
      </c>
      <c r="G6353" s="1" t="str">
        <f>CONCATENATE(" INSTAL-PROM D.O.O.,"," LJUTOMERSKA 33A,"," 10040 ZAGREB,"," OIB: 21231984689")</f>
        <v xml:space="preserve"> INSTAL-PROM D.O.O., LJUTOMERSKA 33A, 10040 ZAGREB, OIB: 21231984689</v>
      </c>
      <c r="H6353" s="7"/>
      <c r="I6353" s="8" t="s">
        <v>4823</v>
      </c>
      <c r="J6353" s="8" t="s">
        <v>3957</v>
      </c>
      <c r="K6353" s="6" t="str">
        <f>"261.325,70"</f>
        <v>261.325,70</v>
      </c>
      <c r="L6353" s="6" t="str">
        <f>"65.331,42"</f>
        <v>65.331,42</v>
      </c>
      <c r="M6353" s="6" t="str">
        <f>"326.657,12"</f>
        <v>326.657,12</v>
      </c>
      <c r="N6353" s="8" t="s">
        <v>3669</v>
      </c>
      <c r="O6353" s="7"/>
      <c r="P6353" s="2" t="s">
        <v>8756</v>
      </c>
      <c r="Q6353" s="7"/>
      <c r="R6353" s="1"/>
      <c r="S6353" s="1" t="str">
        <f>"N-B-189/16"</f>
        <v>N-B-189/16</v>
      </c>
      <c r="T6353" s="1" t="s">
        <v>55</v>
      </c>
    </row>
    <row r="6354" spans="1:20" ht="76.5" x14ac:dyDescent="0.25">
      <c r="A6354" s="6">
        <v>6333</v>
      </c>
      <c r="B6354" s="1" t="str">
        <f>"2016-2346"</f>
        <v>2016-2346</v>
      </c>
      <c r="C6354" s="1" t="s">
        <v>4826</v>
      </c>
      <c r="D6354" s="1" t="s">
        <v>1979</v>
      </c>
      <c r="E6354" s="1" t="str">
        <f>""</f>
        <v/>
      </c>
      <c r="F6354" s="1" t="s">
        <v>1860</v>
      </c>
      <c r="G6354" s="1" t="str">
        <f>CONCATENATE(" EKO-PLAN D.O.O.,"," 2. JAZBINSKI GAJ 1A,"," 10000 ZAGREB,"," OIB: 55034160084")</f>
        <v xml:space="preserve"> EKO-PLAN D.O.O., 2. JAZBINSKI GAJ 1A, 10000 ZAGREB, OIB: 55034160084</v>
      </c>
      <c r="H6354" s="7"/>
      <c r="I6354" s="8" t="s">
        <v>3731</v>
      </c>
      <c r="J6354" s="8" t="s">
        <v>3732</v>
      </c>
      <c r="K6354" s="6" t="str">
        <f>"26.500,00"</f>
        <v>26.500,00</v>
      </c>
      <c r="L6354" s="6" t="str">
        <f>"6.625,00"</f>
        <v>6.625,00</v>
      </c>
      <c r="M6354" s="6" t="str">
        <f>"33.125,00"</f>
        <v>33.125,00</v>
      </c>
      <c r="N6354" s="8" t="s">
        <v>124</v>
      </c>
      <c r="O6354" s="7"/>
      <c r="P6354" s="2" t="s">
        <v>5614</v>
      </c>
      <c r="Q6354" s="7"/>
      <c r="R6354" s="1"/>
      <c r="S6354" s="1" t="str">
        <f>"N-B-193/16"</f>
        <v>N-B-193/16</v>
      </c>
      <c r="T6354" s="1" t="s">
        <v>55</v>
      </c>
    </row>
    <row r="6355" spans="1:20" ht="63.75" x14ac:dyDescent="0.25">
      <c r="A6355" s="6">
        <v>6334</v>
      </c>
      <c r="B6355" s="1" t="str">
        <f>"2016-2391"</f>
        <v>2016-2391</v>
      </c>
      <c r="C6355" s="1" t="s">
        <v>4827</v>
      </c>
      <c r="D6355" s="1" t="s">
        <v>1641</v>
      </c>
      <c r="E6355" s="1" t="str">
        <f>""</f>
        <v/>
      </c>
      <c r="F6355" s="1" t="s">
        <v>1860</v>
      </c>
      <c r="G6355" s="1" t="str">
        <f>CONCATENATE(" EKO-PLAN D.O.O.,"," 2. JAZBINSKI GAJ 1A,"," 10000 ZAGREB,"," OIB: 55034160084")</f>
        <v xml:space="preserve"> EKO-PLAN D.O.O., 2. JAZBINSKI GAJ 1A, 10000 ZAGREB, OIB: 55034160084</v>
      </c>
      <c r="H6355" s="7"/>
      <c r="I6355" s="8" t="s">
        <v>3731</v>
      </c>
      <c r="J6355" s="8" t="s">
        <v>3732</v>
      </c>
      <c r="K6355" s="6" t="str">
        <f>"23.000,00"</f>
        <v>23.000,00</v>
      </c>
      <c r="L6355" s="6" t="str">
        <f>"5.750,00"</f>
        <v>5.750,00</v>
      </c>
      <c r="M6355" s="6" t="str">
        <f>"28.750,00"</f>
        <v>28.750,00</v>
      </c>
      <c r="N6355" s="7"/>
      <c r="O6355" s="9">
        <v>43567</v>
      </c>
      <c r="P6355" s="2" t="s">
        <v>7523</v>
      </c>
      <c r="Q6355" s="7"/>
      <c r="R6355" s="1"/>
      <c r="S6355" s="1" t="str">
        <f>"N-B-194/16"</f>
        <v>N-B-194/16</v>
      </c>
      <c r="T6355" s="1" t="s">
        <v>55</v>
      </c>
    </row>
    <row r="6356" spans="1:20" ht="63.75" x14ac:dyDescent="0.25">
      <c r="A6356" s="6">
        <v>6335</v>
      </c>
      <c r="B6356" s="1" t="str">
        <f>"2016-2982"</f>
        <v>2016-2982</v>
      </c>
      <c r="C6356" s="1" t="s">
        <v>4828</v>
      </c>
      <c r="D6356" s="1" t="s">
        <v>1979</v>
      </c>
      <c r="E6356" s="1" t="str">
        <f>""</f>
        <v/>
      </c>
      <c r="F6356" s="1" t="s">
        <v>1860</v>
      </c>
      <c r="G6356" s="1" t="str">
        <f>CONCATENATE(" HIDROEKO D.O.O.,"," STARJAK 52,"," 10257 BREZOVICA,"," OIB: 34889829677")</f>
        <v xml:space="preserve"> HIDROEKO D.O.O., STARJAK 52, 10257 BREZOVICA, OIB: 34889829677</v>
      </c>
      <c r="H6356" s="7"/>
      <c r="I6356" s="8" t="s">
        <v>3721</v>
      </c>
      <c r="J6356" s="8" t="s">
        <v>3722</v>
      </c>
      <c r="K6356" s="6" t="str">
        <f>"35.000,00"</f>
        <v>35.000,00</v>
      </c>
      <c r="L6356" s="6" t="str">
        <f>"8.750,00"</f>
        <v>8.750,00</v>
      </c>
      <c r="M6356" s="6" t="str">
        <f>"43.750,00"</f>
        <v>43.750,00</v>
      </c>
      <c r="N6356" s="8" t="s">
        <v>124</v>
      </c>
      <c r="O6356" s="7"/>
      <c r="P6356" s="2" t="s">
        <v>5614</v>
      </c>
      <c r="Q6356" s="7"/>
      <c r="R6356" s="1"/>
      <c r="S6356" s="1" t="str">
        <f>"N-B-195/16"</f>
        <v>N-B-195/16</v>
      </c>
      <c r="T6356" s="1" t="s">
        <v>55</v>
      </c>
    </row>
    <row r="6357" spans="1:20" ht="102" x14ac:dyDescent="0.25">
      <c r="A6357" s="6">
        <v>6336</v>
      </c>
      <c r="B6357" s="1" t="str">
        <f>"2016-1920"</f>
        <v>2016-1920</v>
      </c>
      <c r="C6357" s="1" t="s">
        <v>4829</v>
      </c>
      <c r="D6357" s="1" t="s">
        <v>941</v>
      </c>
      <c r="E6357" s="1" t="str">
        <f>""</f>
        <v/>
      </c>
      <c r="F6357" s="1" t="s">
        <v>1860</v>
      </c>
      <c r="G6357" s="1" t="str">
        <f>CONCATENATE(" OZAS - OBRTNIČKA PROIZVODNO-USLUŽNA,"," TRGOVINSKA ZADRUGA,"," ĆIRILOMETODSKA ULICA 19/C,"," 10430 SAMOBOR,"," OIB: 65676872509")</f>
        <v xml:space="preserve"> OZAS - OBRTNIČKA PROIZVODNO-USLUŽNA, TRGOVINSKA ZADRUGA, ĆIRILOMETODSKA ULICA 19/C, 10430 SAMOBOR, OIB: 65676872509</v>
      </c>
      <c r="H6357" s="7"/>
      <c r="I6357" s="8" t="s">
        <v>4830</v>
      </c>
      <c r="J6357" s="8" t="s">
        <v>4831</v>
      </c>
      <c r="K6357" s="6" t="str">
        <f>"478.096,48"</f>
        <v>478.096,48</v>
      </c>
      <c r="L6357" s="6" t="str">
        <f>"119.524,12"</f>
        <v>119.524,12</v>
      </c>
      <c r="M6357" s="6" t="str">
        <f>"597.620,60"</f>
        <v>597.620,60</v>
      </c>
      <c r="N6357" s="8" t="s">
        <v>4491</v>
      </c>
      <c r="O6357" s="7"/>
      <c r="P6357" s="2" t="s">
        <v>8757</v>
      </c>
      <c r="Q6357" s="7"/>
      <c r="R6357" s="1"/>
      <c r="S6357" s="1" t="str">
        <f>"N-B-196/16"</f>
        <v>N-B-196/16</v>
      </c>
      <c r="T6357" s="1" t="s">
        <v>55</v>
      </c>
    </row>
    <row r="6358" spans="1:20" ht="63.75" x14ac:dyDescent="0.25">
      <c r="A6358" s="6">
        <v>6337</v>
      </c>
      <c r="B6358" s="1" t="str">
        <f>"2016-3004"</f>
        <v>2016-3004</v>
      </c>
      <c r="C6358" s="1" t="s">
        <v>4832</v>
      </c>
      <c r="D6358" s="1" t="s">
        <v>1641</v>
      </c>
      <c r="E6358" s="1" t="str">
        <f>""</f>
        <v/>
      </c>
      <c r="F6358" s="1" t="s">
        <v>1860</v>
      </c>
      <c r="G6358" s="1" t="str">
        <f>CONCATENATE(" SEDRA CONSULTING D.O.O.,"," USKOPSKA 11,"," 10010 ZAGREB,"," OIB: 09177957072")</f>
        <v xml:space="preserve"> SEDRA CONSULTING D.O.O., USKOPSKA 11, 10010 ZAGREB, OIB: 09177957072</v>
      </c>
      <c r="H6358" s="1" t="str">
        <f>CONCATENATE("MODUM GEODETSKI URED D.O.O.,"," OIB: 94431724365")</f>
        <v>MODUM GEODETSKI URED D.O.O., OIB: 94431724365</v>
      </c>
      <c r="I6358" s="8" t="s">
        <v>4823</v>
      </c>
      <c r="J6358" s="8" t="s">
        <v>3957</v>
      </c>
      <c r="K6358" s="6" t="str">
        <f>"39.000,00"</f>
        <v>39.000,00</v>
      </c>
      <c r="L6358" s="6" t="str">
        <f>"9.750,00"</f>
        <v>9.750,00</v>
      </c>
      <c r="M6358" s="6" t="str">
        <f>"48.750,00"</f>
        <v>48.750,00</v>
      </c>
      <c r="N6358" s="8" t="s">
        <v>124</v>
      </c>
      <c r="O6358" s="7"/>
      <c r="P6358" s="2" t="s">
        <v>5614</v>
      </c>
      <c r="Q6358" s="7"/>
      <c r="R6358" s="1"/>
      <c r="S6358" s="1" t="str">
        <f>"N-B-198/16"</f>
        <v>N-B-198/16</v>
      </c>
      <c r="T6358" s="1" t="s">
        <v>55</v>
      </c>
    </row>
    <row r="6359" spans="1:20" ht="63.75" x14ac:dyDescent="0.25">
      <c r="A6359" s="6">
        <v>6338</v>
      </c>
      <c r="B6359" s="1" t="str">
        <f>"2016-2034"</f>
        <v>2016-2034</v>
      </c>
      <c r="C6359" s="1" t="s">
        <v>4833</v>
      </c>
      <c r="D6359" s="1" t="s">
        <v>1979</v>
      </c>
      <c r="E6359" s="1" t="str">
        <f>""</f>
        <v/>
      </c>
      <c r="F6359" s="1" t="s">
        <v>1860</v>
      </c>
      <c r="G6359" s="1" t="str">
        <f>CONCATENATE(" STRUCTURA PLAN D.O.O.,"," V. KLAIĆA 3,"," 10360 SESVETE,"," POPOVEC,"," OIB: 02792985387")</f>
        <v xml:space="preserve"> STRUCTURA PLAN D.O.O., V. KLAIĆA 3, 10360 SESVETE, POPOVEC, OIB: 02792985387</v>
      </c>
      <c r="H6359" s="7"/>
      <c r="I6359" s="8" t="s">
        <v>3702</v>
      </c>
      <c r="J6359" s="8" t="s">
        <v>3703</v>
      </c>
      <c r="K6359" s="6" t="str">
        <f>"16.750,00"</f>
        <v>16.750,00</v>
      </c>
      <c r="L6359" s="6" t="str">
        <f>"4.187,50"</f>
        <v>4.187,50</v>
      </c>
      <c r="M6359" s="6" t="str">
        <f>"20.937,50"</f>
        <v>20.937,50</v>
      </c>
      <c r="N6359" s="8" t="s">
        <v>124</v>
      </c>
      <c r="O6359" s="7"/>
      <c r="P6359" s="2" t="s">
        <v>5614</v>
      </c>
      <c r="Q6359" s="7"/>
      <c r="R6359" s="1"/>
      <c r="S6359" s="1" t="str">
        <f>"N-B-199/16"</f>
        <v>N-B-199/16</v>
      </c>
      <c r="T6359" s="1" t="s">
        <v>55</v>
      </c>
    </row>
    <row r="6360" spans="1:20" ht="89.25" x14ac:dyDescent="0.25">
      <c r="A6360" s="6">
        <v>6339</v>
      </c>
      <c r="B6360" s="1" t="str">
        <f>"2016-2061"</f>
        <v>2016-2061</v>
      </c>
      <c r="C6360" s="1" t="s">
        <v>4834</v>
      </c>
      <c r="D6360" s="1" t="s">
        <v>1641</v>
      </c>
      <c r="E6360" s="1" t="str">
        <f>""</f>
        <v/>
      </c>
      <c r="F6360" s="1" t="s">
        <v>1860</v>
      </c>
      <c r="G6360" s="1" t="str">
        <f>CONCATENATE(" ARHINGTRADE D.O.O.,"," GAJEVA 47,"," 10000 ZAGREB,"," OIB: 19240285746")</f>
        <v xml:space="preserve"> ARHINGTRADE D.O.O., GAJEVA 47, 10000 ZAGREB, OIB: 19240285746</v>
      </c>
      <c r="H6360" s="7"/>
      <c r="I6360" s="8" t="s">
        <v>4771</v>
      </c>
      <c r="J6360" s="8" t="s">
        <v>4543</v>
      </c>
      <c r="K6360" s="6" t="str">
        <f>"17.000,00"</f>
        <v>17.000,00</v>
      </c>
      <c r="L6360" s="6" t="str">
        <f>"4.250,00"</f>
        <v>4.250,00</v>
      </c>
      <c r="M6360" s="6" t="str">
        <f>"21.250,00"</f>
        <v>21.250,00</v>
      </c>
      <c r="N6360" s="8" t="s">
        <v>124</v>
      </c>
      <c r="O6360" s="7"/>
      <c r="P6360" s="2" t="s">
        <v>5614</v>
      </c>
      <c r="Q6360" s="7"/>
      <c r="R6360" s="1"/>
      <c r="S6360" s="1" t="str">
        <f>"N-B-200/16"</f>
        <v>N-B-200/16</v>
      </c>
      <c r="T6360" s="1" t="s">
        <v>55</v>
      </c>
    </row>
    <row r="6361" spans="1:20" ht="51" x14ac:dyDescent="0.25">
      <c r="A6361" s="6">
        <v>6340</v>
      </c>
      <c r="B6361" s="1" t="str">
        <f>"2016-2007"</f>
        <v>2016-2007</v>
      </c>
      <c r="C6361" s="1" t="s">
        <v>4835</v>
      </c>
      <c r="D6361" s="1" t="s">
        <v>1979</v>
      </c>
      <c r="E6361" s="1" t="str">
        <f>""</f>
        <v/>
      </c>
      <c r="F6361" s="1" t="s">
        <v>1860</v>
      </c>
      <c r="G6361" s="1" t="str">
        <f>CONCATENATE(" HIDRO UNA D.O.O.,"," JOSIPA ANIĆA 14,"," 10000 ZAGREB,"," OIB: 60109409627")</f>
        <v xml:space="preserve"> HIDRO UNA D.O.O., JOSIPA ANIĆA 14, 10000 ZAGREB, OIB: 60109409627</v>
      </c>
      <c r="H6361" s="7"/>
      <c r="I6361" s="8" t="s">
        <v>4747</v>
      </c>
      <c r="J6361" s="8" t="s">
        <v>4748</v>
      </c>
      <c r="K6361" s="6" t="str">
        <f>"18.420,00"</f>
        <v>18.420,00</v>
      </c>
      <c r="L6361" s="6" t="str">
        <f>"4.605,00"</f>
        <v>4.605,00</v>
      </c>
      <c r="M6361" s="6" t="str">
        <f>"23.025,00"</f>
        <v>23.025,00</v>
      </c>
      <c r="N6361" s="8" t="s">
        <v>124</v>
      </c>
      <c r="O6361" s="7"/>
      <c r="P6361" s="2" t="s">
        <v>5614</v>
      </c>
      <c r="Q6361" s="7"/>
      <c r="R6361" s="1"/>
      <c r="S6361" s="1" t="str">
        <f>"N-B-202/16"</f>
        <v>N-B-202/16</v>
      </c>
      <c r="T6361" s="1" t="s">
        <v>55</v>
      </c>
    </row>
    <row r="6362" spans="1:20" ht="51" x14ac:dyDescent="0.25">
      <c r="A6362" s="6">
        <v>6341</v>
      </c>
      <c r="B6362" s="1" t="str">
        <f>"2016-2313"</f>
        <v>2016-2313</v>
      </c>
      <c r="C6362" s="1" t="s">
        <v>4836</v>
      </c>
      <c r="D6362" s="1" t="s">
        <v>941</v>
      </c>
      <c r="E6362" s="1" t="str">
        <f>""</f>
        <v/>
      </c>
      <c r="F6362" s="1" t="s">
        <v>1860</v>
      </c>
      <c r="G6362" s="1" t="str">
        <f>CONCATENATE(" KINDER GRADNJA D.O.O.,"," SELSKA 57,"," 10360 SESVETE,"," OIB: 71001411174")</f>
        <v xml:space="preserve"> KINDER GRADNJA D.O.O., SELSKA 57, 10360 SESVETE, OIB: 71001411174</v>
      </c>
      <c r="H6362" s="1" t="str">
        <f>CONCATENATE("PERVISUS D.O.O.,"," OIB: 44353834669")</f>
        <v>PERVISUS D.O.O., OIB: 44353834669</v>
      </c>
      <c r="I6362" s="8" t="s">
        <v>4837</v>
      </c>
      <c r="J6362" s="8" t="s">
        <v>4838</v>
      </c>
      <c r="K6362" s="6" t="str">
        <f>"287.198,00"</f>
        <v>287.198,00</v>
      </c>
      <c r="L6362" s="6" t="str">
        <f>"71.799,50"</f>
        <v>71.799,50</v>
      </c>
      <c r="M6362" s="6" t="str">
        <f>"358.997,50"</f>
        <v>358.997,50</v>
      </c>
      <c r="N6362" s="7"/>
      <c r="O6362" s="9">
        <v>43623</v>
      </c>
      <c r="P6362" s="2" t="s">
        <v>5614</v>
      </c>
      <c r="Q6362" s="7"/>
      <c r="R6362" s="1"/>
      <c r="S6362" s="1" t="str">
        <f>"N-B-205/16"</f>
        <v>N-B-205/16</v>
      </c>
      <c r="T6362" s="1" t="s">
        <v>55</v>
      </c>
    </row>
    <row r="6363" spans="1:20" ht="127.5" x14ac:dyDescent="0.25">
      <c r="A6363" s="6">
        <v>6342</v>
      </c>
      <c r="B6363" s="1" t="str">
        <f>"2016-2288"</f>
        <v>2016-2288</v>
      </c>
      <c r="C6363" s="1" t="s">
        <v>4839</v>
      </c>
      <c r="D6363" s="1" t="s">
        <v>941</v>
      </c>
      <c r="E6363" s="1" t="str">
        <f>""</f>
        <v/>
      </c>
      <c r="F6363" s="1" t="s">
        <v>1860</v>
      </c>
      <c r="G6363" s="1"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6363" s="1" t="str">
        <f>CONCATENATE("DRDALIĆ GRADNJA,"," OBRT ZA GRAĐEVINARSTVO I PRIJEVOZ,"," OIB: 08304207328",CHAR(10),"GEO MEDIA D.O.O.,"," OIB: 63264844366")</f>
        <v>DRDALIĆ GRADNJA, OBRT ZA GRAĐEVINARSTVO I PRIJEVOZ, OIB: 08304207328
GEO MEDIA D.O.O., OIB: 63264844366</v>
      </c>
      <c r="I6363" s="8" t="s">
        <v>3642</v>
      </c>
      <c r="J6363" s="8" t="s">
        <v>3635</v>
      </c>
      <c r="K6363" s="6" t="str">
        <f>"296.928,00"</f>
        <v>296.928,00</v>
      </c>
      <c r="L6363" s="6" t="str">
        <f>"74.232,00"</f>
        <v>74.232,00</v>
      </c>
      <c r="M6363" s="6" t="str">
        <f>"371.160,00"</f>
        <v>371.160,00</v>
      </c>
      <c r="N6363" s="8" t="s">
        <v>124</v>
      </c>
      <c r="O6363" s="7"/>
      <c r="P6363" s="2" t="s">
        <v>5614</v>
      </c>
      <c r="Q6363" s="7"/>
      <c r="R6363" s="1"/>
      <c r="S6363" s="1" t="str">
        <f>"N-B-206/16"</f>
        <v>N-B-206/16</v>
      </c>
      <c r="T6363" s="1" t="s">
        <v>55</v>
      </c>
    </row>
    <row r="6364" spans="1:20" ht="63.75" x14ac:dyDescent="0.25">
      <c r="A6364" s="6">
        <v>6343</v>
      </c>
      <c r="B6364" s="1" t="str">
        <f>"2016-2293"</f>
        <v>2016-2293</v>
      </c>
      <c r="C6364" s="1" t="s">
        <v>4840</v>
      </c>
      <c r="D6364" s="1" t="s">
        <v>941</v>
      </c>
      <c r="E6364" s="1" t="str">
        <f>""</f>
        <v/>
      </c>
      <c r="F6364" s="1" t="s">
        <v>1860</v>
      </c>
      <c r="G6364" s="1" t="str">
        <f>CONCATENATE(" GKT-GRADIN D.O.O.,"," DONJE SVETICE 89,"," 10000 ZAGREB,"," OIB: 9169211495")</f>
        <v xml:space="preserve"> GKT-GRADIN D.O.O., DONJE SVETICE 89, 10000 ZAGREB, OIB: 9169211495</v>
      </c>
      <c r="H6364" s="7"/>
      <c r="I6364" s="8" t="s">
        <v>3642</v>
      </c>
      <c r="J6364" s="8" t="s">
        <v>3635</v>
      </c>
      <c r="K6364" s="6" t="str">
        <f>"191.771,00"</f>
        <v>191.771,00</v>
      </c>
      <c r="L6364" s="6" t="str">
        <f>"47.942,75"</f>
        <v>47.942,75</v>
      </c>
      <c r="M6364" s="6" t="str">
        <f>"239.713,75"</f>
        <v>239.713,75</v>
      </c>
      <c r="N6364" s="8" t="s">
        <v>4748</v>
      </c>
      <c r="O6364" s="7"/>
      <c r="P6364" s="2" t="s">
        <v>8758</v>
      </c>
      <c r="Q6364" s="7"/>
      <c r="R6364" s="1"/>
      <c r="S6364" s="1" t="str">
        <f>"N-B-207/16"</f>
        <v>N-B-207/16</v>
      </c>
      <c r="T6364" s="1" t="s">
        <v>55</v>
      </c>
    </row>
    <row r="6365" spans="1:20" ht="63.75" x14ac:dyDescent="0.25">
      <c r="A6365" s="6">
        <v>6344</v>
      </c>
      <c r="B6365" s="1" t="str">
        <f>"2016-2785"</f>
        <v>2016-2785</v>
      </c>
      <c r="C6365" s="1" t="s">
        <v>4841</v>
      </c>
      <c r="D6365" s="1" t="s">
        <v>1125</v>
      </c>
      <c r="E6365" s="1" t="str">
        <f>""</f>
        <v/>
      </c>
      <c r="F6365" s="1" t="s">
        <v>1860</v>
      </c>
      <c r="G6365" s="1" t="str">
        <f>CONCATENATE(" BOLČEVIĆ-GRADNJA D.O.O.,"," DUGOSELSKA CESTA 56,"," 10361 SESVETSKI KRALJEVEC,"," OIB: 520986705")</f>
        <v xml:space="preserve"> BOLČEVIĆ-GRADNJA D.O.O., DUGOSELSKA CESTA 56, 10361 SESVETSKI KRALJEVEC, OIB: 520986705</v>
      </c>
      <c r="H6365" s="1" t="str">
        <f>CONCATENATE("M G V D.O.O.,"," OIB: 72602155595")</f>
        <v>M G V D.O.O., OIB: 72602155595</v>
      </c>
      <c r="I6365" s="8" t="s">
        <v>4842</v>
      </c>
      <c r="J6365" s="8" t="s">
        <v>3786</v>
      </c>
      <c r="K6365" s="6" t="str">
        <f>"347.725,00"</f>
        <v>347.725,00</v>
      </c>
      <c r="L6365" s="6" t="str">
        <f>"86.931,25"</f>
        <v>86.931,25</v>
      </c>
      <c r="M6365" s="6" t="str">
        <f>"434.656,25"</f>
        <v>434.656,25</v>
      </c>
      <c r="N6365" s="8" t="s">
        <v>124</v>
      </c>
      <c r="O6365" s="7"/>
      <c r="P6365" s="2" t="s">
        <v>5614</v>
      </c>
      <c r="Q6365" s="7"/>
      <c r="R6365" s="1"/>
      <c r="S6365" s="1" t="str">
        <f>"N-B-209/16"</f>
        <v>N-B-209/16</v>
      </c>
      <c r="T6365" s="1" t="s">
        <v>55</v>
      </c>
    </row>
    <row r="6366" spans="1:20" ht="51" x14ac:dyDescent="0.25">
      <c r="A6366" s="6">
        <v>6345</v>
      </c>
      <c r="B6366" s="1" t="str">
        <f>"2016-2277"</f>
        <v>2016-2277</v>
      </c>
      <c r="C6366" s="1" t="s">
        <v>4843</v>
      </c>
      <c r="D6366" s="1" t="s">
        <v>941</v>
      </c>
      <c r="E6366" s="1" t="str">
        <f>""</f>
        <v/>
      </c>
      <c r="F6366" s="1" t="s">
        <v>1860</v>
      </c>
      <c r="G6366" s="1" t="str">
        <f>CONCATENATE(" INSTAL-PROM D.O.O.,"," LJUTOMERSKA 33A,"," 10040 ZAGREB,"," OIB: 21231984689")</f>
        <v xml:space="preserve"> INSTAL-PROM D.O.O., LJUTOMERSKA 33A, 10040 ZAGREB, OIB: 21231984689</v>
      </c>
      <c r="H6366" s="1" t="str">
        <f>CONCATENATE("GEO 6 D.O.O.,"," OIB: 56516261347")</f>
        <v>GEO 6 D.O.O., OIB: 56516261347</v>
      </c>
      <c r="I6366" s="8" t="s">
        <v>4844</v>
      </c>
      <c r="J6366" s="8" t="s">
        <v>4845</v>
      </c>
      <c r="K6366" s="6" t="str">
        <f>"170.534,40"</f>
        <v>170.534,40</v>
      </c>
      <c r="L6366" s="6" t="str">
        <f>"42.633,60"</f>
        <v>42.633,60</v>
      </c>
      <c r="M6366" s="6" t="str">
        <f>"213.168,00"</f>
        <v>213.168,00</v>
      </c>
      <c r="N6366" s="8" t="s">
        <v>4846</v>
      </c>
      <c r="O6366" s="7"/>
      <c r="P6366" s="2" t="s">
        <v>8759</v>
      </c>
      <c r="Q6366" s="7"/>
      <c r="R6366" s="1"/>
      <c r="S6366" s="1" t="str">
        <f>"N-B-210/16"</f>
        <v>N-B-210/16</v>
      </c>
      <c r="T6366" s="1" t="s">
        <v>55</v>
      </c>
    </row>
    <row r="6367" spans="1:20" ht="63.75" x14ac:dyDescent="0.25">
      <c r="A6367" s="6">
        <v>6346</v>
      </c>
      <c r="B6367" s="1" t="str">
        <f>"2016-2042"</f>
        <v>2016-2042</v>
      </c>
      <c r="C6367" s="1" t="s">
        <v>4847</v>
      </c>
      <c r="D6367" s="1" t="s">
        <v>1979</v>
      </c>
      <c r="E6367" s="1" t="str">
        <f>""</f>
        <v/>
      </c>
      <c r="F6367" s="1" t="s">
        <v>1860</v>
      </c>
      <c r="G6367" s="1" t="str">
        <f>CONCATENATE(" HIDROKONZALT PROJEKTIRANJE D.O.O.,"," KRALJA ZVONIMIRA 60,"," 21210 SOLIN,"," OIB: 32472397445")</f>
        <v xml:space="preserve"> HIDROKONZALT PROJEKTIRANJE D.O.O., KRALJA ZVONIMIRA 60, 21210 SOLIN, OIB: 32472397445</v>
      </c>
      <c r="H6367" s="7"/>
      <c r="I6367" s="8" t="s">
        <v>4848</v>
      </c>
      <c r="J6367" s="8" t="s">
        <v>4849</v>
      </c>
      <c r="K6367" s="6" t="str">
        <f>"42.000,00"</f>
        <v>42.000,00</v>
      </c>
      <c r="L6367" s="6" t="str">
        <f>"10.500,00"</f>
        <v>10.500,00</v>
      </c>
      <c r="M6367" s="6" t="str">
        <f>"52.500,00"</f>
        <v>52.500,00</v>
      </c>
      <c r="N6367" s="8" t="s">
        <v>124</v>
      </c>
      <c r="O6367" s="7"/>
      <c r="P6367" s="2" t="s">
        <v>5614</v>
      </c>
      <c r="Q6367" s="7"/>
      <c r="R6367" s="1"/>
      <c r="S6367" s="1" t="str">
        <f>"N-B-211/16"</f>
        <v>N-B-211/16</v>
      </c>
      <c r="T6367" s="1" t="s">
        <v>55</v>
      </c>
    </row>
    <row r="6368" spans="1:20" ht="51" x14ac:dyDescent="0.25">
      <c r="A6368" s="6">
        <v>6347</v>
      </c>
      <c r="B6368" s="1" t="str">
        <f>"2016-2295"</f>
        <v>2016-2295</v>
      </c>
      <c r="C6368" s="1" t="s">
        <v>4850</v>
      </c>
      <c r="D6368" s="1" t="s">
        <v>941</v>
      </c>
      <c r="E6368" s="1" t="str">
        <f>""</f>
        <v/>
      </c>
      <c r="F6368" s="1" t="s">
        <v>1860</v>
      </c>
      <c r="G6368" s="1" t="str">
        <f>CONCATENATE(" INSTAL-PROM D.O.O.,"," LJUTOMERSKA 33A,"," 10040 ZAGREB,"," OIB: 21231984689")</f>
        <v xml:space="preserve"> INSTAL-PROM D.O.O., LJUTOMERSKA 33A, 10040 ZAGREB, OIB: 21231984689</v>
      </c>
      <c r="H6368" s="1" t="str">
        <f>CONCATENATE("GEO 6 D.O.O.,"," OIB: 56516261347")</f>
        <v>GEO 6 D.O.O., OIB: 56516261347</v>
      </c>
      <c r="I6368" s="8" t="s">
        <v>4848</v>
      </c>
      <c r="J6368" s="8" t="s">
        <v>4849</v>
      </c>
      <c r="K6368" s="6" t="str">
        <f>"101.614,80"</f>
        <v>101.614,80</v>
      </c>
      <c r="L6368" s="6" t="str">
        <f>"25.403,70"</f>
        <v>25.403,70</v>
      </c>
      <c r="M6368" s="6" t="str">
        <f>"127.018,50"</f>
        <v>127.018,50</v>
      </c>
      <c r="N6368" s="8" t="s">
        <v>1959</v>
      </c>
      <c r="O6368" s="7"/>
      <c r="P6368" s="2" t="s">
        <v>8760</v>
      </c>
      <c r="Q6368" s="7"/>
      <c r="R6368" s="1"/>
      <c r="S6368" s="1" t="str">
        <f>"N-B-212/16"</f>
        <v>N-B-212/16</v>
      </c>
      <c r="T6368" s="1" t="s">
        <v>55</v>
      </c>
    </row>
    <row r="6369" spans="1:20" ht="51" x14ac:dyDescent="0.25">
      <c r="A6369" s="6">
        <v>6348</v>
      </c>
      <c r="B6369" s="1" t="str">
        <f>"2016-2044"</f>
        <v>2016-2044</v>
      </c>
      <c r="C6369" s="1" t="s">
        <v>4851</v>
      </c>
      <c r="D6369" s="1" t="s">
        <v>1979</v>
      </c>
      <c r="E6369" s="1" t="str">
        <f>""</f>
        <v/>
      </c>
      <c r="F6369" s="1" t="s">
        <v>1860</v>
      </c>
      <c r="G6369" s="1" t="str">
        <f>CONCATENATE(" D.I.A.T. D.O.O.,"," JABLANOVEČKA 37,"," 10 000 ZAGREB,"," OIB: 22889869555")</f>
        <v xml:space="preserve"> D.I.A.T. D.O.O., JABLANOVEČKA 37, 10 000 ZAGREB, OIB: 22889869555</v>
      </c>
      <c r="H6369" s="1" t="str">
        <f>CONCATENATE("MJERNIK-LIMA D.O.O.,"," OIB: 00496607907")</f>
        <v>MJERNIK-LIMA D.O.O., OIB: 00496607907</v>
      </c>
      <c r="I6369" s="8" t="s">
        <v>4852</v>
      </c>
      <c r="J6369" s="8" t="s">
        <v>97</v>
      </c>
      <c r="K6369" s="6" t="str">
        <f>"47.750,00"</f>
        <v>47.750,00</v>
      </c>
      <c r="L6369" s="6" t="str">
        <f>"11.937,50"</f>
        <v>11.937,50</v>
      </c>
      <c r="M6369" s="6" t="str">
        <f>"59.687,50"</f>
        <v>59.687,50</v>
      </c>
      <c r="N6369" s="8" t="s">
        <v>124</v>
      </c>
      <c r="O6369" s="7"/>
      <c r="P6369" s="2" t="s">
        <v>5614</v>
      </c>
      <c r="Q6369" s="7"/>
      <c r="R6369" s="1"/>
      <c r="S6369" s="1" t="str">
        <f>"N-B-214/16"</f>
        <v>N-B-214/16</v>
      </c>
      <c r="T6369" s="1" t="s">
        <v>55</v>
      </c>
    </row>
    <row r="6370" spans="1:20" ht="51" x14ac:dyDescent="0.25">
      <c r="A6370" s="6">
        <v>6349</v>
      </c>
      <c r="B6370" s="1" t="str">
        <f>"2016-1892"</f>
        <v>2016-1892</v>
      </c>
      <c r="C6370" s="1" t="s">
        <v>4853</v>
      </c>
      <c r="D6370" s="1" t="s">
        <v>1111</v>
      </c>
      <c r="E6370" s="1" t="str">
        <f>""</f>
        <v/>
      </c>
      <c r="F6370" s="1" t="s">
        <v>1860</v>
      </c>
      <c r="G6370" s="1" t="str">
        <f>CONCATENATE(" NEVING D.O.O.,"," PAVLA RADIĆA 3,"," 10000 ZAGREB,"," OIB: 70989676533")</f>
        <v xml:space="preserve"> NEVING D.O.O., PAVLA RADIĆA 3, 10000 ZAGREB, OIB: 70989676533</v>
      </c>
      <c r="H6370" s="1" t="str">
        <f>CONCATENATE("GEO GRUPA D.O.O.,"," OIB: 56055678342")</f>
        <v>GEO GRUPA D.O.O., OIB: 56055678342</v>
      </c>
      <c r="I6370" s="8" t="s">
        <v>3776</v>
      </c>
      <c r="J6370" s="8" t="s">
        <v>3777</v>
      </c>
      <c r="K6370" s="6" t="str">
        <f>"383.251,32"</f>
        <v>383.251,32</v>
      </c>
      <c r="L6370" s="6" t="str">
        <f>"95.812,83"</f>
        <v>95.812,83</v>
      </c>
      <c r="M6370" s="6" t="str">
        <f>"479.064,15"</f>
        <v>479.064,15</v>
      </c>
      <c r="N6370" s="8" t="s">
        <v>3764</v>
      </c>
      <c r="O6370" s="7"/>
      <c r="P6370" s="2" t="s">
        <v>8761</v>
      </c>
      <c r="Q6370" s="7"/>
      <c r="R6370" s="1"/>
      <c r="S6370" s="1" t="str">
        <f>"N-B-215/16"</f>
        <v>N-B-215/16</v>
      </c>
      <c r="T6370" s="1" t="s">
        <v>55</v>
      </c>
    </row>
    <row r="6371" spans="1:20" ht="293.25" x14ac:dyDescent="0.25">
      <c r="A6371" s="6">
        <v>6350</v>
      </c>
      <c r="B6371" s="1" t="str">
        <f>"2016-3051"</f>
        <v>2016-3051</v>
      </c>
      <c r="C6371" s="1" t="s">
        <v>4854</v>
      </c>
      <c r="D6371" s="1" t="s">
        <v>941</v>
      </c>
      <c r="E6371" s="1" t="str">
        <f>""</f>
        <v/>
      </c>
      <c r="F6371" s="1" t="s">
        <v>1860</v>
      </c>
      <c r="G6371" s="1" t="str">
        <f>CONCATENATE("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f>
        <v xml:space="preserve"> KINDER GRADNJA D.O.O., SELSKA 57, 10360 SESVETE, OIB: 71001411174 AMB GRADNJA D.O.O. PRILAZ BARUNA FILIPOVIĆA 15, 10000 ZAGREB, OIB: 85272651470 KINDER GRADNJA D.O.O., SELSKA 57, 10360 SESVETE, OIB: 71001411174 GEORAD D.O.O. KORNATSKA 1, 10000 ZAGREB, OIB: 49756748234 KINDER GRADNJA D.O.O., SELSKA 57, 10360 SESVETE, OIB: 71001411174 INSTAL-PROM D.O.O. LJUTOMERSKA 33A, 10040 ZAGREB, OIB: 21231984689</v>
      </c>
      <c r="H6371" s="7"/>
      <c r="I6371" s="8" t="s">
        <v>4855</v>
      </c>
      <c r="J6371" s="8" t="s">
        <v>3879</v>
      </c>
      <c r="K6371" s="6" t="str">
        <f>"479.045,00"</f>
        <v>479.045,00</v>
      </c>
      <c r="L6371" s="6" t="str">
        <f>"119.761,25"</f>
        <v>119.761,25</v>
      </c>
      <c r="M6371" s="6" t="str">
        <f>"598.806,25"</f>
        <v>598.806,25</v>
      </c>
      <c r="N6371" s="8" t="s">
        <v>124</v>
      </c>
      <c r="O6371" s="7"/>
      <c r="P6371" s="2" t="s">
        <v>5614</v>
      </c>
      <c r="Q6371" s="7"/>
      <c r="R6371" s="1"/>
      <c r="S6371" s="1" t="str">
        <f>"N-B-221/16"</f>
        <v>N-B-221/16</v>
      </c>
      <c r="T6371" s="1" t="s">
        <v>55</v>
      </c>
    </row>
    <row r="6372" spans="1:20" ht="63.75" x14ac:dyDescent="0.25">
      <c r="A6372" s="6">
        <v>6351</v>
      </c>
      <c r="B6372" s="1" t="str">
        <f>"2016-2414"</f>
        <v>2016-2414</v>
      </c>
      <c r="C6372" s="1" t="s">
        <v>4856</v>
      </c>
      <c r="D6372" s="1" t="s">
        <v>2057</v>
      </c>
      <c r="E6372" s="1" t="str">
        <f>""</f>
        <v/>
      </c>
      <c r="F6372" s="1" t="s">
        <v>1860</v>
      </c>
      <c r="G6372" s="1" t="str">
        <f>CONCATENATE(" SEDRA CONSULTING D.O.O.,"," USKOPSKA 11,"," 10010 ZAGREB,"," OIB: 09177957072")</f>
        <v xml:space="preserve"> SEDRA CONSULTING D.O.O., USKOPSKA 11, 10010 ZAGREB, OIB: 09177957072</v>
      </c>
      <c r="H6372" s="7"/>
      <c r="I6372" s="8" t="s">
        <v>4724</v>
      </c>
      <c r="J6372" s="8" t="s">
        <v>4857</v>
      </c>
      <c r="K6372" s="6" t="str">
        <f>"79.000,00"</f>
        <v>79.000,00</v>
      </c>
      <c r="L6372" s="6" t="str">
        <f>"19.750,00"</f>
        <v>19.750,00</v>
      </c>
      <c r="M6372" s="6" t="str">
        <f>"98.750,00"</f>
        <v>98.750,00</v>
      </c>
      <c r="N6372" s="8" t="s">
        <v>124</v>
      </c>
      <c r="O6372" s="7"/>
      <c r="P6372" s="2" t="s">
        <v>5614</v>
      </c>
      <c r="Q6372" s="7"/>
      <c r="R6372" s="1"/>
      <c r="S6372" s="1" t="str">
        <f>"N-B-224/16"</f>
        <v>N-B-224/16</v>
      </c>
      <c r="T6372" s="1" t="s">
        <v>55</v>
      </c>
    </row>
    <row r="6373" spans="1:20" ht="76.5" x14ac:dyDescent="0.25">
      <c r="A6373" s="6">
        <v>6352</v>
      </c>
      <c r="B6373" s="1" t="str">
        <f>"2016-2978"</f>
        <v>2016-2978</v>
      </c>
      <c r="C6373" s="1" t="s">
        <v>4858</v>
      </c>
      <c r="D6373" s="1" t="s">
        <v>1979</v>
      </c>
      <c r="E6373" s="1" t="str">
        <f>""</f>
        <v/>
      </c>
      <c r="F6373" s="1" t="s">
        <v>1860</v>
      </c>
      <c r="G6373" s="1" t="str">
        <f>CONCATENATE(" ARHINGTRADE D.O.O.,"," GAJEVA 47,"," 10000 ZAGREB,"," OIB: 19240285746")</f>
        <v xml:space="preserve"> ARHINGTRADE D.O.O., GAJEVA 47, 10000 ZAGREB, OIB: 19240285746</v>
      </c>
      <c r="H6373" s="1" t="str">
        <f>CONCATENATE("PROMJER D.O.O.,"," OIB: 72919419273")</f>
        <v>PROMJER D.O.O., OIB: 72919419273</v>
      </c>
      <c r="I6373" s="8" t="s">
        <v>4859</v>
      </c>
      <c r="J6373" s="8" t="s">
        <v>3840</v>
      </c>
      <c r="K6373" s="6" t="str">
        <f>"87.000,00"</f>
        <v>87.000,00</v>
      </c>
      <c r="L6373" s="6" t="str">
        <f>"21.750,00"</f>
        <v>21.750,00</v>
      </c>
      <c r="M6373" s="6" t="str">
        <f>"108.750,00"</f>
        <v>108.750,00</v>
      </c>
      <c r="N6373" s="8" t="s">
        <v>124</v>
      </c>
      <c r="O6373" s="7"/>
      <c r="P6373" s="2" t="s">
        <v>5614</v>
      </c>
      <c r="Q6373" s="7"/>
      <c r="R6373" s="1"/>
      <c r="S6373" s="1" t="str">
        <f>"N-B-225/16"</f>
        <v>N-B-225/16</v>
      </c>
      <c r="T6373" s="1" t="s">
        <v>55</v>
      </c>
    </row>
    <row r="6374" spans="1:20" ht="51" x14ac:dyDescent="0.25">
      <c r="A6374" s="6">
        <v>6353</v>
      </c>
      <c r="B6374" s="1" t="str">
        <f>"2016-2955"</f>
        <v>2016-2955</v>
      </c>
      <c r="C6374" s="1" t="s">
        <v>4860</v>
      </c>
      <c r="D6374" s="1" t="s">
        <v>1979</v>
      </c>
      <c r="E6374" s="1" t="str">
        <f>""</f>
        <v/>
      </c>
      <c r="F6374" s="1" t="s">
        <v>1860</v>
      </c>
      <c r="G6374" s="1" t="str">
        <f>CONCATENATE(" ARHINGTRADE D.O.O.,"," GAJEVA 47,"," 10000 ZAGREB,"," OIB: 19240285746")</f>
        <v xml:space="preserve"> ARHINGTRADE D.O.O., GAJEVA 47, 10000 ZAGREB, OIB: 19240285746</v>
      </c>
      <c r="H6374" s="7"/>
      <c r="I6374" s="8" t="s">
        <v>4859</v>
      </c>
      <c r="J6374" s="8" t="s">
        <v>3840</v>
      </c>
      <c r="K6374" s="6" t="str">
        <f>"63.000,00"</f>
        <v>63.000,00</v>
      </c>
      <c r="L6374" s="6" t="str">
        <f>"15.750,00"</f>
        <v>15.750,00</v>
      </c>
      <c r="M6374" s="6" t="str">
        <f>"78.750,00"</f>
        <v>78.750,00</v>
      </c>
      <c r="N6374" s="8" t="s">
        <v>124</v>
      </c>
      <c r="O6374" s="7"/>
      <c r="P6374" s="2" t="s">
        <v>5614</v>
      </c>
      <c r="Q6374" s="7"/>
      <c r="R6374" s="1"/>
      <c r="S6374" s="1" t="str">
        <f>"N-B-226/16"</f>
        <v>N-B-226/16</v>
      </c>
      <c r="T6374" s="1" t="s">
        <v>55</v>
      </c>
    </row>
    <row r="6375" spans="1:20" ht="76.5" x14ac:dyDescent="0.25">
      <c r="A6375" s="6">
        <v>6354</v>
      </c>
      <c r="B6375" s="1" t="str">
        <f>"2016-2003"</f>
        <v>2016-2003</v>
      </c>
      <c r="C6375" s="1" t="s">
        <v>4861</v>
      </c>
      <c r="D6375" s="1" t="s">
        <v>1979</v>
      </c>
      <c r="E6375" s="1" t="str">
        <f>""</f>
        <v/>
      </c>
      <c r="F6375" s="1" t="s">
        <v>1860</v>
      </c>
      <c r="G6375" s="1" t="str">
        <f>CONCATENATE(" PROJEKTNI BIRO NAGLIĆ D.O.O.,"," OLIBSKA 17,"," 10000 ZAGREB,"," OIB: 18216105743")</f>
        <v xml:space="preserve"> PROJEKTNI BIRO NAGLIĆ D.O.O., OLIBSKA 17, 10000 ZAGREB, OIB: 18216105743</v>
      </c>
      <c r="H6375" s="7"/>
      <c r="I6375" s="8" t="s">
        <v>4862</v>
      </c>
      <c r="J6375" s="8" t="s">
        <v>4863</v>
      </c>
      <c r="K6375" s="6" t="str">
        <f>"68.000,00"</f>
        <v>68.000,00</v>
      </c>
      <c r="L6375" s="6" t="str">
        <f>"17.000,00"</f>
        <v>17.000,00</v>
      </c>
      <c r="M6375" s="6" t="str">
        <f>"85.000,00"</f>
        <v>85.000,00</v>
      </c>
      <c r="N6375" s="8" t="s">
        <v>124</v>
      </c>
      <c r="O6375" s="7"/>
      <c r="P6375" s="2" t="s">
        <v>5614</v>
      </c>
      <c r="Q6375" s="7"/>
      <c r="R6375" s="1"/>
      <c r="S6375" s="1" t="str">
        <f>"N-B-231/16"</f>
        <v>N-B-231/16</v>
      </c>
      <c r="T6375" s="1" t="s">
        <v>55</v>
      </c>
    </row>
    <row r="6376" spans="1:20" ht="51" x14ac:dyDescent="0.25">
      <c r="A6376" s="6">
        <v>6355</v>
      </c>
      <c r="B6376" s="1" t="str">
        <f>"2016-3052"</f>
        <v>2016-3052</v>
      </c>
      <c r="C6376" s="1" t="s">
        <v>4864</v>
      </c>
      <c r="D6376" s="1" t="s">
        <v>941</v>
      </c>
      <c r="E6376" s="1" t="str">
        <f>""</f>
        <v/>
      </c>
      <c r="F6376" s="1" t="s">
        <v>1860</v>
      </c>
      <c r="G6376" s="1" t="str">
        <f>CONCATENATE(" M.SOLDO D.O.O.,"," DEBANIĆEVA 39,"," 10000 ZAGREB,"," OIB: 58353605637")</f>
        <v xml:space="preserve"> M.SOLDO D.O.O., DEBANIĆEVA 39, 10000 ZAGREB, OIB: 58353605637</v>
      </c>
      <c r="H6376" s="7"/>
      <c r="I6376" s="8" t="s">
        <v>4865</v>
      </c>
      <c r="J6376" s="8" t="s">
        <v>3795</v>
      </c>
      <c r="K6376" s="6" t="str">
        <f>"461.850,00"</f>
        <v>461.850,00</v>
      </c>
      <c r="L6376" s="6" t="str">
        <f>"115.462,50"</f>
        <v>115.462,50</v>
      </c>
      <c r="M6376" s="6" t="str">
        <f>"577.312,50"</f>
        <v>577.312,50</v>
      </c>
      <c r="N6376" s="8" t="s">
        <v>124</v>
      </c>
      <c r="O6376" s="7"/>
      <c r="P6376" s="2" t="s">
        <v>5614</v>
      </c>
      <c r="Q6376" s="7"/>
      <c r="R6376" s="1"/>
      <c r="S6376" s="1" t="str">
        <f>"N-B-232/16"</f>
        <v>N-B-232/16</v>
      </c>
      <c r="T6376" s="1" t="s">
        <v>55</v>
      </c>
    </row>
    <row r="6377" spans="1:20" ht="51" x14ac:dyDescent="0.25">
      <c r="A6377" s="6">
        <v>6356</v>
      </c>
      <c r="B6377" s="1" t="str">
        <f>"2016-2975"</f>
        <v>2016-2975</v>
      </c>
      <c r="C6377" s="1" t="s">
        <v>4866</v>
      </c>
      <c r="D6377" s="1" t="s">
        <v>1979</v>
      </c>
      <c r="E6377" s="1" t="str">
        <f>""</f>
        <v/>
      </c>
      <c r="F6377" s="1" t="s">
        <v>1860</v>
      </c>
      <c r="G6377" s="1" t="str">
        <f>CONCATENATE(" HIDROEKO D.O.O.,"," STARJAK 52,"," 10257 BREZOVICA,"," OIB: 34889829677")</f>
        <v xml:space="preserve"> HIDROEKO D.O.O., STARJAK 52, 10257 BREZOVICA, OIB: 34889829677</v>
      </c>
      <c r="H6377" s="7"/>
      <c r="I6377" s="8" t="s">
        <v>4867</v>
      </c>
      <c r="J6377" s="8" t="s">
        <v>186</v>
      </c>
      <c r="K6377" s="6" t="str">
        <f>"37.000,00"</f>
        <v>37.000,00</v>
      </c>
      <c r="L6377" s="6" t="str">
        <f>"9.250,00"</f>
        <v>9.250,00</v>
      </c>
      <c r="M6377" s="6" t="str">
        <f>"46.250,00"</f>
        <v>46.250,00</v>
      </c>
      <c r="N6377" s="8" t="s">
        <v>124</v>
      </c>
      <c r="O6377" s="7"/>
      <c r="P6377" s="2" t="s">
        <v>5614</v>
      </c>
      <c r="Q6377" s="7"/>
      <c r="R6377" s="1"/>
      <c r="S6377" s="1" t="str">
        <f>"N-B-233/16"</f>
        <v>N-B-233/16</v>
      </c>
      <c r="T6377" s="1" t="s">
        <v>55</v>
      </c>
    </row>
    <row r="6378" spans="1:20" ht="63.75" x14ac:dyDescent="0.25">
      <c r="A6378" s="6">
        <v>6357</v>
      </c>
      <c r="B6378" s="1" t="str">
        <f>"2016-2985"</f>
        <v>2016-2985</v>
      </c>
      <c r="C6378" s="1" t="s">
        <v>4868</v>
      </c>
      <c r="D6378" s="1" t="s">
        <v>1979</v>
      </c>
      <c r="E6378" s="1" t="str">
        <f>""</f>
        <v/>
      </c>
      <c r="F6378" s="1" t="s">
        <v>1860</v>
      </c>
      <c r="G6378" s="1" t="str">
        <f>CONCATENATE(" EKO-PLAN D.O.O.,"," 2. JAZBINSKI GAJ 1A,"," 10000 ZAGREB,"," OIB: 55034160084")</f>
        <v xml:space="preserve"> EKO-PLAN D.O.O., 2. JAZBINSKI GAJ 1A, 10000 ZAGREB, OIB: 55034160084</v>
      </c>
      <c r="H6378" s="1" t="str">
        <f>CONCATENATE("MJERNIK-LIMA D.O.O.,"," OIB: 00496607907")</f>
        <v>MJERNIK-LIMA D.O.O., OIB: 00496607907</v>
      </c>
      <c r="I6378" s="8" t="s">
        <v>3781</v>
      </c>
      <c r="J6378" s="8" t="s">
        <v>3782</v>
      </c>
      <c r="K6378" s="6" t="str">
        <f>"61.000,00"</f>
        <v>61.000,00</v>
      </c>
      <c r="L6378" s="6" t="str">
        <f>"15.250,00"</f>
        <v>15.250,00</v>
      </c>
      <c r="M6378" s="6" t="str">
        <f>"76.250,00"</f>
        <v>76.250,00</v>
      </c>
      <c r="N6378" s="8" t="s">
        <v>124</v>
      </c>
      <c r="O6378" s="7"/>
      <c r="P6378" s="2" t="s">
        <v>5614</v>
      </c>
      <c r="Q6378" s="7"/>
      <c r="R6378" s="1"/>
      <c r="S6378" s="1" t="str">
        <f>"N-B-237/16"</f>
        <v>N-B-237/16</v>
      </c>
      <c r="T6378" s="1" t="s">
        <v>55</v>
      </c>
    </row>
    <row r="6379" spans="1:20" ht="63.75" x14ac:dyDescent="0.25">
      <c r="A6379" s="6">
        <v>6358</v>
      </c>
      <c r="B6379" s="1" t="str">
        <f>"2016-2977"</f>
        <v>2016-2977</v>
      </c>
      <c r="C6379" s="1" t="s">
        <v>4869</v>
      </c>
      <c r="D6379" s="1" t="s">
        <v>1979</v>
      </c>
      <c r="E6379" s="1" t="str">
        <f>""</f>
        <v/>
      </c>
      <c r="F6379" s="1" t="s">
        <v>1860</v>
      </c>
      <c r="G6379" s="1" t="str">
        <f>CONCATENATE(" STRUCTURA PLAN D.O.O.,"," V. KLAIĆA 3,"," 10360 SESVETE,"," POPOVEC,"," OIB: 02792985387")</f>
        <v xml:space="preserve"> STRUCTURA PLAN D.O.O., V. KLAIĆA 3, 10360 SESVETE, POPOVEC, OIB: 02792985387</v>
      </c>
      <c r="H6379" s="1" t="str">
        <f>CONCATENATE("GEO ROLO J.D.O.O.,"," OIB: 89698831318")</f>
        <v>GEO ROLO J.D.O.O., OIB: 89698831318</v>
      </c>
      <c r="I6379" s="8" t="s">
        <v>4867</v>
      </c>
      <c r="J6379" s="8" t="s">
        <v>186</v>
      </c>
      <c r="K6379" s="6" t="str">
        <f>"62.280,00"</f>
        <v>62.280,00</v>
      </c>
      <c r="L6379" s="6" t="str">
        <f>"15.570,00"</f>
        <v>15.570,00</v>
      </c>
      <c r="M6379" s="6" t="str">
        <f>"77.850,00"</f>
        <v>77.850,00</v>
      </c>
      <c r="N6379" s="8" t="s">
        <v>124</v>
      </c>
      <c r="O6379" s="7"/>
      <c r="P6379" s="2" t="s">
        <v>5614</v>
      </c>
      <c r="Q6379" s="7"/>
      <c r="R6379" s="1"/>
      <c r="S6379" s="1" t="str">
        <f>"N-B-238/16"</f>
        <v>N-B-238/16</v>
      </c>
      <c r="T6379" s="1" t="s">
        <v>55</v>
      </c>
    </row>
    <row r="6380" spans="1:20" ht="63.75" x14ac:dyDescent="0.25">
      <c r="A6380" s="6">
        <v>6359</v>
      </c>
      <c r="B6380" s="1" t="str">
        <f>"2016-2029"</f>
        <v>2016-2029</v>
      </c>
      <c r="C6380" s="1" t="s">
        <v>4870</v>
      </c>
      <c r="D6380" s="1" t="s">
        <v>1979</v>
      </c>
      <c r="E6380" s="1" t="str">
        <f>""</f>
        <v/>
      </c>
      <c r="F6380" s="1" t="s">
        <v>1860</v>
      </c>
      <c r="G6380" s="1" t="str">
        <f>CONCATENATE(" ARHINGTRADE D.O.O.,"," GAJEVA 47,"," 10000 ZAGREB,"," OIB: 19240285746")</f>
        <v xml:space="preserve"> ARHINGTRADE D.O.O., GAJEVA 47, 10000 ZAGREB, OIB: 19240285746</v>
      </c>
      <c r="H6380" s="1" t="str">
        <f>CONCATENATE("PROMJER D.O.O.,"," OIB: 72919419273")</f>
        <v>PROMJER D.O.O., OIB: 72919419273</v>
      </c>
      <c r="I6380" s="8" t="s">
        <v>4871</v>
      </c>
      <c r="J6380" s="8" t="s">
        <v>115</v>
      </c>
      <c r="K6380" s="6" t="str">
        <f>"74.000,00"</f>
        <v>74.000,00</v>
      </c>
      <c r="L6380" s="6" t="str">
        <f>"18.500,00"</f>
        <v>18.500,00</v>
      </c>
      <c r="M6380" s="6" t="str">
        <f>"92.500,00"</f>
        <v>92.500,00</v>
      </c>
      <c r="N6380" s="8" t="s">
        <v>124</v>
      </c>
      <c r="O6380" s="7"/>
      <c r="P6380" s="2" t="s">
        <v>5614</v>
      </c>
      <c r="Q6380" s="7"/>
      <c r="R6380" s="1"/>
      <c r="S6380" s="1" t="str">
        <f>"N-B-239/16"</f>
        <v>N-B-239/16</v>
      </c>
      <c r="T6380" s="1" t="s">
        <v>55</v>
      </c>
    </row>
    <row r="6381" spans="1:20" ht="51" x14ac:dyDescent="0.25">
      <c r="A6381" s="6">
        <v>6360</v>
      </c>
      <c r="B6381" s="1" t="str">
        <f>"2016-1935"</f>
        <v>2016-1935</v>
      </c>
      <c r="C6381" s="1" t="s">
        <v>4872</v>
      </c>
      <c r="D6381" s="1" t="s">
        <v>941</v>
      </c>
      <c r="E6381" s="1" t="str">
        <f>""</f>
        <v/>
      </c>
      <c r="F6381" s="1" t="s">
        <v>1860</v>
      </c>
      <c r="G6381" s="1" t="str">
        <f>CONCATENATE(" TEMEX D.O.O.,"," JANUŠEVEČKA 11,"," 10000 ZAGREB,"," OIB: 89610149986")</f>
        <v xml:space="preserve"> TEMEX D.O.O., JANUŠEVEČKA 11, 10000 ZAGREB, OIB: 89610149986</v>
      </c>
      <c r="H6381" s="7"/>
      <c r="I6381" s="8" t="s">
        <v>4873</v>
      </c>
      <c r="J6381" s="8" t="s">
        <v>4874</v>
      </c>
      <c r="K6381" s="6" t="str">
        <f>"369.528,81"</f>
        <v>369.528,81</v>
      </c>
      <c r="L6381" s="6" t="str">
        <f>"92.382,20"</f>
        <v>92.382,20</v>
      </c>
      <c r="M6381" s="6" t="str">
        <f>"461.911,01"</f>
        <v>461.911,01</v>
      </c>
      <c r="N6381" s="7"/>
      <c r="O6381" s="9">
        <v>43584</v>
      </c>
      <c r="P6381" s="2" t="s">
        <v>5614</v>
      </c>
      <c r="Q6381" s="7"/>
      <c r="R6381" s="1"/>
      <c r="S6381" s="1" t="str">
        <f>"N-B-241/16"</f>
        <v>N-B-241/16</v>
      </c>
      <c r="T6381" s="1" t="s">
        <v>55</v>
      </c>
    </row>
    <row r="6382" spans="1:20" ht="51" x14ac:dyDescent="0.25">
      <c r="A6382" s="6">
        <v>6361</v>
      </c>
      <c r="B6382" s="1" t="str">
        <f>"2016-3023"</f>
        <v>2016-3023</v>
      </c>
      <c r="C6382" s="1" t="s">
        <v>4875</v>
      </c>
      <c r="D6382" s="1" t="s">
        <v>1125</v>
      </c>
      <c r="E6382" s="1" t="str">
        <f>""</f>
        <v/>
      </c>
      <c r="F6382" s="1" t="s">
        <v>1860</v>
      </c>
      <c r="G6382" s="1" t="str">
        <f>CONCATENATE(" SKEN - MONT D.O.O.,"," GAJEVA 62,"," 10430 SAMOBOR,"," OIB: 29785127309")</f>
        <v xml:space="preserve"> SKEN - MONT D.O.O., GAJEVA 62, 10430 SAMOBOR, OIB: 29785127309</v>
      </c>
      <c r="H6382" s="1" t="str">
        <f>CONCATENATE("DAGOR D.O.O.,"," OIB: 50966188893")</f>
        <v>DAGOR D.O.O., OIB: 50966188893</v>
      </c>
      <c r="I6382" s="8" t="s">
        <v>4876</v>
      </c>
      <c r="J6382" s="8" t="s">
        <v>4651</v>
      </c>
      <c r="K6382" s="6" t="str">
        <f>"345.688,90"</f>
        <v>345.688,90</v>
      </c>
      <c r="L6382" s="6" t="str">
        <f>"86.422,22"</f>
        <v>86.422,22</v>
      </c>
      <c r="M6382" s="6" t="str">
        <f>"432.111,12"</f>
        <v>432.111,12</v>
      </c>
      <c r="N6382" s="8" t="s">
        <v>3695</v>
      </c>
      <c r="O6382" s="7"/>
      <c r="P6382" s="2" t="s">
        <v>8762</v>
      </c>
      <c r="Q6382" s="7"/>
      <c r="R6382" s="1"/>
      <c r="S6382" s="1" t="str">
        <f>"N-B-244/16"</f>
        <v>N-B-244/16</v>
      </c>
      <c r="T6382" s="1" t="s">
        <v>55</v>
      </c>
    </row>
    <row r="6383" spans="1:20" ht="51" x14ac:dyDescent="0.25">
      <c r="A6383" s="6">
        <v>6362</v>
      </c>
      <c r="B6383" s="1" t="str">
        <f>"2016-2956"</f>
        <v>2016-2956</v>
      </c>
      <c r="C6383" s="1" t="s">
        <v>4877</v>
      </c>
      <c r="D6383" s="1" t="s">
        <v>1979</v>
      </c>
      <c r="E6383" s="1" t="str">
        <f>""</f>
        <v/>
      </c>
      <c r="F6383" s="1" t="s">
        <v>1860</v>
      </c>
      <c r="G6383" s="1" t="str">
        <f>CONCATENATE(" APZ HIDRIA D.O.O.,"," ZAGREBAČKA 233,"," 10000 ZAGREB,"," OIB: 76901428643")</f>
        <v xml:space="preserve"> APZ HIDRIA D.O.O., ZAGREBAČKA 233, 10000 ZAGREB, OIB: 76901428643</v>
      </c>
      <c r="H6383" s="7"/>
      <c r="I6383" s="8" t="s">
        <v>4876</v>
      </c>
      <c r="J6383" s="8" t="s">
        <v>4651</v>
      </c>
      <c r="K6383" s="6" t="str">
        <f>"87.000,00"</f>
        <v>87.000,00</v>
      </c>
      <c r="L6383" s="6" t="str">
        <f>"21.750,00"</f>
        <v>21.750,00</v>
      </c>
      <c r="M6383" s="6" t="str">
        <f>"108.750,00"</f>
        <v>108.750,00</v>
      </c>
      <c r="N6383" s="8" t="s">
        <v>124</v>
      </c>
      <c r="O6383" s="7"/>
      <c r="P6383" s="2" t="s">
        <v>5614</v>
      </c>
      <c r="Q6383" s="7"/>
      <c r="R6383" s="1"/>
      <c r="S6383" s="1" t="str">
        <f>"N-B-245/16"</f>
        <v>N-B-245/16</v>
      </c>
      <c r="T6383" s="1" t="s">
        <v>55</v>
      </c>
    </row>
    <row r="6384" spans="1:20" ht="102" x14ac:dyDescent="0.25">
      <c r="A6384" s="6">
        <v>6363</v>
      </c>
      <c r="B6384" s="1" t="str">
        <f>"2016-2024"</f>
        <v>2016-2024</v>
      </c>
      <c r="C6384" s="1" t="s">
        <v>3431</v>
      </c>
      <c r="D6384" s="1" t="s">
        <v>1979</v>
      </c>
      <c r="E6384" s="1" t="str">
        <f>""</f>
        <v/>
      </c>
      <c r="F6384" s="1" t="s">
        <v>1860</v>
      </c>
      <c r="G6384" s="1" t="str">
        <f>CONCATENATE(" ARHINGTRADE D.O.O.,"," GAJEVA 47,"," 10000 ZAGREB,"," OIB: 19240285746")</f>
        <v xml:space="preserve"> ARHINGTRADE D.O.O., GAJEVA 47, 10000 ZAGREB, OIB: 19240285746</v>
      </c>
      <c r="H6384" s="7"/>
      <c r="I6384" s="8" t="s">
        <v>4876</v>
      </c>
      <c r="J6384" s="8" t="s">
        <v>4651</v>
      </c>
      <c r="K6384" s="6" t="str">
        <f>"37.000,00"</f>
        <v>37.000,00</v>
      </c>
      <c r="L6384" s="6" t="str">
        <f>"9.250,00"</f>
        <v>9.250,00</v>
      </c>
      <c r="M6384" s="6" t="str">
        <f>"46.250,00"</f>
        <v>46.250,00</v>
      </c>
      <c r="N6384" s="8" t="s">
        <v>124</v>
      </c>
      <c r="O6384" s="7"/>
      <c r="P6384" s="2" t="s">
        <v>5614</v>
      </c>
      <c r="Q6384" s="7"/>
      <c r="R6384" s="1"/>
      <c r="S6384" s="1" t="str">
        <f>"N-B-246/16"</f>
        <v>N-B-246/16</v>
      </c>
      <c r="T6384" s="1" t="s">
        <v>55</v>
      </c>
    </row>
    <row r="6385" spans="1:20" ht="63.75" x14ac:dyDescent="0.25">
      <c r="A6385" s="6">
        <v>6364</v>
      </c>
      <c r="B6385" s="1" t="str">
        <f>"2016-3014"</f>
        <v>2016-3014</v>
      </c>
      <c r="C6385" s="1" t="s">
        <v>4878</v>
      </c>
      <c r="D6385" s="1" t="s">
        <v>941</v>
      </c>
      <c r="E6385" s="1" t="str">
        <f>""</f>
        <v/>
      </c>
      <c r="F6385" s="1" t="s">
        <v>1860</v>
      </c>
      <c r="G6385" s="1" t="str">
        <f>CONCATENATE(" BOLČEVIĆ-GRADNJA D.O.O.,"," DUGOSELSKA CESTA 56,"," 10361 SESVETSKI KRALJEVEC,"," OIB: 520986705")</f>
        <v xml:space="preserve"> BOLČEVIĆ-GRADNJA D.O.O., DUGOSELSKA CESTA 56, 10361 SESVETSKI KRALJEVEC, OIB: 520986705</v>
      </c>
      <c r="H6385" s="1" t="str">
        <f>CONCATENATE("M G V D.O.O.,"," OIB: 72602155595")</f>
        <v>M G V D.O.O., OIB: 72602155595</v>
      </c>
      <c r="I6385" s="8" t="s">
        <v>4879</v>
      </c>
      <c r="J6385" s="8" t="s">
        <v>4880</v>
      </c>
      <c r="K6385" s="6" t="str">
        <f>"217.001,80"</f>
        <v>217.001,80</v>
      </c>
      <c r="L6385" s="6" t="str">
        <f>"54.250,45"</f>
        <v>54.250,45</v>
      </c>
      <c r="M6385" s="6" t="str">
        <f>"271.252,25"</f>
        <v>271.252,25</v>
      </c>
      <c r="N6385" s="8" t="s">
        <v>124</v>
      </c>
      <c r="O6385" s="7"/>
      <c r="P6385" s="2" t="s">
        <v>5614</v>
      </c>
      <c r="Q6385" s="7"/>
      <c r="R6385" s="1"/>
      <c r="S6385" s="1" t="str">
        <f>"N-B-248/16"</f>
        <v>N-B-248/16</v>
      </c>
      <c r="T6385" s="1" t="s">
        <v>55</v>
      </c>
    </row>
    <row r="6386" spans="1:20" ht="63.75" x14ac:dyDescent="0.25">
      <c r="A6386" s="6">
        <v>6365</v>
      </c>
      <c r="B6386" s="1" t="str">
        <f>"2016-3150"</f>
        <v>2016-3150</v>
      </c>
      <c r="C6386" s="1" t="s">
        <v>4881</v>
      </c>
      <c r="D6386" s="1" t="s">
        <v>1979</v>
      </c>
      <c r="E6386" s="1" t="str">
        <f>""</f>
        <v/>
      </c>
      <c r="F6386" s="1" t="s">
        <v>1860</v>
      </c>
      <c r="G6386" s="1" t="str">
        <f>CONCATENATE(" CVITANOVIĆ D.O.O.,"," CRESKA 13,"," 10000 ZAGREB,"," OIB: 85380500319")</f>
        <v xml:space="preserve"> CVITANOVIĆ D.O.O., CRESKA 13, 10000 ZAGREB, OIB: 85380500319</v>
      </c>
      <c r="H6386" s="7"/>
      <c r="I6386" s="8" t="s">
        <v>4879</v>
      </c>
      <c r="J6386" s="8" t="s">
        <v>4880</v>
      </c>
      <c r="K6386" s="6" t="str">
        <f>"17.700,00"</f>
        <v>17.700,00</v>
      </c>
      <c r="L6386" s="6" t="str">
        <f>"4.425,00"</f>
        <v>4.425,00</v>
      </c>
      <c r="M6386" s="6" t="str">
        <f>"22.125,00"</f>
        <v>22.125,00</v>
      </c>
      <c r="N6386" s="8" t="s">
        <v>1972</v>
      </c>
      <c r="O6386" s="7"/>
      <c r="P6386" s="2" t="s">
        <v>8763</v>
      </c>
      <c r="Q6386" s="7"/>
      <c r="R6386" s="1"/>
      <c r="S6386" s="1" t="str">
        <f>"N-B-249/16"</f>
        <v>N-B-249/16</v>
      </c>
      <c r="T6386" s="1" t="s">
        <v>55</v>
      </c>
    </row>
    <row r="6387" spans="1:20" ht="51" x14ac:dyDescent="0.25">
      <c r="A6387" s="6">
        <v>6366</v>
      </c>
      <c r="B6387" s="1" t="str">
        <f>"2016-2842"</f>
        <v>2016-2842</v>
      </c>
      <c r="C6387" s="1" t="s">
        <v>4882</v>
      </c>
      <c r="D6387" s="1" t="s">
        <v>941</v>
      </c>
      <c r="E6387" s="1" t="str">
        <f>""</f>
        <v/>
      </c>
      <c r="F6387" s="1" t="s">
        <v>1860</v>
      </c>
      <c r="G6387" s="1" t="str">
        <f>CONCATENATE(" NEVING D.O.O.,"," PAVLA RADIĆA 3,"," 10000 ZAGREB,"," OIB: 70989676533")</f>
        <v xml:space="preserve"> NEVING D.O.O., PAVLA RADIĆA 3, 10000 ZAGREB, OIB: 70989676533</v>
      </c>
      <c r="H6387" s="1" t="str">
        <f>CONCATENATE("GEO GRUPA D.O.O.,"," OIB: 56055678342")</f>
        <v>GEO GRUPA D.O.O., OIB: 56055678342</v>
      </c>
      <c r="I6387" s="8" t="s">
        <v>3542</v>
      </c>
      <c r="J6387" s="8" t="s">
        <v>3784</v>
      </c>
      <c r="K6387" s="6" t="str">
        <f>"447.267,22"</f>
        <v>447.267,22</v>
      </c>
      <c r="L6387" s="6" t="str">
        <f>"111.816,80"</f>
        <v>111.816,80</v>
      </c>
      <c r="M6387" s="6" t="str">
        <f>"559.084,02"</f>
        <v>559.084,02</v>
      </c>
      <c r="N6387" s="8" t="s">
        <v>3907</v>
      </c>
      <c r="O6387" s="7"/>
      <c r="P6387" s="2" t="s">
        <v>8764</v>
      </c>
      <c r="Q6387" s="7"/>
      <c r="R6387" s="1"/>
      <c r="S6387" s="1" t="str">
        <f>"N-B-256/16"</f>
        <v>N-B-256/16</v>
      </c>
      <c r="T6387" s="1" t="s">
        <v>55</v>
      </c>
    </row>
    <row r="6388" spans="1:20" ht="89.25" x14ac:dyDescent="0.25">
      <c r="A6388" s="6">
        <v>6367</v>
      </c>
      <c r="B6388" s="1" t="str">
        <f>"2016-1987"</f>
        <v>2016-1987</v>
      </c>
      <c r="C6388" s="1" t="s">
        <v>4883</v>
      </c>
      <c r="D6388" s="1" t="s">
        <v>1979</v>
      </c>
      <c r="E6388" s="1" t="str">
        <f>""</f>
        <v/>
      </c>
      <c r="F6388" s="1" t="s">
        <v>1860</v>
      </c>
      <c r="G6388" s="1" t="str">
        <f>CONCATENATE(" D.I.A.T. D.O.O.,"," JABLANOVEČKA 37,"," 10 000 ZAGREB,"," OIB: 22889869555")</f>
        <v xml:space="preserve"> D.I.A.T. D.O.O., JABLANOVEČKA 37, 10 000 ZAGREB, OIB: 22889869555</v>
      </c>
      <c r="H6388" s="7"/>
      <c r="I6388" s="8" t="s">
        <v>4884</v>
      </c>
      <c r="J6388" s="8" t="s">
        <v>230</v>
      </c>
      <c r="K6388" s="6" t="str">
        <f>"98.900,00"</f>
        <v>98.900,00</v>
      </c>
      <c r="L6388" s="6" t="str">
        <f>"24.725,00"</f>
        <v>24.725,00</v>
      </c>
      <c r="M6388" s="6" t="str">
        <f>"123.625,00"</f>
        <v>123.625,00</v>
      </c>
      <c r="N6388" s="8" t="s">
        <v>124</v>
      </c>
      <c r="O6388" s="7"/>
      <c r="P6388" s="2" t="s">
        <v>5614</v>
      </c>
      <c r="Q6388" s="7"/>
      <c r="R6388" s="1"/>
      <c r="S6388" s="1" t="str">
        <f>"N-B-259/16"</f>
        <v>N-B-259/16</v>
      </c>
      <c r="T6388" s="1" t="s">
        <v>55</v>
      </c>
    </row>
    <row r="6389" spans="1:20" ht="63.75" x14ac:dyDescent="0.25">
      <c r="A6389" s="6">
        <v>6368</v>
      </c>
      <c r="B6389" s="1" t="str">
        <f>"2016-2035"</f>
        <v>2016-2035</v>
      </c>
      <c r="C6389" s="1" t="s">
        <v>4885</v>
      </c>
      <c r="D6389" s="1" t="s">
        <v>1979</v>
      </c>
      <c r="E6389" s="1" t="str">
        <f>""</f>
        <v/>
      </c>
      <c r="F6389" s="1" t="s">
        <v>1860</v>
      </c>
      <c r="G6389" s="1" t="str">
        <f>CONCATENATE(" D.I.A.T. D.O.O.,"," JABLANOVEČKA 37,"," 10 000 ZAGREB,"," OIB: 22889869555")</f>
        <v xml:space="preserve"> D.I.A.T. D.O.O., JABLANOVEČKA 37, 10 000 ZAGREB, OIB: 22889869555</v>
      </c>
      <c r="H6389" s="7"/>
      <c r="I6389" s="8" t="s">
        <v>4886</v>
      </c>
      <c r="J6389" s="8" t="s">
        <v>3907</v>
      </c>
      <c r="K6389" s="6" t="str">
        <f>"56.400,00"</f>
        <v>56.400,00</v>
      </c>
      <c r="L6389" s="6" t="str">
        <f>"14.100,00"</f>
        <v>14.100,00</v>
      </c>
      <c r="M6389" s="6" t="str">
        <f>"70.500,00"</f>
        <v>70.500,00</v>
      </c>
      <c r="N6389" s="8" t="s">
        <v>124</v>
      </c>
      <c r="O6389" s="7"/>
      <c r="P6389" s="2" t="s">
        <v>5614</v>
      </c>
      <c r="Q6389" s="7"/>
      <c r="R6389" s="1"/>
      <c r="S6389" s="1" t="str">
        <f>"N-B-260/16"</f>
        <v>N-B-260/16</v>
      </c>
      <c r="T6389" s="1" t="s">
        <v>55</v>
      </c>
    </row>
    <row r="6390" spans="1:20" ht="165.75" x14ac:dyDescent="0.25">
      <c r="A6390" s="6">
        <v>6369</v>
      </c>
      <c r="B6390" s="1" t="str">
        <f>"2016-3151"</f>
        <v>2016-3151</v>
      </c>
      <c r="C6390" s="1" t="s">
        <v>4887</v>
      </c>
      <c r="D6390" s="1" t="s">
        <v>1979</v>
      </c>
      <c r="E6390" s="1" t="str">
        <f>""</f>
        <v/>
      </c>
      <c r="F6390" s="1" t="s">
        <v>1860</v>
      </c>
      <c r="G6390" s="1" t="str">
        <f>CONCATENATE(" HIDRO UNA D.O.O.,"," JOSIPA ANIĆA 14,"," 10000 ZAGREB,"," OIB: 60109409627")</f>
        <v xml:space="preserve"> HIDRO UNA D.O.O., JOSIPA ANIĆA 14, 10000 ZAGREB, OIB: 60109409627</v>
      </c>
      <c r="H6390" s="1"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6390" s="8" t="s">
        <v>3516</v>
      </c>
      <c r="J6390" s="8" t="s">
        <v>3517</v>
      </c>
      <c r="K6390" s="6" t="str">
        <f>"37.550,00"</f>
        <v>37.550,00</v>
      </c>
      <c r="L6390" s="6" t="str">
        <f>"9.387,50"</f>
        <v>9.387,50</v>
      </c>
      <c r="M6390" s="6" t="str">
        <f>"46.937,50"</f>
        <v>46.937,50</v>
      </c>
      <c r="N6390" s="8" t="s">
        <v>124</v>
      </c>
      <c r="O6390" s="7"/>
      <c r="P6390" s="2" t="s">
        <v>5614</v>
      </c>
      <c r="Q6390" s="7"/>
      <c r="R6390" s="1"/>
      <c r="S6390" s="1" t="str">
        <f>"N-B-261/16"</f>
        <v>N-B-261/16</v>
      </c>
      <c r="T6390" s="1" t="s">
        <v>55</v>
      </c>
    </row>
    <row r="6391" spans="1:20" ht="63.75" x14ac:dyDescent="0.25">
      <c r="A6391" s="6">
        <v>6370</v>
      </c>
      <c r="B6391" s="1" t="str">
        <f>"2016-3137"</f>
        <v>2016-3137</v>
      </c>
      <c r="C6391" s="1" t="s">
        <v>4888</v>
      </c>
      <c r="D6391" s="1" t="s">
        <v>1600</v>
      </c>
      <c r="E6391" s="1" t="str">
        <f>""</f>
        <v/>
      </c>
      <c r="F6391" s="1" t="s">
        <v>1860</v>
      </c>
      <c r="G6391" s="1" t="str">
        <f>CONCATENATE(" AMB GRADNJA D.O.O.,"," PRILAZ BARUNA FILIPOVIĆA 15,"," 10000 ZAGREB,"," OIB: 8527265147")</f>
        <v xml:space="preserve"> AMB GRADNJA D.O.O., PRILAZ BARUNA FILIPOVIĆA 15, 10000 ZAGREB, OIB: 8527265147</v>
      </c>
      <c r="H6391" s="1" t="str">
        <f>CONCATENATE("KOPER D.O.O.,"," OIB: 39308317306")</f>
        <v>KOPER D.O.O., OIB: 39308317306</v>
      </c>
      <c r="I6391" s="8" t="s">
        <v>4889</v>
      </c>
      <c r="J6391" s="8" t="s">
        <v>4890</v>
      </c>
      <c r="K6391" s="6" t="str">
        <f>"245.371,00"</f>
        <v>245.371,00</v>
      </c>
      <c r="L6391" s="6" t="str">
        <f>"61.342,75"</f>
        <v>61.342,75</v>
      </c>
      <c r="M6391" s="6" t="str">
        <f>"306.713,75"</f>
        <v>306.713,75</v>
      </c>
      <c r="N6391" s="8" t="s">
        <v>3723</v>
      </c>
      <c r="O6391" s="7"/>
      <c r="P6391" s="2" t="s">
        <v>8765</v>
      </c>
      <c r="Q6391" s="7"/>
      <c r="R6391" s="1"/>
      <c r="S6391" s="1" t="str">
        <f>"N-B-263/16"</f>
        <v>N-B-263/16</v>
      </c>
      <c r="T6391" s="1" t="s">
        <v>55</v>
      </c>
    </row>
    <row r="6392" spans="1:20" ht="51" x14ac:dyDescent="0.25">
      <c r="A6392" s="6">
        <v>6371</v>
      </c>
      <c r="B6392" s="1" t="str">
        <f>"2016-2986"</f>
        <v>2016-2986</v>
      </c>
      <c r="C6392" s="1" t="s">
        <v>4891</v>
      </c>
      <c r="D6392" s="1" t="s">
        <v>1979</v>
      </c>
      <c r="E6392" s="1" t="str">
        <f>""</f>
        <v/>
      </c>
      <c r="F6392" s="1" t="s">
        <v>1860</v>
      </c>
      <c r="G6392" s="1" t="str">
        <f>CONCATENATE(" D.I.A.T. D.O.O.,"," JABLANOVEČKA 37,"," 10 000 ZAGREB,"," OIB: 22889869555")</f>
        <v xml:space="preserve"> D.I.A.T. D.O.O., JABLANOVEČKA 37, 10 000 ZAGREB, OIB: 22889869555</v>
      </c>
      <c r="H6392" s="7"/>
      <c r="I6392" s="8" t="s">
        <v>4892</v>
      </c>
      <c r="J6392" s="8" t="s">
        <v>3998</v>
      </c>
      <c r="K6392" s="6" t="str">
        <f>"84.250,00"</f>
        <v>84.250,00</v>
      </c>
      <c r="L6392" s="6" t="str">
        <f>"21.062,50"</f>
        <v>21.062,50</v>
      </c>
      <c r="M6392" s="6" t="str">
        <f>"105.312,50"</f>
        <v>105.312,50</v>
      </c>
      <c r="N6392" s="8" t="s">
        <v>918</v>
      </c>
      <c r="O6392" s="7"/>
      <c r="P6392" s="2" t="s">
        <v>7349</v>
      </c>
      <c r="Q6392" s="7"/>
      <c r="R6392" s="1"/>
      <c r="S6392" s="1" t="str">
        <f>"N-B-264/16"</f>
        <v>N-B-264/16</v>
      </c>
      <c r="T6392" s="1" t="s">
        <v>55</v>
      </c>
    </row>
    <row r="6393" spans="1:20" ht="63.75" x14ac:dyDescent="0.25">
      <c r="A6393" s="6">
        <v>6372</v>
      </c>
      <c r="B6393" s="1" t="str">
        <f>"2016-3069"</f>
        <v>2016-3069</v>
      </c>
      <c r="C6393" s="1" t="s">
        <v>4893</v>
      </c>
      <c r="D6393" s="1" t="s">
        <v>941</v>
      </c>
      <c r="E6393" s="1" t="str">
        <f>""</f>
        <v/>
      </c>
      <c r="F6393" s="1" t="s">
        <v>1860</v>
      </c>
      <c r="G6393" s="1" t="str">
        <f>CONCATENATE(" BOLČEVIĆ-GRADNJA D.O.O.,"," DUGOSELSKA CESTA 56,"," 10361 SESVETSKI KRALJEVEC,"," OIB: 520986705")</f>
        <v xml:space="preserve"> BOLČEVIĆ-GRADNJA D.O.O., DUGOSELSKA CESTA 56, 10361 SESVETSKI KRALJEVEC, OIB: 520986705</v>
      </c>
      <c r="H6393" s="1" t="str">
        <f>CONCATENATE("M G V D.O.O.,"," OIB: 72602155595")</f>
        <v>M G V D.O.O., OIB: 72602155595</v>
      </c>
      <c r="I6393" s="8" t="s">
        <v>4894</v>
      </c>
      <c r="J6393" s="8" t="s">
        <v>3811</v>
      </c>
      <c r="K6393" s="6" t="str">
        <f>"281.285,20"</f>
        <v>281.285,20</v>
      </c>
      <c r="L6393" s="6" t="str">
        <f>"70.321,30"</f>
        <v>70.321,30</v>
      </c>
      <c r="M6393" s="6" t="str">
        <f>"351.606,50"</f>
        <v>351.606,50</v>
      </c>
      <c r="N6393" s="8" t="s">
        <v>589</v>
      </c>
      <c r="O6393" s="7"/>
      <c r="P6393" s="2" t="s">
        <v>8766</v>
      </c>
      <c r="Q6393" s="7"/>
      <c r="R6393" s="1"/>
      <c r="S6393" s="1" t="str">
        <f>"N-B-267/16"</f>
        <v>N-B-267/16</v>
      </c>
      <c r="T6393" s="1" t="s">
        <v>55</v>
      </c>
    </row>
    <row r="6394" spans="1:20" ht="63.75" x14ac:dyDescent="0.25">
      <c r="A6394" s="6">
        <v>6373</v>
      </c>
      <c r="B6394" s="1" t="str">
        <f>"2016-1829"</f>
        <v>2016-1829</v>
      </c>
      <c r="C6394" s="1" t="s">
        <v>4895</v>
      </c>
      <c r="D6394" s="1" t="s">
        <v>1979</v>
      </c>
      <c r="E6394" s="1" t="str">
        <f>""</f>
        <v/>
      </c>
      <c r="F6394" s="1" t="s">
        <v>1860</v>
      </c>
      <c r="G6394" s="1" t="str">
        <f>CONCATENATE(" STRUCTURA PLAN D.O.O.,"," V. KLAIĆA 3,"," 10360 SESVETE,"," POPOVEC,"," OIB: 02792985387")</f>
        <v xml:space="preserve"> STRUCTURA PLAN D.O.O., V. KLAIĆA 3, 10360 SESVETE, POPOVEC, OIB: 02792985387</v>
      </c>
      <c r="H6394" s="1" t="str">
        <f>CONCATENATE("GEO ROLO J.D.O.O.,"," OIB: 89698831318")</f>
        <v>GEO ROLO J.D.O.O., OIB: 89698831318</v>
      </c>
      <c r="I6394" s="8" t="s">
        <v>4894</v>
      </c>
      <c r="J6394" s="8" t="s">
        <v>4896</v>
      </c>
      <c r="K6394" s="6" t="str">
        <f>"27.100,00"</f>
        <v>27.100,00</v>
      </c>
      <c r="L6394" s="6" t="str">
        <f>"6.775,00"</f>
        <v>6.775,00</v>
      </c>
      <c r="M6394" s="6" t="str">
        <f>"33.875,00"</f>
        <v>33.875,00</v>
      </c>
      <c r="N6394" s="8" t="s">
        <v>124</v>
      </c>
      <c r="O6394" s="7"/>
      <c r="P6394" s="2" t="s">
        <v>5614</v>
      </c>
      <c r="Q6394" s="7"/>
      <c r="R6394" s="1"/>
      <c r="S6394" s="1" t="str">
        <f>"N-B-268/16"</f>
        <v>N-B-268/16</v>
      </c>
      <c r="T6394" s="1" t="s">
        <v>55</v>
      </c>
    </row>
    <row r="6395" spans="1:20" ht="51" x14ac:dyDescent="0.25">
      <c r="A6395" s="6">
        <v>6374</v>
      </c>
      <c r="B6395" s="1" t="str">
        <f>"2016-3015"</f>
        <v>2016-3015</v>
      </c>
      <c r="C6395" s="1" t="s">
        <v>4897</v>
      </c>
      <c r="D6395" s="1" t="s">
        <v>941</v>
      </c>
      <c r="E6395" s="1" t="str">
        <f>""</f>
        <v/>
      </c>
      <c r="F6395" s="1" t="s">
        <v>1860</v>
      </c>
      <c r="G6395" s="1" t="str">
        <f>CONCATENATE(" KINDER GRADNJA D.O.O.,"," SELSKA 57,"," 10360 SESVETE,"," OIB: 71001411174")</f>
        <v xml:space="preserve"> KINDER GRADNJA D.O.O., SELSKA 57, 10360 SESVETE, OIB: 71001411174</v>
      </c>
      <c r="H6395" s="1" t="str">
        <f>CONCATENATE("PERVISUS D.O.O.,"," OIB: 44353834669")</f>
        <v>PERVISUS D.O.O., OIB: 44353834669</v>
      </c>
      <c r="I6395" s="8" t="s">
        <v>4894</v>
      </c>
      <c r="J6395" s="8" t="s">
        <v>4896</v>
      </c>
      <c r="K6395" s="6" t="str">
        <f>"97.800,00"</f>
        <v>97.800,00</v>
      </c>
      <c r="L6395" s="6" t="str">
        <f>"24.450,00"</f>
        <v>24.450,00</v>
      </c>
      <c r="M6395" s="6" t="str">
        <f>"122.250,00"</f>
        <v>122.250,00</v>
      </c>
      <c r="N6395" s="8" t="s">
        <v>3761</v>
      </c>
      <c r="O6395" s="7"/>
      <c r="P6395" s="2" t="s">
        <v>8767</v>
      </c>
      <c r="Q6395" s="7"/>
      <c r="R6395" s="1"/>
      <c r="S6395" s="1" t="str">
        <f>"N-B-269/16"</f>
        <v>N-B-269/16</v>
      </c>
      <c r="T6395" s="1" t="s">
        <v>55</v>
      </c>
    </row>
    <row r="6396" spans="1:20" ht="63.75" x14ac:dyDescent="0.25">
      <c r="A6396" s="6">
        <v>6375</v>
      </c>
      <c r="B6396" s="1" t="str">
        <f>"2016-3153"</f>
        <v>2016-3153</v>
      </c>
      <c r="C6396" s="1" t="s">
        <v>4898</v>
      </c>
      <c r="D6396" s="1" t="s">
        <v>1979</v>
      </c>
      <c r="E6396" s="1" t="str">
        <f>""</f>
        <v/>
      </c>
      <c r="F6396" s="1" t="s">
        <v>1860</v>
      </c>
      <c r="G6396" s="1" t="str">
        <f>CONCATENATE(" D.I.A.T. D.O.O.,"," JABLANOVEČKA 37,"," 10 000 ZAGREB,"," OIB: 22889869555")</f>
        <v xml:space="preserve"> D.I.A.T. D.O.O., JABLANOVEČKA 37, 10 000 ZAGREB, OIB: 22889869555</v>
      </c>
      <c r="H6396" s="7"/>
      <c r="I6396" s="8" t="s">
        <v>3810</v>
      </c>
      <c r="J6396" s="8" t="s">
        <v>3811</v>
      </c>
      <c r="K6396" s="6" t="str">
        <f>"41.000,00"</f>
        <v>41.000,00</v>
      </c>
      <c r="L6396" s="6" t="str">
        <f>"10.250,00"</f>
        <v>10.250,00</v>
      </c>
      <c r="M6396" s="6" t="str">
        <f>"51.250,00"</f>
        <v>51.250,00</v>
      </c>
      <c r="N6396" s="8" t="s">
        <v>2300</v>
      </c>
      <c r="O6396" s="7"/>
      <c r="P6396" s="2" t="s">
        <v>6405</v>
      </c>
      <c r="Q6396" s="7"/>
      <c r="R6396" s="1"/>
      <c r="S6396" s="1" t="str">
        <f>"N-B-270/16"</f>
        <v>N-B-270/16</v>
      </c>
      <c r="T6396" s="1" t="s">
        <v>55</v>
      </c>
    </row>
    <row r="6397" spans="1:20" ht="127.5" x14ac:dyDescent="0.25">
      <c r="A6397" s="6">
        <v>6376</v>
      </c>
      <c r="B6397" s="1" t="str">
        <f>"2016-1986"</f>
        <v>2016-1986</v>
      </c>
      <c r="C6397" s="1" t="s">
        <v>4899</v>
      </c>
      <c r="D6397" s="1" t="s">
        <v>1979</v>
      </c>
      <c r="E6397" s="1" t="str">
        <f>""</f>
        <v/>
      </c>
      <c r="F6397" s="1" t="s">
        <v>1860</v>
      </c>
      <c r="G6397" s="1" t="str">
        <f>CONCATENATE(" HIDRO UNA D.O.O.,"," JOSIPA ANIĆA 14,"," 10000 ZAGREB,"," OIB: 60109409627")</f>
        <v xml:space="preserve"> HIDRO UNA D.O.O., JOSIPA ANIĆA 14, 10000 ZAGREB, OIB: 60109409627</v>
      </c>
      <c r="H6397" s="1" t="str">
        <f>CONCATENATE("AQUA . OMEGA D.O.O.,"," OIB: 76884978496",CHAR(10),"URED OVLAŠTENOG INŽENJERU GEODEZIJE MARKO BRCKOVIĆ,"," OIB: 28599647174")</f>
        <v>AQUA . OMEGA D.O.O., OIB: 76884978496
URED OVLAŠTENOG INŽENJERU GEODEZIJE MARKO BRCKOVIĆ, OIB: 28599647174</v>
      </c>
      <c r="I6397" s="8" t="s">
        <v>3566</v>
      </c>
      <c r="J6397" s="8" t="s">
        <v>4900</v>
      </c>
      <c r="K6397" s="6" t="str">
        <f>"62.000,00"</f>
        <v>62.000,00</v>
      </c>
      <c r="L6397" s="6" t="str">
        <f>"15.500,00"</f>
        <v>15.500,00</v>
      </c>
      <c r="M6397" s="6" t="str">
        <f>"77.500,00"</f>
        <v>77.500,00</v>
      </c>
      <c r="N6397" s="8" t="s">
        <v>124</v>
      </c>
      <c r="O6397" s="7"/>
      <c r="P6397" s="2" t="s">
        <v>5614</v>
      </c>
      <c r="Q6397" s="7"/>
      <c r="R6397" s="1"/>
      <c r="S6397" s="1" t="str">
        <f>"N-B-271/16"</f>
        <v>N-B-271/16</v>
      </c>
      <c r="T6397" s="1" t="s">
        <v>55</v>
      </c>
    </row>
    <row r="6398" spans="1:20" ht="51" x14ac:dyDescent="0.25">
      <c r="A6398" s="6">
        <v>6377</v>
      </c>
      <c r="B6398" s="1" t="str">
        <f>"2016-3068"</f>
        <v>2016-3068</v>
      </c>
      <c r="C6398" s="1" t="s">
        <v>4901</v>
      </c>
      <c r="D6398" s="1" t="s">
        <v>941</v>
      </c>
      <c r="E6398" s="1" t="str">
        <f>""</f>
        <v/>
      </c>
      <c r="F6398" s="1" t="s">
        <v>1860</v>
      </c>
      <c r="G6398" s="1" t="str">
        <f>CONCATENATE(" GEORAD D.O.O.,"," KORNATSKA 1,"," 10000 ZAGREB,"," OIB: 49756748234")</f>
        <v xml:space="preserve"> GEORAD D.O.O., KORNATSKA 1, 10000 ZAGREB, OIB: 49756748234</v>
      </c>
      <c r="H6398" s="7"/>
      <c r="I6398" s="8" t="s">
        <v>3566</v>
      </c>
      <c r="J6398" s="8" t="s">
        <v>4900</v>
      </c>
      <c r="K6398" s="6" t="str">
        <f>"80.850,93"</f>
        <v>80.850,93</v>
      </c>
      <c r="L6398" s="6" t="str">
        <f>"20.212,73"</f>
        <v>20.212,73</v>
      </c>
      <c r="M6398" s="6" t="str">
        <f>"101.063,66"</f>
        <v>101.063,66</v>
      </c>
      <c r="N6398" s="8" t="s">
        <v>3992</v>
      </c>
      <c r="O6398" s="7"/>
      <c r="P6398" s="2" t="s">
        <v>8768</v>
      </c>
      <c r="Q6398" s="7"/>
      <c r="R6398" s="1"/>
      <c r="S6398" s="1" t="str">
        <f>"N-B-273/16"</f>
        <v>N-B-273/16</v>
      </c>
      <c r="T6398" s="1" t="s">
        <v>55</v>
      </c>
    </row>
    <row r="6399" spans="1:20" ht="63.75" x14ac:dyDescent="0.25">
      <c r="A6399" s="6">
        <v>6378</v>
      </c>
      <c r="B6399" s="1" t="str">
        <f>"2016-2036"</f>
        <v>2016-2036</v>
      </c>
      <c r="C6399" s="1" t="s">
        <v>4902</v>
      </c>
      <c r="D6399" s="1" t="s">
        <v>1979</v>
      </c>
      <c r="E6399" s="1" t="str">
        <f>""</f>
        <v/>
      </c>
      <c r="F6399" s="1" t="s">
        <v>1860</v>
      </c>
      <c r="G6399" s="1" t="str">
        <f>CONCATENATE(" D.I.A.T. D.O.O.,"," JABLANOVEČKA 37,"," 10 000 ZAGREB,"," OIB: 22889869555")</f>
        <v xml:space="preserve"> D.I.A.T. D.O.O., JABLANOVEČKA 37, 10 000 ZAGREB, OIB: 22889869555</v>
      </c>
      <c r="H6399" s="7"/>
      <c r="I6399" s="8" t="s">
        <v>4903</v>
      </c>
      <c r="J6399" s="8" t="s">
        <v>3673</v>
      </c>
      <c r="K6399" s="6" t="str">
        <f>"65.500,00"</f>
        <v>65.500,00</v>
      </c>
      <c r="L6399" s="6" t="str">
        <f>"16.375,00"</f>
        <v>16.375,00</v>
      </c>
      <c r="M6399" s="6" t="str">
        <f>"81.875,00"</f>
        <v>81.875,00</v>
      </c>
      <c r="N6399" s="8" t="s">
        <v>124</v>
      </c>
      <c r="O6399" s="7"/>
      <c r="P6399" s="2" t="s">
        <v>5614</v>
      </c>
      <c r="Q6399" s="7"/>
      <c r="R6399" s="1"/>
      <c r="S6399" s="1" t="str">
        <f>"N-B-275/16"</f>
        <v>N-B-275/16</v>
      </c>
      <c r="T6399" s="1" t="s">
        <v>55</v>
      </c>
    </row>
    <row r="6400" spans="1:20" ht="89.25" x14ac:dyDescent="0.25">
      <c r="A6400" s="6">
        <v>6379</v>
      </c>
      <c r="B6400" s="1" t="str">
        <f>"2016-2976"</f>
        <v>2016-2976</v>
      </c>
      <c r="C6400" s="1" t="s">
        <v>4904</v>
      </c>
      <c r="D6400" s="1" t="s">
        <v>1979</v>
      </c>
      <c r="E6400" s="1" t="str">
        <f>""</f>
        <v/>
      </c>
      <c r="F6400" s="1" t="s">
        <v>1860</v>
      </c>
      <c r="G6400" s="1" t="str">
        <f>CONCATENATE(" EKO-PLAN D.O.O.,"," 2. JAZBINSKI GAJ 1A,"," 10000 ZAGREB,"," OIB: 55034160084")</f>
        <v xml:space="preserve"> EKO-PLAN D.O.O., 2. JAZBINSKI GAJ 1A, 10000 ZAGREB, OIB: 55034160084</v>
      </c>
      <c r="H6400" s="1" t="str">
        <f>CONCATENATE("MJERNIK-LIMA D.O.O.,"," OIB: 00496607907")</f>
        <v>MJERNIK-LIMA D.O.O., OIB: 00496607907</v>
      </c>
      <c r="I6400" s="8" t="s">
        <v>4903</v>
      </c>
      <c r="J6400" s="8" t="s">
        <v>3673</v>
      </c>
      <c r="K6400" s="6" t="str">
        <f>"80.200,00"</f>
        <v>80.200,00</v>
      </c>
      <c r="L6400" s="6" t="str">
        <f>"20.050,00"</f>
        <v>20.050,00</v>
      </c>
      <c r="M6400" s="6" t="str">
        <f>"100.250,00"</f>
        <v>100.250,00</v>
      </c>
      <c r="N6400" s="8" t="s">
        <v>124</v>
      </c>
      <c r="O6400" s="7"/>
      <c r="P6400" s="2" t="s">
        <v>5614</v>
      </c>
      <c r="Q6400" s="7"/>
      <c r="R6400" s="1"/>
      <c r="S6400" s="1" t="str">
        <f>"N-B-277/16"</f>
        <v>N-B-277/16</v>
      </c>
      <c r="T6400" s="1" t="s">
        <v>55</v>
      </c>
    </row>
    <row r="6401" spans="1:20" ht="63.75" x14ac:dyDescent="0.25">
      <c r="A6401" s="6">
        <v>6380</v>
      </c>
      <c r="B6401" s="1" t="str">
        <f>"2016-2336"</f>
        <v>2016-2336</v>
      </c>
      <c r="C6401" s="1" t="s">
        <v>4905</v>
      </c>
      <c r="D6401" s="1" t="s">
        <v>1979</v>
      </c>
      <c r="E6401" s="1" t="str">
        <f>""</f>
        <v/>
      </c>
      <c r="F6401" s="1" t="s">
        <v>1860</v>
      </c>
      <c r="G6401" s="1" t="str">
        <f>CONCATENATE(" STRUCTURA PLAN D.O.O.,"," V. KLAIĆA 3,"," 10360 SESVETE,"," POPOVEC,"," OIB: 02792985387")</f>
        <v xml:space="preserve"> STRUCTURA PLAN D.O.O., V. KLAIĆA 3, 10360 SESVETE, POPOVEC, OIB: 02792985387</v>
      </c>
      <c r="H6401" s="1" t="str">
        <f>CONCATENATE("GEO ROLO J.D.O.O.,"," OIB: 89698831318")</f>
        <v>GEO ROLO J.D.O.O., OIB: 89698831318</v>
      </c>
      <c r="I6401" s="8" t="s">
        <v>4906</v>
      </c>
      <c r="J6401" s="8" t="s">
        <v>4907</v>
      </c>
      <c r="K6401" s="6" t="str">
        <f>"23.900,00"</f>
        <v>23.900,00</v>
      </c>
      <c r="L6401" s="6" t="str">
        <f>"5.975,00"</f>
        <v>5.975,00</v>
      </c>
      <c r="M6401" s="6" t="str">
        <f>"29.875,00"</f>
        <v>29.875,00</v>
      </c>
      <c r="N6401" s="8" t="s">
        <v>124</v>
      </c>
      <c r="O6401" s="7"/>
      <c r="P6401" s="2" t="s">
        <v>5614</v>
      </c>
      <c r="Q6401" s="7"/>
      <c r="R6401" s="1"/>
      <c r="S6401" s="1" t="str">
        <f>"N-B-278/16"</f>
        <v>N-B-278/16</v>
      </c>
      <c r="T6401" s="1" t="s">
        <v>55</v>
      </c>
    </row>
    <row r="6402" spans="1:20" ht="51" x14ac:dyDescent="0.25">
      <c r="A6402" s="6">
        <v>6381</v>
      </c>
      <c r="B6402" s="1" t="str">
        <f>"2016-1610"</f>
        <v>2016-1610</v>
      </c>
      <c r="C6402" s="1" t="s">
        <v>4908</v>
      </c>
      <c r="D6402" s="1" t="s">
        <v>1438</v>
      </c>
      <c r="E6402" s="1" t="str">
        <f>""</f>
        <v/>
      </c>
      <c r="F6402" s="1" t="s">
        <v>1860</v>
      </c>
      <c r="G6402" s="1" t="str">
        <f>CONCATENATE(" BINĐO D.O.O.,"," MAJDEKOVA 17,"," 10310 IVANIĆ-GRAD,"," OIB: 49733628869")</f>
        <v xml:space="preserve"> BINĐO D.O.O., MAJDEKOVA 17, 10310 IVANIĆ-GRAD, OIB: 49733628869</v>
      </c>
      <c r="H6402" s="7"/>
      <c r="I6402" s="8" t="s">
        <v>4906</v>
      </c>
      <c r="J6402" s="8" t="s">
        <v>4907</v>
      </c>
      <c r="K6402" s="6" t="str">
        <f>"189.980,00"</f>
        <v>189.980,00</v>
      </c>
      <c r="L6402" s="6" t="str">
        <f>"47.495,00"</f>
        <v>47.495,00</v>
      </c>
      <c r="M6402" s="6" t="str">
        <f>"237.475,00"</f>
        <v>237.475,00</v>
      </c>
      <c r="N6402" s="8" t="s">
        <v>124</v>
      </c>
      <c r="O6402" s="7"/>
      <c r="P6402" s="2" t="s">
        <v>5614</v>
      </c>
      <c r="Q6402" s="7"/>
      <c r="R6402" s="1"/>
      <c r="S6402" s="1" t="str">
        <f>"N-B-279/16"</f>
        <v>N-B-279/16</v>
      </c>
      <c r="T6402" s="1" t="s">
        <v>55</v>
      </c>
    </row>
    <row r="6403" spans="1:20" ht="76.5" x14ac:dyDescent="0.25">
      <c r="A6403" s="6">
        <v>6382</v>
      </c>
      <c r="B6403" s="1" t="str">
        <f>"2016-3134"</f>
        <v>2016-3134</v>
      </c>
      <c r="C6403" s="1" t="s">
        <v>4909</v>
      </c>
      <c r="D6403" s="1" t="s">
        <v>486</v>
      </c>
      <c r="E6403" s="1" t="str">
        <f>""</f>
        <v/>
      </c>
      <c r="F6403" s="1" t="s">
        <v>1860</v>
      </c>
      <c r="G6403" s="1" t="str">
        <f>CONCATENATE(" INSTAL-PROM D.O.O.,"," LJUTOMERSKA 33A,"," 10040 ZAGREB,"," OIB: 21231984689")</f>
        <v xml:space="preserve"> INSTAL-PROM D.O.O., LJUTOMERSKA 33A, 10040 ZAGREB, OIB: 21231984689</v>
      </c>
      <c r="H6403" s="1" t="str">
        <f>CONCATENATE("GEO 6 D.O.O.,"," OIB: 56516261347")</f>
        <v>GEO 6 D.O.O., OIB: 56516261347</v>
      </c>
      <c r="I6403" s="8" t="s">
        <v>3844</v>
      </c>
      <c r="J6403" s="8" t="s">
        <v>3845</v>
      </c>
      <c r="K6403" s="6" t="str">
        <f>"201.063,70"</f>
        <v>201.063,70</v>
      </c>
      <c r="L6403" s="6" t="str">
        <f>"50.265,92"</f>
        <v>50.265,92</v>
      </c>
      <c r="M6403" s="6" t="str">
        <f>"251.329,62"</f>
        <v>251.329,62</v>
      </c>
      <c r="N6403" s="8" t="s">
        <v>4560</v>
      </c>
      <c r="O6403" s="7"/>
      <c r="P6403" s="2" t="s">
        <v>8769</v>
      </c>
      <c r="Q6403" s="7"/>
      <c r="R6403" s="1"/>
      <c r="S6403" s="1" t="str">
        <f>"N-B-280/16"</f>
        <v>N-B-280/16</v>
      </c>
      <c r="T6403" s="1" t="s">
        <v>55</v>
      </c>
    </row>
    <row r="6404" spans="1:20" ht="51" x14ac:dyDescent="0.25">
      <c r="A6404" s="6">
        <v>6383</v>
      </c>
      <c r="B6404" s="1" t="str">
        <f>"2018-1195"</f>
        <v>2018-1195</v>
      </c>
      <c r="C6404" s="1" t="s">
        <v>3742</v>
      </c>
      <c r="D6404" s="1" t="s">
        <v>1871</v>
      </c>
      <c r="E6404" s="1" t="str">
        <f>""</f>
        <v/>
      </c>
      <c r="F6404" s="1" t="s">
        <v>1860</v>
      </c>
      <c r="G6404" s="1" t="str">
        <f>CONCATENATE(" M. SOLDO D.O.O.,"," DEBANIĆEVA 39,"," 10090 ZAGREB-SUSEDGRAD,"," OIB: 58353605637")</f>
        <v xml:space="preserve"> M. SOLDO D.O.O., DEBANIĆEVA 39, 10090 ZAGREB-SUSEDGRAD, OIB: 58353605637</v>
      </c>
      <c r="H6404" s="7"/>
      <c r="I6404" s="8" t="s">
        <v>3981</v>
      </c>
      <c r="J6404" s="8" t="s">
        <v>3530</v>
      </c>
      <c r="K6404" s="6" t="str">
        <f>"278.225,00"</f>
        <v>278.225,00</v>
      </c>
      <c r="L6404" s="6" t="str">
        <f>"69.556,25"</f>
        <v>69.556,25</v>
      </c>
      <c r="M6404" s="6" t="str">
        <f>"347.781,25"</f>
        <v>347.781,25</v>
      </c>
      <c r="N6404" s="8" t="s">
        <v>124</v>
      </c>
      <c r="O6404" s="7"/>
      <c r="P6404" s="2" t="s">
        <v>5614</v>
      </c>
      <c r="Q6404" s="7"/>
      <c r="R6404" s="1"/>
      <c r="S6404" s="1" t="str">
        <f>"GZ-1/2019"</f>
        <v>GZ-1/2019</v>
      </c>
      <c r="T6404" s="1" t="s">
        <v>55</v>
      </c>
    </row>
    <row r="6405" spans="1:20" ht="51" x14ac:dyDescent="0.25">
      <c r="A6405" s="6">
        <v>6384</v>
      </c>
      <c r="B6405" s="1" t="str">
        <f>"2019-580"</f>
        <v>2019-580</v>
      </c>
      <c r="C6405" s="1" t="s">
        <v>4910</v>
      </c>
      <c r="D6405" s="1" t="s">
        <v>2951</v>
      </c>
      <c r="E6405" s="1" t="str">
        <f>""</f>
        <v/>
      </c>
      <c r="F6405" s="1" t="s">
        <v>1860</v>
      </c>
      <c r="G6405" s="1" t="str">
        <f>CONCATENATE(" MHM-ING D.O.O.,"," 9. JUŽNA OBALA 15,"," 10000 ZAGREB,"," OIB: 96889719943")</f>
        <v xml:space="preserve"> MHM-ING D.O.O., 9. JUŽNA OBALA 15, 10000 ZAGREB, OIB: 96889719943</v>
      </c>
      <c r="H6405" s="7"/>
      <c r="I6405" s="8" t="s">
        <v>654</v>
      </c>
      <c r="J6405" s="8" t="s">
        <v>1227</v>
      </c>
      <c r="K6405" s="6" t="str">
        <f>"319.985,50"</f>
        <v>319.985,50</v>
      </c>
      <c r="L6405" s="6" t="str">
        <f>"79.996,38"</f>
        <v>79.996,38</v>
      </c>
      <c r="M6405" s="6" t="str">
        <f>"399.981,88"</f>
        <v>399.981,88</v>
      </c>
      <c r="N6405" s="8" t="s">
        <v>124</v>
      </c>
      <c r="O6405" s="7"/>
      <c r="P6405" s="2" t="s">
        <v>5614</v>
      </c>
      <c r="Q6405" s="7"/>
      <c r="R6405" s="1"/>
      <c r="S6405" s="1" t="str">
        <f>"GZ-19/2020"</f>
        <v>GZ-19/2020</v>
      </c>
      <c r="T6405" s="1" t="s">
        <v>32</v>
      </c>
    </row>
    <row r="6406" spans="1:20" ht="51" x14ac:dyDescent="0.25">
      <c r="A6406" s="6">
        <v>6385</v>
      </c>
      <c r="B6406" s="1" t="str">
        <f>"2019-1484"</f>
        <v>2019-1484</v>
      </c>
      <c r="C6406" s="1" t="s">
        <v>4555</v>
      </c>
      <c r="D6406" s="1" t="s">
        <v>544</v>
      </c>
      <c r="E6406" s="1" t="str">
        <f>""</f>
        <v/>
      </c>
      <c r="F6406" s="1" t="s">
        <v>1860</v>
      </c>
      <c r="G6406" s="1" t="str">
        <f>CONCATENATE(" VODOSKOK D.D.,"," ČULINEČKA CESTA 221/C,"," 10040 ZAGREB,"," OIB: 34134218058")</f>
        <v xml:space="preserve"> VODOSKOK D.D., ČULINEČKA CESTA 221/C, 10040 ZAGREB, OIB: 34134218058</v>
      </c>
      <c r="H6406" s="7"/>
      <c r="I6406" s="8" t="s">
        <v>686</v>
      </c>
      <c r="J6406" s="8" t="s">
        <v>1050</v>
      </c>
      <c r="K6406" s="6" t="str">
        <f>"131.665,00"</f>
        <v>131.665,00</v>
      </c>
      <c r="L6406" s="6" t="str">
        <f>"32.916,25"</f>
        <v>32.916,25</v>
      </c>
      <c r="M6406" s="6" t="str">
        <f>"164.581,25"</f>
        <v>164.581,25</v>
      </c>
      <c r="N6406" s="8" t="s">
        <v>1388</v>
      </c>
      <c r="O6406" s="7"/>
      <c r="P6406" s="2" t="s">
        <v>8770</v>
      </c>
      <c r="Q6406" s="7"/>
      <c r="R6406" s="1"/>
      <c r="S6406" s="1" t="str">
        <f>"GZ-100/2020"</f>
        <v>GZ-100/2020</v>
      </c>
      <c r="T6406" s="1" t="s">
        <v>452</v>
      </c>
    </row>
    <row r="6407" spans="1:20" ht="51" x14ac:dyDescent="0.25">
      <c r="A6407" s="6">
        <v>6386</v>
      </c>
      <c r="B6407" s="1" t="str">
        <f>"2019-3093"</f>
        <v>2019-3093</v>
      </c>
      <c r="C6407" s="1" t="s">
        <v>4911</v>
      </c>
      <c r="D6407" s="1" t="s">
        <v>4912</v>
      </c>
      <c r="E6407" s="1" t="str">
        <f>""</f>
        <v/>
      </c>
      <c r="F6407" s="1" t="s">
        <v>1860</v>
      </c>
      <c r="G6407" s="1" t="str">
        <f>CONCATENATE(" TESI D.O.O.,"," ZAGREBAČKA AVENIJA 104,"," 10000 ZAGREB,"," OIB: 25550605826")</f>
        <v xml:space="preserve"> TESI D.O.O., ZAGREBAČKA AVENIJA 104, 10000 ZAGREB, OIB: 25550605826</v>
      </c>
      <c r="H6407" s="7"/>
      <c r="I6407" s="8" t="s">
        <v>4913</v>
      </c>
      <c r="J6407" s="8" t="s">
        <v>1300</v>
      </c>
      <c r="K6407" s="6" t="str">
        <f>"124.397,00"</f>
        <v>124.397,00</v>
      </c>
      <c r="L6407" s="6" t="str">
        <f>"31.099,25"</f>
        <v>31.099,25</v>
      </c>
      <c r="M6407" s="6" t="str">
        <f>"155.496,25"</f>
        <v>155.496,25</v>
      </c>
      <c r="N6407" s="8" t="s">
        <v>4914</v>
      </c>
      <c r="O6407" s="7"/>
      <c r="P6407" s="2" t="s">
        <v>8771</v>
      </c>
      <c r="Q6407" s="7"/>
      <c r="R6407" s="1"/>
      <c r="S6407" s="1" t="str">
        <f>"GZ-131/2020"</f>
        <v>GZ-131/2020</v>
      </c>
      <c r="T6407" s="1" t="s">
        <v>452</v>
      </c>
    </row>
    <row r="6408" spans="1:20" ht="51" x14ac:dyDescent="0.25">
      <c r="A6408" s="6">
        <v>6387</v>
      </c>
      <c r="B6408" s="1" t="str">
        <f>"2019-806"</f>
        <v>2019-806</v>
      </c>
      <c r="C6408" s="1" t="s">
        <v>3380</v>
      </c>
      <c r="D6408" s="1" t="s">
        <v>275</v>
      </c>
      <c r="E6408" s="1" t="str">
        <f>""</f>
        <v/>
      </c>
      <c r="F6408" s="1" t="s">
        <v>1860</v>
      </c>
      <c r="G6408" s="1" t="str">
        <f>CONCATENATE(" PIRIĆ-PROMET D.O.O.,"," KOLAROVA 2,"," 10000 ZAGREB,"," OIB: 17094516543")</f>
        <v xml:space="preserve"> PIRIĆ-PROMET D.O.O., KOLAROVA 2, 10000 ZAGREB, OIB: 17094516543</v>
      </c>
      <c r="H6408" s="7"/>
      <c r="I6408" s="8" t="s">
        <v>4915</v>
      </c>
      <c r="J6408" s="8" t="s">
        <v>2465</v>
      </c>
      <c r="K6408" s="6" t="str">
        <f>"68.400,00"</f>
        <v>68.400,00</v>
      </c>
      <c r="L6408" s="6" t="str">
        <f>"17.100,00"</f>
        <v>17.100,00</v>
      </c>
      <c r="M6408" s="6" t="str">
        <f>"85.500,00"</f>
        <v>85.500,00</v>
      </c>
      <c r="N6408" s="8" t="s">
        <v>4697</v>
      </c>
      <c r="O6408" s="7"/>
      <c r="P6408" s="2" t="s">
        <v>8772</v>
      </c>
      <c r="Q6408" s="7"/>
      <c r="R6408" s="1"/>
      <c r="S6408" s="1" t="str">
        <f>"GZ-169/2020"</f>
        <v>GZ-169/2020</v>
      </c>
      <c r="T6408" s="1" t="s">
        <v>86</v>
      </c>
    </row>
    <row r="6409" spans="1:20" ht="51" x14ac:dyDescent="0.25">
      <c r="A6409" s="6">
        <v>6388</v>
      </c>
      <c r="B6409" s="1" t="str">
        <f>"2019-2467"</f>
        <v>2019-2467</v>
      </c>
      <c r="C6409" s="1" t="s">
        <v>4916</v>
      </c>
      <c r="D6409" s="1" t="s">
        <v>4917</v>
      </c>
      <c r="E6409" s="1" t="str">
        <f>""</f>
        <v/>
      </c>
      <c r="F6409" s="1" t="s">
        <v>1860</v>
      </c>
      <c r="G6409" s="1" t="str">
        <f>CONCATENATE(" HUDEK ZAGREB D.O.O.,"," SUNEKOVA 145,"," 10000 ZAGREB,"," OIB: 43013193376")</f>
        <v xml:space="preserve"> HUDEK ZAGREB D.O.O., SUNEKOVA 145, 10000 ZAGREB, OIB: 43013193376</v>
      </c>
      <c r="H6409" s="7"/>
      <c r="I6409" s="8" t="s">
        <v>742</v>
      </c>
      <c r="J6409" s="8" t="s">
        <v>4165</v>
      </c>
      <c r="K6409" s="6" t="str">
        <f>"130.520,50"</f>
        <v>130.520,50</v>
      </c>
      <c r="L6409" s="6" t="str">
        <f>"32.630,12"</f>
        <v>32.630,12</v>
      </c>
      <c r="M6409" s="6" t="str">
        <f>"163.150,62"</f>
        <v>163.150,62</v>
      </c>
      <c r="N6409" s="8" t="s">
        <v>124</v>
      </c>
      <c r="O6409" s="7"/>
      <c r="P6409" s="2" t="s">
        <v>5614</v>
      </c>
      <c r="Q6409" s="7"/>
      <c r="R6409" s="1"/>
      <c r="S6409" s="1" t="str">
        <f>"GZ-183/2020"</f>
        <v>GZ-183/2020</v>
      </c>
      <c r="T6409" s="1" t="s">
        <v>55</v>
      </c>
    </row>
    <row r="6410" spans="1:20" ht="51" x14ac:dyDescent="0.25">
      <c r="A6410" s="6">
        <v>6389</v>
      </c>
      <c r="B6410" s="1" t="str">
        <f>"2018-3140"</f>
        <v>2018-3140</v>
      </c>
      <c r="C6410" s="1" t="s">
        <v>4918</v>
      </c>
      <c r="D6410" s="1" t="s">
        <v>4919</v>
      </c>
      <c r="E6410" s="1" t="str">
        <f>""</f>
        <v/>
      </c>
      <c r="F6410" s="1" t="s">
        <v>1860</v>
      </c>
      <c r="G6410" s="1" t="str">
        <f>CONCATENATE(" CJEVOMONT D.O.O.,"," POSLOVNA ZONA I br.13,"," 44320 KUTINA,"," OIB: 94229229013")</f>
        <v xml:space="preserve"> CJEVOMONT D.O.O., POSLOVNA ZONA I br.13, 44320 KUTINA, OIB: 94229229013</v>
      </c>
      <c r="H6410" s="7"/>
      <c r="I6410" s="8" t="s">
        <v>3707</v>
      </c>
      <c r="J6410" s="8" t="s">
        <v>4358</v>
      </c>
      <c r="K6410" s="6" t="str">
        <f>"191.591,50"</f>
        <v>191.591,50</v>
      </c>
      <c r="L6410" s="6" t="str">
        <f>"47.897,88"</f>
        <v>47.897,88</v>
      </c>
      <c r="M6410" s="6" t="str">
        <f>"239.489,38"</f>
        <v>239.489,38</v>
      </c>
      <c r="N6410" s="8" t="s">
        <v>4310</v>
      </c>
      <c r="O6410" s="7"/>
      <c r="P6410" s="2" t="s">
        <v>8773</v>
      </c>
      <c r="Q6410" s="7"/>
      <c r="R6410" s="1"/>
      <c r="S6410" s="1" t="str">
        <f>"GZ-322/2019"</f>
        <v>GZ-322/2019</v>
      </c>
      <c r="T6410" s="1" t="s">
        <v>452</v>
      </c>
    </row>
    <row r="6411" spans="1:20" ht="63.75" x14ac:dyDescent="0.25">
      <c r="A6411" s="6">
        <v>6390</v>
      </c>
      <c r="B6411" s="1" t="str">
        <f>"2019-2372"</f>
        <v>2019-2372</v>
      </c>
      <c r="C6411" s="1" t="s">
        <v>1676</v>
      </c>
      <c r="D6411" s="1" t="s">
        <v>267</v>
      </c>
      <c r="E6411" s="1" t="str">
        <f>""</f>
        <v/>
      </c>
      <c r="F6411" s="1" t="s">
        <v>1860</v>
      </c>
      <c r="G6411" s="1" t="str">
        <f>CONCATENATE(" THYSSENKRUPP DIZALA D.O.O.,"," FALLEROVO ŠETALIŠTE 22,"," 10000 ZAGREB,"," OIB: 03861531654")</f>
        <v xml:space="preserve"> THYSSENKRUPP DIZALA D.O.O., FALLEROVO ŠETALIŠTE 22, 10000 ZAGREB, OIB: 03861531654</v>
      </c>
      <c r="H6411" s="7"/>
      <c r="I6411" s="8" t="s">
        <v>4060</v>
      </c>
      <c r="J6411" s="8" t="s">
        <v>4920</v>
      </c>
      <c r="K6411" s="6" t="str">
        <f>"69.372,00"</f>
        <v>69.372,00</v>
      </c>
      <c r="L6411" s="6" t="str">
        <f>"17.343,00"</f>
        <v>17.343,00</v>
      </c>
      <c r="M6411" s="6" t="str">
        <f>"86.715,00"</f>
        <v>86.715,00</v>
      </c>
      <c r="N6411" s="8" t="s">
        <v>4921</v>
      </c>
      <c r="O6411" s="7"/>
      <c r="P6411" s="2" t="s">
        <v>8774</v>
      </c>
      <c r="Q6411" s="7"/>
      <c r="R6411" s="1"/>
      <c r="S6411" s="1" t="str">
        <f>"GZ-519/2019"</f>
        <v>GZ-519/2019</v>
      </c>
      <c r="T6411" s="1" t="s">
        <v>86</v>
      </c>
    </row>
    <row r="6412" spans="1:20" ht="63.75" x14ac:dyDescent="0.25">
      <c r="A6412" s="6">
        <v>6391</v>
      </c>
      <c r="B6412" s="1" t="str">
        <f>"2019-2463"</f>
        <v>2019-2463</v>
      </c>
      <c r="C6412" s="1" t="s">
        <v>4922</v>
      </c>
      <c r="D6412" s="1" t="s">
        <v>900</v>
      </c>
      <c r="E6412" s="1" t="str">
        <f>""</f>
        <v/>
      </c>
      <c r="F6412" s="1" t="s">
        <v>1860</v>
      </c>
      <c r="G6412" s="1" t="str">
        <f>CONCATENATE(" HVAR D.O.O.,"," NIKOLE ŠUBIĆA ZRINSKOG 16/A,"," 10430 SAMOBOR,"," OIB: 5671017787")</f>
        <v xml:space="preserve"> HVAR D.O.O., NIKOLE ŠUBIĆA ZRINSKOG 16/A, 10430 SAMOBOR, OIB: 5671017787</v>
      </c>
      <c r="H6412" s="7"/>
      <c r="I6412" s="8" t="s">
        <v>4078</v>
      </c>
      <c r="J6412" s="8" t="s">
        <v>4203</v>
      </c>
      <c r="K6412" s="6" t="str">
        <f>"106.400,00"</f>
        <v>106.400,00</v>
      </c>
      <c r="L6412" s="6" t="str">
        <f>"26.600,00"</f>
        <v>26.600,00</v>
      </c>
      <c r="M6412" s="6" t="str">
        <f>"133.000,00"</f>
        <v>133.000,00</v>
      </c>
      <c r="N6412" s="8" t="s">
        <v>124</v>
      </c>
      <c r="O6412" s="7"/>
      <c r="P6412" s="2" t="s">
        <v>5614</v>
      </c>
      <c r="Q6412" s="7"/>
      <c r="R6412" s="1"/>
      <c r="S6412" s="1" t="str">
        <f>"GZ-528/2019"</f>
        <v>GZ-528/2019</v>
      </c>
      <c r="T6412" s="1" t="s">
        <v>55</v>
      </c>
    </row>
    <row r="6413" spans="1:20" ht="216.75" x14ac:dyDescent="0.25">
      <c r="A6413" s="6">
        <v>6392</v>
      </c>
      <c r="B6413" s="1" t="str">
        <f>"2019-255"</f>
        <v>2019-255</v>
      </c>
      <c r="C6413" s="1" t="s">
        <v>4923</v>
      </c>
      <c r="D6413" s="1" t="s">
        <v>941</v>
      </c>
      <c r="E6413" s="1" t="str">
        <f>""</f>
        <v/>
      </c>
      <c r="F6413" s="1" t="s">
        <v>1860</v>
      </c>
      <c r="G6413" s="1"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6413" s="7"/>
      <c r="I6413" s="8" t="s">
        <v>492</v>
      </c>
      <c r="J6413" s="8" t="s">
        <v>4226</v>
      </c>
      <c r="K6413" s="6" t="str">
        <f>"423.950,00"</f>
        <v>423.950,00</v>
      </c>
      <c r="L6413" s="6" t="str">
        <f>"105.987,50"</f>
        <v>105.987,50</v>
      </c>
      <c r="M6413" s="6" t="str">
        <f>"529.937,50"</f>
        <v>529.937,50</v>
      </c>
      <c r="N6413" s="8" t="s">
        <v>124</v>
      </c>
      <c r="O6413" s="7"/>
      <c r="P6413" s="2" t="s">
        <v>5614</v>
      </c>
      <c r="Q6413" s="7"/>
      <c r="R6413" s="1"/>
      <c r="S6413" s="1" t="str">
        <f>"GZ-554/2019"</f>
        <v>GZ-554/2019</v>
      </c>
      <c r="T6413" s="1" t="s">
        <v>55</v>
      </c>
    </row>
    <row r="6414" spans="1:20" ht="51" x14ac:dyDescent="0.25">
      <c r="A6414" s="6">
        <v>6393</v>
      </c>
      <c r="B6414" s="1" t="str">
        <f>"2017-326"</f>
        <v>2017-326</v>
      </c>
      <c r="C6414" s="1" t="s">
        <v>4924</v>
      </c>
      <c r="D6414" s="1" t="s">
        <v>2797</v>
      </c>
      <c r="E6414" s="1" t="str">
        <f>""</f>
        <v/>
      </c>
      <c r="F6414" s="1" t="s">
        <v>1860</v>
      </c>
      <c r="G6414" s="1" t="str">
        <f>CONCATENATE(" FEROMIHIN D.O.O.,"," MOSLOVAČKA 22,"," 10315 NOVOSELEC,"," OIB: 34404573953")</f>
        <v xml:space="preserve"> FEROMIHIN D.O.O., MOSLOVAČKA 22, 10315 NOVOSELEC, OIB: 34404573953</v>
      </c>
      <c r="H6414" s="7"/>
      <c r="I6414" s="8" t="s">
        <v>4925</v>
      </c>
      <c r="J6414" s="8" t="s">
        <v>3897</v>
      </c>
      <c r="K6414" s="6" t="str">
        <f>"195.420,00"</f>
        <v>195.420,00</v>
      </c>
      <c r="L6414" s="6" t="str">
        <f>"48.855,00"</f>
        <v>48.855,00</v>
      </c>
      <c r="M6414" s="6" t="str">
        <f>"244.275,00"</f>
        <v>244.275,00</v>
      </c>
      <c r="N6414" s="8" t="s">
        <v>4646</v>
      </c>
      <c r="O6414" s="7"/>
      <c r="P6414" s="2" t="s">
        <v>8775</v>
      </c>
      <c r="Q6414" s="7"/>
      <c r="R6414" s="1"/>
      <c r="S6414" s="1" t="str">
        <f>"GZ-588/2017"</f>
        <v>GZ-588/2017</v>
      </c>
      <c r="T6414" s="1" t="s">
        <v>452</v>
      </c>
    </row>
    <row r="6415" spans="1:20" ht="76.5" x14ac:dyDescent="0.25">
      <c r="A6415" s="6">
        <v>6394</v>
      </c>
      <c r="B6415" s="1" t="str">
        <f>"2019-1323"</f>
        <v>2019-1323</v>
      </c>
      <c r="C6415" s="1" t="s">
        <v>2455</v>
      </c>
      <c r="D6415" s="1" t="s">
        <v>174</v>
      </c>
      <c r="E6415" s="1" t="str">
        <f>""</f>
        <v/>
      </c>
      <c r="F6415" s="1" t="s">
        <v>1860</v>
      </c>
      <c r="G6415" s="1" t="str">
        <f>CONCATENATE(" GTM D.O.O.,"," JURAJA HABDELIĆA 14,"," 10410 VELIKA GORICA,"," OIB: 42349541784")</f>
        <v xml:space="preserve"> GTM D.O.O., JURAJA HABDELIĆA 14, 10410 VELIKA GORICA, OIB: 42349541784</v>
      </c>
      <c r="H6415" s="7"/>
      <c r="I6415" s="8" t="s">
        <v>4926</v>
      </c>
      <c r="J6415" s="8" t="s">
        <v>4927</v>
      </c>
      <c r="K6415" s="6" t="str">
        <f>"170.300,00"</f>
        <v>170.300,00</v>
      </c>
      <c r="L6415" s="6" t="str">
        <f>"42.575,00"</f>
        <v>42.575,00</v>
      </c>
      <c r="M6415" s="6" t="str">
        <f>"212.875,00"</f>
        <v>212.875,00</v>
      </c>
      <c r="N6415" s="8" t="s">
        <v>124</v>
      </c>
      <c r="O6415" s="7"/>
      <c r="P6415" s="2" t="s">
        <v>5614</v>
      </c>
      <c r="Q6415" s="7"/>
      <c r="R6415" s="1"/>
      <c r="S6415" s="1" t="str">
        <f>"GZ-608/2019"</f>
        <v>GZ-608/2019</v>
      </c>
      <c r="T6415" s="1" t="s">
        <v>55</v>
      </c>
    </row>
    <row r="6416" spans="1:20" ht="127.5" x14ac:dyDescent="0.25">
      <c r="A6416" s="6">
        <v>6395</v>
      </c>
      <c r="B6416" s="1" t="str">
        <f>"2019-2540"</f>
        <v>2019-2540</v>
      </c>
      <c r="C6416" s="1" t="s">
        <v>4928</v>
      </c>
      <c r="D6416" s="1" t="s">
        <v>702</v>
      </c>
      <c r="E6416" s="1" t="str">
        <f>""</f>
        <v/>
      </c>
      <c r="F6416" s="1" t="s">
        <v>1860</v>
      </c>
      <c r="G6416" s="1" t="str">
        <f>CONCATENATE(" KINDER OBRT ZA GRADNJU I USLUGE VL. TOMISLAV KINDER,"," VINKA KINDERA 10,"," 10361 SESVETE-KRALJEVEC,"," OIB: 36605135183")</f>
        <v xml:space="preserve"> KINDER OBRT ZA GRADNJU I USLUGE VL. TOMISLAV KINDER, VINKA KINDERA 10, 10361 SESVETE-KRALJEVEC, OIB: 36605135183</v>
      </c>
      <c r="H6416" s="1" t="str">
        <f>CONCATENATE("KINDER GRADNJA D.O.O.,"," OIB: 71001411174",CHAR(10),"ENERGOATEST D.O.O.,"," OIB: 63759424811",CHAR(10),"M G V D.O.O.,"," OIB: 72602155595")</f>
        <v>KINDER GRADNJA D.O.O., OIB: 71001411174
ENERGOATEST D.O.O., OIB: 63759424811
M G V D.O.O., OIB: 72602155595</v>
      </c>
      <c r="I6416" s="8" t="s">
        <v>4926</v>
      </c>
      <c r="J6416" s="8" t="s">
        <v>4927</v>
      </c>
      <c r="K6416" s="6" t="str">
        <f>"241.161,50"</f>
        <v>241.161,50</v>
      </c>
      <c r="L6416" s="6" t="str">
        <f>"60.290,38"</f>
        <v>60.290,38</v>
      </c>
      <c r="M6416" s="6" t="str">
        <f>"301.451,88"</f>
        <v>301.451,88</v>
      </c>
      <c r="N6416" s="8" t="s">
        <v>3977</v>
      </c>
      <c r="O6416" s="7"/>
      <c r="P6416" s="2" t="s">
        <v>8776</v>
      </c>
      <c r="Q6416" s="7"/>
      <c r="R6416" s="1"/>
      <c r="S6416" s="1" t="str">
        <f>"GZ-665/2019"</f>
        <v>GZ-665/2019</v>
      </c>
      <c r="T6416" s="1" t="s">
        <v>452</v>
      </c>
    </row>
    <row r="6417" spans="1:20" ht="63.75" x14ac:dyDescent="0.25">
      <c r="A6417" s="6">
        <v>6396</v>
      </c>
      <c r="B6417" s="1" t="str">
        <f>"2019-228"</f>
        <v>2019-228</v>
      </c>
      <c r="C6417" s="1" t="s">
        <v>3406</v>
      </c>
      <c r="D6417" s="1" t="s">
        <v>2659</v>
      </c>
      <c r="E6417" s="1" t="str">
        <f>""</f>
        <v/>
      </c>
      <c r="F6417" s="1" t="s">
        <v>1860</v>
      </c>
      <c r="G6417" s="1" t="str">
        <f>CONCATENATE(" HENNLICH D.O.O.,"," STUPNIČKOOBREŠKA 17,"," 10255 GORNJI STUPNIK,"," OIB: 44725135398")</f>
        <v xml:space="preserve"> HENNLICH D.O.O., STUPNIČKOOBREŠKA 17, 10255 GORNJI STUPNIK, OIB: 44725135398</v>
      </c>
      <c r="H6417" s="7"/>
      <c r="I6417" s="8" t="s">
        <v>4597</v>
      </c>
      <c r="J6417" s="8" t="s">
        <v>4929</v>
      </c>
      <c r="K6417" s="6" t="str">
        <f>"115.850,00"</f>
        <v>115.850,00</v>
      </c>
      <c r="L6417" s="6" t="str">
        <f>"28.962,50"</f>
        <v>28.962,50</v>
      </c>
      <c r="M6417" s="6" t="str">
        <f>"144.812,50"</f>
        <v>144.812,50</v>
      </c>
      <c r="N6417" s="8" t="s">
        <v>124</v>
      </c>
      <c r="O6417" s="7"/>
      <c r="P6417" s="2" t="s">
        <v>5614</v>
      </c>
      <c r="Q6417" s="7"/>
      <c r="R6417" s="1"/>
      <c r="S6417" s="1" t="str">
        <f>"GZ-675/2019"</f>
        <v>GZ-675/2019</v>
      </c>
      <c r="T6417" s="1" t="s">
        <v>55</v>
      </c>
    </row>
    <row r="6418" spans="1:20" ht="76.5" x14ac:dyDescent="0.25">
      <c r="A6418" s="6">
        <v>6397</v>
      </c>
      <c r="B6418" s="1" t="str">
        <f>"2019-1282"</f>
        <v>2019-1282</v>
      </c>
      <c r="C6418" s="1" t="s">
        <v>4930</v>
      </c>
      <c r="D6418" s="1" t="s">
        <v>1979</v>
      </c>
      <c r="E6418" s="1" t="str">
        <f>""</f>
        <v/>
      </c>
      <c r="F6418" s="1" t="s">
        <v>1860</v>
      </c>
      <c r="G6418" s="1" t="str">
        <f>CONCATENATE(" HIDRO UNA D.O.O.,"," JOSIPA ANIĆA 14,"," 10000 ZAGREB,"," OIB: 60109409627")</f>
        <v xml:space="preserve"> HIDRO UNA D.O.O., JOSIPA ANIĆA 14, 10000 ZAGREB, OIB: 60109409627</v>
      </c>
      <c r="H6418" s="7"/>
      <c r="I6418" s="8" t="s">
        <v>1984</v>
      </c>
      <c r="J6418" s="8" t="s">
        <v>4394</v>
      </c>
      <c r="K6418" s="6" t="str">
        <f>"32.750,00"</f>
        <v>32.750,00</v>
      </c>
      <c r="L6418" s="6" t="str">
        <f>"8.187,50"</f>
        <v>8.187,50</v>
      </c>
      <c r="M6418" s="6" t="str">
        <f>"40.937,50"</f>
        <v>40.937,50</v>
      </c>
      <c r="N6418" s="8" t="s">
        <v>124</v>
      </c>
      <c r="O6418" s="7"/>
      <c r="P6418" s="2" t="s">
        <v>5614</v>
      </c>
      <c r="Q6418" s="7"/>
      <c r="R6418" s="1"/>
      <c r="S6418" s="1" t="str">
        <f>"GZ-677/2019"</f>
        <v>GZ-677/2019</v>
      </c>
      <c r="T6418" s="1" t="s">
        <v>55</v>
      </c>
    </row>
    <row r="6419" spans="1:20" ht="76.5" x14ac:dyDescent="0.25">
      <c r="A6419" s="6">
        <v>6398</v>
      </c>
      <c r="B6419" s="1" t="str">
        <f>"2017-219"</f>
        <v>2017-219</v>
      </c>
      <c r="C6419" s="1" t="s">
        <v>4931</v>
      </c>
      <c r="D6419" s="1" t="s">
        <v>1979</v>
      </c>
      <c r="E6419" s="1" t="str">
        <f>""</f>
        <v/>
      </c>
      <c r="F6419" s="1" t="s">
        <v>1860</v>
      </c>
      <c r="G6419" s="1" t="str">
        <f>CONCATENATE(" IPZ-NISKOGRADNJA D.O.O.,"," TRG BANA JOSIPA JELAČIĆA 1/II,"," 10000 ZAGREB,"," OIB: 79761663049")</f>
        <v xml:space="preserve"> IPZ-NISKOGRADNJA D.O.O., TRG BANA JOSIPA JELAČIĆA 1/II, 10000 ZAGREB, OIB: 79761663049</v>
      </c>
      <c r="H6419" s="7"/>
      <c r="I6419" s="8" t="s">
        <v>4932</v>
      </c>
      <c r="J6419" s="8" t="s">
        <v>4933</v>
      </c>
      <c r="K6419" s="6" t="str">
        <f>"69.100,00"</f>
        <v>69.100,00</v>
      </c>
      <c r="L6419" s="6" t="str">
        <f>"17.275,00"</f>
        <v>17.275,00</v>
      </c>
      <c r="M6419" s="6" t="str">
        <f>"86.375,00"</f>
        <v>86.375,00</v>
      </c>
      <c r="N6419" s="8" t="s">
        <v>370</v>
      </c>
      <c r="O6419" s="7"/>
      <c r="P6419" s="2" t="s">
        <v>8777</v>
      </c>
      <c r="Q6419" s="7"/>
      <c r="R6419" s="1"/>
      <c r="S6419" s="1" t="str">
        <f>"GZ-700/2017"</f>
        <v>GZ-700/2017</v>
      </c>
      <c r="T6419" s="1" t="s">
        <v>55</v>
      </c>
    </row>
    <row r="6420" spans="1:20" ht="38.25" x14ac:dyDescent="0.25">
      <c r="A6420" s="6">
        <v>6399</v>
      </c>
      <c r="B6420" s="1" t="str">
        <f>"2019-313"</f>
        <v>2019-313</v>
      </c>
      <c r="C6420" s="1" t="s">
        <v>4934</v>
      </c>
      <c r="D6420" s="1" t="s">
        <v>1150</v>
      </c>
      <c r="E6420" s="1" t="str">
        <f>""</f>
        <v/>
      </c>
      <c r="F6420" s="1" t="s">
        <v>1860</v>
      </c>
      <c r="G6420" s="1" t="str">
        <f>CONCATENATE(" TTK d.o.o.,"," VRAZOVA 53,"," 47000 KARLOVAC,"," OIB: 32258484464")</f>
        <v xml:space="preserve"> TTK d.o.o., VRAZOVA 53, 47000 KARLOVAC, OIB: 32258484464</v>
      </c>
      <c r="H6420" s="7"/>
      <c r="I6420" s="8" t="s">
        <v>529</v>
      </c>
      <c r="J6420" s="8" t="s">
        <v>4935</v>
      </c>
      <c r="K6420" s="6" t="str">
        <f>"99.700,00"</f>
        <v>99.700,00</v>
      </c>
      <c r="L6420" s="6" t="str">
        <f>"24.925,00"</f>
        <v>24.925,00</v>
      </c>
      <c r="M6420" s="6" t="str">
        <f>"124.625,00"</f>
        <v>124.625,00</v>
      </c>
      <c r="N6420" s="8" t="s">
        <v>124</v>
      </c>
      <c r="O6420" s="7"/>
      <c r="P6420" s="2" t="s">
        <v>5614</v>
      </c>
      <c r="Q6420" s="7"/>
      <c r="R6420" s="1"/>
      <c r="S6420" s="1" t="str">
        <f>"GZ-781/2019"</f>
        <v>GZ-781/2019</v>
      </c>
      <c r="T6420" s="1" t="s">
        <v>55</v>
      </c>
    </row>
    <row r="6421" spans="1:20" ht="38.25" x14ac:dyDescent="0.25">
      <c r="A6421" s="6">
        <v>6400</v>
      </c>
      <c r="B6421" s="1" t="str">
        <f>"2019-2570"</f>
        <v>2019-2570</v>
      </c>
      <c r="C6421" s="1" t="s">
        <v>4936</v>
      </c>
      <c r="D6421" s="1" t="s">
        <v>1150</v>
      </c>
      <c r="E6421" s="1" t="str">
        <f>""</f>
        <v/>
      </c>
      <c r="F6421" s="1" t="s">
        <v>1860</v>
      </c>
      <c r="G6421" s="1" t="str">
        <f>CONCATENATE(" TTK d.o.o.,"," VRAZOVA 53,"," 47000 KARLOVAC,"," OIB: 32258484464")</f>
        <v xml:space="preserve"> TTK d.o.o., VRAZOVA 53, 47000 KARLOVAC, OIB: 32258484464</v>
      </c>
      <c r="H6421" s="7"/>
      <c r="I6421" s="8" t="s">
        <v>4608</v>
      </c>
      <c r="J6421" s="8" t="s">
        <v>4937</v>
      </c>
      <c r="K6421" s="6" t="str">
        <f>"189.890,00"</f>
        <v>189.890,00</v>
      </c>
      <c r="L6421" s="6" t="str">
        <f>"47.472,50"</f>
        <v>47.472,50</v>
      </c>
      <c r="M6421" s="6" t="str">
        <f>"237.362,50"</f>
        <v>237.362,50</v>
      </c>
      <c r="N6421" s="8" t="s">
        <v>124</v>
      </c>
      <c r="O6421" s="7"/>
      <c r="P6421" s="2" t="s">
        <v>5614</v>
      </c>
      <c r="Q6421" s="7"/>
      <c r="R6421" s="1"/>
      <c r="S6421" s="1" t="str">
        <f>"GZ-782/2019"</f>
        <v>GZ-782/2019</v>
      </c>
      <c r="T6421" s="1" t="s">
        <v>55</v>
      </c>
    </row>
    <row r="6422" spans="1:20" ht="51" x14ac:dyDescent="0.25">
      <c r="A6422" s="6">
        <v>6401</v>
      </c>
      <c r="B6422" s="1" t="str">
        <f>"2016-1988"</f>
        <v>2016-1988</v>
      </c>
      <c r="C6422" s="1" t="s">
        <v>4938</v>
      </c>
      <c r="D6422" s="1" t="s">
        <v>1979</v>
      </c>
      <c r="E6422" s="1" t="str">
        <f>""</f>
        <v/>
      </c>
      <c r="F6422" s="1" t="s">
        <v>1860</v>
      </c>
      <c r="G6422" s="1" t="str">
        <f>CONCATENATE(" ARHINGTRADE D.O.O.,"," GAJEVA 47,"," 10000 ZAGREB,"," OIB: 19240285746")</f>
        <v xml:space="preserve"> ARHINGTRADE D.O.O., GAJEVA 47, 10000 ZAGREB, OIB: 19240285746</v>
      </c>
      <c r="H6422" s="7"/>
      <c r="I6422" s="8" t="s">
        <v>3620</v>
      </c>
      <c r="J6422" s="8" t="s">
        <v>3621</v>
      </c>
      <c r="K6422" s="6" t="str">
        <f>"78.000,00"</f>
        <v>78.000,00</v>
      </c>
      <c r="L6422" s="6" t="str">
        <f>"19.500,00"</f>
        <v>19.500,00</v>
      </c>
      <c r="M6422" s="6" t="str">
        <f>"97.500,00"</f>
        <v>97.500,00</v>
      </c>
      <c r="N6422" s="8" t="s">
        <v>124</v>
      </c>
      <c r="O6422" s="7"/>
      <c r="P6422" s="2" t="s">
        <v>5614</v>
      </c>
      <c r="Q6422" s="7"/>
      <c r="R6422" s="1"/>
      <c r="S6422" s="1" t="str">
        <f>"GZ-783/2016"</f>
        <v>GZ-783/2016</v>
      </c>
      <c r="T6422" s="1" t="s">
        <v>55</v>
      </c>
    </row>
    <row r="6423" spans="1:20" ht="51" x14ac:dyDescent="0.25">
      <c r="A6423" s="6">
        <v>6402</v>
      </c>
      <c r="B6423" s="1" t="str">
        <f>"2019-1192"</f>
        <v>2019-1192</v>
      </c>
      <c r="C6423" s="1" t="s">
        <v>4939</v>
      </c>
      <c r="D6423" s="1" t="s">
        <v>702</v>
      </c>
      <c r="E6423" s="1" t="str">
        <f>""</f>
        <v/>
      </c>
      <c r="F6423" s="1" t="s">
        <v>1860</v>
      </c>
      <c r="G6423" s="1" t="str">
        <f>CONCATENATE(" VODOTEHNIKA D.D.,"," KOTURAŠKA CESTA 49,"," 10000 ZAGREB,"," OIB: 1763143132")</f>
        <v xml:space="preserve"> VODOTEHNIKA D.D., KOTURAŠKA CESTA 49, 10000 ZAGREB, OIB: 1763143132</v>
      </c>
      <c r="H6423" s="7"/>
      <c r="I6423" s="8" t="s">
        <v>529</v>
      </c>
      <c r="J6423" s="8" t="s">
        <v>4935</v>
      </c>
      <c r="K6423" s="6" t="str">
        <f>"184.400,00"</f>
        <v>184.400,00</v>
      </c>
      <c r="L6423" s="6" t="str">
        <f>"46.100,00"</f>
        <v>46.100,00</v>
      </c>
      <c r="M6423" s="6" t="str">
        <f>"230.500,00"</f>
        <v>230.500,00</v>
      </c>
      <c r="N6423" s="8" t="s">
        <v>4258</v>
      </c>
      <c r="O6423" s="7"/>
      <c r="P6423" s="2" t="s">
        <v>8778</v>
      </c>
      <c r="Q6423" s="7"/>
      <c r="R6423" s="1"/>
      <c r="S6423" s="1" t="str">
        <f>"GZ-852/2019"</f>
        <v>GZ-852/2019</v>
      </c>
      <c r="T6423" s="1" t="s">
        <v>452</v>
      </c>
    </row>
    <row r="6424" spans="1:20" ht="76.5" x14ac:dyDescent="0.25">
      <c r="A6424" s="6">
        <v>6403</v>
      </c>
      <c r="B6424" s="1" t="str">
        <f>"2019-1555"</f>
        <v>2019-1555</v>
      </c>
      <c r="C6424" s="1" t="s">
        <v>4940</v>
      </c>
      <c r="D6424" s="1" t="s">
        <v>2107</v>
      </c>
      <c r="E6424" s="1" t="str">
        <f>""</f>
        <v/>
      </c>
      <c r="F6424" s="1" t="s">
        <v>1860</v>
      </c>
      <c r="G6424" s="1" t="str">
        <f>CONCATENATE(" PROSPECTUS D.O.O.,"," PAVLENSKI PUT 7F,"," 1000 ZAGREB,"," OIB: 50481342682")</f>
        <v xml:space="preserve"> PROSPECTUS D.O.O., PAVLENSKI PUT 7F, 1000 ZAGREB, OIB: 50481342682</v>
      </c>
      <c r="H6424" s="7"/>
      <c r="I6424" s="8" t="s">
        <v>4941</v>
      </c>
      <c r="J6424" s="8" t="s">
        <v>4254</v>
      </c>
      <c r="K6424" s="6" t="str">
        <f>"175.000,00"</f>
        <v>175.000,00</v>
      </c>
      <c r="L6424" s="6" t="str">
        <f>"43.750,00"</f>
        <v>43.750,00</v>
      </c>
      <c r="M6424" s="6" t="str">
        <f>"218.750,00"</f>
        <v>218.750,00</v>
      </c>
      <c r="N6424" s="8" t="s">
        <v>124</v>
      </c>
      <c r="O6424" s="7"/>
      <c r="P6424" s="2" t="s">
        <v>5614</v>
      </c>
      <c r="Q6424" s="7"/>
      <c r="R6424" s="1"/>
      <c r="S6424" s="1" t="str">
        <f>"GZ-889/2019"</f>
        <v>GZ-889/2019</v>
      </c>
      <c r="T6424" s="1" t="s">
        <v>55</v>
      </c>
    </row>
    <row r="6425" spans="1:20" ht="51" x14ac:dyDescent="0.25">
      <c r="A6425" s="6">
        <v>6404</v>
      </c>
      <c r="B6425" s="1" t="str">
        <f>"2019-776"</f>
        <v>2019-776</v>
      </c>
      <c r="C6425" s="1" t="s">
        <v>2342</v>
      </c>
      <c r="D6425" s="1" t="s">
        <v>74</v>
      </c>
      <c r="E6425" s="1" t="str">
        <f>""</f>
        <v/>
      </c>
      <c r="F6425" s="1" t="s">
        <v>1860</v>
      </c>
      <c r="G6425" s="1" t="str">
        <f>CONCATENATE(" ZAGREB DATA D.O.O.,"," HRVATSKOG PROLJEĆA 28,"," 10000 ZAGREB,"," OIB: 27712717103")</f>
        <v xml:space="preserve"> ZAGREB DATA D.O.O., HRVATSKOG PROLJEĆA 28, 10000 ZAGREB, OIB: 27712717103</v>
      </c>
      <c r="H6425" s="7"/>
      <c r="I6425" s="8" t="s">
        <v>4271</v>
      </c>
      <c r="J6425" s="8" t="s">
        <v>2536</v>
      </c>
      <c r="K6425" s="6" t="str">
        <f>"141.200,00"</f>
        <v>141.200,00</v>
      </c>
      <c r="L6425" s="6" t="str">
        <f>"35.300,00"</f>
        <v>35.300,00</v>
      </c>
      <c r="M6425" s="6" t="str">
        <f>"176.500,00"</f>
        <v>176.500,00</v>
      </c>
      <c r="N6425" s="8" t="s">
        <v>124</v>
      </c>
      <c r="O6425" s="7"/>
      <c r="P6425" s="2" t="s">
        <v>5614</v>
      </c>
      <c r="Q6425" s="7"/>
      <c r="R6425" s="1"/>
      <c r="S6425" s="1" t="str">
        <f>"GZ-916/2019"</f>
        <v>GZ-916/2019</v>
      </c>
      <c r="T6425" s="1" t="s">
        <v>1055</v>
      </c>
    </row>
    <row r="6426" spans="1:20" ht="51" x14ac:dyDescent="0.25">
      <c r="A6426" s="6">
        <v>6405</v>
      </c>
      <c r="B6426" s="1" t="str">
        <f>"2019-1766"</f>
        <v>2019-1766</v>
      </c>
      <c r="C6426" s="1" t="s">
        <v>2371</v>
      </c>
      <c r="D6426" s="1" t="s">
        <v>2372</v>
      </c>
      <c r="E6426" s="1" t="str">
        <f>""</f>
        <v/>
      </c>
      <c r="F6426" s="1" t="s">
        <v>1860</v>
      </c>
      <c r="G6426" s="1" t="str">
        <f>CONCATENATE(" HM PATRIA D.O.O.,"," OBOJ 47,"," 10000 ZAGREB,"," OIB: 89124687679")</f>
        <v xml:space="preserve"> HM PATRIA D.O.O., OBOJ 47, 10000 ZAGREB, OIB: 89124687679</v>
      </c>
      <c r="H6426" s="7"/>
      <c r="I6426" s="8" t="s">
        <v>4672</v>
      </c>
      <c r="J6426" s="8" t="s">
        <v>4942</v>
      </c>
      <c r="K6426" s="6" t="str">
        <f>"86.600,00"</f>
        <v>86.600,00</v>
      </c>
      <c r="L6426" s="6" t="str">
        <f>"21.650,00"</f>
        <v>21.650,00</v>
      </c>
      <c r="M6426" s="6" t="str">
        <f>"108.250,00"</f>
        <v>108.250,00</v>
      </c>
      <c r="N6426" s="8" t="s">
        <v>124</v>
      </c>
      <c r="O6426" s="7"/>
      <c r="P6426" s="2" t="s">
        <v>5614</v>
      </c>
      <c r="Q6426" s="7"/>
      <c r="R6426" s="1"/>
      <c r="S6426" s="1" t="str">
        <f>"GZ-927/2019"</f>
        <v>GZ-927/2019</v>
      </c>
      <c r="T6426" s="1" t="s">
        <v>55</v>
      </c>
    </row>
    <row r="6427" spans="1:20" ht="51" x14ac:dyDescent="0.25">
      <c r="A6427" s="6">
        <v>6406</v>
      </c>
      <c r="B6427" s="1" t="str">
        <f>"2019-796"</f>
        <v>2019-796</v>
      </c>
      <c r="C6427" s="1" t="s">
        <v>3701</v>
      </c>
      <c r="D6427" s="1" t="s">
        <v>381</v>
      </c>
      <c r="E6427" s="1" t="str">
        <f>""</f>
        <v/>
      </c>
      <c r="F6427" s="1" t="s">
        <v>1860</v>
      </c>
      <c r="G6427" s="1" t="str">
        <f>CONCATENATE(" TPK-ZAVOD D.D.,"," SLAVONSKA AVENIJA 20,"," 10000 ZAGREB,"," OIB: 95418386802")</f>
        <v xml:space="preserve"> TPK-ZAVOD D.D., SLAVONSKA AVENIJA 20, 10000 ZAGREB, OIB: 95418386802</v>
      </c>
      <c r="H6427" s="7"/>
      <c r="I6427" s="8" t="s">
        <v>4442</v>
      </c>
      <c r="J6427" s="8" t="s">
        <v>4943</v>
      </c>
      <c r="K6427" s="6" t="str">
        <f>"173.400,00"</f>
        <v>173.400,00</v>
      </c>
      <c r="L6427" s="6" t="str">
        <f>"43.350,00"</f>
        <v>43.350,00</v>
      </c>
      <c r="M6427" s="6" t="str">
        <f>"216.750,00"</f>
        <v>216.750,00</v>
      </c>
      <c r="N6427" s="8" t="s">
        <v>902</v>
      </c>
      <c r="O6427" s="7"/>
      <c r="P6427" s="2" t="s">
        <v>8779</v>
      </c>
      <c r="Q6427" s="7"/>
      <c r="R6427" s="1"/>
      <c r="S6427" s="1" t="str">
        <f>"GZ-928/2019"</f>
        <v>GZ-928/2019</v>
      </c>
      <c r="T6427" s="1" t="s">
        <v>452</v>
      </c>
    </row>
    <row r="6428" spans="1:20" ht="76.5" x14ac:dyDescent="0.25">
      <c r="A6428" s="6">
        <v>6407</v>
      </c>
      <c r="B6428" s="1" t="str">
        <f>"2020-1487"</f>
        <v>2020-1487</v>
      </c>
      <c r="C6428" s="1" t="s">
        <v>2455</v>
      </c>
      <c r="D6428" s="1" t="s">
        <v>174</v>
      </c>
      <c r="E6428" s="1" t="str">
        <f>""</f>
        <v/>
      </c>
      <c r="F6428" s="1" t="s">
        <v>1860</v>
      </c>
      <c r="G6428" s="1" t="str">
        <f>CONCATENATE(" FIMAK NEKRETNINE D.O.O.,"," STRMEČKA CESTA 35,"," 10020 ZAGREB,"," OIB: 7145828752")</f>
        <v xml:space="preserve"> FIMAK NEKRETNINE D.O.O., STRMEČKA CESTA 35, 10020 ZAGREB, OIB: 7145828752</v>
      </c>
      <c r="H6428" s="7"/>
      <c r="I6428" s="8" t="s">
        <v>4943</v>
      </c>
      <c r="J6428" s="8" t="s">
        <v>2812</v>
      </c>
      <c r="K6428" s="6" t="str">
        <f>"295.000,00"</f>
        <v>295.000,00</v>
      </c>
      <c r="L6428" s="6" t="str">
        <f>"73.750,00"</f>
        <v>73.750,00</v>
      </c>
      <c r="M6428" s="6" t="str">
        <f>"368.750,00"</f>
        <v>368.750,00</v>
      </c>
      <c r="N6428" s="8" t="s">
        <v>124</v>
      </c>
      <c r="O6428" s="7"/>
      <c r="P6428" s="2" t="s">
        <v>5614</v>
      </c>
      <c r="Q6428" s="7"/>
      <c r="R6428" s="1"/>
      <c r="S6428" s="1" t="str">
        <f>"GZ-930/2020"</f>
        <v>GZ-930/2020</v>
      </c>
      <c r="T6428" s="1" t="s">
        <v>55</v>
      </c>
    </row>
    <row r="6429" spans="1:20" ht="63.75" x14ac:dyDescent="0.25">
      <c r="A6429" s="6">
        <v>6408</v>
      </c>
      <c r="B6429" s="1" t="str">
        <f>"2016-2027"</f>
        <v>2016-2027</v>
      </c>
      <c r="C6429" s="1" t="s">
        <v>4944</v>
      </c>
      <c r="D6429" s="1" t="s">
        <v>1979</v>
      </c>
      <c r="E6429" s="1" t="str">
        <f>""</f>
        <v/>
      </c>
      <c r="F6429" s="1" t="s">
        <v>1860</v>
      </c>
      <c r="G6429" s="1" t="str">
        <f>CONCATENATE(" ARHINGTRADE D.O.O.,"," GAJEVA 47,"," 10000 ZAGREB,"," OIB: 19240285746")</f>
        <v xml:space="preserve"> ARHINGTRADE D.O.O., GAJEVA 47, 10000 ZAGREB, OIB: 19240285746</v>
      </c>
      <c r="H6429" s="7"/>
      <c r="I6429" s="8" t="s">
        <v>3675</v>
      </c>
      <c r="J6429" s="8" t="s">
        <v>4945</v>
      </c>
      <c r="K6429" s="6" t="str">
        <f>"87.000,00"</f>
        <v>87.000,00</v>
      </c>
      <c r="L6429" s="6" t="str">
        <f>"21.750,00"</f>
        <v>21.750,00</v>
      </c>
      <c r="M6429" s="6" t="str">
        <f>"108.750,00"</f>
        <v>108.750,00</v>
      </c>
      <c r="N6429" s="8" t="s">
        <v>124</v>
      </c>
      <c r="O6429" s="7"/>
      <c r="P6429" s="2" t="s">
        <v>5614</v>
      </c>
      <c r="Q6429" s="7"/>
      <c r="R6429" s="1"/>
      <c r="S6429" s="1" t="str">
        <f>"GZ-973/2016"</f>
        <v>GZ-973/2016</v>
      </c>
      <c r="T6429" s="1" t="s">
        <v>55</v>
      </c>
    </row>
    <row r="6430" spans="1:20" ht="51" x14ac:dyDescent="0.25">
      <c r="A6430" s="6">
        <v>6409</v>
      </c>
      <c r="B6430" s="1" t="str">
        <f>"2020-903"</f>
        <v>2020-903</v>
      </c>
      <c r="C6430" s="1" t="s">
        <v>2342</v>
      </c>
      <c r="D6430" s="1" t="s">
        <v>74</v>
      </c>
      <c r="E6430" s="1" t="str">
        <f>""</f>
        <v/>
      </c>
      <c r="F6430" s="1" t="s">
        <v>1860</v>
      </c>
      <c r="G6430" s="1" t="str">
        <f>CONCATENATE(" ZAGREB DATA D.O.O.,"," HRVATSKOG PROLJEĆA 28,"," 10000 ZAGREB,"," OIB: 27712717103")</f>
        <v xml:space="preserve"> ZAGREB DATA D.O.O., HRVATSKOG PROLJEĆA 28, 10000 ZAGREB, OIB: 27712717103</v>
      </c>
      <c r="H6430" s="7"/>
      <c r="I6430" s="8" t="s">
        <v>889</v>
      </c>
      <c r="J6430" s="8" t="s">
        <v>223</v>
      </c>
      <c r="K6430" s="6" t="str">
        <f>"134.200,00"</f>
        <v>134.200,00</v>
      </c>
      <c r="L6430" s="6" t="str">
        <f>"33.550,00"</f>
        <v>33.550,00</v>
      </c>
      <c r="M6430" s="6" t="str">
        <f>"167.750,00"</f>
        <v>167.750,00</v>
      </c>
      <c r="N6430" s="8" t="s">
        <v>124</v>
      </c>
      <c r="O6430" s="7"/>
      <c r="P6430" s="2" t="s">
        <v>5614</v>
      </c>
      <c r="Q6430" s="7"/>
      <c r="R6430" s="1"/>
      <c r="S6430" s="1" t="str">
        <f>"GZ-997/2020"</f>
        <v>GZ-997/2020</v>
      </c>
      <c r="T6430" s="1" t="s">
        <v>1055</v>
      </c>
    </row>
    <row r="6431" spans="1:20" ht="51" x14ac:dyDescent="0.25">
      <c r="A6431" s="6">
        <v>6410</v>
      </c>
      <c r="B6431" s="1" t="str">
        <f>"2019-2721"</f>
        <v>2019-2721</v>
      </c>
      <c r="C6431" s="1" t="s">
        <v>4946</v>
      </c>
      <c r="D6431" s="1" t="s">
        <v>1383</v>
      </c>
      <c r="E6431" s="1" t="str">
        <f>""</f>
        <v/>
      </c>
      <c r="F6431" s="1" t="s">
        <v>1860</v>
      </c>
      <c r="G6431" s="1" t="str">
        <f>CONCATENATE(" KINDER GRADNJA D.O.O.,"," SELSKA 57,"," 10360 SESVETE,"," OIB: 71001411174")</f>
        <v xml:space="preserve"> KINDER GRADNJA D.O.O., SELSKA 57, 10360 SESVETE, OIB: 71001411174</v>
      </c>
      <c r="H6431" s="7"/>
      <c r="I6431" s="8" t="s">
        <v>538</v>
      </c>
      <c r="J6431" s="8" t="s">
        <v>4947</v>
      </c>
      <c r="K6431" s="6" t="str">
        <f>"499.000,00"</f>
        <v>499.000,00</v>
      </c>
      <c r="L6431" s="6" t="str">
        <f>"124.750,00"</f>
        <v>124.750,00</v>
      </c>
      <c r="M6431" s="6" t="str">
        <f>"623.750,00"</f>
        <v>623.750,00</v>
      </c>
      <c r="N6431" s="8" t="s">
        <v>124</v>
      </c>
      <c r="O6431" s="7"/>
      <c r="P6431" s="2" t="s">
        <v>5614</v>
      </c>
      <c r="Q6431" s="7"/>
      <c r="R6431" s="1"/>
      <c r="S6431" s="1" t="str">
        <f>"GZ-1030/2019"</f>
        <v>GZ-1030/2019</v>
      </c>
      <c r="T6431" s="1" t="s">
        <v>55</v>
      </c>
    </row>
    <row r="6432" spans="1:20" ht="51" x14ac:dyDescent="0.25">
      <c r="A6432" s="6">
        <v>6411</v>
      </c>
      <c r="B6432" s="1" t="str">
        <f>"2018-2750"</f>
        <v>2018-2750</v>
      </c>
      <c r="C6432" s="1" t="s">
        <v>4948</v>
      </c>
      <c r="D6432" s="1" t="s">
        <v>1888</v>
      </c>
      <c r="E6432" s="1" t="str">
        <f>""</f>
        <v/>
      </c>
      <c r="F6432" s="1" t="s">
        <v>1860</v>
      </c>
      <c r="G6432" s="1" t="str">
        <f>CONCATENATE(" COMET D.O.O.,"," VARAŽDINSKA 40/C,"," 42220 NOVI MAROF,"," OIB: 48249084626")</f>
        <v xml:space="preserve"> COMET D.O.O., VARAŽDINSKA 40/C, 42220 NOVI MAROF, OIB: 48249084626</v>
      </c>
      <c r="H6432" s="7"/>
      <c r="I6432" s="8" t="s">
        <v>4080</v>
      </c>
      <c r="J6432" s="8" t="s">
        <v>4081</v>
      </c>
      <c r="K6432" s="6" t="str">
        <f>"171.889,00"</f>
        <v>171.889,00</v>
      </c>
      <c r="L6432" s="6" t="str">
        <f>"42.972,25"</f>
        <v>42.972,25</v>
      </c>
      <c r="M6432" s="6" t="str">
        <f>"214.861,25"</f>
        <v>214.861,25</v>
      </c>
      <c r="N6432" s="8" t="s">
        <v>3790</v>
      </c>
      <c r="O6432" s="7"/>
      <c r="P6432" s="2" t="s">
        <v>8780</v>
      </c>
      <c r="Q6432" s="7"/>
      <c r="R6432" s="1"/>
      <c r="S6432" s="1" t="str">
        <f>"GZ-1051/2018"</f>
        <v>GZ-1051/2018</v>
      </c>
      <c r="T6432" s="1" t="s">
        <v>452</v>
      </c>
    </row>
    <row r="6433" spans="1:20" ht="89.25" x14ac:dyDescent="0.25">
      <c r="A6433" s="6">
        <v>6412</v>
      </c>
      <c r="B6433" s="1" t="str">
        <f>"2018-633"</f>
        <v>2018-633</v>
      </c>
      <c r="C6433" s="1" t="s">
        <v>4949</v>
      </c>
      <c r="D6433" s="1" t="s">
        <v>1979</v>
      </c>
      <c r="E6433" s="1" t="str">
        <f>""</f>
        <v/>
      </c>
      <c r="F6433" s="1" t="s">
        <v>1860</v>
      </c>
      <c r="G6433" s="1" t="str">
        <f>CONCATENATE(" HIDRO UNA D.O.O.,"," JOSIPA ANIĆA 14,"," 10000 ZAGREB,"," OIB: 60109409627")</f>
        <v xml:space="preserve"> HIDRO UNA D.O.O., JOSIPA ANIĆA 14, 10000 ZAGREB, OIB: 60109409627</v>
      </c>
      <c r="H6433" s="1" t="str">
        <f>CONCATENATE("URED OVLAŠTENOG INŽENJERU GEODEZIJE MARKO BRCKOVIĆ,"," OIB: 28599647174")</f>
        <v>URED OVLAŠTENOG INŽENJERU GEODEZIJE MARKO BRCKOVIĆ, OIB: 28599647174</v>
      </c>
      <c r="I6433" s="8" t="s">
        <v>3687</v>
      </c>
      <c r="J6433" s="8" t="s">
        <v>3915</v>
      </c>
      <c r="K6433" s="6" t="str">
        <f>"45.110,00"</f>
        <v>45.110,00</v>
      </c>
      <c r="L6433" s="6" t="str">
        <f>"11.277,50"</f>
        <v>11.277,50</v>
      </c>
      <c r="M6433" s="6" t="str">
        <f>"56.387,50"</f>
        <v>56.387,50</v>
      </c>
      <c r="N6433" s="8" t="s">
        <v>124</v>
      </c>
      <c r="O6433" s="7"/>
      <c r="P6433" s="2" t="s">
        <v>5614</v>
      </c>
      <c r="Q6433" s="7"/>
      <c r="R6433" s="1"/>
      <c r="S6433" s="1" t="str">
        <f>"GZ-1092/2018"</f>
        <v>GZ-1092/2018</v>
      </c>
      <c r="T6433" s="1" t="s">
        <v>55</v>
      </c>
    </row>
    <row r="6434" spans="1:20" ht="63.75" x14ac:dyDescent="0.25">
      <c r="A6434" s="6">
        <v>6413</v>
      </c>
      <c r="B6434" s="1" t="str">
        <f>"2016-1940"</f>
        <v>2016-1940</v>
      </c>
      <c r="C6434" s="1" t="s">
        <v>4950</v>
      </c>
      <c r="D6434" s="1" t="s">
        <v>1979</v>
      </c>
      <c r="E6434" s="1" t="str">
        <f>""</f>
        <v/>
      </c>
      <c r="F6434" s="1" t="s">
        <v>1860</v>
      </c>
      <c r="G6434" s="1" t="str">
        <f>CONCATENATE(" HIDROKONZALT PROJEKTIRANJE D.O.O.,"," KRALJA ZVONIMIRA 60,"," 21210 SOLIN,"," OIB: 32472397445")</f>
        <v xml:space="preserve"> HIDROKONZALT PROJEKTIRANJE D.O.O., KRALJA ZVONIMIRA 60, 21210 SOLIN, OIB: 32472397445</v>
      </c>
      <c r="H6434" s="7"/>
      <c r="I6434" s="8" t="s">
        <v>4784</v>
      </c>
      <c r="J6434" s="8" t="s">
        <v>4785</v>
      </c>
      <c r="K6434" s="6" t="str">
        <f>"37.000,00"</f>
        <v>37.000,00</v>
      </c>
      <c r="L6434" s="6" t="str">
        <f>"9.250,00"</f>
        <v>9.250,00</v>
      </c>
      <c r="M6434" s="6" t="str">
        <f>"46.250,00"</f>
        <v>46.250,00</v>
      </c>
      <c r="N6434" s="8" t="s">
        <v>124</v>
      </c>
      <c r="O6434" s="7"/>
      <c r="P6434" s="2" t="s">
        <v>5614</v>
      </c>
      <c r="Q6434" s="7"/>
      <c r="R6434" s="1"/>
      <c r="S6434" s="1" t="str">
        <f>"GZ-1170/2016"</f>
        <v>GZ-1170/2016</v>
      </c>
      <c r="T6434" s="1" t="s">
        <v>55</v>
      </c>
    </row>
    <row r="6435" spans="1:20" ht="51" x14ac:dyDescent="0.25">
      <c r="A6435" s="6">
        <v>6414</v>
      </c>
      <c r="B6435" s="1" t="str">
        <f>"2020-953"</f>
        <v>2020-953</v>
      </c>
      <c r="C6435" s="1" t="s">
        <v>4951</v>
      </c>
      <c r="D6435" s="1" t="s">
        <v>2168</v>
      </c>
      <c r="E6435" s="1" t="str">
        <f>""</f>
        <v/>
      </c>
      <c r="F6435" s="1" t="s">
        <v>1860</v>
      </c>
      <c r="G6435" s="1" t="str">
        <f>CONCATENATE(" DOMINVEST D.O.O.,"," KNEZA BRANIMIRA 65,"," 48000 KOPRIVNICA,"," OIB: 43105237892")</f>
        <v xml:space="preserve"> DOMINVEST D.O.O., KNEZA BRANIMIRA 65, 48000 KOPRIVNICA, OIB: 43105237892</v>
      </c>
      <c r="H6435" s="7"/>
      <c r="I6435" s="8" t="s">
        <v>2011</v>
      </c>
      <c r="J6435" s="8" t="s">
        <v>656</v>
      </c>
      <c r="K6435" s="6" t="str">
        <f>"409.520,00"</f>
        <v>409.520,00</v>
      </c>
      <c r="L6435" s="6" t="str">
        <f>"102.380,00"</f>
        <v>102.380,00</v>
      </c>
      <c r="M6435" s="6" t="str">
        <f>"511.900,00"</f>
        <v>511.900,00</v>
      </c>
      <c r="N6435" s="8" t="s">
        <v>1050</v>
      </c>
      <c r="O6435" s="7"/>
      <c r="P6435" s="2" t="s">
        <v>8781</v>
      </c>
      <c r="Q6435" s="1"/>
      <c r="R6435" s="1"/>
      <c r="S6435" s="1" t="str">
        <f>"GZ-1187/2020"</f>
        <v>GZ-1187/2020</v>
      </c>
      <c r="T6435" s="1" t="s">
        <v>32</v>
      </c>
    </row>
    <row r="6436" spans="1:20" ht="76.5" x14ac:dyDescent="0.25">
      <c r="A6436" s="6">
        <v>6415</v>
      </c>
      <c r="B6436" s="1" t="str">
        <f>"2016-2958"</f>
        <v>2016-2958</v>
      </c>
      <c r="C6436" s="1" t="s">
        <v>4952</v>
      </c>
      <c r="D6436" s="1" t="s">
        <v>1979</v>
      </c>
      <c r="E6436" s="1" t="str">
        <f>""</f>
        <v/>
      </c>
      <c r="F6436" s="1" t="s">
        <v>1860</v>
      </c>
      <c r="G6436" s="1" t="str">
        <f>CONCATENATE(" PROJEKTNI BIRO NAGLIĆ D.O.O.,"," OLIBSKA 17,"," 10000 ZAGREB,"," OIB: 18216105743")</f>
        <v xml:space="preserve"> PROJEKTNI BIRO NAGLIĆ D.O.O., OLIBSKA 17, 10000 ZAGREB, OIB: 18216105743</v>
      </c>
      <c r="H6436" s="7"/>
      <c r="I6436" s="8" t="s">
        <v>3731</v>
      </c>
      <c r="J6436" s="8" t="s">
        <v>3732</v>
      </c>
      <c r="K6436" s="6" t="str">
        <f>"38.000,00"</f>
        <v>38.000,00</v>
      </c>
      <c r="L6436" s="6" t="str">
        <f>"9.500,00"</f>
        <v>9.500,00</v>
      </c>
      <c r="M6436" s="6" t="str">
        <f>"47.500,00"</f>
        <v>47.500,00</v>
      </c>
      <c r="N6436" s="8" t="s">
        <v>576</v>
      </c>
      <c r="O6436" s="7"/>
      <c r="P6436" s="2" t="s">
        <v>8782</v>
      </c>
      <c r="Q6436" s="7"/>
      <c r="R6436" s="1"/>
      <c r="S6436" s="1" t="str">
        <f>"GZ-1205/2016"</f>
        <v>GZ-1205/2016</v>
      </c>
      <c r="T6436" s="1" t="s">
        <v>55</v>
      </c>
    </row>
    <row r="6437" spans="1:20" ht="63.75" x14ac:dyDescent="0.25">
      <c r="A6437" s="6">
        <v>6416</v>
      </c>
      <c r="B6437" s="1" t="str">
        <f>"2019-2535"</f>
        <v>2019-2535</v>
      </c>
      <c r="C6437" s="1" t="s">
        <v>4953</v>
      </c>
      <c r="D6437" s="1" t="s">
        <v>2057</v>
      </c>
      <c r="E6437" s="1" t="str">
        <f>""</f>
        <v/>
      </c>
      <c r="F6437" s="1" t="s">
        <v>1860</v>
      </c>
      <c r="G6437" s="1" t="str">
        <f>CONCATENATE(" PROJECT 4 YOU D.O.O.,"," KLENOVEC 44,"," 10431 SVETA NEDELJA,"," OIB: 330813372")</f>
        <v xml:space="preserve"> PROJECT 4 YOU D.O.O., KLENOVEC 44, 10431 SVETA NEDELJA, OIB: 330813372</v>
      </c>
      <c r="H6437" s="7"/>
      <c r="I6437" s="8" t="s">
        <v>4294</v>
      </c>
      <c r="J6437" s="8" t="s">
        <v>2011</v>
      </c>
      <c r="K6437" s="6" t="str">
        <f>"32.250,00"</f>
        <v>32.250,00</v>
      </c>
      <c r="L6437" s="6" t="str">
        <f>"8.062,50"</f>
        <v>8.062,50</v>
      </c>
      <c r="M6437" s="6" t="str">
        <f>"40.312,50"</f>
        <v>40.312,50</v>
      </c>
      <c r="N6437" s="8" t="s">
        <v>124</v>
      </c>
      <c r="O6437" s="7"/>
      <c r="P6437" s="2" t="s">
        <v>5614</v>
      </c>
      <c r="Q6437" s="7"/>
      <c r="R6437" s="1"/>
      <c r="S6437" s="1" t="str">
        <f>"GZ-1218/2019"</f>
        <v>GZ-1218/2019</v>
      </c>
      <c r="T6437" s="1" t="s">
        <v>55</v>
      </c>
    </row>
    <row r="6438" spans="1:20" ht="63.75" x14ac:dyDescent="0.25">
      <c r="A6438" s="6">
        <v>6417</v>
      </c>
      <c r="B6438" s="1" t="str">
        <f>"2017-2733"</f>
        <v>2017-2733</v>
      </c>
      <c r="C6438" s="1" t="s">
        <v>859</v>
      </c>
      <c r="D6438" s="1" t="s">
        <v>860</v>
      </c>
      <c r="E6438" s="1" t="str">
        <f>""</f>
        <v/>
      </c>
      <c r="F6438" s="1" t="s">
        <v>1860</v>
      </c>
      <c r="G6438" s="1" t="str">
        <f>CONCATENATE(" MONTER-STROJARSKE MONTAŽE D.D.,"," VELIMIRA ŠKORPIKA 28,"," 10000 ZAGREB,"," OIB: 13887374452")</f>
        <v xml:space="preserve"> MONTER-STROJARSKE MONTAŽE D.D., VELIMIRA ŠKORPIKA 28, 10000 ZAGREB, OIB: 13887374452</v>
      </c>
      <c r="H6438" s="7"/>
      <c r="I6438" s="8" t="s">
        <v>4800</v>
      </c>
      <c r="J6438" s="8" t="s">
        <v>4954</v>
      </c>
      <c r="K6438" s="6" t="str">
        <f>"158.123,64"</f>
        <v>158.123,64</v>
      </c>
      <c r="L6438" s="6" t="str">
        <f>"39.530,91"</f>
        <v>39.530,91</v>
      </c>
      <c r="M6438" s="6" t="str">
        <f>"197.654,55"</f>
        <v>197.654,55</v>
      </c>
      <c r="N6438" s="8" t="s">
        <v>3913</v>
      </c>
      <c r="O6438" s="7"/>
      <c r="P6438" s="2" t="s">
        <v>8783</v>
      </c>
      <c r="Q6438" s="7"/>
      <c r="R6438" s="1"/>
      <c r="S6438" s="1" t="str">
        <f>"GZ-1241/2017"</f>
        <v>GZ-1241/2017</v>
      </c>
      <c r="T6438" s="1" t="s">
        <v>452</v>
      </c>
    </row>
    <row r="6439" spans="1:20" ht="63.75" x14ac:dyDescent="0.25">
      <c r="A6439" s="6">
        <v>6418</v>
      </c>
      <c r="B6439" s="1" t="str">
        <f>"2016-2010"</f>
        <v>2016-2010</v>
      </c>
      <c r="C6439" s="1" t="s">
        <v>4955</v>
      </c>
      <c r="D6439" s="1" t="s">
        <v>1979</v>
      </c>
      <c r="E6439" s="1" t="str">
        <f>""</f>
        <v/>
      </c>
      <c r="F6439" s="1" t="s">
        <v>1860</v>
      </c>
      <c r="G6439" s="1" t="str">
        <f>CONCATENATE(" HIDROKONZALT PROJEKTIRANJE D.O.O.,"," KRALJA ZVONIMIRA 60,"," 21210 SOLIN,"," OIB: 32472397445")</f>
        <v xml:space="preserve"> HIDROKONZALT PROJEKTIRANJE D.O.O., KRALJA ZVONIMIRA 60, 21210 SOLIN, OIB: 32472397445</v>
      </c>
      <c r="H6439" s="7"/>
      <c r="I6439" s="8" t="s">
        <v>4797</v>
      </c>
      <c r="J6439" s="8" t="s">
        <v>3749</v>
      </c>
      <c r="K6439" s="6" t="str">
        <f>"89.000,00"</f>
        <v>89.000,00</v>
      </c>
      <c r="L6439" s="6" t="str">
        <f>"22.250,00"</f>
        <v>22.250,00</v>
      </c>
      <c r="M6439" s="6" t="str">
        <f>"111.250,00"</f>
        <v>111.250,00</v>
      </c>
      <c r="N6439" s="8" t="s">
        <v>124</v>
      </c>
      <c r="O6439" s="7"/>
      <c r="P6439" s="2" t="s">
        <v>5614</v>
      </c>
      <c r="Q6439" s="7"/>
      <c r="R6439" s="1"/>
      <c r="S6439" s="1" t="str">
        <f>"GZ-1249/2016"</f>
        <v>GZ-1249/2016</v>
      </c>
      <c r="T6439" s="1" t="s">
        <v>55</v>
      </c>
    </row>
    <row r="6440" spans="1:20" ht="51" x14ac:dyDescent="0.25">
      <c r="A6440" s="6">
        <v>6419</v>
      </c>
      <c r="B6440" s="1" t="str">
        <f>"2016-2913"</f>
        <v>2016-2913</v>
      </c>
      <c r="C6440" s="1" t="s">
        <v>4956</v>
      </c>
      <c r="D6440" s="1" t="s">
        <v>4256</v>
      </c>
      <c r="E6440" s="1" t="str">
        <f>""</f>
        <v/>
      </c>
      <c r="F6440" s="1" t="s">
        <v>1860</v>
      </c>
      <c r="G6440" s="1" t="str">
        <f>CONCATENATE(" HEDOM D.O.O.,"," VELIKA CESTA 28,"," 10000 ZAGREB,"," OIB: 62485998118")</f>
        <v xml:space="preserve"> HEDOM D.O.O., VELIKA CESTA 28, 10000 ZAGREB, OIB: 62485998118</v>
      </c>
      <c r="H6440" s="7"/>
      <c r="I6440" s="8" t="s">
        <v>4957</v>
      </c>
      <c r="J6440" s="8" t="s">
        <v>4958</v>
      </c>
      <c r="K6440" s="6" t="str">
        <f>"493.481,50"</f>
        <v>493.481,50</v>
      </c>
      <c r="L6440" s="6" t="str">
        <f>"123.370,38"</f>
        <v>123.370,38</v>
      </c>
      <c r="M6440" s="6" t="str">
        <f>"616.851,88"</f>
        <v>616.851,88</v>
      </c>
      <c r="N6440" s="8" t="s">
        <v>4959</v>
      </c>
      <c r="O6440" s="7"/>
      <c r="P6440" s="2" t="s">
        <v>8784</v>
      </c>
      <c r="Q6440" s="7"/>
      <c r="R6440" s="1"/>
      <c r="S6440" s="1" t="str">
        <f>"GZ-1251/2016"</f>
        <v>GZ-1251/2016</v>
      </c>
      <c r="T6440" s="1" t="s">
        <v>86</v>
      </c>
    </row>
    <row r="6441" spans="1:20" ht="51" x14ac:dyDescent="0.25">
      <c r="A6441" s="6">
        <v>6420</v>
      </c>
      <c r="B6441" s="1" t="str">
        <f>"2016-1925"</f>
        <v>2016-1925</v>
      </c>
      <c r="C6441" s="1" t="s">
        <v>4960</v>
      </c>
      <c r="D6441" s="1" t="s">
        <v>941</v>
      </c>
      <c r="E6441" s="1" t="str">
        <f>""</f>
        <v/>
      </c>
      <c r="F6441" s="1" t="s">
        <v>1860</v>
      </c>
      <c r="G6441" s="1" t="str">
        <f>CONCATENATE(" NEVING D.O.O.,"," PAVLA RADIĆA 3,"," 10000 ZAGREB,"," OIB: 70989676533")</f>
        <v xml:space="preserve"> NEVING D.O.O., PAVLA RADIĆA 3, 10000 ZAGREB, OIB: 70989676533</v>
      </c>
      <c r="H6441" s="1" t="str">
        <f>CONCATENATE("GEO GRUPA D.O.O.,"," OIB: 56055678342")</f>
        <v>GEO GRUPA D.O.O., OIB: 56055678342</v>
      </c>
      <c r="I6441" s="8" t="s">
        <v>4797</v>
      </c>
      <c r="J6441" s="8" t="s">
        <v>3749</v>
      </c>
      <c r="K6441" s="6" t="str">
        <f>"295.364,50"</f>
        <v>295.364,50</v>
      </c>
      <c r="L6441" s="6" t="str">
        <f>"73.841,12"</f>
        <v>73.841,12</v>
      </c>
      <c r="M6441" s="6" t="str">
        <f>"369.205,62"</f>
        <v>369.205,62</v>
      </c>
      <c r="N6441" s="8" t="s">
        <v>4523</v>
      </c>
      <c r="O6441" s="7"/>
      <c r="P6441" s="2" t="s">
        <v>8785</v>
      </c>
      <c r="Q6441" s="7"/>
      <c r="R6441" s="1"/>
      <c r="S6441" s="1" t="str">
        <f>"GZ-1309/2016"</f>
        <v>GZ-1309/2016</v>
      </c>
      <c r="T6441" s="1" t="s">
        <v>55</v>
      </c>
    </row>
    <row r="6442" spans="1:20" ht="63.75" x14ac:dyDescent="0.25">
      <c r="A6442" s="6">
        <v>6421</v>
      </c>
      <c r="B6442" s="1" t="str">
        <f>"2020-2515"</f>
        <v>2020-2515</v>
      </c>
      <c r="C6442" s="1" t="s">
        <v>1951</v>
      </c>
      <c r="D6442" s="1" t="s">
        <v>2274</v>
      </c>
      <c r="E6442" s="1" t="str">
        <f>""</f>
        <v/>
      </c>
      <c r="F6442" s="1" t="s">
        <v>1860</v>
      </c>
      <c r="G6442" s="1" t="str">
        <f>CONCATENATE(" GREEN BUILDING D.O.O.,"," KUZMINEČKA ULICA 16,"," 10000 ZAGREB,"," OIB: 53424695642")</f>
        <v xml:space="preserve"> GREEN BUILDING D.O.O., KUZMINEČKA ULICA 16, 10000 ZAGREB, OIB: 53424695642</v>
      </c>
      <c r="H6442" s="7"/>
      <c r="I6442" s="8" t="s">
        <v>4172</v>
      </c>
      <c r="J6442" s="8" t="s">
        <v>1067</v>
      </c>
      <c r="K6442" s="6" t="str">
        <f>"4.500,00"</f>
        <v>4.500,00</v>
      </c>
      <c r="L6442" s="6" t="str">
        <f>"1.125,00"</f>
        <v>1.125,00</v>
      </c>
      <c r="M6442" s="6" t="str">
        <f>"5.625,00"</f>
        <v>5.625,00</v>
      </c>
      <c r="N6442" s="8" t="s">
        <v>124</v>
      </c>
      <c r="O6442" s="7"/>
      <c r="P6442" s="2" t="s">
        <v>5614</v>
      </c>
      <c r="Q6442" s="7"/>
      <c r="R6442" s="1"/>
      <c r="S6442" s="1" t="str">
        <f>"GZ-1312/2020"</f>
        <v>GZ-1312/2020</v>
      </c>
      <c r="T6442" s="1" t="s">
        <v>32</v>
      </c>
    </row>
    <row r="6443" spans="1:20" ht="76.5" x14ac:dyDescent="0.25">
      <c r="A6443" s="6">
        <v>6422</v>
      </c>
      <c r="B6443" s="1" t="str">
        <f>"2020-2657"</f>
        <v>2020-2657</v>
      </c>
      <c r="C6443" s="1" t="s">
        <v>2284</v>
      </c>
      <c r="D6443" s="1" t="s">
        <v>381</v>
      </c>
      <c r="E6443" s="1" t="str">
        <f>""</f>
        <v/>
      </c>
      <c r="F6443" s="1" t="s">
        <v>1860</v>
      </c>
      <c r="G6443" s="1" t="str">
        <f>CONCATENATE(" E.G.S.-ELEKTROGRADITELJSTVO D.O.O.,"," ALBERTA FORTISA 10,"," 10090 ZAGREB,"," OIB: 83439900916")</f>
        <v xml:space="preserve"> E.G.S.-ELEKTROGRADITELJSTVO D.O.O., ALBERTA FORTISA 10, 10090 ZAGREB, OIB: 83439900916</v>
      </c>
      <c r="H6443" s="7"/>
      <c r="I6443" s="8" t="s">
        <v>4411</v>
      </c>
      <c r="J6443" s="8" t="s">
        <v>98</v>
      </c>
      <c r="K6443" s="6" t="str">
        <f>"65.940,00"</f>
        <v>65.940,00</v>
      </c>
      <c r="L6443" s="6" t="str">
        <f>"16.485,00"</f>
        <v>16.485,00</v>
      </c>
      <c r="M6443" s="6" t="str">
        <f>"82.425,00"</f>
        <v>82.425,00</v>
      </c>
      <c r="N6443" s="8" t="s">
        <v>124</v>
      </c>
      <c r="O6443" s="7"/>
      <c r="P6443" s="2" t="s">
        <v>5614</v>
      </c>
      <c r="Q6443" s="7"/>
      <c r="R6443" s="1"/>
      <c r="S6443" s="1" t="str">
        <f>"GZ-1378/2020"</f>
        <v>GZ-1378/2020</v>
      </c>
      <c r="T6443" s="1" t="s">
        <v>55</v>
      </c>
    </row>
    <row r="6444" spans="1:20" ht="51" x14ac:dyDescent="0.25">
      <c r="A6444" s="6">
        <v>6423</v>
      </c>
      <c r="B6444" s="1" t="str">
        <f>"2020-239"</f>
        <v>2020-239</v>
      </c>
      <c r="C6444" s="1" t="s">
        <v>4961</v>
      </c>
      <c r="D6444" s="1" t="s">
        <v>4962</v>
      </c>
      <c r="E6444" s="1" t="str">
        <f>""</f>
        <v/>
      </c>
      <c r="F6444" s="1" t="s">
        <v>1860</v>
      </c>
      <c r="G6444" s="1" t="str">
        <f>CONCATENATE(" PRIMAT-RD D.O.O.,"," ZASTAVNICE 11,"," 10251 HRVATSKI LESKOVAC,"," OIB: 03868412563")</f>
        <v xml:space="preserve"> PRIMAT-RD D.O.O., ZASTAVNICE 11, 10251 HRVATSKI LESKOVAC, OIB: 03868412563</v>
      </c>
      <c r="H6444" s="7"/>
      <c r="I6444" s="8" t="s">
        <v>1162</v>
      </c>
      <c r="J6444" s="8" t="s">
        <v>99</v>
      </c>
      <c r="K6444" s="6" t="str">
        <f>"84.660,00"</f>
        <v>84.660,00</v>
      </c>
      <c r="L6444" s="6" t="str">
        <f>"21.165,00"</f>
        <v>21.165,00</v>
      </c>
      <c r="M6444" s="6" t="str">
        <f>"105.825,00"</f>
        <v>105.825,00</v>
      </c>
      <c r="N6444" s="8" t="s">
        <v>124</v>
      </c>
      <c r="O6444" s="7"/>
      <c r="P6444" s="2" t="s">
        <v>5614</v>
      </c>
      <c r="Q6444" s="7"/>
      <c r="R6444" s="1"/>
      <c r="S6444" s="1" t="str">
        <f>"GZ-1386/2020"</f>
        <v>GZ-1386/2020</v>
      </c>
      <c r="T6444" s="1" t="s">
        <v>55</v>
      </c>
    </row>
    <row r="6445" spans="1:20" ht="89.25" x14ac:dyDescent="0.25">
      <c r="A6445" s="6">
        <v>6424</v>
      </c>
      <c r="B6445" s="1" t="str">
        <f>"2016-2953"</f>
        <v>2016-2953</v>
      </c>
      <c r="C6445" s="1" t="s">
        <v>4963</v>
      </c>
      <c r="D6445" s="1" t="s">
        <v>1979</v>
      </c>
      <c r="E6445" s="1" t="str">
        <f>""</f>
        <v/>
      </c>
      <c r="F6445" s="1" t="s">
        <v>1860</v>
      </c>
      <c r="G6445" s="1" t="str">
        <f>CONCATENATE(" KOPIMA D.O.O.,"," VRBIK 8B,"," 10000 ZAGREB,"," OIB: 04662252043")</f>
        <v xml:space="preserve"> KOPIMA D.O.O., VRBIK 8B, 10000 ZAGREB, OIB: 04662252043</v>
      </c>
      <c r="H6445" s="7"/>
      <c r="I6445" s="8" t="s">
        <v>4823</v>
      </c>
      <c r="J6445" s="8" t="s">
        <v>3957</v>
      </c>
      <c r="K6445" s="6" t="str">
        <f>"44.000,00"</f>
        <v>44.000,00</v>
      </c>
      <c r="L6445" s="6" t="str">
        <f>"11.000,00"</f>
        <v>11.000,00</v>
      </c>
      <c r="M6445" s="6" t="str">
        <f>"55.000,00"</f>
        <v>55.000,00</v>
      </c>
      <c r="N6445" s="8" t="s">
        <v>124</v>
      </c>
      <c r="O6445" s="7"/>
      <c r="P6445" s="2" t="s">
        <v>5614</v>
      </c>
      <c r="Q6445" s="7"/>
      <c r="R6445" s="1"/>
      <c r="S6445" s="1" t="str">
        <f>"GZ-1402/2016"</f>
        <v>GZ-1402/2016</v>
      </c>
      <c r="T6445" s="1" t="s">
        <v>55</v>
      </c>
    </row>
    <row r="6446" spans="1:20" ht="51" x14ac:dyDescent="0.25">
      <c r="A6446" s="6">
        <v>6425</v>
      </c>
      <c r="B6446" s="1" t="str">
        <f>"2018-1812"</f>
        <v>2018-1812</v>
      </c>
      <c r="C6446" s="1" t="s">
        <v>701</v>
      </c>
      <c r="D6446" s="1" t="s">
        <v>702</v>
      </c>
      <c r="E6446" s="1" t="str">
        <f>""</f>
        <v/>
      </c>
      <c r="F6446" s="1" t="s">
        <v>1860</v>
      </c>
      <c r="G6446" s="1" t="str">
        <f>CONCATENATE(" LEO GRAD D.O.O.,"," ZELINSKA 8,"," 10360 LUŽAN,"," OIB: 85068601099")</f>
        <v xml:space="preserve"> LEO GRAD D.O.O., ZELINSKA 8, 10360 LUŽAN, OIB: 85068601099</v>
      </c>
      <c r="H6446" s="7"/>
      <c r="I6446" s="8" t="s">
        <v>4639</v>
      </c>
      <c r="J6446" s="8" t="s">
        <v>3528</v>
      </c>
      <c r="K6446" s="6" t="str">
        <f>"349.900,00"</f>
        <v>349.900,00</v>
      </c>
      <c r="L6446" s="6" t="str">
        <f>"87.475,00"</f>
        <v>87.475,00</v>
      </c>
      <c r="M6446" s="6" t="str">
        <f>"437.375,00"</f>
        <v>437.375,00</v>
      </c>
      <c r="N6446" s="8" t="s">
        <v>4285</v>
      </c>
      <c r="O6446" s="7"/>
      <c r="P6446" s="2" t="s">
        <v>8786</v>
      </c>
      <c r="Q6446" s="7"/>
      <c r="R6446" s="1"/>
      <c r="S6446" s="1" t="str">
        <f>"GZ-1402/2018"</f>
        <v>GZ-1402/2018</v>
      </c>
      <c r="T6446" s="1" t="s">
        <v>452</v>
      </c>
    </row>
    <row r="6447" spans="1:20" ht="51" x14ac:dyDescent="0.25">
      <c r="A6447" s="6">
        <v>6426</v>
      </c>
      <c r="B6447" s="1" t="str">
        <f>"2019-2800"</f>
        <v>2019-2800</v>
      </c>
      <c r="C6447" s="1" t="s">
        <v>4964</v>
      </c>
      <c r="D6447" s="1" t="s">
        <v>4965</v>
      </c>
      <c r="E6447" s="1" t="str">
        <f>""</f>
        <v/>
      </c>
      <c r="F6447" s="1" t="s">
        <v>1860</v>
      </c>
      <c r="G6447" s="1" t="str">
        <f>CONCATENATE(" BAUER GRUPA D.O.O.,"," ANDRIJE BIJANKINIJA 15,"," 10430 SAMOBOR,"," OIB: 22395608688")</f>
        <v xml:space="preserve"> BAUER GRUPA D.O.O., ANDRIJE BIJANKINIJA 15, 10430 SAMOBOR, OIB: 22395608688</v>
      </c>
      <c r="H6447" s="7"/>
      <c r="I6447" s="8" t="s">
        <v>4641</v>
      </c>
      <c r="J6447" s="8" t="s">
        <v>3874</v>
      </c>
      <c r="K6447" s="6" t="str">
        <f>"114.986,93"</f>
        <v>114.986,93</v>
      </c>
      <c r="L6447" s="6" t="str">
        <f>"28.746,73"</f>
        <v>28.746,73</v>
      </c>
      <c r="M6447" s="6" t="str">
        <f>"143.733,66"</f>
        <v>143.733,66</v>
      </c>
      <c r="N6447" s="8" t="s">
        <v>124</v>
      </c>
      <c r="O6447" s="7"/>
      <c r="P6447" s="2" t="s">
        <v>5614</v>
      </c>
      <c r="Q6447" s="7"/>
      <c r="R6447" s="1"/>
      <c r="S6447" s="1" t="str">
        <f>"GZ-1425/2019"</f>
        <v>GZ-1425/2019</v>
      </c>
      <c r="T6447" s="1" t="s">
        <v>55</v>
      </c>
    </row>
    <row r="6448" spans="1:20" ht="51" x14ac:dyDescent="0.25">
      <c r="A6448" s="6">
        <v>6427</v>
      </c>
      <c r="B6448" s="1" t="str">
        <f>"2019-2240"</f>
        <v>2019-2240</v>
      </c>
      <c r="C6448" s="1" t="s">
        <v>2430</v>
      </c>
      <c r="D6448" s="1" t="s">
        <v>2404</v>
      </c>
      <c r="E6448" s="1" t="str">
        <f>""</f>
        <v/>
      </c>
      <c r="F6448" s="1" t="s">
        <v>1860</v>
      </c>
      <c r="G6448" s="1" t="str">
        <f>CONCATENATE(" CIJAN D.O.O.,"," PUKLAVČEVA 9,"," 10000 ZAGREB,"," OIB: 17613720695")</f>
        <v xml:space="preserve"> CIJAN D.O.O., PUKLAVČEVA 9, 10000 ZAGREB, OIB: 17613720695</v>
      </c>
      <c r="H6448" s="7"/>
      <c r="I6448" s="8" t="s">
        <v>4324</v>
      </c>
      <c r="J6448" s="8" t="s">
        <v>1199</v>
      </c>
      <c r="K6448" s="6" t="str">
        <f>"196.900,00"</f>
        <v>196.900,00</v>
      </c>
      <c r="L6448" s="6" t="str">
        <f>"49.225,00"</f>
        <v>49.225,00</v>
      </c>
      <c r="M6448" s="6" t="str">
        <f>"246.125,00"</f>
        <v>246.125,00</v>
      </c>
      <c r="N6448" s="8" t="s">
        <v>124</v>
      </c>
      <c r="O6448" s="7"/>
      <c r="P6448" s="2" t="s">
        <v>5614</v>
      </c>
      <c r="Q6448" s="7"/>
      <c r="R6448" s="1"/>
      <c r="S6448" s="1" t="str">
        <f>"GZ-1426/2019"</f>
        <v>GZ-1426/2019</v>
      </c>
      <c r="T6448" s="1" t="s">
        <v>55</v>
      </c>
    </row>
    <row r="6449" spans="1:20" ht="63.75" x14ac:dyDescent="0.25">
      <c r="A6449" s="6">
        <v>6428</v>
      </c>
      <c r="B6449" s="1" t="str">
        <f>"2019-2579"</f>
        <v>2019-2579</v>
      </c>
      <c r="C6449" s="1" t="s">
        <v>3434</v>
      </c>
      <c r="D6449" s="1" t="s">
        <v>4966</v>
      </c>
      <c r="E6449" s="1" t="str">
        <f>""</f>
        <v/>
      </c>
      <c r="F6449" s="1" t="s">
        <v>1860</v>
      </c>
      <c r="G6449" s="1" t="str">
        <f>CONCATENATE(" POLJOOPSKRBA-TEHNO D.D.,"," SAMOBORSKA 96,"," 10000 ZAGREB,"," OIB: 5372167324")</f>
        <v xml:space="preserve"> POLJOOPSKRBA-TEHNO D.D., SAMOBORSKA 96, 10000 ZAGREB, OIB: 5372167324</v>
      </c>
      <c r="H6449" s="7"/>
      <c r="I6449" s="8" t="s">
        <v>3530</v>
      </c>
      <c r="J6449" s="8" t="s">
        <v>3531</v>
      </c>
      <c r="K6449" s="6" t="str">
        <f>"139.989,00"</f>
        <v>139.989,00</v>
      </c>
      <c r="L6449" s="6" t="str">
        <f>"34.997,25"</f>
        <v>34.997,25</v>
      </c>
      <c r="M6449" s="6" t="str">
        <f>"174.986,25"</f>
        <v>174.986,25</v>
      </c>
      <c r="N6449" s="8" t="s">
        <v>124</v>
      </c>
      <c r="O6449" s="7"/>
      <c r="P6449" s="2" t="s">
        <v>5614</v>
      </c>
      <c r="Q6449" s="7"/>
      <c r="R6449" s="1"/>
      <c r="S6449" s="1" t="str">
        <f>"GZ-1565/2019"</f>
        <v>GZ-1565/2019</v>
      </c>
      <c r="T6449" s="1" t="s">
        <v>55</v>
      </c>
    </row>
    <row r="6450" spans="1:20" ht="51" x14ac:dyDescent="0.25">
      <c r="A6450" s="6">
        <v>6429</v>
      </c>
      <c r="B6450" s="1" t="str">
        <f>"2019-534"</f>
        <v>2019-534</v>
      </c>
      <c r="C6450" s="1" t="s">
        <v>4967</v>
      </c>
      <c r="D6450" s="1" t="s">
        <v>4968</v>
      </c>
      <c r="E6450" s="1" t="str">
        <f>""</f>
        <v/>
      </c>
      <c r="F6450" s="1" t="s">
        <v>1860</v>
      </c>
      <c r="G6450" s="1" t="str">
        <f>CONCATENATE(" ATIR D.O.O.,"," SUTINSKA VRELA bb,"," 10000 ZAGREB,"," OIB: 78047971448")</f>
        <v xml:space="preserve"> ATIR D.O.O., SUTINSKA VRELA bb, 10000 ZAGREB, OIB: 78047971448</v>
      </c>
      <c r="H6450" s="7"/>
      <c r="I6450" s="8" t="s">
        <v>4423</v>
      </c>
      <c r="J6450" s="8" t="s">
        <v>4142</v>
      </c>
      <c r="K6450" s="6" t="str">
        <f>"101.748,00"</f>
        <v>101.748,00</v>
      </c>
      <c r="L6450" s="6" t="str">
        <f>"25.437,00"</f>
        <v>25.437,00</v>
      </c>
      <c r="M6450" s="6" t="str">
        <f>"127.185,00"</f>
        <v>127.185,00</v>
      </c>
      <c r="N6450" s="8" t="s">
        <v>4247</v>
      </c>
      <c r="O6450" s="7"/>
      <c r="P6450" s="2" t="s">
        <v>8787</v>
      </c>
      <c r="Q6450" s="7"/>
      <c r="R6450" s="1"/>
      <c r="S6450" s="1" t="str">
        <f>"GZ-1570/2019"</f>
        <v>GZ-1570/2019</v>
      </c>
      <c r="T6450" s="1" t="s">
        <v>86</v>
      </c>
    </row>
    <row r="6451" spans="1:20" ht="51" x14ac:dyDescent="0.25">
      <c r="A6451" s="6">
        <v>6430</v>
      </c>
      <c r="B6451" s="1" t="str">
        <f>"2019-3096"</f>
        <v>2019-3096</v>
      </c>
      <c r="C6451" s="1" t="s">
        <v>4969</v>
      </c>
      <c r="D6451" s="1" t="s">
        <v>267</v>
      </c>
      <c r="E6451" s="1" t="str">
        <f>""</f>
        <v/>
      </c>
      <c r="F6451" s="1" t="s">
        <v>1860</v>
      </c>
      <c r="G6451" s="1" t="str">
        <f>CONCATENATE(" METUS DIZALA D.O.O.,"," POLOŽNICA 5,"," 10431 SVETA NEDJELJA,"," OIB: 01768785527")</f>
        <v xml:space="preserve"> METUS DIZALA D.O.O., POLOŽNICA 5, 10431 SVETA NEDJELJA, OIB: 01768785527</v>
      </c>
      <c r="H6451" s="7"/>
      <c r="I6451" s="8" t="s">
        <v>4433</v>
      </c>
      <c r="J6451" s="8" t="s">
        <v>1278</v>
      </c>
      <c r="K6451" s="6" t="str">
        <f>"29.826,00"</f>
        <v>29.826,00</v>
      </c>
      <c r="L6451" s="6" t="str">
        <f>"7.456,50"</f>
        <v>7.456,50</v>
      </c>
      <c r="M6451" s="6" t="str">
        <f>"37.282,50"</f>
        <v>37.282,50</v>
      </c>
      <c r="N6451" s="8" t="s">
        <v>421</v>
      </c>
      <c r="O6451" s="7"/>
      <c r="P6451" s="2" t="s">
        <v>7761</v>
      </c>
      <c r="Q6451" s="7"/>
      <c r="R6451" s="1"/>
      <c r="S6451" s="1" t="str">
        <f>"GZ-1663/2019"</f>
        <v>GZ-1663/2019</v>
      </c>
      <c r="T6451" s="1" t="s">
        <v>86</v>
      </c>
    </row>
    <row r="6452" spans="1:20" ht="89.25" x14ac:dyDescent="0.25">
      <c r="A6452" s="6">
        <v>6431</v>
      </c>
      <c r="B6452" s="1" t="str">
        <f>"2016-3155"</f>
        <v>2016-3155</v>
      </c>
      <c r="C6452" s="1" t="s">
        <v>4970</v>
      </c>
      <c r="D6452" s="1" t="s">
        <v>1979</v>
      </c>
      <c r="E6452" s="1" t="str">
        <f>""</f>
        <v/>
      </c>
      <c r="F6452" s="1" t="s">
        <v>1860</v>
      </c>
      <c r="G6452" s="1" t="str">
        <f>CONCATENATE(" APZ HIDRIA D.O.O.,"," ZAGREBAČKA 233,"," 10000 ZAGREB,"," OIB: 76901428643")</f>
        <v xml:space="preserve"> APZ HIDRIA D.O.O., ZAGREBAČKA 233, 10000 ZAGREB, OIB: 76901428643</v>
      </c>
      <c r="H6452" s="7"/>
      <c r="I6452" s="8" t="s">
        <v>4971</v>
      </c>
      <c r="J6452" s="8" t="s">
        <v>4972</v>
      </c>
      <c r="K6452" s="6" t="str">
        <f>"32.000,00"</f>
        <v>32.000,00</v>
      </c>
      <c r="L6452" s="6" t="str">
        <f>"8.000,00"</f>
        <v>8.000,00</v>
      </c>
      <c r="M6452" s="6" t="str">
        <f>"40.000,00"</f>
        <v>40.000,00</v>
      </c>
      <c r="N6452" s="8" t="s">
        <v>124</v>
      </c>
      <c r="O6452" s="7"/>
      <c r="P6452" s="2" t="s">
        <v>5614</v>
      </c>
      <c r="Q6452" s="7"/>
      <c r="R6452" s="1"/>
      <c r="S6452" s="1" t="str">
        <f>"GZ-1667/2016"</f>
        <v>GZ-1667/2016</v>
      </c>
      <c r="T6452" s="1" t="s">
        <v>55</v>
      </c>
    </row>
    <row r="6453" spans="1:20" ht="76.5" x14ac:dyDescent="0.25">
      <c r="A6453" s="6">
        <v>6432</v>
      </c>
      <c r="B6453" s="1" t="str">
        <f>"2015-1066"</f>
        <v>2015-1066</v>
      </c>
      <c r="C6453" s="1" t="s">
        <v>4973</v>
      </c>
      <c r="D6453" s="1" t="s">
        <v>275</v>
      </c>
      <c r="E6453" s="1" t="str">
        <f>""</f>
        <v/>
      </c>
      <c r="F6453" s="1" t="s">
        <v>1860</v>
      </c>
      <c r="G6453" s="1" t="str">
        <f>CONCATENATE(" TEHMAR D.O.O.,"," STAJNIČKA 5,"," 10251 HRVATSKI LESKOVAC,"," OIB: 78055843019")</f>
        <v xml:space="preserve"> TEHMAR D.O.O., STAJNIČKA 5, 10251 HRVATSKI LESKOVAC, OIB: 78055843019</v>
      </c>
      <c r="H6453" s="7"/>
      <c r="I6453" s="8" t="s">
        <v>4974</v>
      </c>
      <c r="J6453" s="8" t="s">
        <v>3629</v>
      </c>
      <c r="K6453" s="6" t="str">
        <f>"39.102,00"</f>
        <v>39.102,00</v>
      </c>
      <c r="L6453" s="6" t="str">
        <f>"9.775,50"</f>
        <v>9.775,50</v>
      </c>
      <c r="M6453" s="6" t="str">
        <f>"48.877,50"</f>
        <v>48.877,50</v>
      </c>
      <c r="N6453" s="8" t="s">
        <v>4751</v>
      </c>
      <c r="O6453" s="7"/>
      <c r="P6453" s="2" t="s">
        <v>8788</v>
      </c>
      <c r="Q6453" s="7"/>
      <c r="R6453" s="1"/>
      <c r="S6453" s="1" t="str">
        <f>"GZ-UN-2016-1067"</f>
        <v>GZ-UN-2016-1067</v>
      </c>
      <c r="T6453" s="1" t="s">
        <v>86</v>
      </c>
    </row>
    <row r="6454" spans="1:20" ht="51" x14ac:dyDescent="0.25">
      <c r="A6454" s="6">
        <v>6433</v>
      </c>
      <c r="B6454" s="1" t="str">
        <f>"2015-1023"</f>
        <v>2015-1023</v>
      </c>
      <c r="C6454" s="1" t="s">
        <v>4975</v>
      </c>
      <c r="D6454" s="1" t="s">
        <v>1236</v>
      </c>
      <c r="E6454" s="1" t="str">
        <f>""</f>
        <v/>
      </c>
      <c r="F6454" s="1" t="s">
        <v>1860</v>
      </c>
      <c r="G6454" s="1" t="str">
        <f>CONCATENATE(" JAKA D.O.O.,"," OGRIZOVIĆEVA 28/B,","  10 000 ZAGREB,"," OIB: 3770592196")</f>
        <v xml:space="preserve"> JAKA D.O.O., OGRIZOVIĆEVA 28/B,  10 000 ZAGREB, OIB: 3770592196</v>
      </c>
      <c r="H6454" s="7"/>
      <c r="I6454" s="8" t="s">
        <v>4976</v>
      </c>
      <c r="J6454" s="8" t="s">
        <v>4977</v>
      </c>
      <c r="K6454" s="6" t="str">
        <f>"9.830,82"</f>
        <v>9.830,82</v>
      </c>
      <c r="L6454" s="6" t="str">
        <f>"2.457,70"</f>
        <v>2.457,70</v>
      </c>
      <c r="M6454" s="6" t="str">
        <f>"12.288,52"</f>
        <v>12.288,52</v>
      </c>
      <c r="N6454" s="8" t="s">
        <v>4978</v>
      </c>
      <c r="O6454" s="7"/>
      <c r="P6454" s="2" t="s">
        <v>8789</v>
      </c>
      <c r="Q6454" s="7"/>
      <c r="R6454" s="1"/>
      <c r="S6454" s="1" t="str">
        <f>"GZ-UN-2016-2182"</f>
        <v>GZ-UN-2016-2182</v>
      </c>
      <c r="T6454" s="1" t="s">
        <v>86</v>
      </c>
    </row>
    <row r="6455" spans="1:20" ht="63.75" x14ac:dyDescent="0.25">
      <c r="A6455" s="6">
        <v>6434</v>
      </c>
      <c r="B6455" s="1" t="str">
        <f>"2015-1311"</f>
        <v>2015-1311</v>
      </c>
      <c r="C6455" s="1" t="s">
        <v>266</v>
      </c>
      <c r="D6455" s="1" t="s">
        <v>267</v>
      </c>
      <c r="E6455" s="1" t="str">
        <f>""</f>
        <v/>
      </c>
      <c r="F6455" s="1" t="s">
        <v>1860</v>
      </c>
      <c r="G6455" s="1" t="str">
        <f>CONCATENATE(" THYSSENKRUPP DIZALA D.O.O.,"," FALLEROVO ŠETALIŠTE 22,"," 10000 ZAGREB,"," OIB: 03861531654")</f>
        <v xml:space="preserve"> THYSSENKRUPP DIZALA D.O.O., FALLEROVO ŠETALIŠTE 22, 10000 ZAGREB, OIB: 03861531654</v>
      </c>
      <c r="H6455" s="7"/>
      <c r="I6455" s="8" t="s">
        <v>4979</v>
      </c>
      <c r="J6455" s="8" t="s">
        <v>4971</v>
      </c>
      <c r="K6455" s="6" t="str">
        <f>"84.424,00"</f>
        <v>84.424,00</v>
      </c>
      <c r="L6455" s="6" t="str">
        <f>"21.106,00"</f>
        <v>21.106,00</v>
      </c>
      <c r="M6455" s="6" t="str">
        <f>"105.530,00"</f>
        <v>105.530,00</v>
      </c>
      <c r="N6455" s="8" t="s">
        <v>4980</v>
      </c>
      <c r="O6455" s="7"/>
      <c r="P6455" s="2" t="s">
        <v>8790</v>
      </c>
      <c r="Q6455" s="1"/>
      <c r="R6455" s="1"/>
      <c r="S6455" s="1" t="str">
        <f>"GZ-UN-2016-3091"</f>
        <v>GZ-UN-2016-3091</v>
      </c>
      <c r="T6455" s="1" t="s">
        <v>86</v>
      </c>
    </row>
    <row r="6456" spans="1:20" ht="51" x14ac:dyDescent="0.25">
      <c r="A6456" s="6">
        <v>6435</v>
      </c>
      <c r="B6456" s="1" t="str">
        <f>"2015-2805"</f>
        <v>2015-2805</v>
      </c>
      <c r="C6456" s="1" t="s">
        <v>4967</v>
      </c>
      <c r="D6456" s="1" t="s">
        <v>4968</v>
      </c>
      <c r="E6456" s="1" t="str">
        <f>""</f>
        <v/>
      </c>
      <c r="F6456" s="1" t="s">
        <v>1860</v>
      </c>
      <c r="G6456" s="1" t="str">
        <f>CONCATENATE(" ATIR D.O.O.,"," SUTINSKA VRELA bb,"," 10000 ZAGREB,"," OIB: 78047971448")</f>
        <v xml:space="preserve"> ATIR D.O.O., SUTINSKA VRELA bb, 10000 ZAGREB, OIB: 78047971448</v>
      </c>
      <c r="H6456" s="7"/>
      <c r="I6456" s="8" t="s">
        <v>3541</v>
      </c>
      <c r="J6456" s="8" t="s">
        <v>3542</v>
      </c>
      <c r="K6456" s="6" t="str">
        <f>"101.470,00"</f>
        <v>101.470,00</v>
      </c>
      <c r="L6456" s="6" t="str">
        <f>"25.367,50"</f>
        <v>25.367,50</v>
      </c>
      <c r="M6456" s="6" t="str">
        <f>"126.837,50"</f>
        <v>126.837,50</v>
      </c>
      <c r="N6456" s="8" t="s">
        <v>3772</v>
      </c>
      <c r="O6456" s="7"/>
      <c r="P6456" s="2" t="s">
        <v>8791</v>
      </c>
      <c r="Q6456" s="7"/>
      <c r="R6456" s="1"/>
      <c r="S6456" s="1" t="str">
        <f>"GZ-UN-2016-3256"</f>
        <v>GZ-UN-2016-3256</v>
      </c>
      <c r="T6456" s="1" t="s">
        <v>86</v>
      </c>
    </row>
    <row r="6457" spans="1:20" ht="51" x14ac:dyDescent="0.25">
      <c r="A6457" s="6">
        <v>6436</v>
      </c>
      <c r="B6457" s="1" t="str">
        <f>"2015-611"</f>
        <v>2015-611</v>
      </c>
      <c r="C6457" s="1" t="s">
        <v>2478</v>
      </c>
      <c r="D6457" s="1" t="s">
        <v>275</v>
      </c>
      <c r="E6457" s="1" t="str">
        <f>""</f>
        <v/>
      </c>
      <c r="F6457" s="1" t="s">
        <v>1860</v>
      </c>
      <c r="G6457" s="1" t="str">
        <f>CONCATENATE(" TEHMAR D.O.O.,"," STAJNIČKA 5,"," 10251 HRVATSKI LESKOVAC,"," OIB: 78055843019")</f>
        <v xml:space="preserve"> TEHMAR D.O.O., STAJNIČKA 5, 10251 HRVATSKI LESKOVAC, OIB: 78055843019</v>
      </c>
      <c r="H6457" s="7"/>
      <c r="I6457" s="8" t="s">
        <v>4981</v>
      </c>
      <c r="J6457" s="8" t="s">
        <v>3516</v>
      </c>
      <c r="K6457" s="6" t="str">
        <f>"64.310,00"</f>
        <v>64.310,00</v>
      </c>
      <c r="L6457" s="6" t="str">
        <f>"16.077,50"</f>
        <v>16.077,50</v>
      </c>
      <c r="M6457" s="6" t="str">
        <f>"80.387,50"</f>
        <v>80.387,50</v>
      </c>
      <c r="N6457" s="8" t="s">
        <v>3566</v>
      </c>
      <c r="O6457" s="7"/>
      <c r="P6457" s="2" t="s">
        <v>8792</v>
      </c>
      <c r="Q6457" s="7"/>
      <c r="R6457" s="1"/>
      <c r="S6457" s="1" t="str">
        <f>"GZ-UN-2016-4418"</f>
        <v>GZ-UN-2016-4418</v>
      </c>
      <c r="T6457" s="1" t="s">
        <v>86</v>
      </c>
    </row>
    <row r="6458" spans="1:20" ht="51" x14ac:dyDescent="0.25">
      <c r="A6458" s="6">
        <v>6437</v>
      </c>
      <c r="B6458" s="1" t="str">
        <f>"2016-2509"</f>
        <v>2016-2509</v>
      </c>
      <c r="C6458" s="1" t="s">
        <v>4982</v>
      </c>
      <c r="D6458" s="1" t="s">
        <v>1131</v>
      </c>
      <c r="E6458" s="1" t="str">
        <f>""</f>
        <v/>
      </c>
      <c r="F6458" s="1" t="s">
        <v>1860</v>
      </c>
      <c r="G6458" s="1" t="str">
        <f>CONCATENATE(" ZVIBOR D.O.O.,"," ZAVRTNICA 36,"," 10000 ZAGREB,"," OIB: 03454358063")</f>
        <v xml:space="preserve"> ZVIBOR D.O.O., ZAVRTNICA 36, 10000 ZAGREB, OIB: 03454358063</v>
      </c>
      <c r="H6458" s="7"/>
      <c r="I6458" s="8" t="s">
        <v>4983</v>
      </c>
      <c r="J6458" s="8" t="s">
        <v>3838</v>
      </c>
      <c r="K6458" s="6" t="str">
        <f>"58.421,76"</f>
        <v>58.421,76</v>
      </c>
      <c r="L6458" s="6" t="str">
        <f>"14.605,44"</f>
        <v>14.605,44</v>
      </c>
      <c r="M6458" s="6" t="str">
        <f>"73.027,20"</f>
        <v>73.027,20</v>
      </c>
      <c r="N6458" s="8" t="s">
        <v>4729</v>
      </c>
      <c r="O6458" s="7"/>
      <c r="P6458" s="2" t="s">
        <v>8793</v>
      </c>
      <c r="Q6458" s="7"/>
      <c r="R6458" s="1"/>
      <c r="S6458" s="1" t="str">
        <f>"GZ-UN-2016-14669"</f>
        <v>GZ-UN-2016-14669</v>
      </c>
      <c r="T6458" s="1" t="s">
        <v>43</v>
      </c>
    </row>
    <row r="6459" spans="1:20" ht="76.5" x14ac:dyDescent="0.25">
      <c r="A6459" s="6">
        <v>6438</v>
      </c>
      <c r="B6459" s="1" t="str">
        <f>"2016-2260"</f>
        <v>2016-2260</v>
      </c>
      <c r="C6459" s="1" t="s">
        <v>2700</v>
      </c>
      <c r="D6459" s="1" t="s">
        <v>2701</v>
      </c>
      <c r="E6459" s="1" t="str">
        <f>""</f>
        <v/>
      </c>
      <c r="F6459" s="1" t="s">
        <v>1860</v>
      </c>
      <c r="G6459" s="1" t="str">
        <f>CONCATENATE(" SMIT-COMMERCE D.O.O.,"," GORNJOSTUPNIČKA 9B,"," 10255 GORNJI STUPNIK,"," OIB: 9524348214")</f>
        <v xml:space="preserve"> SMIT-COMMERCE D.O.O., GORNJOSTUPNIČKA 9B, 10255 GORNJI STUPNIK, OIB: 9524348214</v>
      </c>
      <c r="H6459" s="7"/>
      <c r="I6459" s="8" t="s">
        <v>4984</v>
      </c>
      <c r="J6459" s="8" t="s">
        <v>4985</v>
      </c>
      <c r="K6459" s="6" t="str">
        <f>"16.990,36"</f>
        <v>16.990,36</v>
      </c>
      <c r="L6459" s="6" t="str">
        <f>"4.247,59"</f>
        <v>4.247,59</v>
      </c>
      <c r="M6459" s="6" t="str">
        <f>"21.237,95"</f>
        <v>21.237,95</v>
      </c>
      <c r="N6459" s="8" t="s">
        <v>4986</v>
      </c>
      <c r="O6459" s="7"/>
      <c r="P6459" s="2" t="s">
        <v>8794</v>
      </c>
      <c r="Q6459" s="7"/>
      <c r="R6459" s="1"/>
      <c r="S6459" s="1" t="str">
        <f>"GZ-UN-2016-21051"</f>
        <v>GZ-UN-2016-21051</v>
      </c>
      <c r="T6459" s="1" t="s">
        <v>32</v>
      </c>
    </row>
    <row r="6460" spans="1:20" ht="76.5" x14ac:dyDescent="0.25">
      <c r="A6460" s="6">
        <v>6439</v>
      </c>
      <c r="B6460" s="1" t="str">
        <f>"2016-2179"</f>
        <v>2016-2179</v>
      </c>
      <c r="C6460" s="1" t="s">
        <v>4987</v>
      </c>
      <c r="D6460" s="1" t="s">
        <v>3476</v>
      </c>
      <c r="E6460" s="1" t="str">
        <f>""</f>
        <v/>
      </c>
      <c r="F6460" s="1" t="s">
        <v>1860</v>
      </c>
      <c r="G6460" s="1" t="str">
        <f>CONCATENATE(" 4TEL TELEKOMUNIKACIJE D.O.O.,"," CVJETNO NASELJE 16,"," 10430 SAMOBOR,"," OIB: 60118505378")</f>
        <v xml:space="preserve"> 4TEL TELEKOMUNIKACIJE D.O.O., CVJETNO NASELJE 16, 10430 SAMOBOR, OIB: 60118505378</v>
      </c>
      <c r="H6460" s="7"/>
      <c r="I6460" s="8" t="s">
        <v>3551</v>
      </c>
      <c r="J6460" s="8" t="s">
        <v>3498</v>
      </c>
      <c r="K6460" s="6" t="str">
        <f>"39.650,00"</f>
        <v>39.650,00</v>
      </c>
      <c r="L6460" s="6" t="str">
        <f>"9.912,50"</f>
        <v>9.912,50</v>
      </c>
      <c r="M6460" s="6" t="str">
        <f>"49.562,50"</f>
        <v>49.562,50</v>
      </c>
      <c r="N6460" s="8" t="s">
        <v>3498</v>
      </c>
      <c r="O6460" s="7"/>
      <c r="P6460" s="2" t="s">
        <v>8795</v>
      </c>
      <c r="Q6460" s="7"/>
      <c r="R6460" s="1"/>
      <c r="S6460" s="1" t="str">
        <f>"GZ-UN-2016-21139"</f>
        <v>GZ-UN-2016-21139</v>
      </c>
      <c r="T6460" s="1" t="s">
        <v>43</v>
      </c>
    </row>
    <row r="6461" spans="1:20" ht="63.75" x14ac:dyDescent="0.25">
      <c r="A6461" s="6">
        <v>6440</v>
      </c>
      <c r="B6461" s="1" t="str">
        <f>"2016-2150"</f>
        <v>2016-2150</v>
      </c>
      <c r="C6461" s="1" t="s">
        <v>2487</v>
      </c>
      <c r="D6461" s="1" t="s">
        <v>2488</v>
      </c>
      <c r="E6461" s="1" t="str">
        <f>""</f>
        <v/>
      </c>
      <c r="F6461" s="1" t="s">
        <v>1860</v>
      </c>
      <c r="G6461" s="1" t="str">
        <f>CONCATENATE(" PRIVREDNA BANKA ZAGREB D.D.,"," RADNIČKA CESTA 50,"," 10000 ZAGREB,"," OIB: 02535697732")</f>
        <v xml:space="preserve"> PRIVREDNA BANKA ZAGREB D.D., RADNIČKA CESTA 50, 10000 ZAGREB, OIB: 02535697732</v>
      </c>
      <c r="H6461" s="7"/>
      <c r="I6461" s="8" t="s">
        <v>4988</v>
      </c>
      <c r="J6461" s="8" t="s">
        <v>4989</v>
      </c>
      <c r="K6461" s="6" t="str">
        <f>"97.490,78"</f>
        <v>97.490,78</v>
      </c>
      <c r="L6461" s="6" t="str">
        <f>"24.372,70"</f>
        <v>24.372,70</v>
      </c>
      <c r="M6461" s="6" t="str">
        <f>"121.863,48"</f>
        <v>121.863,48</v>
      </c>
      <c r="N6461" s="8" t="s">
        <v>3615</v>
      </c>
      <c r="O6461" s="7"/>
      <c r="P6461" s="2" t="s">
        <v>8796</v>
      </c>
      <c r="Q6461" s="7"/>
      <c r="R6461" s="1"/>
      <c r="S6461" s="1" t="str">
        <f>"GZ-UN-2016-21789"</f>
        <v>GZ-UN-2016-21789</v>
      </c>
      <c r="T6461" s="1" t="s">
        <v>43</v>
      </c>
    </row>
    <row r="6462" spans="1:20" ht="51" x14ac:dyDescent="0.25">
      <c r="A6462" s="6">
        <v>6441</v>
      </c>
      <c r="B6462" s="1" t="str">
        <f>"2016-2893"</f>
        <v>2016-2893</v>
      </c>
      <c r="C6462" s="1" t="s">
        <v>1064</v>
      </c>
      <c r="D6462" s="1" t="s">
        <v>2241</v>
      </c>
      <c r="E6462" s="1" t="str">
        <f>""</f>
        <v/>
      </c>
      <c r="F6462" s="1" t="s">
        <v>1860</v>
      </c>
      <c r="G6462" s="1" t="str">
        <f>CONCATENATE(" ORYX GRUPA D.O.O.,"," LJUDEVITA POSAVSKOG 7/A,"," 10360 SESVETE,"," OIB: 82333208898")</f>
        <v xml:space="preserve"> ORYX GRUPA D.O.O., LJUDEVITA POSAVSKOG 7/A, 10360 SESVETE, OIB: 82333208898</v>
      </c>
      <c r="H6462" s="7"/>
      <c r="I6462" s="8" t="s">
        <v>4766</v>
      </c>
      <c r="J6462" s="8" t="s">
        <v>4502</v>
      </c>
      <c r="K6462" s="6" t="str">
        <f>"27.573,00"</f>
        <v>27.573,00</v>
      </c>
      <c r="L6462" s="6" t="str">
        <f>"6.893,25"</f>
        <v>6.893,25</v>
      </c>
      <c r="M6462" s="6" t="str">
        <f>"34.466,25"</f>
        <v>34.466,25</v>
      </c>
      <c r="N6462" s="8" t="s">
        <v>4738</v>
      </c>
      <c r="O6462" s="7"/>
      <c r="P6462" s="2" t="s">
        <v>8797</v>
      </c>
      <c r="Q6462" s="7"/>
      <c r="R6462" s="1"/>
      <c r="S6462" s="1" t="str">
        <f>"GZ-UN-2016-23703"</f>
        <v>GZ-UN-2016-23703</v>
      </c>
      <c r="T6462" s="1" t="s">
        <v>43</v>
      </c>
    </row>
    <row r="6463" spans="1:20" ht="51" x14ac:dyDescent="0.25">
      <c r="A6463" s="6">
        <v>6442</v>
      </c>
      <c r="B6463" s="1" t="str">
        <f>"2016-2619"</f>
        <v>2016-2619</v>
      </c>
      <c r="C6463" s="1" t="s">
        <v>4990</v>
      </c>
      <c r="D6463" s="1" t="s">
        <v>2260</v>
      </c>
      <c r="E6463" s="1" t="str">
        <f>""</f>
        <v/>
      </c>
      <c r="F6463" s="1" t="s">
        <v>1860</v>
      </c>
      <c r="G6463" s="1" t="str">
        <f>CONCATENATE(" SPECULUM D.O.O.,"," BARTOLIĆI 49,"," 10000 ZAGREB,"," OIB: 92648549816")</f>
        <v xml:space="preserve"> SPECULUM D.O.O., BARTOLIĆI 49, 10000 ZAGREB, OIB: 92648549816</v>
      </c>
      <c r="H6463" s="7"/>
      <c r="I6463" s="8" t="s">
        <v>3721</v>
      </c>
      <c r="J6463" s="8" t="s">
        <v>3722</v>
      </c>
      <c r="K6463" s="6" t="str">
        <f>"114.770,00"</f>
        <v>114.770,00</v>
      </c>
      <c r="L6463" s="6" t="str">
        <f>"28.692,50"</f>
        <v>28.692,50</v>
      </c>
      <c r="M6463" s="6" t="str">
        <f>"143.462,50"</f>
        <v>143.462,50</v>
      </c>
      <c r="N6463" s="8" t="s">
        <v>3577</v>
      </c>
      <c r="O6463" s="7"/>
      <c r="P6463" s="2" t="s">
        <v>8798</v>
      </c>
      <c r="Q6463" s="7"/>
      <c r="R6463" s="1"/>
      <c r="S6463" s="1" t="str">
        <f>"GZ-UN-2016-29814"</f>
        <v>GZ-UN-2016-29814</v>
      </c>
      <c r="T6463" s="1" t="s">
        <v>32</v>
      </c>
    </row>
    <row r="6464" spans="1:20" ht="51" x14ac:dyDescent="0.25">
      <c r="A6464" s="6">
        <v>6443</v>
      </c>
      <c r="B6464" s="1" t="str">
        <f>"2016-2427"</f>
        <v>2016-2427</v>
      </c>
      <c r="C6464" s="1" t="s">
        <v>4967</v>
      </c>
      <c r="D6464" s="1" t="s">
        <v>4968</v>
      </c>
      <c r="E6464" s="1" t="str">
        <f>""</f>
        <v/>
      </c>
      <c r="F6464" s="1" t="s">
        <v>1860</v>
      </c>
      <c r="G6464" s="1" t="str">
        <f>CONCATENATE(" ATIR D.O.O.,"," SUTINSKA VRELA bb,"," 10000 ZAGREB,"," OIB: 78047971448")</f>
        <v xml:space="preserve"> ATIR D.O.O., SUTINSKA VRELA bb, 10000 ZAGREB, OIB: 78047971448</v>
      </c>
      <c r="H6464" s="7"/>
      <c r="I6464" s="8" t="s">
        <v>3604</v>
      </c>
      <c r="J6464" s="8" t="s">
        <v>4991</v>
      </c>
      <c r="K6464" s="6" t="str">
        <f>"101.470,00"</f>
        <v>101.470,00</v>
      </c>
      <c r="L6464" s="6" t="str">
        <f>"25.367,50"</f>
        <v>25.367,50</v>
      </c>
      <c r="M6464" s="6" t="str">
        <f>"126.837,50"</f>
        <v>126.837,50</v>
      </c>
      <c r="N6464" s="8" t="s">
        <v>97</v>
      </c>
      <c r="O6464" s="7"/>
      <c r="P6464" s="2" t="s">
        <v>8799</v>
      </c>
      <c r="Q6464" s="7"/>
      <c r="R6464" s="1"/>
      <c r="S6464" s="1" t="str">
        <f>"GZ-UN-2016-38523"</f>
        <v>GZ-UN-2016-38523</v>
      </c>
      <c r="T6464" s="1" t="s">
        <v>86</v>
      </c>
    </row>
    <row r="6465" spans="1:20" ht="63.75" x14ac:dyDescent="0.25">
      <c r="A6465" s="6">
        <v>6444</v>
      </c>
      <c r="B6465" s="1" t="str">
        <f>"2016-137"</f>
        <v>2016-137</v>
      </c>
      <c r="C6465" s="1" t="s">
        <v>4992</v>
      </c>
      <c r="D6465" s="1" t="s">
        <v>244</v>
      </c>
      <c r="E6465" s="1" t="str">
        <f>""</f>
        <v/>
      </c>
      <c r="F6465" s="1" t="s">
        <v>1860</v>
      </c>
      <c r="G6465" s="1" t="str">
        <f>CONCATENATE(" FOREMAN GROUP D.O.O.,"," ,"," OIB: 04807307105")</f>
        <v xml:space="preserve"> FOREMAN GROUP D.O.O., , OIB: 04807307105</v>
      </c>
      <c r="H6465" s="7"/>
      <c r="I6465" s="8" t="s">
        <v>3604</v>
      </c>
      <c r="J6465" s="8" t="s">
        <v>3671</v>
      </c>
      <c r="K6465" s="6" t="str">
        <f>"68.286,74"</f>
        <v>68.286,74</v>
      </c>
      <c r="L6465" s="6" t="str">
        <f>"17.071,68"</f>
        <v>17.071,68</v>
      </c>
      <c r="M6465" s="6" t="str">
        <f>"85.358,42"</f>
        <v>85.358,42</v>
      </c>
      <c r="N6465" s="8" t="s">
        <v>3671</v>
      </c>
      <c r="O6465" s="7"/>
      <c r="P6465" s="2" t="s">
        <v>8800</v>
      </c>
      <c r="Q6465" s="7"/>
      <c r="R6465" s="1"/>
      <c r="S6465" s="1" t="str">
        <f>"GZ-UN-2016-38645"</f>
        <v>GZ-UN-2016-38645</v>
      </c>
      <c r="T6465" s="1" t="s">
        <v>43</v>
      </c>
    </row>
    <row r="6466" spans="1:20" ht="51" x14ac:dyDescent="0.25">
      <c r="A6466" s="6">
        <v>6445</v>
      </c>
      <c r="B6466" s="1" t="str">
        <f>"2016-691"</f>
        <v>2016-691</v>
      </c>
      <c r="C6466" s="1" t="s">
        <v>2478</v>
      </c>
      <c r="D6466" s="1" t="s">
        <v>275</v>
      </c>
      <c r="E6466" s="1" t="str">
        <f>""</f>
        <v/>
      </c>
      <c r="F6466" s="1" t="s">
        <v>1860</v>
      </c>
      <c r="G6466" s="1" t="str">
        <f>CONCATENATE(" TEHMAR D.O.O.,"," STAJNIČKA 5,"," 10251 HRVATSKI LESKOVAC,"," OIB: 78055843019")</f>
        <v xml:space="preserve"> TEHMAR D.O.O., STAJNIČKA 5, 10251 HRVATSKI LESKOVAC, OIB: 78055843019</v>
      </c>
      <c r="H6466" s="7"/>
      <c r="I6466" s="8" t="s">
        <v>4993</v>
      </c>
      <c r="J6466" s="8" t="s">
        <v>175</v>
      </c>
      <c r="K6466" s="6" t="str">
        <f>"49.797,00"</f>
        <v>49.797,00</v>
      </c>
      <c r="L6466" s="6" t="str">
        <f>"12.449,25"</f>
        <v>12.449,25</v>
      </c>
      <c r="M6466" s="6" t="str">
        <f>"62.246,25"</f>
        <v>62.246,25</v>
      </c>
      <c r="N6466" s="8" t="s">
        <v>3907</v>
      </c>
      <c r="O6466" s="7"/>
      <c r="P6466" s="2" t="s">
        <v>8801</v>
      </c>
      <c r="Q6466" s="7"/>
      <c r="R6466" s="1"/>
      <c r="S6466" s="1" t="str">
        <f>"GZ-UN-2016-41454"</f>
        <v>GZ-UN-2016-41454</v>
      </c>
      <c r="T6466" s="1" t="s">
        <v>86</v>
      </c>
    </row>
    <row r="6467" spans="1:20" ht="51" x14ac:dyDescent="0.25">
      <c r="A6467" s="6">
        <v>6446</v>
      </c>
      <c r="B6467" s="1" t="str">
        <f>"2016-2511"</f>
        <v>2016-2511</v>
      </c>
      <c r="C6467" s="1" t="s">
        <v>2375</v>
      </c>
      <c r="D6467" s="1" t="s">
        <v>2376</v>
      </c>
      <c r="E6467" s="1" t="str">
        <f>""</f>
        <v/>
      </c>
      <c r="F6467" s="1" t="s">
        <v>1860</v>
      </c>
      <c r="G6467" s="1" t="str">
        <f>CONCATENATE(" SEDMI ODJEL D.O.O.,"," ŠTEFANOVEČKA 10,"," 10000 ZAGREB,"," OIB: 74486902737")</f>
        <v xml:space="preserve"> SEDMI ODJEL D.O.O., ŠTEFANOVEČKA 10, 10000 ZAGREB, OIB: 74486902737</v>
      </c>
      <c r="H6467" s="7"/>
      <c r="I6467" s="8" t="s">
        <v>4994</v>
      </c>
      <c r="J6467" s="8" t="s">
        <v>4995</v>
      </c>
      <c r="K6467" s="6" t="str">
        <f>"134.800,00"</f>
        <v>134.800,00</v>
      </c>
      <c r="L6467" s="6" t="str">
        <f>"33.700,00"</f>
        <v>33.700,00</v>
      </c>
      <c r="M6467" s="6" t="str">
        <f>"168.500,00"</f>
        <v>168.500,00</v>
      </c>
      <c r="N6467" s="8" t="s">
        <v>4487</v>
      </c>
      <c r="O6467" s="7"/>
      <c r="P6467" s="2" t="s">
        <v>8802</v>
      </c>
      <c r="Q6467" s="7"/>
      <c r="R6467" s="1"/>
      <c r="S6467" s="1" t="str">
        <f>"GZ-UN-2017-4313"</f>
        <v>GZ-UN-2017-4313</v>
      </c>
      <c r="T6467" s="1" t="s">
        <v>43</v>
      </c>
    </row>
    <row r="6468" spans="1:20" ht="63.75" x14ac:dyDescent="0.25">
      <c r="A6468" s="6">
        <v>6447</v>
      </c>
      <c r="B6468" s="1" t="str">
        <f>"2017-1137"</f>
        <v>2017-1137</v>
      </c>
      <c r="C6468" s="1" t="s">
        <v>2430</v>
      </c>
      <c r="D6468" s="1" t="s">
        <v>4996</v>
      </c>
      <c r="E6468" s="1" t="str">
        <f>""</f>
        <v/>
      </c>
      <c r="F6468" s="1" t="s">
        <v>1860</v>
      </c>
      <c r="G6468" s="1" t="str">
        <f>CONCATENATE(" PATAFTA I SINOVI,"," VL. FRANJO PATAFTA,"," STRAHONINEC,"," POLJSKA 6,"," 40000 ČAKOVEC,"," OIB: 4581405954")</f>
        <v xml:space="preserve"> PATAFTA I SINOVI, VL. FRANJO PATAFTA, STRAHONINEC, POLJSKA 6, 40000 ČAKOVEC, OIB: 4581405954</v>
      </c>
      <c r="H6468" s="7"/>
      <c r="I6468" s="8" t="s">
        <v>4997</v>
      </c>
      <c r="J6468" s="8" t="s">
        <v>4998</v>
      </c>
      <c r="K6468" s="6" t="str">
        <f>"18.473,00"</f>
        <v>18.473,00</v>
      </c>
      <c r="L6468" s="6" t="str">
        <f>"4.618,25"</f>
        <v>4.618,25</v>
      </c>
      <c r="M6468" s="6" t="str">
        <f>"23.091,25"</f>
        <v>23.091,25</v>
      </c>
      <c r="N6468" s="8" t="s">
        <v>124</v>
      </c>
      <c r="O6468" s="7"/>
      <c r="P6468" s="2" t="s">
        <v>5614</v>
      </c>
      <c r="Q6468" s="7"/>
      <c r="R6468" s="1"/>
      <c r="S6468" s="1" t="str">
        <f>"GZ-UN-2017-12990"</f>
        <v>GZ-UN-2017-12990</v>
      </c>
      <c r="T6468" s="1" t="s">
        <v>55</v>
      </c>
    </row>
    <row r="6469" spans="1:20" ht="63.75" x14ac:dyDescent="0.25">
      <c r="A6469" s="6">
        <v>6448</v>
      </c>
      <c r="B6469" s="1" t="str">
        <f>"2017-1834"</f>
        <v>2017-1834</v>
      </c>
      <c r="C6469" s="1" t="s">
        <v>3057</v>
      </c>
      <c r="D6469" s="1" t="s">
        <v>486</v>
      </c>
      <c r="E6469" s="1" t="str">
        <f>""</f>
        <v/>
      </c>
      <c r="F6469" s="1" t="s">
        <v>1860</v>
      </c>
      <c r="G6469" s="1" t="str">
        <f>CONCATENATE(" GRADSKA PLINARA ZAGREB d.o.o.,"," RADNIČKA CESTA 1,"," 10000 ZAGREB,"," OIB: 20985255037")</f>
        <v xml:space="preserve"> GRADSKA PLINARA ZAGREB d.o.o., RADNIČKA CESTA 1, 10000 ZAGREB, OIB: 20985255037</v>
      </c>
      <c r="H6469" s="7"/>
      <c r="I6469" s="8" t="s">
        <v>3832</v>
      </c>
      <c r="J6469" s="8" t="s">
        <v>3833</v>
      </c>
      <c r="K6469" s="6" t="str">
        <f>"2.187,53"</f>
        <v>2.187,53</v>
      </c>
      <c r="L6469" s="6" t="str">
        <f>"546,88"</f>
        <v>546,88</v>
      </c>
      <c r="M6469" s="6" t="str">
        <f>"2.734,41"</f>
        <v>2.734,41</v>
      </c>
      <c r="N6469" s="8" t="s">
        <v>124</v>
      </c>
      <c r="O6469" s="7"/>
      <c r="P6469" s="2" t="s">
        <v>5614</v>
      </c>
      <c r="Q6469" s="7"/>
      <c r="R6469" s="1"/>
      <c r="S6469" s="1" t="str">
        <f>"GZ-UN-2017-14965"</f>
        <v>GZ-UN-2017-14965</v>
      </c>
      <c r="T6469" s="1" t="s">
        <v>55</v>
      </c>
    </row>
    <row r="6470" spans="1:20" ht="51" x14ac:dyDescent="0.25">
      <c r="A6470" s="6">
        <v>6449</v>
      </c>
      <c r="B6470" s="1" t="str">
        <f>"2017-2262"</f>
        <v>2017-2262</v>
      </c>
      <c r="C6470" s="1" t="s">
        <v>4999</v>
      </c>
      <c r="D6470" s="1" t="s">
        <v>5000</v>
      </c>
      <c r="E6470" s="1" t="str">
        <f>""</f>
        <v/>
      </c>
      <c r="F6470" s="1" t="s">
        <v>1860</v>
      </c>
      <c r="G6470" s="1" t="str">
        <f>CONCATENATE(" GESTA D.O.O.,"," IVANA SEVERA bb,"," 42000 VARAŽDIN,"," OIB: 3349091397")</f>
        <v xml:space="preserve"> GESTA D.O.O., IVANA SEVERA bb, 42000 VARAŽDIN, OIB: 3349091397</v>
      </c>
      <c r="H6470" s="7"/>
      <c r="I6470" s="8" t="s">
        <v>3832</v>
      </c>
      <c r="J6470" s="8" t="s">
        <v>3833</v>
      </c>
      <c r="K6470" s="6" t="str">
        <f>"5.000,00"</f>
        <v>5.000,00</v>
      </c>
      <c r="L6470" s="6" t="str">
        <f>"1.250,00"</f>
        <v>1.250,00</v>
      </c>
      <c r="M6470" s="6" t="str">
        <f>"6.250,00"</f>
        <v>6.250,00</v>
      </c>
      <c r="N6470" s="8" t="s">
        <v>124</v>
      </c>
      <c r="O6470" s="7"/>
      <c r="P6470" s="2" t="s">
        <v>5614</v>
      </c>
      <c r="Q6470" s="7"/>
      <c r="R6470" s="1"/>
      <c r="S6470" s="1" t="str">
        <f>"GZ-UN-2017-14975"</f>
        <v>GZ-UN-2017-14975</v>
      </c>
      <c r="T6470" s="1" t="s">
        <v>55</v>
      </c>
    </row>
    <row r="6471" spans="1:20" ht="51" x14ac:dyDescent="0.25">
      <c r="A6471" s="6">
        <v>6450</v>
      </c>
      <c r="B6471" s="1" t="str">
        <f>"2017-1488"</f>
        <v>2017-1488</v>
      </c>
      <c r="C6471" s="1" t="s">
        <v>2863</v>
      </c>
      <c r="D6471" s="1" t="s">
        <v>1209</v>
      </c>
      <c r="E6471" s="1" t="str">
        <f>""</f>
        <v/>
      </c>
      <c r="F6471" s="1" t="s">
        <v>1860</v>
      </c>
      <c r="G6471" s="1" t="str">
        <f>CONCATENATE(" LABORING D.O.O.,"," VIRJANSKA 22,"," 10000 ZAGREB,"," OIB: 24467257339")</f>
        <v xml:space="preserve"> LABORING D.O.O., VIRJANSKA 22, 10000 ZAGREB, OIB: 24467257339</v>
      </c>
      <c r="H6471" s="7"/>
      <c r="I6471" s="8" t="s">
        <v>3832</v>
      </c>
      <c r="J6471" s="8" t="s">
        <v>3833</v>
      </c>
      <c r="K6471" s="6" t="str">
        <f>"290,00"</f>
        <v>290,00</v>
      </c>
      <c r="L6471" s="6" t="str">
        <f>"72,50"</f>
        <v>72,50</v>
      </c>
      <c r="M6471" s="6" t="str">
        <f>"362,50"</f>
        <v>362,50</v>
      </c>
      <c r="N6471" s="8" t="s">
        <v>124</v>
      </c>
      <c r="O6471" s="7"/>
      <c r="P6471" s="2" t="s">
        <v>5614</v>
      </c>
      <c r="Q6471" s="7"/>
      <c r="R6471" s="1"/>
      <c r="S6471" s="1" t="str">
        <f>"GZ-UN-2017-14983"</f>
        <v>GZ-UN-2017-14983</v>
      </c>
      <c r="T6471" s="1" t="s">
        <v>55</v>
      </c>
    </row>
    <row r="6472" spans="1:20" ht="38.25" x14ac:dyDescent="0.25">
      <c r="A6472" s="6">
        <v>6451</v>
      </c>
      <c r="B6472" s="1" t="str">
        <f>"2017-439"</f>
        <v>2017-439</v>
      </c>
      <c r="C6472" s="1" t="s">
        <v>5001</v>
      </c>
      <c r="D6472" s="1" t="s">
        <v>1184</v>
      </c>
      <c r="E6472" s="1" t="str">
        <f>""</f>
        <v/>
      </c>
      <c r="F6472" s="1" t="s">
        <v>1860</v>
      </c>
      <c r="G6472" s="1" t="str">
        <f>CONCATENATE(" METTLER - TOLEDO D.O.O.,"," ,"," OIB: 01271618606")</f>
        <v xml:space="preserve"> METTLER - TOLEDO D.O.O., , OIB: 01271618606</v>
      </c>
      <c r="H6472" s="7"/>
      <c r="I6472" s="8" t="s">
        <v>3832</v>
      </c>
      <c r="J6472" s="8" t="s">
        <v>3833</v>
      </c>
      <c r="K6472" s="6" t="str">
        <f>"550,00"</f>
        <v>550,00</v>
      </c>
      <c r="L6472" s="6" t="str">
        <f>"137,50"</f>
        <v>137,50</v>
      </c>
      <c r="M6472" s="6" t="str">
        <f>"687,50"</f>
        <v>687,50</v>
      </c>
      <c r="N6472" s="8" t="s">
        <v>124</v>
      </c>
      <c r="O6472" s="7"/>
      <c r="P6472" s="2" t="s">
        <v>5614</v>
      </c>
      <c r="Q6472" s="7"/>
      <c r="R6472" s="1"/>
      <c r="S6472" s="1" t="str">
        <f>"GZ-UN-2017-14985"</f>
        <v>GZ-UN-2017-14985</v>
      </c>
      <c r="T6472" s="1" t="s">
        <v>55</v>
      </c>
    </row>
    <row r="6473" spans="1:20" ht="89.25" x14ac:dyDescent="0.25">
      <c r="A6473" s="6">
        <v>6452</v>
      </c>
      <c r="B6473" s="1" t="str">
        <f>"2017-320"</f>
        <v>2017-320</v>
      </c>
      <c r="C6473" s="1" t="s">
        <v>3014</v>
      </c>
      <c r="D6473" s="1" t="s">
        <v>3015</v>
      </c>
      <c r="E6473" s="1" t="str">
        <f>""</f>
        <v/>
      </c>
      <c r="F6473" s="1" t="s">
        <v>1860</v>
      </c>
      <c r="G6473" s="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473" s="7"/>
      <c r="I6473" s="8" t="s">
        <v>5002</v>
      </c>
      <c r="J6473" s="8" t="s">
        <v>5003</v>
      </c>
      <c r="K6473" s="6" t="str">
        <f>"3.594,70"</f>
        <v>3.594,70</v>
      </c>
      <c r="L6473" s="6" t="str">
        <f>"898,68"</f>
        <v>898,68</v>
      </c>
      <c r="M6473" s="6" t="str">
        <f>"4.493,38"</f>
        <v>4.493,38</v>
      </c>
      <c r="N6473" s="8" t="s">
        <v>124</v>
      </c>
      <c r="O6473" s="7"/>
      <c r="P6473" s="2" t="s">
        <v>5614</v>
      </c>
      <c r="Q6473" s="7"/>
      <c r="R6473" s="1"/>
      <c r="S6473" s="1" t="str">
        <f>"GZ-UN-2017-14992"</f>
        <v>GZ-UN-2017-14992</v>
      </c>
      <c r="T6473" s="1" t="s">
        <v>55</v>
      </c>
    </row>
    <row r="6474" spans="1:20" ht="51" x14ac:dyDescent="0.25">
      <c r="A6474" s="6">
        <v>6453</v>
      </c>
      <c r="B6474" s="1" t="str">
        <f>"2017-1971"</f>
        <v>2017-1971</v>
      </c>
      <c r="C6474" s="1" t="s">
        <v>5004</v>
      </c>
      <c r="D6474" s="1" t="s">
        <v>2549</v>
      </c>
      <c r="E6474" s="1" t="str">
        <f>""</f>
        <v/>
      </c>
      <c r="F6474" s="1" t="s">
        <v>1860</v>
      </c>
      <c r="G6474" s="1" t="str">
        <f>CONCATENATE(" TEHNIČAR-COPYSERVIS D.O.O.,"," KRANJČEVIĆEVA 25,"," 10000 ZAGREB,"," OIB: 5139094509")</f>
        <v xml:space="preserve"> TEHNIČAR-COPYSERVIS D.O.O., KRANJČEVIĆEVA 25, 10000 ZAGREB, OIB: 5139094509</v>
      </c>
      <c r="H6474" s="7"/>
      <c r="I6474" s="8" t="s">
        <v>5002</v>
      </c>
      <c r="J6474" s="8" t="s">
        <v>5003</v>
      </c>
      <c r="K6474" s="6" t="str">
        <f>"342,34"</f>
        <v>342,34</v>
      </c>
      <c r="L6474" s="6" t="str">
        <f>"85,58"</f>
        <v>85,58</v>
      </c>
      <c r="M6474" s="6" t="str">
        <f>"427,92"</f>
        <v>427,92</v>
      </c>
      <c r="N6474" s="8" t="s">
        <v>124</v>
      </c>
      <c r="O6474" s="7"/>
      <c r="P6474" s="2" t="s">
        <v>5614</v>
      </c>
      <c r="Q6474" s="7"/>
      <c r="R6474" s="1"/>
      <c r="S6474" s="1" t="str">
        <f>"GZ-UN-2017-14999"</f>
        <v>GZ-UN-2017-14999</v>
      </c>
      <c r="T6474" s="1" t="s">
        <v>55</v>
      </c>
    </row>
    <row r="6475" spans="1:20" ht="51" x14ac:dyDescent="0.25">
      <c r="A6475" s="6">
        <v>6454</v>
      </c>
      <c r="B6475" s="1" t="str">
        <f>"2017-1013"</f>
        <v>2017-1013</v>
      </c>
      <c r="C6475" s="1" t="s">
        <v>2608</v>
      </c>
      <c r="D6475" s="1" t="s">
        <v>1203</v>
      </c>
      <c r="E6475" s="1" t="str">
        <f>""</f>
        <v/>
      </c>
      <c r="F6475" s="1" t="s">
        <v>1860</v>
      </c>
      <c r="G6475" s="1" t="str">
        <f>CONCATENATE(" SVRDLO D.O.O.,"," ŠKOLSKA ULICA 10,"," 10370 DUGO SELO,"," OIB: 36535565458")</f>
        <v xml:space="preserve"> SVRDLO D.O.O., ŠKOLSKA ULICA 10, 10370 DUGO SELO, OIB: 36535565458</v>
      </c>
      <c r="H6475" s="7"/>
      <c r="I6475" s="8" t="s">
        <v>5002</v>
      </c>
      <c r="J6475" s="8" t="s">
        <v>5003</v>
      </c>
      <c r="K6475" s="6" t="str">
        <f>"600,00"</f>
        <v>600,00</v>
      </c>
      <c r="L6475" s="6" t="str">
        <f>"150,00"</f>
        <v>150,00</v>
      </c>
      <c r="M6475" s="6" t="str">
        <f>"750,00"</f>
        <v>750,00</v>
      </c>
      <c r="N6475" s="8" t="s">
        <v>124</v>
      </c>
      <c r="O6475" s="7"/>
      <c r="P6475" s="2" t="s">
        <v>5614</v>
      </c>
      <c r="Q6475" s="7"/>
      <c r="R6475" s="1"/>
      <c r="S6475" s="1" t="str">
        <f>"GZ-UN-2017-15011"</f>
        <v>GZ-UN-2017-15011</v>
      </c>
      <c r="T6475" s="1" t="s">
        <v>55</v>
      </c>
    </row>
    <row r="6476" spans="1:20" ht="89.25" x14ac:dyDescent="0.25">
      <c r="A6476" s="6">
        <v>6455</v>
      </c>
      <c r="B6476" s="1" t="str">
        <f>"2017-320"</f>
        <v>2017-320</v>
      </c>
      <c r="C6476" s="1" t="s">
        <v>3014</v>
      </c>
      <c r="D6476" s="1" t="s">
        <v>3015</v>
      </c>
      <c r="E6476" s="1" t="str">
        <f>""</f>
        <v/>
      </c>
      <c r="F6476" s="1" t="s">
        <v>1860</v>
      </c>
      <c r="G6476" s="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476" s="7"/>
      <c r="I6476" s="8" t="s">
        <v>5002</v>
      </c>
      <c r="J6476" s="8" t="s">
        <v>5003</v>
      </c>
      <c r="K6476" s="6" t="str">
        <f>"3.924,70"</f>
        <v>3.924,70</v>
      </c>
      <c r="L6476" s="6" t="str">
        <f>"981,18"</f>
        <v>981,18</v>
      </c>
      <c r="M6476" s="6" t="str">
        <f>"4.905,88"</f>
        <v>4.905,88</v>
      </c>
      <c r="N6476" s="8" t="s">
        <v>124</v>
      </c>
      <c r="O6476" s="7"/>
      <c r="P6476" s="2" t="s">
        <v>5614</v>
      </c>
      <c r="Q6476" s="7"/>
      <c r="R6476" s="1"/>
      <c r="S6476" s="1" t="str">
        <f>"GZ-UN-2017-15013"</f>
        <v>GZ-UN-2017-15013</v>
      </c>
      <c r="T6476" s="1" t="s">
        <v>55</v>
      </c>
    </row>
    <row r="6477" spans="1:20" ht="25.5" x14ac:dyDescent="0.25">
      <c r="A6477" s="6">
        <v>6456</v>
      </c>
      <c r="B6477" s="1" t="str">
        <f>"2017-628"</f>
        <v>2017-628</v>
      </c>
      <c r="C6477" s="1" t="s">
        <v>5005</v>
      </c>
      <c r="D6477" s="1" t="s">
        <v>5006</v>
      </c>
      <c r="E6477" s="1" t="str">
        <f>""</f>
        <v/>
      </c>
      <c r="F6477" s="1" t="s">
        <v>1860</v>
      </c>
      <c r="G6477" s="1" t="str">
        <f>CONCATENATE(" DEM D.O.O.,"," ,"," OIB: 82497118239")</f>
        <v xml:space="preserve"> DEM D.O.O., , OIB: 82497118239</v>
      </c>
      <c r="H6477" s="7"/>
      <c r="I6477" s="8" t="s">
        <v>5002</v>
      </c>
      <c r="J6477" s="8" t="s">
        <v>5003</v>
      </c>
      <c r="K6477" s="6" t="str">
        <f>"15.112,00"</f>
        <v>15.112,00</v>
      </c>
      <c r="L6477" s="6" t="str">
        <f>"3.778,00"</f>
        <v>3.778,00</v>
      </c>
      <c r="M6477" s="6" t="str">
        <f>"18.890,00"</f>
        <v>18.890,00</v>
      </c>
      <c r="N6477" s="8" t="s">
        <v>124</v>
      </c>
      <c r="O6477" s="7"/>
      <c r="P6477" s="2" t="s">
        <v>5614</v>
      </c>
      <c r="Q6477" s="7"/>
      <c r="R6477" s="1"/>
      <c r="S6477" s="1" t="str">
        <f>"GZ-UN-2017-15062"</f>
        <v>GZ-UN-2017-15062</v>
      </c>
      <c r="T6477" s="1" t="s">
        <v>55</v>
      </c>
    </row>
    <row r="6478" spans="1:20" ht="51" x14ac:dyDescent="0.25">
      <c r="A6478" s="6">
        <v>6457</v>
      </c>
      <c r="B6478" s="1" t="str">
        <f>"2017-670"</f>
        <v>2017-670</v>
      </c>
      <c r="C6478" s="1" t="s">
        <v>2463</v>
      </c>
      <c r="D6478" s="1" t="s">
        <v>745</v>
      </c>
      <c r="E6478" s="1" t="str">
        <f>""</f>
        <v/>
      </c>
      <c r="F6478" s="1" t="s">
        <v>1860</v>
      </c>
      <c r="G6478" s="1" t="str">
        <f>CONCATENATE(" KEMIKA D.D.,"," HEINZELOVA 53,"," 10000 ZAGREB,"," OIB: 38181641213")</f>
        <v xml:space="preserve"> KEMIKA D.D., HEINZELOVA 53, 10000 ZAGREB, OIB: 38181641213</v>
      </c>
      <c r="H6478" s="7"/>
      <c r="I6478" s="8" t="s">
        <v>5002</v>
      </c>
      <c r="J6478" s="8" t="s">
        <v>5003</v>
      </c>
      <c r="K6478" s="6" t="str">
        <f>"950,00"</f>
        <v>950,00</v>
      </c>
      <c r="L6478" s="6" t="str">
        <f>"237,50"</f>
        <v>237,50</v>
      </c>
      <c r="M6478" s="6" t="str">
        <f>"1.187,50"</f>
        <v>1.187,50</v>
      </c>
      <c r="N6478" s="8" t="s">
        <v>124</v>
      </c>
      <c r="O6478" s="7"/>
      <c r="P6478" s="2" t="s">
        <v>5614</v>
      </c>
      <c r="Q6478" s="7"/>
      <c r="R6478" s="1"/>
      <c r="S6478" s="1" t="str">
        <f>"GZ-UN-2017-15063"</f>
        <v>GZ-UN-2017-15063</v>
      </c>
      <c r="T6478" s="1" t="s">
        <v>55</v>
      </c>
    </row>
    <row r="6479" spans="1:20" ht="51" x14ac:dyDescent="0.25">
      <c r="A6479" s="6">
        <v>6458</v>
      </c>
      <c r="B6479" s="1" t="str">
        <f>"2017-1649"</f>
        <v>2017-1649</v>
      </c>
      <c r="C6479" s="1" t="s">
        <v>2683</v>
      </c>
      <c r="D6479" s="1" t="s">
        <v>2684</v>
      </c>
      <c r="E6479" s="1" t="str">
        <f>""</f>
        <v/>
      </c>
      <c r="F6479" s="1" t="s">
        <v>1860</v>
      </c>
      <c r="G6479" s="1" t="str">
        <f>CONCATENATE(" SVRDLO D.O.O.,"," ŠKOLSKA ULICA 10,"," 10370 DUGO SELO,"," OIB: 36535565458")</f>
        <v xml:space="preserve"> SVRDLO D.O.O., ŠKOLSKA ULICA 10, 10370 DUGO SELO, OIB: 36535565458</v>
      </c>
      <c r="H6479" s="7"/>
      <c r="I6479" s="8" t="s">
        <v>5002</v>
      </c>
      <c r="J6479" s="8" t="s">
        <v>5003</v>
      </c>
      <c r="K6479" s="6" t="str">
        <f>"5.270,00"</f>
        <v>5.270,00</v>
      </c>
      <c r="L6479" s="6" t="str">
        <f>"1.317,50"</f>
        <v>1.317,50</v>
      </c>
      <c r="M6479" s="6" t="str">
        <f>"6.587,50"</f>
        <v>6.587,50</v>
      </c>
      <c r="N6479" s="8" t="s">
        <v>124</v>
      </c>
      <c r="O6479" s="7"/>
      <c r="P6479" s="2" t="s">
        <v>5614</v>
      </c>
      <c r="Q6479" s="7"/>
      <c r="R6479" s="1"/>
      <c r="S6479" s="1" t="str">
        <f>"GZ-UN-2017-15071"</f>
        <v>GZ-UN-2017-15071</v>
      </c>
      <c r="T6479" s="1" t="s">
        <v>55</v>
      </c>
    </row>
    <row r="6480" spans="1:20" ht="51" x14ac:dyDescent="0.25">
      <c r="A6480" s="6">
        <v>6459</v>
      </c>
      <c r="B6480" s="1" t="str">
        <f>"2017-1631"</f>
        <v>2017-1631</v>
      </c>
      <c r="C6480" s="1" t="s">
        <v>2730</v>
      </c>
      <c r="D6480" s="1" t="s">
        <v>1203</v>
      </c>
      <c r="E6480" s="1" t="str">
        <f>""</f>
        <v/>
      </c>
      <c r="F6480" s="1" t="s">
        <v>1860</v>
      </c>
      <c r="G6480" s="1" t="str">
        <f>CONCATENATE(" SVRDLO D.O.O.,"," ŠKOLSKA ULICA 10,"," 10370 DUGO SELO,"," OIB: 36535565458")</f>
        <v xml:space="preserve"> SVRDLO D.O.O., ŠKOLSKA ULICA 10, 10370 DUGO SELO, OIB: 36535565458</v>
      </c>
      <c r="H6480" s="7"/>
      <c r="I6480" s="8" t="s">
        <v>5002</v>
      </c>
      <c r="J6480" s="8" t="s">
        <v>5003</v>
      </c>
      <c r="K6480" s="6" t="str">
        <f>"5.194,00"</f>
        <v>5.194,00</v>
      </c>
      <c r="L6480" s="6" t="str">
        <f>"1.298,50"</f>
        <v>1.298,50</v>
      </c>
      <c r="M6480" s="6" t="str">
        <f>"6.492,50"</f>
        <v>6.492,50</v>
      </c>
      <c r="N6480" s="8" t="s">
        <v>124</v>
      </c>
      <c r="O6480" s="7"/>
      <c r="P6480" s="2" t="s">
        <v>5614</v>
      </c>
      <c r="Q6480" s="7"/>
      <c r="R6480" s="1"/>
      <c r="S6480" s="1" t="str">
        <f>"GZ-UN-2017-15076"</f>
        <v>GZ-UN-2017-15076</v>
      </c>
      <c r="T6480" s="1" t="s">
        <v>55</v>
      </c>
    </row>
    <row r="6481" spans="1:20" ht="63.75" x14ac:dyDescent="0.25">
      <c r="A6481" s="6">
        <v>6460</v>
      </c>
      <c r="B6481" s="1" t="str">
        <f>"2017-917"</f>
        <v>2017-917</v>
      </c>
      <c r="C6481" s="1" t="s">
        <v>5007</v>
      </c>
      <c r="D6481" s="1" t="s">
        <v>2436</v>
      </c>
      <c r="E6481" s="1" t="str">
        <f>""</f>
        <v/>
      </c>
      <c r="F6481" s="1" t="s">
        <v>1860</v>
      </c>
      <c r="G6481" s="1" t="str">
        <f>CONCATENATE(" KUNA CORPORATION D.O.O.,"," DRAŠE 68,"," 49294 KRALJEVEC NA SUTLI,"," OIB: 54600743656")</f>
        <v xml:space="preserve"> KUNA CORPORATION D.O.O., DRAŠE 68, 49294 KRALJEVEC NA SUTLI, OIB: 54600743656</v>
      </c>
      <c r="H6481" s="7"/>
      <c r="I6481" s="8" t="s">
        <v>5002</v>
      </c>
      <c r="J6481" s="8" t="s">
        <v>5003</v>
      </c>
      <c r="K6481" s="6" t="str">
        <f>"3.454,20"</f>
        <v>3.454,20</v>
      </c>
      <c r="L6481" s="6" t="str">
        <f>"863,55"</f>
        <v>863,55</v>
      </c>
      <c r="M6481" s="6" t="str">
        <f>"4.317,75"</f>
        <v>4.317,75</v>
      </c>
      <c r="N6481" s="8" t="s">
        <v>124</v>
      </c>
      <c r="O6481" s="7"/>
      <c r="P6481" s="2" t="s">
        <v>5614</v>
      </c>
      <c r="Q6481" s="7"/>
      <c r="R6481" s="1"/>
      <c r="S6481" s="1" t="str">
        <f>"GZ-UN-2017-15080"</f>
        <v>GZ-UN-2017-15080</v>
      </c>
      <c r="T6481" s="1" t="s">
        <v>55</v>
      </c>
    </row>
    <row r="6482" spans="1:20" ht="51" x14ac:dyDescent="0.25">
      <c r="A6482" s="6">
        <v>6461</v>
      </c>
      <c r="B6482" s="1" t="str">
        <f>"2017-1450"</f>
        <v>2017-1450</v>
      </c>
      <c r="C6482" s="1" t="s">
        <v>2620</v>
      </c>
      <c r="D6482" s="1" t="s">
        <v>665</v>
      </c>
      <c r="E6482" s="1" t="str">
        <f>""</f>
        <v/>
      </c>
      <c r="F6482" s="1" t="s">
        <v>1860</v>
      </c>
      <c r="G6482" s="1" t="str">
        <f>CONCATENATE(" SVRDLO D.O.O.,"," ŠKOLSKA ULICA 10,"," 10370 DUGO SELO,"," OIB: 36535565458")</f>
        <v xml:space="preserve"> SVRDLO D.O.O., ŠKOLSKA ULICA 10, 10370 DUGO SELO, OIB: 36535565458</v>
      </c>
      <c r="H6482" s="7"/>
      <c r="I6482" s="8" t="s">
        <v>5002</v>
      </c>
      <c r="J6482" s="8" t="s">
        <v>5003</v>
      </c>
      <c r="K6482" s="6" t="str">
        <f>"824,00"</f>
        <v>824,00</v>
      </c>
      <c r="L6482" s="6" t="str">
        <f>"206,00"</f>
        <v>206,00</v>
      </c>
      <c r="M6482" s="6" t="str">
        <f>"1.030,00"</f>
        <v>1.030,00</v>
      </c>
      <c r="N6482" s="8" t="s">
        <v>124</v>
      </c>
      <c r="O6482" s="7"/>
      <c r="P6482" s="2" t="s">
        <v>5614</v>
      </c>
      <c r="Q6482" s="7"/>
      <c r="R6482" s="1"/>
      <c r="S6482" s="1" t="str">
        <f>"GZ-UN-2017-15085"</f>
        <v>GZ-UN-2017-15085</v>
      </c>
      <c r="T6482" s="1" t="s">
        <v>55</v>
      </c>
    </row>
    <row r="6483" spans="1:20" ht="89.25" x14ac:dyDescent="0.25">
      <c r="A6483" s="6">
        <v>6462</v>
      </c>
      <c r="B6483" s="1" t="str">
        <f>"2017-320"</f>
        <v>2017-320</v>
      </c>
      <c r="C6483" s="1" t="s">
        <v>3014</v>
      </c>
      <c r="D6483" s="1" t="s">
        <v>3015</v>
      </c>
      <c r="E6483" s="1" t="str">
        <f>""</f>
        <v/>
      </c>
      <c r="F6483" s="1" t="s">
        <v>1860</v>
      </c>
      <c r="G6483" s="1"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6483" s="7"/>
      <c r="I6483" s="8" t="s">
        <v>5002</v>
      </c>
      <c r="J6483" s="8" t="s">
        <v>5003</v>
      </c>
      <c r="K6483" s="6" t="str">
        <f>"3.594,70"</f>
        <v>3.594,70</v>
      </c>
      <c r="L6483" s="6" t="str">
        <f>"898,68"</f>
        <v>898,68</v>
      </c>
      <c r="M6483" s="6" t="str">
        <f>"4.493,38"</f>
        <v>4.493,38</v>
      </c>
      <c r="N6483" s="8" t="s">
        <v>124</v>
      </c>
      <c r="O6483" s="7"/>
      <c r="P6483" s="2" t="s">
        <v>5614</v>
      </c>
      <c r="Q6483" s="7"/>
      <c r="R6483" s="1"/>
      <c r="S6483" s="1" t="str">
        <f>"GZ-UN-2017-15089"</f>
        <v>GZ-UN-2017-15089</v>
      </c>
      <c r="T6483" s="1" t="s">
        <v>55</v>
      </c>
    </row>
    <row r="6484" spans="1:20" ht="51" x14ac:dyDescent="0.25">
      <c r="A6484" s="6">
        <v>6463</v>
      </c>
      <c r="B6484" s="1" t="str">
        <f>"2017-1165"</f>
        <v>2017-1165</v>
      </c>
      <c r="C6484" s="1" t="s">
        <v>2710</v>
      </c>
      <c r="D6484" s="1" t="s">
        <v>815</v>
      </c>
      <c r="E6484" s="1" t="str">
        <f>""</f>
        <v/>
      </c>
      <c r="F6484" s="1" t="s">
        <v>1860</v>
      </c>
      <c r="G6484" s="1" t="str">
        <f>CONCATENATE(" SVRDLO D.O.O.,"," ŠKOLSKA ULICA 10,"," 10370 DUGO SELO,"," OIB: 36535565458")</f>
        <v xml:space="preserve"> SVRDLO D.O.O., ŠKOLSKA ULICA 10, 10370 DUGO SELO, OIB: 36535565458</v>
      </c>
      <c r="H6484" s="7"/>
      <c r="I6484" s="8" t="s">
        <v>5002</v>
      </c>
      <c r="J6484" s="8" t="s">
        <v>5003</v>
      </c>
      <c r="K6484" s="6" t="str">
        <f>"980,00"</f>
        <v>980,00</v>
      </c>
      <c r="L6484" s="6" t="str">
        <f>"245,00"</f>
        <v>245,00</v>
      </c>
      <c r="M6484" s="6" t="str">
        <f>"1.225,00"</f>
        <v>1.225,00</v>
      </c>
      <c r="N6484" s="8" t="s">
        <v>124</v>
      </c>
      <c r="O6484" s="7"/>
      <c r="P6484" s="2" t="s">
        <v>5614</v>
      </c>
      <c r="Q6484" s="7"/>
      <c r="R6484" s="1"/>
      <c r="S6484" s="1" t="str">
        <f>"GZ-UN-2017-15095"</f>
        <v>GZ-UN-2017-15095</v>
      </c>
      <c r="T6484" s="1" t="s">
        <v>55</v>
      </c>
    </row>
    <row r="6485" spans="1:20" ht="76.5" x14ac:dyDescent="0.25">
      <c r="A6485" s="6">
        <v>6464</v>
      </c>
      <c r="B6485" s="1" t="str">
        <f>"2017-622"</f>
        <v>2017-622</v>
      </c>
      <c r="C6485" s="1" t="s">
        <v>5008</v>
      </c>
      <c r="D6485" s="1" t="s">
        <v>5009</v>
      </c>
      <c r="E6485" s="1" t="str">
        <f>""</f>
        <v/>
      </c>
      <c r="F6485" s="1" t="s">
        <v>1860</v>
      </c>
      <c r="G6485" s="1" t="str">
        <f>CONCATENATE(" NASTAVNI ZAVOD ZA JAVNO ZDRAVSTVO DR. ANDRIJA ŠTAMPAR,"," MIROGOJSKA CESTA 16,"," 10000 ZAGREB,"," OIB: 3339200596")</f>
        <v xml:space="preserve"> NASTAVNI ZAVOD ZA JAVNO ZDRAVSTVO DR. ANDRIJA ŠTAMPAR, MIROGOJSKA CESTA 16, 10000 ZAGREB, OIB: 3339200596</v>
      </c>
      <c r="H6485" s="7"/>
      <c r="I6485" s="8" t="s">
        <v>5002</v>
      </c>
      <c r="J6485" s="8" t="s">
        <v>5003</v>
      </c>
      <c r="K6485" s="6" t="str">
        <f>"33.320,00"</f>
        <v>33.320,00</v>
      </c>
      <c r="L6485" s="6" t="str">
        <f>"8.330,00"</f>
        <v>8.330,00</v>
      </c>
      <c r="M6485" s="6" t="str">
        <f>"41.650,00"</f>
        <v>41.650,00</v>
      </c>
      <c r="N6485" s="8" t="s">
        <v>124</v>
      </c>
      <c r="O6485" s="7"/>
      <c r="P6485" s="2" t="s">
        <v>5614</v>
      </c>
      <c r="Q6485" s="7"/>
      <c r="R6485" s="1"/>
      <c r="S6485" s="1" t="str">
        <f>"GZ-UN-2017-15096"</f>
        <v>GZ-UN-2017-15096</v>
      </c>
      <c r="T6485" s="1" t="s">
        <v>55</v>
      </c>
    </row>
    <row r="6486" spans="1:20" ht="51" x14ac:dyDescent="0.25">
      <c r="A6486" s="6">
        <v>6465</v>
      </c>
      <c r="B6486" s="1" t="str">
        <f>"2017-1013"</f>
        <v>2017-1013</v>
      </c>
      <c r="C6486" s="1" t="s">
        <v>2608</v>
      </c>
      <c r="D6486" s="1" t="s">
        <v>1203</v>
      </c>
      <c r="E6486" s="1" t="str">
        <f>""</f>
        <v/>
      </c>
      <c r="F6486" s="1" t="s">
        <v>1860</v>
      </c>
      <c r="G6486" s="1" t="str">
        <f>CONCATENATE(" SVRDLO D.O.O.,"," ŠKOLSKA ULICA 10,"," 10370 DUGO SELO,"," OIB: 36535565458")</f>
        <v xml:space="preserve"> SVRDLO D.O.O., ŠKOLSKA ULICA 10, 10370 DUGO SELO, OIB: 36535565458</v>
      </c>
      <c r="H6486" s="7"/>
      <c r="I6486" s="8" t="s">
        <v>5002</v>
      </c>
      <c r="J6486" s="8" t="s">
        <v>5003</v>
      </c>
      <c r="K6486" s="6" t="str">
        <f>"6.689,00"</f>
        <v>6.689,00</v>
      </c>
      <c r="L6486" s="6" t="str">
        <f>"1.672,25"</f>
        <v>1.672,25</v>
      </c>
      <c r="M6486" s="6" t="str">
        <f>"8.361,25"</f>
        <v>8.361,25</v>
      </c>
      <c r="N6486" s="8" t="s">
        <v>124</v>
      </c>
      <c r="O6486" s="7"/>
      <c r="P6486" s="2" t="s">
        <v>5614</v>
      </c>
      <c r="Q6486" s="7"/>
      <c r="R6486" s="1"/>
      <c r="S6486" s="1" t="str">
        <f>"GZ-UN-2017-15107"</f>
        <v>GZ-UN-2017-15107</v>
      </c>
      <c r="T6486" s="1" t="s">
        <v>55</v>
      </c>
    </row>
    <row r="6487" spans="1:20" ht="51" x14ac:dyDescent="0.25">
      <c r="A6487" s="6">
        <v>6466</v>
      </c>
      <c r="B6487" s="1" t="str">
        <f>"2017-1971"</f>
        <v>2017-1971</v>
      </c>
      <c r="C6487" s="1" t="s">
        <v>5004</v>
      </c>
      <c r="D6487" s="1" t="s">
        <v>2549</v>
      </c>
      <c r="E6487" s="1" t="str">
        <f>""</f>
        <v/>
      </c>
      <c r="F6487" s="1" t="s">
        <v>1860</v>
      </c>
      <c r="G6487" s="1" t="str">
        <f>CONCATENATE(" TEHNIČAR-COPYSERVIS D.O.O.,"," KRANJČEVIĆEVA 25,"," 10000 ZAGREB,"," OIB: 5139094509")</f>
        <v xml:space="preserve"> TEHNIČAR-COPYSERVIS D.O.O., KRANJČEVIĆEVA 25, 10000 ZAGREB, OIB: 5139094509</v>
      </c>
      <c r="H6487" s="7"/>
      <c r="I6487" s="8" t="s">
        <v>5002</v>
      </c>
      <c r="J6487" s="8" t="s">
        <v>5003</v>
      </c>
      <c r="K6487" s="6" t="str">
        <f>"1.655,44"</f>
        <v>1.655,44</v>
      </c>
      <c r="L6487" s="6" t="str">
        <f>"413,86"</f>
        <v>413,86</v>
      </c>
      <c r="M6487" s="6" t="str">
        <f>"2.069,30"</f>
        <v>2.069,30</v>
      </c>
      <c r="N6487" s="8" t="s">
        <v>124</v>
      </c>
      <c r="O6487" s="7"/>
      <c r="P6487" s="2" t="s">
        <v>5614</v>
      </c>
      <c r="Q6487" s="7"/>
      <c r="R6487" s="1"/>
      <c r="S6487" s="1" t="str">
        <f>"GZ-UN-2017-15109"</f>
        <v>GZ-UN-2017-15109</v>
      </c>
      <c r="T6487" s="1" t="s">
        <v>55</v>
      </c>
    </row>
    <row r="6488" spans="1:20" ht="51" x14ac:dyDescent="0.25">
      <c r="A6488" s="6">
        <v>6467</v>
      </c>
      <c r="B6488" s="1" t="str">
        <f>"2017-2263"</f>
        <v>2017-2263</v>
      </c>
      <c r="C6488" s="1" t="s">
        <v>5010</v>
      </c>
      <c r="D6488" s="1" t="s">
        <v>1490</v>
      </c>
      <c r="E6488" s="1" t="str">
        <f>""</f>
        <v/>
      </c>
      <c r="F6488" s="1" t="s">
        <v>1860</v>
      </c>
      <c r="G6488" s="1" t="str">
        <f>CONCATENATE(" M B M D.O.O.,"," DOLENICA 8,"," 10250 LUČKO,"," OIB: 35375001016")</f>
        <v xml:space="preserve"> M B M D.O.O., DOLENICA 8, 10250 LUČKO, OIB: 35375001016</v>
      </c>
      <c r="H6488" s="7"/>
      <c r="I6488" s="8" t="s">
        <v>3593</v>
      </c>
      <c r="J6488" s="8" t="s">
        <v>5011</v>
      </c>
      <c r="K6488" s="6" t="str">
        <f>"61.125,00"</f>
        <v>61.125,00</v>
      </c>
      <c r="L6488" s="6" t="str">
        <f>"15.281,25"</f>
        <v>15.281,25</v>
      </c>
      <c r="M6488" s="6" t="str">
        <f>"76.406,25"</f>
        <v>76.406,25</v>
      </c>
      <c r="N6488" s="8" t="s">
        <v>4495</v>
      </c>
      <c r="O6488" s="7"/>
      <c r="P6488" s="2" t="s">
        <v>8803</v>
      </c>
      <c r="Q6488" s="7"/>
      <c r="R6488" s="1"/>
      <c r="S6488" s="1" t="str">
        <f>"GZ-UN-2017-15200"</f>
        <v>GZ-UN-2017-15200</v>
      </c>
      <c r="T6488" s="1" t="s">
        <v>32</v>
      </c>
    </row>
    <row r="6489" spans="1:20" ht="51" x14ac:dyDescent="0.25">
      <c r="A6489" s="6">
        <v>6468</v>
      </c>
      <c r="B6489" s="1" t="str">
        <f>"2017-2515"</f>
        <v>2017-2515</v>
      </c>
      <c r="C6489" s="1" t="s">
        <v>2692</v>
      </c>
      <c r="D6489" s="1" t="s">
        <v>2693</v>
      </c>
      <c r="E6489" s="1" t="str">
        <f>""</f>
        <v/>
      </c>
      <c r="F6489" s="1" t="s">
        <v>1860</v>
      </c>
      <c r="G6489" s="1" t="str">
        <f>CONCATENATE(" SVRDLO D.O.O.,"," ŠKOLSKA ULICA 10,"," 10370 DUGO SELO,"," OIB: 36535565458")</f>
        <v xml:space="preserve"> SVRDLO D.O.O., ŠKOLSKA ULICA 10, 10370 DUGO SELO, OIB: 36535565458</v>
      </c>
      <c r="H6489" s="7"/>
      <c r="I6489" s="8" t="s">
        <v>3593</v>
      </c>
      <c r="J6489" s="8" t="s">
        <v>5011</v>
      </c>
      <c r="K6489" s="6" t="str">
        <f>"4.305,00"</f>
        <v>4.305,00</v>
      </c>
      <c r="L6489" s="6" t="str">
        <f>"1.076,25"</f>
        <v>1.076,25</v>
      </c>
      <c r="M6489" s="6" t="str">
        <f>"5.381,25"</f>
        <v>5.381,25</v>
      </c>
      <c r="N6489" s="8" t="s">
        <v>124</v>
      </c>
      <c r="O6489" s="7"/>
      <c r="P6489" s="2" t="s">
        <v>5614</v>
      </c>
      <c r="Q6489" s="7"/>
      <c r="R6489" s="1"/>
      <c r="S6489" s="1" t="str">
        <f>"GZ-UN-2017-15347"</f>
        <v>GZ-UN-2017-15347</v>
      </c>
      <c r="T6489" s="1" t="s">
        <v>55</v>
      </c>
    </row>
    <row r="6490" spans="1:20" ht="63.75" x14ac:dyDescent="0.25">
      <c r="A6490" s="6">
        <v>6469</v>
      </c>
      <c r="B6490" s="1" t="str">
        <f>"2017-1834"</f>
        <v>2017-1834</v>
      </c>
      <c r="C6490" s="1" t="s">
        <v>3057</v>
      </c>
      <c r="D6490" s="1" t="s">
        <v>486</v>
      </c>
      <c r="E6490" s="1" t="str">
        <f>""</f>
        <v/>
      </c>
      <c r="F6490" s="1" t="s">
        <v>1860</v>
      </c>
      <c r="G6490" s="1" t="str">
        <f>CONCATENATE(" GRADSKA PLINARA ZAGREB d.o.o.,"," RADNIČKA CESTA 1,"," 10000 ZAGREB,"," OIB: 20985255037")</f>
        <v xml:space="preserve"> GRADSKA PLINARA ZAGREB d.o.o., RADNIČKA CESTA 1, 10000 ZAGREB, OIB: 20985255037</v>
      </c>
      <c r="H6490" s="7"/>
      <c r="I6490" s="8" t="s">
        <v>3593</v>
      </c>
      <c r="J6490" s="8" t="s">
        <v>5011</v>
      </c>
      <c r="K6490" s="6" t="str">
        <f>"2.280,43"</f>
        <v>2.280,43</v>
      </c>
      <c r="L6490" s="6" t="str">
        <f>"570,11"</f>
        <v>570,11</v>
      </c>
      <c r="M6490" s="6" t="str">
        <f>"2.850,54"</f>
        <v>2.850,54</v>
      </c>
      <c r="N6490" s="8" t="s">
        <v>124</v>
      </c>
      <c r="O6490" s="7"/>
      <c r="P6490" s="2" t="s">
        <v>5614</v>
      </c>
      <c r="Q6490" s="7"/>
      <c r="R6490" s="1"/>
      <c r="S6490" s="1" t="str">
        <f>"GZ-UN-2017-15455"</f>
        <v>GZ-UN-2017-15455</v>
      </c>
      <c r="T6490" s="1" t="s">
        <v>55</v>
      </c>
    </row>
    <row r="6491" spans="1:20" ht="63.75" x14ac:dyDescent="0.25">
      <c r="A6491" s="6">
        <v>6470</v>
      </c>
      <c r="B6491" s="1" t="str">
        <f>"2017-1834"</f>
        <v>2017-1834</v>
      </c>
      <c r="C6491" s="1" t="s">
        <v>3057</v>
      </c>
      <c r="D6491" s="1" t="s">
        <v>486</v>
      </c>
      <c r="E6491" s="1" t="str">
        <f>""</f>
        <v/>
      </c>
      <c r="F6491" s="1" t="s">
        <v>1860</v>
      </c>
      <c r="G6491" s="1" t="str">
        <f>CONCATENATE(" GRADSKA PLINARA ZAGREB d.o.o.,"," RADNIČKA CESTA 1,"," 10000 ZAGREB,"," OIB: 20985255037")</f>
        <v xml:space="preserve"> GRADSKA PLINARA ZAGREB d.o.o., RADNIČKA CESTA 1, 10000 ZAGREB, OIB: 20985255037</v>
      </c>
      <c r="H6491" s="7"/>
      <c r="I6491" s="8" t="s">
        <v>3593</v>
      </c>
      <c r="J6491" s="8" t="s">
        <v>5011</v>
      </c>
      <c r="K6491" s="6" t="str">
        <f>"2.207,23"</f>
        <v>2.207,23</v>
      </c>
      <c r="L6491" s="6" t="str">
        <f>"551,81"</f>
        <v>551,81</v>
      </c>
      <c r="M6491" s="6" t="str">
        <f>"2.759,04"</f>
        <v>2.759,04</v>
      </c>
      <c r="N6491" s="8" t="s">
        <v>124</v>
      </c>
      <c r="O6491" s="7"/>
      <c r="P6491" s="2" t="s">
        <v>5614</v>
      </c>
      <c r="Q6491" s="7"/>
      <c r="R6491" s="1"/>
      <c r="S6491" s="1" t="str">
        <f>"GZ-UN-2017-15462"</f>
        <v>GZ-UN-2017-15462</v>
      </c>
      <c r="T6491" s="1" t="s">
        <v>55</v>
      </c>
    </row>
    <row r="6492" spans="1:20" ht="63.75" x14ac:dyDescent="0.25">
      <c r="A6492" s="6">
        <v>6471</v>
      </c>
      <c r="B6492" s="1" t="str">
        <f>"2017-1834"</f>
        <v>2017-1834</v>
      </c>
      <c r="C6492" s="1" t="s">
        <v>3057</v>
      </c>
      <c r="D6492" s="1" t="s">
        <v>486</v>
      </c>
      <c r="E6492" s="1" t="str">
        <f>""</f>
        <v/>
      </c>
      <c r="F6492" s="1" t="s">
        <v>1860</v>
      </c>
      <c r="G6492" s="1" t="str">
        <f>CONCATENATE(" GRADSKA PLINARA ZAGREB d.o.o.,"," RADNIČKA CESTA 1,"," 10000 ZAGREB,"," OIB: 20985255037")</f>
        <v xml:space="preserve"> GRADSKA PLINARA ZAGREB d.o.o., RADNIČKA CESTA 1, 10000 ZAGREB, OIB: 20985255037</v>
      </c>
      <c r="H6492" s="7"/>
      <c r="I6492" s="8" t="s">
        <v>3593</v>
      </c>
      <c r="J6492" s="8" t="s">
        <v>5011</v>
      </c>
      <c r="K6492" s="6" t="str">
        <f>"7.213,96"</f>
        <v>7.213,96</v>
      </c>
      <c r="L6492" s="6" t="str">
        <f>"1.803,49"</f>
        <v>1.803,49</v>
      </c>
      <c r="M6492" s="6" t="str">
        <f>"9.017,45"</f>
        <v>9.017,45</v>
      </c>
      <c r="N6492" s="8" t="s">
        <v>124</v>
      </c>
      <c r="O6492" s="7"/>
      <c r="P6492" s="2" t="s">
        <v>5614</v>
      </c>
      <c r="Q6492" s="7"/>
      <c r="R6492" s="1"/>
      <c r="S6492" s="1" t="str">
        <f>"GZ-UN-2017-15469"</f>
        <v>GZ-UN-2017-15469</v>
      </c>
      <c r="T6492" s="1" t="s">
        <v>55</v>
      </c>
    </row>
    <row r="6493" spans="1:20" ht="51" x14ac:dyDescent="0.25">
      <c r="A6493" s="6">
        <v>6472</v>
      </c>
      <c r="B6493" s="1" t="str">
        <f>"2017-1450"</f>
        <v>2017-1450</v>
      </c>
      <c r="C6493" s="1" t="s">
        <v>2620</v>
      </c>
      <c r="D6493" s="1" t="s">
        <v>665</v>
      </c>
      <c r="E6493" s="1" t="str">
        <f>""</f>
        <v/>
      </c>
      <c r="F6493" s="1" t="s">
        <v>1860</v>
      </c>
      <c r="G6493" s="1" t="str">
        <f>CONCATENATE(" TEHNOGUMA d.o.o.,"," OBRTNIČKA 1,"," 10000 ZAGREB,"," OIB: 38867318377")</f>
        <v xml:space="preserve"> TEHNOGUMA d.o.o., OBRTNIČKA 1, 10000 ZAGREB, OIB: 38867318377</v>
      </c>
      <c r="H6493" s="7"/>
      <c r="I6493" s="8" t="s">
        <v>3593</v>
      </c>
      <c r="J6493" s="8" t="s">
        <v>5011</v>
      </c>
      <c r="K6493" s="6" t="str">
        <f>"3.400,00"</f>
        <v>3.400,00</v>
      </c>
      <c r="L6493" s="6" t="str">
        <f>"850,00"</f>
        <v>850,00</v>
      </c>
      <c r="M6493" s="6" t="str">
        <f>"4.250,00"</f>
        <v>4.250,00</v>
      </c>
      <c r="N6493" s="8" t="s">
        <v>124</v>
      </c>
      <c r="O6493" s="7"/>
      <c r="P6493" s="2" t="s">
        <v>5614</v>
      </c>
      <c r="Q6493" s="7"/>
      <c r="R6493" s="1"/>
      <c r="S6493" s="1" t="str">
        <f>"GZ-UN-2017-15492"</f>
        <v>GZ-UN-2017-15492</v>
      </c>
      <c r="T6493" s="1" t="s">
        <v>55</v>
      </c>
    </row>
    <row r="6494" spans="1:20" ht="63.75" x14ac:dyDescent="0.25">
      <c r="A6494" s="6">
        <v>6473</v>
      </c>
      <c r="B6494" s="1" t="str">
        <f>"2017-1834"</f>
        <v>2017-1834</v>
      </c>
      <c r="C6494" s="1" t="s">
        <v>3057</v>
      </c>
      <c r="D6494" s="1" t="s">
        <v>486</v>
      </c>
      <c r="E6494" s="1" t="str">
        <f>""</f>
        <v/>
      </c>
      <c r="F6494" s="1" t="s">
        <v>1860</v>
      </c>
      <c r="G6494" s="1" t="str">
        <f>CONCATENATE(" GRADSKA PLINARA ZAGREB d.o.o.,"," RADNIČKA CESTA 1,"," 10000 ZAGREB,"," OIB: 20985255037")</f>
        <v xml:space="preserve"> GRADSKA PLINARA ZAGREB d.o.o., RADNIČKA CESTA 1, 10000 ZAGREB, OIB: 20985255037</v>
      </c>
      <c r="H6494" s="7"/>
      <c r="I6494" s="8" t="s">
        <v>3769</v>
      </c>
      <c r="J6494" s="8" t="s">
        <v>4548</v>
      </c>
      <c r="K6494" s="6" t="str">
        <f>"2.932,56"</f>
        <v>2.932,56</v>
      </c>
      <c r="L6494" s="6" t="str">
        <f>"733,14"</f>
        <v>733,14</v>
      </c>
      <c r="M6494" s="6" t="str">
        <f>"3.665,70"</f>
        <v>3.665,70</v>
      </c>
      <c r="N6494" s="8" t="s">
        <v>124</v>
      </c>
      <c r="O6494" s="7"/>
      <c r="P6494" s="2" t="s">
        <v>5614</v>
      </c>
      <c r="Q6494" s="7"/>
      <c r="R6494" s="1"/>
      <c r="S6494" s="1" t="str">
        <f>"GZ-UN-2017-16684"</f>
        <v>GZ-UN-2017-16684</v>
      </c>
      <c r="T6494" s="1" t="s">
        <v>55</v>
      </c>
    </row>
    <row r="6495" spans="1:20" ht="51" x14ac:dyDescent="0.25">
      <c r="A6495" s="6">
        <v>6474</v>
      </c>
      <c r="B6495" s="1" t="str">
        <f>"2017-434"</f>
        <v>2017-434</v>
      </c>
      <c r="C6495" s="1" t="s">
        <v>5012</v>
      </c>
      <c r="D6495" s="1" t="s">
        <v>679</v>
      </c>
      <c r="E6495" s="1" t="str">
        <f>""</f>
        <v/>
      </c>
      <c r="F6495" s="1" t="s">
        <v>1860</v>
      </c>
      <c r="G6495" s="1" t="str">
        <f>CONCATENATE(" SVRDLO D.O.O.,"," ŠKOLSKA ULICA 10,"," 10370 DUGO SELO,"," OIB: 36535565458")</f>
        <v xml:space="preserve"> SVRDLO D.O.O., ŠKOLSKA ULICA 10, 10370 DUGO SELO, OIB: 36535565458</v>
      </c>
      <c r="H6495" s="7"/>
      <c r="I6495" s="8" t="s">
        <v>3769</v>
      </c>
      <c r="J6495" s="8" t="s">
        <v>4548</v>
      </c>
      <c r="K6495" s="6" t="str">
        <f>"1.152,00"</f>
        <v>1.152,00</v>
      </c>
      <c r="L6495" s="6" t="str">
        <f>"288,00"</f>
        <v>288,00</v>
      </c>
      <c r="M6495" s="6" t="str">
        <f>"1.440,00"</f>
        <v>1.440,00</v>
      </c>
      <c r="N6495" s="8" t="s">
        <v>124</v>
      </c>
      <c r="O6495" s="7"/>
      <c r="P6495" s="2" t="s">
        <v>5614</v>
      </c>
      <c r="Q6495" s="7"/>
      <c r="R6495" s="1"/>
      <c r="S6495" s="1" t="str">
        <f>"GZ-UN-2017-16738"</f>
        <v>GZ-UN-2017-16738</v>
      </c>
      <c r="T6495" s="1" t="s">
        <v>55</v>
      </c>
    </row>
    <row r="6496" spans="1:20" ht="51" x14ac:dyDescent="0.25">
      <c r="A6496" s="6">
        <v>6475</v>
      </c>
      <c r="B6496" s="1" t="str">
        <f>"2017-2"</f>
        <v>2017-2</v>
      </c>
      <c r="C6496" s="1" t="s">
        <v>1064</v>
      </c>
      <c r="D6496" s="1" t="s">
        <v>1065</v>
      </c>
      <c r="E6496" s="1" t="str">
        <f>""</f>
        <v/>
      </c>
      <c r="F6496" s="1" t="s">
        <v>1860</v>
      </c>
      <c r="G6496" s="1" t="str">
        <f>CONCATENATE(" ORYX GRUPA D.O.O.,"," LJUDEVITA POSAVSKOG 7/A,"," 10360 SESVETE,"," OIB: 82333208898")</f>
        <v xml:space="preserve"> ORYX GRUPA D.O.O., LJUDEVITA POSAVSKOG 7/A, 10360 SESVETE, OIB: 82333208898</v>
      </c>
      <c r="H6496" s="7"/>
      <c r="I6496" s="8" t="s">
        <v>3769</v>
      </c>
      <c r="J6496" s="8" t="s">
        <v>4548</v>
      </c>
      <c r="K6496" s="6" t="str">
        <f>"6.060,00"</f>
        <v>6.060,00</v>
      </c>
      <c r="L6496" s="6" t="str">
        <f>"1.515,00"</f>
        <v>1.515,00</v>
      </c>
      <c r="M6496" s="6" t="str">
        <f>"7.575,00"</f>
        <v>7.575,00</v>
      </c>
      <c r="N6496" s="8" t="s">
        <v>124</v>
      </c>
      <c r="O6496" s="7"/>
      <c r="P6496" s="2" t="s">
        <v>5614</v>
      </c>
      <c r="Q6496" s="7"/>
      <c r="R6496" s="1"/>
      <c r="S6496" s="1" t="str">
        <f>"GZ-UN-2017-16765"</f>
        <v>GZ-UN-2017-16765</v>
      </c>
      <c r="T6496" s="1" t="s">
        <v>2060</v>
      </c>
    </row>
    <row r="6497" spans="1:20" ht="76.5" x14ac:dyDescent="0.25">
      <c r="A6497" s="6">
        <v>6476</v>
      </c>
      <c r="B6497" s="1" t="str">
        <f>"2017-1939"</f>
        <v>2017-1939</v>
      </c>
      <c r="C6497" s="1" t="s">
        <v>2371</v>
      </c>
      <c r="D6497" s="1" t="s">
        <v>5013</v>
      </c>
      <c r="E6497" s="1" t="str">
        <f>""</f>
        <v/>
      </c>
      <c r="F6497" s="1" t="s">
        <v>1860</v>
      </c>
      <c r="G6497" s="1" t="str">
        <f>CONCATENATE(" POLJO-PROM,"," VL. ZLATKO KRIŽANIĆ,"," HRAŠĆE TUROPOLJSKO,"," KRIŽANIĆI 27,"," 10020 ZAGREB-NOVI ZAGREB,"," OIB: 22277452223")</f>
        <v xml:space="preserve"> POLJO-PROM, VL. ZLATKO KRIŽANIĆ, HRAŠĆE TUROPOLJSKO, KRIŽANIĆI 27, 10020 ZAGREB-NOVI ZAGREB, OIB: 22277452223</v>
      </c>
      <c r="H6497" s="7"/>
      <c r="I6497" s="8" t="s">
        <v>3769</v>
      </c>
      <c r="J6497" s="8" t="s">
        <v>4548</v>
      </c>
      <c r="K6497" s="6" t="str">
        <f>"2.000,00"</f>
        <v>2.000,00</v>
      </c>
      <c r="L6497" s="6" t="str">
        <f>"500,00"</f>
        <v>500,00</v>
      </c>
      <c r="M6497" s="6" t="str">
        <f>"2.500,00"</f>
        <v>2.500,00</v>
      </c>
      <c r="N6497" s="8" t="s">
        <v>124</v>
      </c>
      <c r="O6497" s="7"/>
      <c r="P6497" s="2" t="s">
        <v>5614</v>
      </c>
      <c r="Q6497" s="7"/>
      <c r="R6497" s="1"/>
      <c r="S6497" s="1" t="str">
        <f>"GZ-UN-2017-16844"</f>
        <v>GZ-UN-2017-16844</v>
      </c>
      <c r="T6497" s="1" t="s">
        <v>55</v>
      </c>
    </row>
    <row r="6498" spans="1:20" ht="63.75" x14ac:dyDescent="0.25">
      <c r="A6498" s="6">
        <v>6477</v>
      </c>
      <c r="B6498" s="1" t="str">
        <f>"2017-1834"</f>
        <v>2017-1834</v>
      </c>
      <c r="C6498" s="1" t="s">
        <v>3057</v>
      </c>
      <c r="D6498" s="1" t="s">
        <v>486</v>
      </c>
      <c r="E6498" s="1" t="str">
        <f>""</f>
        <v/>
      </c>
      <c r="F6498" s="1" t="s">
        <v>1860</v>
      </c>
      <c r="G6498" s="1" t="str">
        <f>CONCATENATE(" GRADSKA PLINARA ZAGREB d.o.o.,"," RADNIČKA CESTA 1,"," 10000 ZAGREB,"," OIB: 20985255037")</f>
        <v xml:space="preserve"> GRADSKA PLINARA ZAGREB d.o.o., RADNIČKA CESTA 1, 10000 ZAGREB, OIB: 20985255037</v>
      </c>
      <c r="H6498" s="7"/>
      <c r="I6498" s="8" t="s">
        <v>3769</v>
      </c>
      <c r="J6498" s="8" t="s">
        <v>4548</v>
      </c>
      <c r="K6498" s="6" t="str">
        <f>"3.025,56"</f>
        <v>3.025,56</v>
      </c>
      <c r="L6498" s="6" t="str">
        <f>"756,39"</f>
        <v>756,39</v>
      </c>
      <c r="M6498" s="6" t="str">
        <f>"3.781,95"</f>
        <v>3.781,95</v>
      </c>
      <c r="N6498" s="8" t="s">
        <v>124</v>
      </c>
      <c r="O6498" s="7"/>
      <c r="P6498" s="2" t="s">
        <v>5614</v>
      </c>
      <c r="Q6498" s="7"/>
      <c r="R6498" s="1"/>
      <c r="S6498" s="1" t="str">
        <f>"GZ-UN-2017-16901"</f>
        <v>GZ-UN-2017-16901</v>
      </c>
      <c r="T6498" s="1" t="s">
        <v>55</v>
      </c>
    </row>
    <row r="6499" spans="1:20" ht="51" x14ac:dyDescent="0.25">
      <c r="A6499" s="6">
        <v>6478</v>
      </c>
      <c r="B6499" s="1" t="str">
        <f>"2017-502"</f>
        <v>2017-502</v>
      </c>
      <c r="C6499" s="1" t="s">
        <v>5014</v>
      </c>
      <c r="D6499" s="1" t="s">
        <v>914</v>
      </c>
      <c r="E6499" s="1" t="str">
        <f>""</f>
        <v/>
      </c>
      <c r="F6499" s="1" t="s">
        <v>1860</v>
      </c>
      <c r="G6499" s="1" t="str">
        <f>CONCATENATE(" AUTOKUĆA-ŠTARKELJ D.O.O.,"," UKRAJINSKA 17,"," 10000 ZAGREB,"," OIB: 87340407905")</f>
        <v xml:space="preserve"> AUTOKUĆA-ŠTARKELJ D.O.O., UKRAJINSKA 17, 10000 ZAGREB, OIB: 87340407905</v>
      </c>
      <c r="H6499" s="7"/>
      <c r="I6499" s="8" t="s">
        <v>5015</v>
      </c>
      <c r="J6499" s="8" t="s">
        <v>5016</v>
      </c>
      <c r="K6499" s="6" t="str">
        <f>"7.836,50"</f>
        <v>7.836,50</v>
      </c>
      <c r="L6499" s="6" t="str">
        <f>"1.959,12"</f>
        <v>1.959,12</v>
      </c>
      <c r="M6499" s="6" t="str">
        <f>"9.795,62"</f>
        <v>9.795,62</v>
      </c>
      <c r="N6499" s="8" t="s">
        <v>124</v>
      </c>
      <c r="O6499" s="7"/>
      <c r="P6499" s="2" t="s">
        <v>5614</v>
      </c>
      <c r="Q6499" s="7"/>
      <c r="R6499" s="1"/>
      <c r="S6499" s="1" t="str">
        <f>"GZ-UN-2017-17108"</f>
        <v>GZ-UN-2017-17108</v>
      </c>
      <c r="T6499" s="1" t="s">
        <v>55</v>
      </c>
    </row>
    <row r="6500" spans="1:20" ht="51" x14ac:dyDescent="0.25">
      <c r="A6500" s="6">
        <v>6479</v>
      </c>
      <c r="B6500" s="1" t="str">
        <f>"2017-1527"</f>
        <v>2017-1527</v>
      </c>
      <c r="C6500" s="1" t="s">
        <v>5017</v>
      </c>
      <c r="D6500" s="1" t="s">
        <v>1150</v>
      </c>
      <c r="E6500" s="1" t="str">
        <f>""</f>
        <v/>
      </c>
      <c r="F6500" s="1" t="s">
        <v>1860</v>
      </c>
      <c r="G6500" s="1" t="str">
        <f>CONCATENATE(" NIACO D.O.O.,"," IVANA KAMENARIĆA 9,"," 10380 SVETI IVAN ZELINA,"," OIB: 61876916009")</f>
        <v xml:space="preserve"> NIACO D.O.O., IVANA KAMENARIĆA 9, 10380 SVETI IVAN ZELINA, OIB: 61876916009</v>
      </c>
      <c r="H6500" s="7"/>
      <c r="I6500" s="8" t="s">
        <v>5015</v>
      </c>
      <c r="J6500" s="8" t="s">
        <v>5016</v>
      </c>
      <c r="K6500" s="6" t="str">
        <f>"2.663,00"</f>
        <v>2.663,00</v>
      </c>
      <c r="L6500" s="6" t="str">
        <f>"665,75"</f>
        <v>665,75</v>
      </c>
      <c r="M6500" s="6" t="str">
        <f>"3.328,75"</f>
        <v>3.328,75</v>
      </c>
      <c r="N6500" s="8" t="s">
        <v>124</v>
      </c>
      <c r="O6500" s="7"/>
      <c r="P6500" s="2" t="s">
        <v>5614</v>
      </c>
      <c r="Q6500" s="7"/>
      <c r="R6500" s="1"/>
      <c r="S6500" s="1" t="str">
        <f>"GZ-UN-2017-17112"</f>
        <v>GZ-UN-2017-17112</v>
      </c>
      <c r="T6500" s="1" t="s">
        <v>55</v>
      </c>
    </row>
    <row r="6501" spans="1:20" ht="51" x14ac:dyDescent="0.25">
      <c r="A6501" s="6">
        <v>6480</v>
      </c>
      <c r="B6501" s="1" t="str">
        <f>"2017-2290"</f>
        <v>2017-2290</v>
      </c>
      <c r="C6501" s="1" t="s">
        <v>5018</v>
      </c>
      <c r="D6501" s="1" t="s">
        <v>1203</v>
      </c>
      <c r="E6501" s="1" t="str">
        <f>""</f>
        <v/>
      </c>
      <c r="F6501" s="1" t="s">
        <v>1860</v>
      </c>
      <c r="G6501" s="1" t="str">
        <f>CONCATENATE(" SVRDLO D.O.O.,"," ŠKOLSKA ULICA 10,"," 10370 DUGO SELO,"," OIB: 36535565458")</f>
        <v xml:space="preserve"> SVRDLO D.O.O., ŠKOLSKA ULICA 10, 10370 DUGO SELO, OIB: 36535565458</v>
      </c>
      <c r="H6501" s="7"/>
      <c r="I6501" s="8" t="s">
        <v>5015</v>
      </c>
      <c r="J6501" s="8" t="s">
        <v>5016</v>
      </c>
      <c r="K6501" s="6" t="str">
        <f>"2.586,00"</f>
        <v>2.586,00</v>
      </c>
      <c r="L6501" s="6" t="str">
        <f>"646,50"</f>
        <v>646,50</v>
      </c>
      <c r="M6501" s="6" t="str">
        <f>"3.232,50"</f>
        <v>3.232,50</v>
      </c>
      <c r="N6501" s="8" t="s">
        <v>124</v>
      </c>
      <c r="O6501" s="7"/>
      <c r="P6501" s="2" t="s">
        <v>5614</v>
      </c>
      <c r="Q6501" s="7"/>
      <c r="R6501" s="1"/>
      <c r="S6501" s="1" t="str">
        <f>"GZ-UN-2017-17114"</f>
        <v>GZ-UN-2017-17114</v>
      </c>
      <c r="T6501" s="1" t="s">
        <v>55</v>
      </c>
    </row>
    <row r="6502" spans="1:20" ht="51" x14ac:dyDescent="0.25">
      <c r="A6502" s="6">
        <v>6481</v>
      </c>
      <c r="B6502" s="1" t="str">
        <f>"2017-764"</f>
        <v>2017-764</v>
      </c>
      <c r="C6502" s="1" t="s">
        <v>2738</v>
      </c>
      <c r="D6502" s="1" t="s">
        <v>2739</v>
      </c>
      <c r="E6502" s="1" t="str">
        <f>""</f>
        <v/>
      </c>
      <c r="F6502" s="1" t="s">
        <v>1860</v>
      </c>
      <c r="G6502" s="1" t="str">
        <f>CONCATENATE(" SVRDLO D.O.O.,"," ŠKOLSKA ULICA 10,"," 10370 DUGO SELO,"," OIB: 36535565458")</f>
        <v xml:space="preserve"> SVRDLO D.O.O., ŠKOLSKA ULICA 10, 10370 DUGO SELO, OIB: 36535565458</v>
      </c>
      <c r="H6502" s="7"/>
      <c r="I6502" s="8" t="s">
        <v>5015</v>
      </c>
      <c r="J6502" s="8" t="s">
        <v>5016</v>
      </c>
      <c r="K6502" s="6" t="str">
        <f>"9.627,00"</f>
        <v>9.627,00</v>
      </c>
      <c r="L6502" s="6" t="str">
        <f>"2.406,75"</f>
        <v>2.406,75</v>
      </c>
      <c r="M6502" s="6" t="str">
        <f>"12.033,75"</f>
        <v>12.033,75</v>
      </c>
      <c r="N6502" s="8" t="s">
        <v>124</v>
      </c>
      <c r="O6502" s="7"/>
      <c r="P6502" s="2" t="s">
        <v>5614</v>
      </c>
      <c r="Q6502" s="7"/>
      <c r="R6502" s="1"/>
      <c r="S6502" s="1" t="str">
        <f>"GZ-UN-2017-17115"</f>
        <v>GZ-UN-2017-17115</v>
      </c>
      <c r="T6502" s="1" t="s">
        <v>55</v>
      </c>
    </row>
    <row r="6503" spans="1:20" ht="51" x14ac:dyDescent="0.25">
      <c r="A6503" s="6">
        <v>6482</v>
      </c>
      <c r="B6503" s="1" t="str">
        <f>"2017-2290"</f>
        <v>2017-2290</v>
      </c>
      <c r="C6503" s="1" t="s">
        <v>5018</v>
      </c>
      <c r="D6503" s="1" t="s">
        <v>1203</v>
      </c>
      <c r="E6503" s="1" t="str">
        <f>""</f>
        <v/>
      </c>
      <c r="F6503" s="1" t="s">
        <v>1860</v>
      </c>
      <c r="G6503" s="1" t="str">
        <f>CONCATENATE(" SVRDLO D.O.O.,"," ŠKOLSKA ULICA 10,"," 10370 DUGO SELO,"," OIB: 36535565458")</f>
        <v xml:space="preserve"> SVRDLO D.O.O., ŠKOLSKA ULICA 10, 10370 DUGO SELO, OIB: 36535565458</v>
      </c>
      <c r="H6503" s="7"/>
      <c r="I6503" s="8" t="s">
        <v>5015</v>
      </c>
      <c r="J6503" s="8" t="s">
        <v>5016</v>
      </c>
      <c r="K6503" s="6" t="str">
        <f>"2.780,00"</f>
        <v>2.780,00</v>
      </c>
      <c r="L6503" s="6" t="str">
        <f>"695,00"</f>
        <v>695,00</v>
      </c>
      <c r="M6503" s="6" t="str">
        <f>"3.475,00"</f>
        <v>3.475,00</v>
      </c>
      <c r="N6503" s="8" t="s">
        <v>124</v>
      </c>
      <c r="O6503" s="7"/>
      <c r="P6503" s="2" t="s">
        <v>5614</v>
      </c>
      <c r="Q6503" s="7"/>
      <c r="R6503" s="1"/>
      <c r="S6503" s="1" t="str">
        <f>"GZ-UN-2017-17116"</f>
        <v>GZ-UN-2017-17116</v>
      </c>
      <c r="T6503" s="1" t="s">
        <v>55</v>
      </c>
    </row>
    <row r="6504" spans="1:20" ht="51" x14ac:dyDescent="0.25">
      <c r="A6504" s="6">
        <v>6483</v>
      </c>
      <c r="B6504" s="1" t="str">
        <f>"2017-434"</f>
        <v>2017-434</v>
      </c>
      <c r="C6504" s="1" t="s">
        <v>5012</v>
      </c>
      <c r="D6504" s="1" t="s">
        <v>679</v>
      </c>
      <c r="E6504" s="1" t="str">
        <f>""</f>
        <v/>
      </c>
      <c r="F6504" s="1" t="s">
        <v>1860</v>
      </c>
      <c r="G6504" s="1" t="str">
        <f>CONCATENATE(" SVRDLO D.O.O.,"," ŠKOLSKA ULICA 10,"," 10370 DUGO SELO,"," OIB: 36535565458")</f>
        <v xml:space="preserve"> SVRDLO D.O.O., ŠKOLSKA ULICA 10, 10370 DUGO SELO, OIB: 36535565458</v>
      </c>
      <c r="H6504" s="7"/>
      <c r="I6504" s="8" t="s">
        <v>5015</v>
      </c>
      <c r="J6504" s="8" t="s">
        <v>5016</v>
      </c>
      <c r="K6504" s="6" t="str">
        <f>"180,00"</f>
        <v>180,00</v>
      </c>
      <c r="L6504" s="6" t="str">
        <f>"45,00"</f>
        <v>45,00</v>
      </c>
      <c r="M6504" s="6" t="str">
        <f>"225,00"</f>
        <v>225,00</v>
      </c>
      <c r="N6504" s="8" t="s">
        <v>124</v>
      </c>
      <c r="O6504" s="7"/>
      <c r="P6504" s="2" t="s">
        <v>5614</v>
      </c>
      <c r="Q6504" s="7"/>
      <c r="R6504" s="1"/>
      <c r="S6504" s="1" t="str">
        <f>"GZ-UN-2017-17122"</f>
        <v>GZ-UN-2017-17122</v>
      </c>
      <c r="T6504" s="1" t="s">
        <v>55</v>
      </c>
    </row>
    <row r="6505" spans="1:20" ht="51" x14ac:dyDescent="0.25">
      <c r="A6505" s="6">
        <v>6484</v>
      </c>
      <c r="B6505" s="1" t="str">
        <f>"2017-771"</f>
        <v>2017-771</v>
      </c>
      <c r="C6505" s="1" t="s">
        <v>3474</v>
      </c>
      <c r="D6505" s="1" t="s">
        <v>1877</v>
      </c>
      <c r="E6505" s="1" t="str">
        <f>""</f>
        <v/>
      </c>
      <c r="F6505" s="1" t="s">
        <v>1860</v>
      </c>
      <c r="G6505" s="1" t="str">
        <f>CONCATENATE(" SVRDLO D.O.O.,"," ŠKOLSKA ULICA 10,"," 10370 DUGO SELO,"," OIB: 36535565458")</f>
        <v xml:space="preserve"> SVRDLO D.O.O., ŠKOLSKA ULICA 10, 10370 DUGO SELO, OIB: 36535565458</v>
      </c>
      <c r="H6505" s="7"/>
      <c r="I6505" s="8" t="s">
        <v>5015</v>
      </c>
      <c r="J6505" s="8" t="s">
        <v>5016</v>
      </c>
      <c r="K6505" s="6" t="str">
        <f>"2.508,00"</f>
        <v>2.508,00</v>
      </c>
      <c r="L6505" s="6" t="str">
        <f>"627,00"</f>
        <v>627,00</v>
      </c>
      <c r="M6505" s="6" t="str">
        <f>"3.135,00"</f>
        <v>3.135,00</v>
      </c>
      <c r="N6505" s="8" t="s">
        <v>124</v>
      </c>
      <c r="O6505" s="7"/>
      <c r="P6505" s="2" t="s">
        <v>5614</v>
      </c>
      <c r="Q6505" s="7"/>
      <c r="R6505" s="1"/>
      <c r="S6505" s="1" t="str">
        <f>"GZ-UN-2017-17127"</f>
        <v>GZ-UN-2017-17127</v>
      </c>
      <c r="T6505" s="1" t="s">
        <v>55</v>
      </c>
    </row>
    <row r="6506" spans="1:20" ht="51" x14ac:dyDescent="0.25">
      <c r="A6506" s="6">
        <v>6485</v>
      </c>
      <c r="B6506" s="1" t="str">
        <f>"2017-2290"</f>
        <v>2017-2290</v>
      </c>
      <c r="C6506" s="1" t="s">
        <v>5018</v>
      </c>
      <c r="D6506" s="1" t="s">
        <v>1203</v>
      </c>
      <c r="E6506" s="1" t="str">
        <f>""</f>
        <v/>
      </c>
      <c r="F6506" s="1" t="s">
        <v>1860</v>
      </c>
      <c r="G6506" s="1" t="str">
        <f>CONCATENATE(" COMET D.O.O.,"," VARAŽDINSKA 40/C,"," 42220 NOVI MAROF,"," OIB: 48249084626")</f>
        <v xml:space="preserve"> COMET D.O.O., VARAŽDINSKA 40/C, 42220 NOVI MAROF, OIB: 48249084626</v>
      </c>
      <c r="H6506" s="7"/>
      <c r="I6506" s="8" t="s">
        <v>3753</v>
      </c>
      <c r="J6506" s="8" t="s">
        <v>3835</v>
      </c>
      <c r="K6506" s="6" t="str">
        <f>"7.470,00"</f>
        <v>7.470,00</v>
      </c>
      <c r="L6506" s="6" t="str">
        <f>"1.867,50"</f>
        <v>1.867,50</v>
      </c>
      <c r="M6506" s="6" t="str">
        <f>"9.337,50"</f>
        <v>9.337,50</v>
      </c>
      <c r="N6506" s="8" t="s">
        <v>124</v>
      </c>
      <c r="O6506" s="7"/>
      <c r="P6506" s="2" t="s">
        <v>5614</v>
      </c>
      <c r="Q6506" s="7"/>
      <c r="R6506" s="1"/>
      <c r="S6506" s="1" t="str">
        <f>"GZ-UN-2017-17157"</f>
        <v>GZ-UN-2017-17157</v>
      </c>
      <c r="T6506" s="1" t="s">
        <v>55</v>
      </c>
    </row>
    <row r="6507" spans="1:20" ht="89.25" x14ac:dyDescent="0.25">
      <c r="A6507" s="6">
        <v>6486</v>
      </c>
      <c r="B6507" s="1" t="str">
        <f>"2017-1243"</f>
        <v>2017-1243</v>
      </c>
      <c r="C6507" s="1" t="s">
        <v>2658</v>
      </c>
      <c r="D6507" s="1" t="s">
        <v>2659</v>
      </c>
      <c r="E6507" s="1" t="str">
        <f>""</f>
        <v/>
      </c>
      <c r="F6507" s="1" t="s">
        <v>1860</v>
      </c>
      <c r="G6507" s="1" t="str">
        <f>CONCATENATE(" SVRDLO D.O.O.,"," ŠKOLSKA ULICA 10,"," 10370 DUGO SELO,"," OIB: 36535565458")</f>
        <v xml:space="preserve"> SVRDLO D.O.O., ŠKOLSKA ULICA 10, 10370 DUGO SELO, OIB: 36535565458</v>
      </c>
      <c r="H6507" s="7"/>
      <c r="I6507" s="8" t="s">
        <v>3753</v>
      </c>
      <c r="J6507" s="8" t="s">
        <v>3835</v>
      </c>
      <c r="K6507" s="6" t="str">
        <f>"1.390,00"</f>
        <v>1.390,00</v>
      </c>
      <c r="L6507" s="6" t="str">
        <f>"347,50"</f>
        <v>347,50</v>
      </c>
      <c r="M6507" s="6" t="str">
        <f>"1.737,50"</f>
        <v>1.737,50</v>
      </c>
      <c r="N6507" s="8" t="s">
        <v>124</v>
      </c>
      <c r="O6507" s="7"/>
      <c r="P6507" s="2" t="s">
        <v>5614</v>
      </c>
      <c r="Q6507" s="7"/>
      <c r="R6507" s="1"/>
      <c r="S6507" s="1" t="str">
        <f>"GZ-UN-2017-17160"</f>
        <v>GZ-UN-2017-17160</v>
      </c>
      <c r="T6507" s="1" t="s">
        <v>55</v>
      </c>
    </row>
    <row r="6508" spans="1:20" ht="38.25" x14ac:dyDescent="0.25">
      <c r="A6508" s="6">
        <v>6487</v>
      </c>
      <c r="B6508" s="1" t="str">
        <f>"2017-1982"</f>
        <v>2017-1982</v>
      </c>
      <c r="C6508" s="1" t="s">
        <v>5019</v>
      </c>
      <c r="D6508" s="1" t="s">
        <v>914</v>
      </c>
      <c r="E6508" s="1" t="str">
        <f>""</f>
        <v/>
      </c>
      <c r="F6508" s="1" t="s">
        <v>1860</v>
      </c>
      <c r="G6508" s="1" t="str">
        <f>CONCATENATE(" T.P.Z.  D.O.O.,"," ,"," OIB: 68119083236")</f>
        <v xml:space="preserve"> T.P.Z.  D.O.O., , OIB: 68119083236</v>
      </c>
      <c r="H6508" s="7"/>
      <c r="I6508" s="8" t="s">
        <v>3753</v>
      </c>
      <c r="J6508" s="8" t="s">
        <v>3835</v>
      </c>
      <c r="K6508" s="6" t="str">
        <f>"6.675,96"</f>
        <v>6.675,96</v>
      </c>
      <c r="L6508" s="6" t="str">
        <f>"1.668,99"</f>
        <v>1.668,99</v>
      </c>
      <c r="M6508" s="6" t="str">
        <f>"8.344,95"</f>
        <v>8.344,95</v>
      </c>
      <c r="N6508" s="8" t="s">
        <v>124</v>
      </c>
      <c r="O6508" s="7"/>
      <c r="P6508" s="2" t="s">
        <v>5614</v>
      </c>
      <c r="Q6508" s="7"/>
      <c r="R6508" s="1"/>
      <c r="S6508" s="1" t="str">
        <f>"GZ-UN-2017-17170"</f>
        <v>GZ-UN-2017-17170</v>
      </c>
      <c r="T6508" s="1" t="s">
        <v>55</v>
      </c>
    </row>
    <row r="6509" spans="1:20" ht="25.5" x14ac:dyDescent="0.25">
      <c r="A6509" s="6">
        <v>6488</v>
      </c>
      <c r="B6509" s="1" t="str">
        <f>"2017-1911"</f>
        <v>2017-1911</v>
      </c>
      <c r="C6509" s="1" t="s">
        <v>5020</v>
      </c>
      <c r="D6509" s="1" t="s">
        <v>815</v>
      </c>
      <c r="E6509" s="1" t="str">
        <f>""</f>
        <v/>
      </c>
      <c r="F6509" s="1" t="s">
        <v>1860</v>
      </c>
      <c r="G6509" s="1" t="str">
        <f>CONCATENATE(" T.P.Z.  D.O.O.,"," ,"," OIB: 68119083236")</f>
        <v xml:space="preserve"> T.P.Z.  D.O.O., , OIB: 68119083236</v>
      </c>
      <c r="H6509" s="7"/>
      <c r="I6509" s="8" t="s">
        <v>3753</v>
      </c>
      <c r="J6509" s="8" t="s">
        <v>3835</v>
      </c>
      <c r="K6509" s="6" t="str">
        <f>"2.882,00"</f>
        <v>2.882,00</v>
      </c>
      <c r="L6509" s="6" t="str">
        <f>"720,50"</f>
        <v>720,50</v>
      </c>
      <c r="M6509" s="6" t="str">
        <f>"3.602,50"</f>
        <v>3.602,50</v>
      </c>
      <c r="N6509" s="8" t="s">
        <v>124</v>
      </c>
      <c r="O6509" s="7"/>
      <c r="P6509" s="2" t="s">
        <v>5614</v>
      </c>
      <c r="Q6509" s="7"/>
      <c r="R6509" s="1"/>
      <c r="S6509" s="1" t="str">
        <f>"GZ-UN-2017-17207"</f>
        <v>GZ-UN-2017-17207</v>
      </c>
      <c r="T6509" s="1" t="s">
        <v>55</v>
      </c>
    </row>
    <row r="6510" spans="1:20" ht="63.75" x14ac:dyDescent="0.25">
      <c r="A6510" s="6">
        <v>6489</v>
      </c>
      <c r="B6510" s="1" t="str">
        <f>"2017-2097"</f>
        <v>2017-2097</v>
      </c>
      <c r="C6510" s="1" t="s">
        <v>5021</v>
      </c>
      <c r="D6510" s="1" t="s">
        <v>2785</v>
      </c>
      <c r="E6510" s="1" t="str">
        <f>""</f>
        <v/>
      </c>
      <c r="F6510" s="1" t="s">
        <v>1860</v>
      </c>
      <c r="G6510" s="1" t="str">
        <f>CONCATENATE(" KAESER KOMPRESSOREN D.O.O.,"," RIMSKI PUT 11/D,"," 10360 SESVETE,"," OIB: 42572807012")</f>
        <v xml:space="preserve"> KAESER KOMPRESSOREN D.O.O., RIMSKI PUT 11/D, 10360 SESVETE, OIB: 42572807012</v>
      </c>
      <c r="H6510" s="7"/>
      <c r="I6510" s="8" t="s">
        <v>3753</v>
      </c>
      <c r="J6510" s="8" t="s">
        <v>3835</v>
      </c>
      <c r="K6510" s="6" t="str">
        <f>"4.046,00"</f>
        <v>4.046,00</v>
      </c>
      <c r="L6510" s="6" t="str">
        <f>"1.011,50"</f>
        <v>1.011,50</v>
      </c>
      <c r="M6510" s="6" t="str">
        <f>"5.057,50"</f>
        <v>5.057,50</v>
      </c>
      <c r="N6510" s="8" t="s">
        <v>124</v>
      </c>
      <c r="O6510" s="7"/>
      <c r="P6510" s="2" t="s">
        <v>5614</v>
      </c>
      <c r="Q6510" s="7"/>
      <c r="R6510" s="1"/>
      <c r="S6510" s="1" t="str">
        <f>"GZ-UN-2017-17210"</f>
        <v>GZ-UN-2017-17210</v>
      </c>
      <c r="T6510" s="1" t="s">
        <v>55</v>
      </c>
    </row>
    <row r="6511" spans="1:20" ht="38.25" x14ac:dyDescent="0.25">
      <c r="A6511" s="6">
        <v>6490</v>
      </c>
      <c r="B6511" s="1" t="str">
        <f>"2017-1982"</f>
        <v>2017-1982</v>
      </c>
      <c r="C6511" s="1" t="s">
        <v>5019</v>
      </c>
      <c r="D6511" s="1" t="s">
        <v>914</v>
      </c>
      <c r="E6511" s="1" t="str">
        <f>""</f>
        <v/>
      </c>
      <c r="F6511" s="1" t="s">
        <v>1860</v>
      </c>
      <c r="G6511" s="1" t="str">
        <f>CONCATENATE(" T.P.Z.  D.O.O.,"," ,"," OIB: 68119083236")</f>
        <v xml:space="preserve"> T.P.Z.  D.O.O., , OIB: 68119083236</v>
      </c>
      <c r="H6511" s="7"/>
      <c r="I6511" s="8" t="s">
        <v>5022</v>
      </c>
      <c r="J6511" s="8" t="s">
        <v>5023</v>
      </c>
      <c r="K6511" s="6" t="str">
        <f>"6.675,96"</f>
        <v>6.675,96</v>
      </c>
      <c r="L6511" s="6" t="str">
        <f>"1.668,99"</f>
        <v>1.668,99</v>
      </c>
      <c r="M6511" s="6" t="str">
        <f>"8.344,95"</f>
        <v>8.344,95</v>
      </c>
      <c r="N6511" s="8" t="s">
        <v>124</v>
      </c>
      <c r="O6511" s="7"/>
      <c r="P6511" s="2" t="s">
        <v>5614</v>
      </c>
      <c r="Q6511" s="7"/>
      <c r="R6511" s="1"/>
      <c r="S6511" s="1" t="str">
        <f>"GZ-UN-2017-17284"</f>
        <v>GZ-UN-2017-17284</v>
      </c>
      <c r="T6511" s="1" t="s">
        <v>55</v>
      </c>
    </row>
    <row r="6512" spans="1:20" ht="51" x14ac:dyDescent="0.25">
      <c r="A6512" s="6">
        <v>6491</v>
      </c>
      <c r="B6512" s="1" t="str">
        <f>"2017-2512"</f>
        <v>2017-2512</v>
      </c>
      <c r="C6512" s="1" t="s">
        <v>3316</v>
      </c>
      <c r="D6512" s="1" t="s">
        <v>1007</v>
      </c>
      <c r="E6512" s="1" t="str">
        <f>""</f>
        <v/>
      </c>
      <c r="F6512" s="1" t="s">
        <v>1860</v>
      </c>
      <c r="G6512" s="1" t="str">
        <f>CONCATENATE(" ELOB D.O.O.,"," AVENIJA V. HOLJEVCA 20,"," 10020 ZAGREB,"," OIB: 90957063004")</f>
        <v xml:space="preserve"> ELOB D.O.O., AVENIJA V. HOLJEVCA 20, 10020 ZAGREB, OIB: 90957063004</v>
      </c>
      <c r="H6512" s="7"/>
      <c r="I6512" s="8" t="s">
        <v>4729</v>
      </c>
      <c r="J6512" s="8" t="s">
        <v>5024</v>
      </c>
      <c r="K6512" s="6" t="str">
        <f>"3.160,00"</f>
        <v>3.160,00</v>
      </c>
      <c r="L6512" s="6" t="str">
        <f>"790,00"</f>
        <v>790,00</v>
      </c>
      <c r="M6512" s="6" t="str">
        <f>"3.950,00"</f>
        <v>3.950,00</v>
      </c>
      <c r="N6512" s="8" t="s">
        <v>124</v>
      </c>
      <c r="O6512" s="7"/>
      <c r="P6512" s="2" t="s">
        <v>5614</v>
      </c>
      <c r="Q6512" s="7"/>
      <c r="R6512" s="1"/>
      <c r="S6512" s="1" t="str">
        <f>"GZ-UN-2017-18842"</f>
        <v>GZ-UN-2017-18842</v>
      </c>
      <c r="T6512" s="1" t="s">
        <v>55</v>
      </c>
    </row>
    <row r="6513" spans="1:20" ht="51" x14ac:dyDescent="0.25">
      <c r="A6513" s="6">
        <v>6492</v>
      </c>
      <c r="B6513" s="1" t="str">
        <f>"2017-1454"</f>
        <v>2017-1454</v>
      </c>
      <c r="C6513" s="1" t="s">
        <v>2492</v>
      </c>
      <c r="D6513" s="1" t="s">
        <v>2493</v>
      </c>
      <c r="E6513" s="1" t="str">
        <f>""</f>
        <v/>
      </c>
      <c r="F6513" s="1" t="s">
        <v>1860</v>
      </c>
      <c r="G6513" s="1" t="str">
        <f>CONCATENATE(" M.B. AUTO  d.o.o.,"," KOLEDOVČINA 8,"," 10000 ZAGREB,"," OIB: 8902734372")</f>
        <v xml:space="preserve"> M.B. AUTO  d.o.o., KOLEDOVČINA 8, 10000 ZAGREB, OIB: 8902734372</v>
      </c>
      <c r="H6513" s="7"/>
      <c r="I6513" s="8" t="s">
        <v>3596</v>
      </c>
      <c r="J6513" s="8" t="s">
        <v>5025</v>
      </c>
      <c r="K6513" s="6" t="str">
        <f>"6.746,81"</f>
        <v>6.746,81</v>
      </c>
      <c r="L6513" s="6" t="str">
        <f>"1.686,70"</f>
        <v>1.686,70</v>
      </c>
      <c r="M6513" s="6" t="str">
        <f>"8.433,51"</f>
        <v>8.433,51</v>
      </c>
      <c r="N6513" s="8" t="s">
        <v>124</v>
      </c>
      <c r="O6513" s="7"/>
      <c r="P6513" s="2" t="s">
        <v>5614</v>
      </c>
      <c r="Q6513" s="7"/>
      <c r="R6513" s="1"/>
      <c r="S6513" s="1" t="str">
        <f>"GZ-UN-2017-18849"</f>
        <v>GZ-UN-2017-18849</v>
      </c>
      <c r="T6513" s="1" t="s">
        <v>55</v>
      </c>
    </row>
    <row r="6514" spans="1:20" ht="51" x14ac:dyDescent="0.25">
      <c r="A6514" s="6">
        <v>6493</v>
      </c>
      <c r="B6514" s="1" t="str">
        <f>"2017-1053"</f>
        <v>2017-1053</v>
      </c>
      <c r="C6514" s="1" t="s">
        <v>2600</v>
      </c>
      <c r="D6514" s="1" t="s">
        <v>2601</v>
      </c>
      <c r="E6514" s="1" t="str">
        <f>""</f>
        <v/>
      </c>
      <c r="F6514" s="1" t="s">
        <v>1860</v>
      </c>
      <c r="G6514" s="1" t="str">
        <f>CONCATENATE(" NIACO D.O.O.,"," IVANA KAMENARIĆA 9,"," 10380 SVETI IVAN ZELINA,"," OIB: 61876916009")</f>
        <v xml:space="preserve"> NIACO D.O.O., IVANA KAMENARIĆA 9, 10380 SVETI IVAN ZELINA, OIB: 61876916009</v>
      </c>
      <c r="H6514" s="7"/>
      <c r="I6514" s="8" t="s">
        <v>3596</v>
      </c>
      <c r="J6514" s="8" t="s">
        <v>5025</v>
      </c>
      <c r="K6514" s="6" t="str">
        <f>"14.379,00"</f>
        <v>14.379,00</v>
      </c>
      <c r="L6514" s="6" t="str">
        <f>"3.594,75"</f>
        <v>3.594,75</v>
      </c>
      <c r="M6514" s="6" t="str">
        <f>"17.973,75"</f>
        <v>17.973,75</v>
      </c>
      <c r="N6514" s="8" t="s">
        <v>124</v>
      </c>
      <c r="O6514" s="7"/>
      <c r="P6514" s="2" t="s">
        <v>5614</v>
      </c>
      <c r="Q6514" s="7"/>
      <c r="R6514" s="1"/>
      <c r="S6514" s="1" t="str">
        <f>"GZ-UN-2017-18851"</f>
        <v>GZ-UN-2017-18851</v>
      </c>
      <c r="T6514" s="1" t="s">
        <v>55</v>
      </c>
    </row>
    <row r="6515" spans="1:20" ht="51" x14ac:dyDescent="0.25">
      <c r="A6515" s="6">
        <v>6494</v>
      </c>
      <c r="B6515" s="1" t="str">
        <f>"2017-1488"</f>
        <v>2017-1488</v>
      </c>
      <c r="C6515" s="1" t="s">
        <v>2863</v>
      </c>
      <c r="D6515" s="1" t="s">
        <v>1209</v>
      </c>
      <c r="E6515" s="1" t="str">
        <f>""</f>
        <v/>
      </c>
      <c r="F6515" s="1" t="s">
        <v>1860</v>
      </c>
      <c r="G6515" s="1" t="str">
        <f>CONCATENATE(" LABORING D.O.O.,"," VIRJANSKA 22,"," 10000 ZAGREB,"," OIB: 24467257339")</f>
        <v xml:space="preserve"> LABORING D.O.O., VIRJANSKA 22, 10000 ZAGREB, OIB: 24467257339</v>
      </c>
      <c r="H6515" s="7"/>
      <c r="I6515" s="8" t="s">
        <v>3596</v>
      </c>
      <c r="J6515" s="8" t="s">
        <v>5025</v>
      </c>
      <c r="K6515" s="6" t="str">
        <f>"350,00"</f>
        <v>350,00</v>
      </c>
      <c r="L6515" s="6" t="str">
        <f>"87,50"</f>
        <v>87,50</v>
      </c>
      <c r="M6515" s="6" t="str">
        <f>"437,50"</f>
        <v>437,50</v>
      </c>
      <c r="N6515" s="8" t="s">
        <v>124</v>
      </c>
      <c r="O6515" s="7"/>
      <c r="P6515" s="2" t="s">
        <v>5614</v>
      </c>
      <c r="Q6515" s="7"/>
      <c r="R6515" s="1"/>
      <c r="S6515" s="1" t="str">
        <f>"GZ-UN-2017-18857"</f>
        <v>GZ-UN-2017-18857</v>
      </c>
      <c r="T6515" s="1" t="s">
        <v>55</v>
      </c>
    </row>
    <row r="6516" spans="1:20" ht="63.75" x14ac:dyDescent="0.25">
      <c r="A6516" s="6">
        <v>6495</v>
      </c>
      <c r="B6516" s="1" t="str">
        <f>"2017-1450"</f>
        <v>2017-1450</v>
      </c>
      <c r="C6516" s="1" t="s">
        <v>2620</v>
      </c>
      <c r="D6516" s="1" t="s">
        <v>665</v>
      </c>
      <c r="E6516" s="1" t="str">
        <f>""</f>
        <v/>
      </c>
      <c r="F6516" s="1" t="s">
        <v>1860</v>
      </c>
      <c r="G6516" s="1" t="str">
        <f>CONCATENATE(" ELEKTRO-KOMUNIKACIJE D.O.O.,"," 14. PODBREŽJE 4,"," 10000 ZAGREB,"," OIB: 76412373309")</f>
        <v xml:space="preserve"> ELEKTRO-KOMUNIKACIJE D.O.O., 14. PODBREŽJE 4, 10000 ZAGREB, OIB: 76412373309</v>
      </c>
      <c r="H6516" s="7"/>
      <c r="I6516" s="8" t="s">
        <v>3596</v>
      </c>
      <c r="J6516" s="8" t="s">
        <v>5025</v>
      </c>
      <c r="K6516" s="6" t="str">
        <f>"7.337,00"</f>
        <v>7.337,00</v>
      </c>
      <c r="L6516" s="6" t="str">
        <f>"1.834,25"</f>
        <v>1.834,25</v>
      </c>
      <c r="M6516" s="6" t="str">
        <f>"9.171,25"</f>
        <v>9.171,25</v>
      </c>
      <c r="N6516" s="8" t="s">
        <v>124</v>
      </c>
      <c r="O6516" s="7"/>
      <c r="P6516" s="2" t="s">
        <v>5614</v>
      </c>
      <c r="Q6516" s="7"/>
      <c r="R6516" s="1"/>
      <c r="S6516" s="1" t="str">
        <f>"GZ-UN-2017-18861"</f>
        <v>GZ-UN-2017-18861</v>
      </c>
      <c r="T6516" s="1" t="s">
        <v>55</v>
      </c>
    </row>
    <row r="6517" spans="1:20" ht="51" x14ac:dyDescent="0.25">
      <c r="A6517" s="6">
        <v>6496</v>
      </c>
      <c r="B6517" s="1" t="str">
        <f>"2017-1649"</f>
        <v>2017-1649</v>
      </c>
      <c r="C6517" s="1" t="s">
        <v>2683</v>
      </c>
      <c r="D6517" s="1" t="s">
        <v>2684</v>
      </c>
      <c r="E6517" s="1" t="str">
        <f>""</f>
        <v/>
      </c>
      <c r="F6517" s="1" t="s">
        <v>1860</v>
      </c>
      <c r="G6517" s="1" t="str">
        <f>CONCATENATE(" SVRDLO D.O.O.,"," ŠKOLSKA ULICA 10,"," 10370 DUGO SELO,"," OIB: 36535565458")</f>
        <v xml:space="preserve"> SVRDLO D.O.O., ŠKOLSKA ULICA 10, 10370 DUGO SELO, OIB: 36535565458</v>
      </c>
      <c r="H6517" s="7"/>
      <c r="I6517" s="8" t="s">
        <v>3596</v>
      </c>
      <c r="J6517" s="8" t="s">
        <v>5025</v>
      </c>
      <c r="K6517" s="6" t="str">
        <f>"7.515,00"</f>
        <v>7.515,00</v>
      </c>
      <c r="L6517" s="6" t="str">
        <f>"1.878,75"</f>
        <v>1.878,75</v>
      </c>
      <c r="M6517" s="6" t="str">
        <f>"9.393,75"</f>
        <v>9.393,75</v>
      </c>
      <c r="N6517" s="8" t="s">
        <v>124</v>
      </c>
      <c r="O6517" s="7"/>
      <c r="P6517" s="2" t="s">
        <v>5614</v>
      </c>
      <c r="Q6517" s="7"/>
      <c r="R6517" s="1"/>
      <c r="S6517" s="1" t="str">
        <f>"GZ-UN-2017-18879"</f>
        <v>GZ-UN-2017-18879</v>
      </c>
      <c r="T6517" s="1" t="s">
        <v>55</v>
      </c>
    </row>
    <row r="6518" spans="1:20" ht="76.5" x14ac:dyDescent="0.25">
      <c r="A6518" s="6">
        <v>6497</v>
      </c>
      <c r="B6518" s="1" t="str">
        <f>"2017-1264"</f>
        <v>2017-1264</v>
      </c>
      <c r="C6518" s="1" t="s">
        <v>5026</v>
      </c>
      <c r="D6518" s="1" t="s">
        <v>1209</v>
      </c>
      <c r="E6518" s="1" t="str">
        <f>""</f>
        <v/>
      </c>
      <c r="F6518" s="1" t="s">
        <v>1860</v>
      </c>
      <c r="G6518" s="1" t="str">
        <f>CONCATENATE(" HEBE D.O.O.,"," BUKOVČEVA 2,"," 21000 SPLIT,"," OIB: 14103808844")</f>
        <v xml:space="preserve"> HEBE D.O.O., BUKOVČEVA 2, 21000 SPLIT, OIB: 14103808844</v>
      </c>
      <c r="H6518" s="7"/>
      <c r="I6518" s="8" t="s">
        <v>3596</v>
      </c>
      <c r="J6518" s="8" t="s">
        <v>5025</v>
      </c>
      <c r="K6518" s="6" t="str">
        <f>"15.045,00"</f>
        <v>15.045,00</v>
      </c>
      <c r="L6518" s="6" t="str">
        <f>"3.761,25"</f>
        <v>3.761,25</v>
      </c>
      <c r="M6518" s="6" t="str">
        <f>"18.806,25"</f>
        <v>18.806,25</v>
      </c>
      <c r="N6518" s="8" t="s">
        <v>124</v>
      </c>
      <c r="O6518" s="7"/>
      <c r="P6518" s="2" t="s">
        <v>5614</v>
      </c>
      <c r="Q6518" s="7"/>
      <c r="R6518" s="1"/>
      <c r="S6518" s="1" t="str">
        <f>"GZ-UN-2017-18886"</f>
        <v>GZ-UN-2017-18886</v>
      </c>
      <c r="T6518" s="1" t="s">
        <v>55</v>
      </c>
    </row>
    <row r="6519" spans="1:20" ht="63.75" x14ac:dyDescent="0.25">
      <c r="A6519" s="6">
        <v>6498</v>
      </c>
      <c r="B6519" s="1" t="str">
        <f>"2017-2524"</f>
        <v>2017-2524</v>
      </c>
      <c r="C6519" s="1" t="s">
        <v>5027</v>
      </c>
      <c r="D6519" s="1" t="s">
        <v>1979</v>
      </c>
      <c r="E6519" s="1" t="str">
        <f>""</f>
        <v/>
      </c>
      <c r="F6519" s="1" t="s">
        <v>1860</v>
      </c>
      <c r="G6519" s="1" t="str">
        <f>CONCATENATE(" PRONAD D.O.O.,"," III VRBIK 17,"," 10000 ZAGREB,"," OIB: 19276551014")</f>
        <v xml:space="preserve"> PRONAD D.O.O., III VRBIK 17, 10000 ZAGREB, OIB: 19276551014</v>
      </c>
      <c r="H6519" s="7"/>
      <c r="I6519" s="8" t="s">
        <v>5028</v>
      </c>
      <c r="J6519" s="8" t="s">
        <v>3850</v>
      </c>
      <c r="K6519" s="6" t="str">
        <f>"68.300,00"</f>
        <v>68.300,00</v>
      </c>
      <c r="L6519" s="6" t="str">
        <f>"17.075,00"</f>
        <v>17.075,00</v>
      </c>
      <c r="M6519" s="6" t="str">
        <f>"85.375,00"</f>
        <v>85.375,00</v>
      </c>
      <c r="N6519" s="8" t="s">
        <v>124</v>
      </c>
      <c r="O6519" s="7"/>
      <c r="P6519" s="2" t="s">
        <v>5614</v>
      </c>
      <c r="Q6519" s="7"/>
      <c r="R6519" s="1"/>
      <c r="S6519" s="1" t="str">
        <f>"GZ-UN-2017-19004"</f>
        <v>GZ-UN-2017-19004</v>
      </c>
      <c r="T6519" s="1" t="s">
        <v>55</v>
      </c>
    </row>
    <row r="6520" spans="1:20" ht="51" x14ac:dyDescent="0.25">
      <c r="A6520" s="6">
        <v>6499</v>
      </c>
      <c r="B6520" s="1" t="str">
        <f>"2017-2290"</f>
        <v>2017-2290</v>
      </c>
      <c r="C6520" s="1" t="s">
        <v>5018</v>
      </c>
      <c r="D6520" s="1" t="s">
        <v>1203</v>
      </c>
      <c r="E6520" s="1" t="str">
        <f>""</f>
        <v/>
      </c>
      <c r="F6520" s="1" t="s">
        <v>1860</v>
      </c>
      <c r="G6520" s="1" t="str">
        <f>CONCATENATE(" SVRDLO D.O.O.,"," ŠKOLSKA ULICA 10,"," 10370 DUGO SELO,"," OIB: 36535565458")</f>
        <v xml:space="preserve"> SVRDLO D.O.O., ŠKOLSKA ULICA 10, 10370 DUGO SELO, OIB: 36535565458</v>
      </c>
      <c r="H6520" s="7"/>
      <c r="I6520" s="8" t="s">
        <v>5028</v>
      </c>
      <c r="J6520" s="8" t="s">
        <v>3850</v>
      </c>
      <c r="K6520" s="6" t="str">
        <f>"13.653,00"</f>
        <v>13.653,00</v>
      </c>
      <c r="L6520" s="6" t="str">
        <f>"3.413,25"</f>
        <v>3.413,25</v>
      </c>
      <c r="M6520" s="6" t="str">
        <f>"17.066,25"</f>
        <v>17.066,25</v>
      </c>
      <c r="N6520" s="8" t="s">
        <v>124</v>
      </c>
      <c r="O6520" s="7"/>
      <c r="P6520" s="2" t="s">
        <v>5614</v>
      </c>
      <c r="Q6520" s="7"/>
      <c r="R6520" s="1"/>
      <c r="S6520" s="1" t="str">
        <f>"GZ-UN-2017-19006"</f>
        <v>GZ-UN-2017-19006</v>
      </c>
      <c r="T6520" s="1" t="s">
        <v>55</v>
      </c>
    </row>
    <row r="6521" spans="1:20" ht="51" x14ac:dyDescent="0.25">
      <c r="A6521" s="6">
        <v>6500</v>
      </c>
      <c r="B6521" s="1" t="str">
        <f>"2017-1527"</f>
        <v>2017-1527</v>
      </c>
      <c r="C6521" s="1" t="s">
        <v>5017</v>
      </c>
      <c r="D6521" s="1" t="s">
        <v>1150</v>
      </c>
      <c r="E6521" s="1" t="str">
        <f>""</f>
        <v/>
      </c>
      <c r="F6521" s="1" t="s">
        <v>1860</v>
      </c>
      <c r="G6521" s="1" t="str">
        <f>CONCATENATE(" NIACO D.O.O.,"," IVANA KAMENARIĆA 9,"," 10380 SVETI IVAN ZELINA,"," OIB: 61876916009")</f>
        <v xml:space="preserve"> NIACO D.O.O., IVANA KAMENARIĆA 9, 10380 SVETI IVAN ZELINA, OIB: 61876916009</v>
      </c>
      <c r="H6521" s="7"/>
      <c r="I6521" s="8" t="s">
        <v>5028</v>
      </c>
      <c r="J6521" s="8" t="s">
        <v>3850</v>
      </c>
      <c r="K6521" s="6" t="str">
        <f>"9.138,00"</f>
        <v>9.138,00</v>
      </c>
      <c r="L6521" s="6" t="str">
        <f>"2.284,50"</f>
        <v>2.284,50</v>
      </c>
      <c r="M6521" s="6" t="str">
        <f>"11.422,50"</f>
        <v>11.422,50</v>
      </c>
      <c r="N6521" s="8" t="s">
        <v>124</v>
      </c>
      <c r="O6521" s="7"/>
      <c r="P6521" s="2" t="s">
        <v>5614</v>
      </c>
      <c r="Q6521" s="7"/>
      <c r="R6521" s="1"/>
      <c r="S6521" s="1" t="str">
        <f>"GZ-UN-2017-19012"</f>
        <v>GZ-UN-2017-19012</v>
      </c>
      <c r="T6521" s="1" t="s">
        <v>55</v>
      </c>
    </row>
    <row r="6522" spans="1:20" ht="51" x14ac:dyDescent="0.25">
      <c r="A6522" s="6">
        <v>6501</v>
      </c>
      <c r="B6522" s="1" t="str">
        <f>"2017-57"</f>
        <v>2017-57</v>
      </c>
      <c r="C6522" s="1" t="s">
        <v>5029</v>
      </c>
      <c r="D6522" s="1" t="s">
        <v>941</v>
      </c>
      <c r="E6522" s="1" t="str">
        <f>""</f>
        <v/>
      </c>
      <c r="F6522" s="1" t="s">
        <v>1860</v>
      </c>
      <c r="G6522" s="1" t="str">
        <f>CONCATENATE(" GEORAD D.O.O.,"," KORNATSKA 1,"," 10000 ZAGREB,"," OIB: 49756748234")</f>
        <v xml:space="preserve"> GEORAD D.O.O., KORNATSKA 1, 10000 ZAGREB, OIB: 49756748234</v>
      </c>
      <c r="H6522" s="7"/>
      <c r="I6522" s="8" t="s">
        <v>5028</v>
      </c>
      <c r="J6522" s="8" t="s">
        <v>3850</v>
      </c>
      <c r="K6522" s="6" t="str">
        <f>"58.969,76"</f>
        <v>58.969,76</v>
      </c>
      <c r="L6522" s="6" t="str">
        <f>"14.742,44"</f>
        <v>14.742,44</v>
      </c>
      <c r="M6522" s="6" t="str">
        <f>"73.712,20"</f>
        <v>73.712,20</v>
      </c>
      <c r="N6522" s="8" t="s">
        <v>3992</v>
      </c>
      <c r="O6522" s="7"/>
      <c r="P6522" s="2" t="s">
        <v>8804</v>
      </c>
      <c r="Q6522" s="7"/>
      <c r="R6522" s="1"/>
      <c r="S6522" s="1" t="str">
        <f>"GZ-UN-2017-19032"</f>
        <v>GZ-UN-2017-19032</v>
      </c>
      <c r="T6522" s="1" t="s">
        <v>55</v>
      </c>
    </row>
    <row r="6523" spans="1:20" ht="51" x14ac:dyDescent="0.25">
      <c r="A6523" s="6">
        <v>6502</v>
      </c>
      <c r="B6523" s="1" t="str">
        <f>"2017-1527"</f>
        <v>2017-1527</v>
      </c>
      <c r="C6523" s="1" t="s">
        <v>5017</v>
      </c>
      <c r="D6523" s="1" t="s">
        <v>1150</v>
      </c>
      <c r="E6523" s="1" t="str">
        <f>""</f>
        <v/>
      </c>
      <c r="F6523" s="1" t="s">
        <v>1860</v>
      </c>
      <c r="G6523" s="1" t="str">
        <f>CONCATENATE(" NIACO D.O.O.,"," IVANA KAMENARIĆA 9,"," 10380 SVETI IVAN ZELINA,"," OIB: 61876916009")</f>
        <v xml:space="preserve"> NIACO D.O.O., IVANA KAMENARIĆA 9, 10380 SVETI IVAN ZELINA, OIB: 61876916009</v>
      </c>
      <c r="H6523" s="7"/>
      <c r="I6523" s="8" t="s">
        <v>5028</v>
      </c>
      <c r="J6523" s="8" t="s">
        <v>3850</v>
      </c>
      <c r="K6523" s="6" t="str">
        <f>"4.644,00"</f>
        <v>4.644,00</v>
      </c>
      <c r="L6523" s="6" t="str">
        <f>"1.161,00"</f>
        <v>1.161,00</v>
      </c>
      <c r="M6523" s="6" t="str">
        <f>"5.805,00"</f>
        <v>5.805,00</v>
      </c>
      <c r="N6523" s="8" t="s">
        <v>124</v>
      </c>
      <c r="O6523" s="7"/>
      <c r="P6523" s="2" t="s">
        <v>5614</v>
      </c>
      <c r="Q6523" s="7"/>
      <c r="R6523" s="1"/>
      <c r="S6523" s="1" t="str">
        <f>"GZ-UN-2017-19034"</f>
        <v>GZ-UN-2017-19034</v>
      </c>
      <c r="T6523" s="1" t="s">
        <v>55</v>
      </c>
    </row>
    <row r="6524" spans="1:20" ht="51" x14ac:dyDescent="0.25">
      <c r="A6524" s="6">
        <v>6503</v>
      </c>
      <c r="B6524" s="1" t="str">
        <f>"2017-1053"</f>
        <v>2017-1053</v>
      </c>
      <c r="C6524" s="1" t="s">
        <v>2600</v>
      </c>
      <c r="D6524" s="1" t="s">
        <v>2601</v>
      </c>
      <c r="E6524" s="1" t="str">
        <f>""</f>
        <v/>
      </c>
      <c r="F6524" s="1" t="s">
        <v>1860</v>
      </c>
      <c r="G6524" s="1" t="str">
        <f>CONCATENATE(" NIACO D.O.O.,"," IVANA KAMENARIĆA 9,"," 10380 SVETI IVAN ZELINA,"," OIB: 61876916009")</f>
        <v xml:space="preserve"> NIACO D.O.O., IVANA KAMENARIĆA 9, 10380 SVETI IVAN ZELINA, OIB: 61876916009</v>
      </c>
      <c r="H6524" s="7"/>
      <c r="I6524" s="8" t="s">
        <v>5028</v>
      </c>
      <c r="J6524" s="8" t="s">
        <v>3850</v>
      </c>
      <c r="K6524" s="6" t="str">
        <f>"5.007,92"</f>
        <v>5.007,92</v>
      </c>
      <c r="L6524" s="6" t="str">
        <f>"1.251,98"</f>
        <v>1.251,98</v>
      </c>
      <c r="M6524" s="6" t="str">
        <f>"6.259,90"</f>
        <v>6.259,90</v>
      </c>
      <c r="N6524" s="8" t="s">
        <v>124</v>
      </c>
      <c r="O6524" s="7"/>
      <c r="P6524" s="2" t="s">
        <v>5614</v>
      </c>
      <c r="Q6524" s="7"/>
      <c r="R6524" s="1"/>
      <c r="S6524" s="1" t="str">
        <f>"GZ-UN-2017-19084"</f>
        <v>GZ-UN-2017-19084</v>
      </c>
      <c r="T6524" s="1" t="s">
        <v>55</v>
      </c>
    </row>
    <row r="6525" spans="1:20" ht="51" x14ac:dyDescent="0.25">
      <c r="A6525" s="6">
        <v>6504</v>
      </c>
      <c r="B6525" s="1" t="str">
        <f>"2017-1971"</f>
        <v>2017-1971</v>
      </c>
      <c r="C6525" s="1" t="s">
        <v>5004</v>
      </c>
      <c r="D6525" s="1" t="s">
        <v>2549</v>
      </c>
      <c r="E6525" s="1" t="str">
        <f>""</f>
        <v/>
      </c>
      <c r="F6525" s="1" t="s">
        <v>1860</v>
      </c>
      <c r="G6525" s="1" t="str">
        <f>CONCATENATE(" TEHNIČAR-COPYSERVIS D.O.O.,"," KRANJČEVIĆEVA 25,"," 10000 ZAGREB,"," OIB: 5139094509")</f>
        <v xml:space="preserve"> TEHNIČAR-COPYSERVIS D.O.O., KRANJČEVIĆEVA 25, 10000 ZAGREB, OIB: 5139094509</v>
      </c>
      <c r="H6525" s="7"/>
      <c r="I6525" s="8" t="s">
        <v>5028</v>
      </c>
      <c r="J6525" s="8" t="s">
        <v>3850</v>
      </c>
      <c r="K6525" s="6" t="str">
        <f>"2.829,60"</f>
        <v>2.829,60</v>
      </c>
      <c r="L6525" s="6" t="str">
        <f>"707,40"</f>
        <v>707,40</v>
      </c>
      <c r="M6525" s="6" t="str">
        <f>"3.537,00"</f>
        <v>3.537,00</v>
      </c>
      <c r="N6525" s="8" t="s">
        <v>124</v>
      </c>
      <c r="O6525" s="7"/>
      <c r="P6525" s="2" t="s">
        <v>5614</v>
      </c>
      <c r="Q6525" s="7"/>
      <c r="R6525" s="1"/>
      <c r="S6525" s="1" t="str">
        <f>"GZ-UN-2017-19148"</f>
        <v>GZ-UN-2017-19148</v>
      </c>
      <c r="T6525" s="1" t="s">
        <v>55</v>
      </c>
    </row>
    <row r="6526" spans="1:20" ht="51" x14ac:dyDescent="0.25">
      <c r="A6526" s="6">
        <v>6505</v>
      </c>
      <c r="B6526" s="1" t="str">
        <f>"2017-1827"</f>
        <v>2017-1827</v>
      </c>
      <c r="C6526" s="1" t="s">
        <v>3386</v>
      </c>
      <c r="D6526" s="1" t="s">
        <v>2716</v>
      </c>
      <c r="E6526" s="1" t="str">
        <f>""</f>
        <v/>
      </c>
      <c r="F6526" s="1" t="s">
        <v>1860</v>
      </c>
      <c r="G6526" s="1" t="str">
        <f>CONCATENATE(" LAGER BAŠIĆ D.O.O.,"," TRGOVAČKA 3,"," 10255 DONJI STUPNIK,"," OIB: 49617677906")</f>
        <v xml:space="preserve"> LAGER BAŠIĆ D.O.O., TRGOVAČKA 3, 10255 DONJI STUPNIK, OIB: 49617677906</v>
      </c>
      <c r="H6526" s="7"/>
      <c r="I6526" s="8" t="s">
        <v>5028</v>
      </c>
      <c r="J6526" s="8" t="s">
        <v>3850</v>
      </c>
      <c r="K6526" s="6" t="str">
        <f>"48.310,92"</f>
        <v>48.310,92</v>
      </c>
      <c r="L6526" s="6" t="str">
        <f>"12.077,73"</f>
        <v>12.077,73</v>
      </c>
      <c r="M6526" s="6" t="str">
        <f>"60.388,65"</f>
        <v>60.388,65</v>
      </c>
      <c r="N6526" s="8" t="s">
        <v>124</v>
      </c>
      <c r="O6526" s="7"/>
      <c r="P6526" s="2" t="s">
        <v>5614</v>
      </c>
      <c r="Q6526" s="7"/>
      <c r="R6526" s="1"/>
      <c r="S6526" s="1" t="str">
        <f>"GZ-UN-2017-19160"</f>
        <v>GZ-UN-2017-19160</v>
      </c>
      <c r="T6526" s="1" t="s">
        <v>55</v>
      </c>
    </row>
    <row r="6527" spans="1:20" ht="51" x14ac:dyDescent="0.25">
      <c r="A6527" s="6">
        <v>6506</v>
      </c>
      <c r="B6527" s="1" t="str">
        <f>"2017-1971"</f>
        <v>2017-1971</v>
      </c>
      <c r="C6527" s="1" t="s">
        <v>5004</v>
      </c>
      <c r="D6527" s="1" t="s">
        <v>2549</v>
      </c>
      <c r="E6527" s="1" t="str">
        <f>""</f>
        <v/>
      </c>
      <c r="F6527" s="1" t="s">
        <v>1860</v>
      </c>
      <c r="G6527" s="1" t="str">
        <f>CONCATENATE(" TEHNIČAR-COPYSERVIS D.O.O.,"," KRANJČEVIĆEVA 25,"," 10000 ZAGREB,"," OIB: 5139094509")</f>
        <v xml:space="preserve"> TEHNIČAR-COPYSERVIS D.O.O., KRANJČEVIĆEVA 25, 10000 ZAGREB, OIB: 5139094509</v>
      </c>
      <c r="H6527" s="7"/>
      <c r="I6527" s="8" t="s">
        <v>5028</v>
      </c>
      <c r="J6527" s="8" t="s">
        <v>3850</v>
      </c>
      <c r="K6527" s="6" t="str">
        <f>"2.232,88"</f>
        <v>2.232,88</v>
      </c>
      <c r="L6527" s="6" t="str">
        <f>"558,22"</f>
        <v>558,22</v>
      </c>
      <c r="M6527" s="6" t="str">
        <f>"2.791,10"</f>
        <v>2.791,10</v>
      </c>
      <c r="N6527" s="8" t="s">
        <v>124</v>
      </c>
      <c r="O6527" s="7"/>
      <c r="P6527" s="2" t="s">
        <v>5614</v>
      </c>
      <c r="Q6527" s="7"/>
      <c r="R6527" s="1"/>
      <c r="S6527" s="1" t="str">
        <f>"GZ-UN-2017-19171"</f>
        <v>GZ-UN-2017-19171</v>
      </c>
      <c r="T6527" s="1" t="s">
        <v>55</v>
      </c>
    </row>
    <row r="6528" spans="1:20" ht="63.75" x14ac:dyDescent="0.25">
      <c r="A6528" s="6">
        <v>6507</v>
      </c>
      <c r="B6528" s="1" t="str">
        <f>"2017-996"</f>
        <v>2017-996</v>
      </c>
      <c r="C6528" s="1" t="s">
        <v>5030</v>
      </c>
      <c r="D6528" s="1" t="s">
        <v>5031</v>
      </c>
      <c r="E6528" s="1" t="str">
        <f>""</f>
        <v/>
      </c>
      <c r="F6528" s="1" t="s">
        <v>1860</v>
      </c>
      <c r="G6528" s="1" t="str">
        <f>CONCATENATE(" EMIL FREY AUTO CENTAR D.O.O.,"," KOVINSKA 5,"," 10000 ZAGREB,"," OIB: 01930677284")</f>
        <v xml:space="preserve"> EMIL FREY AUTO CENTAR D.O.O., KOVINSKA 5, 10000 ZAGREB, OIB: 01930677284</v>
      </c>
      <c r="H6528" s="7"/>
      <c r="I6528" s="8" t="s">
        <v>5032</v>
      </c>
      <c r="J6528" s="8" t="s">
        <v>5033</v>
      </c>
      <c r="K6528" s="6" t="str">
        <f>"68.689,69"</f>
        <v>68.689,69</v>
      </c>
      <c r="L6528" s="6" t="str">
        <f>"17.172,42"</f>
        <v>17.172,42</v>
      </c>
      <c r="M6528" s="6" t="str">
        <f>"85.862,11"</f>
        <v>85.862,11</v>
      </c>
      <c r="N6528" s="8" t="s">
        <v>3639</v>
      </c>
      <c r="O6528" s="7"/>
      <c r="P6528" s="2" t="s">
        <v>8805</v>
      </c>
      <c r="Q6528" s="7"/>
      <c r="R6528" s="1"/>
      <c r="S6528" s="1" t="str">
        <f>"GZ-UN-2017-19889"</f>
        <v>GZ-UN-2017-19889</v>
      </c>
      <c r="T6528" s="1" t="s">
        <v>32</v>
      </c>
    </row>
    <row r="6529" spans="1:20" ht="38.25" x14ac:dyDescent="0.25">
      <c r="A6529" s="6">
        <v>6508</v>
      </c>
      <c r="B6529" s="1" t="str">
        <f>"2017-2453"</f>
        <v>2017-2453</v>
      </c>
      <c r="C6529" s="1" t="s">
        <v>5034</v>
      </c>
      <c r="D6529" s="1" t="s">
        <v>2801</v>
      </c>
      <c r="E6529" s="1" t="str">
        <f>""</f>
        <v/>
      </c>
      <c r="F6529" s="1" t="s">
        <v>1860</v>
      </c>
      <c r="G6529" s="1" t="str">
        <f>CONCATENATE(" HAURATON HRVATSKA D.O.O.,"," ,"," OIB: 05560556658")</f>
        <v xml:space="preserve"> HAURATON HRVATSKA D.O.O., , OIB: 05560556658</v>
      </c>
      <c r="H6529" s="7"/>
      <c r="I6529" s="8" t="s">
        <v>5035</v>
      </c>
      <c r="J6529" s="8" t="s">
        <v>5036</v>
      </c>
      <c r="K6529" s="6" t="str">
        <f>"125.888,40"</f>
        <v>125.888,40</v>
      </c>
      <c r="L6529" s="6" t="str">
        <f>"31.472,10"</f>
        <v>31.472,10</v>
      </c>
      <c r="M6529" s="6" t="str">
        <f>"157.360,50"</f>
        <v>157.360,50</v>
      </c>
      <c r="N6529" s="8" t="s">
        <v>4933</v>
      </c>
      <c r="O6529" s="7"/>
      <c r="P6529" s="2" t="s">
        <v>8806</v>
      </c>
      <c r="Q6529" s="1"/>
      <c r="R6529" s="1"/>
      <c r="S6529" s="1" t="str">
        <f>"GZ-UN-2017-21456"</f>
        <v>GZ-UN-2017-21456</v>
      </c>
      <c r="T6529" s="1" t="s">
        <v>32</v>
      </c>
    </row>
    <row r="6530" spans="1:20" ht="76.5" x14ac:dyDescent="0.25">
      <c r="A6530" s="6">
        <v>6509</v>
      </c>
      <c r="B6530" s="1" t="str">
        <f>"2017-1145"</f>
        <v>2017-1145</v>
      </c>
      <c r="C6530" s="1" t="s">
        <v>3312</v>
      </c>
      <c r="D6530" s="1" t="s">
        <v>21</v>
      </c>
      <c r="E6530" s="1" t="str">
        <f>""</f>
        <v/>
      </c>
      <c r="F6530" s="1" t="s">
        <v>1860</v>
      </c>
      <c r="G6530" s="1" t="str">
        <f>CONCATENATE(" ZAGREBAČKI HOLDING D.O.O.,"," PODRUŽNICA ČISTOĆA,"," RADNIČKA CESTA 82,"," 10000 ZAGREB,"," OIB: 85584865987")</f>
        <v xml:space="preserve"> ZAGREBAČKI HOLDING D.O.O., PODRUŽNICA ČISTOĆA, RADNIČKA CESTA 82, 10000 ZAGREB, OIB: 85584865987</v>
      </c>
      <c r="H6530" s="7"/>
      <c r="I6530" s="8" t="s">
        <v>4719</v>
      </c>
      <c r="J6530" s="8" t="s">
        <v>5037</v>
      </c>
      <c r="K6530" s="6" t="str">
        <f>"34.692,00"</f>
        <v>34.692,00</v>
      </c>
      <c r="L6530" s="6" t="str">
        <f>"8.673,00"</f>
        <v>8.673,00</v>
      </c>
      <c r="M6530" s="6" t="str">
        <f>"43.365,00"</f>
        <v>43.365,00</v>
      </c>
      <c r="N6530" s="8" t="s">
        <v>124</v>
      </c>
      <c r="O6530" s="7"/>
      <c r="P6530" s="2" t="s">
        <v>5614</v>
      </c>
      <c r="Q6530" s="7"/>
      <c r="R6530" s="1"/>
      <c r="S6530" s="1" t="str">
        <f>"GZ-UN-2017-21721"</f>
        <v>GZ-UN-2017-21721</v>
      </c>
      <c r="T6530" s="1" t="s">
        <v>55</v>
      </c>
    </row>
    <row r="6531" spans="1:20" ht="51" x14ac:dyDescent="0.25">
      <c r="A6531" s="6">
        <v>6510</v>
      </c>
      <c r="B6531" s="1" t="str">
        <f>"2017-1378"</f>
        <v>2017-1378</v>
      </c>
      <c r="C6531" s="1" t="s">
        <v>3310</v>
      </c>
      <c r="D6531" s="1" t="s">
        <v>1373</v>
      </c>
      <c r="E6531" s="1" t="str">
        <f>""</f>
        <v/>
      </c>
      <c r="F6531" s="1" t="s">
        <v>1860</v>
      </c>
      <c r="G6531" s="1" t="str">
        <f>CONCATENATE(" NIROSTA D.O.O.,"," NAŠIČKA 6,"," 31000 OSIJEK,"," OIB: 82823351319")</f>
        <v xml:space="preserve"> NIROSTA D.O.O., NAŠIČKA 6, 31000 OSIJEK, OIB: 82823351319</v>
      </c>
      <c r="H6531" s="7"/>
      <c r="I6531" s="8" t="s">
        <v>3608</v>
      </c>
      <c r="J6531" s="8" t="s">
        <v>5038</v>
      </c>
      <c r="K6531" s="6" t="str">
        <f>"9.900,00"</f>
        <v>9.900,00</v>
      </c>
      <c r="L6531" s="6" t="str">
        <f>"2.475,00"</f>
        <v>2.475,00</v>
      </c>
      <c r="M6531" s="6" t="str">
        <f>"12.375,00"</f>
        <v>12.375,00</v>
      </c>
      <c r="N6531" s="8" t="s">
        <v>124</v>
      </c>
      <c r="O6531" s="7"/>
      <c r="P6531" s="2" t="s">
        <v>5614</v>
      </c>
      <c r="Q6531" s="7"/>
      <c r="R6531" s="1"/>
      <c r="S6531" s="1" t="str">
        <f>"GZ-UN-2017-23566"</f>
        <v>GZ-UN-2017-23566</v>
      </c>
      <c r="T6531" s="1" t="s">
        <v>55</v>
      </c>
    </row>
    <row r="6532" spans="1:20" ht="51" x14ac:dyDescent="0.25">
      <c r="A6532" s="6">
        <v>6511</v>
      </c>
      <c r="B6532" s="1" t="str">
        <f>"2017-2290"</f>
        <v>2017-2290</v>
      </c>
      <c r="C6532" s="1" t="s">
        <v>5018</v>
      </c>
      <c r="D6532" s="1" t="s">
        <v>1203</v>
      </c>
      <c r="E6532" s="1" t="str">
        <f>""</f>
        <v/>
      </c>
      <c r="F6532" s="1" t="s">
        <v>1860</v>
      </c>
      <c r="G6532" s="1" t="str">
        <f>CONCATENATE(" LUMAKO TIM D.O.O.,"," KIRINŠČAK 25,"," 10000 ZAGREB,"," OIB: 42244128744")</f>
        <v xml:space="preserve"> LUMAKO TIM D.O.O., KIRINŠČAK 25, 10000 ZAGREB, OIB: 42244128744</v>
      </c>
      <c r="H6532" s="7"/>
      <c r="I6532" s="8" t="s">
        <v>3637</v>
      </c>
      <c r="J6532" s="8" t="s">
        <v>5039</v>
      </c>
      <c r="K6532" s="6" t="str">
        <f>"10.212,00"</f>
        <v>10.212,00</v>
      </c>
      <c r="L6532" s="6" t="str">
        <f>"2.553,00"</f>
        <v>2.553,00</v>
      </c>
      <c r="M6532" s="6" t="str">
        <f>"12.765,00"</f>
        <v>12.765,00</v>
      </c>
      <c r="N6532" s="8" t="s">
        <v>124</v>
      </c>
      <c r="O6532" s="7"/>
      <c r="P6532" s="2" t="s">
        <v>5614</v>
      </c>
      <c r="Q6532" s="7"/>
      <c r="R6532" s="1"/>
      <c r="S6532" s="1" t="str">
        <f>"GZ-UN-2017-23892"</f>
        <v>GZ-UN-2017-23892</v>
      </c>
      <c r="T6532" s="1" t="s">
        <v>55</v>
      </c>
    </row>
    <row r="6533" spans="1:20" ht="38.25" x14ac:dyDescent="0.25">
      <c r="A6533" s="6">
        <v>6512</v>
      </c>
      <c r="B6533" s="1" t="str">
        <f>"2017-1982"</f>
        <v>2017-1982</v>
      </c>
      <c r="C6533" s="1" t="s">
        <v>5019</v>
      </c>
      <c r="D6533" s="1" t="s">
        <v>914</v>
      </c>
      <c r="E6533" s="1" t="str">
        <f>""</f>
        <v/>
      </c>
      <c r="F6533" s="1" t="s">
        <v>1860</v>
      </c>
      <c r="G6533" s="1" t="str">
        <f>CONCATENATE(" T.P.Z.  D.O.O.,"," ,"," OIB: 68119083236")</f>
        <v xml:space="preserve"> T.P.Z.  D.O.O., , OIB: 68119083236</v>
      </c>
      <c r="H6533" s="7"/>
      <c r="I6533" s="8" t="s">
        <v>4925</v>
      </c>
      <c r="J6533" s="8" t="s">
        <v>3897</v>
      </c>
      <c r="K6533" s="6" t="str">
        <f>"17.061,78"</f>
        <v>17.061,78</v>
      </c>
      <c r="L6533" s="6" t="str">
        <f>"4.265,44"</f>
        <v>4.265,44</v>
      </c>
      <c r="M6533" s="6" t="str">
        <f>"21.327,22"</f>
        <v>21.327,22</v>
      </c>
      <c r="N6533" s="8" t="s">
        <v>124</v>
      </c>
      <c r="O6533" s="7"/>
      <c r="P6533" s="2" t="s">
        <v>5614</v>
      </c>
      <c r="Q6533" s="7"/>
      <c r="R6533" s="1"/>
      <c r="S6533" s="1" t="str">
        <f>"GZ-UN-2017-25484"</f>
        <v>GZ-UN-2017-25484</v>
      </c>
      <c r="T6533" s="1" t="s">
        <v>55</v>
      </c>
    </row>
    <row r="6534" spans="1:20" ht="76.5" x14ac:dyDescent="0.25">
      <c r="A6534" s="6">
        <v>6513</v>
      </c>
      <c r="B6534" s="1" t="str">
        <f>"2017-1834"</f>
        <v>2017-1834</v>
      </c>
      <c r="C6534" s="1" t="s">
        <v>3057</v>
      </c>
      <c r="D6534" s="1" t="s">
        <v>486</v>
      </c>
      <c r="E6534" s="1" t="str">
        <f>""</f>
        <v/>
      </c>
      <c r="F6534" s="1" t="s">
        <v>1860</v>
      </c>
      <c r="G6534" s="1" t="str">
        <f>CONCATENATE(" HEP-Operator distribucijskog sustava d.o.o.,"," ULICA GRADA VUKOVARA 37,"," 10000 ZAGREB,"," OIB: 4683060075")</f>
        <v xml:space="preserve"> HEP-Operator distribucijskog sustava d.o.o., ULICA GRADA VUKOVARA 37, 10000 ZAGREB, OIB: 4683060075</v>
      </c>
      <c r="H6534" s="7"/>
      <c r="I6534" s="8" t="s">
        <v>3612</v>
      </c>
      <c r="J6534" s="8" t="s">
        <v>5040</v>
      </c>
      <c r="K6534" s="6" t="str">
        <f>"1.438,67"</f>
        <v>1.438,67</v>
      </c>
      <c r="L6534" s="6" t="str">
        <f>"359,67"</f>
        <v>359,67</v>
      </c>
      <c r="M6534" s="6" t="str">
        <f>"1.798,34"</f>
        <v>1.798,34</v>
      </c>
      <c r="N6534" s="8" t="s">
        <v>124</v>
      </c>
      <c r="O6534" s="7"/>
      <c r="P6534" s="2" t="s">
        <v>5614</v>
      </c>
      <c r="Q6534" s="7"/>
      <c r="R6534" s="1"/>
      <c r="S6534" s="1" t="str">
        <f>"GZ-UN-2017-25487"</f>
        <v>GZ-UN-2017-25487</v>
      </c>
      <c r="T6534" s="1" t="s">
        <v>55</v>
      </c>
    </row>
    <row r="6535" spans="1:20" ht="63.75" x14ac:dyDescent="0.25">
      <c r="A6535" s="6">
        <v>6514</v>
      </c>
      <c r="B6535" s="1" t="str">
        <f>"2017-1649"</f>
        <v>2017-1649</v>
      </c>
      <c r="C6535" s="1" t="s">
        <v>2683</v>
      </c>
      <c r="D6535" s="1" t="s">
        <v>2684</v>
      </c>
      <c r="E6535" s="1" t="str">
        <f>""</f>
        <v/>
      </c>
      <c r="F6535" s="1" t="s">
        <v>1860</v>
      </c>
      <c r="G6535" s="1" t="str">
        <f>CONCATENATE(" ELEKTRO-KOMUNIKACIJE D.O.O.,"," 14. PODBREŽJE 4,"," 10000 ZAGREB,"," OIB: 76412373309")</f>
        <v xml:space="preserve"> ELEKTRO-KOMUNIKACIJE D.O.O., 14. PODBREŽJE 4, 10000 ZAGREB, OIB: 76412373309</v>
      </c>
      <c r="H6535" s="7"/>
      <c r="I6535" s="8" t="s">
        <v>4925</v>
      </c>
      <c r="J6535" s="8" t="s">
        <v>3897</v>
      </c>
      <c r="K6535" s="6" t="str">
        <f>"11.069,00"</f>
        <v>11.069,00</v>
      </c>
      <c r="L6535" s="6" t="str">
        <f>"2.767,25"</f>
        <v>2.767,25</v>
      </c>
      <c r="M6535" s="6" t="str">
        <f>"13.836,25"</f>
        <v>13.836,25</v>
      </c>
      <c r="N6535" s="8" t="s">
        <v>124</v>
      </c>
      <c r="O6535" s="7"/>
      <c r="P6535" s="2" t="s">
        <v>5614</v>
      </c>
      <c r="Q6535" s="7"/>
      <c r="R6535" s="1"/>
      <c r="S6535" s="1" t="str">
        <f>"GZ-UN-2017-25496"</f>
        <v>GZ-UN-2017-25496</v>
      </c>
      <c r="T6535" s="1" t="s">
        <v>55</v>
      </c>
    </row>
    <row r="6536" spans="1:20" ht="63.75" x14ac:dyDescent="0.25">
      <c r="A6536" s="6">
        <v>6515</v>
      </c>
      <c r="B6536" s="1" t="str">
        <f>"2017-116"</f>
        <v>2017-116</v>
      </c>
      <c r="C6536" s="1" t="s">
        <v>2702</v>
      </c>
      <c r="D6536" s="1" t="s">
        <v>1209</v>
      </c>
      <c r="E6536" s="1" t="str">
        <f>""</f>
        <v/>
      </c>
      <c r="F6536" s="1" t="s">
        <v>1860</v>
      </c>
      <c r="G6536" s="1" t="str">
        <f>CONCATENATE(" DRÄGER SAFETY D.O.O.,"," AVENIJA VEĆESLAVA HOLJEVCA 40,"," 10010 ZAGREB,"," OIB: 32874587842")</f>
        <v xml:space="preserve"> DRÄGER SAFETY D.O.O., AVENIJA VEĆESLAVA HOLJEVCA 40, 10010 ZAGREB, OIB: 32874587842</v>
      </c>
      <c r="H6536" s="7"/>
      <c r="I6536" s="8" t="s">
        <v>4925</v>
      </c>
      <c r="J6536" s="8" t="s">
        <v>3897</v>
      </c>
      <c r="K6536" s="6" t="str">
        <f>"4.529,72"</f>
        <v>4.529,72</v>
      </c>
      <c r="L6536" s="6" t="str">
        <f>"1.132,43"</f>
        <v>1.132,43</v>
      </c>
      <c r="M6536" s="6" t="str">
        <f>"5.662,15"</f>
        <v>5.662,15</v>
      </c>
      <c r="N6536" s="8" t="s">
        <v>124</v>
      </c>
      <c r="O6536" s="7"/>
      <c r="P6536" s="2" t="s">
        <v>5614</v>
      </c>
      <c r="Q6536" s="7"/>
      <c r="R6536" s="1"/>
      <c r="S6536" s="1" t="str">
        <f>"GZ-UN-2017-25504"</f>
        <v>GZ-UN-2017-25504</v>
      </c>
      <c r="T6536" s="1" t="s">
        <v>55</v>
      </c>
    </row>
    <row r="6537" spans="1:20" ht="51" x14ac:dyDescent="0.25">
      <c r="A6537" s="6">
        <v>6516</v>
      </c>
      <c r="B6537" s="1" t="str">
        <f>"2017-1641"</f>
        <v>2017-1641</v>
      </c>
      <c r="C6537" s="1" t="s">
        <v>3395</v>
      </c>
      <c r="D6537" s="1" t="s">
        <v>5041</v>
      </c>
      <c r="E6537" s="1" t="str">
        <f>""</f>
        <v/>
      </c>
      <c r="F6537" s="1" t="s">
        <v>1860</v>
      </c>
      <c r="G6537" s="1" t="str">
        <f>CONCATENATE(" RU - VE D.O.O.,"," UL. VLADIMIRA NAZORA 10,"," 10431 SVETA NEDELJA,"," OIB: 8847092984")</f>
        <v xml:space="preserve"> RU - VE D.O.O., UL. VLADIMIRA NAZORA 10, 10431 SVETA NEDELJA, OIB: 8847092984</v>
      </c>
      <c r="H6537" s="7"/>
      <c r="I6537" s="8" t="s">
        <v>4925</v>
      </c>
      <c r="J6537" s="8" t="s">
        <v>3897</v>
      </c>
      <c r="K6537" s="6" t="str">
        <f>"132,00"</f>
        <v>132,00</v>
      </c>
      <c r="L6537" s="6" t="str">
        <f>"33,00"</f>
        <v>33,00</v>
      </c>
      <c r="M6537" s="6" t="str">
        <f>"165,00"</f>
        <v>165,00</v>
      </c>
      <c r="N6537" s="8" t="s">
        <v>124</v>
      </c>
      <c r="O6537" s="7"/>
      <c r="P6537" s="2" t="s">
        <v>5614</v>
      </c>
      <c r="Q6537" s="7"/>
      <c r="R6537" s="1"/>
      <c r="S6537" s="1" t="str">
        <f>"GZ-UN-2017-25506"</f>
        <v>GZ-UN-2017-25506</v>
      </c>
      <c r="T6537" s="1" t="s">
        <v>55</v>
      </c>
    </row>
    <row r="6538" spans="1:20" ht="51" x14ac:dyDescent="0.25">
      <c r="A6538" s="6">
        <v>6517</v>
      </c>
      <c r="B6538" s="1" t="str">
        <f>"2017-1812"</f>
        <v>2017-1812</v>
      </c>
      <c r="C6538" s="1" t="s">
        <v>2695</v>
      </c>
      <c r="D6538" s="1" t="s">
        <v>2502</v>
      </c>
      <c r="E6538" s="1" t="str">
        <f>""</f>
        <v/>
      </c>
      <c r="F6538" s="1" t="s">
        <v>1860</v>
      </c>
      <c r="G6538" s="1" t="str">
        <f>CONCATENATE(" LUMAKO TIM D.O.O.,"," KIRINŠČAK 25,"," 10000 ZAGREB,"," OIB: 42244128744")</f>
        <v xml:space="preserve"> LUMAKO TIM D.O.O., KIRINŠČAK 25, 10000 ZAGREB, OIB: 42244128744</v>
      </c>
      <c r="H6538" s="7"/>
      <c r="I6538" s="8" t="s">
        <v>4925</v>
      </c>
      <c r="J6538" s="8" t="s">
        <v>3897</v>
      </c>
      <c r="K6538" s="6" t="str">
        <f>"2.442,64"</f>
        <v>2.442,64</v>
      </c>
      <c r="L6538" s="6" t="str">
        <f>"610,66"</f>
        <v>610,66</v>
      </c>
      <c r="M6538" s="6" t="str">
        <f>"3.053,30"</f>
        <v>3.053,30</v>
      </c>
      <c r="N6538" s="8" t="s">
        <v>124</v>
      </c>
      <c r="O6538" s="7"/>
      <c r="P6538" s="2" t="s">
        <v>5614</v>
      </c>
      <c r="Q6538" s="7"/>
      <c r="R6538" s="1"/>
      <c r="S6538" s="1" t="str">
        <f>"GZ-UN-2017-25512"</f>
        <v>GZ-UN-2017-25512</v>
      </c>
      <c r="T6538" s="1" t="s">
        <v>55</v>
      </c>
    </row>
    <row r="6539" spans="1:20" ht="51" x14ac:dyDescent="0.25">
      <c r="A6539" s="6">
        <v>6518</v>
      </c>
      <c r="B6539" s="1" t="str">
        <f>"2017-434"</f>
        <v>2017-434</v>
      </c>
      <c r="C6539" s="1" t="s">
        <v>5012</v>
      </c>
      <c r="D6539" s="1" t="s">
        <v>679</v>
      </c>
      <c r="E6539" s="1" t="str">
        <f>""</f>
        <v/>
      </c>
      <c r="F6539" s="1" t="s">
        <v>1860</v>
      </c>
      <c r="G6539" s="1" t="str">
        <f>CONCATENATE(" LUMAKO TIM D.O.O.,"," KIRINŠČAK 25,"," 10000 ZAGREB,"," OIB: 42244128744")</f>
        <v xml:space="preserve"> LUMAKO TIM D.O.O., KIRINŠČAK 25, 10000 ZAGREB, OIB: 42244128744</v>
      </c>
      <c r="H6539" s="7"/>
      <c r="I6539" s="8" t="s">
        <v>4925</v>
      </c>
      <c r="J6539" s="8" t="s">
        <v>3897</v>
      </c>
      <c r="K6539" s="6" t="str">
        <f>"4.097,00"</f>
        <v>4.097,00</v>
      </c>
      <c r="L6539" s="6" t="str">
        <f>"1.024,25"</f>
        <v>1.024,25</v>
      </c>
      <c r="M6539" s="6" t="str">
        <f>"5.121,25"</f>
        <v>5.121,25</v>
      </c>
      <c r="N6539" s="8" t="s">
        <v>124</v>
      </c>
      <c r="O6539" s="7"/>
      <c r="P6539" s="2" t="s">
        <v>5614</v>
      </c>
      <c r="Q6539" s="7"/>
      <c r="R6539" s="1"/>
      <c r="S6539" s="1" t="str">
        <f>"GZ-UN-2017-25523"</f>
        <v>GZ-UN-2017-25523</v>
      </c>
      <c r="T6539" s="1" t="s">
        <v>55</v>
      </c>
    </row>
    <row r="6540" spans="1:20" ht="63.75" x14ac:dyDescent="0.25">
      <c r="A6540" s="6">
        <v>6519</v>
      </c>
      <c r="B6540" s="1" t="str">
        <f>"2017-1873"</f>
        <v>2017-1873</v>
      </c>
      <c r="C6540" s="1" t="s">
        <v>2677</v>
      </c>
      <c r="D6540" s="1" t="s">
        <v>2678</v>
      </c>
      <c r="E6540" s="1" t="str">
        <f>""</f>
        <v/>
      </c>
      <c r="F6540" s="1" t="s">
        <v>1860</v>
      </c>
      <c r="G6540" s="1" t="str">
        <f>CONCATENATE(" EMITTO ELEMENT D.O.O.,"," PETRA DUMIČIĆA 6,"," 10360 SESVETE,"," OIB: 75593426373")</f>
        <v xml:space="preserve"> EMITTO ELEMENT D.O.O., PETRA DUMIČIĆA 6, 10360 SESVETE, OIB: 75593426373</v>
      </c>
      <c r="H6540" s="7"/>
      <c r="I6540" s="8" t="s">
        <v>4925</v>
      </c>
      <c r="J6540" s="8" t="s">
        <v>3897</v>
      </c>
      <c r="K6540" s="6" t="str">
        <f>"2.443,00"</f>
        <v>2.443,00</v>
      </c>
      <c r="L6540" s="6" t="str">
        <f>"610,75"</f>
        <v>610,75</v>
      </c>
      <c r="M6540" s="6" t="str">
        <f>"3.053,75"</f>
        <v>3.053,75</v>
      </c>
      <c r="N6540" s="8" t="s">
        <v>124</v>
      </c>
      <c r="O6540" s="7"/>
      <c r="P6540" s="2" t="s">
        <v>5614</v>
      </c>
      <c r="Q6540" s="7"/>
      <c r="R6540" s="1"/>
      <c r="S6540" s="1" t="str">
        <f>"GZ-UN-2017-25537"</f>
        <v>GZ-UN-2017-25537</v>
      </c>
      <c r="T6540" s="1" t="s">
        <v>55</v>
      </c>
    </row>
    <row r="6541" spans="1:20" ht="63.75" x14ac:dyDescent="0.25">
      <c r="A6541" s="6">
        <v>6520</v>
      </c>
      <c r="B6541" s="1" t="str">
        <f>"2017-1137"</f>
        <v>2017-1137</v>
      </c>
      <c r="C6541" s="1" t="s">
        <v>2430</v>
      </c>
      <c r="D6541" s="1" t="s">
        <v>4996</v>
      </c>
      <c r="E6541" s="1" t="str">
        <f>""</f>
        <v/>
      </c>
      <c r="F6541" s="1" t="s">
        <v>1860</v>
      </c>
      <c r="G6541" s="1" t="str">
        <f>CONCATENATE(" PATAFTA I SINOVI,"," VL. FRANJO PATAFTA,"," STRAHONINEC,"," POLJSKA 6,"," 40000 ČAKOVEC,"," OIB: 4581405954")</f>
        <v xml:space="preserve"> PATAFTA I SINOVI, VL. FRANJO PATAFTA, STRAHONINEC, POLJSKA 6, 40000 ČAKOVEC, OIB: 4581405954</v>
      </c>
      <c r="H6541" s="7"/>
      <c r="I6541" s="8" t="s">
        <v>3858</v>
      </c>
      <c r="J6541" s="8" t="s">
        <v>3859</v>
      </c>
      <c r="K6541" s="6" t="str">
        <f>"18.473,00"</f>
        <v>18.473,00</v>
      </c>
      <c r="L6541" s="6" t="str">
        <f>"4.618,25"</f>
        <v>4.618,25</v>
      </c>
      <c r="M6541" s="6" t="str">
        <f>"23.091,25"</f>
        <v>23.091,25</v>
      </c>
      <c r="N6541" s="8" t="s">
        <v>124</v>
      </c>
      <c r="O6541" s="7"/>
      <c r="P6541" s="2" t="s">
        <v>5614</v>
      </c>
      <c r="Q6541" s="7"/>
      <c r="R6541" s="1"/>
      <c r="S6541" s="1" t="str">
        <f>"GZ-UN-2017-29479"</f>
        <v>GZ-UN-2017-29479</v>
      </c>
      <c r="T6541" s="1" t="s">
        <v>55</v>
      </c>
    </row>
    <row r="6542" spans="1:20" ht="51" x14ac:dyDescent="0.25">
      <c r="A6542" s="6">
        <v>6521</v>
      </c>
      <c r="B6542" s="1" t="str">
        <f>"2017-2573"</f>
        <v>2017-2573</v>
      </c>
      <c r="C6542" s="1" t="s">
        <v>5042</v>
      </c>
      <c r="D6542" s="1" t="s">
        <v>1689</v>
      </c>
      <c r="E6542" s="1" t="str">
        <f>""</f>
        <v/>
      </c>
      <c r="F6542" s="1" t="s">
        <v>1860</v>
      </c>
      <c r="G6542" s="1" t="str">
        <f>CONCATENATE(" JAKA D.O.O.,"," OGRIZOVIĆEVA 28/B,","  10 000 ZAGREB,"," OIB: 3770592196")</f>
        <v xml:space="preserve"> JAKA D.O.O., OGRIZOVIĆEVA 28/B,  10 000 ZAGREB, OIB: 3770592196</v>
      </c>
      <c r="H6542" s="7"/>
      <c r="I6542" s="8" t="s">
        <v>3645</v>
      </c>
      <c r="J6542" s="8" t="s">
        <v>5043</v>
      </c>
      <c r="K6542" s="6" t="str">
        <f>"193.671,68"</f>
        <v>193.671,68</v>
      </c>
      <c r="L6542" s="6" t="str">
        <f>"48.417,92"</f>
        <v>48.417,92</v>
      </c>
      <c r="M6542" s="6" t="str">
        <f>"242.089,60"</f>
        <v>242.089,60</v>
      </c>
      <c r="N6542" s="8" t="s">
        <v>5044</v>
      </c>
      <c r="O6542" s="7"/>
      <c r="P6542" s="2" t="s">
        <v>8807</v>
      </c>
      <c r="Q6542" s="7"/>
      <c r="R6542" s="1"/>
      <c r="S6542" s="1" t="str">
        <f>"GZ-UN-2017-29615"</f>
        <v>GZ-UN-2017-29615</v>
      </c>
      <c r="T6542" s="1" t="s">
        <v>32</v>
      </c>
    </row>
    <row r="6543" spans="1:20" ht="51" x14ac:dyDescent="0.25">
      <c r="A6543" s="6">
        <v>6522</v>
      </c>
      <c r="B6543" s="1" t="str">
        <f>"2017-1596"</f>
        <v>2017-1596</v>
      </c>
      <c r="C6543" s="1" t="s">
        <v>2486</v>
      </c>
      <c r="D6543" s="1" t="s">
        <v>74</v>
      </c>
      <c r="E6543" s="1" t="str">
        <f>""</f>
        <v/>
      </c>
      <c r="F6543" s="1" t="s">
        <v>1860</v>
      </c>
      <c r="G6543" s="1" t="str">
        <f>CONCATENATE(" CONSCIUS D.O.O.,"," KUTNJAČKI PUT 9,"," 10000 ZAGREB,"," OIB: 33925981016")</f>
        <v xml:space="preserve"> CONSCIUS D.O.O., KUTNJAČKI PUT 9, 10000 ZAGREB, OIB: 33925981016</v>
      </c>
      <c r="H6543" s="7"/>
      <c r="I6543" s="8" t="s">
        <v>4495</v>
      </c>
      <c r="J6543" s="8" t="s">
        <v>3733</v>
      </c>
      <c r="K6543" s="6" t="str">
        <f>"127.200,00"</f>
        <v>127.200,00</v>
      </c>
      <c r="L6543" s="6" t="str">
        <f>"31.800,00"</f>
        <v>31.800,00</v>
      </c>
      <c r="M6543" s="6" t="str">
        <f>"159.000,00"</f>
        <v>159.000,00</v>
      </c>
      <c r="N6543" s="8" t="s">
        <v>5045</v>
      </c>
      <c r="O6543" s="7"/>
      <c r="P6543" s="2" t="s">
        <v>8808</v>
      </c>
      <c r="Q6543" s="7"/>
      <c r="R6543" s="1"/>
      <c r="S6543" s="1" t="str">
        <f>"GZ-UN-2017-30076"</f>
        <v>GZ-UN-2017-30076</v>
      </c>
      <c r="T6543" s="1" t="s">
        <v>43</v>
      </c>
    </row>
    <row r="6544" spans="1:20" ht="63.75" x14ac:dyDescent="0.25">
      <c r="A6544" s="6">
        <v>6523</v>
      </c>
      <c r="B6544" s="1" t="str">
        <f>"2017-2158"</f>
        <v>2017-2158</v>
      </c>
      <c r="C6544" s="1" t="s">
        <v>5046</v>
      </c>
      <c r="D6544" s="1" t="s">
        <v>1277</v>
      </c>
      <c r="E6544" s="1" t="str">
        <f>""</f>
        <v/>
      </c>
      <c r="F6544" s="1" t="s">
        <v>1860</v>
      </c>
      <c r="G6544" s="1" t="str">
        <f>CONCATENATE(" OMEGA SOFTWARE D.O.O.,"," KAMENARKA 37,"," 10010 ZAGREB-SLOBOŠTINA,"," OIB: 40102169932")</f>
        <v xml:space="preserve"> OMEGA SOFTWARE D.O.O., KAMENARKA 37, 10010 ZAGREB-SLOBOŠTINA, OIB: 40102169932</v>
      </c>
      <c r="H6544" s="7"/>
      <c r="I6544" s="8" t="s">
        <v>5047</v>
      </c>
      <c r="J6544" s="8" t="s">
        <v>5048</v>
      </c>
      <c r="K6544" s="6" t="str">
        <f>"198.000,00"</f>
        <v>198.000,00</v>
      </c>
      <c r="L6544" s="6" t="str">
        <f>"49.500,00"</f>
        <v>49.500,00</v>
      </c>
      <c r="M6544" s="6" t="str">
        <f>"247.500,00"</f>
        <v>247.500,00</v>
      </c>
      <c r="N6544" s="8" t="s">
        <v>3936</v>
      </c>
      <c r="O6544" s="7"/>
      <c r="P6544" s="2" t="s">
        <v>8334</v>
      </c>
      <c r="Q6544" s="7"/>
      <c r="R6544" s="1"/>
      <c r="S6544" s="1" t="str">
        <f>"GZ-UN-2017-31317"</f>
        <v>GZ-UN-2017-31317</v>
      </c>
      <c r="T6544" s="1" t="s">
        <v>43</v>
      </c>
    </row>
    <row r="6545" spans="1:20" ht="63.75" x14ac:dyDescent="0.25">
      <c r="A6545" s="6">
        <v>6524</v>
      </c>
      <c r="B6545" s="1" t="str">
        <f>"2017-2312"</f>
        <v>2017-2312</v>
      </c>
      <c r="C6545" s="1" t="s">
        <v>3319</v>
      </c>
      <c r="D6545" s="1" t="s">
        <v>3320</v>
      </c>
      <c r="E6545" s="1" t="str">
        <f>""</f>
        <v/>
      </c>
      <c r="F6545" s="1" t="s">
        <v>1860</v>
      </c>
      <c r="G6545" s="1" t="str">
        <f>CONCATENATE(" SVRDLO D.O.O.,"," ŠKOLSKA ULICA 10,"," 10370 DUGO SELO,"," OIB: 36535565458")</f>
        <v xml:space="preserve"> SVRDLO D.O.O., ŠKOLSKA ULICA 10, 10370 DUGO SELO, OIB: 36535565458</v>
      </c>
      <c r="H6545" s="7"/>
      <c r="I6545" s="8" t="s">
        <v>3618</v>
      </c>
      <c r="J6545" s="8" t="s">
        <v>5049</v>
      </c>
      <c r="K6545" s="6" t="str">
        <f>"585,00"</f>
        <v>585,00</v>
      </c>
      <c r="L6545" s="6" t="str">
        <f>"146,25"</f>
        <v>146,25</v>
      </c>
      <c r="M6545" s="6" t="str">
        <f>"731,25"</f>
        <v>731,25</v>
      </c>
      <c r="N6545" s="8" t="s">
        <v>124</v>
      </c>
      <c r="O6545" s="7"/>
      <c r="P6545" s="2" t="s">
        <v>5614</v>
      </c>
      <c r="Q6545" s="7"/>
      <c r="R6545" s="1"/>
      <c r="S6545" s="1" t="str">
        <f>"GZ-UN-2017-31746"</f>
        <v>GZ-UN-2017-31746</v>
      </c>
      <c r="T6545" s="1" t="s">
        <v>55</v>
      </c>
    </row>
    <row r="6546" spans="1:20" ht="25.5" x14ac:dyDescent="0.25">
      <c r="A6546" s="6">
        <v>6525</v>
      </c>
      <c r="B6546" s="1" t="str">
        <f>"2017-1454"</f>
        <v>2017-1454</v>
      </c>
      <c r="C6546" s="1" t="s">
        <v>2492</v>
      </c>
      <c r="D6546" s="1" t="s">
        <v>2493</v>
      </c>
      <c r="E6546" s="1" t="str">
        <f>""</f>
        <v/>
      </c>
      <c r="F6546" s="1" t="s">
        <v>1860</v>
      </c>
      <c r="G6546" s="1" t="str">
        <f>CONCATENATE(" T.P.Z.  D.O.O.,"," ,"," OIB: 68119083236")</f>
        <v xml:space="preserve"> T.P.Z.  D.O.O., , OIB: 68119083236</v>
      </c>
      <c r="H6546" s="7"/>
      <c r="I6546" s="8" t="s">
        <v>3618</v>
      </c>
      <c r="J6546" s="8" t="s">
        <v>5049</v>
      </c>
      <c r="K6546" s="6" t="str">
        <f>"10.467,87"</f>
        <v>10.467,87</v>
      </c>
      <c r="L6546" s="6" t="str">
        <f>"2.616,97"</f>
        <v>2.616,97</v>
      </c>
      <c r="M6546" s="6" t="str">
        <f>"13.084,84"</f>
        <v>13.084,84</v>
      </c>
      <c r="N6546" s="8" t="s">
        <v>124</v>
      </c>
      <c r="O6546" s="7"/>
      <c r="P6546" s="2" t="s">
        <v>5614</v>
      </c>
      <c r="Q6546" s="7"/>
      <c r="R6546" s="1"/>
      <c r="S6546" s="1" t="str">
        <f>"GZ-UN-2017-31749"</f>
        <v>GZ-UN-2017-31749</v>
      </c>
      <c r="T6546" s="1" t="s">
        <v>55</v>
      </c>
    </row>
    <row r="6547" spans="1:20" ht="51" x14ac:dyDescent="0.25">
      <c r="A6547" s="6">
        <v>6526</v>
      </c>
      <c r="B6547" s="1" t="str">
        <f>"2017-434"</f>
        <v>2017-434</v>
      </c>
      <c r="C6547" s="1" t="s">
        <v>5012</v>
      </c>
      <c r="D6547" s="1" t="s">
        <v>679</v>
      </c>
      <c r="E6547" s="1" t="str">
        <f>""</f>
        <v/>
      </c>
      <c r="F6547" s="1" t="s">
        <v>1860</v>
      </c>
      <c r="G6547" s="1" t="str">
        <f>CONCATENATE(" LUMAKO TIM D.O.O.,"," KIRINŠČAK 25,"," 10000 ZAGREB,"," OIB: 42244128744")</f>
        <v xml:space="preserve"> LUMAKO TIM D.O.O., KIRINŠČAK 25, 10000 ZAGREB, OIB: 42244128744</v>
      </c>
      <c r="H6547" s="7"/>
      <c r="I6547" s="8" t="s">
        <v>3618</v>
      </c>
      <c r="J6547" s="8" t="s">
        <v>5049</v>
      </c>
      <c r="K6547" s="6" t="str">
        <f>"9.021,00"</f>
        <v>9.021,00</v>
      </c>
      <c r="L6547" s="6" t="str">
        <f>"2.255,25"</f>
        <v>2.255,25</v>
      </c>
      <c r="M6547" s="6" t="str">
        <f>"11.276,25"</f>
        <v>11.276,25</v>
      </c>
      <c r="N6547" s="8" t="s">
        <v>124</v>
      </c>
      <c r="O6547" s="7"/>
      <c r="P6547" s="2" t="s">
        <v>5614</v>
      </c>
      <c r="Q6547" s="7"/>
      <c r="R6547" s="1"/>
      <c r="S6547" s="1" t="str">
        <f>"GZ-UN-2017-31752"</f>
        <v>GZ-UN-2017-31752</v>
      </c>
      <c r="T6547" s="1" t="s">
        <v>55</v>
      </c>
    </row>
    <row r="6548" spans="1:20" ht="63.75" x14ac:dyDescent="0.25">
      <c r="A6548" s="6">
        <v>6527</v>
      </c>
      <c r="B6548" s="1" t="str">
        <f>"2017-670"</f>
        <v>2017-670</v>
      </c>
      <c r="C6548" s="1" t="s">
        <v>2463</v>
      </c>
      <c r="D6548" s="1" t="s">
        <v>745</v>
      </c>
      <c r="E6548" s="1" t="str">
        <f>""</f>
        <v/>
      </c>
      <c r="F6548" s="1" t="s">
        <v>1860</v>
      </c>
      <c r="G6548" s="1" t="str">
        <f>CONCATENATE(" KUNA CORPORATION D.O.O.,"," DRAŠE 68,"," 49294 KRALJEVEC NA SUTLI,"," OIB: 54600743656")</f>
        <v xml:space="preserve"> KUNA CORPORATION D.O.O., DRAŠE 68, 49294 KRALJEVEC NA SUTLI, OIB: 54600743656</v>
      </c>
      <c r="H6548" s="7"/>
      <c r="I6548" s="8" t="s">
        <v>3618</v>
      </c>
      <c r="J6548" s="8" t="s">
        <v>5049</v>
      </c>
      <c r="K6548" s="6" t="str">
        <f>"183,36"</f>
        <v>183,36</v>
      </c>
      <c r="L6548" s="6" t="str">
        <f>"45,84"</f>
        <v>45,84</v>
      </c>
      <c r="M6548" s="6" t="str">
        <f>"229,20"</f>
        <v>229,20</v>
      </c>
      <c r="N6548" s="8" t="s">
        <v>124</v>
      </c>
      <c r="O6548" s="7"/>
      <c r="P6548" s="2" t="s">
        <v>5614</v>
      </c>
      <c r="Q6548" s="7"/>
      <c r="R6548" s="1"/>
      <c r="S6548" s="1" t="str">
        <f>"GZ-UN-2017-31754"</f>
        <v>GZ-UN-2017-31754</v>
      </c>
      <c r="T6548" s="1" t="s">
        <v>55</v>
      </c>
    </row>
    <row r="6549" spans="1:20" ht="51" x14ac:dyDescent="0.25">
      <c r="A6549" s="6">
        <v>6528</v>
      </c>
      <c r="B6549" s="1" t="str">
        <f>"2017-2515"</f>
        <v>2017-2515</v>
      </c>
      <c r="C6549" s="1" t="s">
        <v>2692</v>
      </c>
      <c r="D6549" s="1" t="s">
        <v>2693</v>
      </c>
      <c r="E6549" s="1" t="str">
        <f>""</f>
        <v/>
      </c>
      <c r="F6549" s="1" t="s">
        <v>1860</v>
      </c>
      <c r="G6549" s="1" t="str">
        <f>CONCATENATE(" LUMAKO TIM D.O.O.,"," KIRINŠČAK 25,"," 10000 ZAGREB,"," OIB: 42244128744")</f>
        <v xml:space="preserve"> LUMAKO TIM D.O.O., KIRINŠČAK 25, 10000 ZAGREB, OIB: 42244128744</v>
      </c>
      <c r="H6549" s="7"/>
      <c r="I6549" s="8" t="s">
        <v>4502</v>
      </c>
      <c r="J6549" s="8" t="s">
        <v>3972</v>
      </c>
      <c r="K6549" s="6" t="str">
        <f>"9.370,74"</f>
        <v>9.370,74</v>
      </c>
      <c r="L6549" s="6" t="str">
        <f>"2.342,68"</f>
        <v>2.342,68</v>
      </c>
      <c r="M6549" s="6" t="str">
        <f>"11.713,42"</f>
        <v>11.713,42</v>
      </c>
      <c r="N6549" s="8" t="s">
        <v>124</v>
      </c>
      <c r="O6549" s="7"/>
      <c r="P6549" s="2" t="s">
        <v>5614</v>
      </c>
      <c r="Q6549" s="7"/>
      <c r="R6549" s="1"/>
      <c r="S6549" s="1" t="str">
        <f>"GZ-UN-2017-31842"</f>
        <v>GZ-UN-2017-31842</v>
      </c>
      <c r="T6549" s="1" t="s">
        <v>55</v>
      </c>
    </row>
    <row r="6550" spans="1:20" ht="51" x14ac:dyDescent="0.25">
      <c r="A6550" s="6">
        <v>6529</v>
      </c>
      <c r="B6550" s="1" t="str">
        <f>"2017-2352"</f>
        <v>2017-2352</v>
      </c>
      <c r="C6550" s="1" t="s">
        <v>5050</v>
      </c>
      <c r="D6550" s="1" t="s">
        <v>1619</v>
      </c>
      <c r="E6550" s="1" t="str">
        <f>""</f>
        <v/>
      </c>
      <c r="F6550" s="1" t="s">
        <v>1860</v>
      </c>
      <c r="G6550" s="1" t="str">
        <f>CONCATENATE(" SCHEDA D.O.O.,"," LJUDEVITA POSAVSKOG 29,"," 10360 SESVETE,"," OIB: 76219817247")</f>
        <v xml:space="preserve"> SCHEDA D.O.O., LJUDEVITA POSAVSKOG 29, 10360 SESVETE, OIB: 76219817247</v>
      </c>
      <c r="H6550" s="7"/>
      <c r="I6550" s="8" t="s">
        <v>4502</v>
      </c>
      <c r="J6550" s="8" t="s">
        <v>3972</v>
      </c>
      <c r="K6550" s="6" t="str">
        <f>"526,40"</f>
        <v>526,40</v>
      </c>
      <c r="L6550" s="6" t="str">
        <f>"131,60"</f>
        <v>131,60</v>
      </c>
      <c r="M6550" s="6" t="str">
        <f>"658,00"</f>
        <v>658,00</v>
      </c>
      <c r="N6550" s="8" t="s">
        <v>124</v>
      </c>
      <c r="O6550" s="7"/>
      <c r="P6550" s="2" t="s">
        <v>5614</v>
      </c>
      <c r="Q6550" s="7"/>
      <c r="R6550" s="1"/>
      <c r="S6550" s="1" t="str">
        <f>"GZ-UN-2017-32100"</f>
        <v>GZ-UN-2017-32100</v>
      </c>
      <c r="T6550" s="1" t="s">
        <v>55</v>
      </c>
    </row>
    <row r="6551" spans="1:20" ht="89.25" x14ac:dyDescent="0.25">
      <c r="A6551" s="6">
        <v>6530</v>
      </c>
      <c r="B6551" s="1" t="str">
        <f>"2017-2233"</f>
        <v>2017-2233</v>
      </c>
      <c r="C6551" s="1" t="s">
        <v>5051</v>
      </c>
      <c r="D6551" s="1" t="s">
        <v>5052</v>
      </c>
      <c r="E6551" s="1" t="str">
        <f>""</f>
        <v/>
      </c>
      <c r="F6551" s="1" t="s">
        <v>1860</v>
      </c>
      <c r="G6551" s="1" t="str">
        <f>CONCATENATE(" ZAVOD ZA INFORMATIČKU DJELATNOST HRVATSKE D.O.O.,"," MAŽURANIĆEV TRG 8/III,"," 10000 ZAGREB,"," OIB: 34774399108")</f>
        <v xml:space="preserve"> ZAVOD ZA INFORMATIČKU DJELATNOST HRVATSKE D.O.O., MAŽURANIĆEV TRG 8/III, 10000 ZAGREB, OIB: 34774399108</v>
      </c>
      <c r="H6551" s="7"/>
      <c r="I6551" s="8" t="s">
        <v>4932</v>
      </c>
      <c r="J6551" s="8" t="s">
        <v>4933</v>
      </c>
      <c r="K6551" s="6" t="str">
        <f>"19.600,00"</f>
        <v>19.600,00</v>
      </c>
      <c r="L6551" s="6" t="str">
        <f>"4.900,00"</f>
        <v>4.900,00</v>
      </c>
      <c r="M6551" s="6" t="str">
        <f>"24.500,00"</f>
        <v>24.500,00</v>
      </c>
      <c r="N6551" s="8" t="s">
        <v>124</v>
      </c>
      <c r="O6551" s="7"/>
      <c r="P6551" s="2" t="s">
        <v>5614</v>
      </c>
      <c r="Q6551" s="7"/>
      <c r="R6551" s="1"/>
      <c r="S6551" s="1" t="str">
        <f>"GZ-UN-2017-35129"</f>
        <v>GZ-UN-2017-35129</v>
      </c>
      <c r="T6551" s="1" t="s">
        <v>32</v>
      </c>
    </row>
    <row r="6552" spans="1:20" ht="63.75" x14ac:dyDescent="0.25">
      <c r="A6552" s="6">
        <v>6531</v>
      </c>
      <c r="B6552" s="1" t="str">
        <f>"2017-2200"</f>
        <v>2017-2200</v>
      </c>
      <c r="C6552" s="1" t="s">
        <v>5053</v>
      </c>
      <c r="D6552" s="1" t="s">
        <v>5054</v>
      </c>
      <c r="E6552" s="1" t="str">
        <f>""</f>
        <v/>
      </c>
      <c r="F6552" s="1" t="s">
        <v>1860</v>
      </c>
      <c r="G6552" s="1" t="str">
        <f>CONCATENATE(" ZAGREBAČKI HOLDING D.O.O. DIREKCIJA,"," GRADA VUKOVARA 41,"," 10000 ZAGREB,"," OIB: 85584865987")</f>
        <v xml:space="preserve"> ZAGREBAČKI HOLDING D.O.O. DIREKCIJA, GRADA VUKOVARA 41, 10000 ZAGREB, OIB: 85584865987</v>
      </c>
      <c r="H6552" s="7"/>
      <c r="I6552" s="8" t="s">
        <v>4520</v>
      </c>
      <c r="J6552" s="8" t="s">
        <v>4029</v>
      </c>
      <c r="K6552" s="6" t="str">
        <f>"180.000,00"</f>
        <v>180.000,00</v>
      </c>
      <c r="L6552" s="6" t="str">
        <f>"45.000,00"</f>
        <v>45.000,00</v>
      </c>
      <c r="M6552" s="6" t="str">
        <f>"225.000,00"</f>
        <v>225.000,00</v>
      </c>
      <c r="N6552" s="8" t="s">
        <v>124</v>
      </c>
      <c r="O6552" s="7"/>
      <c r="P6552" s="2" t="s">
        <v>5614</v>
      </c>
      <c r="Q6552" s="7"/>
      <c r="R6552" s="1"/>
      <c r="S6552" s="1" t="str">
        <f>"GZ-UN-2017-37175"</f>
        <v>GZ-UN-2017-37175</v>
      </c>
      <c r="T6552" s="1" t="s">
        <v>55</v>
      </c>
    </row>
    <row r="6553" spans="1:20" ht="63.75" x14ac:dyDescent="0.25">
      <c r="A6553" s="6">
        <v>6532</v>
      </c>
      <c r="B6553" s="1" t="str">
        <f>"2017-1887"</f>
        <v>2017-1887</v>
      </c>
      <c r="C6553" s="1" t="s">
        <v>3032</v>
      </c>
      <c r="D6553" s="1" t="s">
        <v>244</v>
      </c>
      <c r="E6553" s="1" t="str">
        <f>""</f>
        <v/>
      </c>
      <c r="F6553" s="1" t="s">
        <v>1860</v>
      </c>
      <c r="G6553" s="1" t="str">
        <f>CONCATENATE(" FOREMAN GROUP D.O.O.,"," ,"," OIB: 04807307105")</f>
        <v xml:space="preserve"> FOREMAN GROUP D.O.O., , OIB: 04807307105</v>
      </c>
      <c r="H6553" s="7"/>
      <c r="I6553" s="8" t="s">
        <v>5055</v>
      </c>
      <c r="J6553" s="8" t="s">
        <v>4602</v>
      </c>
      <c r="K6553" s="6" t="str">
        <f>"68.286,74"</f>
        <v>68.286,74</v>
      </c>
      <c r="L6553" s="6" t="str">
        <f>"17.071,68"</f>
        <v>17.071,68</v>
      </c>
      <c r="M6553" s="6" t="str">
        <f>"85.358,42"</f>
        <v>85.358,42</v>
      </c>
      <c r="N6553" s="8" t="s">
        <v>4487</v>
      </c>
      <c r="O6553" s="7"/>
      <c r="P6553" s="2" t="s">
        <v>8809</v>
      </c>
      <c r="Q6553" s="7"/>
      <c r="R6553" s="1"/>
      <c r="S6553" s="1" t="str">
        <f>"GZ-UN-2017-37218"</f>
        <v>GZ-UN-2017-37218</v>
      </c>
      <c r="T6553" s="1" t="s">
        <v>43</v>
      </c>
    </row>
    <row r="6554" spans="1:20" ht="63.75" x14ac:dyDescent="0.25">
      <c r="A6554" s="6">
        <v>6533</v>
      </c>
      <c r="B6554" s="1" t="str">
        <f>"2017-2654"</f>
        <v>2017-2654</v>
      </c>
      <c r="C6554" s="1" t="s">
        <v>5056</v>
      </c>
      <c r="D6554" s="1" t="s">
        <v>2107</v>
      </c>
      <c r="E6554" s="1" t="str">
        <f>""</f>
        <v/>
      </c>
      <c r="F6554" s="1" t="s">
        <v>1860</v>
      </c>
      <c r="G6554" s="1" t="str">
        <f>CONCATENATE(" EKOLOŠKI CENTAR D.O.O.,"," PAROBRODARSKA 5,"," 32000 VUKOVAR,"," OIB: 20682358696")</f>
        <v xml:space="preserve"> EKOLOŠKI CENTAR D.O.O., PAROBRODARSKA 5, 32000 VUKOVAR, OIB: 20682358696</v>
      </c>
      <c r="H6554" s="7"/>
      <c r="I6554" s="8" t="s">
        <v>3895</v>
      </c>
      <c r="J6554" s="8" t="s">
        <v>3896</v>
      </c>
      <c r="K6554" s="6" t="str">
        <f>"33.333,33"</f>
        <v>33.333,33</v>
      </c>
      <c r="L6554" s="6" t="str">
        <f>"8.333,33"</f>
        <v>8.333,33</v>
      </c>
      <c r="M6554" s="6" t="str">
        <f>"41.666,66"</f>
        <v>41.666,66</v>
      </c>
      <c r="N6554" s="8" t="s">
        <v>124</v>
      </c>
      <c r="O6554" s="7"/>
      <c r="P6554" s="2" t="s">
        <v>5614</v>
      </c>
      <c r="Q6554" s="7"/>
      <c r="R6554" s="1"/>
      <c r="S6554" s="1" t="str">
        <f>"GZ-UN-2017-43384"</f>
        <v>GZ-UN-2017-43384</v>
      </c>
      <c r="T6554" s="1" t="s">
        <v>32</v>
      </c>
    </row>
    <row r="6555" spans="1:20" ht="51" x14ac:dyDescent="0.25">
      <c r="A6555" s="6">
        <v>6534</v>
      </c>
      <c r="B6555" s="1" t="str">
        <f>"2017-2"</f>
        <v>2017-2</v>
      </c>
      <c r="C6555" s="1" t="s">
        <v>1064</v>
      </c>
      <c r="D6555" s="1" t="s">
        <v>1065</v>
      </c>
      <c r="E6555" s="1" t="str">
        <f>""</f>
        <v/>
      </c>
      <c r="F6555" s="1" t="s">
        <v>1860</v>
      </c>
      <c r="G6555" s="1" t="str">
        <f>CONCATENATE(" AUTO BENUSSI D.O.O.,"," INDUSTRIJSKA 2D,"," 52100 PULA,"," OIB: 96262119913")</f>
        <v xml:space="preserve"> AUTO BENUSSI D.O.O., INDUSTRIJSKA 2D, 52100 PULA, OIB: 96262119913</v>
      </c>
      <c r="H6555" s="7"/>
      <c r="I6555" s="8" t="s">
        <v>3870</v>
      </c>
      <c r="J6555" s="8" t="s">
        <v>4550</v>
      </c>
      <c r="K6555" s="6" t="str">
        <f>"29.930,00"</f>
        <v>29.930,00</v>
      </c>
      <c r="L6555" s="6" t="str">
        <f>"7.482,50"</f>
        <v>7.482,50</v>
      </c>
      <c r="M6555" s="6" t="str">
        <f>"37.412,50"</f>
        <v>37.412,50</v>
      </c>
      <c r="N6555" s="8" t="s">
        <v>4548</v>
      </c>
      <c r="O6555" s="7"/>
      <c r="P6555" s="2" t="s">
        <v>8810</v>
      </c>
      <c r="Q6555" s="1"/>
      <c r="R6555" s="1"/>
      <c r="S6555" s="1" t="str">
        <f>"GZ-UN-2017-43770"</f>
        <v>GZ-UN-2017-43770</v>
      </c>
      <c r="T6555" s="1" t="s">
        <v>43</v>
      </c>
    </row>
    <row r="6556" spans="1:20" ht="51" x14ac:dyDescent="0.25">
      <c r="A6556" s="6">
        <v>6535</v>
      </c>
      <c r="B6556" s="1" t="str">
        <f>"2017-1670"</f>
        <v>2017-1670</v>
      </c>
      <c r="C6556" s="1" t="s">
        <v>5057</v>
      </c>
      <c r="D6556" s="1" t="s">
        <v>467</v>
      </c>
      <c r="E6556" s="1" t="str">
        <f>""</f>
        <v/>
      </c>
      <c r="F6556" s="1" t="s">
        <v>1860</v>
      </c>
      <c r="G6556" s="1" t="str">
        <f>CONCATENATE(" INFODOM D.O.O.,"," ANDRIJE ŽAJE 61,"," 10000 ZAGREB,"," OIB: 99054430142")</f>
        <v xml:space="preserve"> INFODOM D.O.O., ANDRIJE ŽAJE 61, 10000 ZAGREB, OIB: 99054430142</v>
      </c>
      <c r="H6556" s="7"/>
      <c r="I6556" s="8" t="s">
        <v>4945</v>
      </c>
      <c r="J6556" s="8" t="s">
        <v>4076</v>
      </c>
      <c r="K6556" s="6" t="str">
        <f>"131.000,00"</f>
        <v>131.000,00</v>
      </c>
      <c r="L6556" s="6" t="str">
        <f>"32.750,00"</f>
        <v>32.750,00</v>
      </c>
      <c r="M6556" s="6" t="str">
        <f>"163.750,00"</f>
        <v>163.750,00</v>
      </c>
      <c r="N6556" s="8" t="s">
        <v>124</v>
      </c>
      <c r="O6556" s="7"/>
      <c r="P6556" s="2" t="s">
        <v>5614</v>
      </c>
      <c r="Q6556" s="7"/>
      <c r="R6556" s="1"/>
      <c r="S6556" s="1" t="str">
        <f>"GZ-UN-2017-48704"</f>
        <v>GZ-UN-2017-48704</v>
      </c>
      <c r="T6556" s="1" t="s">
        <v>32</v>
      </c>
    </row>
    <row r="6557" spans="1:20" ht="63.75" x14ac:dyDescent="0.25">
      <c r="A6557" s="6">
        <v>6536</v>
      </c>
      <c r="B6557" s="1" t="str">
        <f>"2017-335"</f>
        <v>2017-335</v>
      </c>
      <c r="C6557" s="1" t="s">
        <v>5058</v>
      </c>
      <c r="D6557" s="1" t="s">
        <v>1600</v>
      </c>
      <c r="E6557" s="1" t="str">
        <f>""</f>
        <v/>
      </c>
      <c r="F6557" s="1" t="s">
        <v>1860</v>
      </c>
      <c r="G6557" s="1" t="str">
        <f>CONCATENATE(" TEMPORIUM GRADNJA D.O.O.,"," LJUTOMERSKA ULICA 33A,"," 10000 ZAGREB,"," OIB: 6285048268")</f>
        <v xml:space="preserve"> TEMPORIUM GRADNJA D.O.O., LJUTOMERSKA ULICA 33A, 10000 ZAGREB, OIB: 6285048268</v>
      </c>
      <c r="H6557" s="7"/>
      <c r="I6557" s="8" t="s">
        <v>3680</v>
      </c>
      <c r="J6557" s="8" t="s">
        <v>4646</v>
      </c>
      <c r="K6557" s="6" t="str">
        <f>"129.473,00"</f>
        <v>129.473,00</v>
      </c>
      <c r="L6557" s="6" t="str">
        <f>"32.368,25"</f>
        <v>32.368,25</v>
      </c>
      <c r="M6557" s="6" t="str">
        <f>"161.841,25"</f>
        <v>161.841,25</v>
      </c>
      <c r="N6557" s="8" t="s">
        <v>3554</v>
      </c>
      <c r="O6557" s="7"/>
      <c r="P6557" s="2" t="s">
        <v>8811</v>
      </c>
      <c r="Q6557" s="7"/>
      <c r="R6557" s="1"/>
      <c r="S6557" s="1" t="str">
        <f>"GZ-UN-2017-50412"</f>
        <v>GZ-UN-2017-50412</v>
      </c>
      <c r="T6557" s="1" t="s">
        <v>32</v>
      </c>
    </row>
    <row r="6558" spans="1:20" ht="63.75" x14ac:dyDescent="0.25">
      <c r="A6558" s="6">
        <v>6537</v>
      </c>
      <c r="B6558" s="1" t="str">
        <f>"2017-2521"</f>
        <v>2017-2521</v>
      </c>
      <c r="C6558" s="1" t="s">
        <v>5059</v>
      </c>
      <c r="D6558" s="1" t="s">
        <v>1143</v>
      </c>
      <c r="E6558" s="1" t="str">
        <f>""</f>
        <v/>
      </c>
      <c r="F6558" s="1" t="s">
        <v>1860</v>
      </c>
      <c r="G6558" s="1" t="str">
        <f>CONCATENATE(" ZAGREBAČKI HOLDING D.O.O.,"," ULICA GRADA VUKOVARA 41,"," 10000 ZAGREB,"," OIB: 85584865987")</f>
        <v xml:space="preserve"> ZAGREBAČKI HOLDING D.O.O., ULICA GRADA VUKOVARA 41, 10000 ZAGREB, OIB: 85584865987</v>
      </c>
      <c r="H6558" s="7"/>
      <c r="I6558" s="8" t="s">
        <v>3695</v>
      </c>
      <c r="J6558" s="8" t="s">
        <v>5060</v>
      </c>
      <c r="K6558" s="6" t="str">
        <f>"195.000,00"</f>
        <v>195.000,00</v>
      </c>
      <c r="L6558" s="6" t="str">
        <f>"48.750,00"</f>
        <v>48.750,00</v>
      </c>
      <c r="M6558" s="6" t="str">
        <f>"243.750,00"</f>
        <v>243.750,00</v>
      </c>
      <c r="N6558" s="8" t="s">
        <v>124</v>
      </c>
      <c r="O6558" s="7"/>
      <c r="P6558" s="2" t="s">
        <v>5614</v>
      </c>
      <c r="Q6558" s="7"/>
      <c r="R6558" s="1"/>
      <c r="S6558" s="1" t="str">
        <f>"GZ-UN-2017-55671"</f>
        <v>GZ-UN-2017-55671</v>
      </c>
      <c r="T6558" s="1" t="s">
        <v>55</v>
      </c>
    </row>
    <row r="6559" spans="1:20" ht="51" x14ac:dyDescent="0.25">
      <c r="A6559" s="6">
        <v>6538</v>
      </c>
      <c r="B6559" s="1" t="str">
        <f>"2017-2572"</f>
        <v>2017-2572</v>
      </c>
      <c r="C6559" s="1" t="s">
        <v>5061</v>
      </c>
      <c r="D6559" s="1" t="s">
        <v>1689</v>
      </c>
      <c r="E6559" s="1" t="str">
        <f>""</f>
        <v/>
      </c>
      <c r="F6559" s="1" t="s">
        <v>1860</v>
      </c>
      <c r="G6559" s="1" t="str">
        <f>CONCATENATE(" STROJOPROMET D.O.O.,"," ZAGREBAČKA 6,"," 10292 ŠENKOVEC,"," OIB: 97994010225")</f>
        <v xml:space="preserve"> STROJOPROMET D.O.O., ZAGREBAČKA 6, 10292 ŠENKOVEC, OIB: 97994010225</v>
      </c>
      <c r="H6559" s="7"/>
      <c r="I6559" s="8" t="s">
        <v>3924</v>
      </c>
      <c r="J6559" s="8" t="s">
        <v>3711</v>
      </c>
      <c r="K6559" s="6" t="str">
        <f>"65.803,70"</f>
        <v>65.803,70</v>
      </c>
      <c r="L6559" s="6" t="str">
        <f>"16.450,92"</f>
        <v>16.450,92</v>
      </c>
      <c r="M6559" s="6" t="str">
        <f>"82.254,62"</f>
        <v>82.254,62</v>
      </c>
      <c r="N6559" s="8" t="s">
        <v>4033</v>
      </c>
      <c r="O6559" s="7"/>
      <c r="P6559" s="2" t="s">
        <v>8812</v>
      </c>
      <c r="Q6559" s="7"/>
      <c r="R6559" s="1"/>
      <c r="S6559" s="1" t="str">
        <f>"GZ-UN-2017-56306"</f>
        <v>GZ-UN-2017-56306</v>
      </c>
      <c r="T6559" s="1" t="s">
        <v>32</v>
      </c>
    </row>
    <row r="6560" spans="1:20" ht="63.75" x14ac:dyDescent="0.25">
      <c r="A6560" s="6">
        <v>6539</v>
      </c>
      <c r="B6560" s="1" t="str">
        <f>"2017-1881"</f>
        <v>2017-1881</v>
      </c>
      <c r="C6560" s="1" t="s">
        <v>2487</v>
      </c>
      <c r="D6560" s="1" t="s">
        <v>2488</v>
      </c>
      <c r="E6560" s="1" t="str">
        <f>""</f>
        <v/>
      </c>
      <c r="F6560" s="1" t="s">
        <v>1860</v>
      </c>
      <c r="G6560" s="1" t="str">
        <f>CONCATENATE(" PRIVREDNA BANKA ZAGREB D.D.,"," RADNIČKA CESTA 50,"," 10000 ZAGREB,"," OIB: 02535697732")</f>
        <v xml:space="preserve"> PRIVREDNA BANKA ZAGREB D.D., RADNIČKA CESTA 50, 10000 ZAGREB, OIB: 02535697732</v>
      </c>
      <c r="H6560" s="7"/>
      <c r="I6560" s="8" t="s">
        <v>3706</v>
      </c>
      <c r="J6560" s="8" t="s">
        <v>5062</v>
      </c>
      <c r="K6560" s="6" t="str">
        <f>"107.365,42"</f>
        <v>107.365,42</v>
      </c>
      <c r="L6560" s="6" t="str">
        <f>"26.841,36"</f>
        <v>26.841,36</v>
      </c>
      <c r="M6560" s="6" t="str">
        <f>"134.206,78"</f>
        <v>134.206,78</v>
      </c>
      <c r="N6560" s="8" t="s">
        <v>3936</v>
      </c>
      <c r="O6560" s="7"/>
      <c r="P6560" s="2" t="s">
        <v>8813</v>
      </c>
      <c r="Q6560" s="7"/>
      <c r="R6560" s="1"/>
      <c r="S6560" s="1" t="str">
        <f>"GZ-UN-2017-58330"</f>
        <v>GZ-UN-2017-58330</v>
      </c>
      <c r="T6560" s="1" t="s">
        <v>43</v>
      </c>
    </row>
    <row r="6561" spans="1:20" ht="51" x14ac:dyDescent="0.25">
      <c r="A6561" s="6">
        <v>6540</v>
      </c>
      <c r="B6561" s="1" t="str">
        <f>"2017-2848"</f>
        <v>2017-2848</v>
      </c>
      <c r="C6561" s="1" t="s">
        <v>5063</v>
      </c>
      <c r="D6561" s="1" t="s">
        <v>941</v>
      </c>
      <c r="E6561" s="1" t="str">
        <f>""</f>
        <v/>
      </c>
      <c r="F6561" s="1" t="s">
        <v>1860</v>
      </c>
      <c r="G6561" s="1" t="str">
        <f>CONCATENATE(" GIP PIONIR D.O.O.,"," ZAGREBAČKA 145B,"," 10000 ZAGREB,"," OIB: 38262788673")</f>
        <v xml:space="preserve"> GIP PIONIR D.O.O., ZAGREBAČKA 145B, 10000 ZAGREB, OIB: 38262788673</v>
      </c>
      <c r="H6561" s="7"/>
      <c r="I6561" s="8" t="s">
        <v>3714</v>
      </c>
      <c r="J6561" s="8" t="s">
        <v>5064</v>
      </c>
      <c r="K6561" s="6" t="str">
        <f>"488.953,00"</f>
        <v>488.953,00</v>
      </c>
      <c r="L6561" s="6" t="str">
        <f>"122.238,25"</f>
        <v>122.238,25</v>
      </c>
      <c r="M6561" s="6" t="str">
        <f>"611.191,25"</f>
        <v>611.191,25</v>
      </c>
      <c r="N6561" s="8" t="s">
        <v>3972</v>
      </c>
      <c r="O6561" s="7"/>
      <c r="P6561" s="2" t="s">
        <v>8814</v>
      </c>
      <c r="Q6561" s="7"/>
      <c r="R6561" s="1"/>
      <c r="S6561" s="1" t="str">
        <f>"GZ-UN-2017-60479"</f>
        <v>GZ-UN-2017-60479</v>
      </c>
      <c r="T6561" s="1" t="s">
        <v>55</v>
      </c>
    </row>
    <row r="6562" spans="1:20" ht="76.5" x14ac:dyDescent="0.25">
      <c r="A6562" s="6">
        <v>6541</v>
      </c>
      <c r="B6562" s="1" t="str">
        <f>"2017-2872"</f>
        <v>2017-2872</v>
      </c>
      <c r="C6562" s="1" t="s">
        <v>5065</v>
      </c>
      <c r="D6562" s="1" t="s">
        <v>4015</v>
      </c>
      <c r="E6562" s="1" t="str">
        <f>""</f>
        <v/>
      </c>
      <c r="F6562" s="1" t="s">
        <v>1860</v>
      </c>
      <c r="G6562" s="1" t="str">
        <f>CONCATENATE(" SVEUČILIŠTE U ZAGREBU - ARHITEKTONSKI FAKULTET,"," KAČIĆEVA 26,"," 10000 ZAGREB,"," OIB: 42061107444")</f>
        <v xml:space="preserve"> SVEUČILIŠTE U ZAGREBU - ARHITEKTONSKI FAKULTET, KAČIĆEVA 26, 10000 ZAGREB, OIB: 42061107444</v>
      </c>
      <c r="H6562" s="7"/>
      <c r="I6562" s="8" t="s">
        <v>3953</v>
      </c>
      <c r="J6562" s="8" t="s">
        <v>3954</v>
      </c>
      <c r="K6562" s="6" t="str">
        <f>"170.000,00"</f>
        <v>170.000,00</v>
      </c>
      <c r="L6562" s="6" t="str">
        <f>"42.500,00"</f>
        <v>42.500,00</v>
      </c>
      <c r="M6562" s="6" t="str">
        <f>"212.500,00"</f>
        <v>212.500,00</v>
      </c>
      <c r="N6562" s="8" t="s">
        <v>124</v>
      </c>
      <c r="O6562" s="7"/>
      <c r="P6562" s="2" t="s">
        <v>5614</v>
      </c>
      <c r="Q6562" s="7"/>
      <c r="R6562" s="1"/>
      <c r="S6562" s="1" t="str">
        <f>"GZ-UN-2017-69662"</f>
        <v>GZ-UN-2017-69662</v>
      </c>
      <c r="T6562" s="1" t="s">
        <v>32</v>
      </c>
    </row>
    <row r="6563" spans="1:20" ht="63.75" x14ac:dyDescent="0.25">
      <c r="A6563" s="6">
        <v>6542</v>
      </c>
      <c r="B6563" s="1" t="str">
        <f>"2017-1887"</f>
        <v>2017-1887</v>
      </c>
      <c r="C6563" s="1" t="s">
        <v>3032</v>
      </c>
      <c r="D6563" s="1" t="s">
        <v>244</v>
      </c>
      <c r="E6563" s="1" t="str">
        <f>""</f>
        <v/>
      </c>
      <c r="F6563" s="1" t="s">
        <v>1860</v>
      </c>
      <c r="G6563" s="1" t="str">
        <f>CONCATENATE(" FOREMAN GROUP D.O.O.,"," ,"," OIB: 04807307105")</f>
        <v xml:space="preserve"> FOREMAN GROUP D.O.O., , OIB: 04807307105</v>
      </c>
      <c r="H6563" s="7"/>
      <c r="I6563" s="8" t="s">
        <v>5066</v>
      </c>
      <c r="J6563" s="8" t="s">
        <v>5067</v>
      </c>
      <c r="K6563" s="6" t="str">
        <f>"68.286,74"</f>
        <v>68.286,74</v>
      </c>
      <c r="L6563" s="6" t="str">
        <f>"17.071,68"</f>
        <v>17.071,68</v>
      </c>
      <c r="M6563" s="6" t="str">
        <f>"85.358,42"</f>
        <v>85.358,42</v>
      </c>
      <c r="N6563" s="8" t="s">
        <v>5067</v>
      </c>
      <c r="O6563" s="7"/>
      <c r="P6563" s="2" t="s">
        <v>8809</v>
      </c>
      <c r="Q6563" s="7"/>
      <c r="R6563" s="1"/>
      <c r="S6563" s="1" t="str">
        <f>"GZ-UN-2017-72096"</f>
        <v>GZ-UN-2017-72096</v>
      </c>
      <c r="T6563" s="1" t="s">
        <v>43</v>
      </c>
    </row>
    <row r="6564" spans="1:20" ht="51" x14ac:dyDescent="0.25">
      <c r="A6564" s="6">
        <v>6543</v>
      </c>
      <c r="B6564" s="1" t="str">
        <f>"2017-2863"</f>
        <v>2017-2863</v>
      </c>
      <c r="C6564" s="1" t="s">
        <v>5068</v>
      </c>
      <c r="D6564" s="1" t="s">
        <v>1046</v>
      </c>
      <c r="E6564" s="1" t="str">
        <f>""</f>
        <v/>
      </c>
      <c r="F6564" s="1" t="s">
        <v>1860</v>
      </c>
      <c r="G6564" s="1" t="str">
        <f>CONCATENATE(" HP D.D.,"," JURIŠIĆEVA 13,"," 10000 ZAGREB,"," OIB: 87311810356")</f>
        <v xml:space="preserve"> HP D.D., JURIŠIĆEVA 13, 10000 ZAGREB, OIB: 87311810356</v>
      </c>
      <c r="H6564" s="7"/>
      <c r="I6564" s="8" t="s">
        <v>3957</v>
      </c>
      <c r="J6564" s="8" t="s">
        <v>3885</v>
      </c>
      <c r="K6564" s="6" t="str">
        <f>"43.097,97"</f>
        <v>43.097,97</v>
      </c>
      <c r="L6564" s="6" t="str">
        <f>"10.774,49"</f>
        <v>10.774,49</v>
      </c>
      <c r="M6564" s="6" t="str">
        <f>"53.872,46"</f>
        <v>53.872,46</v>
      </c>
      <c r="N6564" s="8" t="s">
        <v>4632</v>
      </c>
      <c r="O6564" s="7"/>
      <c r="P6564" s="2" t="s">
        <v>8815</v>
      </c>
      <c r="Q6564" s="7"/>
      <c r="R6564" s="1"/>
      <c r="S6564" s="1" t="str">
        <f>"GZ-UN-2017-73228"</f>
        <v>GZ-UN-2017-73228</v>
      </c>
      <c r="T6564" s="1" t="s">
        <v>43</v>
      </c>
    </row>
    <row r="6565" spans="1:20" ht="63.75" x14ac:dyDescent="0.25">
      <c r="A6565" s="6">
        <v>6544</v>
      </c>
      <c r="B6565" s="1" t="str">
        <f>"2017-967"</f>
        <v>2017-967</v>
      </c>
      <c r="C6565" s="1" t="s">
        <v>5069</v>
      </c>
      <c r="D6565" s="1" t="s">
        <v>1373</v>
      </c>
      <c r="E6565" s="1" t="str">
        <f>""</f>
        <v/>
      </c>
      <c r="F6565" s="1" t="s">
        <v>1860</v>
      </c>
      <c r="G6565" s="1" t="str">
        <f>CONCATENATE(" FALCON ELECTRONIC  D.O.O.,"," VINOGRADSKA CESTA 2B3,"," 35000 SLAVONSKI BROD,"," OIB: 08554241826")</f>
        <v xml:space="preserve"> FALCON ELECTRONIC  D.O.O., VINOGRADSKA CESTA 2B3, 35000 SLAVONSKI BROD, OIB: 08554241826</v>
      </c>
      <c r="H6565" s="7"/>
      <c r="I6565" s="8" t="s">
        <v>3635</v>
      </c>
      <c r="J6565" s="8" t="s">
        <v>3913</v>
      </c>
      <c r="K6565" s="6" t="str">
        <f>"30.970,00"</f>
        <v>30.970,00</v>
      </c>
      <c r="L6565" s="6" t="str">
        <f>"7.742,50"</f>
        <v>7.742,50</v>
      </c>
      <c r="M6565" s="6" t="str">
        <f>"38.712,50"</f>
        <v>38.712,50</v>
      </c>
      <c r="N6565" s="8" t="s">
        <v>124</v>
      </c>
      <c r="O6565" s="7"/>
      <c r="P6565" s="2" t="s">
        <v>5614</v>
      </c>
      <c r="Q6565" s="7"/>
      <c r="R6565" s="1"/>
      <c r="S6565" s="1" t="str">
        <f>"GZ-UN-2017-76991"</f>
        <v>GZ-UN-2017-76991</v>
      </c>
      <c r="T6565" s="1" t="s">
        <v>55</v>
      </c>
    </row>
    <row r="6566" spans="1:20" ht="51" x14ac:dyDescent="0.25">
      <c r="A6566" s="6">
        <v>6545</v>
      </c>
      <c r="B6566" s="1" t="str">
        <f>"2017-580"</f>
        <v>2017-580</v>
      </c>
      <c r="C6566" s="1" t="s">
        <v>3823</v>
      </c>
      <c r="D6566" s="1" t="s">
        <v>1886</v>
      </c>
      <c r="E6566" s="1" t="str">
        <f>""</f>
        <v/>
      </c>
      <c r="F6566" s="1" t="s">
        <v>1860</v>
      </c>
      <c r="G6566" s="1" t="str">
        <f>CONCATENATE(" LED ART D.O.O.,"," ZAVRTNICA 7,"," 10000 ZAGREB,"," OIB: 35748176219")</f>
        <v xml:space="preserve"> LED ART D.O.O., ZAVRTNICA 7, 10000 ZAGREB, OIB: 35748176219</v>
      </c>
      <c r="H6566" s="7"/>
      <c r="I6566" s="8" t="s">
        <v>3767</v>
      </c>
      <c r="J6566" s="8" t="s">
        <v>3790</v>
      </c>
      <c r="K6566" s="6" t="str">
        <f>"17.048,00"</f>
        <v>17.048,00</v>
      </c>
      <c r="L6566" s="6" t="str">
        <f>"4.262,00"</f>
        <v>4.262,00</v>
      </c>
      <c r="M6566" s="6" t="str">
        <f>"21.310,00"</f>
        <v>21.310,00</v>
      </c>
      <c r="N6566" s="8" t="s">
        <v>124</v>
      </c>
      <c r="O6566" s="7"/>
      <c r="P6566" s="2" t="s">
        <v>5614</v>
      </c>
      <c r="Q6566" s="7"/>
      <c r="R6566" s="1"/>
      <c r="S6566" s="1" t="str">
        <f>"GZ-UN-2017-77000"</f>
        <v>GZ-UN-2017-77000</v>
      </c>
      <c r="T6566" s="1" t="s">
        <v>55</v>
      </c>
    </row>
    <row r="6567" spans="1:20" ht="51" x14ac:dyDescent="0.25">
      <c r="A6567" s="6">
        <v>6546</v>
      </c>
      <c r="B6567" s="1" t="str">
        <f>"2017-771"</f>
        <v>2017-771</v>
      </c>
      <c r="C6567" s="1" t="s">
        <v>3474</v>
      </c>
      <c r="D6567" s="1" t="s">
        <v>1877</v>
      </c>
      <c r="E6567" s="1" t="str">
        <f>""</f>
        <v/>
      </c>
      <c r="F6567" s="1" t="s">
        <v>1860</v>
      </c>
      <c r="G6567" s="1" t="str">
        <f>CONCATENATE(" VODOSKOK D.D.,"," ČULINEČKA CESTA 221/C,"," 10040 ZAGREB,"," OIB: 34134218058")</f>
        <v xml:space="preserve"> VODOSKOK D.D., ČULINEČKA CESTA 221/C, 10040 ZAGREB, OIB: 34134218058</v>
      </c>
      <c r="H6567" s="7"/>
      <c r="I6567" s="8" t="s">
        <v>3767</v>
      </c>
      <c r="J6567" s="8" t="s">
        <v>3790</v>
      </c>
      <c r="K6567" s="6" t="str">
        <f>"6.745,00"</f>
        <v>6.745,00</v>
      </c>
      <c r="L6567" s="6" t="str">
        <f>"1.686,25"</f>
        <v>1.686,25</v>
      </c>
      <c r="M6567" s="6" t="str">
        <f>"8.431,25"</f>
        <v>8.431,25</v>
      </c>
      <c r="N6567" s="8" t="s">
        <v>124</v>
      </c>
      <c r="O6567" s="7"/>
      <c r="P6567" s="2" t="s">
        <v>5614</v>
      </c>
      <c r="Q6567" s="7"/>
      <c r="R6567" s="1"/>
      <c r="S6567" s="1" t="str">
        <f>"GZ-UN-2017-77080"</f>
        <v>GZ-UN-2017-77080</v>
      </c>
      <c r="T6567" s="1" t="s">
        <v>55</v>
      </c>
    </row>
    <row r="6568" spans="1:20" ht="63.75" x14ac:dyDescent="0.25">
      <c r="A6568" s="6">
        <v>6547</v>
      </c>
      <c r="B6568" s="1" t="str">
        <f>"2017-1032"</f>
        <v>2017-1032</v>
      </c>
      <c r="C6568" s="1" t="s">
        <v>2788</v>
      </c>
      <c r="D6568" s="1" t="s">
        <v>2789</v>
      </c>
      <c r="E6568" s="1" t="str">
        <f>""</f>
        <v/>
      </c>
      <c r="F6568" s="1" t="s">
        <v>1860</v>
      </c>
      <c r="G6568" s="1" t="str">
        <f>CONCATENATE(" ELEKTRO-KOMUNIKACIJE D.O.O.,"," 14. PODBREŽJE 4,"," 10000 ZAGREB,"," OIB: 76412373309")</f>
        <v xml:space="preserve"> ELEKTRO-KOMUNIKACIJE D.O.O., 14. PODBREŽJE 4, 10000 ZAGREB, OIB: 76412373309</v>
      </c>
      <c r="H6568" s="7"/>
      <c r="I6568" s="8" t="s">
        <v>4845</v>
      </c>
      <c r="J6568" s="8" t="s">
        <v>4101</v>
      </c>
      <c r="K6568" s="6" t="str">
        <f>"1.355,00"</f>
        <v>1.355,00</v>
      </c>
      <c r="L6568" s="6" t="str">
        <f>"338,75"</f>
        <v>338,75</v>
      </c>
      <c r="M6568" s="6" t="str">
        <f>"1.693,75"</f>
        <v>1.693,75</v>
      </c>
      <c r="N6568" s="8" t="s">
        <v>124</v>
      </c>
      <c r="O6568" s="7"/>
      <c r="P6568" s="2" t="s">
        <v>5614</v>
      </c>
      <c r="Q6568" s="7"/>
      <c r="R6568" s="1"/>
      <c r="S6568" s="1" t="str">
        <f>"GZ-UN-2017-80061"</f>
        <v>GZ-UN-2017-80061</v>
      </c>
      <c r="T6568" s="1" t="s">
        <v>55</v>
      </c>
    </row>
    <row r="6569" spans="1:20" ht="63.75" x14ac:dyDescent="0.25">
      <c r="A6569" s="6">
        <v>6548</v>
      </c>
      <c r="B6569" s="1" t="str">
        <f>"2017-2400"</f>
        <v>2017-2400</v>
      </c>
      <c r="C6569" s="1" t="s">
        <v>2926</v>
      </c>
      <c r="D6569" s="1" t="s">
        <v>689</v>
      </c>
      <c r="E6569" s="1" t="str">
        <f>""</f>
        <v/>
      </c>
      <c r="F6569" s="1" t="s">
        <v>1860</v>
      </c>
      <c r="G6569" s="1" t="str">
        <f>CONCATENATE(" ROTOPLAST D.O.O.,"," PODUZETNIČKA 7,"," 10431 SVETA NEDJELJA - KERESTINEC,"," OIB: 3795557299")</f>
        <v xml:space="preserve"> ROTOPLAST D.O.O., PODUZETNIČKA 7, 10431 SVETA NEDJELJA - KERESTINEC, OIB: 3795557299</v>
      </c>
      <c r="H6569" s="7"/>
      <c r="I6569" s="8" t="s">
        <v>97</v>
      </c>
      <c r="J6569" s="8" t="s">
        <v>5070</v>
      </c>
      <c r="K6569" s="6" t="str">
        <f>"109.700,00"</f>
        <v>109.700,00</v>
      </c>
      <c r="L6569" s="6" t="str">
        <f>"27.425,00"</f>
        <v>27.425,00</v>
      </c>
      <c r="M6569" s="6" t="str">
        <f>"137.125,00"</f>
        <v>137.125,00</v>
      </c>
      <c r="N6569" s="8" t="s">
        <v>124</v>
      </c>
      <c r="O6569" s="7"/>
      <c r="P6569" s="2" t="s">
        <v>5614</v>
      </c>
      <c r="Q6569" s="7"/>
      <c r="R6569" s="1"/>
      <c r="S6569" s="1" t="str">
        <f>"GZ-UN-2017-83957"</f>
        <v>GZ-UN-2017-83957</v>
      </c>
      <c r="T6569" s="1" t="s">
        <v>32</v>
      </c>
    </row>
    <row r="6570" spans="1:20" ht="51" x14ac:dyDescent="0.25">
      <c r="A6570" s="6">
        <v>6549</v>
      </c>
      <c r="B6570" s="1" t="str">
        <f>"2017-2844"</f>
        <v>2017-2844</v>
      </c>
      <c r="C6570" s="1" t="s">
        <v>5071</v>
      </c>
      <c r="D6570" s="1" t="s">
        <v>1979</v>
      </c>
      <c r="E6570" s="1" t="str">
        <f>""</f>
        <v/>
      </c>
      <c r="F6570" s="1" t="s">
        <v>1860</v>
      </c>
      <c r="G6570" s="1" t="str">
        <f>CONCATENATE(" ARHINGTRADE D.O.O.,"," GAJEVA 47,"," 10000 ZAGREB,"," OIB: 19240285746")</f>
        <v xml:space="preserve"> ARHINGTRADE D.O.O., GAJEVA 47, 10000 ZAGREB, OIB: 19240285746</v>
      </c>
      <c r="H6570" s="7"/>
      <c r="I6570" s="8" t="s">
        <v>97</v>
      </c>
      <c r="J6570" s="8" t="s">
        <v>5070</v>
      </c>
      <c r="K6570" s="6" t="str">
        <f>"63.000,00"</f>
        <v>63.000,00</v>
      </c>
      <c r="L6570" s="6" t="str">
        <f>"15.750,00"</f>
        <v>15.750,00</v>
      </c>
      <c r="M6570" s="6" t="str">
        <f>"78.750,00"</f>
        <v>78.750,00</v>
      </c>
      <c r="N6570" s="8" t="s">
        <v>124</v>
      </c>
      <c r="O6570" s="7"/>
      <c r="P6570" s="2" t="s">
        <v>5614</v>
      </c>
      <c r="Q6570" s="7"/>
      <c r="R6570" s="1"/>
      <c r="S6570" s="1" t="str">
        <f>"GZ-UN-2017-84077"</f>
        <v>GZ-UN-2017-84077</v>
      </c>
      <c r="T6570" s="1" t="s">
        <v>32</v>
      </c>
    </row>
    <row r="6571" spans="1:20" ht="63.75" x14ac:dyDescent="0.25">
      <c r="A6571" s="6">
        <v>6550</v>
      </c>
      <c r="B6571" s="1" t="str">
        <f>"2017-2845"</f>
        <v>2017-2845</v>
      </c>
      <c r="C6571" s="1" t="s">
        <v>5072</v>
      </c>
      <c r="D6571" s="1" t="s">
        <v>1979</v>
      </c>
      <c r="E6571" s="1" t="str">
        <f>""</f>
        <v/>
      </c>
      <c r="F6571" s="1" t="s">
        <v>1860</v>
      </c>
      <c r="G6571" s="1" t="str">
        <f>CONCATENATE(" GEO-RAD D.O.O.,"," ,"," OIB: 81881137964")</f>
        <v xml:space="preserve"> GEO-RAD D.O.O., , OIB: 81881137964</v>
      </c>
      <c r="H6571" s="7"/>
      <c r="I6571" s="8" t="s">
        <v>3873</v>
      </c>
      <c r="J6571" s="8" t="s">
        <v>4567</v>
      </c>
      <c r="K6571" s="6" t="str">
        <f>"49.800,00"</f>
        <v>49.800,00</v>
      </c>
      <c r="L6571" s="6" t="str">
        <f>"12.450,00"</f>
        <v>12.450,00</v>
      </c>
      <c r="M6571" s="6" t="str">
        <f>"62.250,00"</f>
        <v>62.250,00</v>
      </c>
      <c r="N6571" s="8" t="s">
        <v>124</v>
      </c>
      <c r="O6571" s="7"/>
      <c r="P6571" s="2" t="s">
        <v>5614</v>
      </c>
      <c r="Q6571" s="7"/>
      <c r="R6571" s="1"/>
      <c r="S6571" s="1" t="str">
        <f>"GZ-UN-2017-84250"</f>
        <v>GZ-UN-2017-84250</v>
      </c>
      <c r="T6571" s="1" t="s">
        <v>32</v>
      </c>
    </row>
    <row r="6572" spans="1:20" ht="63.75" x14ac:dyDescent="0.25">
      <c r="A6572" s="6">
        <v>6551</v>
      </c>
      <c r="B6572" s="1" t="str">
        <f>"2017-997"</f>
        <v>2017-997</v>
      </c>
      <c r="C6572" s="1" t="s">
        <v>2995</v>
      </c>
      <c r="D6572" s="1" t="s">
        <v>794</v>
      </c>
      <c r="E6572" s="1" t="str">
        <f>""</f>
        <v/>
      </c>
      <c r="F6572" s="1" t="s">
        <v>1860</v>
      </c>
      <c r="G6572" s="1" t="str">
        <f>CONCATENATE(" STUDIO ARS D.O.O.,"," CESTA DALMATINSKIH BRIGADA 24B,"," 51211 MATULJI,"," OIB: 40587360933")</f>
        <v xml:space="preserve"> STUDIO ARS D.O.O., CESTA DALMATINSKIH BRIGADA 24B, 51211 MATULJI, OIB: 40587360933</v>
      </c>
      <c r="H6572" s="7"/>
      <c r="I6572" s="8" t="s">
        <v>175</v>
      </c>
      <c r="J6572" s="8" t="s">
        <v>3974</v>
      </c>
      <c r="K6572" s="6" t="str">
        <f>"156.000,00"</f>
        <v>156.000,00</v>
      </c>
      <c r="L6572" s="6" t="str">
        <f>"39.000,00"</f>
        <v>39.000,00</v>
      </c>
      <c r="M6572" s="6" t="str">
        <f>"195.000,00"</f>
        <v>195.000,00</v>
      </c>
      <c r="N6572" s="8" t="s">
        <v>124</v>
      </c>
      <c r="O6572" s="7"/>
      <c r="P6572" s="2" t="s">
        <v>5614</v>
      </c>
      <c r="Q6572" s="7"/>
      <c r="R6572" s="1"/>
      <c r="S6572" s="1" t="str">
        <f>"GZ-UN-2017-85535"</f>
        <v>GZ-UN-2017-85535</v>
      </c>
      <c r="T6572" s="1" t="s">
        <v>55</v>
      </c>
    </row>
    <row r="6573" spans="1:20" ht="51" x14ac:dyDescent="0.25">
      <c r="A6573" s="6">
        <v>6552</v>
      </c>
      <c r="B6573" s="1" t="str">
        <f>"2017-2895"</f>
        <v>2017-2895</v>
      </c>
      <c r="C6573" s="1" t="s">
        <v>5073</v>
      </c>
      <c r="D6573" s="1" t="s">
        <v>483</v>
      </c>
      <c r="E6573" s="1" t="str">
        <f>""</f>
        <v/>
      </c>
      <c r="F6573" s="1" t="s">
        <v>1860</v>
      </c>
      <c r="G6573" s="1" t="str">
        <f>CONCATENATE(" ELEKTROCENTAR PETEK D.O.O.,"," ETANSKA CESTA 8,"," 10310 IVANIĆ-GRAD,"," OIB: 17491977848")</f>
        <v xml:space="preserve"> ELEKTROCENTAR PETEK D.O.O., ETANSKA CESTA 8, 10310 IVANIĆ-GRAD, OIB: 17491977848</v>
      </c>
      <c r="H6573" s="7"/>
      <c r="I6573" s="8" t="s">
        <v>4651</v>
      </c>
      <c r="J6573" s="8" t="s">
        <v>5074</v>
      </c>
      <c r="K6573" s="6" t="str">
        <f>"196.738,85"</f>
        <v>196.738,85</v>
      </c>
      <c r="L6573" s="6" t="str">
        <f>"49.184,71"</f>
        <v>49.184,71</v>
      </c>
      <c r="M6573" s="6" t="str">
        <f>"245.923,56"</f>
        <v>245.923,56</v>
      </c>
      <c r="N6573" s="8" t="s">
        <v>124</v>
      </c>
      <c r="O6573" s="7"/>
      <c r="P6573" s="2" t="s">
        <v>5614</v>
      </c>
      <c r="Q6573" s="7"/>
      <c r="R6573" s="1"/>
      <c r="S6573" s="1" t="str">
        <f>"GZ-UN-2018-3669"</f>
        <v>GZ-UN-2018-3669</v>
      </c>
      <c r="T6573" s="1" t="s">
        <v>32</v>
      </c>
    </row>
    <row r="6574" spans="1:20" ht="51" x14ac:dyDescent="0.25">
      <c r="A6574" s="6">
        <v>6553</v>
      </c>
      <c r="B6574" s="1" t="str">
        <f>"2017-2950"</f>
        <v>2017-2950</v>
      </c>
      <c r="C6574" s="1" t="s">
        <v>5075</v>
      </c>
      <c r="D6574" s="1" t="s">
        <v>2150</v>
      </c>
      <c r="E6574" s="1" t="str">
        <f>""</f>
        <v/>
      </c>
      <c r="F6574" s="1" t="s">
        <v>1860</v>
      </c>
      <c r="G6574" s="1" t="str">
        <f>CONCATENATE(" NIVETO D.O.O.,"," DRAGUTINA MANDLA 1,"," 10000 ZAGREB,"," OIB: 46572491389")</f>
        <v xml:space="preserve"> NIVETO D.O.O., DRAGUTINA MANDLA 1, 10000 ZAGREB, OIB: 46572491389</v>
      </c>
      <c r="H6574" s="7"/>
      <c r="I6574" s="8" t="s">
        <v>5076</v>
      </c>
      <c r="J6574" s="8" t="s">
        <v>5077</v>
      </c>
      <c r="K6574" s="6" t="str">
        <f>"492.971,16"</f>
        <v>492.971,16</v>
      </c>
      <c r="L6574" s="6" t="str">
        <f>"123.242,79"</f>
        <v>123.242,79</v>
      </c>
      <c r="M6574" s="6" t="str">
        <f>"616.213,95"</f>
        <v>616.213,95</v>
      </c>
      <c r="N6574" s="8" t="s">
        <v>3897</v>
      </c>
      <c r="O6574" s="7"/>
      <c r="P6574" s="2" t="s">
        <v>8816</v>
      </c>
      <c r="Q6574" s="7"/>
      <c r="R6574" s="1"/>
      <c r="S6574" s="1" t="str">
        <f>"GZ-UN-2018-5863"</f>
        <v>GZ-UN-2018-5863</v>
      </c>
      <c r="T6574" s="1" t="s">
        <v>86</v>
      </c>
    </row>
    <row r="6575" spans="1:20" ht="63.75" x14ac:dyDescent="0.25">
      <c r="A6575" s="6">
        <v>6554</v>
      </c>
      <c r="B6575" s="1" t="str">
        <f>"2017-1914"</f>
        <v>2017-1914</v>
      </c>
      <c r="C6575" s="1" t="s">
        <v>5078</v>
      </c>
      <c r="D6575" s="1" t="s">
        <v>1236</v>
      </c>
      <c r="E6575" s="1" t="str">
        <f>""</f>
        <v/>
      </c>
      <c r="F6575" s="1" t="s">
        <v>1860</v>
      </c>
      <c r="G6575" s="1" t="str">
        <f>CONCATENATE(" TEHNOZAVOD-MARUŠIĆ D.O.O.,"," XIII PODBREŽJE 26,"," 10000 ZAGREB,"," OIB: 2192647279")</f>
        <v xml:space="preserve"> TEHNOZAVOD-MARUŠIĆ D.O.O., XIII PODBREŽJE 26, 10000 ZAGREB, OIB: 2192647279</v>
      </c>
      <c r="H6575" s="7"/>
      <c r="I6575" s="8" t="s">
        <v>5079</v>
      </c>
      <c r="J6575" s="8" t="s">
        <v>5080</v>
      </c>
      <c r="K6575" s="6" t="str">
        <f>"55.610,00"</f>
        <v>55.610,00</v>
      </c>
      <c r="L6575" s="6" t="str">
        <f>"13.902,50"</f>
        <v>13.902,50</v>
      </c>
      <c r="M6575" s="6" t="str">
        <f>"69.512,50"</f>
        <v>69.512,50</v>
      </c>
      <c r="N6575" s="8" t="s">
        <v>124</v>
      </c>
      <c r="O6575" s="7"/>
      <c r="P6575" s="2" t="s">
        <v>5614</v>
      </c>
      <c r="Q6575" s="7"/>
      <c r="R6575" s="1"/>
      <c r="S6575" s="1" t="str">
        <f>"GZ-UN-2018-12796"</f>
        <v>GZ-UN-2018-12796</v>
      </c>
      <c r="T6575" s="1" t="s">
        <v>55</v>
      </c>
    </row>
    <row r="6576" spans="1:20" ht="51" x14ac:dyDescent="0.25">
      <c r="A6576" s="6">
        <v>6555</v>
      </c>
      <c r="B6576" s="1" t="str">
        <f>"2018-2847"</f>
        <v>2018-2847</v>
      </c>
      <c r="C6576" s="1" t="s">
        <v>5081</v>
      </c>
      <c r="D6576" s="1" t="s">
        <v>5082</v>
      </c>
      <c r="E6576" s="1" t="str">
        <f>""</f>
        <v/>
      </c>
      <c r="F6576" s="1" t="s">
        <v>1860</v>
      </c>
      <c r="G6576" s="1" t="str">
        <f>CONCATENATE(" IDEA PROJEKT D.O.O.,"," FLANATIČKA 25,"," 521000 PULA,"," OIB: 0225710134")</f>
        <v xml:space="preserve"> IDEA PROJEKT D.O.O., FLANATIČKA 25, 521000 PULA, OIB: 0225710134</v>
      </c>
      <c r="H6576" s="7"/>
      <c r="I6576" s="8" t="s">
        <v>4596</v>
      </c>
      <c r="J6576" s="8" t="s">
        <v>3996</v>
      </c>
      <c r="K6576" s="6" t="str">
        <f>"25.760,00"</f>
        <v>25.760,00</v>
      </c>
      <c r="L6576" s="6" t="str">
        <f>"6.440,00"</f>
        <v>6.440,00</v>
      </c>
      <c r="M6576" s="6" t="str">
        <f>"32.200,00"</f>
        <v>32.200,00</v>
      </c>
      <c r="N6576" s="8" t="s">
        <v>124</v>
      </c>
      <c r="O6576" s="7"/>
      <c r="P6576" s="2" t="s">
        <v>5614</v>
      </c>
      <c r="Q6576" s="7"/>
      <c r="R6576" s="1"/>
      <c r="S6576" s="1" t="str">
        <f>"GZ-UN-2018-12971-1"</f>
        <v>GZ-UN-2018-12971-1</v>
      </c>
      <c r="T6576" s="1" t="s">
        <v>32</v>
      </c>
    </row>
    <row r="6577" spans="1:20" ht="51" x14ac:dyDescent="0.25">
      <c r="A6577" s="6">
        <v>6556</v>
      </c>
      <c r="B6577" s="1" t="str">
        <f>"2018-4"</f>
        <v>2018-4</v>
      </c>
      <c r="C6577" s="1" t="s">
        <v>5083</v>
      </c>
      <c r="D6577" s="1" t="s">
        <v>1979</v>
      </c>
      <c r="E6577" s="1" t="str">
        <f>""</f>
        <v/>
      </c>
      <c r="F6577" s="1" t="s">
        <v>1860</v>
      </c>
      <c r="G6577" s="1" t="str">
        <f>CONCATENATE(" HIDROPROJEKT D.O.O.,"," IVANA PERGOŠIĆA 4,"," 10000 ZAGREB,"," OIB: 3091581719")</f>
        <v xml:space="preserve"> HIDROPROJEKT D.O.O., IVANA PERGOŠIĆA 4, 10000 ZAGREB, OIB: 3091581719</v>
      </c>
      <c r="H6577" s="7"/>
      <c r="I6577" s="8" t="s">
        <v>5084</v>
      </c>
      <c r="J6577" s="8" t="s">
        <v>4147</v>
      </c>
      <c r="K6577" s="6" t="str">
        <f>"87.000,00"</f>
        <v>87.000,00</v>
      </c>
      <c r="L6577" s="6" t="str">
        <f>"21.750,00"</f>
        <v>21.750,00</v>
      </c>
      <c r="M6577" s="6" t="str">
        <f>"108.750,00"</f>
        <v>108.750,00</v>
      </c>
      <c r="N6577" s="8" t="s">
        <v>124</v>
      </c>
      <c r="O6577" s="7"/>
      <c r="P6577" s="2" t="s">
        <v>5614</v>
      </c>
      <c r="Q6577" s="7"/>
      <c r="R6577" s="1"/>
      <c r="S6577" s="1" t="str">
        <f>"GZ-UN-2018-25104"</f>
        <v>GZ-UN-2018-25104</v>
      </c>
      <c r="T6577" s="1" t="s">
        <v>55</v>
      </c>
    </row>
    <row r="6578" spans="1:20" ht="51" x14ac:dyDescent="0.25">
      <c r="A6578" s="6">
        <v>6557</v>
      </c>
      <c r="B6578" s="1" t="str">
        <f>"2018-2885"</f>
        <v>2018-2885</v>
      </c>
      <c r="C6578" s="1" t="s">
        <v>5085</v>
      </c>
      <c r="D6578" s="1" t="s">
        <v>5086</v>
      </c>
      <c r="E6578" s="1" t="str">
        <f>""</f>
        <v/>
      </c>
      <c r="F6578" s="1" t="s">
        <v>1860</v>
      </c>
      <c r="G6578" s="1" t="str">
        <f>CONCATENATE(" KOM-EKO D.O.O.,"," RADNIČKA CESTA 228,"," 10000 ZAGREB,"," OIB: 27859052647")</f>
        <v xml:space="preserve"> KOM-EKO D.O.O., RADNIČKA CESTA 228, 10000 ZAGREB, OIB: 27859052647</v>
      </c>
      <c r="H6578" s="7"/>
      <c r="I6578" s="8" t="s">
        <v>5011</v>
      </c>
      <c r="J6578" s="8" t="s">
        <v>3555</v>
      </c>
      <c r="K6578" s="6" t="str">
        <f>"155.690,00"</f>
        <v>155.690,00</v>
      </c>
      <c r="L6578" s="6" t="str">
        <f>"38.922,50"</f>
        <v>38.922,50</v>
      </c>
      <c r="M6578" s="6" t="str">
        <f>"194.612,50"</f>
        <v>194.612,50</v>
      </c>
      <c r="N6578" s="8" t="s">
        <v>124</v>
      </c>
      <c r="O6578" s="7"/>
      <c r="P6578" s="2" t="s">
        <v>5614</v>
      </c>
      <c r="Q6578" s="7"/>
      <c r="R6578" s="1"/>
      <c r="S6578" s="1" t="str">
        <f>"GZ-UN-2018-27111"</f>
        <v>GZ-UN-2018-27111</v>
      </c>
      <c r="T6578" s="1" t="s">
        <v>55</v>
      </c>
    </row>
    <row r="6579" spans="1:20" ht="63.75" x14ac:dyDescent="0.25">
      <c r="A6579" s="6">
        <v>6558</v>
      </c>
      <c r="B6579" s="1" t="str">
        <f>"2018-1545"</f>
        <v>2018-1545</v>
      </c>
      <c r="C6579" s="1" t="s">
        <v>5046</v>
      </c>
      <c r="D6579" s="1" t="s">
        <v>1277</v>
      </c>
      <c r="E6579" s="1" t="str">
        <f>""</f>
        <v/>
      </c>
      <c r="F6579" s="1" t="s">
        <v>1860</v>
      </c>
      <c r="G6579" s="1" t="str">
        <f>CONCATENATE(" OMEGA SOFTWARE D.O.O.,"," KAMENARKA 37,"," 10010 ZAGREB-SLOBOŠTINA,"," OIB: 40102169932")</f>
        <v xml:space="preserve"> OMEGA SOFTWARE D.O.O., KAMENARKA 37, 10010 ZAGREB-SLOBOŠTINA, OIB: 40102169932</v>
      </c>
      <c r="H6579" s="7"/>
      <c r="I6579" s="8" t="s">
        <v>5011</v>
      </c>
      <c r="J6579" s="8" t="s">
        <v>3555</v>
      </c>
      <c r="K6579" s="6" t="str">
        <f>"198.000,00"</f>
        <v>198.000,00</v>
      </c>
      <c r="L6579" s="6" t="str">
        <f>"49.500,00"</f>
        <v>49.500,00</v>
      </c>
      <c r="M6579" s="6" t="str">
        <f>"247.500,00"</f>
        <v>247.500,00</v>
      </c>
      <c r="N6579" s="8" t="s">
        <v>3554</v>
      </c>
      <c r="O6579" s="7"/>
      <c r="P6579" s="2" t="s">
        <v>8817</v>
      </c>
      <c r="Q6579" s="7"/>
      <c r="R6579" s="1"/>
      <c r="S6579" s="1" t="str">
        <f>"GZ-UN-2018-27817"</f>
        <v>GZ-UN-2018-27817</v>
      </c>
      <c r="T6579" s="1" t="s">
        <v>43</v>
      </c>
    </row>
    <row r="6580" spans="1:20" ht="51" x14ac:dyDescent="0.25">
      <c r="A6580" s="6">
        <v>6559</v>
      </c>
      <c r="B6580" s="1" t="str">
        <f>"2018-1993"</f>
        <v>2018-1993</v>
      </c>
      <c r="C6580" s="1" t="s">
        <v>2486</v>
      </c>
      <c r="D6580" s="1" t="s">
        <v>74</v>
      </c>
      <c r="E6580" s="1" t="str">
        <f>""</f>
        <v/>
      </c>
      <c r="F6580" s="1" t="s">
        <v>1860</v>
      </c>
      <c r="G6580" s="1" t="str">
        <f>CONCATENATE(" CONSCIUS D.O.O.,"," KUTNJAČKI PUT 9,"," 10000 ZAGREB,"," OIB: 33925981016")</f>
        <v xml:space="preserve"> CONSCIUS D.O.O., KUTNJAČKI PUT 9, 10000 ZAGREB, OIB: 33925981016</v>
      </c>
      <c r="H6580" s="7"/>
      <c r="I6580" s="8" t="s">
        <v>5087</v>
      </c>
      <c r="J6580" s="8" t="s">
        <v>5088</v>
      </c>
      <c r="K6580" s="6" t="str">
        <f>"127.200,00"</f>
        <v>127.200,00</v>
      </c>
      <c r="L6580" s="6" t="str">
        <f>"31.800,00"</f>
        <v>31.800,00</v>
      </c>
      <c r="M6580" s="6" t="str">
        <f>"159.000,00"</f>
        <v>159.000,00</v>
      </c>
      <c r="N6580" s="8" t="s">
        <v>464</v>
      </c>
      <c r="O6580" s="7"/>
      <c r="P6580" s="2" t="s">
        <v>7064</v>
      </c>
      <c r="Q6580" s="7"/>
      <c r="R6580" s="1"/>
      <c r="S6580" s="1" t="str">
        <f>"GZ-UN-2018-36042"</f>
        <v>GZ-UN-2018-36042</v>
      </c>
      <c r="T6580" s="1" t="s">
        <v>43</v>
      </c>
    </row>
    <row r="6581" spans="1:20" ht="63.75" x14ac:dyDescent="0.25">
      <c r="A6581" s="6">
        <v>6560</v>
      </c>
      <c r="B6581" s="1" t="str">
        <f>"2018-2339"</f>
        <v>2018-2339</v>
      </c>
      <c r="C6581" s="1" t="s">
        <v>3032</v>
      </c>
      <c r="D6581" s="1" t="s">
        <v>244</v>
      </c>
      <c r="E6581" s="1" t="str">
        <f>""</f>
        <v/>
      </c>
      <c r="F6581" s="1" t="s">
        <v>1860</v>
      </c>
      <c r="G6581" s="1" t="str">
        <f>CONCATENATE(" FOREMAN GROUP D.O.O.,"," ,"," OIB: 04807307105")</f>
        <v xml:space="preserve"> FOREMAN GROUP D.O.O., , OIB: 04807307105</v>
      </c>
      <c r="H6581" s="7"/>
      <c r="I6581" s="8" t="s">
        <v>5049</v>
      </c>
      <c r="J6581" s="8" t="s">
        <v>5089</v>
      </c>
      <c r="K6581" s="6" t="str">
        <f>"66.185,61"</f>
        <v>66.185,61</v>
      </c>
      <c r="L6581" s="6" t="str">
        <f>"16.546,40"</f>
        <v>16.546,40</v>
      </c>
      <c r="M6581" s="6" t="str">
        <f>"82.732,01"</f>
        <v>82.732,01</v>
      </c>
      <c r="N6581" s="8" t="s">
        <v>3554</v>
      </c>
      <c r="O6581" s="7"/>
      <c r="P6581" s="2" t="s">
        <v>8818</v>
      </c>
      <c r="Q6581" s="7"/>
      <c r="R6581" s="1"/>
      <c r="S6581" s="1" t="str">
        <f>"GZ-UN-2018-46376"</f>
        <v>GZ-UN-2018-46376</v>
      </c>
      <c r="T6581" s="1" t="s">
        <v>43</v>
      </c>
    </row>
    <row r="6582" spans="1:20" ht="63.75" x14ac:dyDescent="0.25">
      <c r="A6582" s="6">
        <v>6561</v>
      </c>
      <c r="B6582" s="1" t="str">
        <f>"2018-1440"</f>
        <v>2018-1440</v>
      </c>
      <c r="C6582" s="1" t="s">
        <v>2485</v>
      </c>
      <c r="D6582" s="1" t="s">
        <v>1007</v>
      </c>
      <c r="E6582" s="1" t="str">
        <f>""</f>
        <v/>
      </c>
      <c r="F6582" s="1" t="s">
        <v>1860</v>
      </c>
      <c r="G6582" s="1" t="str">
        <f>CONCATENATE(" DRÄGER SAFETY D.O.O.,"," AVENIJA VEĆESLAVA HOLJEVCA 40,"," 10010 ZAGREB,"," OIB: 32874587842")</f>
        <v xml:space="preserve"> DRÄGER SAFETY D.O.O., AVENIJA VEĆESLAVA HOLJEVCA 40, 10010 ZAGREB, OIB: 32874587842</v>
      </c>
      <c r="H6582" s="7"/>
      <c r="I6582" s="8" t="s">
        <v>3477</v>
      </c>
      <c r="J6582" s="8" t="s">
        <v>4600</v>
      </c>
      <c r="K6582" s="6" t="str">
        <f>"9.078,84"</f>
        <v>9.078,84</v>
      </c>
      <c r="L6582" s="6" t="str">
        <f>"2.269,71"</f>
        <v>2.269,71</v>
      </c>
      <c r="M6582" s="6" t="str">
        <f>"11.348,55"</f>
        <v>11.348,55</v>
      </c>
      <c r="N6582" s="8" t="s">
        <v>124</v>
      </c>
      <c r="O6582" s="7"/>
      <c r="P6582" s="2" t="s">
        <v>5614</v>
      </c>
      <c r="Q6582" s="7"/>
      <c r="R6582" s="1"/>
      <c r="S6582" s="1" t="str">
        <f>"GZ-UN-2018-54623"</f>
        <v>GZ-UN-2018-54623</v>
      </c>
      <c r="T6582" s="1" t="s">
        <v>55</v>
      </c>
    </row>
    <row r="6583" spans="1:20" ht="63.75" x14ac:dyDescent="0.25">
      <c r="A6583" s="6">
        <v>6562</v>
      </c>
      <c r="B6583" s="1" t="str">
        <f>"2018-955"</f>
        <v>2018-955</v>
      </c>
      <c r="C6583" s="1" t="s">
        <v>2487</v>
      </c>
      <c r="D6583" s="1" t="s">
        <v>2488</v>
      </c>
      <c r="E6583" s="1" t="str">
        <f>""</f>
        <v/>
      </c>
      <c r="F6583" s="1" t="s">
        <v>1860</v>
      </c>
      <c r="G6583" s="1" t="str">
        <f>CONCATENATE(" PRIVREDNA BANKA ZAGREB D.D.,"," RADNIČKA CESTA 50,"," 10000 ZAGREB,"," OIB: 02535697732")</f>
        <v xml:space="preserve"> PRIVREDNA BANKA ZAGREB D.D., RADNIČKA CESTA 50, 10000 ZAGREB, OIB: 02535697732</v>
      </c>
      <c r="H6583" s="7"/>
      <c r="I6583" s="8" t="s">
        <v>276</v>
      </c>
      <c r="J6583" s="8" t="s">
        <v>4258</v>
      </c>
      <c r="K6583" s="6" t="str">
        <f>"94.968,20"</f>
        <v>94.968,20</v>
      </c>
      <c r="L6583" s="6" t="str">
        <f>"23.742,05"</f>
        <v>23.742,05</v>
      </c>
      <c r="M6583" s="6" t="str">
        <f>"118.710,25"</f>
        <v>118.710,25</v>
      </c>
      <c r="N6583" s="8" t="s">
        <v>4045</v>
      </c>
      <c r="O6583" s="7"/>
      <c r="P6583" s="2" t="s">
        <v>8819</v>
      </c>
      <c r="Q6583" s="1"/>
      <c r="R6583" s="1"/>
      <c r="S6583" s="1" t="str">
        <f>"GZ-UN-2018-506399"</f>
        <v>GZ-UN-2018-506399</v>
      </c>
      <c r="T6583" s="1" t="s">
        <v>43</v>
      </c>
    </row>
    <row r="6584" spans="1:20" ht="51" x14ac:dyDescent="0.25">
      <c r="A6584" s="6">
        <v>6563</v>
      </c>
      <c r="B6584" s="1" t="str">
        <f>"2018-2980"</f>
        <v>2018-2980</v>
      </c>
      <c r="C6584" s="1" t="s">
        <v>5090</v>
      </c>
      <c r="D6584" s="1" t="s">
        <v>2498</v>
      </c>
      <c r="E6584" s="1" t="str">
        <f>""</f>
        <v/>
      </c>
      <c r="F6584" s="1" t="s">
        <v>1860</v>
      </c>
      <c r="G6584" s="1" t="str">
        <f>CONCATENATE(" CONTROLMATIK D.O.O.,"," PRIMORSKA 1,"," 42000 VARAŽDIN,"," OIB: 25020037517")</f>
        <v xml:space="preserve"> CONTROLMATIK D.O.O., PRIMORSKA 1, 42000 VARAŽDIN, OIB: 25020037517</v>
      </c>
      <c r="H6584" s="7"/>
      <c r="I6584" s="8" t="s">
        <v>4616</v>
      </c>
      <c r="J6584" s="8" t="s">
        <v>4088</v>
      </c>
      <c r="K6584" s="6" t="str">
        <f>"198.120,00"</f>
        <v>198.120,00</v>
      </c>
      <c r="L6584" s="6" t="str">
        <f>"49.530,00"</f>
        <v>49.530,00</v>
      </c>
      <c r="M6584" s="6" t="str">
        <f>"247.650,00"</f>
        <v>247.650,00</v>
      </c>
      <c r="N6584" s="8" t="s">
        <v>124</v>
      </c>
      <c r="O6584" s="7"/>
      <c r="P6584" s="2" t="s">
        <v>5614</v>
      </c>
      <c r="Q6584" s="7"/>
      <c r="R6584" s="1"/>
      <c r="S6584" s="1" t="str">
        <f>"GZ-UN-2018-507464"</f>
        <v>GZ-UN-2018-507464</v>
      </c>
      <c r="T6584" s="1" t="s">
        <v>55</v>
      </c>
    </row>
    <row r="6585" spans="1:20" ht="102" x14ac:dyDescent="0.25">
      <c r="A6585" s="6">
        <v>6564</v>
      </c>
      <c r="B6585" s="1" t="str">
        <f>"2018-3022"</f>
        <v>2018-3022</v>
      </c>
      <c r="C6585" s="1" t="s">
        <v>5091</v>
      </c>
      <c r="D6585" s="1" t="s">
        <v>2211</v>
      </c>
      <c r="E6585" s="1" t="str">
        <f>""</f>
        <v/>
      </c>
      <c r="F6585" s="1" t="s">
        <v>1860</v>
      </c>
      <c r="G6585" s="1" t="str">
        <f>CONCATENATE(" OSKAR EDUKOS,"," RADOSLAVA CIMERMANA 36/A,"," 10000 ZAGREB,"," OIB: 70614396328")</f>
        <v xml:space="preserve"> OSKAR EDUKOS, RADOSLAVA CIMERMANA 36/A, 10000 ZAGREB, OIB: 70614396328</v>
      </c>
      <c r="H6585" s="7"/>
      <c r="I6585" s="8" t="s">
        <v>3662</v>
      </c>
      <c r="J6585" s="8" t="s">
        <v>5092</v>
      </c>
      <c r="K6585" s="6" t="str">
        <f>"175.000,00"</f>
        <v>175.000,00</v>
      </c>
      <c r="L6585" s="6" t="str">
        <f>"43.750,00"</f>
        <v>43.750,00</v>
      </c>
      <c r="M6585" s="6" t="str">
        <f>"218.750,00"</f>
        <v>218.750,00</v>
      </c>
      <c r="N6585" s="8" t="s">
        <v>124</v>
      </c>
      <c r="O6585" s="7"/>
      <c r="P6585" s="2" t="s">
        <v>5614</v>
      </c>
      <c r="Q6585" s="7"/>
      <c r="R6585" s="1"/>
      <c r="S6585" s="1" t="str">
        <f>"GZ-UN-2018-509195"</f>
        <v>GZ-UN-2018-509195</v>
      </c>
      <c r="T6585" s="1" t="s">
        <v>55</v>
      </c>
    </row>
    <row r="6586" spans="1:20" ht="51" x14ac:dyDescent="0.25">
      <c r="A6586" s="6">
        <v>6565</v>
      </c>
      <c r="B6586" s="1" t="str">
        <f>"2018-2028"</f>
        <v>2018-2028</v>
      </c>
      <c r="C6586" s="1" t="s">
        <v>5093</v>
      </c>
      <c r="D6586" s="1" t="s">
        <v>5094</v>
      </c>
      <c r="E6586" s="1" t="str">
        <f>""</f>
        <v/>
      </c>
      <c r="F6586" s="1" t="s">
        <v>1860</v>
      </c>
      <c r="G6586" s="1" t="str">
        <f>CONCATENATE(" LED ART D.O.O.,"," ZAVRTNICA 7,"," 10000 ZAGREB,"," OIB: 35748176219")</f>
        <v xml:space="preserve"> LED ART D.O.O., ZAVRTNICA 7, 10000 ZAGREB, OIB: 35748176219</v>
      </c>
      <c r="H6586" s="7"/>
      <c r="I6586" s="8" t="s">
        <v>4080</v>
      </c>
      <c r="J6586" s="8" t="s">
        <v>4081</v>
      </c>
      <c r="K6586" s="6" t="str">
        <f>"12.958,50"</f>
        <v>12.958,50</v>
      </c>
      <c r="L6586" s="6" t="str">
        <f>"3.239,62"</f>
        <v>3.239,62</v>
      </c>
      <c r="M6586" s="6" t="str">
        <f>"16.198,12"</f>
        <v>16.198,12</v>
      </c>
      <c r="N6586" s="8" t="s">
        <v>124</v>
      </c>
      <c r="O6586" s="7"/>
      <c r="P6586" s="2" t="s">
        <v>5614</v>
      </c>
      <c r="Q6586" s="7"/>
      <c r="R6586" s="1"/>
      <c r="S6586" s="1" t="str">
        <f>"GZ-UN-2018-514627"</f>
        <v>GZ-UN-2018-514627</v>
      </c>
      <c r="T6586" s="1" t="s">
        <v>55</v>
      </c>
    </row>
    <row r="6587" spans="1:20" ht="76.5" x14ac:dyDescent="0.25">
      <c r="A6587" s="6">
        <v>6566</v>
      </c>
      <c r="B6587" s="1" t="str">
        <f>"2018-3058"</f>
        <v>2018-3058</v>
      </c>
      <c r="C6587" s="1" t="s">
        <v>5095</v>
      </c>
      <c r="D6587" s="1" t="s">
        <v>4962</v>
      </c>
      <c r="E6587" s="1" t="str">
        <f>""</f>
        <v/>
      </c>
      <c r="F6587" s="1" t="s">
        <v>1860</v>
      </c>
      <c r="G6587" s="1" t="str">
        <f>CONCATENATE(" ELEKTRO-ENERGETIKA D.O.O.,"," RATARSKA 75A,"," 10000 ZAGREB,"," OIB: 48444972867")</f>
        <v xml:space="preserve"> ELEKTRO-ENERGETIKA D.O.O., RATARSKA 75A, 10000 ZAGREB, OIB: 48444972867</v>
      </c>
      <c r="H6587" s="7"/>
      <c r="I6587" s="8" t="s">
        <v>5096</v>
      </c>
      <c r="J6587" s="8" t="s">
        <v>4290</v>
      </c>
      <c r="K6587" s="6" t="str">
        <f>"52.468,00"</f>
        <v>52.468,00</v>
      </c>
      <c r="L6587" s="6" t="str">
        <f>"13.117,00"</f>
        <v>13.117,00</v>
      </c>
      <c r="M6587" s="6" t="str">
        <f>"65.585,00"</f>
        <v>65.585,00</v>
      </c>
      <c r="N6587" s="8" t="s">
        <v>124</v>
      </c>
      <c r="O6587" s="7"/>
      <c r="P6587" s="2" t="s">
        <v>5614</v>
      </c>
      <c r="Q6587" s="7"/>
      <c r="R6587" s="1"/>
      <c r="S6587" s="1" t="str">
        <f>"GZ-UN-2018-521093"</f>
        <v>GZ-UN-2018-521093</v>
      </c>
      <c r="T6587" s="1" t="s">
        <v>55</v>
      </c>
    </row>
    <row r="6588" spans="1:20" ht="51" x14ac:dyDescent="0.25">
      <c r="A6588" s="6">
        <v>6567</v>
      </c>
      <c r="B6588" s="1" t="str">
        <f>"2018-1141"</f>
        <v>2018-1141</v>
      </c>
      <c r="C6588" s="1" t="s">
        <v>5097</v>
      </c>
      <c r="D6588" s="1" t="s">
        <v>2043</v>
      </c>
      <c r="E6588" s="1" t="str">
        <f>""</f>
        <v/>
      </c>
      <c r="F6588" s="1" t="s">
        <v>1860</v>
      </c>
      <c r="G6588" s="1" t="str">
        <f>CONCATENATE(" KING ICT D.O.O.,"," BUZINSKI PRILAZ 10,"," 10010 ZAGREB,"," OIB: 67001695549")</f>
        <v xml:space="preserve"> KING ICT D.O.O., BUZINSKI PRILAZ 10, 10010 ZAGREB, OIB: 67001695549</v>
      </c>
      <c r="H6588" s="7"/>
      <c r="I6588" s="8" t="s">
        <v>367</v>
      </c>
      <c r="J6588" s="8" t="s">
        <v>4090</v>
      </c>
      <c r="K6588" s="6" t="str">
        <f>"196.612,27"</f>
        <v>196.612,27</v>
      </c>
      <c r="L6588" s="6" t="str">
        <f>"49.153,07"</f>
        <v>49.153,07</v>
      </c>
      <c r="M6588" s="6" t="str">
        <f>"245.765,34"</f>
        <v>245.765,34</v>
      </c>
      <c r="N6588" s="8" t="s">
        <v>124</v>
      </c>
      <c r="O6588" s="7"/>
      <c r="P6588" s="2" t="s">
        <v>5614</v>
      </c>
      <c r="Q6588" s="7"/>
      <c r="R6588" s="1"/>
      <c r="S6588" s="1" t="str">
        <f>"GZ-UN-2018-524923"</f>
        <v>GZ-UN-2018-524923</v>
      </c>
      <c r="T6588" s="1" t="s">
        <v>55</v>
      </c>
    </row>
    <row r="6589" spans="1:20" ht="51" x14ac:dyDescent="0.25">
      <c r="A6589" s="6">
        <v>6568</v>
      </c>
      <c r="B6589" s="1" t="str">
        <f>"2018-2376"</f>
        <v>2018-2376</v>
      </c>
      <c r="C6589" s="1" t="s">
        <v>5098</v>
      </c>
      <c r="D6589" s="1" t="s">
        <v>463</v>
      </c>
      <c r="E6589" s="1" t="str">
        <f>""</f>
        <v/>
      </c>
      <c r="F6589" s="1" t="s">
        <v>1860</v>
      </c>
      <c r="G6589" s="1" t="str">
        <f>CONCATENATE(" INFOART D.O.O.,"," LASTOVSKA 23,"," 10000 ZAGREB,"," OIB: 88255578438")</f>
        <v xml:space="preserve"> INFOART D.O.O., LASTOVSKA 23, 10000 ZAGREB, OIB: 88255578438</v>
      </c>
      <c r="H6589" s="7"/>
      <c r="I6589" s="8" t="s">
        <v>5099</v>
      </c>
      <c r="J6589" s="8" t="s">
        <v>5100</v>
      </c>
      <c r="K6589" s="6" t="str">
        <f>"192.600,00"</f>
        <v>192.600,00</v>
      </c>
      <c r="L6589" s="6" t="str">
        <f>"48.150,00"</f>
        <v>48.150,00</v>
      </c>
      <c r="M6589" s="6" t="str">
        <f>"240.750,00"</f>
        <v>240.750,00</v>
      </c>
      <c r="N6589" s="8" t="s">
        <v>124</v>
      </c>
      <c r="O6589" s="7"/>
      <c r="P6589" s="2" t="s">
        <v>5614</v>
      </c>
      <c r="Q6589" s="7"/>
      <c r="R6589" s="1"/>
      <c r="S6589" s="1" t="str">
        <f>"GZ-UN-2018-533356"</f>
        <v>GZ-UN-2018-533356</v>
      </c>
      <c r="T6589" s="1" t="s">
        <v>55</v>
      </c>
    </row>
    <row r="6590" spans="1:20" ht="63.75" x14ac:dyDescent="0.25">
      <c r="A6590" s="6">
        <v>6569</v>
      </c>
      <c r="B6590" s="1" t="str">
        <f>"2018-2084"</f>
        <v>2018-2084</v>
      </c>
      <c r="C6590" s="1" t="s">
        <v>5101</v>
      </c>
      <c r="D6590" s="1" t="s">
        <v>5102</v>
      </c>
      <c r="E6590" s="1" t="str">
        <f>""</f>
        <v/>
      </c>
      <c r="F6590" s="1" t="s">
        <v>1860</v>
      </c>
      <c r="G6590" s="1" t="str">
        <f>CONCATENATE(" JEDINSTVO KRAPINA D.O.O.,"," MIHALJEKOV JAREK 33,"," 49000 KRAPINA,"," OIB: 98656691838")</f>
        <v xml:space="preserve"> JEDINSTVO KRAPINA D.O.O., MIHALJEKOV JAREK 33, 49000 KRAPINA, OIB: 98656691838</v>
      </c>
      <c r="H6590" s="7"/>
      <c r="I6590" s="8" t="s">
        <v>3877</v>
      </c>
      <c r="J6590" s="8" t="s">
        <v>5103</v>
      </c>
      <c r="K6590" s="6" t="str">
        <f>"41.260,00"</f>
        <v>41.260,00</v>
      </c>
      <c r="L6590" s="6" t="str">
        <f>"10.315,00"</f>
        <v>10.315,00</v>
      </c>
      <c r="M6590" s="6" t="str">
        <f>"51.575,00"</f>
        <v>51.575,00</v>
      </c>
      <c r="N6590" s="8" t="s">
        <v>124</v>
      </c>
      <c r="O6590" s="7"/>
      <c r="P6590" s="2" t="s">
        <v>5614</v>
      </c>
      <c r="Q6590" s="7"/>
      <c r="R6590" s="1"/>
      <c r="S6590" s="1" t="str">
        <f>"GZ-UN-2018-535327"</f>
        <v>GZ-UN-2018-535327</v>
      </c>
      <c r="T6590" s="1" t="s">
        <v>55</v>
      </c>
    </row>
    <row r="6591" spans="1:20" ht="51" x14ac:dyDescent="0.25">
      <c r="A6591" s="6">
        <v>6570</v>
      </c>
      <c r="B6591" s="1" t="str">
        <f>"2018-1801"</f>
        <v>2018-1801</v>
      </c>
      <c r="C6591" s="1" t="s">
        <v>4975</v>
      </c>
      <c r="D6591" s="1" t="s">
        <v>1236</v>
      </c>
      <c r="E6591" s="1" t="str">
        <f>""</f>
        <v/>
      </c>
      <c r="F6591" s="1" t="s">
        <v>1860</v>
      </c>
      <c r="G6591" s="1" t="str">
        <f>CONCATENATE(" JAKA D.O.O.,"," OGRIZOVIĆEVA 28/B,","  10 000 ZAGREB,"," OIB: 3770592196")</f>
        <v xml:space="preserve"> JAKA D.O.O., OGRIZOVIĆEVA 28/B,  10 000 ZAGREB, OIB: 3770592196</v>
      </c>
      <c r="H6591" s="7"/>
      <c r="I6591" s="8" t="s">
        <v>5104</v>
      </c>
      <c r="J6591" s="8" t="s">
        <v>5105</v>
      </c>
      <c r="K6591" s="6" t="str">
        <f>"13.236,92"</f>
        <v>13.236,92</v>
      </c>
      <c r="L6591" s="6" t="str">
        <f>"3.309,23"</f>
        <v>3.309,23</v>
      </c>
      <c r="M6591" s="6" t="str">
        <f>"16.546,15"</f>
        <v>16.546,15</v>
      </c>
      <c r="N6591" s="8" t="s">
        <v>4439</v>
      </c>
      <c r="O6591" s="7"/>
      <c r="P6591" s="2" t="s">
        <v>8820</v>
      </c>
      <c r="Q6591" s="7"/>
      <c r="R6591" s="1"/>
      <c r="S6591" s="1" t="str">
        <f>"GZ-UN-2018-537407"</f>
        <v>GZ-UN-2018-537407</v>
      </c>
      <c r="T6591" s="1" t="s">
        <v>86</v>
      </c>
    </row>
    <row r="6592" spans="1:20" ht="63.75" x14ac:dyDescent="0.25">
      <c r="A6592" s="6">
        <v>6571</v>
      </c>
      <c r="B6592" s="1" t="str">
        <f>"2018-394"</f>
        <v>2018-394</v>
      </c>
      <c r="C6592" s="1" t="s">
        <v>2756</v>
      </c>
      <c r="D6592" s="1" t="s">
        <v>860</v>
      </c>
      <c r="E6592" s="1" t="str">
        <f>""</f>
        <v/>
      </c>
      <c r="F6592" s="1" t="s">
        <v>1860</v>
      </c>
      <c r="G6592" s="1" t="str">
        <f>CONCATENATE(" CEPELIN,"," VL. ANAMARIJA MATIĆ,"," VELIKOPOLJSKA 2A,"," 10 010 VELIKO POLJE,"," OIB: 2821461386")</f>
        <v xml:space="preserve"> CEPELIN, VL. ANAMARIJA MATIĆ, VELIKOPOLJSKA 2A, 10 010 VELIKO POLJE, OIB: 2821461386</v>
      </c>
      <c r="H6592" s="7"/>
      <c r="I6592" s="8" t="s">
        <v>3790</v>
      </c>
      <c r="J6592" s="8" t="s">
        <v>4110</v>
      </c>
      <c r="K6592" s="6" t="str">
        <f>"99.460,00"</f>
        <v>99.460,00</v>
      </c>
      <c r="L6592" s="6" t="str">
        <f>"24.865,00"</f>
        <v>24.865,00</v>
      </c>
      <c r="M6592" s="6" t="str">
        <f>"124.325,00"</f>
        <v>124.325,00</v>
      </c>
      <c r="N6592" s="8" t="s">
        <v>124</v>
      </c>
      <c r="O6592" s="7"/>
      <c r="P6592" s="2" t="s">
        <v>5614</v>
      </c>
      <c r="Q6592" s="7"/>
      <c r="R6592" s="1"/>
      <c r="S6592" s="1" t="str">
        <f>"GZ-UN-2018-537747"</f>
        <v>GZ-UN-2018-537747</v>
      </c>
      <c r="T6592" s="1" t="s">
        <v>55</v>
      </c>
    </row>
    <row r="6593" spans="1:20" ht="63.75" x14ac:dyDescent="0.25">
      <c r="A6593" s="6">
        <v>6572</v>
      </c>
      <c r="B6593" s="1" t="str">
        <f>"2018-2339"</f>
        <v>2018-2339</v>
      </c>
      <c r="C6593" s="1" t="s">
        <v>3032</v>
      </c>
      <c r="D6593" s="1" t="s">
        <v>244</v>
      </c>
      <c r="E6593" s="1" t="str">
        <f>""</f>
        <v/>
      </c>
      <c r="F6593" s="1" t="s">
        <v>1860</v>
      </c>
      <c r="G6593" s="1" t="str">
        <f>CONCATENATE(" FOREMAN GROUP D.O.O.,"," ,"," OIB: 04807307105")</f>
        <v xml:space="preserve"> FOREMAN GROUP D.O.O., , OIB: 04807307105</v>
      </c>
      <c r="H6593" s="7"/>
      <c r="I6593" s="8" t="s">
        <v>5106</v>
      </c>
      <c r="J6593" s="8" t="s">
        <v>5107</v>
      </c>
      <c r="K6593" s="6" t="str">
        <f>"66.185,61"</f>
        <v>66.185,61</v>
      </c>
      <c r="L6593" s="6" t="str">
        <f>"16.546,40"</f>
        <v>16.546,40</v>
      </c>
      <c r="M6593" s="6" t="str">
        <f>"82.732,01"</f>
        <v>82.732,01</v>
      </c>
      <c r="N6593" s="8" t="s">
        <v>5108</v>
      </c>
      <c r="O6593" s="7"/>
      <c r="P6593" s="2" t="s">
        <v>7847</v>
      </c>
      <c r="Q6593" s="7"/>
      <c r="R6593" s="1"/>
      <c r="S6593" s="1" t="str">
        <f>"GZ-UN-2018-539676"</f>
        <v>GZ-UN-2018-539676</v>
      </c>
      <c r="T6593" s="1" t="s">
        <v>43</v>
      </c>
    </row>
    <row r="6594" spans="1:20" ht="51" x14ac:dyDescent="0.25">
      <c r="A6594" s="6">
        <v>6573</v>
      </c>
      <c r="B6594" s="1" t="str">
        <f>"2019-2450"</f>
        <v>2019-2450</v>
      </c>
      <c r="C6594" s="1" t="s">
        <v>5109</v>
      </c>
      <c r="D6594" s="1" t="s">
        <v>4256</v>
      </c>
      <c r="E6594" s="1" t="str">
        <f>""</f>
        <v/>
      </c>
      <c r="F6594" s="1" t="s">
        <v>1860</v>
      </c>
      <c r="G6594" s="1" t="str">
        <f>CONCATENATE(" IDEA PROJEKT D.O.O.,"," FLANATIČKA 25,"," 521000 PULA,"," OIB: 0225710134")</f>
        <v xml:space="preserve"> IDEA PROJEKT D.O.O., FLANATIČKA 25, 521000 PULA, OIB: 0225710134</v>
      </c>
      <c r="H6594" s="7"/>
      <c r="I6594" s="8" t="s">
        <v>1972</v>
      </c>
      <c r="J6594" s="8" t="s">
        <v>1994</v>
      </c>
      <c r="K6594" s="6" t="str">
        <f>"479.917,45"</f>
        <v>479.917,45</v>
      </c>
      <c r="L6594" s="6" t="str">
        <f>"119.979,36"</f>
        <v>119.979,36</v>
      </c>
      <c r="M6594" s="6" t="str">
        <f>"599.896,81"</f>
        <v>599.896,81</v>
      </c>
      <c r="N6594" s="8" t="s">
        <v>124</v>
      </c>
      <c r="O6594" s="7"/>
      <c r="P6594" s="2" t="s">
        <v>5614</v>
      </c>
      <c r="Q6594" s="7"/>
      <c r="R6594" s="1"/>
      <c r="S6594" s="1" t="str">
        <f>"GZ-UN-2019-20805"</f>
        <v>GZ-UN-2019-20805</v>
      </c>
      <c r="T6594" s="1" t="s">
        <v>32</v>
      </c>
    </row>
    <row r="6595" spans="1:20" ht="63.75" x14ac:dyDescent="0.25">
      <c r="A6595" s="6">
        <v>6574</v>
      </c>
      <c r="B6595" s="1" t="str">
        <f>"2019-461"</f>
        <v>2019-461</v>
      </c>
      <c r="C6595" s="1" t="s">
        <v>5046</v>
      </c>
      <c r="D6595" s="1" t="s">
        <v>1277</v>
      </c>
      <c r="E6595" s="1" t="str">
        <f>""</f>
        <v/>
      </c>
      <c r="F6595" s="1" t="s">
        <v>1860</v>
      </c>
      <c r="G6595" s="1" t="str">
        <f>CONCATENATE(" OMEGA SOFTWARE D.O.O.,"," KAMENARKA 37,"," 10010 ZAGREB-SLOBOŠTINA,"," OIB: 40102169932")</f>
        <v xml:space="preserve"> OMEGA SOFTWARE D.O.O., KAMENARKA 37, 10010 ZAGREB-SLOBOŠTINA, OIB: 40102169932</v>
      </c>
      <c r="H6595" s="7"/>
      <c r="I6595" s="8" t="s">
        <v>4170</v>
      </c>
      <c r="J6595" s="8" t="s">
        <v>4171</v>
      </c>
      <c r="K6595" s="6" t="str">
        <f>"198.000,00"</f>
        <v>198.000,00</v>
      </c>
      <c r="L6595" s="6" t="str">
        <f>"49.500,00"</f>
        <v>49.500,00</v>
      </c>
      <c r="M6595" s="6" t="str">
        <f>"247.500,00"</f>
        <v>247.500,00</v>
      </c>
      <c r="N6595" s="8" t="s">
        <v>1047</v>
      </c>
      <c r="O6595" s="7"/>
      <c r="P6595" s="2" t="s">
        <v>8821</v>
      </c>
      <c r="Q6595" s="1"/>
      <c r="R6595" s="1"/>
      <c r="S6595" s="1" t="str">
        <f>"GZ-UN-2019-22496"</f>
        <v>GZ-UN-2019-22496</v>
      </c>
      <c r="T6595" s="1" t="s">
        <v>43</v>
      </c>
    </row>
    <row r="6596" spans="1:20" ht="63.75" x14ac:dyDescent="0.25">
      <c r="A6596" s="6">
        <v>6575</v>
      </c>
      <c r="B6596" s="1" t="str">
        <f>"2019-1688"</f>
        <v>2019-1688</v>
      </c>
      <c r="C6596" s="1" t="s">
        <v>2470</v>
      </c>
      <c r="D6596" s="1" t="s">
        <v>1236</v>
      </c>
      <c r="E6596" s="1" t="str">
        <f>""</f>
        <v/>
      </c>
      <c r="F6596" s="1" t="s">
        <v>1860</v>
      </c>
      <c r="G6596" s="1" t="str">
        <f>CONCATENATE(" ELEKTROKEM D.O.O.,"," VUGROVEC,"," AUGUSTA ŠENOE 69,"," 10360 SESVETE,"," OIB: 38411868043")</f>
        <v xml:space="preserve"> ELEKTROKEM D.O.O., VUGROVEC, AUGUSTA ŠENOE 69, 10360 SESVETE, OIB: 38411868043</v>
      </c>
      <c r="H6596" s="7"/>
      <c r="I6596" s="8" t="s">
        <v>4016</v>
      </c>
      <c r="J6596" s="8" t="s">
        <v>4135</v>
      </c>
      <c r="K6596" s="6" t="str">
        <f>"6.870,00"</f>
        <v>6.870,00</v>
      </c>
      <c r="L6596" s="6" t="str">
        <f>"1.717,50"</f>
        <v>1.717,50</v>
      </c>
      <c r="M6596" s="6" t="str">
        <f>"8.587,50"</f>
        <v>8.587,50</v>
      </c>
      <c r="N6596" s="8" t="s">
        <v>4211</v>
      </c>
      <c r="O6596" s="7"/>
      <c r="P6596" s="2" t="s">
        <v>8822</v>
      </c>
      <c r="Q6596" s="7"/>
      <c r="R6596" s="1"/>
      <c r="S6596" s="1" t="str">
        <f>"GZ-UN-2019-25440"</f>
        <v>GZ-UN-2019-25440</v>
      </c>
      <c r="T6596" s="1" t="s">
        <v>86</v>
      </c>
    </row>
    <row r="6597" spans="1:20" ht="51" x14ac:dyDescent="0.25">
      <c r="A6597" s="6">
        <v>6576</v>
      </c>
      <c r="B6597" s="1" t="str">
        <f>"2019-1238"</f>
        <v>2019-1238</v>
      </c>
      <c r="C6597" s="1" t="s">
        <v>2412</v>
      </c>
      <c r="D6597" s="1" t="s">
        <v>2413</v>
      </c>
      <c r="E6597" s="1" t="str">
        <f>""</f>
        <v/>
      </c>
      <c r="F6597" s="1" t="s">
        <v>1860</v>
      </c>
      <c r="G6597" s="1" t="str">
        <f>CONCATENATE(" ELEKTRONIČKI RAČUNI D.O.O.,"," ILICA 412A,"," 10000 ZAGREB,"," OIB: 42889250808")</f>
        <v xml:space="preserve"> ELEKTRONIČKI RAČUNI D.O.O., ILICA 412A, 10000 ZAGREB, OIB: 42889250808</v>
      </c>
      <c r="H6597" s="7"/>
      <c r="I6597" s="8" t="s">
        <v>1954</v>
      </c>
      <c r="J6597" s="8" t="s">
        <v>4190</v>
      </c>
      <c r="K6597" s="6" t="str">
        <f>"116.788,00"</f>
        <v>116.788,00</v>
      </c>
      <c r="L6597" s="6" t="str">
        <f>"29.197,00"</f>
        <v>29.197,00</v>
      </c>
      <c r="M6597" s="6" t="str">
        <f>"145.985,00"</f>
        <v>145.985,00</v>
      </c>
      <c r="N6597" s="8" t="s">
        <v>2536</v>
      </c>
      <c r="O6597" s="7"/>
      <c r="P6597" s="2" t="s">
        <v>8823</v>
      </c>
      <c r="Q6597" s="7"/>
      <c r="R6597" s="1"/>
      <c r="S6597" s="1" t="str">
        <f>"GZ-UN-2019-29317"</f>
        <v>GZ-UN-2019-29317</v>
      </c>
      <c r="T6597" s="1" t="s">
        <v>43</v>
      </c>
    </row>
    <row r="6598" spans="1:20" ht="51" x14ac:dyDescent="0.25">
      <c r="A6598" s="6">
        <v>6577</v>
      </c>
      <c r="B6598" s="1" t="str">
        <f>"2019-504"</f>
        <v>2019-504</v>
      </c>
      <c r="C6598" s="1" t="s">
        <v>2486</v>
      </c>
      <c r="D6598" s="1" t="s">
        <v>74</v>
      </c>
      <c r="E6598" s="1" t="str">
        <f>""</f>
        <v/>
      </c>
      <c r="F6598" s="1" t="s">
        <v>1860</v>
      </c>
      <c r="G6598" s="1" t="str">
        <f>CONCATENATE(" CONSCIUS D.O.O.,"," KUTNJAČKI PUT 9,"," 10000 ZAGREB,"," OIB: 33925981016")</f>
        <v xml:space="preserve"> CONSCIUS D.O.O., KUTNJAČKI PUT 9, 10000 ZAGREB, OIB: 33925981016</v>
      </c>
      <c r="H6598" s="7"/>
      <c r="I6598" s="8" t="s">
        <v>3866</v>
      </c>
      <c r="J6598" s="8" t="s">
        <v>826</v>
      </c>
      <c r="K6598" s="6" t="str">
        <f>"157.200,00"</f>
        <v>157.200,00</v>
      </c>
      <c r="L6598" s="6" t="str">
        <f>"39.300,00"</f>
        <v>39.300,00</v>
      </c>
      <c r="M6598" s="6" t="str">
        <f>"196.500,00"</f>
        <v>196.500,00</v>
      </c>
      <c r="N6598" s="8" t="s">
        <v>4267</v>
      </c>
      <c r="O6598" s="7"/>
      <c r="P6598" s="2" t="s">
        <v>7064</v>
      </c>
      <c r="Q6598" s="7"/>
      <c r="R6598" s="1"/>
      <c r="S6598" s="1" t="str">
        <f>"GZ-UN-2019-30806"</f>
        <v>GZ-UN-2019-30806</v>
      </c>
      <c r="T6598" s="1" t="s">
        <v>43</v>
      </c>
    </row>
    <row r="6599" spans="1:20" ht="51" x14ac:dyDescent="0.25">
      <c r="A6599" s="6">
        <v>6578</v>
      </c>
      <c r="B6599" s="1" t="str">
        <f>"2019-183"</f>
        <v>2019-183</v>
      </c>
      <c r="C6599" s="1" t="s">
        <v>2458</v>
      </c>
      <c r="D6599" s="1" t="s">
        <v>267</v>
      </c>
      <c r="E6599" s="1" t="str">
        <f>""</f>
        <v/>
      </c>
      <c r="F6599" s="1" t="s">
        <v>1860</v>
      </c>
      <c r="G6599" s="1" t="str">
        <f>CONCATENATE(" SIGET DIZALA D.O.O.,"," PREČKO 61,"," 10000 ZAGREB,"," OIB: 19841995263")</f>
        <v xml:space="preserve"> SIGET DIZALA D.O.O., PREČKO 61, 10000 ZAGREB, OIB: 19841995263</v>
      </c>
      <c r="H6599" s="7"/>
      <c r="I6599" s="8" t="s">
        <v>4060</v>
      </c>
      <c r="J6599" s="8" t="s">
        <v>4920</v>
      </c>
      <c r="K6599" s="6" t="str">
        <f>"19.998,00"</f>
        <v>19.998,00</v>
      </c>
      <c r="L6599" s="6" t="str">
        <f>"4.999,50"</f>
        <v>4.999,50</v>
      </c>
      <c r="M6599" s="6" t="str">
        <f>"24.997,50"</f>
        <v>24.997,50</v>
      </c>
      <c r="N6599" s="8" t="s">
        <v>5110</v>
      </c>
      <c r="O6599" s="7"/>
      <c r="P6599" s="2" t="s">
        <v>8824</v>
      </c>
      <c r="Q6599" s="7"/>
      <c r="R6599" s="1"/>
      <c r="S6599" s="1" t="str">
        <f>"GZ-UN-2019-33356"</f>
        <v>GZ-UN-2019-33356</v>
      </c>
      <c r="T6599" s="1" t="s">
        <v>86</v>
      </c>
    </row>
    <row r="6600" spans="1:20" ht="63.75" x14ac:dyDescent="0.25">
      <c r="A6600" s="6">
        <v>6579</v>
      </c>
      <c r="B6600" s="1" t="str">
        <f>"2019-727"</f>
        <v>2019-727</v>
      </c>
      <c r="C6600" s="1" t="s">
        <v>2485</v>
      </c>
      <c r="D6600" s="1" t="s">
        <v>1007</v>
      </c>
      <c r="E6600" s="1" t="str">
        <f>""</f>
        <v/>
      </c>
      <c r="F6600" s="1" t="s">
        <v>1860</v>
      </c>
      <c r="G6600" s="1" t="str">
        <f>CONCATENATE(" DRÄGER SAFETY D.O.O.,"," AVENIJA VEĆESLAVA HOLJEVCA 40,"," 10010 ZAGREB,"," OIB: 32874587842")</f>
        <v xml:space="preserve"> DRÄGER SAFETY D.O.O., AVENIJA VEĆESLAVA HOLJEVCA 40, 10010 ZAGREB, OIB: 32874587842</v>
      </c>
      <c r="H6600" s="7"/>
      <c r="I6600" s="8" t="s">
        <v>4253</v>
      </c>
      <c r="J6600" s="8" t="s">
        <v>5111</v>
      </c>
      <c r="K6600" s="6" t="str">
        <f>"40.151,35"</f>
        <v>40.151,35</v>
      </c>
      <c r="L6600" s="6" t="str">
        <f>"10.037,84"</f>
        <v>10.037,84</v>
      </c>
      <c r="M6600" s="6" t="str">
        <f>"50.189,19"</f>
        <v>50.189,19</v>
      </c>
      <c r="N6600" s="8" t="s">
        <v>124</v>
      </c>
      <c r="O6600" s="7"/>
      <c r="P6600" s="2" t="s">
        <v>5614</v>
      </c>
      <c r="Q6600" s="7"/>
      <c r="R6600" s="1"/>
      <c r="S6600" s="1" t="str">
        <f>"GZ-UN-2019-38941"</f>
        <v>GZ-UN-2019-38941</v>
      </c>
      <c r="T6600" s="1" t="s">
        <v>55</v>
      </c>
    </row>
    <row r="6601" spans="1:20" ht="63.75" x14ac:dyDescent="0.25">
      <c r="A6601" s="6">
        <v>6580</v>
      </c>
      <c r="B6601" s="1" t="str">
        <f>"2019-2125"</f>
        <v>2019-2125</v>
      </c>
      <c r="C6601" s="1" t="s">
        <v>2756</v>
      </c>
      <c r="D6601" s="1" t="s">
        <v>860</v>
      </c>
      <c r="E6601" s="1" t="str">
        <f>""</f>
        <v/>
      </c>
      <c r="F6601" s="1" t="s">
        <v>1860</v>
      </c>
      <c r="G6601" s="1" t="str">
        <f>CONCATENATE(" CEPELIN,"," VL. ANAMARIJA MATIĆ,"," VELIKOPOLJSKA 2A,"," 10 010 VELIKO POLJE,"," OIB: 2821461386")</f>
        <v xml:space="preserve"> CEPELIN, VL. ANAMARIJA MATIĆ, VELIKOPOLJSKA 2A, 10 010 VELIKO POLJE, OIB: 2821461386</v>
      </c>
      <c r="H6601" s="7"/>
      <c r="I6601" s="8" t="s">
        <v>4637</v>
      </c>
      <c r="J6601" s="8" t="s">
        <v>4421</v>
      </c>
      <c r="K6601" s="6" t="str">
        <f>"104.233,00"</f>
        <v>104.233,00</v>
      </c>
      <c r="L6601" s="6" t="str">
        <f>"26.058,25"</f>
        <v>26.058,25</v>
      </c>
      <c r="M6601" s="6" t="str">
        <f>"130.291,25"</f>
        <v>130.291,25</v>
      </c>
      <c r="N6601" s="8" t="s">
        <v>124</v>
      </c>
      <c r="O6601" s="7"/>
      <c r="P6601" s="2" t="s">
        <v>5614</v>
      </c>
      <c r="Q6601" s="7"/>
      <c r="R6601" s="1"/>
      <c r="S6601" s="1" t="str">
        <f>"GZ-UN-2019-42477"</f>
        <v>GZ-UN-2019-42477</v>
      </c>
      <c r="T6601" s="1" t="s">
        <v>55</v>
      </c>
    </row>
    <row r="6602" spans="1:20" ht="51" x14ac:dyDescent="0.25">
      <c r="A6602" s="6">
        <v>6581</v>
      </c>
      <c r="B6602" s="1" t="str">
        <f>"2019-2085"</f>
        <v>2019-2085</v>
      </c>
      <c r="C6602" s="1" t="s">
        <v>5112</v>
      </c>
      <c r="D6602" s="1" t="s">
        <v>2498</v>
      </c>
      <c r="E6602" s="1" t="str">
        <f>""</f>
        <v/>
      </c>
      <c r="F6602" s="1" t="s">
        <v>1860</v>
      </c>
      <c r="G6602" s="1" t="str">
        <f>CONCATENATE(" CONTROLMATIK D.O.O.,"," PRIMORSKA 1,"," 42000 VARAŽDIN,"," OIB: 25020037517")</f>
        <v xml:space="preserve"> CONTROLMATIK D.O.O., PRIMORSKA 1, 42000 VARAŽDIN, OIB: 25020037517</v>
      </c>
      <c r="H6602" s="7"/>
      <c r="I6602" s="8" t="s">
        <v>4926</v>
      </c>
      <c r="J6602" s="8" t="s">
        <v>4927</v>
      </c>
      <c r="K6602" s="6" t="str">
        <f>"117.460,00"</f>
        <v>117.460,00</v>
      </c>
      <c r="L6602" s="6" t="str">
        <f>"29.365,00"</f>
        <v>29.365,00</v>
      </c>
      <c r="M6602" s="6" t="str">
        <f>"146.825,00"</f>
        <v>146.825,00</v>
      </c>
      <c r="N6602" s="8" t="s">
        <v>124</v>
      </c>
      <c r="O6602" s="7"/>
      <c r="P6602" s="2" t="s">
        <v>5614</v>
      </c>
      <c r="Q6602" s="7"/>
      <c r="R6602" s="1"/>
      <c r="S6602" s="1" t="str">
        <f>"GZ-UN-2019-46947"</f>
        <v>GZ-UN-2019-46947</v>
      </c>
      <c r="T6602" s="1" t="s">
        <v>55</v>
      </c>
    </row>
    <row r="6603" spans="1:20" ht="63.75" x14ac:dyDescent="0.25">
      <c r="A6603" s="6">
        <v>6582</v>
      </c>
      <c r="B6603" s="1" t="str">
        <f>"2019-1118"</f>
        <v>2019-1118</v>
      </c>
      <c r="C6603" s="1" t="s">
        <v>3032</v>
      </c>
      <c r="D6603" s="1" t="s">
        <v>244</v>
      </c>
      <c r="E6603" s="1" t="str">
        <f>""</f>
        <v/>
      </c>
      <c r="F6603" s="1" t="s">
        <v>1860</v>
      </c>
      <c r="G6603" s="1" t="str">
        <f>CONCATENATE(" FOREMAN GROUP D.O.O.,"," ,"," OIB: 04807307105")</f>
        <v xml:space="preserve"> FOREMAN GROUP D.O.O., , OIB: 04807307105</v>
      </c>
      <c r="H6603" s="7"/>
      <c r="I6603" s="8" t="s">
        <v>3482</v>
      </c>
      <c r="J6603" s="8" t="s">
        <v>4117</v>
      </c>
      <c r="K6603" s="6" t="str">
        <f>"66.185,61"</f>
        <v>66.185,61</v>
      </c>
      <c r="L6603" s="6" t="str">
        <f>"16.546,40"</f>
        <v>16.546,40</v>
      </c>
      <c r="M6603" s="6" t="str">
        <f>"82.732,01"</f>
        <v>82.732,01</v>
      </c>
      <c r="N6603" s="8" t="s">
        <v>4117</v>
      </c>
      <c r="O6603" s="7"/>
      <c r="P6603" s="2" t="s">
        <v>8809</v>
      </c>
      <c r="Q6603" s="1"/>
      <c r="R6603" s="1"/>
      <c r="S6603" s="1" t="str">
        <f>"GZ-UN-2019-47718"</f>
        <v>GZ-UN-2019-47718</v>
      </c>
      <c r="T6603" s="1" t="s">
        <v>43</v>
      </c>
    </row>
    <row r="6604" spans="1:20" ht="51" x14ac:dyDescent="0.25">
      <c r="A6604" s="6">
        <v>6583</v>
      </c>
      <c r="B6604" s="1" t="str">
        <f>"2019-2449"</f>
        <v>2019-2449</v>
      </c>
      <c r="C6604" s="1" t="s">
        <v>5113</v>
      </c>
      <c r="D6604" s="1" t="s">
        <v>2404</v>
      </c>
      <c r="E6604" s="1" t="str">
        <f>""</f>
        <v/>
      </c>
      <c r="F6604" s="1" t="s">
        <v>1860</v>
      </c>
      <c r="G6604" s="1" t="str">
        <f>CONCATENATE(" DOMIN-PLIN D.O.O.,"," G. PODOTOČJE 57,"," 10410 VELIKA GORICA,"," OIB: 90332893585")</f>
        <v xml:space="preserve"> DOMIN-PLIN D.O.O., G. PODOTOČJE 57, 10410 VELIKA GORICA, OIB: 90332893585</v>
      </c>
      <c r="H6604" s="7"/>
      <c r="I6604" s="8" t="s">
        <v>5114</v>
      </c>
      <c r="J6604" s="8" t="s">
        <v>5115</v>
      </c>
      <c r="K6604" s="6" t="str">
        <f>"116.000,00"</f>
        <v>116.000,00</v>
      </c>
      <c r="L6604" s="6" t="str">
        <f>"29.000,00"</f>
        <v>29.000,00</v>
      </c>
      <c r="M6604" s="6" t="str">
        <f>"145.000,00"</f>
        <v>145.000,00</v>
      </c>
      <c r="N6604" s="8" t="s">
        <v>124</v>
      </c>
      <c r="O6604" s="7"/>
      <c r="P6604" s="2" t="s">
        <v>5614</v>
      </c>
      <c r="Q6604" s="7"/>
      <c r="R6604" s="1"/>
      <c r="S6604" s="1" t="str">
        <f>"GZ-UN-2019-50719"</f>
        <v>GZ-UN-2019-50719</v>
      </c>
      <c r="T6604" s="1" t="s">
        <v>2060</v>
      </c>
    </row>
    <row r="6605" spans="1:20" ht="51" x14ac:dyDescent="0.25">
      <c r="A6605" s="6">
        <v>6584</v>
      </c>
      <c r="B6605" s="1" t="str">
        <f>"2019-2364"</f>
        <v>2019-2364</v>
      </c>
      <c r="C6605" s="1" t="s">
        <v>5116</v>
      </c>
      <c r="D6605" s="1" t="s">
        <v>229</v>
      </c>
      <c r="E6605" s="1" t="str">
        <f>""</f>
        <v/>
      </c>
      <c r="F6605" s="1" t="s">
        <v>1860</v>
      </c>
      <c r="G6605" s="1" t="str">
        <f>CONCATENATE(" BLUEMONT D.O.O.,"," VINCEKOV BREG 20,"," 10000 ZAGREB,"," OIB: 54895392358")</f>
        <v xml:space="preserve"> BLUEMONT D.O.O., VINCEKOV BREG 20, 10000 ZAGREB, OIB: 54895392358</v>
      </c>
      <c r="H6605" s="7"/>
      <c r="I6605" s="8" t="s">
        <v>3920</v>
      </c>
      <c r="J6605" s="8" t="s">
        <v>2030</v>
      </c>
      <c r="K6605" s="6" t="str">
        <f>"12.220,00"</f>
        <v>12.220,00</v>
      </c>
      <c r="L6605" s="6" t="str">
        <f>"3.055,00"</f>
        <v>3.055,00</v>
      </c>
      <c r="M6605" s="6" t="str">
        <f>"15.275,00"</f>
        <v>15.275,00</v>
      </c>
      <c r="N6605" s="8" t="s">
        <v>2097</v>
      </c>
      <c r="O6605" s="7"/>
      <c r="P6605" s="2" t="s">
        <v>8825</v>
      </c>
      <c r="Q6605" s="7"/>
      <c r="R6605" s="1"/>
      <c r="S6605" s="1" t="str">
        <f>"GZ-UN-2019-50912"</f>
        <v>GZ-UN-2019-50912</v>
      </c>
      <c r="T6605" s="1" t="s">
        <v>43</v>
      </c>
    </row>
    <row r="6606" spans="1:20" ht="51" x14ac:dyDescent="0.25">
      <c r="A6606" s="6">
        <v>6585</v>
      </c>
      <c r="B6606" s="1" t="str">
        <f>"2019-2375"</f>
        <v>2019-2375</v>
      </c>
      <c r="C6606" s="1" t="s">
        <v>3394</v>
      </c>
      <c r="D6606" s="1" t="s">
        <v>381</v>
      </c>
      <c r="E6606" s="1" t="str">
        <f>""</f>
        <v/>
      </c>
      <c r="F6606" s="1" t="s">
        <v>1860</v>
      </c>
      <c r="G6606" s="1" t="str">
        <f>CONCATENATE(" ELEX D.O.O.,"," SVIBJE,"," SAVSKA 70,"," 10361 SESVETSKI KRALJEVEC,"," OIB: 34421776805")</f>
        <v xml:space="preserve"> ELEX D.O.O., SVIBJE, SAVSKA 70, 10361 SESVETSKI KRALJEVEC, OIB: 34421776805</v>
      </c>
      <c r="H6606" s="7"/>
      <c r="I6606" s="8" t="s">
        <v>3543</v>
      </c>
      <c r="J6606" s="8" t="s">
        <v>1047</v>
      </c>
      <c r="K6606" s="6" t="str">
        <f>"73.475,00"</f>
        <v>73.475,00</v>
      </c>
      <c r="L6606" s="6" t="str">
        <f>"18.368,75"</f>
        <v>18.368,75</v>
      </c>
      <c r="M6606" s="6" t="str">
        <f>"91.843,75"</f>
        <v>91.843,75</v>
      </c>
      <c r="N6606" s="8" t="s">
        <v>124</v>
      </c>
      <c r="O6606" s="7"/>
      <c r="P6606" s="2" t="s">
        <v>5614</v>
      </c>
      <c r="Q6606" s="7"/>
      <c r="R6606" s="1"/>
      <c r="S6606" s="1" t="str">
        <f>"GZ-UN-2019-58837"</f>
        <v>GZ-UN-2019-58837</v>
      </c>
      <c r="T6606" s="1" t="s">
        <v>55</v>
      </c>
    </row>
    <row r="6607" spans="1:20" ht="51" x14ac:dyDescent="0.25">
      <c r="A6607" s="6">
        <v>6586</v>
      </c>
      <c r="B6607" s="1" t="str">
        <f>"2019-1028"</f>
        <v>2019-1028</v>
      </c>
      <c r="C6607" s="1" t="s">
        <v>5117</v>
      </c>
      <c r="D6607" s="1" t="s">
        <v>3990</v>
      </c>
      <c r="E6607" s="1" t="str">
        <f>""</f>
        <v/>
      </c>
      <c r="F6607" s="1" t="s">
        <v>1860</v>
      </c>
      <c r="G6607" s="1" t="str">
        <f>CONCATENATE(" COMLAND D.O.O.,"," BREZOVIČKA CESTA 21,"," 10020 ZAGREB,"," OIB: 96293861644")</f>
        <v xml:space="preserve"> COMLAND D.O.O., BREZOVIČKA CESTA 21, 10020 ZAGREB, OIB: 96293861644</v>
      </c>
      <c r="H6607" s="7"/>
      <c r="I6607" s="8" t="s">
        <v>4442</v>
      </c>
      <c r="J6607" s="8" t="s">
        <v>4943</v>
      </c>
      <c r="K6607" s="6" t="str">
        <f>"87.600,00"</f>
        <v>87.600,00</v>
      </c>
      <c r="L6607" s="6" t="str">
        <f>"21.900,00"</f>
        <v>21.900,00</v>
      </c>
      <c r="M6607" s="6" t="str">
        <f>"109.500,00"</f>
        <v>109.500,00</v>
      </c>
      <c r="N6607" s="8" t="s">
        <v>124</v>
      </c>
      <c r="O6607" s="7"/>
      <c r="P6607" s="2" t="s">
        <v>5614</v>
      </c>
      <c r="Q6607" s="7"/>
      <c r="R6607" s="1"/>
      <c r="S6607" s="1" t="str">
        <f>"GZ-UN-2019-60854"</f>
        <v>GZ-UN-2019-60854</v>
      </c>
      <c r="T6607" s="1" t="s">
        <v>55</v>
      </c>
    </row>
    <row r="6608" spans="1:20" ht="63.75" x14ac:dyDescent="0.25">
      <c r="A6608" s="6">
        <v>6587</v>
      </c>
      <c r="B6608" s="1" t="str">
        <f>"2019-2181"</f>
        <v>2019-2181</v>
      </c>
      <c r="C6608" s="1" t="s">
        <v>2487</v>
      </c>
      <c r="D6608" s="1" t="s">
        <v>2488</v>
      </c>
      <c r="E6608" s="1" t="str">
        <f>""</f>
        <v/>
      </c>
      <c r="F6608" s="1" t="s">
        <v>1860</v>
      </c>
      <c r="G6608" s="1" t="str">
        <f>CONCATENATE(" PRIVREDNA BANKA ZAGREB D.D.,"," RADNIČKA CESTA 50,"," 10000 ZAGREB,"," OIB: 02535697732")</f>
        <v xml:space="preserve"> PRIVREDNA BANKA ZAGREB D.D., RADNIČKA CESTA 50, 10000 ZAGREB, OIB: 02535697732</v>
      </c>
      <c r="H6608" s="7"/>
      <c r="I6608" s="8" t="s">
        <v>558</v>
      </c>
      <c r="J6608" s="8" t="s">
        <v>4455</v>
      </c>
      <c r="K6608" s="6" t="str">
        <f>"97.991,60"</f>
        <v>97.991,60</v>
      </c>
      <c r="L6608" s="6" t="str">
        <f>"24.497,90"</f>
        <v>24.497,90</v>
      </c>
      <c r="M6608" s="6" t="str">
        <f>"122.489,50"</f>
        <v>122.489,50</v>
      </c>
      <c r="N6608" s="8" t="s">
        <v>946</v>
      </c>
      <c r="O6608" s="7"/>
      <c r="P6608" s="2" t="s">
        <v>8826</v>
      </c>
      <c r="Q6608" s="7"/>
      <c r="R6608" s="1"/>
      <c r="S6608" s="1" t="str">
        <f>"GZ-UN-2019-70029"</f>
        <v>GZ-UN-2019-70029</v>
      </c>
      <c r="T6608" s="1" t="s">
        <v>43</v>
      </c>
    </row>
    <row r="6609" spans="1:20" ht="102" x14ac:dyDescent="0.25">
      <c r="A6609" s="6">
        <v>6588</v>
      </c>
      <c r="B6609" s="1" t="str">
        <f>"2019-578"</f>
        <v>2019-578</v>
      </c>
      <c r="C6609" s="1" t="s">
        <v>5091</v>
      </c>
      <c r="D6609" s="1" t="s">
        <v>2211</v>
      </c>
      <c r="E6609" s="1" t="str">
        <f>""</f>
        <v/>
      </c>
      <c r="F6609" s="1" t="s">
        <v>1860</v>
      </c>
      <c r="G6609" s="1" t="str">
        <f>CONCATENATE(" OSKAR D.O.O.,"," RADOSLAVA CIMERMANA 36A,"," 10000 ZAGREB,"," OIB: 32193529865")</f>
        <v xml:space="preserve"> OSKAR D.O.O., RADOSLAVA CIMERMANA 36A, 10000 ZAGREB, OIB: 32193529865</v>
      </c>
      <c r="H6609" s="7"/>
      <c r="I6609" s="8" t="s">
        <v>4090</v>
      </c>
      <c r="J6609" s="8" t="s">
        <v>5118</v>
      </c>
      <c r="K6609" s="6" t="str">
        <f>"46.200,00"</f>
        <v>46.200,00</v>
      </c>
      <c r="L6609" s="6" t="str">
        <f>"11.550,00"</f>
        <v>11.550,00</v>
      </c>
      <c r="M6609" s="6" t="str">
        <f>"57.750,00"</f>
        <v>57.750,00</v>
      </c>
      <c r="N6609" s="8" t="s">
        <v>124</v>
      </c>
      <c r="O6609" s="7"/>
      <c r="P6609" s="2" t="s">
        <v>5614</v>
      </c>
      <c r="Q6609" s="7"/>
      <c r="R6609" s="1"/>
      <c r="S6609" s="1" t="str">
        <f>"GZ-UN-2019-79335"</f>
        <v>GZ-UN-2019-79335</v>
      </c>
      <c r="T6609" s="1" t="s">
        <v>55</v>
      </c>
    </row>
    <row r="6610" spans="1:20" ht="51" x14ac:dyDescent="0.25">
      <c r="A6610" s="6">
        <v>6589</v>
      </c>
      <c r="B6610" s="1" t="str">
        <f>"2019-1688"</f>
        <v>2019-1688</v>
      </c>
      <c r="C6610" s="1" t="s">
        <v>2470</v>
      </c>
      <c r="D6610" s="1" t="s">
        <v>1236</v>
      </c>
      <c r="E6610" s="1" t="str">
        <f>""</f>
        <v/>
      </c>
      <c r="F6610" s="1" t="s">
        <v>1860</v>
      </c>
      <c r="G6610" s="1" t="str">
        <f>CONCATENATE(" JAKA D.O.O.,"," OGRIZOVIĆEVA 28/B,","  10 000 ZAGREB,"," OIB: 3770592196")</f>
        <v xml:space="preserve"> JAKA D.O.O., OGRIZOVIĆEVA 28/B,  10 000 ZAGREB, OIB: 3770592196</v>
      </c>
      <c r="H6610" s="7"/>
      <c r="I6610" s="8" t="s">
        <v>4636</v>
      </c>
      <c r="J6610" s="8" t="s">
        <v>5119</v>
      </c>
      <c r="K6610" s="6" t="str">
        <f>"14.703,57"</f>
        <v>14.703,57</v>
      </c>
      <c r="L6610" s="6" t="str">
        <f>"3.675,89"</f>
        <v>3.675,89</v>
      </c>
      <c r="M6610" s="6" t="str">
        <f>"18.379,46"</f>
        <v>18.379,46</v>
      </c>
      <c r="N6610" s="8" t="s">
        <v>5120</v>
      </c>
      <c r="O6610" s="7"/>
      <c r="P6610" s="2" t="s">
        <v>8827</v>
      </c>
      <c r="Q6610" s="7"/>
      <c r="R6610" s="1"/>
      <c r="S6610" s="1" t="str">
        <f>"GZ-UN-2019-92786"</f>
        <v>GZ-UN-2019-92786</v>
      </c>
      <c r="T6610" s="1" t="s">
        <v>86</v>
      </c>
    </row>
    <row r="6611" spans="1:20" ht="51" x14ac:dyDescent="0.25">
      <c r="A6611" s="6">
        <v>6590</v>
      </c>
      <c r="B6611" s="1" t="str">
        <f>"2019-505"</f>
        <v>2019-505</v>
      </c>
      <c r="C6611" s="1" t="s">
        <v>5121</v>
      </c>
      <c r="D6611" s="1" t="s">
        <v>1246</v>
      </c>
      <c r="E6611" s="1" t="str">
        <f>""</f>
        <v/>
      </c>
      <c r="F6611" s="1" t="s">
        <v>1860</v>
      </c>
      <c r="G6611" s="1" t="str">
        <f>CONCATENATE(" PIRIĆ-PROMET D.O.O.,"," KOLAROVA 2,"," 10000 ZAGREB,"," OIB: 17094516543")</f>
        <v xml:space="preserve"> PIRIĆ-PROMET D.O.O., KOLAROVA 2, 10000 ZAGREB, OIB: 17094516543</v>
      </c>
      <c r="H6611" s="7"/>
      <c r="I6611" s="8" t="s">
        <v>3977</v>
      </c>
      <c r="J6611" s="8" t="s">
        <v>4319</v>
      </c>
      <c r="K6611" s="6" t="str">
        <f>"19.035,00"</f>
        <v>19.035,00</v>
      </c>
      <c r="L6611" s="6" t="str">
        <f>"4.758,75"</f>
        <v>4.758,75</v>
      </c>
      <c r="M6611" s="6" t="str">
        <f>"23.793,75"</f>
        <v>23.793,75</v>
      </c>
      <c r="N6611" s="8" t="s">
        <v>4067</v>
      </c>
      <c r="O6611" s="7"/>
      <c r="P6611" s="2" t="s">
        <v>8828</v>
      </c>
      <c r="Q6611" s="7"/>
      <c r="R6611" s="1"/>
      <c r="S6611" s="1" t="str">
        <f>"GZ-UN-2019-93268"</f>
        <v>GZ-UN-2019-93268</v>
      </c>
      <c r="T6611" s="1" t="s">
        <v>86</v>
      </c>
    </row>
    <row r="6612" spans="1:20" ht="63.75" x14ac:dyDescent="0.25">
      <c r="A6612" s="6">
        <v>6591</v>
      </c>
      <c r="B6612" s="1" t="str">
        <f>"2019-1118"</f>
        <v>2019-1118</v>
      </c>
      <c r="C6612" s="1" t="s">
        <v>3032</v>
      </c>
      <c r="D6612" s="1" t="s">
        <v>244</v>
      </c>
      <c r="E6612" s="1" t="str">
        <f>""</f>
        <v/>
      </c>
      <c r="F6612" s="1" t="s">
        <v>1860</v>
      </c>
      <c r="G6612" s="1" t="str">
        <f>CONCATENATE(" FOREMAN GROUP D.O.O.,"," ,"," OIB: 04807307105")</f>
        <v xml:space="preserve"> FOREMAN GROUP D.O.O., , OIB: 04807307105</v>
      </c>
      <c r="H6612" s="7"/>
      <c r="I6612" s="8" t="s">
        <v>5122</v>
      </c>
      <c r="J6612" s="8" t="s">
        <v>3815</v>
      </c>
      <c r="K6612" s="6" t="str">
        <f>"64.609,76"</f>
        <v>64.609,76</v>
      </c>
      <c r="L6612" s="6" t="str">
        <f>"16.152,44"</f>
        <v>16.152,44</v>
      </c>
      <c r="M6612" s="6" t="str">
        <f>"80.762,20"</f>
        <v>80.762,20</v>
      </c>
      <c r="N6612" s="8" t="s">
        <v>3815</v>
      </c>
      <c r="O6612" s="7"/>
      <c r="P6612" s="2" t="s">
        <v>8829</v>
      </c>
      <c r="Q6612" s="7"/>
      <c r="R6612" s="1"/>
      <c r="S6612" s="1" t="str">
        <f>"GZ-UN-2019-97701"</f>
        <v>GZ-UN-2019-97701</v>
      </c>
      <c r="T6612" s="1" t="s">
        <v>43</v>
      </c>
    </row>
    <row r="6613" spans="1:20" ht="76.5" x14ac:dyDescent="0.25">
      <c r="A6613" s="6">
        <v>6592</v>
      </c>
      <c r="B6613" s="1" t="str">
        <f>"2020-2395"</f>
        <v>2020-2395</v>
      </c>
      <c r="C6613" s="1" t="s">
        <v>2469</v>
      </c>
      <c r="D6613" s="1" t="s">
        <v>2287</v>
      </c>
      <c r="E6613" s="1" t="str">
        <f>""</f>
        <v/>
      </c>
      <c r="F6613" s="1" t="s">
        <v>1860</v>
      </c>
      <c r="G6613" s="1" t="str">
        <f>CONCATENATE(" SALON BANKARSKE OPREME - OZIMEC D.O.O.,"," REMETINEČKA CESTA 28,"," 10000 ZAGREB,"," OIB: 743642364")</f>
        <v xml:space="preserve"> SALON BANKARSKE OPREME - OZIMEC D.O.O., REMETINEČKA CESTA 28, 10000 ZAGREB, OIB: 743642364</v>
      </c>
      <c r="H6613" s="7"/>
      <c r="I6613" s="8" t="s">
        <v>4118</v>
      </c>
      <c r="J6613" s="8" t="s">
        <v>2583</v>
      </c>
      <c r="K6613" s="6" t="str">
        <f>"11.000,00"</f>
        <v>11.000,00</v>
      </c>
      <c r="L6613" s="6" t="str">
        <f>"2.750,00"</f>
        <v>2.750,00</v>
      </c>
      <c r="M6613" s="6" t="str">
        <f>"13.750,00"</f>
        <v>13.750,00</v>
      </c>
      <c r="N6613" s="8" t="s">
        <v>2079</v>
      </c>
      <c r="O6613" s="7"/>
      <c r="P6613" s="2" t="s">
        <v>8830</v>
      </c>
      <c r="Q6613" s="7"/>
      <c r="R6613" s="1"/>
      <c r="S6613" s="1" t="str">
        <f>"GZ-UN-2020-24312"</f>
        <v>GZ-UN-2020-24312</v>
      </c>
      <c r="T6613" s="1" t="s">
        <v>43</v>
      </c>
    </row>
    <row r="6614" spans="1:20" ht="63.75" x14ac:dyDescent="0.25">
      <c r="A6614" s="6">
        <v>6593</v>
      </c>
      <c r="B6614" s="1" t="str">
        <f>"2020-1778"</f>
        <v>2020-1778</v>
      </c>
      <c r="C6614" s="1" t="s">
        <v>2470</v>
      </c>
      <c r="D6614" s="1" t="s">
        <v>1236</v>
      </c>
      <c r="E6614" s="1" t="str">
        <f>""</f>
        <v/>
      </c>
      <c r="F6614" s="1" t="s">
        <v>1860</v>
      </c>
      <c r="G6614" s="1" t="str">
        <f>CONCATENATE(" ELEKTROKEM D.O.O.,"," VUGROVEC,"," AUGUSTA ŠENOE 69,"," 10360 SESVETE,"," OIB: 38411868043")</f>
        <v xml:space="preserve"> ELEKTROKEM D.O.O., VUGROVEC, AUGUSTA ŠENOE 69, 10360 SESVETE, OIB: 38411868043</v>
      </c>
      <c r="H6614" s="7"/>
      <c r="I6614" s="8" t="s">
        <v>4200</v>
      </c>
      <c r="J6614" s="8" t="s">
        <v>473</v>
      </c>
      <c r="K6614" s="6" t="str">
        <f>"11.520,00"</f>
        <v>11.520,00</v>
      </c>
      <c r="L6614" s="6" t="str">
        <f>"2.880,00"</f>
        <v>2.880,00</v>
      </c>
      <c r="M6614" s="6" t="str">
        <f>"14.400,00"</f>
        <v>14.400,00</v>
      </c>
      <c r="N6614" s="8" t="s">
        <v>2468</v>
      </c>
      <c r="O6614" s="7"/>
      <c r="P6614" s="2" t="s">
        <v>8831</v>
      </c>
      <c r="Q6614" s="7"/>
      <c r="R6614" s="1"/>
      <c r="S6614" s="1" t="str">
        <f>"GZ-UN-2020-24900"</f>
        <v>GZ-UN-2020-24900</v>
      </c>
      <c r="T6614" s="1" t="s">
        <v>86</v>
      </c>
    </row>
    <row r="6615" spans="1:20" ht="63.75" x14ac:dyDescent="0.25">
      <c r="A6615" s="6">
        <v>6594</v>
      </c>
      <c r="B6615" s="1" t="str">
        <f>"2020-445"</f>
        <v>2020-445</v>
      </c>
      <c r="C6615" s="1" t="s">
        <v>1676</v>
      </c>
      <c r="D6615" s="1" t="s">
        <v>267</v>
      </c>
      <c r="E6615" s="1" t="str">
        <f>""</f>
        <v/>
      </c>
      <c r="F6615" s="1" t="s">
        <v>1860</v>
      </c>
      <c r="G6615" s="1" t="str">
        <f>CONCATENATE(" THYSSENKRUPP DIZALA D.O.O.,"," FALLEROVO ŠETALIŠTE 22,"," 10000 ZAGREB,"," OIB: 03861531654")</f>
        <v xml:space="preserve"> THYSSENKRUPP DIZALA D.O.O., FALLEROVO ŠETALIŠTE 22, 10000 ZAGREB, OIB: 03861531654</v>
      </c>
      <c r="H6615" s="7"/>
      <c r="I6615" s="8" t="s">
        <v>5123</v>
      </c>
      <c r="J6615" s="8" t="s">
        <v>1349</v>
      </c>
      <c r="K6615" s="6" t="str">
        <f>"36.161,00"</f>
        <v>36.161,00</v>
      </c>
      <c r="L6615" s="6" t="str">
        <f>"9.040,25"</f>
        <v>9.040,25</v>
      </c>
      <c r="M6615" s="6" t="str">
        <f>"45.201,25"</f>
        <v>45.201,25</v>
      </c>
      <c r="N6615" s="8" t="s">
        <v>2636</v>
      </c>
      <c r="O6615" s="7"/>
      <c r="P6615" s="2" t="s">
        <v>8832</v>
      </c>
      <c r="Q6615" s="7"/>
      <c r="R6615" s="1"/>
      <c r="S6615" s="1" t="str">
        <f>"GZ-UN-2020-24954"</f>
        <v>GZ-UN-2020-24954</v>
      </c>
      <c r="T6615" s="1" t="s">
        <v>86</v>
      </c>
    </row>
    <row r="6616" spans="1:20" ht="51" x14ac:dyDescent="0.25">
      <c r="A6616" s="6">
        <v>6595</v>
      </c>
      <c r="B6616" s="1" t="str">
        <f>"2020-2212"</f>
        <v>2020-2212</v>
      </c>
      <c r="C6616" s="1" t="s">
        <v>5124</v>
      </c>
      <c r="D6616" s="1" t="s">
        <v>1689</v>
      </c>
      <c r="E6616" s="1" t="str">
        <f>""</f>
        <v/>
      </c>
      <c r="F6616" s="1" t="s">
        <v>1860</v>
      </c>
      <c r="G6616" s="1" t="str">
        <f>CONCATENATE(" VODOSKOK D.D.,"," ČULINEČKA CESTA 221/C,"," 10040 ZAGREB,"," OIB: 34134218058")</f>
        <v xml:space="preserve"> VODOSKOK D.D., ČULINEČKA CESTA 221/C, 10040 ZAGREB, OIB: 34134218058</v>
      </c>
      <c r="H6616" s="7"/>
      <c r="I6616" s="8" t="s">
        <v>4267</v>
      </c>
      <c r="J6616" s="8" t="s">
        <v>465</v>
      </c>
      <c r="K6616" s="6" t="str">
        <f>"187.150,00"</f>
        <v>187.150,00</v>
      </c>
      <c r="L6616" s="6" t="str">
        <f>"46.787,50"</f>
        <v>46.787,50</v>
      </c>
      <c r="M6616" s="6" t="str">
        <f>"233.937,50"</f>
        <v>233.937,50</v>
      </c>
      <c r="N6616" s="8" t="s">
        <v>124</v>
      </c>
      <c r="O6616" s="7"/>
      <c r="P6616" s="2" t="s">
        <v>5614</v>
      </c>
      <c r="Q6616" s="7"/>
      <c r="R6616" s="1"/>
      <c r="S6616" s="1" t="str">
        <f>"GZ-UN-2020-25043"</f>
        <v>GZ-UN-2020-25043</v>
      </c>
      <c r="T6616" s="1" t="s">
        <v>55</v>
      </c>
    </row>
    <row r="6617" spans="1:20" ht="51" x14ac:dyDescent="0.25">
      <c r="A6617" s="6">
        <v>6596</v>
      </c>
      <c r="B6617" s="1" t="str">
        <f>"2020-1852"</f>
        <v>2020-1852</v>
      </c>
      <c r="C6617" s="1" t="s">
        <v>2478</v>
      </c>
      <c r="D6617" s="1" t="s">
        <v>275</v>
      </c>
      <c r="E6617" s="1" t="str">
        <f>""</f>
        <v/>
      </c>
      <c r="F6617" s="1" t="s">
        <v>1860</v>
      </c>
      <c r="G6617" s="1" t="str">
        <f>CONCATENATE(" TEHMAR D.O.O.,"," STAJNIČKA 5,"," 10251 HRVATSKI LESKOVAC,"," OIB: 78055843019")</f>
        <v xml:space="preserve"> TEHMAR D.O.O., STAJNIČKA 5, 10251 HRVATSKI LESKOVAC, OIB: 78055843019</v>
      </c>
      <c r="H6617" s="7"/>
      <c r="I6617" s="8" t="s">
        <v>4267</v>
      </c>
      <c r="J6617" s="8" t="s">
        <v>465</v>
      </c>
      <c r="K6617" s="6" t="str">
        <f>"99.335,00"</f>
        <v>99.335,00</v>
      </c>
      <c r="L6617" s="6" t="str">
        <f>"24.833,75"</f>
        <v>24.833,75</v>
      </c>
      <c r="M6617" s="6" t="str">
        <f>"124.168,75"</f>
        <v>124.168,75</v>
      </c>
      <c r="N6617" s="8" t="s">
        <v>1271</v>
      </c>
      <c r="O6617" s="7"/>
      <c r="P6617" s="2" t="s">
        <v>8833</v>
      </c>
      <c r="Q6617" s="7"/>
      <c r="R6617" s="1"/>
      <c r="S6617" s="1" t="str">
        <f>"GZ-UN-2020-25044"</f>
        <v>GZ-UN-2020-25044</v>
      </c>
      <c r="T6617" s="1" t="s">
        <v>86</v>
      </c>
    </row>
    <row r="6618" spans="1:20" ht="51" x14ac:dyDescent="0.25">
      <c r="A6618" s="6">
        <v>6597</v>
      </c>
      <c r="B6618" s="1" t="str">
        <f>"2020-547"</f>
        <v>2020-547</v>
      </c>
      <c r="C6618" s="1" t="s">
        <v>2486</v>
      </c>
      <c r="D6618" s="1" t="s">
        <v>74</v>
      </c>
      <c r="E6618" s="1" t="str">
        <f>""</f>
        <v/>
      </c>
      <c r="F6618" s="1" t="s">
        <v>1860</v>
      </c>
      <c r="G6618" s="1" t="str">
        <f>CONCATENATE(" CONSCIUS D.O.O.,"," KUTNJAČKI PUT 9,"," 10000 ZAGREB,"," OIB: 33925981016")</f>
        <v xml:space="preserve"> CONSCIUS D.O.O., KUTNJAČKI PUT 9, 10000 ZAGREB, OIB: 33925981016</v>
      </c>
      <c r="H6618" s="7"/>
      <c r="I6618" s="8" t="s">
        <v>5125</v>
      </c>
      <c r="J6618" s="8" t="s">
        <v>271</v>
      </c>
      <c r="K6618" s="6" t="str">
        <f>"157.200,00"</f>
        <v>157.200,00</v>
      </c>
      <c r="L6618" s="6" t="str">
        <f>"39.300,00"</f>
        <v>39.300,00</v>
      </c>
      <c r="M6618" s="6" t="str">
        <f>"196.500,00"</f>
        <v>196.500,00</v>
      </c>
      <c r="N6618" s="8" t="s">
        <v>465</v>
      </c>
      <c r="O6618" s="7"/>
      <c r="P6618" s="2" t="s">
        <v>7064</v>
      </c>
      <c r="Q6618" s="7"/>
      <c r="R6618" s="1"/>
      <c r="S6618" s="1" t="str">
        <f>"GZ-UN-2020-27870"</f>
        <v>GZ-UN-2020-27870</v>
      </c>
      <c r="T6618" s="1" t="s">
        <v>43</v>
      </c>
    </row>
    <row r="6619" spans="1:20" ht="63.75" x14ac:dyDescent="0.25">
      <c r="A6619" s="6">
        <v>6598</v>
      </c>
      <c r="B6619" s="1" t="str">
        <f>"2020-990"</f>
        <v>2020-990</v>
      </c>
      <c r="C6619" s="1" t="s">
        <v>2485</v>
      </c>
      <c r="D6619" s="1" t="s">
        <v>1007</v>
      </c>
      <c r="E6619" s="1" t="str">
        <f>""</f>
        <v/>
      </c>
      <c r="F6619" s="1" t="s">
        <v>1860</v>
      </c>
      <c r="G6619" s="1" t="str">
        <f>CONCATENATE(" DRÄGER SAFETY D.O.O.,"," AVENIJA VEĆESLAVA HOLJEVCA 40,"," 10010 ZAGREB,"," OIB: 32874587842")</f>
        <v xml:space="preserve"> DRÄGER SAFETY D.O.O., AVENIJA VEĆESLAVA HOLJEVCA 40, 10010 ZAGREB, OIB: 32874587842</v>
      </c>
      <c r="H6619" s="7"/>
      <c r="I6619" s="8" t="s">
        <v>5126</v>
      </c>
      <c r="J6619" s="8" t="s">
        <v>2111</v>
      </c>
      <c r="K6619" s="6" t="str">
        <f>"68.160,88"</f>
        <v>68.160,88</v>
      </c>
      <c r="L6619" s="6" t="str">
        <f>"17.040,22"</f>
        <v>17.040,22</v>
      </c>
      <c r="M6619" s="6" t="str">
        <f>"85.201,10"</f>
        <v>85.201,10</v>
      </c>
      <c r="N6619" s="8" t="s">
        <v>124</v>
      </c>
      <c r="O6619" s="7"/>
      <c r="P6619" s="2" t="s">
        <v>5614</v>
      </c>
      <c r="Q6619" s="7"/>
      <c r="R6619" s="1"/>
      <c r="S6619" s="1" t="str">
        <f>"GZ-UN-2020-31266"</f>
        <v>GZ-UN-2020-31266</v>
      </c>
      <c r="T6619" s="1" t="s">
        <v>55</v>
      </c>
    </row>
    <row r="6620" spans="1:20" ht="63.75" x14ac:dyDescent="0.25">
      <c r="A6620" s="6">
        <v>6599</v>
      </c>
      <c r="B6620" s="1" t="str">
        <f>"2020-1238"</f>
        <v>2020-1238</v>
      </c>
      <c r="C6620" s="1" t="s">
        <v>3032</v>
      </c>
      <c r="D6620" s="1" t="s">
        <v>244</v>
      </c>
      <c r="E6620" s="1" t="str">
        <f>""</f>
        <v/>
      </c>
      <c r="F6620" s="1" t="s">
        <v>1860</v>
      </c>
      <c r="G6620" s="1" t="str">
        <f>CONCATENATE(" FOREMAN GROUP D.O.O.,"," ,"," OIB: 04807307105")</f>
        <v xml:space="preserve"> FOREMAN GROUP D.O.O., , OIB: 04807307105</v>
      </c>
      <c r="H6620" s="7"/>
      <c r="I6620" s="8" t="s">
        <v>5126</v>
      </c>
      <c r="J6620" s="8" t="s">
        <v>1247</v>
      </c>
      <c r="K6620" s="6" t="str">
        <f>"66.185,61"</f>
        <v>66.185,61</v>
      </c>
      <c r="L6620" s="6" t="str">
        <f>"16.546,40"</f>
        <v>16.546,40</v>
      </c>
      <c r="M6620" s="6" t="str">
        <f>"82.732,01"</f>
        <v>82.732,01</v>
      </c>
      <c r="N6620" s="8" t="s">
        <v>1247</v>
      </c>
      <c r="O6620" s="7"/>
      <c r="P6620" s="2" t="s">
        <v>8834</v>
      </c>
      <c r="Q6620" s="7"/>
      <c r="R6620" s="1"/>
      <c r="S6620" s="1" t="str">
        <f>"GZ-UN-2020-31291"</f>
        <v>GZ-UN-2020-31291</v>
      </c>
      <c r="T6620" s="1" t="s">
        <v>43</v>
      </c>
    </row>
    <row r="6621" spans="1:20" ht="51" x14ac:dyDescent="0.25">
      <c r="A6621" s="6">
        <v>6600</v>
      </c>
      <c r="B6621" s="1" t="str">
        <f>"2020-1345"</f>
        <v>2020-1345</v>
      </c>
      <c r="C6621" s="1" t="s">
        <v>2970</v>
      </c>
      <c r="D6621" s="1" t="s">
        <v>2971</v>
      </c>
      <c r="E6621" s="1" t="str">
        <f>""</f>
        <v/>
      </c>
      <c r="F6621" s="1" t="s">
        <v>1860</v>
      </c>
      <c r="G6621" s="1" t="str">
        <f>CONCATENATE(" PUĆO D.O.O.,"," SAMOBORSKA CESTA 69,"," 10000 ZAGREB,"," OIB: 40627607407")</f>
        <v xml:space="preserve"> PUĆO D.O.O., SAMOBORSKA CESTA 69, 10000 ZAGREB, OIB: 40627607407</v>
      </c>
      <c r="H6621" s="7"/>
      <c r="I6621" s="8" t="s">
        <v>4449</v>
      </c>
      <c r="J6621" s="8" t="s">
        <v>2090</v>
      </c>
      <c r="K6621" s="6" t="str">
        <f>"133.715,40"</f>
        <v>133.715,40</v>
      </c>
      <c r="L6621" s="6" t="str">
        <f>"33.428,85"</f>
        <v>33.428,85</v>
      </c>
      <c r="M6621" s="6" t="str">
        <f>"167.144,25"</f>
        <v>167.144,25</v>
      </c>
      <c r="N6621" s="8" t="s">
        <v>124</v>
      </c>
      <c r="O6621" s="7"/>
      <c r="P6621" s="2" t="s">
        <v>5614</v>
      </c>
      <c r="Q6621" s="7"/>
      <c r="R6621" s="1"/>
      <c r="S6621" s="1" t="str">
        <f>"GZ-UN-2020-31370"</f>
        <v>GZ-UN-2020-31370</v>
      </c>
      <c r="T6621" s="1" t="s">
        <v>55</v>
      </c>
    </row>
    <row r="6622" spans="1:20" ht="63.75" x14ac:dyDescent="0.25">
      <c r="A6622" s="6">
        <v>6601</v>
      </c>
      <c r="B6622" s="1" t="str">
        <f>"2020-200"</f>
        <v>2020-200</v>
      </c>
      <c r="C6622" s="1" t="s">
        <v>5127</v>
      </c>
      <c r="D6622" s="1" t="s">
        <v>185</v>
      </c>
      <c r="E6622" s="1" t="str">
        <f>""</f>
        <v/>
      </c>
      <c r="F6622" s="1" t="s">
        <v>1860</v>
      </c>
      <c r="G6622" s="1" t="str">
        <f>CONCATENATE(" ADRIA GRUPA D.O.O.,"," HEINZELOVA 53/A,"," 10000 ZAGREB,"," OIB: 0663766096")</f>
        <v xml:space="preserve"> ADRIA GRUPA D.O.O., HEINZELOVA 53/A, 10000 ZAGREB, OIB: 0663766096</v>
      </c>
      <c r="H6622" s="7"/>
      <c r="I6622" s="8" t="s">
        <v>861</v>
      </c>
      <c r="J6622" s="8" t="s">
        <v>1230</v>
      </c>
      <c r="K6622" s="6" t="str">
        <f>"489.400,00"</f>
        <v>489.400,00</v>
      </c>
      <c r="L6622" s="6" t="str">
        <f>"122.350,00"</f>
        <v>122.350,00</v>
      </c>
      <c r="M6622" s="6" t="str">
        <f>"611.750,00"</f>
        <v>611.750,00</v>
      </c>
      <c r="N6622" s="8" t="s">
        <v>124</v>
      </c>
      <c r="O6622" s="7"/>
      <c r="P6622" s="2" t="s">
        <v>5614</v>
      </c>
      <c r="Q6622" s="7"/>
      <c r="R6622" s="1"/>
      <c r="S6622" s="1" t="str">
        <f>"GZ-UN-2020-31901"</f>
        <v>GZ-UN-2020-31901</v>
      </c>
      <c r="T6622" s="1" t="s">
        <v>55</v>
      </c>
    </row>
    <row r="6623" spans="1:20" ht="51" x14ac:dyDescent="0.25">
      <c r="A6623" s="6">
        <v>6602</v>
      </c>
      <c r="B6623" s="1" t="str">
        <f>"2020-71"</f>
        <v>2020-71</v>
      </c>
      <c r="C6623" s="1" t="s">
        <v>5113</v>
      </c>
      <c r="D6623" s="1" t="s">
        <v>2404</v>
      </c>
      <c r="E6623" s="1" t="str">
        <f>""</f>
        <v/>
      </c>
      <c r="F6623" s="1" t="s">
        <v>1860</v>
      </c>
      <c r="G6623" s="1" t="str">
        <f>CONCATENATE(" DOMIN-PLIN D.O.O.,"," G. PODOTOČJE 57,"," 10410 VELIKA GORICA,"," OIB: 90332893585")</f>
        <v xml:space="preserve"> DOMIN-PLIN D.O.O., G. PODOTOČJE 57, 10410 VELIKA GORICA, OIB: 90332893585</v>
      </c>
      <c r="H6623" s="7"/>
      <c r="I6623" s="8" t="s">
        <v>5128</v>
      </c>
      <c r="J6623" s="8" t="s">
        <v>5129</v>
      </c>
      <c r="K6623" s="6" t="str">
        <f>"125.600,00"</f>
        <v>125.600,00</v>
      </c>
      <c r="L6623" s="6" t="str">
        <f>"31.400,00"</f>
        <v>31.400,00</v>
      </c>
      <c r="M6623" s="6" t="str">
        <f>"157.000,00"</f>
        <v>157.000,00</v>
      </c>
      <c r="N6623" s="8" t="s">
        <v>124</v>
      </c>
      <c r="O6623" s="7"/>
      <c r="P6623" s="2" t="s">
        <v>5614</v>
      </c>
      <c r="Q6623" s="7"/>
      <c r="R6623" s="1"/>
      <c r="S6623" s="1" t="str">
        <f>"GZ-UN-2020-33785"</f>
        <v>GZ-UN-2020-33785</v>
      </c>
      <c r="T6623" s="1" t="s">
        <v>2060</v>
      </c>
    </row>
    <row r="6624" spans="1:20" ht="63.75" x14ac:dyDescent="0.25">
      <c r="A6624" s="6">
        <v>6603</v>
      </c>
      <c r="B6624" s="1" t="str">
        <f>"2020-2546"</f>
        <v>2020-2546</v>
      </c>
      <c r="C6624" s="1" t="s">
        <v>2487</v>
      </c>
      <c r="D6624" s="1" t="s">
        <v>2488</v>
      </c>
      <c r="E6624" s="1" t="str">
        <f>""</f>
        <v/>
      </c>
      <c r="F6624" s="1" t="s">
        <v>1860</v>
      </c>
      <c r="G6624" s="1" t="str">
        <f>CONCATENATE(" PRIVREDNA BANKA ZAGREB D.D.,"," RADNIČKA CESTA 50,"," 10000 ZAGREB,"," OIB: 02535697732")</f>
        <v xml:space="preserve"> PRIVREDNA BANKA ZAGREB D.D., RADNIČKA CESTA 50, 10000 ZAGREB, OIB: 02535697732</v>
      </c>
      <c r="H6624" s="7"/>
      <c r="I6624" s="8" t="s">
        <v>4699</v>
      </c>
      <c r="J6624" s="8" t="s">
        <v>1182</v>
      </c>
      <c r="K6624" s="6" t="str">
        <f>"83.266,70"</f>
        <v>83.266,70</v>
      </c>
      <c r="L6624" s="6" t="str">
        <f>"20.816,68"</f>
        <v>20.816,68</v>
      </c>
      <c r="M6624" s="6" t="str">
        <f>"104.083,38"</f>
        <v>104.083,38</v>
      </c>
      <c r="N6624" s="7"/>
      <c r="O6624" s="9">
        <v>44088</v>
      </c>
      <c r="P6624" s="2" t="s">
        <v>5614</v>
      </c>
      <c r="Q6624" s="7"/>
      <c r="R6624" s="1"/>
      <c r="S6624" s="1" t="str">
        <f>"GZ-UN-2020-36292"</f>
        <v>GZ-UN-2020-36292</v>
      </c>
      <c r="T6624" s="1" t="s">
        <v>43</v>
      </c>
    </row>
    <row r="6625" spans="1:20" ht="63.75" x14ac:dyDescent="0.25">
      <c r="A6625" s="6">
        <v>6604</v>
      </c>
      <c r="B6625" s="1" t="str">
        <f>"2020-2546"</f>
        <v>2020-2546</v>
      </c>
      <c r="C6625" s="1" t="s">
        <v>2487</v>
      </c>
      <c r="D6625" s="1" t="s">
        <v>2488</v>
      </c>
      <c r="E6625" s="1" t="str">
        <f>""</f>
        <v/>
      </c>
      <c r="F6625" s="1" t="s">
        <v>1860</v>
      </c>
      <c r="G6625" s="1" t="str">
        <f>CONCATENATE(" PRIVREDNA BANKA ZAGREB D.D.,"," RADNIČKA CESTA 50,"," 10000 ZAGREB,"," OIB: 02535697732")</f>
        <v xml:space="preserve"> PRIVREDNA BANKA ZAGREB D.D., RADNIČKA CESTA 50, 10000 ZAGREB, OIB: 02535697732</v>
      </c>
      <c r="H6625" s="7"/>
      <c r="I6625" s="8" t="s">
        <v>5130</v>
      </c>
      <c r="J6625" s="8" t="s">
        <v>2918</v>
      </c>
      <c r="K6625" s="6" t="str">
        <f>"83.266,70"</f>
        <v>83.266,70</v>
      </c>
      <c r="L6625" s="6" t="str">
        <f>"20.816,68"</f>
        <v>20.816,68</v>
      </c>
      <c r="M6625" s="6" t="str">
        <f>"104.083,38"</f>
        <v>104.083,38</v>
      </c>
      <c r="N6625" s="8" t="s">
        <v>137</v>
      </c>
      <c r="O6625" s="7"/>
      <c r="P6625" s="2" t="s">
        <v>8835</v>
      </c>
      <c r="Q6625" s="7"/>
      <c r="R6625" s="1"/>
      <c r="S6625" s="1" t="str">
        <f>"GZ-UN-2020-36469"</f>
        <v>GZ-UN-2020-36469</v>
      </c>
      <c r="T6625" s="1" t="s">
        <v>43</v>
      </c>
    </row>
    <row r="6626" spans="1:20" ht="51" x14ac:dyDescent="0.25">
      <c r="A6626" s="6">
        <v>6605</v>
      </c>
      <c r="B6626" s="1" t="str">
        <f>"2020-728"</f>
        <v>2020-728</v>
      </c>
      <c r="C6626" s="1" t="s">
        <v>2733</v>
      </c>
      <c r="D6626" s="1" t="s">
        <v>914</v>
      </c>
      <c r="E6626" s="1" t="str">
        <f>""</f>
        <v/>
      </c>
      <c r="F6626" s="1" t="s">
        <v>1860</v>
      </c>
      <c r="G6626" s="1" t="str">
        <f>CONCATENATE(" T.P.Z.  D.O.O.,"," NOVOSELSKA 25,"," 10040 ZAGREB,"," OIB: 68119083236")</f>
        <v xml:space="preserve"> T.P.Z.  D.O.O., NOVOSELSKA 25, 10040 ZAGREB, OIB: 68119083236</v>
      </c>
      <c r="H6626" s="7"/>
      <c r="I6626" s="8" t="s">
        <v>5131</v>
      </c>
      <c r="J6626" s="8" t="s">
        <v>2717</v>
      </c>
      <c r="K6626" s="6" t="str">
        <f>"14.604,22"</f>
        <v>14.604,22</v>
      </c>
      <c r="L6626" s="6" t="str">
        <f>"3.651,06"</f>
        <v>3.651,06</v>
      </c>
      <c r="M6626" s="6" t="str">
        <f>"18.255,28"</f>
        <v>18.255,28</v>
      </c>
      <c r="N6626" s="8" t="s">
        <v>124</v>
      </c>
      <c r="O6626" s="7"/>
      <c r="P6626" s="2" t="s">
        <v>5614</v>
      </c>
      <c r="Q6626" s="7"/>
      <c r="R6626" s="1"/>
      <c r="S6626" s="1" t="str">
        <f>"GZ-UN-2020-37135"</f>
        <v>GZ-UN-2020-37135</v>
      </c>
      <c r="T6626" s="1" t="s">
        <v>55</v>
      </c>
    </row>
    <row r="6627" spans="1:20" ht="76.5" x14ac:dyDescent="0.25">
      <c r="A6627" s="6">
        <v>6606</v>
      </c>
      <c r="B6627" s="1" t="str">
        <f>"2020-737"</f>
        <v>2020-737</v>
      </c>
      <c r="C6627" s="1" t="s">
        <v>5078</v>
      </c>
      <c r="D6627" s="1" t="s">
        <v>1236</v>
      </c>
      <c r="E6627" s="1" t="str">
        <f>""</f>
        <v/>
      </c>
      <c r="F6627" s="1" t="s">
        <v>1860</v>
      </c>
      <c r="G6627" s="1" t="str">
        <f>CONCATENATE(" BILIĆ-ERIĆ D.O.O.,"," TRGOVAČKI CENTAR MILLENNIJUM,"," LJUDEVITA POSAVSKOG 3,"," 10360 SESVETE,"," OIB: 685801282")</f>
        <v xml:space="preserve"> BILIĆ-ERIĆ D.O.O., TRGOVAČKI CENTAR MILLENNIJUM, LJUDEVITA POSAVSKOG 3, 10360 SESVETE, OIB: 685801282</v>
      </c>
      <c r="H6627" s="7"/>
      <c r="I6627" s="8" t="s">
        <v>4288</v>
      </c>
      <c r="J6627" s="8" t="s">
        <v>2896</v>
      </c>
      <c r="K6627" s="6" t="str">
        <f>"193.232,00"</f>
        <v>193.232,00</v>
      </c>
      <c r="L6627" s="6" t="str">
        <f>"48.308,00"</f>
        <v>48.308,00</v>
      </c>
      <c r="M6627" s="6" t="str">
        <f>"241.540,00"</f>
        <v>241.540,00</v>
      </c>
      <c r="N6627" s="8" t="s">
        <v>124</v>
      </c>
      <c r="O6627" s="7"/>
      <c r="P6627" s="2" t="s">
        <v>5614</v>
      </c>
      <c r="Q6627" s="7"/>
      <c r="R6627" s="1"/>
      <c r="S6627" s="1" t="str">
        <f>"GZ-UN-2020-37924"</f>
        <v>GZ-UN-2020-37924</v>
      </c>
      <c r="T6627" s="1" t="s">
        <v>55</v>
      </c>
    </row>
    <row r="6628" spans="1:20" ht="51" x14ac:dyDescent="0.25">
      <c r="A6628" s="6">
        <v>6607</v>
      </c>
      <c r="B6628" s="1" t="str">
        <f>"2020-153"</f>
        <v>2020-153</v>
      </c>
      <c r="C6628" s="1" t="s">
        <v>4936</v>
      </c>
      <c r="D6628" s="1" t="s">
        <v>1150</v>
      </c>
      <c r="E6628" s="1" t="str">
        <f>""</f>
        <v/>
      </c>
      <c r="F6628" s="1" t="s">
        <v>1860</v>
      </c>
      <c r="G6628" s="1" t="str">
        <f>CONCATENATE(" CROATIA PUMPE NOVA D.O.O.,"," MALA ŠVARČA 155,"," 47000 KARLOVAC,"," OIB: 91122196414")</f>
        <v xml:space="preserve"> CROATIA PUMPE NOVA D.O.O., MALA ŠVARČA 155, 47000 KARLOVAC, OIB: 91122196414</v>
      </c>
      <c r="H6628" s="7"/>
      <c r="I6628" s="8" t="s">
        <v>5132</v>
      </c>
      <c r="J6628" s="8" t="s">
        <v>1445</v>
      </c>
      <c r="K6628" s="6" t="str">
        <f>"108.500,00"</f>
        <v>108.500,00</v>
      </c>
      <c r="L6628" s="6" t="str">
        <f>"27.125,00"</f>
        <v>27.125,00</v>
      </c>
      <c r="M6628" s="6" t="str">
        <f>"135.625,00"</f>
        <v>135.625,00</v>
      </c>
      <c r="N6628" s="8" t="s">
        <v>124</v>
      </c>
      <c r="O6628" s="7"/>
      <c r="P6628" s="2" t="s">
        <v>5614</v>
      </c>
      <c r="Q6628" s="7"/>
      <c r="R6628" s="1"/>
      <c r="S6628" s="1" t="str">
        <f>"GZ-UN-2020-38091"</f>
        <v>GZ-UN-2020-38091</v>
      </c>
      <c r="T6628" s="1" t="s">
        <v>55</v>
      </c>
    </row>
    <row r="6629" spans="1:20" ht="76.5" x14ac:dyDescent="0.25">
      <c r="A6629" s="6">
        <v>6608</v>
      </c>
      <c r="B6629" s="1" t="str">
        <f>"2020-2484"</f>
        <v>2020-2484</v>
      </c>
      <c r="C6629" s="1" t="s">
        <v>2405</v>
      </c>
      <c r="D6629" s="1" t="s">
        <v>880</v>
      </c>
      <c r="E6629" s="1" t="str">
        <f>""</f>
        <v/>
      </c>
      <c r="F6629" s="1" t="s">
        <v>1860</v>
      </c>
      <c r="G6629" s="1" t="str">
        <f>CONCATENATE(" USTANOVA ZA ZDRAVSTVENU SKRB PERIODIKA,"," ULICA GRADA VUKOVARA 284,"," 10000 ZAGREB,"," OIB: 950629514")</f>
        <v xml:space="preserve"> USTANOVA ZA ZDRAVSTVENU SKRB PERIODIKA, ULICA GRADA VUKOVARA 284, 10000 ZAGREB, OIB: 950629514</v>
      </c>
      <c r="H6629" s="7"/>
      <c r="I6629" s="8" t="s">
        <v>3806</v>
      </c>
      <c r="J6629" s="8" t="s">
        <v>1988</v>
      </c>
      <c r="K6629" s="6" t="str">
        <f>"32.650,00"</f>
        <v>32.650,00</v>
      </c>
      <c r="L6629" s="6" t="str">
        <f>"8.162,50"</f>
        <v>8.162,50</v>
      </c>
      <c r="M6629" s="6" t="str">
        <f>"40.812,50"</f>
        <v>40.812,50</v>
      </c>
      <c r="N6629" s="8" t="s">
        <v>124</v>
      </c>
      <c r="O6629" s="7"/>
      <c r="P6629" s="2" t="s">
        <v>5614</v>
      </c>
      <c r="Q6629" s="7"/>
      <c r="R6629" s="1"/>
      <c r="S6629" s="1" t="str">
        <f>"GZ-UN-2020-38290"</f>
        <v>GZ-UN-2020-38290</v>
      </c>
      <c r="T6629" s="1" t="s">
        <v>55</v>
      </c>
    </row>
    <row r="6630" spans="1:20" ht="51" x14ac:dyDescent="0.25">
      <c r="A6630" s="6">
        <v>6609</v>
      </c>
      <c r="B6630" s="1" t="str">
        <f>"2020-1408"</f>
        <v>2020-1408</v>
      </c>
      <c r="C6630" s="1" t="s">
        <v>2466</v>
      </c>
      <c r="D6630" s="1" t="s">
        <v>1326</v>
      </c>
      <c r="E6630" s="1" t="str">
        <f>""</f>
        <v/>
      </c>
      <c r="F6630" s="1" t="s">
        <v>1860</v>
      </c>
      <c r="G6630" s="1" t="str">
        <f>CONCATENATE(" EKO-DERATIZACIJA d.o.o.,"," ČRNKOVEČKA 9a,"," 10000 ZAGREB,"," OIB: 3800183172")</f>
        <v xml:space="preserve"> EKO-DERATIZACIJA d.o.o., ČRNKOVEČKA 9a, 10000 ZAGREB, OIB: 3800183172</v>
      </c>
      <c r="H6630" s="7"/>
      <c r="I6630" s="8" t="s">
        <v>968</v>
      </c>
      <c r="J6630" s="8" t="s">
        <v>1300</v>
      </c>
      <c r="K6630" s="6" t="str">
        <f>"54.000,00"</f>
        <v>54.000,00</v>
      </c>
      <c r="L6630" s="6" t="str">
        <f>"13.500,00"</f>
        <v>13.500,00</v>
      </c>
      <c r="M6630" s="6" t="str">
        <f>"67.500,00"</f>
        <v>67.500,00</v>
      </c>
      <c r="N6630" s="8" t="s">
        <v>1291</v>
      </c>
      <c r="O6630" s="7"/>
      <c r="P6630" s="2" t="s">
        <v>8836</v>
      </c>
      <c r="Q6630" s="7"/>
      <c r="R6630" s="1"/>
      <c r="S6630" s="1" t="str">
        <f>"GZ-UN-2020-39752"</f>
        <v>GZ-UN-2020-39752</v>
      </c>
      <c r="T6630" s="1" t="s">
        <v>43</v>
      </c>
    </row>
    <row r="6631" spans="1:20" ht="63.75" x14ac:dyDescent="0.25">
      <c r="A6631" s="6">
        <v>6610</v>
      </c>
      <c r="B6631" s="1" t="str">
        <f>"2020-2023"</f>
        <v>2020-2023</v>
      </c>
      <c r="C6631" s="1" t="s">
        <v>2475</v>
      </c>
      <c r="D6631" s="1" t="s">
        <v>1824</v>
      </c>
      <c r="E6631" s="1" t="str">
        <f>""</f>
        <v/>
      </c>
      <c r="F6631" s="1" t="s">
        <v>1860</v>
      </c>
      <c r="G6631" s="1" t="str">
        <f>CONCATENATE(" IVNE GRAĐEVINA D.O.O.,"," LASTOVSKA 2A,"," 10000 ZAGREB,"," OIB: 98095915259")</f>
        <v xml:space="preserve"> IVNE GRAĐEVINA D.O.O., LASTOVSKA 2A, 10000 ZAGREB, OIB: 98095915259</v>
      </c>
      <c r="H6631" s="7"/>
      <c r="I6631" s="8" t="s">
        <v>4413</v>
      </c>
      <c r="J6631" s="8" t="s">
        <v>441</v>
      </c>
      <c r="K6631" s="6" t="str">
        <f>"19.460,00"</f>
        <v>19.460,00</v>
      </c>
      <c r="L6631" s="6" t="str">
        <f>"4.865,00"</f>
        <v>4.865,00</v>
      </c>
      <c r="M6631" s="6" t="str">
        <f>"24.325,00"</f>
        <v>24.325,00</v>
      </c>
      <c r="N6631" s="8" t="s">
        <v>124</v>
      </c>
      <c r="O6631" s="7"/>
      <c r="P6631" s="2" t="s">
        <v>5614</v>
      </c>
      <c r="Q6631" s="7"/>
      <c r="R6631" s="1"/>
      <c r="S6631" s="1" t="str">
        <f>"GZ-UN-2020-40587"</f>
        <v>GZ-UN-2020-40587</v>
      </c>
      <c r="T6631" s="1" t="s">
        <v>55</v>
      </c>
    </row>
    <row r="6632" spans="1:20" ht="51" x14ac:dyDescent="0.25">
      <c r="A6632" s="6">
        <v>6611</v>
      </c>
      <c r="B6632" s="1" t="str">
        <f>"2020-1261"</f>
        <v>2020-1261</v>
      </c>
      <c r="C6632" s="1" t="s">
        <v>5133</v>
      </c>
      <c r="D6632" s="1" t="s">
        <v>463</v>
      </c>
      <c r="E6632" s="1" t="str">
        <f>""</f>
        <v/>
      </c>
      <c r="F6632" s="1" t="s">
        <v>1860</v>
      </c>
      <c r="G6632" s="1" t="str">
        <f>CONCATENATE(" INFOART D.O.O.,"," LASTOVSKA 23,"," 10000 ZAGREB,"," OIB: 88255578438")</f>
        <v xml:space="preserve"> INFOART D.O.O., LASTOVSKA 23, 10000 ZAGREB, OIB: 88255578438</v>
      </c>
      <c r="H6632" s="7"/>
      <c r="I6632" s="8" t="s">
        <v>4413</v>
      </c>
      <c r="J6632" s="8" t="s">
        <v>441</v>
      </c>
      <c r="K6632" s="6" t="str">
        <f>"120.000,00"</f>
        <v>120.000,00</v>
      </c>
      <c r="L6632" s="6" t="str">
        <f>"30.000,00"</f>
        <v>30.000,00</v>
      </c>
      <c r="M6632" s="6" t="str">
        <f>"150.000,00"</f>
        <v>150.000,00</v>
      </c>
      <c r="N6632" s="8" t="s">
        <v>124</v>
      </c>
      <c r="O6632" s="7"/>
      <c r="P6632" s="2" t="s">
        <v>5614</v>
      </c>
      <c r="Q6632" s="7"/>
      <c r="R6632" s="1"/>
      <c r="S6632" s="1" t="str">
        <f>"GZ-UN-2020-40637"</f>
        <v>GZ-UN-2020-40637</v>
      </c>
      <c r="T6632" s="1" t="s">
        <v>55</v>
      </c>
    </row>
    <row r="6633" spans="1:20" ht="102" x14ac:dyDescent="0.25">
      <c r="A6633" s="6">
        <v>6612</v>
      </c>
      <c r="B6633" s="1" t="str">
        <f>"2020-1998"</f>
        <v>2020-1998</v>
      </c>
      <c r="C6633" s="1" t="s">
        <v>4576</v>
      </c>
      <c r="D6633" s="1" t="s">
        <v>1824</v>
      </c>
      <c r="E6633" s="1" t="str">
        <f>""</f>
        <v/>
      </c>
      <c r="F6633" s="1" t="s">
        <v>1860</v>
      </c>
      <c r="G6633" s="1" t="str">
        <f>CONCATENATE(" MM MODIO D.O.O.,"," ŠENOVA 15,"," 10000 ZAGREB,"," OIB: 71076455018")</f>
        <v xml:space="preserve"> MM MODIO D.O.O., ŠENOVA 15, 10000 ZAGREB, OIB: 71076455018</v>
      </c>
      <c r="H6633" s="7"/>
      <c r="I6633" s="8" t="s">
        <v>5134</v>
      </c>
      <c r="J6633" s="8" t="s">
        <v>188</v>
      </c>
      <c r="K6633" s="6" t="str">
        <f>"24.000,00"</f>
        <v>24.000,00</v>
      </c>
      <c r="L6633" s="6" t="str">
        <f>"6.000,00"</f>
        <v>6.000,00</v>
      </c>
      <c r="M6633" s="6" t="str">
        <f>"30.000,00"</f>
        <v>30.000,00</v>
      </c>
      <c r="N6633" s="8" t="s">
        <v>5607</v>
      </c>
      <c r="O6633" s="7"/>
      <c r="P6633" s="2" t="s">
        <v>5614</v>
      </c>
      <c r="Q6633" s="7"/>
      <c r="R6633" s="1"/>
      <c r="S6633" s="1" t="str">
        <f>"GZ-UN-2020-41490"</f>
        <v>GZ-UN-2020-41490</v>
      </c>
      <c r="T6633" s="1" t="s">
        <v>55</v>
      </c>
    </row>
    <row r="6634" spans="1:20" ht="38.25" x14ac:dyDescent="0.25">
      <c r="A6634" s="6">
        <v>6613</v>
      </c>
      <c r="B6634" s="1" t="str">
        <f>"2020-2931"</f>
        <v>2020-2931</v>
      </c>
      <c r="C6634" s="1" t="s">
        <v>5135</v>
      </c>
      <c r="D6634" s="1" t="s">
        <v>1391</v>
      </c>
      <c r="E6634" s="1" t="str">
        <f>""</f>
        <v/>
      </c>
      <c r="F6634" s="1" t="s">
        <v>1860</v>
      </c>
      <c r="G6634" s="1" t="str">
        <f>CONCATENATE(" HITRA PRODUKCIJA DOKUMENATA D.O.O.,"," ,"," OIB: 65443507068")</f>
        <v xml:space="preserve"> HITRA PRODUKCIJA DOKUMENATA D.O.O., , OIB: 65443507068</v>
      </c>
      <c r="H6634" s="7"/>
      <c r="I6634" s="8" t="s">
        <v>5136</v>
      </c>
      <c r="J6634" s="8" t="s">
        <v>327</v>
      </c>
      <c r="K6634" s="6" t="str">
        <f>"194.927,50"</f>
        <v>194.927,50</v>
      </c>
      <c r="L6634" s="6" t="str">
        <f>"48.731,88"</f>
        <v>48.731,88</v>
      </c>
      <c r="M6634" s="6" t="str">
        <f>"243.659,38"</f>
        <v>243.659,38</v>
      </c>
      <c r="N6634" s="8" t="s">
        <v>124</v>
      </c>
      <c r="O6634" s="7"/>
      <c r="P6634" s="2" t="s">
        <v>5614</v>
      </c>
      <c r="Q6634" s="7"/>
      <c r="R6634" s="1"/>
      <c r="S6634" s="1" t="str">
        <f>"GZ-UN-2020-43663"</f>
        <v>GZ-UN-2020-43663</v>
      </c>
      <c r="T6634" s="1" t="s">
        <v>55</v>
      </c>
    </row>
    <row r="6635" spans="1:20" ht="63.75" x14ac:dyDescent="0.25">
      <c r="A6635" s="6">
        <v>6614</v>
      </c>
      <c r="B6635" s="1" t="str">
        <f>"2020-1238"</f>
        <v>2020-1238</v>
      </c>
      <c r="C6635" s="1" t="s">
        <v>3032</v>
      </c>
      <c r="D6635" s="1" t="s">
        <v>244</v>
      </c>
      <c r="E6635" s="1" t="str">
        <f>""</f>
        <v/>
      </c>
      <c r="F6635" s="1" t="s">
        <v>1860</v>
      </c>
      <c r="G6635" s="1" t="str">
        <f>CONCATENATE(" FOREMAN GROUP D.O.O.,"," ,"," OIB: 04807307105")</f>
        <v xml:space="preserve"> FOREMAN GROUP D.O.O., , OIB: 04807307105</v>
      </c>
      <c r="H6635" s="7"/>
      <c r="I6635" s="8" t="s">
        <v>1098</v>
      </c>
      <c r="J6635" s="8" t="s">
        <v>440</v>
      </c>
      <c r="K6635" s="6" t="str">
        <f>"66.185,61"</f>
        <v>66.185,61</v>
      </c>
      <c r="L6635" s="6" t="str">
        <f>"16.546,40"</f>
        <v>16.546,40</v>
      </c>
      <c r="M6635" s="6" t="str">
        <f>"82.732,01"</f>
        <v>82.732,01</v>
      </c>
      <c r="N6635" s="8" t="s">
        <v>440</v>
      </c>
      <c r="O6635" s="7"/>
      <c r="P6635" s="2" t="s">
        <v>7847</v>
      </c>
      <c r="Q6635" s="7"/>
      <c r="R6635" s="1"/>
      <c r="S6635" s="1" t="str">
        <f>"GZ-UN-2020-43839"</f>
        <v>GZ-UN-2020-43839</v>
      </c>
      <c r="T6635" s="1" t="s">
        <v>43</v>
      </c>
    </row>
    <row r="6636" spans="1:20" ht="63.75" x14ac:dyDescent="0.25">
      <c r="A6636" s="6">
        <v>6615</v>
      </c>
      <c r="B6636" s="1" t="str">
        <f>"2020-578"</f>
        <v>2020-578</v>
      </c>
      <c r="C6636" s="1" t="s">
        <v>5137</v>
      </c>
      <c r="D6636" s="1" t="s">
        <v>2974</v>
      </c>
      <c r="E6636" s="1" t="str">
        <f>""</f>
        <v/>
      </c>
      <c r="F6636" s="1" t="s">
        <v>1860</v>
      </c>
      <c r="G6636" s="1" t="str">
        <f>CONCATENATE(" FIMAK NEKRETNINE D.O.O.,"," STRMEČKA CESTA 35,"," 10020 ZAGREB,"," OIB: 7145828752")</f>
        <v xml:space="preserve"> FIMAK NEKRETNINE D.O.O., STRMEČKA CESTA 35, 10020 ZAGREB, OIB: 7145828752</v>
      </c>
      <c r="H6636" s="7"/>
      <c r="I6636" s="8" t="s">
        <v>4460</v>
      </c>
      <c r="J6636" s="8" t="s">
        <v>5138</v>
      </c>
      <c r="K6636" s="6" t="str">
        <f>"378.155,00"</f>
        <v>378.155,00</v>
      </c>
      <c r="L6636" s="6" t="str">
        <f>"94.538,75"</f>
        <v>94.538,75</v>
      </c>
      <c r="M6636" s="6" t="str">
        <f>"472.693,75"</f>
        <v>472.693,75</v>
      </c>
      <c r="N6636" s="8" t="s">
        <v>124</v>
      </c>
      <c r="O6636" s="7"/>
      <c r="P6636" s="2" t="s">
        <v>5614</v>
      </c>
      <c r="Q6636" s="7"/>
      <c r="R6636" s="1"/>
      <c r="S6636" s="1" t="str">
        <f>"GZ-UN-2020-45386"</f>
        <v>GZ-UN-2020-45386</v>
      </c>
      <c r="T6636" s="1" t="s">
        <v>55</v>
      </c>
    </row>
    <row r="6637" spans="1:20" ht="51" x14ac:dyDescent="0.25">
      <c r="A6637" s="6">
        <v>6616</v>
      </c>
      <c r="B6637" s="1" t="str">
        <f>"2020-324"</f>
        <v>2020-324</v>
      </c>
      <c r="C6637" s="1" t="s">
        <v>2458</v>
      </c>
      <c r="D6637" s="1" t="s">
        <v>267</v>
      </c>
      <c r="E6637" s="1" t="str">
        <f>""</f>
        <v/>
      </c>
      <c r="F6637" s="1" t="s">
        <v>1860</v>
      </c>
      <c r="G6637" s="1" t="str">
        <f>CONCATENATE(" PROJEKTI DIZALA D.O.O.,"," VRGADSKI PUT 1,"," 10000 ZAGREB,"," OIB: 21781373482")</f>
        <v xml:space="preserve"> PROJEKTI DIZALA D.O.O., VRGADSKI PUT 1, 10000 ZAGREB, OIB: 21781373482</v>
      </c>
      <c r="H6637" s="7"/>
      <c r="I6637" s="8" t="s">
        <v>4067</v>
      </c>
      <c r="J6637" s="8" t="s">
        <v>2770</v>
      </c>
      <c r="K6637" s="6" t="str">
        <f>"66.000,00"</f>
        <v>66.000,00</v>
      </c>
      <c r="L6637" s="6" t="str">
        <f>"16.500,00"</f>
        <v>16.500,00</v>
      </c>
      <c r="M6637" s="6" t="str">
        <f>"82.500,00"</f>
        <v>82.500,00</v>
      </c>
      <c r="N6637" s="8" t="s">
        <v>744</v>
      </c>
      <c r="O6637" s="7"/>
      <c r="P6637" s="2" t="s">
        <v>8837</v>
      </c>
      <c r="Q6637" s="7"/>
      <c r="R6637" s="1"/>
      <c r="S6637" s="1" t="str">
        <f>"GZ-UN-2020-45434"</f>
        <v>GZ-UN-2020-45434</v>
      </c>
      <c r="T6637" s="1" t="s">
        <v>86</v>
      </c>
    </row>
    <row r="6638" spans="1:20" ht="51" x14ac:dyDescent="0.25">
      <c r="A6638" s="6">
        <v>6617</v>
      </c>
      <c r="B6638" s="1" t="str">
        <f>"2020-1778"</f>
        <v>2020-1778</v>
      </c>
      <c r="C6638" s="1" t="s">
        <v>2470</v>
      </c>
      <c r="D6638" s="1" t="s">
        <v>1236</v>
      </c>
      <c r="E6638" s="1" t="str">
        <f>""</f>
        <v/>
      </c>
      <c r="F6638" s="1" t="s">
        <v>1860</v>
      </c>
      <c r="G6638" s="1" t="str">
        <f>CONCATENATE(" JAKA D.O.O.,"," OGRIZOVIĆEVA 28/B,","  10 000 ZAGREB,"," OIB: 3770592196")</f>
        <v xml:space="preserve"> JAKA D.O.O., OGRIZOVIĆEVA 28/B,  10 000 ZAGREB, OIB: 3770592196</v>
      </c>
      <c r="H6638" s="7"/>
      <c r="I6638" s="8" t="s">
        <v>5139</v>
      </c>
      <c r="J6638" s="8" t="s">
        <v>2921</v>
      </c>
      <c r="K6638" s="6" t="str">
        <f>"15.460,00"</f>
        <v>15.460,00</v>
      </c>
      <c r="L6638" s="6" t="str">
        <f>"3.865,00"</f>
        <v>3.865,00</v>
      </c>
      <c r="M6638" s="6" t="str">
        <f>"19.325,00"</f>
        <v>19.325,00</v>
      </c>
      <c r="N6638" s="8" t="s">
        <v>934</v>
      </c>
      <c r="O6638" s="7"/>
      <c r="P6638" s="2" t="s">
        <v>8838</v>
      </c>
      <c r="Q6638" s="7"/>
      <c r="R6638" s="1"/>
      <c r="S6638" s="1" t="str">
        <f>"GZ-UN-2020-45444"</f>
        <v>GZ-UN-2020-45444</v>
      </c>
      <c r="T6638" s="1" t="s">
        <v>86</v>
      </c>
    </row>
    <row r="6639" spans="1:20" ht="51" x14ac:dyDescent="0.25">
      <c r="A6639" s="6">
        <v>6618</v>
      </c>
      <c r="B6639" s="1" t="str">
        <f>"2020-1672"</f>
        <v>2020-1672</v>
      </c>
      <c r="C6639" s="1" t="s">
        <v>5140</v>
      </c>
      <c r="D6639" s="1" t="s">
        <v>5141</v>
      </c>
      <c r="E6639" s="1" t="str">
        <f>""</f>
        <v/>
      </c>
      <c r="F6639" s="1" t="s">
        <v>1860</v>
      </c>
      <c r="G6639" s="1" t="str">
        <f>CONCATENATE(" VODOSKOK D.D.,"," ČULINEČKA CESTA 221/C,"," 10040 ZAGREB,"," OIB: 34134218058")</f>
        <v xml:space="preserve"> VODOSKOK D.D., ČULINEČKA CESTA 221/C, 10040 ZAGREB, OIB: 34134218058</v>
      </c>
      <c r="H6639" s="7"/>
      <c r="I6639" s="8" t="s">
        <v>1199</v>
      </c>
      <c r="J6639" s="8" t="s">
        <v>1530</v>
      </c>
      <c r="K6639" s="6" t="str">
        <f>"144.729,00"</f>
        <v>144.729,00</v>
      </c>
      <c r="L6639" s="6" t="str">
        <f>"36.182,25"</f>
        <v>36.182,25</v>
      </c>
      <c r="M6639" s="6" t="str">
        <f>"180.911,25"</f>
        <v>180.911,25</v>
      </c>
      <c r="N6639" s="8" t="s">
        <v>124</v>
      </c>
      <c r="O6639" s="7"/>
      <c r="P6639" s="2" t="s">
        <v>5614</v>
      </c>
      <c r="Q6639" s="7"/>
      <c r="R6639" s="1"/>
      <c r="S6639" s="1" t="str">
        <f>"GZ-UN-2020-46179"</f>
        <v>GZ-UN-2020-46179</v>
      </c>
      <c r="T6639" s="1" t="s">
        <v>55</v>
      </c>
    </row>
    <row r="6640" spans="1:20" ht="51" x14ac:dyDescent="0.25">
      <c r="A6640" s="6">
        <v>6619</v>
      </c>
      <c r="B6640" s="1" t="str">
        <f>"2020-1051"</f>
        <v>2020-1051</v>
      </c>
      <c r="C6640" s="1" t="s">
        <v>3380</v>
      </c>
      <c r="D6640" s="1" t="s">
        <v>275</v>
      </c>
      <c r="E6640" s="1" t="str">
        <f>""</f>
        <v/>
      </c>
      <c r="F6640" s="1" t="s">
        <v>1860</v>
      </c>
      <c r="G6640" s="1" t="str">
        <f>CONCATENATE(" PIRIĆ-PROMET D.O.O.,"," KOLAROVA 2,"," 10000 ZAGREB,"," OIB: 17094516543")</f>
        <v xml:space="preserve"> PIRIĆ-PROMET D.O.O., KOLAROVA 2, 10000 ZAGREB, OIB: 17094516543</v>
      </c>
      <c r="H6640" s="7"/>
      <c r="I6640" s="8" t="s">
        <v>1213</v>
      </c>
      <c r="J6640" s="8" t="s">
        <v>206</v>
      </c>
      <c r="K6640" s="6" t="str">
        <f>"69.600,00"</f>
        <v>69.600,00</v>
      </c>
      <c r="L6640" s="6" t="str">
        <f>"17.400,00"</f>
        <v>17.400,00</v>
      </c>
      <c r="M6640" s="6" t="str">
        <f>"87.000,00"</f>
        <v>87.000,00</v>
      </c>
      <c r="N6640" s="8" t="s">
        <v>1029</v>
      </c>
      <c r="O6640" s="7"/>
      <c r="P6640" s="2" t="s">
        <v>7427</v>
      </c>
      <c r="Q6640" s="7"/>
      <c r="R6640" s="1"/>
      <c r="S6640" s="1" t="str">
        <f>"GZ-UN-2020-46398"</f>
        <v>GZ-UN-2020-46398</v>
      </c>
      <c r="T6640" s="1" t="s">
        <v>86</v>
      </c>
    </row>
    <row r="6641" spans="1:20" ht="38.25" x14ac:dyDescent="0.25">
      <c r="A6641" s="6">
        <v>6620</v>
      </c>
      <c r="B6641" s="1" t="str">
        <f>"2020-2928"</f>
        <v>2020-2928</v>
      </c>
      <c r="C6641" s="1" t="s">
        <v>2479</v>
      </c>
      <c r="D6641" s="1" t="s">
        <v>837</v>
      </c>
      <c r="E6641" s="1" t="str">
        <f>""</f>
        <v/>
      </c>
      <c r="F6641" s="1" t="s">
        <v>1860</v>
      </c>
      <c r="G6641" s="1" t="str">
        <f>CONCATENATE(" ROTO DINAMIC D.O.O.,"," ,"," OIB: 24723122482")</f>
        <v xml:space="preserve"> ROTO DINAMIC D.O.O., , OIB: 24723122482</v>
      </c>
      <c r="H6641" s="7"/>
      <c r="I6641" s="8" t="s">
        <v>1204</v>
      </c>
      <c r="J6641" s="8" t="s">
        <v>168</v>
      </c>
      <c r="K6641" s="6" t="str">
        <f>"18.212,52"</f>
        <v>18.212,52</v>
      </c>
      <c r="L6641" s="6" t="str">
        <f>"4.553,13"</f>
        <v>4.553,13</v>
      </c>
      <c r="M6641" s="6" t="str">
        <f>"22.765,65"</f>
        <v>22.765,65</v>
      </c>
      <c r="N6641" s="8" t="s">
        <v>124</v>
      </c>
      <c r="O6641" s="7"/>
      <c r="P6641" s="2" t="s">
        <v>5614</v>
      </c>
      <c r="Q6641" s="7"/>
      <c r="R6641" s="1"/>
      <c r="S6641" s="1" t="str">
        <f>"GZ-UN-2020-47565"</f>
        <v>GZ-UN-2020-47565</v>
      </c>
      <c r="T6641" s="1" t="s">
        <v>55</v>
      </c>
    </row>
    <row r="6642" spans="1:20" ht="51" x14ac:dyDescent="0.25">
      <c r="A6642" s="6">
        <v>6621</v>
      </c>
      <c r="B6642" s="1" t="str">
        <f>"2020-765"</f>
        <v>2020-765</v>
      </c>
      <c r="C6642" s="1" t="s">
        <v>5142</v>
      </c>
      <c r="D6642" s="1" t="s">
        <v>2669</v>
      </c>
      <c r="E6642" s="1" t="str">
        <f>""</f>
        <v/>
      </c>
      <c r="F6642" s="1" t="s">
        <v>1860</v>
      </c>
      <c r="G6642" s="1" t="str">
        <f>CONCATENATE(" MEA KINITRO D.O.O.,"," VUKOMEREC 24,"," 10000 ZAGREB,"," OIB: 29719645974")</f>
        <v xml:space="preserve"> MEA KINITRO D.O.O., VUKOMEREC 24, 10000 ZAGREB, OIB: 29719645974</v>
      </c>
      <c r="H6642" s="7"/>
      <c r="I6642" s="8" t="s">
        <v>5143</v>
      </c>
      <c r="J6642" s="8" t="s">
        <v>799</v>
      </c>
      <c r="K6642" s="6" t="str">
        <f>"55.178,96"</f>
        <v>55.178,96</v>
      </c>
      <c r="L6642" s="6" t="str">
        <f>"13.794,74"</f>
        <v>13.794,74</v>
      </c>
      <c r="M6642" s="6" t="str">
        <f>"68.973,70"</f>
        <v>68.973,70</v>
      </c>
      <c r="N6642" s="8" t="s">
        <v>124</v>
      </c>
      <c r="O6642" s="7"/>
      <c r="P6642" s="2" t="s">
        <v>5614</v>
      </c>
      <c r="Q6642" s="7"/>
      <c r="R6642" s="1"/>
      <c r="S6642" s="1" t="str">
        <f>"GZ-UN-2020-48301"</f>
        <v>GZ-UN-2020-48301</v>
      </c>
      <c r="T6642" s="1" t="s">
        <v>55</v>
      </c>
    </row>
    <row r="6643" spans="1:20" ht="63.75" x14ac:dyDescent="0.25">
      <c r="A6643" s="6">
        <v>6622</v>
      </c>
      <c r="B6643" s="1" t="str">
        <f>"2021-13"</f>
        <v>2021-13</v>
      </c>
      <c r="C6643" s="1" t="s">
        <v>3032</v>
      </c>
      <c r="D6643" s="1" t="s">
        <v>244</v>
      </c>
      <c r="E6643" s="1" t="str">
        <f>""</f>
        <v/>
      </c>
      <c r="F6643" s="1" t="s">
        <v>1860</v>
      </c>
      <c r="G6643" s="1" t="str">
        <f>CONCATENATE(" FOREMAN GROUP D.O.O.,"," ULICA GRADA VUKOVARA 20,"," 10000 ZAGREB,"," OIB: 04807307105")</f>
        <v xml:space="preserve"> FOREMAN GROUP D.O.O., ULICA GRADA VUKOVARA 20, 10000 ZAGREB, OIB: 04807307105</v>
      </c>
      <c r="H6643" s="7"/>
      <c r="I6643" s="8" t="s">
        <v>52</v>
      </c>
      <c r="J6643" s="8" t="s">
        <v>126</v>
      </c>
      <c r="K6643" s="6" t="str">
        <f>"23.595,00"</f>
        <v>23.595,00</v>
      </c>
      <c r="L6643" s="6" t="str">
        <f>"5.898,75"</f>
        <v>5.898,75</v>
      </c>
      <c r="M6643" s="6" t="str">
        <f>"29.493,75"</f>
        <v>29.493,75</v>
      </c>
      <c r="N6643" s="8" t="s">
        <v>440</v>
      </c>
      <c r="O6643" s="7"/>
      <c r="P6643" s="2" t="s">
        <v>8839</v>
      </c>
      <c r="Q6643" s="7"/>
      <c r="R6643" s="1"/>
      <c r="S6643" s="1" t="str">
        <f>"GZ-UN-2021-9479"</f>
        <v>GZ-UN-2021-9479</v>
      </c>
      <c r="T6643" s="1" t="s">
        <v>43</v>
      </c>
    </row>
    <row r="6644" spans="1:20" ht="51" x14ac:dyDescent="0.25">
      <c r="A6644" s="6">
        <v>6623</v>
      </c>
      <c r="B6644" s="1" t="str">
        <f>"2021-14"</f>
        <v>2021-14</v>
      </c>
      <c r="C6644" s="1" t="s">
        <v>3340</v>
      </c>
      <c r="D6644" s="1" t="s">
        <v>966</v>
      </c>
      <c r="E6644" s="1" t="str">
        <f>""</f>
        <v/>
      </c>
      <c r="F6644" s="1" t="s">
        <v>1860</v>
      </c>
      <c r="G6644" s="1" t="str">
        <f>CONCATENATE(" SOKOL D.O.O.,"," TRG REPUBLIKE HRVATSKE 8/II,"," 10000 ZAGREB,"," OIB: 82812328597")</f>
        <v xml:space="preserve"> SOKOL D.O.O., TRG REPUBLIKE HRVATSKE 8/II, 10000 ZAGREB, OIB: 82812328597</v>
      </c>
      <c r="H6644" s="7"/>
      <c r="I6644" s="8" t="s">
        <v>2471</v>
      </c>
      <c r="J6644" s="8" t="s">
        <v>126</v>
      </c>
      <c r="K6644" s="6" t="str">
        <f>"34.567,65"</f>
        <v>34.567,65</v>
      </c>
      <c r="L6644" s="6" t="str">
        <f>"8.641,91"</f>
        <v>8.641,91</v>
      </c>
      <c r="M6644" s="6" t="str">
        <f>"43.209,56"</f>
        <v>43.209,56</v>
      </c>
      <c r="N6644" s="8" t="s">
        <v>126</v>
      </c>
      <c r="O6644" s="7"/>
      <c r="P6644" s="2" t="s">
        <v>8840</v>
      </c>
      <c r="Q6644" s="7"/>
      <c r="R6644" s="1"/>
      <c r="S6644" s="1" t="str">
        <f>"GZ-UN-2021-12968"</f>
        <v>GZ-UN-2021-12968</v>
      </c>
      <c r="T6644" s="1" t="s">
        <v>43</v>
      </c>
    </row>
    <row r="6645" spans="1:20" ht="63.75" x14ac:dyDescent="0.25">
      <c r="A6645" s="6">
        <v>6624</v>
      </c>
      <c r="B6645" s="1" t="str">
        <f>"2021-13"</f>
        <v>2021-13</v>
      </c>
      <c r="C6645" s="1" t="s">
        <v>3032</v>
      </c>
      <c r="D6645" s="1" t="s">
        <v>244</v>
      </c>
      <c r="E6645" s="1" t="str">
        <f>""</f>
        <v/>
      </c>
      <c r="F6645" s="1" t="s">
        <v>1860</v>
      </c>
      <c r="G6645" s="1" t="str">
        <f>CONCATENATE(" FOREMAN GROUP D.O.O.,"," ULICA GRADA VUKOVARA 20,"," 10000 ZAGREB,"," OIB: 04807307105")</f>
        <v xml:space="preserve"> FOREMAN GROUP D.O.O., ULICA GRADA VUKOVARA 20, 10000 ZAGREB, OIB: 04807307105</v>
      </c>
      <c r="H6645" s="7"/>
      <c r="I6645" s="8" t="s">
        <v>1436</v>
      </c>
      <c r="J6645" s="8" t="s">
        <v>126</v>
      </c>
      <c r="K6645" s="6" t="str">
        <f>"66.185,61"</f>
        <v>66.185,61</v>
      </c>
      <c r="L6645" s="6" t="str">
        <f>"16.546,40"</f>
        <v>16.546,40</v>
      </c>
      <c r="M6645" s="6" t="str">
        <f>"82.732,01"</f>
        <v>82.732,01</v>
      </c>
      <c r="N6645" s="8" t="s">
        <v>126</v>
      </c>
      <c r="O6645" s="7"/>
      <c r="P6645" s="2" t="s">
        <v>7847</v>
      </c>
      <c r="Q6645" s="7"/>
      <c r="R6645" s="1"/>
      <c r="S6645" s="1" t="str">
        <f>"GZ-UN-2021-18495"</f>
        <v>GZ-UN-2021-18495</v>
      </c>
      <c r="T6645" s="1" t="s">
        <v>43</v>
      </c>
    </row>
    <row r="6646" spans="1:20" ht="51" x14ac:dyDescent="0.25">
      <c r="A6646" s="6">
        <v>6625</v>
      </c>
      <c r="B6646" s="1" t="str">
        <f>"2017-2111"</f>
        <v>2017-2111</v>
      </c>
      <c r="C6646" s="1" t="s">
        <v>5144</v>
      </c>
      <c r="D6646" s="1" t="s">
        <v>1726</v>
      </c>
      <c r="E6646" s="1" t="str">
        <f>""</f>
        <v/>
      </c>
      <c r="F6646" s="1" t="s">
        <v>1860</v>
      </c>
      <c r="G6646" s="1" t="str">
        <f>CONCATENATE(" BOXES D.O.O.,"," GUSTAVA KRKLECA 11,"," 10000 ZAGREB,"," OIB: 41791523272")</f>
        <v xml:space="preserve"> BOXES D.O.O., GUSTAVA KRKLECA 11, 10000 ZAGREB, OIB: 41791523272</v>
      </c>
      <c r="H6646" s="7"/>
      <c r="I6646" s="8" t="s">
        <v>3769</v>
      </c>
      <c r="J6646" s="8" t="s">
        <v>3769</v>
      </c>
      <c r="K6646" s="6" t="str">
        <f>"52.519,20"</f>
        <v>52.519,20</v>
      </c>
      <c r="L6646" s="6" t="str">
        <f>"13.129,80"</f>
        <v>13.129,80</v>
      </c>
      <c r="M6646" s="6" t="str">
        <f>"65.649,00"</f>
        <v>65.649,00</v>
      </c>
      <c r="N6646" s="8" t="s">
        <v>4502</v>
      </c>
      <c r="O6646" s="7"/>
      <c r="P6646" s="2" t="s">
        <v>8841</v>
      </c>
      <c r="Q6646" s="1"/>
      <c r="R6646" s="1"/>
      <c r="S6646" s="1" t="str">
        <f>"J-UN-2017-147"</f>
        <v>J-UN-2017-147</v>
      </c>
      <c r="T6646" s="1" t="s">
        <v>32</v>
      </c>
    </row>
    <row r="6647" spans="1:20" ht="51" x14ac:dyDescent="0.25">
      <c r="A6647" s="6">
        <v>6626</v>
      </c>
      <c r="B6647" s="1" t="str">
        <f>"2017-2254"</f>
        <v>2017-2254</v>
      </c>
      <c r="C6647" s="1" t="s">
        <v>2641</v>
      </c>
      <c r="D6647" s="1" t="s">
        <v>515</v>
      </c>
      <c r="E6647" s="1" t="str">
        <f>""</f>
        <v/>
      </c>
      <c r="F6647" s="1" t="s">
        <v>1860</v>
      </c>
      <c r="G6647" s="1" t="str">
        <f>CONCATENATE(" INSTITUT IGH D.D.,"," JANKA RAKUŠE 1,"," 10000 ZAGREB,"," OIB: 79766124714")</f>
        <v xml:space="preserve"> INSTITUT IGH D.D., JANKA RAKUŠE 1, 10000 ZAGREB, OIB: 79766124714</v>
      </c>
      <c r="H6647" s="7"/>
      <c r="I6647" s="8" t="s">
        <v>3593</v>
      </c>
      <c r="J6647" s="8" t="s">
        <v>3593</v>
      </c>
      <c r="K6647" s="6" t="str">
        <f>"585,00"</f>
        <v>585,00</v>
      </c>
      <c r="L6647" s="6" t="str">
        <f>"146,25"</f>
        <v>146,25</v>
      </c>
      <c r="M6647" s="6" t="str">
        <f>"731,25"</f>
        <v>731,25</v>
      </c>
      <c r="N6647" s="8" t="s">
        <v>124</v>
      </c>
      <c r="O6647" s="7"/>
      <c r="P6647" s="2" t="s">
        <v>5614</v>
      </c>
      <c r="Q6647" s="7"/>
      <c r="R6647" s="1"/>
      <c r="S6647" s="1" t="str">
        <f>"J-UN-2017-166"</f>
        <v>J-UN-2017-166</v>
      </c>
      <c r="T6647" s="1" t="s">
        <v>32</v>
      </c>
    </row>
    <row r="6648" spans="1:20" ht="63.75" x14ac:dyDescent="0.25">
      <c r="A6648" s="6">
        <v>6627</v>
      </c>
      <c r="B6648" s="1" t="str">
        <f>"2017-1182"</f>
        <v>2017-1182</v>
      </c>
      <c r="C6648" s="1" t="s">
        <v>5145</v>
      </c>
      <c r="D6648" s="1" t="s">
        <v>1632</v>
      </c>
      <c r="E6648" s="1" t="str">
        <f>""</f>
        <v/>
      </c>
      <c r="F6648" s="1" t="s">
        <v>1860</v>
      </c>
      <c r="G6648" s="1" t="str">
        <f>CONCATENATE(" ŠTAND EXPO D.O.O.,"," GORNJOSTUPNIČKI ODVOJAK 7,"," 10255 GORNJI STUPNIK,"," OIB: 29980236683")</f>
        <v xml:space="preserve"> ŠTAND EXPO D.O.O., GORNJOSTUPNIČKI ODVOJAK 7, 10255 GORNJI STUPNIK, OIB: 29980236683</v>
      </c>
      <c r="H6648" s="7"/>
      <c r="I6648" s="8" t="s">
        <v>3593</v>
      </c>
      <c r="J6648" s="8" t="s">
        <v>3593</v>
      </c>
      <c r="K6648" s="6" t="str">
        <f>"143.746,00"</f>
        <v>143.746,00</v>
      </c>
      <c r="L6648" s="6" t="str">
        <f>"35.936,50"</f>
        <v>35.936,50</v>
      </c>
      <c r="M6648" s="6" t="str">
        <f>"179.682,50"</f>
        <v>179.682,50</v>
      </c>
      <c r="N6648" s="8" t="s">
        <v>4499</v>
      </c>
      <c r="O6648" s="7"/>
      <c r="P6648" s="2" t="s">
        <v>8842</v>
      </c>
      <c r="Q6648" s="7"/>
      <c r="R6648" s="1"/>
      <c r="S6648" s="1" t="str">
        <f>"J-UN-2017-170"</f>
        <v>J-UN-2017-170</v>
      </c>
      <c r="T6648" s="1" t="s">
        <v>32</v>
      </c>
    </row>
    <row r="6649" spans="1:20" ht="51" x14ac:dyDescent="0.25">
      <c r="A6649" s="6">
        <v>6628</v>
      </c>
      <c r="B6649" s="1" t="str">
        <f>"2017-1854"</f>
        <v>2017-1854</v>
      </c>
      <c r="C6649" s="1" t="s">
        <v>2912</v>
      </c>
      <c r="D6649" s="1" t="s">
        <v>2647</v>
      </c>
      <c r="E6649" s="1" t="str">
        <f>""</f>
        <v/>
      </c>
      <c r="F6649" s="1" t="s">
        <v>1860</v>
      </c>
      <c r="G6649" s="1" t="str">
        <f>CONCATENATE(" ZIRS UČILIŠTE,"," ULICA GRADA VUKOVARA 68,"," 10000 ZAGREB,"," OIB: 22228764473")</f>
        <v xml:space="preserve"> ZIRS UČILIŠTE, ULICA GRADA VUKOVARA 68, 10000 ZAGREB, OIB: 22228764473</v>
      </c>
      <c r="H6649" s="7"/>
      <c r="I6649" s="8" t="s">
        <v>5022</v>
      </c>
      <c r="J6649" s="8" t="s">
        <v>5022</v>
      </c>
      <c r="K6649" s="6" t="str">
        <f>"7.350,00"</f>
        <v>7.350,00</v>
      </c>
      <c r="L6649" s="6" t="str">
        <f>"1.837,50"</f>
        <v>1.837,50</v>
      </c>
      <c r="M6649" s="6" t="str">
        <f>"9.187,50"</f>
        <v>9.187,50</v>
      </c>
      <c r="N6649" s="8" t="s">
        <v>3618</v>
      </c>
      <c r="O6649" s="7"/>
      <c r="P6649" s="2" t="s">
        <v>8843</v>
      </c>
      <c r="Q6649" s="7"/>
      <c r="R6649" s="1"/>
      <c r="S6649" s="1" t="str">
        <f>"J-UN-2017-239"</f>
        <v>J-UN-2017-239</v>
      </c>
      <c r="T6649" s="1" t="s">
        <v>32</v>
      </c>
    </row>
    <row r="6650" spans="1:20" ht="63.75" x14ac:dyDescent="0.25">
      <c r="A6650" s="6">
        <v>6629</v>
      </c>
      <c r="B6650" s="1" t="str">
        <f>"2017-992"</f>
        <v>2017-992</v>
      </c>
      <c r="C6650" s="1" t="s">
        <v>2984</v>
      </c>
      <c r="D6650" s="1" t="s">
        <v>2985</v>
      </c>
      <c r="E6650" s="1" t="str">
        <f>""</f>
        <v/>
      </c>
      <c r="F6650" s="1" t="s">
        <v>1860</v>
      </c>
      <c r="G6650" s="1" t="str">
        <f>CONCATENATE(" LANIŠTE D.O.O.,"," ALEXANDERA VON HUMBOLDTA 4B,"," 10000 ZAGREB,"," OIB: 3755384865")</f>
        <v xml:space="preserve"> LANIŠTE D.O.O., ALEXANDERA VON HUMBOLDTA 4B, 10000 ZAGREB, OIB: 3755384865</v>
      </c>
      <c r="H6650" s="7"/>
      <c r="I6650" s="8" t="s">
        <v>4959</v>
      </c>
      <c r="J6650" s="8" t="s">
        <v>4959</v>
      </c>
      <c r="K6650" s="6" t="str">
        <f>"30.250,00"</f>
        <v>30.250,00</v>
      </c>
      <c r="L6650" s="6" t="str">
        <f>"7.562,50"</f>
        <v>7.562,50</v>
      </c>
      <c r="M6650" s="6" t="str">
        <f>"37.812,50"</f>
        <v>37.812,50</v>
      </c>
      <c r="N6650" s="8" t="s">
        <v>4873</v>
      </c>
      <c r="O6650" s="7"/>
      <c r="P6650" s="2" t="s">
        <v>8844</v>
      </c>
      <c r="Q6650" s="7"/>
      <c r="R6650" s="1"/>
      <c r="S6650" s="1" t="str">
        <f>"J-UN-2017-280"</f>
        <v>J-UN-2017-280</v>
      </c>
      <c r="T6650" s="1" t="s">
        <v>32</v>
      </c>
    </row>
    <row r="6651" spans="1:20" ht="63.75" x14ac:dyDescent="0.25">
      <c r="A6651" s="6">
        <v>6630</v>
      </c>
      <c r="B6651" s="1" t="str">
        <f>"2017-1734"</f>
        <v>2017-1734</v>
      </c>
      <c r="C6651" s="1" t="s">
        <v>5146</v>
      </c>
      <c r="D6651" s="1" t="s">
        <v>2988</v>
      </c>
      <c r="E6651" s="1" t="str">
        <f>""</f>
        <v/>
      </c>
      <c r="F6651" s="1" t="s">
        <v>1860</v>
      </c>
      <c r="G6651" s="1" t="str">
        <f>CONCATENATE(" LANIŠTE D.O.O.,"," ALEXANDERA VON HUMBOLDTA 4B,"," 10000 ZAGREB,"," OIB: 3755384865")</f>
        <v xml:space="preserve"> LANIŠTE D.O.O., ALEXANDERA VON HUMBOLDTA 4B, 10000 ZAGREB, OIB: 3755384865</v>
      </c>
      <c r="H6651" s="7"/>
      <c r="I6651" s="8" t="s">
        <v>4959</v>
      </c>
      <c r="J6651" s="8" t="s">
        <v>4959</v>
      </c>
      <c r="K6651" s="6" t="str">
        <f>"30.250,00"</f>
        <v>30.250,00</v>
      </c>
      <c r="L6651" s="6" t="str">
        <f>"7.562,50"</f>
        <v>7.562,50</v>
      </c>
      <c r="M6651" s="6" t="str">
        <f>"37.812,50"</f>
        <v>37.812,50</v>
      </c>
      <c r="N6651" s="8" t="s">
        <v>4873</v>
      </c>
      <c r="O6651" s="7"/>
      <c r="P6651" s="2" t="s">
        <v>8844</v>
      </c>
      <c r="Q6651" s="7"/>
      <c r="R6651" s="1"/>
      <c r="S6651" s="1" t="str">
        <f>"J-UN-2017-282"</f>
        <v>J-UN-2017-282</v>
      </c>
      <c r="T6651" s="1" t="s">
        <v>32</v>
      </c>
    </row>
    <row r="6652" spans="1:20" ht="51" x14ac:dyDescent="0.25">
      <c r="A6652" s="6">
        <v>6631</v>
      </c>
      <c r="B6652" s="1" t="str">
        <f>"2017-2434"</f>
        <v>2017-2434</v>
      </c>
      <c r="C6652" s="1" t="s">
        <v>5147</v>
      </c>
      <c r="D6652" s="1" t="s">
        <v>1007</v>
      </c>
      <c r="E6652" s="1" t="str">
        <f>""</f>
        <v/>
      </c>
      <c r="F6652" s="1" t="s">
        <v>1860</v>
      </c>
      <c r="G6652" s="1" t="str">
        <f>CONCATENATE(" AUREL D.O.O.,"," BORONGAJSKA CESTA bb,"," 10000 ZAGREB,"," OIB: 62871653225")</f>
        <v xml:space="preserve"> AUREL D.O.O., BORONGAJSKA CESTA bb, 10000 ZAGREB, OIB: 62871653225</v>
      </c>
      <c r="H6652" s="7"/>
      <c r="I6652" s="8" t="s">
        <v>5015</v>
      </c>
      <c r="J6652" s="8" t="s">
        <v>5015</v>
      </c>
      <c r="K6652" s="6" t="str">
        <f>"9.985,00"</f>
        <v>9.985,00</v>
      </c>
      <c r="L6652" s="6" t="str">
        <f>"2.496,25"</f>
        <v>2.496,25</v>
      </c>
      <c r="M6652" s="6" t="str">
        <f>"12.481,25"</f>
        <v>12.481,25</v>
      </c>
      <c r="N6652" s="8" t="s">
        <v>5148</v>
      </c>
      <c r="O6652" s="7"/>
      <c r="P6652" s="2" t="s">
        <v>7804</v>
      </c>
      <c r="Q6652" s="7"/>
      <c r="R6652" s="1"/>
      <c r="S6652" s="1" t="str">
        <f>"J-UN-2017-289"</f>
        <v>J-UN-2017-289</v>
      </c>
      <c r="T6652" s="1" t="s">
        <v>32</v>
      </c>
    </row>
    <row r="6653" spans="1:20" ht="51" x14ac:dyDescent="0.25">
      <c r="A6653" s="6">
        <v>6632</v>
      </c>
      <c r="B6653" s="1" t="str">
        <f>"2017-2352"</f>
        <v>2017-2352</v>
      </c>
      <c r="C6653" s="1" t="s">
        <v>5050</v>
      </c>
      <c r="D6653" s="1" t="s">
        <v>1619</v>
      </c>
      <c r="E6653" s="1" t="str">
        <f>""</f>
        <v/>
      </c>
      <c r="F6653" s="1" t="s">
        <v>1860</v>
      </c>
      <c r="G6653" s="1" t="str">
        <f>CONCATENATE(" DREZGA D.O.O.,"," OBRTNIČKA 2,"," 10437 BESTOVJE,"," OIB: 46535283602")</f>
        <v xml:space="preserve"> DREZGA D.O.O., OBRTNIČKA 2, 10437 BESTOVJE, OIB: 46535283602</v>
      </c>
      <c r="H6653" s="7"/>
      <c r="I6653" s="8" t="s">
        <v>5015</v>
      </c>
      <c r="J6653" s="8" t="s">
        <v>5015</v>
      </c>
      <c r="K6653" s="6" t="str">
        <f>"72.679,36"</f>
        <v>72.679,36</v>
      </c>
      <c r="L6653" s="6" t="str">
        <f>"18.169,84"</f>
        <v>18.169,84</v>
      </c>
      <c r="M6653" s="6" t="str">
        <f>"90.849,20"</f>
        <v>90.849,20</v>
      </c>
      <c r="N6653" s="8" t="s">
        <v>4845</v>
      </c>
      <c r="O6653" s="7"/>
      <c r="P6653" s="2" t="s">
        <v>8845</v>
      </c>
      <c r="Q6653" s="1"/>
      <c r="R6653" s="1"/>
      <c r="S6653" s="1" t="str">
        <f>"J-UN-2017-292"</f>
        <v>J-UN-2017-292</v>
      </c>
      <c r="T6653" s="1" t="s">
        <v>32</v>
      </c>
    </row>
    <row r="6654" spans="1:20" ht="51" x14ac:dyDescent="0.25">
      <c r="A6654" s="6">
        <v>6633</v>
      </c>
      <c r="B6654" s="1" t="str">
        <f>"2017-2473"</f>
        <v>2017-2473</v>
      </c>
      <c r="C6654" s="1" t="s">
        <v>5149</v>
      </c>
      <c r="D6654" s="1" t="s">
        <v>2241</v>
      </c>
      <c r="E6654" s="1" t="str">
        <f>""</f>
        <v/>
      </c>
      <c r="F6654" s="1" t="s">
        <v>1860</v>
      </c>
      <c r="G6654" s="1" t="str">
        <f>CONCATENATE(" AUTO BENUSSI D.O.O.,"," INDUSTRIJSKA 2D,"," 52100 PULA,"," OIB: 96262119913")</f>
        <v xml:space="preserve"> AUTO BENUSSI D.O.O., INDUSTRIJSKA 2D, 52100 PULA, OIB: 96262119913</v>
      </c>
      <c r="H6654" s="7"/>
      <c r="I6654" s="8" t="s">
        <v>3769</v>
      </c>
      <c r="J6654" s="8" t="s">
        <v>3769</v>
      </c>
      <c r="K6654" s="6" t="str">
        <f>"25.015,50"</f>
        <v>25.015,50</v>
      </c>
      <c r="L6654" s="6" t="str">
        <f>"6.253,88"</f>
        <v>6.253,88</v>
      </c>
      <c r="M6654" s="6" t="str">
        <f>"31.269,38"</f>
        <v>31.269,38</v>
      </c>
      <c r="N6654" s="8" t="s">
        <v>5150</v>
      </c>
      <c r="O6654" s="7"/>
      <c r="P6654" s="2" t="s">
        <v>8846</v>
      </c>
      <c r="Q6654" s="7"/>
      <c r="R6654" s="1"/>
      <c r="S6654" s="1" t="str">
        <f>"J-UN-2017-299"</f>
        <v>J-UN-2017-299</v>
      </c>
      <c r="T6654" s="1" t="s">
        <v>32</v>
      </c>
    </row>
    <row r="6655" spans="1:20" ht="63.75" x14ac:dyDescent="0.25">
      <c r="A6655" s="6">
        <v>6634</v>
      </c>
      <c r="B6655" s="1" t="str">
        <f>"2017-2507"</f>
        <v>2017-2507</v>
      </c>
      <c r="C6655" s="1" t="s">
        <v>5151</v>
      </c>
      <c r="D6655" s="1" t="s">
        <v>1065</v>
      </c>
      <c r="E6655" s="1" t="str">
        <f>""</f>
        <v/>
      </c>
      <c r="F6655" s="1" t="s">
        <v>1860</v>
      </c>
      <c r="G6655" s="1" t="str">
        <f>CONCATENATE(" FLEET RENT A CAR D.O.O.,"," ANDRIJE HEBRANGA 32,"," 10000 ZAGREB,"," OIB: 5950444323")</f>
        <v xml:space="preserve"> FLEET RENT A CAR D.O.O., ANDRIJE HEBRANGA 32, 10000 ZAGREB, OIB: 5950444323</v>
      </c>
      <c r="H6655" s="7"/>
      <c r="I6655" s="8" t="s">
        <v>3753</v>
      </c>
      <c r="J6655" s="8" t="s">
        <v>3753</v>
      </c>
      <c r="K6655" s="6" t="str">
        <f>"15.000,00"</f>
        <v>15.000,00</v>
      </c>
      <c r="L6655" s="6" t="str">
        <f>"3.750,00"</f>
        <v>3.750,00</v>
      </c>
      <c r="M6655" s="6" t="str">
        <f>"18.750,00"</f>
        <v>18.750,00</v>
      </c>
      <c r="N6655" s="8" t="s">
        <v>5148</v>
      </c>
      <c r="O6655" s="7"/>
      <c r="P6655" s="2" t="s">
        <v>7958</v>
      </c>
      <c r="Q6655" s="7"/>
      <c r="R6655" s="1"/>
      <c r="S6655" s="1" t="str">
        <f>"J-UN-2017-354"</f>
        <v>J-UN-2017-354</v>
      </c>
      <c r="T6655" s="1" t="s">
        <v>32</v>
      </c>
    </row>
    <row r="6656" spans="1:20" ht="89.25" x14ac:dyDescent="0.25">
      <c r="A6656" s="6">
        <v>6635</v>
      </c>
      <c r="B6656" s="1" t="str">
        <f>"2017-657"</f>
        <v>2017-657</v>
      </c>
      <c r="C6656" s="1" t="s">
        <v>5152</v>
      </c>
      <c r="D6656" s="1" t="s">
        <v>444</v>
      </c>
      <c r="E6656" s="1" t="str">
        <f>""</f>
        <v/>
      </c>
      <c r="F6656" s="1" t="s">
        <v>1860</v>
      </c>
      <c r="G6656" s="1" t="str">
        <f>CONCATENATE(" TRIGLAV OSIGURANJE D. D.,"," ANTUNA HEINZA 4,"," 10000 ZAGREB,"," OIB: 29743547503")</f>
        <v xml:space="preserve"> TRIGLAV OSIGURANJE D. D., ANTUNA HEINZA 4, 10000 ZAGREB, OIB: 29743547503</v>
      </c>
      <c r="H6656" s="7"/>
      <c r="I6656" s="8" t="s">
        <v>5032</v>
      </c>
      <c r="J6656" s="8" t="s">
        <v>5032</v>
      </c>
      <c r="K6656" s="6" t="str">
        <f>"34.894,66"</f>
        <v>34.894,66</v>
      </c>
      <c r="L6656" s="6" t="str">
        <f>"8.723,66"</f>
        <v>8.723,66</v>
      </c>
      <c r="M6656" s="6" t="str">
        <f>"43.618,32"</f>
        <v>43.618,32</v>
      </c>
      <c r="N6656" s="8" t="s">
        <v>4925</v>
      </c>
      <c r="O6656" s="7"/>
      <c r="P6656" s="2" t="s">
        <v>8847</v>
      </c>
      <c r="Q6656" s="7"/>
      <c r="R6656" s="1"/>
      <c r="S6656" s="1" t="str">
        <f>"J-UN-2017-356"</f>
        <v>J-UN-2017-356</v>
      </c>
      <c r="T6656" s="1" t="s">
        <v>32</v>
      </c>
    </row>
    <row r="6657" spans="1:20" ht="76.5" x14ac:dyDescent="0.25">
      <c r="A6657" s="6">
        <v>6636</v>
      </c>
      <c r="B6657" s="1" t="str">
        <f>"2017-1920"</f>
        <v>2017-1920</v>
      </c>
      <c r="C6657" s="1" t="s">
        <v>2700</v>
      </c>
      <c r="D6657" s="1" t="s">
        <v>2701</v>
      </c>
      <c r="E6657" s="1" t="str">
        <f>""</f>
        <v/>
      </c>
      <c r="F6657" s="1" t="s">
        <v>1860</v>
      </c>
      <c r="G6657" s="1" t="str">
        <f>CONCATENATE(" SMIT-COMMERCE D.O.O.,"," GORNJOSTUPNIČKA 9B,"," 10255 GORNJI STUPNIK,"," OIB: 9524348214")</f>
        <v xml:space="preserve"> SMIT-COMMERCE D.O.O., GORNJOSTUPNIČKA 9B, 10255 GORNJI STUPNIK, OIB: 9524348214</v>
      </c>
      <c r="H6657" s="7"/>
      <c r="I6657" s="8" t="s">
        <v>5035</v>
      </c>
      <c r="J6657" s="8" t="s">
        <v>5035</v>
      </c>
      <c r="K6657" s="6" t="str">
        <f>"2.558,00"</f>
        <v>2.558,00</v>
      </c>
      <c r="L6657" s="6" t="str">
        <f>"639,50"</f>
        <v>639,50</v>
      </c>
      <c r="M6657" s="6" t="str">
        <f>"3.197,50"</f>
        <v>3.197,50</v>
      </c>
      <c r="N6657" s="8" t="s">
        <v>3618</v>
      </c>
      <c r="O6657" s="7"/>
      <c r="P6657" s="2" t="s">
        <v>8848</v>
      </c>
      <c r="Q6657" s="7"/>
      <c r="R6657" s="1"/>
      <c r="S6657" s="1" t="str">
        <f>"J-UN-2017-397"</f>
        <v>J-UN-2017-397</v>
      </c>
      <c r="T6657" s="1" t="s">
        <v>32</v>
      </c>
    </row>
    <row r="6658" spans="1:20" ht="51" x14ac:dyDescent="0.25">
      <c r="A6658" s="6">
        <v>6637</v>
      </c>
      <c r="B6658" s="1" t="str">
        <f>"2017-2024"</f>
        <v>2017-2024</v>
      </c>
      <c r="C6658" s="1" t="s">
        <v>3131</v>
      </c>
      <c r="D6658" s="1" t="s">
        <v>1859</v>
      </c>
      <c r="E6658" s="1" t="str">
        <f>""</f>
        <v/>
      </c>
      <c r="F6658" s="1" t="s">
        <v>1860</v>
      </c>
      <c r="G6658" s="1" t="str">
        <f>CONCATENATE(" INFO PULS D.O.O.,"," JOSIPA PUPAČIĆA 1,"," 10000 ZAGREB,"," OIB: 43150843424")</f>
        <v xml:space="preserve"> INFO PULS D.O.O., JOSIPA PUPAČIĆA 1, 10000 ZAGREB, OIB: 43150843424</v>
      </c>
      <c r="H6658" s="7"/>
      <c r="I6658" s="8" t="s">
        <v>4729</v>
      </c>
      <c r="J6658" s="8" t="s">
        <v>4729</v>
      </c>
      <c r="K6658" s="6" t="str">
        <f>"4.450,00"</f>
        <v>4.450,00</v>
      </c>
      <c r="L6658" s="6" t="str">
        <f>"1.112,50"</f>
        <v>1.112,50</v>
      </c>
      <c r="M6658" s="6" t="str">
        <f>"5.562,50"</f>
        <v>5.562,50</v>
      </c>
      <c r="N6658" s="8" t="s">
        <v>124</v>
      </c>
      <c r="O6658" s="7"/>
      <c r="P6658" s="2" t="s">
        <v>5614</v>
      </c>
      <c r="Q6658" s="7"/>
      <c r="R6658" s="1"/>
      <c r="S6658" s="1" t="str">
        <f>"J-UN-2017-423"</f>
        <v>J-UN-2017-423</v>
      </c>
      <c r="T6658" s="1" t="s">
        <v>32</v>
      </c>
    </row>
    <row r="6659" spans="1:20" ht="63.75" x14ac:dyDescent="0.25">
      <c r="A6659" s="6">
        <v>6638</v>
      </c>
      <c r="B6659" s="1" t="str">
        <f>"2017-1104"</f>
        <v>2017-1104</v>
      </c>
      <c r="C6659" s="1" t="s">
        <v>2553</v>
      </c>
      <c r="D6659" s="1" t="s">
        <v>2554</v>
      </c>
      <c r="E6659" s="1" t="str">
        <f>""</f>
        <v/>
      </c>
      <c r="F6659" s="1" t="s">
        <v>1860</v>
      </c>
      <c r="G6659" s="1" t="str">
        <f>CONCATENATE(" ŠKALIĆ PRODUKCIJA J.D.O.O.,"," BISTRANSKA 143,"," 10298 DONJA BISTRA,"," OIB: 9318710688")</f>
        <v xml:space="preserve"> ŠKALIĆ PRODUKCIJA J.D.O.O., BISTRANSKA 143, 10298 DONJA BISTRA, OIB: 9318710688</v>
      </c>
      <c r="H6659" s="7"/>
      <c r="I6659" s="8" t="s">
        <v>5035</v>
      </c>
      <c r="J6659" s="8" t="s">
        <v>5035</v>
      </c>
      <c r="K6659" s="6" t="str">
        <f>"119.000,00"</f>
        <v>119.000,00</v>
      </c>
      <c r="L6659" s="6" t="str">
        <f>"29.750,00"</f>
        <v>29.750,00</v>
      </c>
      <c r="M6659" s="6" t="str">
        <f>"148.750,00"</f>
        <v>148.750,00</v>
      </c>
      <c r="N6659" s="8" t="s">
        <v>124</v>
      </c>
      <c r="O6659" s="7"/>
      <c r="P6659" s="2" t="s">
        <v>5614</v>
      </c>
      <c r="Q6659" s="7"/>
      <c r="R6659" s="1"/>
      <c r="S6659" s="1" t="str">
        <f>"J-UN-2017-430"</f>
        <v>J-UN-2017-430</v>
      </c>
      <c r="T6659" s="1" t="s">
        <v>32</v>
      </c>
    </row>
    <row r="6660" spans="1:20" ht="89.25" x14ac:dyDescent="0.25">
      <c r="A6660" s="6">
        <v>6639</v>
      </c>
      <c r="B6660" s="1" t="str">
        <f>"2017-622"</f>
        <v>2017-622</v>
      </c>
      <c r="C6660" s="1" t="s">
        <v>5008</v>
      </c>
      <c r="D6660" s="1" t="s">
        <v>5009</v>
      </c>
      <c r="E6660" s="1" t="str">
        <f>""</f>
        <v/>
      </c>
      <c r="F6660" s="1" t="s">
        <v>1860</v>
      </c>
      <c r="G6660" s="1" t="str">
        <f>CONCATENATE(" NASTAVNI ZAVOD ZA JAVNO ZDRAVSTVO PRIMORSKO - GORANSKE ŽUPANIJE,"," KREŠIMIROVA 52/A,"," 51000 RIJEKA,"," OIB: 45613787772")</f>
        <v xml:space="preserve"> NASTAVNI ZAVOD ZA JAVNO ZDRAVSTVO PRIMORSKO - GORANSKE ŽUPANIJE, KREŠIMIROVA 52/A, 51000 RIJEKA, OIB: 45613787772</v>
      </c>
      <c r="H6660" s="7"/>
      <c r="I6660" s="8" t="s">
        <v>3524</v>
      </c>
      <c r="J6660" s="8" t="s">
        <v>3524</v>
      </c>
      <c r="K6660" s="6" t="str">
        <f>"1.080,00"</f>
        <v>1.080,00</v>
      </c>
      <c r="L6660" s="6" t="str">
        <f>"270,00"</f>
        <v>270,00</v>
      </c>
      <c r="M6660" s="6" t="str">
        <f>"1.350,00"</f>
        <v>1.350,00</v>
      </c>
      <c r="N6660" s="8" t="s">
        <v>124</v>
      </c>
      <c r="O6660" s="7"/>
      <c r="P6660" s="2" t="s">
        <v>5614</v>
      </c>
      <c r="Q6660" s="7"/>
      <c r="R6660" s="1"/>
      <c r="S6660" s="1" t="str">
        <f>"J-UN-2017-474"</f>
        <v>J-UN-2017-474</v>
      </c>
      <c r="T6660" s="1" t="s">
        <v>32</v>
      </c>
    </row>
    <row r="6661" spans="1:20" ht="51" x14ac:dyDescent="0.25">
      <c r="A6661" s="6">
        <v>6640</v>
      </c>
      <c r="B6661" s="1" t="str">
        <f>"2017-951"</f>
        <v>2017-951</v>
      </c>
      <c r="C6661" s="1" t="s">
        <v>2726</v>
      </c>
      <c r="D6661" s="1" t="s">
        <v>689</v>
      </c>
      <c r="E6661" s="1" t="str">
        <f>""</f>
        <v/>
      </c>
      <c r="F6661" s="1" t="s">
        <v>1860</v>
      </c>
      <c r="G6661" s="1" t="str">
        <f>CONCATENATE(" TEHNOGUMA d.o.o.,"," OBRTNIČKA 1,"," 10000 ZAGREB,"," OIB: 38867318377")</f>
        <v xml:space="preserve"> TEHNOGUMA d.o.o., OBRTNIČKA 1, 10000 ZAGREB, OIB: 38867318377</v>
      </c>
      <c r="H6661" s="7"/>
      <c r="I6661" s="8" t="s">
        <v>4925</v>
      </c>
      <c r="J6661" s="8" t="s">
        <v>3612</v>
      </c>
      <c r="K6661" s="6" t="str">
        <f>"5.740,00"</f>
        <v>5.740,00</v>
      </c>
      <c r="L6661" s="6" t="str">
        <f>"1.435,00"</f>
        <v>1.435,00</v>
      </c>
      <c r="M6661" s="6" t="str">
        <f>"7.175,00"</f>
        <v>7.175,00</v>
      </c>
      <c r="N6661" s="8" t="s">
        <v>3634</v>
      </c>
      <c r="O6661" s="7"/>
      <c r="P6661" s="2" t="s">
        <v>8849</v>
      </c>
      <c r="Q6661" s="7"/>
      <c r="R6661" s="1"/>
      <c r="S6661" s="1" t="str">
        <f>"J-UN-2017-485"</f>
        <v>J-UN-2017-485</v>
      </c>
      <c r="T6661" s="1" t="s">
        <v>32</v>
      </c>
    </row>
    <row r="6662" spans="1:20" ht="51" x14ac:dyDescent="0.25">
      <c r="A6662" s="6">
        <v>6641</v>
      </c>
      <c r="B6662" s="1" t="str">
        <f>"2017-2172"</f>
        <v>2017-2172</v>
      </c>
      <c r="C6662" s="1" t="s">
        <v>2790</v>
      </c>
      <c r="D6662" s="1" t="s">
        <v>2791</v>
      </c>
      <c r="E6662" s="1" t="str">
        <f>""</f>
        <v/>
      </c>
      <c r="F6662" s="1" t="s">
        <v>1860</v>
      </c>
      <c r="G6662" s="1" t="str">
        <f>CONCATENATE(" VODOSKOK D.D.,"," ČULINEČKA CESTA 221/C,"," 10040 ZAGREB,"," OIB: 34134218058")</f>
        <v xml:space="preserve"> VODOSKOK D.D., ČULINEČKA CESTA 221/C, 10040 ZAGREB, OIB: 34134218058</v>
      </c>
      <c r="H6662" s="7"/>
      <c r="I6662" s="8" t="s">
        <v>4925</v>
      </c>
      <c r="J6662" s="8" t="s">
        <v>4925</v>
      </c>
      <c r="K6662" s="6" t="str">
        <f>"14.988,00"</f>
        <v>14.988,00</v>
      </c>
      <c r="L6662" s="6" t="str">
        <f>"3.747,00"</f>
        <v>3.747,00</v>
      </c>
      <c r="M6662" s="6" t="str">
        <f>"18.735,00"</f>
        <v>18.735,00</v>
      </c>
      <c r="N6662" s="8" t="s">
        <v>4506</v>
      </c>
      <c r="O6662" s="7"/>
      <c r="P6662" s="2" t="s">
        <v>8850</v>
      </c>
      <c r="Q6662" s="7"/>
      <c r="R6662" s="1"/>
      <c r="S6662" s="1" t="str">
        <f>"J-UN-2017-495"</f>
        <v>J-UN-2017-495</v>
      </c>
      <c r="T6662" s="1" t="s">
        <v>32</v>
      </c>
    </row>
    <row r="6663" spans="1:20" ht="51" x14ac:dyDescent="0.25">
      <c r="A6663" s="6">
        <v>6642</v>
      </c>
      <c r="B6663" s="1" t="str">
        <f>"2017-474"</f>
        <v>2017-474</v>
      </c>
      <c r="C6663" s="1" t="s">
        <v>3085</v>
      </c>
      <c r="D6663" s="1" t="s">
        <v>2549</v>
      </c>
      <c r="E6663" s="1" t="str">
        <f>""</f>
        <v/>
      </c>
      <c r="F6663" s="1" t="s">
        <v>1860</v>
      </c>
      <c r="G6663" s="1" t="str">
        <f>CONCATENATE(" SPES D.O.O.,"," GARIĆGRADSKA 11,"," 10000 ZAGREB,"," OIB: 62243696574")</f>
        <v xml:space="preserve"> SPES D.O.O., GARIĆGRADSKA 11, 10000 ZAGREB, OIB: 62243696574</v>
      </c>
      <c r="H6663" s="7"/>
      <c r="I6663" s="8" t="s">
        <v>5032</v>
      </c>
      <c r="J6663" s="8" t="s">
        <v>5032</v>
      </c>
      <c r="K6663" s="6" t="str">
        <f>"10.395,00"</f>
        <v>10.395,00</v>
      </c>
      <c r="L6663" s="6" t="str">
        <f>"2.598,75"</f>
        <v>2.598,75</v>
      </c>
      <c r="M6663" s="6" t="str">
        <f>"12.993,75"</f>
        <v>12.993,75</v>
      </c>
      <c r="N6663" s="8" t="s">
        <v>5035</v>
      </c>
      <c r="O6663" s="7"/>
      <c r="P6663" s="2" t="s">
        <v>8851</v>
      </c>
      <c r="Q6663" s="7"/>
      <c r="R6663" s="1"/>
      <c r="S6663" s="1" t="str">
        <f>"J-UN-2017-507"</f>
        <v>J-UN-2017-507</v>
      </c>
      <c r="T6663" s="1" t="s">
        <v>32</v>
      </c>
    </row>
    <row r="6664" spans="1:20" ht="51" x14ac:dyDescent="0.25">
      <c r="A6664" s="6">
        <v>6643</v>
      </c>
      <c r="B6664" s="1" t="str">
        <f>"2017-1459"</f>
        <v>2017-1459</v>
      </c>
      <c r="C6664" s="1" t="s">
        <v>2595</v>
      </c>
      <c r="D6664" s="1" t="s">
        <v>2596</v>
      </c>
      <c r="E6664" s="1" t="str">
        <f>""</f>
        <v/>
      </c>
      <c r="F6664" s="1" t="s">
        <v>1860</v>
      </c>
      <c r="G6664" s="1" t="str">
        <f>CONCATENATE(" PAULINA DIZAJN D.O.O.,"," PISANČEV PUT 3,"," 10 000 ZAGREB,"," OIB: 14543012179")</f>
        <v xml:space="preserve"> PAULINA DIZAJN D.O.O., PISANČEV PUT 3, 10 000 ZAGREB, OIB: 14543012179</v>
      </c>
      <c r="H6664" s="7"/>
      <c r="I6664" s="8" t="s">
        <v>5032</v>
      </c>
      <c r="J6664" s="8" t="s">
        <v>5032</v>
      </c>
      <c r="K6664" s="6" t="str">
        <f>"675,00"</f>
        <v>675,00</v>
      </c>
      <c r="L6664" s="6" t="str">
        <f>"168,75"</f>
        <v>168,75</v>
      </c>
      <c r="M6664" s="6" t="str">
        <f>"843,75"</f>
        <v>843,75</v>
      </c>
      <c r="N6664" s="8" t="s">
        <v>124</v>
      </c>
      <c r="O6664" s="7"/>
      <c r="P6664" s="2" t="s">
        <v>5614</v>
      </c>
      <c r="Q6664" s="7"/>
      <c r="R6664" s="1"/>
      <c r="S6664" s="1" t="str">
        <f>"J-UN-2017-509"</f>
        <v>J-UN-2017-509</v>
      </c>
      <c r="T6664" s="1" t="s">
        <v>32</v>
      </c>
    </row>
    <row r="6665" spans="1:20" ht="89.25" x14ac:dyDescent="0.25">
      <c r="A6665" s="6">
        <v>6644</v>
      </c>
      <c r="B6665" s="1" t="str">
        <f>"2017-1340"</f>
        <v>2017-1340</v>
      </c>
      <c r="C6665" s="1" t="s">
        <v>3228</v>
      </c>
      <c r="D6665" s="1" t="s">
        <v>3229</v>
      </c>
      <c r="E6665" s="1" t="str">
        <f>""</f>
        <v/>
      </c>
      <c r="F6665" s="1" t="s">
        <v>1860</v>
      </c>
      <c r="G6665" s="1" t="str">
        <f>CONCATENATE(" ZAVOD ZA ISTRAŽIVANJE I RAZVOJ SIGURNOSTI D.O.O.,"," ULICA GRADA VUKOVARA 68,"," 10000 ZAGREB,"," OIB: 05494093403")</f>
        <v xml:space="preserve"> ZAVOD ZA ISTRAŽIVANJE I RAZVOJ SIGURNOSTI D.O.O., ULICA GRADA VUKOVARA 68, 10000 ZAGREB, OIB: 05494093403</v>
      </c>
      <c r="H6665" s="7"/>
      <c r="I6665" s="8" t="s">
        <v>3615</v>
      </c>
      <c r="J6665" s="8" t="s">
        <v>5153</v>
      </c>
      <c r="K6665" s="6" t="str">
        <f>"1.350,00"</f>
        <v>1.350,00</v>
      </c>
      <c r="L6665" s="6" t="str">
        <f>"337,50"</f>
        <v>337,50</v>
      </c>
      <c r="M6665" s="6" t="str">
        <f>"1.687,50"</f>
        <v>1.687,50</v>
      </c>
      <c r="N6665" s="8" t="s">
        <v>124</v>
      </c>
      <c r="O6665" s="7"/>
      <c r="P6665" s="2" t="s">
        <v>5614</v>
      </c>
      <c r="Q6665" s="7"/>
      <c r="R6665" s="1"/>
      <c r="S6665" s="1" t="str">
        <f>"J-UN-2017-535"</f>
        <v>J-UN-2017-535</v>
      </c>
      <c r="T6665" s="1" t="s">
        <v>32</v>
      </c>
    </row>
    <row r="6666" spans="1:20" ht="63.75" x14ac:dyDescent="0.25">
      <c r="A6666" s="6">
        <v>6645</v>
      </c>
      <c r="B6666" s="1" t="str">
        <f>"2017-1145"</f>
        <v>2017-1145</v>
      </c>
      <c r="C6666" s="1" t="s">
        <v>3312</v>
      </c>
      <c r="D6666" s="1" t="s">
        <v>21</v>
      </c>
      <c r="E6666" s="1" t="str">
        <f>""</f>
        <v/>
      </c>
      <c r="F6666" s="1" t="s">
        <v>1860</v>
      </c>
      <c r="G6666" s="1" t="str">
        <f>CONCATENATE(" GUMIIMPEX - GRP D.O.O.,"," PAVLEKA MIŠKINE 64C,"," 42000 VARAŽDIN,"," OIB: 8229856262")</f>
        <v xml:space="preserve"> GUMIIMPEX - GRP D.O.O., PAVLEKA MIŠKINE 64C, 42000 VARAŽDIN, OIB: 8229856262</v>
      </c>
      <c r="H6666" s="7"/>
      <c r="I6666" s="8" t="s">
        <v>3603</v>
      </c>
      <c r="J6666" s="8" t="s">
        <v>3603</v>
      </c>
      <c r="K6666" s="6" t="str">
        <f>"201,60"</f>
        <v>201,60</v>
      </c>
      <c r="L6666" s="6" t="str">
        <f>"50,40"</f>
        <v>50,40</v>
      </c>
      <c r="M6666" s="6" t="str">
        <f>"252,00"</f>
        <v>252,00</v>
      </c>
      <c r="N6666" s="8" t="s">
        <v>5154</v>
      </c>
      <c r="O6666" s="7"/>
      <c r="P6666" s="2" t="s">
        <v>8852</v>
      </c>
      <c r="Q6666" s="7"/>
      <c r="R6666" s="1"/>
      <c r="S6666" s="1" t="str">
        <f>"J-UN-2017-539"</f>
        <v>J-UN-2017-539</v>
      </c>
      <c r="T6666" s="1" t="s">
        <v>32</v>
      </c>
    </row>
    <row r="6667" spans="1:20" ht="63.75" x14ac:dyDescent="0.25">
      <c r="A6667" s="6">
        <v>6646</v>
      </c>
      <c r="B6667" s="1" t="str">
        <f>"2017-2507"</f>
        <v>2017-2507</v>
      </c>
      <c r="C6667" s="1" t="s">
        <v>5151</v>
      </c>
      <c r="D6667" s="1" t="s">
        <v>1065</v>
      </c>
      <c r="E6667" s="1" t="str">
        <f>""</f>
        <v/>
      </c>
      <c r="F6667" s="1" t="s">
        <v>1860</v>
      </c>
      <c r="G6667" s="1" t="str">
        <f>CONCATENATE(" FLEET RENT A CAR D.O.O.,"," ANDRIJE HEBRANGA 32,"," 10000 ZAGREB,"," OIB: 5950444323")</f>
        <v xml:space="preserve"> FLEET RENT A CAR D.O.O., ANDRIJE HEBRANGA 32, 10000 ZAGREB, OIB: 5950444323</v>
      </c>
      <c r="H6667" s="7"/>
      <c r="I6667" s="8" t="s">
        <v>5035</v>
      </c>
      <c r="J6667" s="8" t="s">
        <v>5035</v>
      </c>
      <c r="K6667" s="6" t="str">
        <f>"21.280,00"</f>
        <v>21.280,00</v>
      </c>
      <c r="L6667" s="6" t="str">
        <f>"5.320,00"</f>
        <v>5.320,00</v>
      </c>
      <c r="M6667" s="6" t="str">
        <f>"26.600,00"</f>
        <v>26.600,00</v>
      </c>
      <c r="N6667" s="8" t="s">
        <v>3945</v>
      </c>
      <c r="O6667" s="7"/>
      <c r="P6667" s="2" t="s">
        <v>8853</v>
      </c>
      <c r="Q6667" s="7"/>
      <c r="R6667" s="1"/>
      <c r="S6667" s="1" t="str">
        <f>"J-UN-2017-550"</f>
        <v>J-UN-2017-550</v>
      </c>
      <c r="T6667" s="1" t="s">
        <v>32</v>
      </c>
    </row>
    <row r="6668" spans="1:20" ht="51" x14ac:dyDescent="0.25">
      <c r="A6668" s="6">
        <v>6647</v>
      </c>
      <c r="B6668" s="1" t="str">
        <f>"2017-1544"</f>
        <v>2017-1544</v>
      </c>
      <c r="C6668" s="1" t="s">
        <v>2970</v>
      </c>
      <c r="D6668" s="1" t="s">
        <v>2971</v>
      </c>
      <c r="E6668" s="1" t="str">
        <f>""</f>
        <v/>
      </c>
      <c r="F6668" s="1" t="s">
        <v>1860</v>
      </c>
      <c r="G6668" s="1" t="str">
        <f>CONCATENATE(" DOMEL D.O.O.,"," AVENIJA DUBROVNIK 15,"," 10020 ZAGREB,"," OIB: 642488577")</f>
        <v xml:space="preserve"> DOMEL D.O.O., AVENIJA DUBROVNIK 15, 10020 ZAGREB, OIB: 642488577</v>
      </c>
      <c r="H6668" s="7"/>
      <c r="I6668" s="8" t="s">
        <v>5155</v>
      </c>
      <c r="J6668" s="8" t="s">
        <v>5155</v>
      </c>
      <c r="K6668" s="6" t="str">
        <f>"9.550,00"</f>
        <v>9.550,00</v>
      </c>
      <c r="L6668" s="6" t="str">
        <f>"2.387,50"</f>
        <v>2.387,50</v>
      </c>
      <c r="M6668" s="6" t="str">
        <f>"11.937,50"</f>
        <v>11.937,50</v>
      </c>
      <c r="N6668" s="8" t="s">
        <v>5156</v>
      </c>
      <c r="O6668" s="7"/>
      <c r="P6668" s="2" t="s">
        <v>8854</v>
      </c>
      <c r="Q6668" s="7"/>
      <c r="R6668" s="1"/>
      <c r="S6668" s="1" t="str">
        <f>"J-UN-2017-557"</f>
        <v>J-UN-2017-557</v>
      </c>
      <c r="T6668" s="1" t="s">
        <v>32</v>
      </c>
    </row>
    <row r="6669" spans="1:20" ht="51" x14ac:dyDescent="0.25">
      <c r="A6669" s="6">
        <v>6648</v>
      </c>
      <c r="B6669" s="1" t="str">
        <f>"2017-2552"</f>
        <v>2017-2552</v>
      </c>
      <c r="C6669" s="1" t="s">
        <v>5157</v>
      </c>
      <c r="D6669" s="1" t="s">
        <v>2241</v>
      </c>
      <c r="E6669" s="1" t="str">
        <f>""</f>
        <v/>
      </c>
      <c r="F6669" s="1" t="s">
        <v>1860</v>
      </c>
      <c r="G6669" s="1" t="str">
        <f>CONCATENATE(" AUTO BENUSSI D.O.O.,"," INDUSTRIJSKA 2D,"," 52100 PULA,"," OIB: 96262119913")</f>
        <v xml:space="preserve"> AUTO BENUSSI D.O.O., INDUSTRIJSKA 2D, 52100 PULA, OIB: 96262119913</v>
      </c>
      <c r="H6669" s="7"/>
      <c r="I6669" s="8" t="s">
        <v>3608</v>
      </c>
      <c r="J6669" s="8" t="s">
        <v>3608</v>
      </c>
      <c r="K6669" s="6" t="str">
        <f>"83.137,50"</f>
        <v>83.137,50</v>
      </c>
      <c r="L6669" s="6" t="str">
        <f>"20.784,38"</f>
        <v>20.784,38</v>
      </c>
      <c r="M6669" s="6" t="str">
        <f>"103.921,88"</f>
        <v>103.921,88</v>
      </c>
      <c r="N6669" s="8" t="s">
        <v>4531</v>
      </c>
      <c r="O6669" s="7"/>
      <c r="P6669" s="2" t="s">
        <v>8855</v>
      </c>
      <c r="Q6669" s="7"/>
      <c r="R6669" s="1"/>
      <c r="S6669" s="1" t="str">
        <f>"J-UN-2017-590"</f>
        <v>J-UN-2017-590</v>
      </c>
      <c r="T6669" s="1" t="s">
        <v>32</v>
      </c>
    </row>
    <row r="6670" spans="1:20" ht="51" x14ac:dyDescent="0.25">
      <c r="A6670" s="6">
        <v>6649</v>
      </c>
      <c r="B6670" s="1" t="str">
        <f>"2017-1372"</f>
        <v>2017-1372</v>
      </c>
      <c r="C6670" s="1" t="s">
        <v>2626</v>
      </c>
      <c r="D6670" s="1" t="s">
        <v>2627</v>
      </c>
      <c r="E6670" s="1" t="str">
        <f>""</f>
        <v/>
      </c>
      <c r="F6670" s="1" t="s">
        <v>1860</v>
      </c>
      <c r="G6670" s="1" t="str">
        <f>CONCATENATE(" LEMIA D.O.O.,"," PUŠKARIĆEVA 104/C,"," 10250 LUČKO,"," OIB: 19783069838")</f>
        <v xml:space="preserve"> LEMIA D.O.O., PUŠKARIĆEVA 104/C, 10250 LUČKO, OIB: 19783069838</v>
      </c>
      <c r="H6670" s="7"/>
      <c r="I6670" s="8" t="s">
        <v>5158</v>
      </c>
      <c r="J6670" s="8" t="s">
        <v>5158</v>
      </c>
      <c r="K6670" s="6" t="str">
        <f>"3.882,38"</f>
        <v>3.882,38</v>
      </c>
      <c r="L6670" s="6" t="str">
        <f>"970,60"</f>
        <v>970,60</v>
      </c>
      <c r="M6670" s="6" t="str">
        <f>"4.852,98"</f>
        <v>4.852,98</v>
      </c>
      <c r="N6670" s="8" t="s">
        <v>5047</v>
      </c>
      <c r="O6670" s="7"/>
      <c r="P6670" s="2" t="s">
        <v>8856</v>
      </c>
      <c r="Q6670" s="7"/>
      <c r="R6670" s="1"/>
      <c r="S6670" s="1" t="str">
        <f>"J-UN-2017-602"</f>
        <v>J-UN-2017-602</v>
      </c>
      <c r="T6670" s="1" t="s">
        <v>32</v>
      </c>
    </row>
    <row r="6671" spans="1:20" ht="63.75" x14ac:dyDescent="0.25">
      <c r="A6671" s="6">
        <v>6650</v>
      </c>
      <c r="B6671" s="1" t="str">
        <f>"2017-647"</f>
        <v>2017-647</v>
      </c>
      <c r="C6671" s="1" t="s">
        <v>5159</v>
      </c>
      <c r="D6671" s="1" t="s">
        <v>2577</v>
      </c>
      <c r="E6671" s="1" t="str">
        <f>""</f>
        <v/>
      </c>
      <c r="F6671" s="1" t="s">
        <v>1860</v>
      </c>
      <c r="G6671" s="1" t="str">
        <f>CONCATENATE(" HIDROMEHANIKA D.O.O.,"," SLAVONSKA AVENIJA 26/10,"," 10000 ZAGREB,"," OIB: 9178029895")</f>
        <v xml:space="preserve"> HIDROMEHANIKA D.O.O., SLAVONSKA AVENIJA 26/10, 10000 ZAGREB, OIB: 9178029895</v>
      </c>
      <c r="H6671" s="7"/>
      <c r="I6671" s="8" t="s">
        <v>5160</v>
      </c>
      <c r="J6671" s="8" t="s">
        <v>5160</v>
      </c>
      <c r="K6671" s="6" t="str">
        <f>"2.999,80"</f>
        <v>2.999,80</v>
      </c>
      <c r="L6671" s="6" t="str">
        <f>"749,95"</f>
        <v>749,95</v>
      </c>
      <c r="M6671" s="6" t="str">
        <f>"3.749,75"</f>
        <v>3.749,75</v>
      </c>
      <c r="N6671" s="8" t="s">
        <v>3634</v>
      </c>
      <c r="O6671" s="7"/>
      <c r="P6671" s="2" t="s">
        <v>8857</v>
      </c>
      <c r="Q6671" s="7"/>
      <c r="R6671" s="1"/>
      <c r="S6671" s="1" t="str">
        <f>"J-UN-2017-618"</f>
        <v>J-UN-2017-618</v>
      </c>
      <c r="T6671" s="1" t="s">
        <v>32</v>
      </c>
    </row>
    <row r="6672" spans="1:20" ht="51" x14ac:dyDescent="0.25">
      <c r="A6672" s="6">
        <v>6651</v>
      </c>
      <c r="B6672" s="1" t="str">
        <f>"2017-2352"</f>
        <v>2017-2352</v>
      </c>
      <c r="C6672" s="1" t="s">
        <v>5050</v>
      </c>
      <c r="D6672" s="1" t="s">
        <v>1619</v>
      </c>
      <c r="E6672" s="1" t="str">
        <f>""</f>
        <v/>
      </c>
      <c r="F6672" s="1" t="s">
        <v>1860</v>
      </c>
      <c r="G6672" s="1" t="str">
        <f>CONCATENATE(" DREZGA D.O.O.,"," OBRTNIČKA 2,"," 10437 BESTOVJE,"," OIB: 46535283602")</f>
        <v xml:space="preserve"> DREZGA D.O.O., OBRTNIČKA 2, 10437 BESTOVJE, OIB: 46535283602</v>
      </c>
      <c r="H6672" s="7"/>
      <c r="I6672" s="8" t="s">
        <v>3639</v>
      </c>
      <c r="J6672" s="8" t="s">
        <v>3639</v>
      </c>
      <c r="K6672" s="6" t="str">
        <f>"6.287,85"</f>
        <v>6.287,85</v>
      </c>
      <c r="L6672" s="6" t="str">
        <f>"1.571,96"</f>
        <v>1.571,96</v>
      </c>
      <c r="M6672" s="6" t="str">
        <f>"7.859,81"</f>
        <v>7.859,81</v>
      </c>
      <c r="N6672" s="8" t="s">
        <v>268</v>
      </c>
      <c r="O6672" s="7"/>
      <c r="P6672" s="2" t="s">
        <v>8858</v>
      </c>
      <c r="Q6672" s="7"/>
      <c r="R6672" s="1"/>
      <c r="S6672" s="1" t="str">
        <f>"J-UN-2017-661"</f>
        <v>J-UN-2017-661</v>
      </c>
      <c r="T6672" s="1" t="s">
        <v>32</v>
      </c>
    </row>
    <row r="6673" spans="1:20" ht="51" x14ac:dyDescent="0.25">
      <c r="A6673" s="6">
        <v>6652</v>
      </c>
      <c r="B6673" s="1" t="str">
        <f>"2017-1063"</f>
        <v>2017-1063</v>
      </c>
      <c r="C6673" s="1" t="s">
        <v>2779</v>
      </c>
      <c r="D6673" s="1" t="s">
        <v>2780</v>
      </c>
      <c r="E6673" s="1" t="str">
        <f>""</f>
        <v/>
      </c>
      <c r="F6673" s="1" t="s">
        <v>1860</v>
      </c>
      <c r="G6673" s="1" t="str">
        <f>CONCATENATE(" LEXPERA D.O.O.,"," TUŠKANOVA 37,"," 10000 ZAGREB,"," OIB: 79506290597")</f>
        <v xml:space="preserve"> LEXPERA D.O.O., TUŠKANOVA 37, 10000 ZAGREB, OIB: 79506290597</v>
      </c>
      <c r="H6673" s="7"/>
      <c r="I6673" s="8" t="s">
        <v>3514</v>
      </c>
      <c r="J6673" s="8" t="s">
        <v>3514</v>
      </c>
      <c r="K6673" s="6" t="str">
        <f>"13.950,00"</f>
        <v>13.950,00</v>
      </c>
      <c r="L6673" s="6" t="str">
        <f>"3.487,50"</f>
        <v>3.487,50</v>
      </c>
      <c r="M6673" s="6" t="str">
        <f>"17.437,50"</f>
        <v>17.437,50</v>
      </c>
      <c r="N6673" s="8" t="s">
        <v>124</v>
      </c>
      <c r="O6673" s="7"/>
      <c r="P6673" s="2" t="s">
        <v>5614</v>
      </c>
      <c r="Q6673" s="7"/>
      <c r="R6673" s="1"/>
      <c r="S6673" s="1" t="str">
        <f>"J-UN-2017-717"</f>
        <v>J-UN-2017-717</v>
      </c>
      <c r="T6673" s="1" t="s">
        <v>32</v>
      </c>
    </row>
    <row r="6674" spans="1:20" ht="76.5" x14ac:dyDescent="0.25">
      <c r="A6674" s="6">
        <v>6653</v>
      </c>
      <c r="B6674" s="1" t="str">
        <f>"2017-1081"</f>
        <v>2017-1081</v>
      </c>
      <c r="C6674" s="1" t="s">
        <v>5161</v>
      </c>
      <c r="D6674" s="1" t="s">
        <v>689</v>
      </c>
      <c r="E6674" s="1" t="str">
        <f>""</f>
        <v/>
      </c>
      <c r="F6674" s="1" t="s">
        <v>1860</v>
      </c>
      <c r="G6674" s="1" t="str">
        <f>CONCATENATE(" VEKTOR GRUPA DRUŠTVO S OGRANIČENOM ODGOVORNOŠĆU ZA TISAK I TRGOVINU,"," ,"," OIB: 4048577236")</f>
        <v xml:space="preserve"> VEKTOR GRUPA DRUŠTVO S OGRANIČENOM ODGOVORNOŠĆU ZA TISAK I TRGOVINU, , OIB: 4048577236</v>
      </c>
      <c r="H6674" s="7"/>
      <c r="I6674" s="8" t="s">
        <v>3514</v>
      </c>
      <c r="J6674" s="8" t="s">
        <v>3514</v>
      </c>
      <c r="K6674" s="6" t="str">
        <f>"11.130,00"</f>
        <v>11.130,00</v>
      </c>
      <c r="L6674" s="6" t="str">
        <f>"2.782,50"</f>
        <v>2.782,50</v>
      </c>
      <c r="M6674" s="6" t="str">
        <f>"13.912,50"</f>
        <v>13.912,50</v>
      </c>
      <c r="N6674" s="8" t="s">
        <v>124</v>
      </c>
      <c r="O6674" s="7"/>
      <c r="P6674" s="2" t="s">
        <v>5614</v>
      </c>
      <c r="Q6674" s="7"/>
      <c r="R6674" s="1"/>
      <c r="S6674" s="1" t="str">
        <f>"J-UN-2017-719"</f>
        <v>J-UN-2017-719</v>
      </c>
      <c r="T6674" s="1" t="s">
        <v>32</v>
      </c>
    </row>
    <row r="6675" spans="1:20" ht="38.25" x14ac:dyDescent="0.25">
      <c r="A6675" s="6">
        <v>6654</v>
      </c>
      <c r="B6675" s="1" t="str">
        <f>"2017-1746"</f>
        <v>2017-1746</v>
      </c>
      <c r="C6675" s="1" t="s">
        <v>5162</v>
      </c>
      <c r="D6675" s="1" t="s">
        <v>854</v>
      </c>
      <c r="E6675" s="1" t="str">
        <f>""</f>
        <v/>
      </c>
      <c r="F6675" s="1" t="s">
        <v>1860</v>
      </c>
      <c r="G6675" s="1" t="str">
        <f>CONCATENATE(" SELMET D.O.O.,"," ,"," OIB: 25531283613")</f>
        <v xml:space="preserve"> SELMET D.O.O., , OIB: 25531283613</v>
      </c>
      <c r="H6675" s="7"/>
      <c r="I6675" s="8" t="s">
        <v>5155</v>
      </c>
      <c r="J6675" s="8" t="s">
        <v>5155</v>
      </c>
      <c r="K6675" s="6" t="str">
        <f>"2.734,50"</f>
        <v>2.734,50</v>
      </c>
      <c r="L6675" s="6" t="str">
        <f>"683,62"</f>
        <v>683,62</v>
      </c>
      <c r="M6675" s="6" t="str">
        <f>"3.418,12"</f>
        <v>3.418,12</v>
      </c>
      <c r="N6675" s="8" t="s">
        <v>124</v>
      </c>
      <c r="O6675" s="7"/>
      <c r="P6675" s="2" t="s">
        <v>5614</v>
      </c>
      <c r="Q6675" s="7"/>
      <c r="R6675" s="1"/>
      <c r="S6675" s="1" t="str">
        <f>"J-UN-2017-767"</f>
        <v>J-UN-2017-767</v>
      </c>
      <c r="T6675" s="1" t="s">
        <v>32</v>
      </c>
    </row>
    <row r="6676" spans="1:20" ht="63.75" x14ac:dyDescent="0.25">
      <c r="A6676" s="6">
        <v>6655</v>
      </c>
      <c r="B6676" s="1" t="str">
        <f>"2017-516"</f>
        <v>2017-516</v>
      </c>
      <c r="C6676" s="1" t="s">
        <v>2572</v>
      </c>
      <c r="D6676" s="1" t="s">
        <v>2573</v>
      </c>
      <c r="E6676" s="1" t="str">
        <f>""</f>
        <v/>
      </c>
      <c r="F6676" s="1" t="s">
        <v>1860</v>
      </c>
      <c r="G6676" s="1" t="str">
        <f>CONCATENATE(" SECURITAS HRVATSKA D.O.O.,"," ZAGREBAČKA CESTA 145A,"," 10000 ZAGREB,"," OIB: 33679708526")</f>
        <v xml:space="preserve"> SECURITAS HRVATSKA D.O.O., ZAGREBAČKA CESTA 145A, 10000 ZAGREB, OIB: 33679708526</v>
      </c>
      <c r="H6676" s="7"/>
      <c r="I6676" s="8" t="s">
        <v>5155</v>
      </c>
      <c r="J6676" s="8" t="s">
        <v>5155</v>
      </c>
      <c r="K6676" s="6" t="str">
        <f>"2.924,00"</f>
        <v>2.924,00</v>
      </c>
      <c r="L6676" s="6" t="str">
        <f>"731,00"</f>
        <v>731,00</v>
      </c>
      <c r="M6676" s="6" t="str">
        <f>"3.655,00"</f>
        <v>3.655,00</v>
      </c>
      <c r="N6676" s="8" t="s">
        <v>124</v>
      </c>
      <c r="O6676" s="7"/>
      <c r="P6676" s="2" t="s">
        <v>5614</v>
      </c>
      <c r="Q6676" s="7"/>
      <c r="R6676" s="1"/>
      <c r="S6676" s="1" t="str">
        <f>"J-UN-2017-768"</f>
        <v>J-UN-2017-768</v>
      </c>
      <c r="T6676" s="1" t="s">
        <v>32</v>
      </c>
    </row>
    <row r="6677" spans="1:20" ht="51" x14ac:dyDescent="0.25">
      <c r="A6677" s="6">
        <v>6656</v>
      </c>
      <c r="B6677" s="1" t="str">
        <f>"2017-1544"</f>
        <v>2017-1544</v>
      </c>
      <c r="C6677" s="1" t="s">
        <v>2970</v>
      </c>
      <c r="D6677" s="1" t="s">
        <v>2971</v>
      </c>
      <c r="E6677" s="1" t="str">
        <f>""</f>
        <v/>
      </c>
      <c r="F6677" s="1" t="s">
        <v>1860</v>
      </c>
      <c r="G6677" s="1" t="str">
        <f>CONCATENATE(" DOMEL D.O.O.,"," AVENIJA DUBROVNIK 15,"," 10020 ZAGREB,"," OIB: 642488577")</f>
        <v xml:space="preserve"> DOMEL D.O.O., AVENIJA DUBROVNIK 15, 10020 ZAGREB, OIB: 642488577</v>
      </c>
      <c r="H6677" s="7"/>
      <c r="I6677" s="8" t="s">
        <v>4495</v>
      </c>
      <c r="J6677" s="8" t="s">
        <v>4495</v>
      </c>
      <c r="K6677" s="6" t="str">
        <f>"10.110,00"</f>
        <v>10.110,00</v>
      </c>
      <c r="L6677" s="6" t="str">
        <f>"2.527,50"</f>
        <v>2.527,50</v>
      </c>
      <c r="M6677" s="6" t="str">
        <f>"12.637,50"</f>
        <v>12.637,50</v>
      </c>
      <c r="N6677" s="8" t="s">
        <v>3798</v>
      </c>
      <c r="O6677" s="7"/>
      <c r="P6677" s="2" t="s">
        <v>7834</v>
      </c>
      <c r="Q6677" s="7"/>
      <c r="R6677" s="1"/>
      <c r="S6677" s="1" t="str">
        <f>"J-UN-2017-780"</f>
        <v>J-UN-2017-780</v>
      </c>
      <c r="T6677" s="1" t="s">
        <v>32</v>
      </c>
    </row>
    <row r="6678" spans="1:20" ht="89.25" x14ac:dyDescent="0.25">
      <c r="A6678" s="6">
        <v>6657</v>
      </c>
      <c r="B6678" s="1" t="str">
        <f>"2017-2187"</f>
        <v>2017-2187</v>
      </c>
      <c r="C6678" s="1" t="s">
        <v>2668</v>
      </c>
      <c r="D6678" s="1" t="s">
        <v>2669</v>
      </c>
      <c r="E6678" s="1" t="str">
        <f>""</f>
        <v/>
      </c>
      <c r="F6678" s="1" t="s">
        <v>1860</v>
      </c>
      <c r="G6678" s="1" t="str">
        <f>CONCATENATE(" NORD POGONI DRUŠTVO S OGRANIČENOM ODGOVORNOŠĆU ZA TRGOVINU,"," SERVIS I MONTAŽU,"," ,"," OIB: 01049893289")</f>
        <v xml:space="preserve"> NORD POGONI DRUŠTVO S OGRANIČENOM ODGOVORNOŠĆU ZA TRGOVINU, SERVIS I MONTAŽU, , OIB: 01049893289</v>
      </c>
      <c r="H6678" s="7"/>
      <c r="I6678" s="8" t="s">
        <v>5163</v>
      </c>
      <c r="J6678" s="8" t="s">
        <v>5163</v>
      </c>
      <c r="K6678" s="6" t="str">
        <f>"86.095,00"</f>
        <v>86.095,00</v>
      </c>
      <c r="L6678" s="6" t="str">
        <f>"21.523,75"</f>
        <v>21.523,75</v>
      </c>
      <c r="M6678" s="6" t="str">
        <f>"107.618,75"</f>
        <v>107.618,75</v>
      </c>
      <c r="N6678" s="8" t="s">
        <v>124</v>
      </c>
      <c r="O6678" s="7"/>
      <c r="P6678" s="2" t="s">
        <v>5614</v>
      </c>
      <c r="Q6678" s="7"/>
      <c r="R6678" s="1"/>
      <c r="S6678" s="1" t="str">
        <f>"J-UN-2017-781"</f>
        <v>J-UN-2017-781</v>
      </c>
      <c r="T6678" s="1" t="s">
        <v>32</v>
      </c>
    </row>
    <row r="6679" spans="1:20" ht="63.75" x14ac:dyDescent="0.25">
      <c r="A6679" s="6">
        <v>6658</v>
      </c>
      <c r="B6679" s="1" t="str">
        <f>"2017-1041"</f>
        <v>2017-1041</v>
      </c>
      <c r="C6679" s="1" t="s">
        <v>5164</v>
      </c>
      <c r="D6679" s="1" t="s">
        <v>515</v>
      </c>
      <c r="E6679" s="1" t="str">
        <f>""</f>
        <v/>
      </c>
      <c r="F6679" s="1" t="s">
        <v>1860</v>
      </c>
      <c r="G6679" s="1" t="str">
        <f>CONCATENATE(" VETERINARSKA STANICA GRADA ZAGREBA,"," HEINZELOVA 68,"," 10000 ZAGREB,"," OIB: 86813677256")</f>
        <v xml:space="preserve"> VETERINARSKA STANICA GRADA ZAGREBA, HEINZELOVA 68, 10000 ZAGREB, OIB: 86813677256</v>
      </c>
      <c r="H6679" s="7"/>
      <c r="I6679" s="8" t="s">
        <v>4495</v>
      </c>
      <c r="J6679" s="8" t="s">
        <v>5047</v>
      </c>
      <c r="K6679" s="6" t="str">
        <f>"3.240,00"</f>
        <v>3.240,00</v>
      </c>
      <c r="L6679" s="6" t="str">
        <f>"810,00"</f>
        <v>810,00</v>
      </c>
      <c r="M6679" s="6" t="str">
        <f>"4.050,00"</f>
        <v>4.050,00</v>
      </c>
      <c r="N6679" s="8" t="s">
        <v>5165</v>
      </c>
      <c r="O6679" s="7"/>
      <c r="P6679" s="2" t="s">
        <v>7468</v>
      </c>
      <c r="Q6679" s="7"/>
      <c r="R6679" s="1"/>
      <c r="S6679" s="1" t="str">
        <f>"J-UN-2017-785"</f>
        <v>J-UN-2017-785</v>
      </c>
      <c r="T6679" s="1" t="s">
        <v>32</v>
      </c>
    </row>
    <row r="6680" spans="1:20" ht="51" x14ac:dyDescent="0.25">
      <c r="A6680" s="6">
        <v>6659</v>
      </c>
      <c r="B6680" s="1" t="str">
        <f>"2017-2254"</f>
        <v>2017-2254</v>
      </c>
      <c r="C6680" s="1" t="s">
        <v>2641</v>
      </c>
      <c r="D6680" s="1" t="s">
        <v>515</v>
      </c>
      <c r="E6680" s="1" t="str">
        <f>""</f>
        <v/>
      </c>
      <c r="F6680" s="1" t="s">
        <v>1860</v>
      </c>
      <c r="G6680" s="1" t="str">
        <f>CONCATENATE(" CSS D.O.O.,"," SAVSKA CESTA 144A,"," 10000 ZAGREB,"," OIB: 55562638214")</f>
        <v xml:space="preserve"> CSS D.O.O., SAVSKA CESTA 144A, 10000 ZAGREB, OIB: 55562638214</v>
      </c>
      <c r="H6680" s="7"/>
      <c r="I6680" s="8" t="s">
        <v>5047</v>
      </c>
      <c r="J6680" s="8" t="s">
        <v>4487</v>
      </c>
      <c r="K6680" s="6" t="str">
        <f>"22.450,00"</f>
        <v>22.450,00</v>
      </c>
      <c r="L6680" s="6" t="str">
        <f>"5.612,50"</f>
        <v>5.612,50</v>
      </c>
      <c r="M6680" s="6" t="str">
        <f>"28.062,50"</f>
        <v>28.062,50</v>
      </c>
      <c r="N6680" s="8" t="s">
        <v>124</v>
      </c>
      <c r="O6680" s="7"/>
      <c r="P6680" s="2" t="s">
        <v>5614</v>
      </c>
      <c r="Q6680" s="7"/>
      <c r="R6680" s="1"/>
      <c r="S6680" s="1" t="str">
        <f>"J-UN-2017-794"</f>
        <v>J-UN-2017-794</v>
      </c>
      <c r="T6680" s="1" t="s">
        <v>32</v>
      </c>
    </row>
    <row r="6681" spans="1:20" ht="63.75" x14ac:dyDescent="0.25">
      <c r="A6681" s="6">
        <v>6660</v>
      </c>
      <c r="B6681" s="1" t="str">
        <f>"2017-2242"</f>
        <v>2017-2242</v>
      </c>
      <c r="C6681" s="1" t="s">
        <v>5166</v>
      </c>
      <c r="D6681" s="1" t="s">
        <v>5167</v>
      </c>
      <c r="E6681" s="1" t="str">
        <f>""</f>
        <v/>
      </c>
      <c r="F6681" s="1" t="s">
        <v>1860</v>
      </c>
      <c r="G6681" s="1" t="str">
        <f>CONCATENATE(" LANIŠTE D.O.O.,"," ALEXANDERA VON HUMBOLDTA 4B,"," 10000 ZAGREB,"," OIB: 3755384865")</f>
        <v xml:space="preserve"> LANIŠTE D.O.O., ALEXANDERA VON HUMBOLDTA 4B, 10000 ZAGREB, OIB: 3755384865</v>
      </c>
      <c r="H6681" s="7"/>
      <c r="I6681" s="8" t="s">
        <v>4499</v>
      </c>
      <c r="J6681" s="8" t="s">
        <v>4499</v>
      </c>
      <c r="K6681" s="6" t="str">
        <f>"8.530,00"</f>
        <v>8.530,00</v>
      </c>
      <c r="L6681" s="6" t="str">
        <f>"2.132,50"</f>
        <v>2.132,50</v>
      </c>
      <c r="M6681" s="6" t="str">
        <f>"10.662,50"</f>
        <v>10.662,50</v>
      </c>
      <c r="N6681" s="8" t="s">
        <v>4903</v>
      </c>
      <c r="O6681" s="7"/>
      <c r="P6681" s="2" t="s">
        <v>6424</v>
      </c>
      <c r="Q6681" s="7"/>
      <c r="R6681" s="1"/>
      <c r="S6681" s="1" t="str">
        <f>"J-UN-2017-846"</f>
        <v>J-UN-2017-846</v>
      </c>
      <c r="T6681" s="1" t="s">
        <v>32</v>
      </c>
    </row>
    <row r="6682" spans="1:20" ht="63.75" x14ac:dyDescent="0.25">
      <c r="A6682" s="6">
        <v>6661</v>
      </c>
      <c r="B6682" s="1" t="str">
        <f>"2017-992"</f>
        <v>2017-992</v>
      </c>
      <c r="C6682" s="1" t="s">
        <v>2984</v>
      </c>
      <c r="D6682" s="1" t="s">
        <v>2985</v>
      </c>
      <c r="E6682" s="1" t="str">
        <f>""</f>
        <v/>
      </c>
      <c r="F6682" s="1" t="s">
        <v>1860</v>
      </c>
      <c r="G6682" s="1" t="str">
        <f>CONCATENATE(" LANIŠTE D.O.O.,"," ALEXANDERA VON HUMBOLDTA 4B,"," 10000 ZAGREB,"," OIB: 3755384865")</f>
        <v xml:space="preserve"> LANIŠTE D.O.O., ALEXANDERA VON HUMBOLDTA 4B, 10000 ZAGREB, OIB: 3755384865</v>
      </c>
      <c r="H6682" s="7"/>
      <c r="I6682" s="8" t="s">
        <v>4499</v>
      </c>
      <c r="J6682" s="8" t="s">
        <v>3618</v>
      </c>
      <c r="K6682" s="6" t="str">
        <f>"9.470,00"</f>
        <v>9.470,00</v>
      </c>
      <c r="L6682" s="6" t="str">
        <f>"2.367,50"</f>
        <v>2.367,50</v>
      </c>
      <c r="M6682" s="6" t="str">
        <f>"11.837,50"</f>
        <v>11.837,50</v>
      </c>
      <c r="N6682" s="8" t="s">
        <v>4903</v>
      </c>
      <c r="O6682" s="7"/>
      <c r="P6682" s="2" t="s">
        <v>8859</v>
      </c>
      <c r="Q6682" s="7"/>
      <c r="R6682" s="1"/>
      <c r="S6682" s="1" t="str">
        <f>"J-UN-2017-847"</f>
        <v>J-UN-2017-847</v>
      </c>
      <c r="T6682" s="1" t="s">
        <v>32</v>
      </c>
    </row>
    <row r="6683" spans="1:20" ht="63.75" x14ac:dyDescent="0.25">
      <c r="A6683" s="6">
        <v>6662</v>
      </c>
      <c r="B6683" s="1" t="str">
        <f>"2017-1043"</f>
        <v>2017-1043</v>
      </c>
      <c r="C6683" s="1" t="s">
        <v>2986</v>
      </c>
      <c r="D6683" s="1" t="s">
        <v>2985</v>
      </c>
      <c r="E6683" s="1" t="str">
        <f>""</f>
        <v/>
      </c>
      <c r="F6683" s="1" t="s">
        <v>1860</v>
      </c>
      <c r="G6683" s="1" t="str">
        <f>CONCATENATE(" LANIŠTE D.O.O.,"," ALEXANDERA VON HUMBOLDTA 4B,"," 10000 ZAGREB,"," OIB: 3755384865")</f>
        <v xml:space="preserve"> LANIŠTE D.O.O., ALEXANDERA VON HUMBOLDTA 4B, 10000 ZAGREB, OIB: 3755384865</v>
      </c>
      <c r="H6683" s="7"/>
      <c r="I6683" s="8" t="s">
        <v>4499</v>
      </c>
      <c r="J6683" s="8" t="s">
        <v>3618</v>
      </c>
      <c r="K6683" s="6" t="str">
        <f>"8.530,00"</f>
        <v>8.530,00</v>
      </c>
      <c r="L6683" s="6" t="str">
        <f>"2.132,50"</f>
        <v>2.132,50</v>
      </c>
      <c r="M6683" s="6" t="str">
        <f>"10.662,50"</f>
        <v>10.662,50</v>
      </c>
      <c r="N6683" s="8" t="s">
        <v>4903</v>
      </c>
      <c r="O6683" s="7"/>
      <c r="P6683" s="2" t="s">
        <v>6424</v>
      </c>
      <c r="Q6683" s="7"/>
      <c r="R6683" s="1"/>
      <c r="S6683" s="1" t="str">
        <f>"J-UN-2017-848"</f>
        <v>J-UN-2017-848</v>
      </c>
      <c r="T6683" s="1" t="s">
        <v>32</v>
      </c>
    </row>
    <row r="6684" spans="1:20" ht="63.75" x14ac:dyDescent="0.25">
      <c r="A6684" s="6">
        <v>6663</v>
      </c>
      <c r="B6684" s="1" t="str">
        <f>"2017-1734"</f>
        <v>2017-1734</v>
      </c>
      <c r="C6684" s="1" t="s">
        <v>5146</v>
      </c>
      <c r="D6684" s="1" t="s">
        <v>2988</v>
      </c>
      <c r="E6684" s="1" t="str">
        <f>""</f>
        <v/>
      </c>
      <c r="F6684" s="1" t="s">
        <v>1860</v>
      </c>
      <c r="G6684" s="1" t="str">
        <f>CONCATENATE(" LANIŠTE D.O.O.,"," ALEXANDERA VON HUMBOLDTA 4B,"," 10000 ZAGREB,"," OIB: 3755384865")</f>
        <v xml:space="preserve"> LANIŠTE D.O.O., ALEXANDERA VON HUMBOLDTA 4B, 10000 ZAGREB, OIB: 3755384865</v>
      </c>
      <c r="H6684" s="7"/>
      <c r="I6684" s="8" t="s">
        <v>4499</v>
      </c>
      <c r="J6684" s="8" t="s">
        <v>3618</v>
      </c>
      <c r="K6684" s="6" t="str">
        <f>"9.470,00"</f>
        <v>9.470,00</v>
      </c>
      <c r="L6684" s="6" t="str">
        <f>"2.367,50"</f>
        <v>2.367,50</v>
      </c>
      <c r="M6684" s="6" t="str">
        <f>"11.837,50"</f>
        <v>11.837,50</v>
      </c>
      <c r="N6684" s="8" t="s">
        <v>4903</v>
      </c>
      <c r="O6684" s="7"/>
      <c r="P6684" s="2" t="s">
        <v>8859</v>
      </c>
      <c r="Q6684" s="7"/>
      <c r="R6684" s="1"/>
      <c r="S6684" s="1" t="str">
        <f>"J-UN-2017-849"</f>
        <v>J-UN-2017-849</v>
      </c>
      <c r="T6684" s="1" t="s">
        <v>32</v>
      </c>
    </row>
    <row r="6685" spans="1:20" ht="51" x14ac:dyDescent="0.25">
      <c r="A6685" s="6">
        <v>6664</v>
      </c>
      <c r="B6685" s="1" t="str">
        <f>"2017-1372"</f>
        <v>2017-1372</v>
      </c>
      <c r="C6685" s="1" t="s">
        <v>2626</v>
      </c>
      <c r="D6685" s="1" t="s">
        <v>2627</v>
      </c>
      <c r="E6685" s="1" t="str">
        <f>""</f>
        <v/>
      </c>
      <c r="F6685" s="1" t="s">
        <v>1860</v>
      </c>
      <c r="G6685" s="1" t="str">
        <f>CONCATENATE(" RIMOS D.O.O.,"," LAGINJINA 6C,"," 10000 ZAGREB,"," OIB: 14998834808")</f>
        <v xml:space="preserve"> RIMOS D.O.O., LAGINJINA 6C, 10000 ZAGREB, OIB: 14998834808</v>
      </c>
      <c r="H6685" s="7"/>
      <c r="I6685" s="8" t="s">
        <v>5047</v>
      </c>
      <c r="J6685" s="8" t="s">
        <v>5153</v>
      </c>
      <c r="K6685" s="6" t="str">
        <f>"490,00"</f>
        <v>490,00</v>
      </c>
      <c r="L6685" s="6" t="str">
        <f>"122,50"</f>
        <v>122,50</v>
      </c>
      <c r="M6685" s="6" t="str">
        <f>"612,50"</f>
        <v>612,50</v>
      </c>
      <c r="N6685" s="8" t="s">
        <v>124</v>
      </c>
      <c r="O6685" s="7"/>
      <c r="P6685" s="2" t="s">
        <v>5614</v>
      </c>
      <c r="Q6685" s="7"/>
      <c r="R6685" s="1"/>
      <c r="S6685" s="1" t="str">
        <f>"J-UN-2017-861"</f>
        <v>J-UN-2017-861</v>
      </c>
      <c r="T6685" s="1" t="s">
        <v>32</v>
      </c>
    </row>
    <row r="6686" spans="1:20" ht="51" x14ac:dyDescent="0.25">
      <c r="A6686" s="6">
        <v>6665</v>
      </c>
      <c r="B6686" s="1" t="str">
        <f>"2017-2415"</f>
        <v>2017-2415</v>
      </c>
      <c r="C6686" s="1" t="s">
        <v>2618</v>
      </c>
      <c r="D6686" s="1" t="s">
        <v>2619</v>
      </c>
      <c r="E6686" s="1" t="str">
        <f>""</f>
        <v/>
      </c>
      <c r="F6686" s="1" t="s">
        <v>1860</v>
      </c>
      <c r="G6686" s="1" t="str">
        <f>CONCATENATE(" TRA-MONT D.O.O.,"," MILIVOJA MATOŠECA 5,"," 10000 ZAGREB,"," OIB: 05336208843")</f>
        <v xml:space="preserve"> TRA-MONT D.O.O., MILIVOJA MATOŠECA 5, 10000 ZAGREB, OIB: 05336208843</v>
      </c>
      <c r="H6686" s="7"/>
      <c r="I6686" s="8" t="s">
        <v>5047</v>
      </c>
      <c r="J6686" s="8" t="s">
        <v>5153</v>
      </c>
      <c r="K6686" s="6" t="str">
        <f>"282,00"</f>
        <v>282,00</v>
      </c>
      <c r="L6686" s="6" t="str">
        <f>"70,50"</f>
        <v>70,50</v>
      </c>
      <c r="M6686" s="6" t="str">
        <f>"352,50"</f>
        <v>352,50</v>
      </c>
      <c r="N6686" s="8" t="s">
        <v>124</v>
      </c>
      <c r="O6686" s="7"/>
      <c r="P6686" s="2" t="s">
        <v>5614</v>
      </c>
      <c r="Q6686" s="7"/>
      <c r="R6686" s="1"/>
      <c r="S6686" s="1" t="str">
        <f>"J-UN-2017-865"</f>
        <v>J-UN-2017-865</v>
      </c>
      <c r="T6686" s="1" t="s">
        <v>32</v>
      </c>
    </row>
    <row r="6687" spans="1:20" ht="63.75" x14ac:dyDescent="0.25">
      <c r="A6687" s="6">
        <v>6666</v>
      </c>
      <c r="B6687" s="1" t="str">
        <f>"2017-2242"</f>
        <v>2017-2242</v>
      </c>
      <c r="C6687" s="1" t="s">
        <v>5166</v>
      </c>
      <c r="D6687" s="1" t="s">
        <v>5167</v>
      </c>
      <c r="E6687" s="1" t="str">
        <f>""</f>
        <v/>
      </c>
      <c r="F6687" s="1" t="s">
        <v>1860</v>
      </c>
      <c r="G6687" s="1" t="str">
        <f>CONCATENATE(" LANIŠTE D.O.O.,"," ALEXANDERA VON HUMBOLDTA 4B,"," 10000 ZAGREB,"," OIB: 3755384865")</f>
        <v xml:space="preserve"> LANIŠTE D.O.O., ALEXANDERA VON HUMBOLDTA 4B, 10000 ZAGREB, OIB: 3755384865</v>
      </c>
      <c r="H6687" s="7"/>
      <c r="I6687" s="8" t="s">
        <v>3618</v>
      </c>
      <c r="J6687" s="8" t="s">
        <v>4502</v>
      </c>
      <c r="K6687" s="6" t="str">
        <f>"8.530,00"</f>
        <v>8.530,00</v>
      </c>
      <c r="L6687" s="6" t="str">
        <f>"2.132,50"</f>
        <v>2.132,50</v>
      </c>
      <c r="M6687" s="6" t="str">
        <f>"10.662,50"</f>
        <v>10.662,50</v>
      </c>
      <c r="N6687" s="8" t="s">
        <v>5168</v>
      </c>
      <c r="O6687" s="7"/>
      <c r="P6687" s="2" t="s">
        <v>6424</v>
      </c>
      <c r="Q6687" s="7"/>
      <c r="R6687" s="1"/>
      <c r="S6687" s="1" t="str">
        <f>"J-UN-2017-872"</f>
        <v>J-UN-2017-872</v>
      </c>
      <c r="T6687" s="1" t="s">
        <v>32</v>
      </c>
    </row>
    <row r="6688" spans="1:20" ht="63.75" x14ac:dyDescent="0.25">
      <c r="A6688" s="6">
        <v>6667</v>
      </c>
      <c r="B6688" s="1" t="str">
        <f>"2017-992"</f>
        <v>2017-992</v>
      </c>
      <c r="C6688" s="1" t="s">
        <v>2984</v>
      </c>
      <c r="D6688" s="1" t="s">
        <v>2985</v>
      </c>
      <c r="E6688" s="1" t="str">
        <f>""</f>
        <v/>
      </c>
      <c r="F6688" s="1" t="s">
        <v>1860</v>
      </c>
      <c r="G6688" s="1" t="str">
        <f>CONCATENATE(" LANIŠTE D.O.O.,"," ALEXANDERA VON HUMBOLDTA 4B,"," 10000 ZAGREB,"," OIB: 3755384865")</f>
        <v xml:space="preserve"> LANIŠTE D.O.O., ALEXANDERA VON HUMBOLDTA 4B, 10000 ZAGREB, OIB: 3755384865</v>
      </c>
      <c r="H6688" s="7"/>
      <c r="I6688" s="8" t="s">
        <v>3618</v>
      </c>
      <c r="J6688" s="8" t="s">
        <v>4502</v>
      </c>
      <c r="K6688" s="6" t="str">
        <f>"9.470,00"</f>
        <v>9.470,00</v>
      </c>
      <c r="L6688" s="6" t="str">
        <f>"2.367,50"</f>
        <v>2.367,50</v>
      </c>
      <c r="M6688" s="6" t="str">
        <f>"11.837,50"</f>
        <v>11.837,50</v>
      </c>
      <c r="N6688" s="8" t="s">
        <v>5168</v>
      </c>
      <c r="O6688" s="7"/>
      <c r="P6688" s="2" t="s">
        <v>8859</v>
      </c>
      <c r="Q6688" s="7"/>
      <c r="R6688" s="1"/>
      <c r="S6688" s="1" t="str">
        <f>"J-UN-2017-873"</f>
        <v>J-UN-2017-873</v>
      </c>
      <c r="T6688" s="1" t="s">
        <v>32</v>
      </c>
    </row>
    <row r="6689" spans="1:20" ht="63.75" x14ac:dyDescent="0.25">
      <c r="A6689" s="6">
        <v>6668</v>
      </c>
      <c r="B6689" s="1" t="str">
        <f>"2017-1043"</f>
        <v>2017-1043</v>
      </c>
      <c r="C6689" s="1" t="s">
        <v>2986</v>
      </c>
      <c r="D6689" s="1" t="s">
        <v>2985</v>
      </c>
      <c r="E6689" s="1" t="str">
        <f>""</f>
        <v/>
      </c>
      <c r="F6689" s="1" t="s">
        <v>1860</v>
      </c>
      <c r="G6689" s="1" t="str">
        <f>CONCATENATE(" LANIŠTE D.O.O.,"," ALEXANDERA VON HUMBOLDTA 4B,"," 10000 ZAGREB,"," OIB: 3755384865")</f>
        <v xml:space="preserve"> LANIŠTE D.O.O., ALEXANDERA VON HUMBOLDTA 4B, 10000 ZAGREB, OIB: 3755384865</v>
      </c>
      <c r="H6689" s="7"/>
      <c r="I6689" s="8" t="s">
        <v>3618</v>
      </c>
      <c r="J6689" s="8" t="s">
        <v>4502</v>
      </c>
      <c r="K6689" s="6" t="str">
        <f>"8.530,00"</f>
        <v>8.530,00</v>
      </c>
      <c r="L6689" s="6" t="str">
        <f>"2.132,50"</f>
        <v>2.132,50</v>
      </c>
      <c r="M6689" s="6" t="str">
        <f>"10.662,50"</f>
        <v>10.662,50</v>
      </c>
      <c r="N6689" s="8" t="s">
        <v>5168</v>
      </c>
      <c r="O6689" s="7"/>
      <c r="P6689" s="2" t="s">
        <v>6424</v>
      </c>
      <c r="Q6689" s="7"/>
      <c r="R6689" s="1"/>
      <c r="S6689" s="1" t="str">
        <f>"J-UN-2017-874"</f>
        <v>J-UN-2017-874</v>
      </c>
      <c r="T6689" s="1" t="s">
        <v>32</v>
      </c>
    </row>
    <row r="6690" spans="1:20" ht="63.75" x14ac:dyDescent="0.25">
      <c r="A6690" s="6">
        <v>6669</v>
      </c>
      <c r="B6690" s="1" t="str">
        <f>"2017-1734"</f>
        <v>2017-1734</v>
      </c>
      <c r="C6690" s="1" t="s">
        <v>5146</v>
      </c>
      <c r="D6690" s="1" t="s">
        <v>2988</v>
      </c>
      <c r="E6690" s="1" t="str">
        <f>""</f>
        <v/>
      </c>
      <c r="F6690" s="1" t="s">
        <v>1860</v>
      </c>
      <c r="G6690" s="1" t="str">
        <f>CONCATENATE(" LANIŠTE D.O.O.,"," ALEXANDERA VON HUMBOLDTA 4B,"," 10000 ZAGREB,"," OIB: 3755384865")</f>
        <v xml:space="preserve"> LANIŠTE D.O.O., ALEXANDERA VON HUMBOLDTA 4B, 10000 ZAGREB, OIB: 3755384865</v>
      </c>
      <c r="H6690" s="7"/>
      <c r="I6690" s="8" t="s">
        <v>3618</v>
      </c>
      <c r="J6690" s="8" t="s">
        <v>4502</v>
      </c>
      <c r="K6690" s="6" t="str">
        <f>"9.470,00"</f>
        <v>9.470,00</v>
      </c>
      <c r="L6690" s="6" t="str">
        <f>"2.367,50"</f>
        <v>2.367,50</v>
      </c>
      <c r="M6690" s="6" t="str">
        <f>"11.837,50"</f>
        <v>11.837,50</v>
      </c>
      <c r="N6690" s="8" t="s">
        <v>5168</v>
      </c>
      <c r="O6690" s="7"/>
      <c r="P6690" s="2" t="s">
        <v>8859</v>
      </c>
      <c r="Q6690" s="7"/>
      <c r="R6690" s="1"/>
      <c r="S6690" s="1" t="str">
        <f>"J-UN-2017-875"</f>
        <v>J-UN-2017-875</v>
      </c>
      <c r="T6690" s="1" t="s">
        <v>32</v>
      </c>
    </row>
    <row r="6691" spans="1:20" ht="51" x14ac:dyDescent="0.25">
      <c r="A6691" s="6">
        <v>6670</v>
      </c>
      <c r="B6691" s="1" t="str">
        <f>"2017-2254"</f>
        <v>2017-2254</v>
      </c>
      <c r="C6691" s="1" t="s">
        <v>2641</v>
      </c>
      <c r="D6691" s="1" t="s">
        <v>515</v>
      </c>
      <c r="E6691" s="1" t="str">
        <f>""</f>
        <v/>
      </c>
      <c r="F6691" s="1" t="s">
        <v>1860</v>
      </c>
      <c r="G6691" s="1" t="str">
        <f>CONCATENATE(" INSTITUT IGH D.D.,"," JANKA RAKUŠE 1,"," 10000 ZAGREB,"," OIB: 79766124714")</f>
        <v xml:space="preserve"> INSTITUT IGH D.D., JANKA RAKUŠE 1, 10000 ZAGREB, OIB: 79766124714</v>
      </c>
      <c r="H6691" s="7"/>
      <c r="I6691" s="8" t="s">
        <v>4735</v>
      </c>
      <c r="J6691" s="8" t="s">
        <v>4487</v>
      </c>
      <c r="K6691" s="6" t="str">
        <f>"2.925,00"</f>
        <v>2.925,00</v>
      </c>
      <c r="L6691" s="6" t="str">
        <f>"731,25"</f>
        <v>731,25</v>
      </c>
      <c r="M6691" s="6" t="str">
        <f>"3.656,25"</f>
        <v>3.656,25</v>
      </c>
      <c r="N6691" s="8" t="s">
        <v>124</v>
      </c>
      <c r="O6691" s="7"/>
      <c r="P6691" s="2" t="s">
        <v>5614</v>
      </c>
      <c r="Q6691" s="7"/>
      <c r="R6691" s="1"/>
      <c r="S6691" s="1" t="str">
        <f>"J-UN-2017-898"</f>
        <v>J-UN-2017-898</v>
      </c>
      <c r="T6691" s="1" t="s">
        <v>32</v>
      </c>
    </row>
    <row r="6692" spans="1:20" ht="76.5" x14ac:dyDescent="0.25">
      <c r="A6692" s="6">
        <v>6671</v>
      </c>
      <c r="B6692" s="1" t="str">
        <f>"2017-1723"</f>
        <v>2017-1723</v>
      </c>
      <c r="C6692" s="1" t="s">
        <v>5169</v>
      </c>
      <c r="D6692" s="1" t="s">
        <v>880</v>
      </c>
      <c r="E6692" s="1" t="str">
        <f>""</f>
        <v/>
      </c>
      <c r="F6692" s="1" t="s">
        <v>1860</v>
      </c>
      <c r="G6692" s="1" t="str">
        <f>CONCATENATE(" NASTAVNI ZAVOD ZA JAVNO ZDRAVSTVO ISTARSKE ŽUPANIJE,"," NAZOROVA 23,"," 52100 PULA,"," OIB: 90629578695")</f>
        <v xml:space="preserve"> NASTAVNI ZAVOD ZA JAVNO ZDRAVSTVO ISTARSKE ŽUPANIJE, NAZOROVA 23, 52100 PULA, OIB: 90629578695</v>
      </c>
      <c r="H6692" s="7"/>
      <c r="I6692" s="8" t="s">
        <v>4499</v>
      </c>
      <c r="J6692" s="8" t="s">
        <v>3618</v>
      </c>
      <c r="K6692" s="6" t="str">
        <f>"1.710,00"</f>
        <v>1.710,00</v>
      </c>
      <c r="L6692" s="6" t="str">
        <f>"427,50"</f>
        <v>427,50</v>
      </c>
      <c r="M6692" s="6" t="str">
        <f>"2.137,50"</f>
        <v>2.137,50</v>
      </c>
      <c r="N6692" s="8" t="s">
        <v>124</v>
      </c>
      <c r="O6692" s="7"/>
      <c r="P6692" s="2" t="s">
        <v>5614</v>
      </c>
      <c r="Q6692" s="7"/>
      <c r="R6692" s="1"/>
      <c r="S6692" s="1" t="str">
        <f>"J-UN-2017-910"</f>
        <v>J-UN-2017-910</v>
      </c>
      <c r="T6692" s="1" t="s">
        <v>32</v>
      </c>
    </row>
    <row r="6693" spans="1:20" ht="76.5" x14ac:dyDescent="0.25">
      <c r="A6693" s="6">
        <v>6672</v>
      </c>
      <c r="B6693" s="1" t="str">
        <f>"2017-2436"</f>
        <v>2017-2436</v>
      </c>
      <c r="C6693" s="1" t="s">
        <v>2711</v>
      </c>
      <c r="D6693" s="1" t="s">
        <v>1914</v>
      </c>
      <c r="E6693" s="1" t="str">
        <f>""</f>
        <v/>
      </c>
      <c r="F6693" s="1" t="s">
        <v>1860</v>
      </c>
      <c r="G6693" s="1" t="str">
        <f>CONCATENATE(" BUTAN PLIN D.O.O.,"," ULICA RIJEKE DRAGONJE 23,"," 52466 NOVIGRAD (CITTANOVA),"," OIB: 80051835685")</f>
        <v xml:space="preserve"> BUTAN PLIN D.O.O., ULICA RIJEKE DRAGONJE 23, 52466 NOVIGRAD (CITTANOVA), OIB: 80051835685</v>
      </c>
      <c r="H6693" s="7"/>
      <c r="I6693" s="8" t="s">
        <v>4499</v>
      </c>
      <c r="J6693" s="8" t="s">
        <v>3618</v>
      </c>
      <c r="K6693" s="6" t="str">
        <f>"1.392,00"</f>
        <v>1.392,00</v>
      </c>
      <c r="L6693" s="6" t="str">
        <f>"348,00"</f>
        <v>348,00</v>
      </c>
      <c r="M6693" s="6" t="str">
        <f>"1.740,00"</f>
        <v>1.740,00</v>
      </c>
      <c r="N6693" s="8" t="s">
        <v>4735</v>
      </c>
      <c r="O6693" s="7"/>
      <c r="P6693" s="2" t="s">
        <v>8860</v>
      </c>
      <c r="Q6693" s="7"/>
      <c r="R6693" s="1"/>
      <c r="S6693" s="1" t="str">
        <f>"J-UN-2017-912"</f>
        <v>J-UN-2017-912</v>
      </c>
      <c r="T6693" s="1" t="s">
        <v>32</v>
      </c>
    </row>
    <row r="6694" spans="1:20" ht="76.5" x14ac:dyDescent="0.25">
      <c r="A6694" s="6">
        <v>6673</v>
      </c>
      <c r="B6694" s="1" t="str">
        <f>"2017-2436"</f>
        <v>2017-2436</v>
      </c>
      <c r="C6694" s="1" t="s">
        <v>2711</v>
      </c>
      <c r="D6694" s="1" t="s">
        <v>1914</v>
      </c>
      <c r="E6694" s="1" t="str">
        <f>""</f>
        <v/>
      </c>
      <c r="F6694" s="1" t="s">
        <v>1860</v>
      </c>
      <c r="G6694" s="1" t="str">
        <f>CONCATENATE(" MIRACOLO,"," VL. FRANKO KOMPARIĆ,"," VALBANDON,"," MALA VALA 37,"," 52212 FAŽANA,"," OIB: 36755322439")</f>
        <v xml:space="preserve"> MIRACOLO, VL. FRANKO KOMPARIĆ, VALBANDON, MALA VALA 37, 52212 FAŽANA, OIB: 36755322439</v>
      </c>
      <c r="H6694" s="7"/>
      <c r="I6694" s="8" t="s">
        <v>4499</v>
      </c>
      <c r="J6694" s="8" t="s">
        <v>3618</v>
      </c>
      <c r="K6694" s="6" t="str">
        <f>"3.429,16"</f>
        <v>3.429,16</v>
      </c>
      <c r="L6694" s="6" t="str">
        <f>"857,29"</f>
        <v>857,29</v>
      </c>
      <c r="M6694" s="6" t="str">
        <f>"4.286,45"</f>
        <v>4.286,45</v>
      </c>
      <c r="N6694" s="8" t="s">
        <v>4495</v>
      </c>
      <c r="O6694" s="7"/>
      <c r="P6694" s="2" t="s">
        <v>8861</v>
      </c>
      <c r="Q6694" s="7"/>
      <c r="R6694" s="1"/>
      <c r="S6694" s="1" t="str">
        <f>"J-UN-2017-928"</f>
        <v>J-UN-2017-928</v>
      </c>
      <c r="T6694" s="1" t="s">
        <v>32</v>
      </c>
    </row>
    <row r="6695" spans="1:20" ht="63.75" x14ac:dyDescent="0.25">
      <c r="A6695" s="6">
        <v>6674</v>
      </c>
      <c r="B6695" s="1" t="str">
        <f>"2017-1145"</f>
        <v>2017-1145</v>
      </c>
      <c r="C6695" s="1" t="s">
        <v>3312</v>
      </c>
      <c r="D6695" s="1" t="s">
        <v>21</v>
      </c>
      <c r="E6695" s="1" t="str">
        <f>""</f>
        <v/>
      </c>
      <c r="F6695" s="1" t="s">
        <v>1860</v>
      </c>
      <c r="G6695" s="1" t="str">
        <f>CONCATENATE(" GUMIIMPEX - GRP D.O.O.,"," PAVLEKA MIŠKINE 64C,"," 42000 VARAŽDIN,"," OIB: 8229856262")</f>
        <v xml:space="preserve"> GUMIIMPEX - GRP D.O.O., PAVLEKA MIŠKINE 64C, 42000 VARAŽDIN, OIB: 8229856262</v>
      </c>
      <c r="H6695" s="7"/>
      <c r="I6695" s="8" t="s">
        <v>5158</v>
      </c>
      <c r="J6695" s="8" t="s">
        <v>5158</v>
      </c>
      <c r="K6695" s="6" t="str">
        <f>"761,40"</f>
        <v>761,40</v>
      </c>
      <c r="L6695" s="6" t="str">
        <f>"190,35"</f>
        <v>190,35</v>
      </c>
      <c r="M6695" s="6" t="str">
        <f>"951,75"</f>
        <v>951,75</v>
      </c>
      <c r="N6695" s="8" t="s">
        <v>5160</v>
      </c>
      <c r="O6695" s="7"/>
      <c r="P6695" s="2" t="s">
        <v>8862</v>
      </c>
      <c r="Q6695" s="7"/>
      <c r="R6695" s="1"/>
      <c r="S6695" s="1" t="str">
        <f>"J-UN-2017-937"</f>
        <v>J-UN-2017-937</v>
      </c>
      <c r="T6695" s="1" t="s">
        <v>32</v>
      </c>
    </row>
    <row r="6696" spans="1:20" ht="51" x14ac:dyDescent="0.25">
      <c r="A6696" s="6">
        <v>6675</v>
      </c>
      <c r="B6696" s="1" t="str">
        <f>"2017-2436"</f>
        <v>2017-2436</v>
      </c>
      <c r="C6696" s="1" t="s">
        <v>2711</v>
      </c>
      <c r="D6696" s="1" t="s">
        <v>1914</v>
      </c>
      <c r="E6696" s="1" t="str">
        <f>""</f>
        <v/>
      </c>
      <c r="F6696" s="1" t="s">
        <v>1860</v>
      </c>
      <c r="G6696" s="1" t="str">
        <f>CONCATENATE(" JADRAN-IMPEX D.O.O.,"," ,"," OIB: 87545147669")</f>
        <v xml:space="preserve"> JADRAN-IMPEX D.O.O., , OIB: 87545147669</v>
      </c>
      <c r="H6696" s="7"/>
      <c r="I6696" s="8" t="s">
        <v>5153</v>
      </c>
      <c r="J6696" s="8" t="s">
        <v>5153</v>
      </c>
      <c r="K6696" s="6" t="str">
        <f>"3.613,66"</f>
        <v>3.613,66</v>
      </c>
      <c r="L6696" s="6" t="str">
        <f>"903,42"</f>
        <v>903,42</v>
      </c>
      <c r="M6696" s="6" t="str">
        <f>"4.517,08"</f>
        <v>4.517,08</v>
      </c>
      <c r="N6696" s="8" t="s">
        <v>124</v>
      </c>
      <c r="O6696" s="7"/>
      <c r="P6696" s="2" t="s">
        <v>5614</v>
      </c>
      <c r="Q6696" s="7"/>
      <c r="R6696" s="1"/>
      <c r="S6696" s="1" t="str">
        <f>"J-UN-2017-944"</f>
        <v>J-UN-2017-944</v>
      </c>
      <c r="T6696" s="1" t="s">
        <v>32</v>
      </c>
    </row>
    <row r="6697" spans="1:20" ht="51" x14ac:dyDescent="0.25">
      <c r="A6697" s="6">
        <v>6676</v>
      </c>
      <c r="B6697" s="1" t="str">
        <f>"2017-2076"</f>
        <v>2017-2076</v>
      </c>
      <c r="C6697" s="1" t="s">
        <v>2561</v>
      </c>
      <c r="D6697" s="1" t="s">
        <v>2156</v>
      </c>
      <c r="E6697" s="1" t="str">
        <f>""</f>
        <v/>
      </c>
      <c r="F6697" s="1" t="s">
        <v>1860</v>
      </c>
      <c r="G6697" s="1" t="str">
        <f>CONCATENATE(" PROTEKTA D.O.O.,"," IVANA ŠIBLA 9,"," 10000 ZAGREB,"," OIB: 25210761537")</f>
        <v xml:space="preserve"> PROTEKTA D.O.O., IVANA ŠIBLA 9, 10000 ZAGREB, OIB: 25210761537</v>
      </c>
      <c r="H6697" s="7"/>
      <c r="I6697" s="8" t="s">
        <v>4484</v>
      </c>
      <c r="J6697" s="8" t="s">
        <v>4484</v>
      </c>
      <c r="K6697" s="6" t="str">
        <f>"2.540,00"</f>
        <v>2.540,00</v>
      </c>
      <c r="L6697" s="6" t="str">
        <f>"635,00"</f>
        <v>635,00</v>
      </c>
      <c r="M6697" s="6" t="str">
        <f>"3.175,00"</f>
        <v>3.175,00</v>
      </c>
      <c r="N6697" s="8" t="s">
        <v>124</v>
      </c>
      <c r="O6697" s="7"/>
      <c r="P6697" s="2" t="s">
        <v>5614</v>
      </c>
      <c r="Q6697" s="7"/>
      <c r="R6697" s="1"/>
      <c r="S6697" s="1" t="str">
        <f>"J-UN-2017-970"</f>
        <v>J-UN-2017-970</v>
      </c>
      <c r="T6697" s="1" t="s">
        <v>32</v>
      </c>
    </row>
    <row r="6698" spans="1:20" ht="76.5" x14ac:dyDescent="0.25">
      <c r="A6698" s="6">
        <v>6677</v>
      </c>
      <c r="B6698" s="1" t="str">
        <f>"2017-1081"</f>
        <v>2017-1081</v>
      </c>
      <c r="C6698" s="1" t="s">
        <v>5161</v>
      </c>
      <c r="D6698" s="1" t="s">
        <v>689</v>
      </c>
      <c r="E6698" s="1" t="str">
        <f>""</f>
        <v/>
      </c>
      <c r="F6698" s="1" t="s">
        <v>1860</v>
      </c>
      <c r="G6698" s="1" t="str">
        <f>CONCATENATE(" VEKTOR GRUPA DRUŠTVO S OGRANIČENOM ODGOVORNOŠĆU ZA TISAK I TRGOVINU,"," ,"," OIB: 4048577236")</f>
        <v xml:space="preserve"> VEKTOR GRUPA DRUŠTVO S OGRANIČENOM ODGOVORNOŠĆU ZA TISAK I TRGOVINU, , OIB: 4048577236</v>
      </c>
      <c r="H6698" s="7"/>
      <c r="I6698" s="8" t="s">
        <v>5170</v>
      </c>
      <c r="J6698" s="8" t="s">
        <v>5170</v>
      </c>
      <c r="K6698" s="6" t="str">
        <f>"2.160,00"</f>
        <v>2.160,00</v>
      </c>
      <c r="L6698" s="6" t="str">
        <f>"540,00"</f>
        <v>540,00</v>
      </c>
      <c r="M6698" s="6" t="str">
        <f>"2.700,00"</f>
        <v>2.700,00</v>
      </c>
      <c r="N6698" s="8" t="s">
        <v>124</v>
      </c>
      <c r="O6698" s="7"/>
      <c r="P6698" s="2" t="s">
        <v>5614</v>
      </c>
      <c r="Q6698" s="7"/>
      <c r="R6698" s="1"/>
      <c r="S6698" s="1" t="str">
        <f>"J-UN-2017-977"</f>
        <v>J-UN-2017-977</v>
      </c>
      <c r="T6698" s="1" t="s">
        <v>32</v>
      </c>
    </row>
    <row r="6699" spans="1:20" ht="51" x14ac:dyDescent="0.25">
      <c r="A6699" s="6">
        <v>6678</v>
      </c>
      <c r="B6699" s="1" t="str">
        <f>"2017-2024"</f>
        <v>2017-2024</v>
      </c>
      <c r="C6699" s="1" t="s">
        <v>3131</v>
      </c>
      <c r="D6699" s="1" t="s">
        <v>1859</v>
      </c>
      <c r="E6699" s="1" t="str">
        <f>""</f>
        <v/>
      </c>
      <c r="F6699" s="1" t="s">
        <v>1860</v>
      </c>
      <c r="G6699" s="1" t="str">
        <f>CONCATENATE(" NOVI INFORMATOR D.O.O.,"," KNEZA MISLAVA 7/1,"," 10000 ZAGREB,"," OIB: 03492821167")</f>
        <v xml:space="preserve"> NOVI INFORMATOR D.O.O., KNEZA MISLAVA 7/1, 10000 ZAGREB, OIB: 03492821167</v>
      </c>
      <c r="H6699" s="7"/>
      <c r="I6699" s="8" t="s">
        <v>5163</v>
      </c>
      <c r="J6699" s="8" t="s">
        <v>5163</v>
      </c>
      <c r="K6699" s="6" t="str">
        <f>"3.920,00"</f>
        <v>3.920,00</v>
      </c>
      <c r="L6699" s="6" t="str">
        <f>"980,00"</f>
        <v>980,00</v>
      </c>
      <c r="M6699" s="6" t="str">
        <f>"4.900,00"</f>
        <v>4.900,00</v>
      </c>
      <c r="N6699" s="8" t="s">
        <v>124</v>
      </c>
      <c r="O6699" s="7"/>
      <c r="P6699" s="2" t="s">
        <v>5614</v>
      </c>
      <c r="Q6699" s="7"/>
      <c r="R6699" s="1"/>
      <c r="S6699" s="1" t="str">
        <f>"J-UN-2017-978"</f>
        <v>J-UN-2017-978</v>
      </c>
      <c r="T6699" s="1" t="s">
        <v>32</v>
      </c>
    </row>
    <row r="6700" spans="1:20" ht="51" x14ac:dyDescent="0.25">
      <c r="A6700" s="6">
        <v>6679</v>
      </c>
      <c r="B6700" s="1" t="str">
        <f>"2017-516"</f>
        <v>2017-516</v>
      </c>
      <c r="C6700" s="1" t="s">
        <v>2572</v>
      </c>
      <c r="D6700" s="1" t="s">
        <v>2573</v>
      </c>
      <c r="E6700" s="1" t="str">
        <f>""</f>
        <v/>
      </c>
      <c r="F6700" s="1" t="s">
        <v>1860</v>
      </c>
      <c r="G6700" s="1" t="str">
        <f>CONCATENATE(" ECCOS-INŽENJERING D.O.O.,"," I. PILE 21,"," 10000 ZAGREB,"," OIB: 71629027685")</f>
        <v xml:space="preserve"> ECCOS-INŽENJERING D.O.O., I. PILE 21, 10000 ZAGREB, OIB: 71629027685</v>
      </c>
      <c r="H6700" s="7"/>
      <c r="I6700" s="8" t="s">
        <v>4495</v>
      </c>
      <c r="J6700" s="8" t="s">
        <v>5047</v>
      </c>
      <c r="K6700" s="6" t="str">
        <f>"630,00"</f>
        <v>630,00</v>
      </c>
      <c r="L6700" s="6" t="str">
        <f>"157,50"</f>
        <v>157,50</v>
      </c>
      <c r="M6700" s="6" t="str">
        <f>"787,50"</f>
        <v>787,50</v>
      </c>
      <c r="N6700" s="8" t="s">
        <v>124</v>
      </c>
      <c r="O6700" s="7"/>
      <c r="P6700" s="2" t="s">
        <v>5614</v>
      </c>
      <c r="Q6700" s="7"/>
      <c r="R6700" s="1"/>
      <c r="S6700" s="1" t="str">
        <f>"J-UN-2017-979"</f>
        <v>J-UN-2017-979</v>
      </c>
      <c r="T6700" s="1" t="s">
        <v>32</v>
      </c>
    </row>
    <row r="6701" spans="1:20" ht="51" x14ac:dyDescent="0.25">
      <c r="A6701" s="6">
        <v>6680</v>
      </c>
      <c r="B6701" s="1" t="str">
        <f>"2017-1978"</f>
        <v>2017-1978</v>
      </c>
      <c r="C6701" s="1" t="s">
        <v>2722</v>
      </c>
      <c r="D6701" s="1" t="s">
        <v>1428</v>
      </c>
      <c r="E6701" s="1" t="str">
        <f>""</f>
        <v/>
      </c>
      <c r="F6701" s="1" t="s">
        <v>1860</v>
      </c>
      <c r="G6701" s="1" t="str">
        <f>CONCATENATE(" TOP TEAM PLUS D.O.O.,"," HRASTOVIČKA 19,"," 10250 LUČKO,"," OIB: 39314954298")</f>
        <v xml:space="preserve"> TOP TEAM PLUS D.O.O., HRASTOVIČKA 19, 10250 LUČKO, OIB: 39314954298</v>
      </c>
      <c r="H6701" s="7"/>
      <c r="I6701" s="8" t="s">
        <v>4499</v>
      </c>
      <c r="J6701" s="8" t="s">
        <v>4499</v>
      </c>
      <c r="K6701" s="6" t="str">
        <f>"19.600,00"</f>
        <v>19.600,00</v>
      </c>
      <c r="L6701" s="6" t="str">
        <f>"4.900,00"</f>
        <v>4.900,00</v>
      </c>
      <c r="M6701" s="6" t="str">
        <f>"24.500,00"</f>
        <v>24.500,00</v>
      </c>
      <c r="N6701" s="8" t="s">
        <v>4520</v>
      </c>
      <c r="O6701" s="7"/>
      <c r="P6701" s="2" t="s">
        <v>8863</v>
      </c>
      <c r="Q6701" s="7"/>
      <c r="R6701" s="1"/>
      <c r="S6701" s="1" t="str">
        <f>"J-UN-2017-982"</f>
        <v>J-UN-2017-982</v>
      </c>
      <c r="T6701" s="1" t="s">
        <v>32</v>
      </c>
    </row>
    <row r="6702" spans="1:20" ht="51" x14ac:dyDescent="0.25">
      <c r="A6702" s="6">
        <v>6681</v>
      </c>
      <c r="B6702" s="1" t="str">
        <f>"2017-535"</f>
        <v>2017-535</v>
      </c>
      <c r="C6702" s="1" t="s">
        <v>3136</v>
      </c>
      <c r="D6702" s="1" t="s">
        <v>21</v>
      </c>
      <c r="E6702" s="1" t="str">
        <f>""</f>
        <v/>
      </c>
      <c r="F6702" s="1" t="s">
        <v>1860</v>
      </c>
      <c r="G6702" s="1" t="str">
        <f>CONCATENATE(" TPZ D.O.O.,"," NOVOSELSKA 25,"," 10000 ZAGREB,"," OIB: 68119083236")</f>
        <v xml:space="preserve"> TPZ D.O.O., NOVOSELSKA 25, 10000 ZAGREB, OIB: 68119083236</v>
      </c>
      <c r="H6702" s="7"/>
      <c r="I6702" s="8" t="s">
        <v>4502</v>
      </c>
      <c r="J6702" s="8" t="s">
        <v>4735</v>
      </c>
      <c r="K6702" s="6" t="str">
        <f>"5.356,97"</f>
        <v>5.356,97</v>
      </c>
      <c r="L6702" s="6" t="str">
        <f>"1.339,24"</f>
        <v>1.339,24</v>
      </c>
      <c r="M6702" s="6" t="str">
        <f>"6.696,21"</f>
        <v>6.696,21</v>
      </c>
      <c r="N6702" s="8" t="s">
        <v>3695</v>
      </c>
      <c r="O6702" s="7"/>
      <c r="P6702" s="2" t="s">
        <v>8864</v>
      </c>
      <c r="Q6702" s="7"/>
      <c r="R6702" s="1"/>
      <c r="S6702" s="1" t="str">
        <f>"J-UN-2017-983"</f>
        <v>J-UN-2017-983</v>
      </c>
      <c r="T6702" s="1" t="s">
        <v>32</v>
      </c>
    </row>
    <row r="6703" spans="1:20" ht="51" x14ac:dyDescent="0.25">
      <c r="A6703" s="6">
        <v>6682</v>
      </c>
      <c r="B6703" s="1" t="str">
        <f>"2017-1968"</f>
        <v>2017-1968</v>
      </c>
      <c r="C6703" s="1" t="s">
        <v>3040</v>
      </c>
      <c r="D6703" s="1" t="s">
        <v>1865</v>
      </c>
      <c r="E6703" s="1" t="str">
        <f>""</f>
        <v/>
      </c>
      <c r="F6703" s="1" t="s">
        <v>1860</v>
      </c>
      <c r="G6703" s="1" t="str">
        <f>CONCATENATE(" D-INTER D.O.O.,"," FAKULTETSKO DOBRO 6,"," 10000 ZAGREB,"," OIB: 35575038316")</f>
        <v xml:space="preserve"> D-INTER D.O.O., FAKULTETSKO DOBRO 6, 10000 ZAGREB, OIB: 35575038316</v>
      </c>
      <c r="H6703" s="7"/>
      <c r="I6703" s="8" t="s">
        <v>5158</v>
      </c>
      <c r="J6703" s="8" t="s">
        <v>5158</v>
      </c>
      <c r="K6703" s="6" t="str">
        <f>"2.895,20"</f>
        <v>2.895,20</v>
      </c>
      <c r="L6703" s="6" t="str">
        <f>"723,80"</f>
        <v>723,80</v>
      </c>
      <c r="M6703" s="6" t="str">
        <f>"3.619,00"</f>
        <v>3.619,00</v>
      </c>
      <c r="N6703" s="8" t="s">
        <v>124</v>
      </c>
      <c r="O6703" s="7"/>
      <c r="P6703" s="2" t="s">
        <v>5614</v>
      </c>
      <c r="Q6703" s="7"/>
      <c r="R6703" s="1"/>
      <c r="S6703" s="1" t="str">
        <f>"J-UN-2017-987"</f>
        <v>J-UN-2017-987</v>
      </c>
      <c r="T6703" s="1" t="s">
        <v>32</v>
      </c>
    </row>
    <row r="6704" spans="1:20" ht="63.75" x14ac:dyDescent="0.25">
      <c r="A6704" s="6">
        <v>6683</v>
      </c>
      <c r="B6704" s="1" t="str">
        <f>"2017-1695"</f>
        <v>2017-1695</v>
      </c>
      <c r="C6704" s="1" t="s">
        <v>2919</v>
      </c>
      <c r="D6704" s="1" t="s">
        <v>1877</v>
      </c>
      <c r="E6704" s="1" t="str">
        <f>""</f>
        <v/>
      </c>
      <c r="F6704" s="1" t="s">
        <v>1860</v>
      </c>
      <c r="G6704" s="1" t="str">
        <f>CONCATENATE(" HABERKORN ULMER D.O.O.,"," DR. FRANJE TUĐMANA 16,"," 10431 SVETA NEDELJA,"," OIB: 25339023257")</f>
        <v xml:space="preserve"> HABERKORN ULMER D.O.O., DR. FRANJE TUĐMANA 16, 10431 SVETA NEDELJA, OIB: 25339023257</v>
      </c>
      <c r="H6704" s="7"/>
      <c r="I6704" s="8" t="s">
        <v>3502</v>
      </c>
      <c r="J6704" s="8" t="s">
        <v>3883</v>
      </c>
      <c r="K6704" s="6" t="str">
        <f>"4.680,58"</f>
        <v>4.680,58</v>
      </c>
      <c r="L6704" s="6" t="str">
        <f>"1.170,14"</f>
        <v>1.170,14</v>
      </c>
      <c r="M6704" s="6" t="str">
        <f>"5.850,72"</f>
        <v>5.850,72</v>
      </c>
      <c r="N6704" s="8" t="s">
        <v>3681</v>
      </c>
      <c r="O6704" s="7"/>
      <c r="P6704" s="2" t="s">
        <v>8865</v>
      </c>
      <c r="Q6704" s="7"/>
      <c r="R6704" s="1"/>
      <c r="S6704" s="1" t="str">
        <f>"J-UN-2017-1037"</f>
        <v>J-UN-2017-1037</v>
      </c>
      <c r="T6704" s="1" t="s">
        <v>32</v>
      </c>
    </row>
    <row r="6705" spans="1:20" ht="38.25" x14ac:dyDescent="0.25">
      <c r="A6705" s="6">
        <v>6684</v>
      </c>
      <c r="B6705" s="1" t="str">
        <f>"2017-1912"</f>
        <v>2017-1912</v>
      </c>
      <c r="C6705" s="1" t="s">
        <v>2778</v>
      </c>
      <c r="D6705" s="1" t="s">
        <v>1833</v>
      </c>
      <c r="E6705" s="1" t="str">
        <f>""</f>
        <v/>
      </c>
      <c r="F6705" s="1" t="s">
        <v>1860</v>
      </c>
      <c r="G6705" s="1" t="str">
        <f>CONCATENATE(" WAWA D.O.O.,"," ,"," OIB: 59785180614")</f>
        <v xml:space="preserve"> WAWA D.O.O., , OIB: 59785180614</v>
      </c>
      <c r="H6705" s="7"/>
      <c r="I6705" s="8" t="s">
        <v>3865</v>
      </c>
      <c r="J6705" s="8" t="s">
        <v>3865</v>
      </c>
      <c r="K6705" s="6" t="str">
        <f>"8.710,31"</f>
        <v>8.710,31</v>
      </c>
      <c r="L6705" s="6" t="str">
        <f>"2.177,58"</f>
        <v>2.177,58</v>
      </c>
      <c r="M6705" s="6" t="str">
        <f>"10.887,89"</f>
        <v>10.887,89</v>
      </c>
      <c r="N6705" s="8" t="s">
        <v>1947</v>
      </c>
      <c r="O6705" s="7"/>
      <c r="P6705" s="2" t="s">
        <v>8866</v>
      </c>
      <c r="Q6705" s="7"/>
      <c r="R6705" s="1"/>
      <c r="S6705" s="1" t="str">
        <f>"J-UN-2017-1074"</f>
        <v>J-UN-2017-1074</v>
      </c>
      <c r="T6705" s="1" t="s">
        <v>32</v>
      </c>
    </row>
    <row r="6706" spans="1:20" ht="38.25" x14ac:dyDescent="0.25">
      <c r="A6706" s="6">
        <v>6685</v>
      </c>
      <c r="B6706" s="1" t="str">
        <f>"2017-1912"</f>
        <v>2017-1912</v>
      </c>
      <c r="C6706" s="1" t="s">
        <v>2778</v>
      </c>
      <c r="D6706" s="1" t="s">
        <v>1833</v>
      </c>
      <c r="E6706" s="1" t="str">
        <f>""</f>
        <v/>
      </c>
      <c r="F6706" s="1" t="s">
        <v>1860</v>
      </c>
      <c r="G6706" s="1" t="str">
        <f>CONCATENATE(" WAWA D.O.O.,"," ,"," OIB: 59785180614")</f>
        <v xml:space="preserve"> WAWA D.O.O., , OIB: 59785180614</v>
      </c>
      <c r="H6706" s="7"/>
      <c r="I6706" s="8" t="s">
        <v>4506</v>
      </c>
      <c r="J6706" s="8" t="s">
        <v>4506</v>
      </c>
      <c r="K6706" s="6" t="str">
        <f>"6.734,98"</f>
        <v>6.734,98</v>
      </c>
      <c r="L6706" s="6" t="str">
        <f>"1.683,74"</f>
        <v>1.683,74</v>
      </c>
      <c r="M6706" s="6" t="str">
        <f>"8.418,72"</f>
        <v>8.418,72</v>
      </c>
      <c r="N6706" s="8" t="s">
        <v>5055</v>
      </c>
      <c r="O6706" s="7"/>
      <c r="P6706" s="2" t="s">
        <v>8867</v>
      </c>
      <c r="Q6706" s="7"/>
      <c r="R6706" s="1"/>
      <c r="S6706" s="1" t="str">
        <f>"J-UN-2017-1076"</f>
        <v>J-UN-2017-1076</v>
      </c>
      <c r="T6706" s="1" t="s">
        <v>32</v>
      </c>
    </row>
    <row r="6707" spans="1:20" ht="51" x14ac:dyDescent="0.25">
      <c r="A6707" s="6">
        <v>6686</v>
      </c>
      <c r="B6707" s="1" t="str">
        <f>"2017-1316"</f>
        <v>2017-1316</v>
      </c>
      <c r="C6707" s="1" t="s">
        <v>5171</v>
      </c>
      <c r="D6707" s="1" t="s">
        <v>5172</v>
      </c>
      <c r="E6707" s="1" t="str">
        <f>""</f>
        <v/>
      </c>
      <c r="F6707" s="1" t="s">
        <v>1860</v>
      </c>
      <c r="G6707" s="1" t="str">
        <f>CONCATENATE(" AUGUSTINI D.O.O.,"," BANI 102,"," 10000 ZAGREB,"," OIB: 71823033614")</f>
        <v xml:space="preserve"> AUGUSTINI D.O.O., BANI 102, 10000 ZAGREB, OIB: 71823033614</v>
      </c>
      <c r="H6707" s="7"/>
      <c r="I6707" s="8" t="s">
        <v>3761</v>
      </c>
      <c r="J6707" s="8" t="s">
        <v>4506</v>
      </c>
      <c r="K6707" s="6" t="str">
        <f>"120.000,00"</f>
        <v>120.000,00</v>
      </c>
      <c r="L6707" s="6" t="str">
        <f>"30.000,00"</f>
        <v>30.000,00</v>
      </c>
      <c r="M6707" s="6" t="str">
        <f>"150.000,00"</f>
        <v>150.000,00</v>
      </c>
      <c r="N6707" s="8" t="s">
        <v>4513</v>
      </c>
      <c r="O6707" s="7"/>
      <c r="P6707" s="2" t="s">
        <v>8868</v>
      </c>
      <c r="Q6707" s="7"/>
      <c r="R6707" s="1"/>
      <c r="S6707" s="1" t="str">
        <f>"J-UN-2017-1083"</f>
        <v>J-UN-2017-1083</v>
      </c>
      <c r="T6707" s="1" t="s">
        <v>32</v>
      </c>
    </row>
    <row r="6708" spans="1:20" ht="76.5" x14ac:dyDescent="0.25">
      <c r="A6708" s="6">
        <v>6687</v>
      </c>
      <c r="B6708" s="1" t="str">
        <f>"2017-1723"</f>
        <v>2017-1723</v>
      </c>
      <c r="C6708" s="1" t="s">
        <v>5169</v>
      </c>
      <c r="D6708" s="1" t="s">
        <v>880</v>
      </c>
      <c r="E6708" s="1" t="str">
        <f>""</f>
        <v/>
      </c>
      <c r="F6708" s="1" t="s">
        <v>1860</v>
      </c>
      <c r="G6708" s="1" t="str">
        <f>CONCATENATE(" NASTAVNI ZAVOD ZA JAVNO ZDRAVSTVO ISTARSKE ŽUPANIJE,"," NAZOROVA 23,"," 52100 PULA,"," OIB: 90629578695")</f>
        <v xml:space="preserve"> NASTAVNI ZAVOD ZA JAVNO ZDRAVSTVO ISTARSKE ŽUPANIJE, NAZOROVA 23, 52100 PULA, OIB: 90629578695</v>
      </c>
      <c r="H6708" s="7"/>
      <c r="I6708" s="8" t="s">
        <v>4506</v>
      </c>
      <c r="J6708" s="8" t="s">
        <v>4506</v>
      </c>
      <c r="K6708" s="6" t="str">
        <f>"1.680,00"</f>
        <v>1.680,00</v>
      </c>
      <c r="L6708" s="6" t="str">
        <f>"420,00"</f>
        <v>420,00</v>
      </c>
      <c r="M6708" s="6" t="str">
        <f>"2.100,00"</f>
        <v>2.100,00</v>
      </c>
      <c r="N6708" s="8" t="s">
        <v>124</v>
      </c>
      <c r="O6708" s="7"/>
      <c r="P6708" s="2" t="s">
        <v>5614</v>
      </c>
      <c r="Q6708" s="7"/>
      <c r="R6708" s="1"/>
      <c r="S6708" s="1" t="str">
        <f>"J-UN-2017-1086"</f>
        <v>J-UN-2017-1086</v>
      </c>
      <c r="T6708" s="1" t="s">
        <v>32</v>
      </c>
    </row>
    <row r="6709" spans="1:20" ht="63.75" x14ac:dyDescent="0.25">
      <c r="A6709" s="6">
        <v>6688</v>
      </c>
      <c r="B6709" s="1" t="str">
        <f>"2017-2527"</f>
        <v>2017-2527</v>
      </c>
      <c r="C6709" s="1" t="s">
        <v>5173</v>
      </c>
      <c r="D6709" s="1" t="s">
        <v>2331</v>
      </c>
      <c r="E6709" s="1" t="str">
        <f>""</f>
        <v/>
      </c>
      <c r="F6709" s="1" t="s">
        <v>1860</v>
      </c>
      <c r="G6709" s="1" t="str">
        <f>CONCATENATE(" HENDRIH FELDBAUER D.O.O.,"," ANTUNA BAUERA 2,"," 10000 ZAGREB,"," OIB: 22564207533")</f>
        <v xml:space="preserve"> HENDRIH FELDBAUER D.O.O., ANTUNA BAUERA 2, 10000 ZAGREB, OIB: 22564207533</v>
      </c>
      <c r="H6709" s="7"/>
      <c r="I6709" s="8" t="s">
        <v>3761</v>
      </c>
      <c r="J6709" s="8" t="s">
        <v>4506</v>
      </c>
      <c r="K6709" s="6" t="str">
        <f>"84.890,00"</f>
        <v>84.890,00</v>
      </c>
      <c r="L6709" s="6" t="str">
        <f>"21.222,50"</f>
        <v>21.222,50</v>
      </c>
      <c r="M6709" s="6" t="str">
        <f>"106.112,50"</f>
        <v>106.112,50</v>
      </c>
      <c r="N6709" s="8" t="s">
        <v>3887</v>
      </c>
      <c r="O6709" s="7"/>
      <c r="P6709" s="2" t="s">
        <v>8869</v>
      </c>
      <c r="Q6709" s="7"/>
      <c r="R6709" s="1"/>
      <c r="S6709" s="1" t="str">
        <f>"J-UN-2017-1104"</f>
        <v>J-UN-2017-1104</v>
      </c>
      <c r="T6709" s="1" t="s">
        <v>32</v>
      </c>
    </row>
    <row r="6710" spans="1:20" ht="51" x14ac:dyDescent="0.25">
      <c r="A6710" s="6">
        <v>6689</v>
      </c>
      <c r="B6710" s="1" t="str">
        <f>"2017-1174"</f>
        <v>2017-1174</v>
      </c>
      <c r="C6710" s="1" t="s">
        <v>5174</v>
      </c>
      <c r="D6710" s="1" t="s">
        <v>5175</v>
      </c>
      <c r="E6710" s="1" t="str">
        <f>""</f>
        <v/>
      </c>
      <c r="F6710" s="1" t="s">
        <v>1860</v>
      </c>
      <c r="G6710" s="1" t="str">
        <f>CONCATENATE(" IFIXIT D.O.O.,"," HEBRANGOVA 13,"," 10000 ZAGREB,"," OIB: 47940241302")</f>
        <v xml:space="preserve"> IFIXIT D.O.O., HEBRANGOVA 13, 10000 ZAGREB, OIB: 47940241302</v>
      </c>
      <c r="H6710" s="7"/>
      <c r="I6710" s="8" t="s">
        <v>5153</v>
      </c>
      <c r="J6710" s="8" t="s">
        <v>4499</v>
      </c>
      <c r="K6710" s="6" t="str">
        <f>"399,00"</f>
        <v>399,00</v>
      </c>
      <c r="L6710" s="6" t="str">
        <f>"99,75"</f>
        <v>99,75</v>
      </c>
      <c r="M6710" s="6" t="str">
        <f>"498,75"</f>
        <v>498,75</v>
      </c>
      <c r="N6710" s="8" t="s">
        <v>124</v>
      </c>
      <c r="O6710" s="7"/>
      <c r="P6710" s="2" t="s">
        <v>5614</v>
      </c>
      <c r="Q6710" s="7"/>
      <c r="R6710" s="1"/>
      <c r="S6710" s="1" t="str">
        <f>"J-UN-2017-1136"</f>
        <v>J-UN-2017-1136</v>
      </c>
      <c r="T6710" s="1" t="s">
        <v>32</v>
      </c>
    </row>
    <row r="6711" spans="1:20" ht="51" x14ac:dyDescent="0.25">
      <c r="A6711" s="6">
        <v>6690</v>
      </c>
      <c r="B6711" s="1" t="str">
        <f>"2017-1459"</f>
        <v>2017-1459</v>
      </c>
      <c r="C6711" s="1" t="s">
        <v>2595</v>
      </c>
      <c r="D6711" s="1" t="s">
        <v>2596</v>
      </c>
      <c r="E6711" s="1" t="str">
        <f>""</f>
        <v/>
      </c>
      <c r="F6711" s="1" t="s">
        <v>1860</v>
      </c>
      <c r="G6711" s="1" t="str">
        <f>CONCATENATE(" TRAG DUO D.O.O.,"," NOVA CESTA 184,"," 10000 ZAGREB,"," OIB: 24169331637")</f>
        <v xml:space="preserve"> TRAG DUO D.O.O., NOVA CESTA 184, 10000 ZAGREB, OIB: 24169331637</v>
      </c>
      <c r="H6711" s="7"/>
      <c r="I6711" s="8" t="s">
        <v>5153</v>
      </c>
      <c r="J6711" s="8" t="s">
        <v>5153</v>
      </c>
      <c r="K6711" s="6" t="str">
        <f>"11.750,00"</f>
        <v>11.750,00</v>
      </c>
      <c r="L6711" s="6" t="str">
        <f>"2.937,50"</f>
        <v>2.937,50</v>
      </c>
      <c r="M6711" s="6" t="str">
        <f>"14.687,50"</f>
        <v>14.687,50</v>
      </c>
      <c r="N6711" s="8" t="s">
        <v>124</v>
      </c>
      <c r="O6711" s="7"/>
      <c r="P6711" s="2" t="s">
        <v>5614</v>
      </c>
      <c r="Q6711" s="7"/>
      <c r="R6711" s="1"/>
      <c r="S6711" s="1" t="str">
        <f>"J-UN-2017-1137"</f>
        <v>J-UN-2017-1137</v>
      </c>
      <c r="T6711" s="1" t="s">
        <v>32</v>
      </c>
    </row>
    <row r="6712" spans="1:20" ht="51" x14ac:dyDescent="0.25">
      <c r="A6712" s="6">
        <v>6691</v>
      </c>
      <c r="B6712" s="1" t="str">
        <f>"2017-1459"</f>
        <v>2017-1459</v>
      </c>
      <c r="C6712" s="1" t="s">
        <v>2595</v>
      </c>
      <c r="D6712" s="1" t="s">
        <v>2596</v>
      </c>
      <c r="E6712" s="1" t="str">
        <f>""</f>
        <v/>
      </c>
      <c r="F6712" s="1" t="s">
        <v>1860</v>
      </c>
      <c r="G6712" s="1" t="str">
        <f>CONCATENATE(" GALKO - D.O.O.,"," BRAĆE RADIĆA 43,"," 42231 MALI BUKOVEC,"," OIB: 46818705329")</f>
        <v xml:space="preserve"> GALKO - D.O.O., BRAĆE RADIĆA 43, 42231 MALI BUKOVEC, OIB: 46818705329</v>
      </c>
      <c r="H6712" s="7"/>
      <c r="I6712" s="8" t="s">
        <v>5153</v>
      </c>
      <c r="J6712" s="8" t="s">
        <v>4499</v>
      </c>
      <c r="K6712" s="6" t="str">
        <f>"1.394,25"</f>
        <v>1.394,25</v>
      </c>
      <c r="L6712" s="6" t="str">
        <f>"348,56"</f>
        <v>348,56</v>
      </c>
      <c r="M6712" s="6" t="str">
        <f>"1.742,81"</f>
        <v>1.742,81</v>
      </c>
      <c r="N6712" s="8" t="s">
        <v>124</v>
      </c>
      <c r="O6712" s="7"/>
      <c r="P6712" s="2" t="s">
        <v>5614</v>
      </c>
      <c r="Q6712" s="7"/>
      <c r="R6712" s="1"/>
      <c r="S6712" s="1" t="str">
        <f>"J-UN-2017-1138"</f>
        <v>J-UN-2017-1138</v>
      </c>
      <c r="T6712" s="1" t="s">
        <v>32</v>
      </c>
    </row>
    <row r="6713" spans="1:20" ht="38.25" x14ac:dyDescent="0.25">
      <c r="A6713" s="6">
        <v>6692</v>
      </c>
      <c r="B6713" s="1" t="str">
        <f>"2017-1459"</f>
        <v>2017-1459</v>
      </c>
      <c r="C6713" s="1" t="s">
        <v>2595</v>
      </c>
      <c r="D6713" s="1" t="s">
        <v>2596</v>
      </c>
      <c r="E6713" s="1" t="str">
        <f>""</f>
        <v/>
      </c>
      <c r="F6713" s="1" t="s">
        <v>1860</v>
      </c>
      <c r="G6713" s="1" t="str">
        <f>CONCATENATE(" TOVEDO D.O.O.,"," KLIN 31,"," 10000 ZAGREB,"," OIB: 58747941387")</f>
        <v xml:space="preserve"> TOVEDO D.O.O., KLIN 31, 10000 ZAGREB, OIB: 58747941387</v>
      </c>
      <c r="H6713" s="7"/>
      <c r="I6713" s="8" t="s">
        <v>5153</v>
      </c>
      <c r="J6713" s="8" t="s">
        <v>5153</v>
      </c>
      <c r="K6713" s="6" t="str">
        <f>"5.311,28"</f>
        <v>5.311,28</v>
      </c>
      <c r="L6713" s="6" t="str">
        <f>"1.327,82"</f>
        <v>1.327,82</v>
      </c>
      <c r="M6713" s="6" t="str">
        <f>"6.639,10"</f>
        <v>6.639,10</v>
      </c>
      <c r="N6713" s="8" t="s">
        <v>4502</v>
      </c>
      <c r="O6713" s="7"/>
      <c r="P6713" s="2" t="s">
        <v>8870</v>
      </c>
      <c r="Q6713" s="7"/>
      <c r="R6713" s="1"/>
      <c r="S6713" s="1" t="str">
        <f>"J-UN-2017-1139"</f>
        <v>J-UN-2017-1139</v>
      </c>
      <c r="T6713" s="1" t="s">
        <v>32</v>
      </c>
    </row>
    <row r="6714" spans="1:20" ht="51" x14ac:dyDescent="0.25">
      <c r="A6714" s="6">
        <v>6693</v>
      </c>
      <c r="B6714" s="1" t="str">
        <f>"2017-1459"</f>
        <v>2017-1459</v>
      </c>
      <c r="C6714" s="1" t="s">
        <v>2595</v>
      </c>
      <c r="D6714" s="1" t="s">
        <v>2596</v>
      </c>
      <c r="E6714" s="1" t="str">
        <f>""</f>
        <v/>
      </c>
      <c r="F6714" s="1" t="s">
        <v>1860</v>
      </c>
      <c r="G6714" s="1" t="str">
        <f>CONCATENATE(" RECOM D.O.O.,"," KAMENARKA 31,"," 10000 ZAGREB,"," OIB: 18432368449")</f>
        <v xml:space="preserve"> RECOM D.O.O., KAMENARKA 31, 10000 ZAGREB, OIB: 18432368449</v>
      </c>
      <c r="H6714" s="7"/>
      <c r="I6714" s="8" t="s">
        <v>5153</v>
      </c>
      <c r="J6714" s="8" t="s">
        <v>5153</v>
      </c>
      <c r="K6714" s="6" t="str">
        <f>"4.731,00"</f>
        <v>4.731,00</v>
      </c>
      <c r="L6714" s="6" t="str">
        <f>"1.182,75"</f>
        <v>1.182,75</v>
      </c>
      <c r="M6714" s="6" t="str">
        <f>"5.913,75"</f>
        <v>5.913,75</v>
      </c>
      <c r="N6714" s="8" t="s">
        <v>124</v>
      </c>
      <c r="O6714" s="7"/>
      <c r="P6714" s="2" t="s">
        <v>5614</v>
      </c>
      <c r="Q6714" s="7"/>
      <c r="R6714" s="1"/>
      <c r="S6714" s="1" t="str">
        <f>"J-UN-2017-1140"</f>
        <v>J-UN-2017-1140</v>
      </c>
      <c r="T6714" s="1" t="s">
        <v>32</v>
      </c>
    </row>
    <row r="6715" spans="1:20" ht="63.75" x14ac:dyDescent="0.25">
      <c r="A6715" s="6">
        <v>6694</v>
      </c>
      <c r="B6715" s="1" t="str">
        <f>"2017-1462"</f>
        <v>2017-1462</v>
      </c>
      <c r="C6715" s="1" t="s">
        <v>5176</v>
      </c>
      <c r="D6715" s="1" t="s">
        <v>880</v>
      </c>
      <c r="E6715" s="1" t="str">
        <f>""</f>
        <v/>
      </c>
      <c r="F6715" s="1" t="s">
        <v>1860</v>
      </c>
      <c r="G6715" s="1" t="str">
        <f>CONCATENATE(" AGRAM LIFE OSIGURANJE D.D,"," TRNJANSKA CESTA 108,"," 10000 ZAGREB,"," OIB: 18742666873")</f>
        <v xml:space="preserve"> AGRAM LIFE OSIGURANJE D.D, TRNJANSKA CESTA 108, 10000 ZAGREB, OIB: 18742666873</v>
      </c>
      <c r="H6715" s="7"/>
      <c r="I6715" s="8" t="s">
        <v>3618</v>
      </c>
      <c r="J6715" s="8" t="s">
        <v>4502</v>
      </c>
      <c r="K6715" s="6" t="str">
        <f>"3.040,00"</f>
        <v>3.040,00</v>
      </c>
      <c r="L6715" s="6" t="str">
        <f>"760,00"</f>
        <v>760,00</v>
      </c>
      <c r="M6715" s="6" t="str">
        <f>"3.800,00"</f>
        <v>3.800,00</v>
      </c>
      <c r="N6715" s="8" t="s">
        <v>124</v>
      </c>
      <c r="O6715" s="7"/>
      <c r="P6715" s="2" t="s">
        <v>5614</v>
      </c>
      <c r="Q6715" s="7"/>
      <c r="R6715" s="1"/>
      <c r="S6715" s="1" t="str">
        <f>"J-UN-2017-1159"</f>
        <v>J-UN-2017-1159</v>
      </c>
      <c r="T6715" s="1" t="s">
        <v>32</v>
      </c>
    </row>
    <row r="6716" spans="1:20" ht="51" x14ac:dyDescent="0.25">
      <c r="A6716" s="6">
        <v>6695</v>
      </c>
      <c r="B6716" s="1" t="str">
        <f>"2017-2415"</f>
        <v>2017-2415</v>
      </c>
      <c r="C6716" s="1" t="s">
        <v>2618</v>
      </c>
      <c r="D6716" s="1" t="s">
        <v>2619</v>
      </c>
      <c r="E6716" s="1" t="str">
        <f>""</f>
        <v/>
      </c>
      <c r="F6716" s="1" t="s">
        <v>1860</v>
      </c>
      <c r="G6716" s="1" t="str">
        <f>CONCATENATE(" TRA-MONT D.O.O.,"," MILIVOJA MATOŠECA 5,"," 10000 ZAGREB,"," OIB: 05336208843")</f>
        <v xml:space="preserve"> TRA-MONT D.O.O., MILIVOJA MATOŠECA 5, 10000 ZAGREB, OIB: 05336208843</v>
      </c>
      <c r="H6716" s="7"/>
      <c r="I6716" s="8" t="s">
        <v>5148</v>
      </c>
      <c r="J6716" s="8" t="s">
        <v>3761</v>
      </c>
      <c r="K6716" s="6" t="str">
        <f>"10.448,00"</f>
        <v>10.448,00</v>
      </c>
      <c r="L6716" s="6" t="str">
        <f>"2.612,00"</f>
        <v>2.612,00</v>
      </c>
      <c r="M6716" s="6" t="str">
        <f>"13.060,00"</f>
        <v>13.060,00</v>
      </c>
      <c r="N6716" s="8" t="s">
        <v>124</v>
      </c>
      <c r="O6716" s="7"/>
      <c r="P6716" s="2" t="s">
        <v>5614</v>
      </c>
      <c r="Q6716" s="7"/>
      <c r="R6716" s="1"/>
      <c r="S6716" s="1" t="str">
        <f>"J-UN-2017-1182"</f>
        <v>J-UN-2017-1182</v>
      </c>
      <c r="T6716" s="1" t="s">
        <v>32</v>
      </c>
    </row>
    <row r="6717" spans="1:20" ht="51" x14ac:dyDescent="0.25">
      <c r="A6717" s="6">
        <v>6696</v>
      </c>
      <c r="B6717" s="1" t="str">
        <f>"2017-2577"</f>
        <v>2017-2577</v>
      </c>
      <c r="C6717" s="1" t="s">
        <v>5177</v>
      </c>
      <c r="D6717" s="1" t="s">
        <v>1458</v>
      </c>
      <c r="E6717" s="1" t="str">
        <f>""</f>
        <v/>
      </c>
      <c r="F6717" s="1" t="s">
        <v>1860</v>
      </c>
      <c r="G6717" s="1" t="str">
        <f>CONCATENATE(" PRO-KLIMA D.O.O.,"," GRADNA 78E,"," 10430 SAMOBOR,"," OIB: 47347658558")</f>
        <v xml:space="preserve"> PRO-KLIMA D.O.O., GRADNA 78E, 10430 SAMOBOR, OIB: 47347658558</v>
      </c>
      <c r="H6717" s="7"/>
      <c r="I6717" s="8" t="s">
        <v>5148</v>
      </c>
      <c r="J6717" s="8" t="s">
        <v>3761</v>
      </c>
      <c r="K6717" s="6" t="str">
        <f>"10.801,32"</f>
        <v>10.801,32</v>
      </c>
      <c r="L6717" s="6" t="str">
        <f>"2.700,33"</f>
        <v>2.700,33</v>
      </c>
      <c r="M6717" s="6" t="str">
        <f>"13.501,65"</f>
        <v>13.501,65</v>
      </c>
      <c r="N6717" s="8" t="s">
        <v>124</v>
      </c>
      <c r="O6717" s="7"/>
      <c r="P6717" s="2" t="s">
        <v>5614</v>
      </c>
      <c r="Q6717" s="7"/>
      <c r="R6717" s="1"/>
      <c r="S6717" s="1" t="str">
        <f>"J-UN-2017-1185"</f>
        <v>J-UN-2017-1185</v>
      </c>
      <c r="T6717" s="1" t="s">
        <v>32</v>
      </c>
    </row>
    <row r="6718" spans="1:20" ht="51" x14ac:dyDescent="0.25">
      <c r="A6718" s="6">
        <v>6697</v>
      </c>
      <c r="B6718" s="1" t="str">
        <f>"2017-2576"</f>
        <v>2017-2576</v>
      </c>
      <c r="C6718" s="1" t="s">
        <v>5178</v>
      </c>
      <c r="D6718" s="1" t="s">
        <v>2762</v>
      </c>
      <c r="E6718" s="1" t="str">
        <f>""</f>
        <v/>
      </c>
      <c r="F6718" s="1" t="s">
        <v>1860</v>
      </c>
      <c r="G6718" s="1" t="str">
        <f>CONCATENATE(" NIVETO D.O.O.,"," DRAGUTINA MANDLA 1,"," 10000 ZAGREB,"," OIB: 46572491389")</f>
        <v xml:space="preserve"> NIVETO D.O.O., DRAGUTINA MANDLA 1, 10000 ZAGREB, OIB: 46572491389</v>
      </c>
      <c r="H6718" s="7"/>
      <c r="I6718" s="8" t="s">
        <v>3761</v>
      </c>
      <c r="J6718" s="8" t="s">
        <v>4506</v>
      </c>
      <c r="K6718" s="6" t="str">
        <f>"33.002,00"</f>
        <v>33.002,00</v>
      </c>
      <c r="L6718" s="6" t="str">
        <f>"8.250,50"</f>
        <v>8.250,50</v>
      </c>
      <c r="M6718" s="6" t="str">
        <f>"41.252,50"</f>
        <v>41.252,50</v>
      </c>
      <c r="N6718" s="8" t="s">
        <v>124</v>
      </c>
      <c r="O6718" s="7"/>
      <c r="P6718" s="2" t="s">
        <v>5614</v>
      </c>
      <c r="Q6718" s="7"/>
      <c r="R6718" s="1"/>
      <c r="S6718" s="1" t="str">
        <f>"J-UN-2017-1194"</f>
        <v>J-UN-2017-1194</v>
      </c>
      <c r="T6718" s="1" t="s">
        <v>32</v>
      </c>
    </row>
    <row r="6719" spans="1:20" ht="38.25" x14ac:dyDescent="0.25">
      <c r="A6719" s="6">
        <v>6698</v>
      </c>
      <c r="B6719" s="1" t="str">
        <f>"2017-1746"</f>
        <v>2017-1746</v>
      </c>
      <c r="C6719" s="1" t="s">
        <v>5162</v>
      </c>
      <c r="D6719" s="1" t="s">
        <v>854</v>
      </c>
      <c r="E6719" s="1" t="str">
        <f>""</f>
        <v/>
      </c>
      <c r="F6719" s="1" t="s">
        <v>1860</v>
      </c>
      <c r="G6719" s="1" t="str">
        <f>CONCATENATE(" SELMET D.O.O.,"," ,"," OIB: 25531283613")</f>
        <v xml:space="preserve"> SELMET D.O.O., , OIB: 25531283613</v>
      </c>
      <c r="H6719" s="7"/>
      <c r="I6719" s="8" t="s">
        <v>3861</v>
      </c>
      <c r="J6719" s="8" t="s">
        <v>3861</v>
      </c>
      <c r="K6719" s="6" t="str">
        <f>"318,00"</f>
        <v>318,00</v>
      </c>
      <c r="L6719" s="6" t="str">
        <f>"79,50"</f>
        <v>79,50</v>
      </c>
      <c r="M6719" s="6" t="str">
        <f>"397,50"</f>
        <v>397,50</v>
      </c>
      <c r="N6719" s="8" t="s">
        <v>124</v>
      </c>
      <c r="O6719" s="7"/>
      <c r="P6719" s="2" t="s">
        <v>5614</v>
      </c>
      <c r="Q6719" s="7"/>
      <c r="R6719" s="1"/>
      <c r="S6719" s="1" t="str">
        <f>"J-UN-2017-1207"</f>
        <v>J-UN-2017-1207</v>
      </c>
      <c r="T6719" s="1" t="s">
        <v>32</v>
      </c>
    </row>
    <row r="6720" spans="1:20" ht="51" x14ac:dyDescent="0.25">
      <c r="A6720" s="6">
        <v>6699</v>
      </c>
      <c r="B6720" s="1" t="str">
        <f>"2017-1582"</f>
        <v>2017-1582</v>
      </c>
      <c r="C6720" s="1" t="s">
        <v>5179</v>
      </c>
      <c r="D6720" s="1" t="s">
        <v>860</v>
      </c>
      <c r="E6720" s="1" t="str">
        <f>""</f>
        <v/>
      </c>
      <c r="F6720" s="1" t="s">
        <v>1860</v>
      </c>
      <c r="G6720" s="1" t="str">
        <f>CONCATENATE(" PROIZVODNJA MK D.O.O.,"," TRNOŠČICA 17,"," 10370 DUGO SELO,"," OIB: 79970472123")</f>
        <v xml:space="preserve"> PROIZVODNJA MK D.O.O., TRNOŠČICA 17, 10370 DUGO SELO, OIB: 79970472123</v>
      </c>
      <c r="H6720" s="7"/>
      <c r="I6720" s="8" t="s">
        <v>5180</v>
      </c>
      <c r="J6720" s="8" t="s">
        <v>5180</v>
      </c>
      <c r="K6720" s="6" t="str">
        <f>"1.530,00"</f>
        <v>1.530,00</v>
      </c>
      <c r="L6720" s="6" t="str">
        <f>"382,50"</f>
        <v>382,50</v>
      </c>
      <c r="M6720" s="6" t="str">
        <f>"1.912,50"</f>
        <v>1.912,50</v>
      </c>
      <c r="N6720" s="8" t="s">
        <v>5181</v>
      </c>
      <c r="O6720" s="7"/>
      <c r="P6720" s="2" t="s">
        <v>8871</v>
      </c>
      <c r="Q6720" s="7"/>
      <c r="R6720" s="1"/>
      <c r="S6720" s="1" t="str">
        <f>"J-UN-2017-1208"</f>
        <v>J-UN-2017-1208</v>
      </c>
      <c r="T6720" s="1" t="s">
        <v>32</v>
      </c>
    </row>
    <row r="6721" spans="1:20" ht="51" x14ac:dyDescent="0.25">
      <c r="A6721" s="6">
        <v>6700</v>
      </c>
      <c r="B6721" s="1" t="str">
        <f>"2017-971"</f>
        <v>2017-971</v>
      </c>
      <c r="C6721" s="1" t="s">
        <v>5182</v>
      </c>
      <c r="D6721" s="1" t="s">
        <v>2631</v>
      </c>
      <c r="E6721" s="1" t="str">
        <f>""</f>
        <v/>
      </c>
      <c r="F6721" s="1" t="s">
        <v>1860</v>
      </c>
      <c r="G6721" s="1" t="str">
        <f>CONCATENATE(" LIDER MEDIA D.O.O.,"," SAVSKA CESTA 41,"," 10000 ZAGREB,"," OIB: 75374786952")</f>
        <v xml:space="preserve"> LIDER MEDIA D.O.O., SAVSKA CESTA 41, 10000 ZAGREB, OIB: 75374786952</v>
      </c>
      <c r="H6721" s="7"/>
      <c r="I6721" s="8" t="s">
        <v>5148</v>
      </c>
      <c r="J6721" s="8" t="s">
        <v>5148</v>
      </c>
      <c r="K6721" s="6" t="str">
        <f>"12.285,00"</f>
        <v>12.285,00</v>
      </c>
      <c r="L6721" s="6" t="str">
        <f>"3.071,25"</f>
        <v>3.071,25</v>
      </c>
      <c r="M6721" s="6" t="str">
        <f>"15.356,25"</f>
        <v>15.356,25</v>
      </c>
      <c r="N6721" s="8" t="s">
        <v>124</v>
      </c>
      <c r="O6721" s="7"/>
      <c r="P6721" s="2" t="s">
        <v>5614</v>
      </c>
      <c r="Q6721" s="7"/>
      <c r="R6721" s="1"/>
      <c r="S6721" s="1" t="str">
        <f>"J-UN-2017-1222"</f>
        <v>J-UN-2017-1222</v>
      </c>
      <c r="T6721" s="1" t="s">
        <v>32</v>
      </c>
    </row>
    <row r="6722" spans="1:20" ht="51" x14ac:dyDescent="0.25">
      <c r="A6722" s="6">
        <v>6701</v>
      </c>
      <c r="B6722" s="1" t="str">
        <f>"2017-1968"</f>
        <v>2017-1968</v>
      </c>
      <c r="C6722" s="1" t="s">
        <v>3040</v>
      </c>
      <c r="D6722" s="1" t="s">
        <v>1865</v>
      </c>
      <c r="E6722" s="1" t="str">
        <f>""</f>
        <v/>
      </c>
      <c r="F6722" s="1" t="s">
        <v>1860</v>
      </c>
      <c r="G6722" s="1" t="str">
        <f>CONCATENATE(" STEGA TISAK D.O.O.,"," HEINZELOVA 60/I,"," 10000 ZAGREB,"," OIB: 78043520516")</f>
        <v xml:space="preserve"> STEGA TISAK D.O.O., HEINZELOVA 60/I, 10000 ZAGREB, OIB: 78043520516</v>
      </c>
      <c r="H6722" s="7"/>
      <c r="I6722" s="8" t="s">
        <v>5148</v>
      </c>
      <c r="J6722" s="8" t="s">
        <v>5148</v>
      </c>
      <c r="K6722" s="6" t="str">
        <f>"2.668,00"</f>
        <v>2.668,00</v>
      </c>
      <c r="L6722" s="6" t="str">
        <f>"667,00"</f>
        <v>667,00</v>
      </c>
      <c r="M6722" s="6" t="str">
        <f>"3.335,00"</f>
        <v>3.335,00</v>
      </c>
      <c r="N6722" s="8" t="s">
        <v>124</v>
      </c>
      <c r="O6722" s="7"/>
      <c r="P6722" s="2" t="s">
        <v>5614</v>
      </c>
      <c r="Q6722" s="7"/>
      <c r="R6722" s="1"/>
      <c r="S6722" s="1" t="str">
        <f>"J-UN-2017-1223"</f>
        <v>J-UN-2017-1223</v>
      </c>
      <c r="T6722" s="1" t="s">
        <v>32</v>
      </c>
    </row>
    <row r="6723" spans="1:20" ht="51" x14ac:dyDescent="0.25">
      <c r="A6723" s="6">
        <v>6702</v>
      </c>
      <c r="B6723" s="1" t="str">
        <f>"2017-2446"</f>
        <v>2017-2446</v>
      </c>
      <c r="C6723" s="1" t="s">
        <v>5183</v>
      </c>
      <c r="D6723" s="1" t="s">
        <v>2484</v>
      </c>
      <c r="E6723" s="1" t="str">
        <f>""</f>
        <v/>
      </c>
      <c r="F6723" s="1" t="s">
        <v>1860</v>
      </c>
      <c r="G6723" s="1" t="str">
        <f>CONCATENATE(" KADEI 360 D.O.O.,"," IVE MALLINA 30,"," 10000 ZAGREB,"," OIB: 7082163502")</f>
        <v xml:space="preserve"> KADEI 360 D.O.O., IVE MALLINA 30, 10000 ZAGREB, OIB: 7082163502</v>
      </c>
      <c r="H6723" s="7"/>
      <c r="I6723" s="8" t="s">
        <v>5180</v>
      </c>
      <c r="J6723" s="8" t="s">
        <v>3861</v>
      </c>
      <c r="K6723" s="6" t="str">
        <f>"184.100,00"</f>
        <v>184.100,00</v>
      </c>
      <c r="L6723" s="6" t="str">
        <f>"46.025,00"</f>
        <v>46.025,00</v>
      </c>
      <c r="M6723" s="6" t="str">
        <f>"230.125,00"</f>
        <v>230.125,00</v>
      </c>
      <c r="N6723" s="8" t="s">
        <v>124</v>
      </c>
      <c r="O6723" s="7"/>
      <c r="P6723" s="2" t="s">
        <v>5614</v>
      </c>
      <c r="Q6723" s="7"/>
      <c r="R6723" s="1"/>
      <c r="S6723" s="1" t="str">
        <f>"J-UN-2017-1239"</f>
        <v>J-UN-2017-1239</v>
      </c>
      <c r="T6723" s="1" t="s">
        <v>32</v>
      </c>
    </row>
    <row r="6724" spans="1:20" ht="51" x14ac:dyDescent="0.25">
      <c r="A6724" s="6">
        <v>6703</v>
      </c>
      <c r="B6724" s="1" t="str">
        <f>"2017-2267"</f>
        <v>2017-2267</v>
      </c>
      <c r="C6724" s="1" t="s">
        <v>5184</v>
      </c>
      <c r="D6724" s="1" t="s">
        <v>689</v>
      </c>
      <c r="E6724" s="1" t="str">
        <f>""</f>
        <v/>
      </c>
      <c r="F6724" s="1" t="s">
        <v>1860</v>
      </c>
      <c r="G6724" s="1" t="str">
        <f>CONCATENATE(" STROJOPROMET D.O.O.,"," ZAGREBAČKA 6,"," 10292 ŠENKOVEC,"," OIB: 97994010225")</f>
        <v xml:space="preserve"> STROJOPROMET D.O.O., ZAGREBAČKA 6, 10292 ŠENKOVEC, OIB: 97994010225</v>
      </c>
      <c r="H6724" s="7"/>
      <c r="I6724" s="8" t="s">
        <v>4523</v>
      </c>
      <c r="J6724" s="8" t="s">
        <v>4523</v>
      </c>
      <c r="K6724" s="6" t="str">
        <f>"2.722,50"</f>
        <v>2.722,50</v>
      </c>
      <c r="L6724" s="6" t="str">
        <f>"680,62"</f>
        <v>680,62</v>
      </c>
      <c r="M6724" s="6" t="str">
        <f>"3.403,12"</f>
        <v>3.403,12</v>
      </c>
      <c r="N6724" s="8" t="s">
        <v>5185</v>
      </c>
      <c r="O6724" s="7"/>
      <c r="P6724" s="2" t="s">
        <v>8872</v>
      </c>
      <c r="Q6724" s="7"/>
      <c r="R6724" s="1"/>
      <c r="S6724" s="1" t="str">
        <f>"J-UN-2017-1249"</f>
        <v>J-UN-2017-1249</v>
      </c>
      <c r="T6724" s="1" t="s">
        <v>32</v>
      </c>
    </row>
    <row r="6725" spans="1:20" ht="51" x14ac:dyDescent="0.25">
      <c r="A6725" s="6">
        <v>6704</v>
      </c>
      <c r="B6725" s="1" t="str">
        <f>"2017-1254"</f>
        <v>2017-1254</v>
      </c>
      <c r="C6725" s="1" t="s">
        <v>2922</v>
      </c>
      <c r="D6725" s="1" t="s">
        <v>1373</v>
      </c>
      <c r="E6725" s="1" t="str">
        <f>""</f>
        <v/>
      </c>
      <c r="F6725" s="1" t="s">
        <v>1860</v>
      </c>
      <c r="G6725" s="1" t="str">
        <f>CONCATENATE(" PIN TEHNIKA D.O.O.,"," PULSKA 15,"," 51000 RIJEKA,"," OIB: 1590243604")</f>
        <v xml:space="preserve"> PIN TEHNIKA D.O.O., PULSKA 15, 51000 RIJEKA, OIB: 1590243604</v>
      </c>
      <c r="H6725" s="7"/>
      <c r="I6725" s="8" t="s">
        <v>3861</v>
      </c>
      <c r="J6725" s="8" t="s">
        <v>5186</v>
      </c>
      <c r="K6725" s="6" t="str">
        <f>"8.253,20"</f>
        <v>8.253,20</v>
      </c>
      <c r="L6725" s="6" t="str">
        <f>"2.063,30"</f>
        <v>2.063,30</v>
      </c>
      <c r="M6725" s="6" t="str">
        <f>"10.316,50"</f>
        <v>10.316,50</v>
      </c>
      <c r="N6725" s="8" t="s">
        <v>124</v>
      </c>
      <c r="O6725" s="7"/>
      <c r="P6725" s="2" t="s">
        <v>5614</v>
      </c>
      <c r="Q6725" s="7"/>
      <c r="R6725" s="1"/>
      <c r="S6725" s="1" t="str">
        <f>"J-UN-2017-1253"</f>
        <v>J-UN-2017-1253</v>
      </c>
      <c r="T6725" s="1" t="s">
        <v>32</v>
      </c>
    </row>
    <row r="6726" spans="1:20" ht="51" x14ac:dyDescent="0.25">
      <c r="A6726" s="6">
        <v>6705</v>
      </c>
      <c r="B6726" s="1" t="str">
        <f>"2017-2321"</f>
        <v>2017-2321</v>
      </c>
      <c r="C6726" s="1" t="s">
        <v>3770</v>
      </c>
      <c r="D6726" s="1" t="s">
        <v>2357</v>
      </c>
      <c r="E6726" s="1" t="str">
        <f>""</f>
        <v/>
      </c>
      <c r="F6726" s="1" t="s">
        <v>1860</v>
      </c>
      <c r="G6726" s="1" t="str">
        <f>CONCATENATE(" SKYLINK D.O.O.,"," IVANIČGRADSKA 15,"," 10000 ZAGREB,"," OIB: 81773380478")</f>
        <v xml:space="preserve"> SKYLINK D.O.O., IVANIČGRADSKA 15, 10000 ZAGREB, OIB: 81773380478</v>
      </c>
      <c r="H6726" s="7"/>
      <c r="I6726" s="8" t="s">
        <v>3861</v>
      </c>
      <c r="J6726" s="8" t="s">
        <v>5028</v>
      </c>
      <c r="K6726" s="6" t="str">
        <f>"2.677,00"</f>
        <v>2.677,00</v>
      </c>
      <c r="L6726" s="6" t="str">
        <f>"669,25"</f>
        <v>669,25</v>
      </c>
      <c r="M6726" s="6" t="str">
        <f>"3.346,25"</f>
        <v>3.346,25</v>
      </c>
      <c r="N6726" s="8" t="s">
        <v>124</v>
      </c>
      <c r="O6726" s="7"/>
      <c r="P6726" s="2" t="s">
        <v>5614</v>
      </c>
      <c r="Q6726" s="7"/>
      <c r="R6726" s="1"/>
      <c r="S6726" s="1" t="str">
        <f>"J-UN-2017-1262"</f>
        <v>J-UN-2017-1262</v>
      </c>
      <c r="T6726" s="1" t="s">
        <v>32</v>
      </c>
    </row>
    <row r="6727" spans="1:20" ht="63.75" x14ac:dyDescent="0.25">
      <c r="A6727" s="6">
        <v>6706</v>
      </c>
      <c r="B6727" s="1" t="str">
        <f>"2017-2507"</f>
        <v>2017-2507</v>
      </c>
      <c r="C6727" s="1" t="s">
        <v>5151</v>
      </c>
      <c r="D6727" s="1" t="s">
        <v>1065</v>
      </c>
      <c r="E6727" s="1" t="str">
        <f>""</f>
        <v/>
      </c>
      <c r="F6727" s="1" t="s">
        <v>1860</v>
      </c>
      <c r="G6727" s="1" t="str">
        <f>CONCATENATE(" FLEET RENT A CAR D.O.O.,"," ANDRIJE HEBRANGA 32,"," 10000 ZAGREB,"," OIB: 5950444323")</f>
        <v xml:space="preserve"> FLEET RENT A CAR D.O.O., ANDRIJE HEBRANGA 32, 10000 ZAGREB, OIB: 5950444323</v>
      </c>
      <c r="H6727" s="7"/>
      <c r="I6727" s="8" t="s">
        <v>4506</v>
      </c>
      <c r="J6727" s="8" t="s">
        <v>3865</v>
      </c>
      <c r="K6727" s="6" t="str">
        <f>"8.800,00"</f>
        <v>8.800,00</v>
      </c>
      <c r="L6727" s="6" t="str">
        <f>"2.200,00"</f>
        <v>2.200,00</v>
      </c>
      <c r="M6727" s="6" t="str">
        <f>"11.000,00"</f>
        <v>11.000,00</v>
      </c>
      <c r="N6727" s="8" t="s">
        <v>124</v>
      </c>
      <c r="O6727" s="7"/>
      <c r="P6727" s="2" t="s">
        <v>5614</v>
      </c>
      <c r="Q6727" s="7"/>
      <c r="R6727" s="1"/>
      <c r="S6727" s="1" t="str">
        <f>"J-UN-2017-1299"</f>
        <v>J-UN-2017-1299</v>
      </c>
      <c r="T6727" s="1" t="s">
        <v>32</v>
      </c>
    </row>
    <row r="6728" spans="1:20" ht="51" x14ac:dyDescent="0.25">
      <c r="A6728" s="6">
        <v>6707</v>
      </c>
      <c r="B6728" s="1" t="str">
        <f>"2017-1968"</f>
        <v>2017-1968</v>
      </c>
      <c r="C6728" s="1" t="s">
        <v>3040</v>
      </c>
      <c r="D6728" s="1" t="s">
        <v>1865</v>
      </c>
      <c r="E6728" s="1" t="str">
        <f>""</f>
        <v/>
      </c>
      <c r="F6728" s="1" t="s">
        <v>1860</v>
      </c>
      <c r="G6728" s="1" t="str">
        <f>CONCATENATE(" STEGA TISAK D.O.O.,"," HEINZELOVA 60/I,"," 10000 ZAGREB,"," OIB: 78043520516")</f>
        <v xml:space="preserve"> STEGA TISAK D.O.O., HEINZELOVA 60/I, 10000 ZAGREB, OIB: 78043520516</v>
      </c>
      <c r="H6728" s="7"/>
      <c r="I6728" s="8" t="s">
        <v>5180</v>
      </c>
      <c r="J6728" s="8" t="s">
        <v>3861</v>
      </c>
      <c r="K6728" s="6" t="str">
        <f>"8.650,00"</f>
        <v>8.650,00</v>
      </c>
      <c r="L6728" s="6" t="str">
        <f>"2.162,50"</f>
        <v>2.162,50</v>
      </c>
      <c r="M6728" s="6" t="str">
        <f>"10.812,50"</f>
        <v>10.812,50</v>
      </c>
      <c r="N6728" s="8" t="s">
        <v>124</v>
      </c>
      <c r="O6728" s="7"/>
      <c r="P6728" s="2" t="s">
        <v>5614</v>
      </c>
      <c r="Q6728" s="7"/>
      <c r="R6728" s="1"/>
      <c r="S6728" s="1" t="str">
        <f>"J-UN-2017-1301"</f>
        <v>J-UN-2017-1301</v>
      </c>
      <c r="T6728" s="1" t="s">
        <v>32</v>
      </c>
    </row>
    <row r="6729" spans="1:20" ht="76.5" x14ac:dyDescent="0.25">
      <c r="A6729" s="6">
        <v>6708</v>
      </c>
      <c r="B6729" s="1" t="str">
        <f>"2017-2436"</f>
        <v>2017-2436</v>
      </c>
      <c r="C6729" s="1" t="s">
        <v>2711</v>
      </c>
      <c r="D6729" s="1" t="s">
        <v>1914</v>
      </c>
      <c r="E6729" s="1" t="str">
        <f>""</f>
        <v/>
      </c>
      <c r="F6729" s="1" t="s">
        <v>1860</v>
      </c>
      <c r="G6729" s="1" t="str">
        <f>CONCATENATE(" BUTAN PLIN D.O.O.,"," ULICA RIJEKE DRAGONJE 23,"," 52466 NOVIGRAD (CITTANOVA),"," OIB: 80051835685")</f>
        <v xml:space="preserve"> BUTAN PLIN D.O.O., ULICA RIJEKE DRAGONJE 23, 52466 NOVIGRAD (CITTANOVA), OIB: 80051835685</v>
      </c>
      <c r="H6729" s="7"/>
      <c r="I6729" s="8" t="s">
        <v>4523</v>
      </c>
      <c r="J6729" s="8" t="s">
        <v>4523</v>
      </c>
      <c r="K6729" s="6" t="str">
        <f>"1.404,00"</f>
        <v>1.404,00</v>
      </c>
      <c r="L6729" s="6" t="str">
        <f>"351,00"</f>
        <v>351,00</v>
      </c>
      <c r="M6729" s="6" t="str">
        <f>"1.755,00"</f>
        <v>1.755,00</v>
      </c>
      <c r="N6729" s="8" t="s">
        <v>4735</v>
      </c>
      <c r="O6729" s="7"/>
      <c r="P6729" s="2" t="s">
        <v>8873</v>
      </c>
      <c r="Q6729" s="7"/>
      <c r="R6729" s="1"/>
      <c r="S6729" s="1" t="str">
        <f>"J-UN-2017-1319"</f>
        <v>J-UN-2017-1319</v>
      </c>
      <c r="T6729" s="1" t="s">
        <v>32</v>
      </c>
    </row>
    <row r="6730" spans="1:20" ht="51" x14ac:dyDescent="0.25">
      <c r="A6730" s="6">
        <v>6709</v>
      </c>
      <c r="B6730" s="1" t="str">
        <f>"2017-2576"</f>
        <v>2017-2576</v>
      </c>
      <c r="C6730" s="1" t="s">
        <v>5178</v>
      </c>
      <c r="D6730" s="1" t="s">
        <v>2762</v>
      </c>
      <c r="E6730" s="1" t="str">
        <f>""</f>
        <v/>
      </c>
      <c r="F6730" s="1" t="s">
        <v>1860</v>
      </c>
      <c r="G6730" s="1" t="str">
        <f>CONCATENATE(" V.M.Z. D.O.O.,"," FRANJE LUČIĆA 17,"," 10000 ZAGREB,"," OIB: 45054008182")</f>
        <v xml:space="preserve"> V.M.Z. D.O.O., FRANJE LUČIĆA 17, 10000 ZAGREB, OIB: 45054008182</v>
      </c>
      <c r="H6730" s="7"/>
      <c r="I6730" s="8" t="s">
        <v>5187</v>
      </c>
      <c r="J6730" s="8" t="s">
        <v>4523</v>
      </c>
      <c r="K6730" s="6" t="str">
        <f>"87.194,82"</f>
        <v>87.194,82</v>
      </c>
      <c r="L6730" s="6" t="str">
        <f>"21.798,70"</f>
        <v>21.798,70</v>
      </c>
      <c r="M6730" s="6" t="str">
        <f>"108.993,52"</f>
        <v>108.993,52</v>
      </c>
      <c r="N6730" s="8" t="s">
        <v>124</v>
      </c>
      <c r="O6730" s="7"/>
      <c r="P6730" s="2" t="s">
        <v>5614</v>
      </c>
      <c r="Q6730" s="7"/>
      <c r="R6730" s="1"/>
      <c r="S6730" s="1" t="str">
        <f>"J-UN-2017-1324"</f>
        <v>J-UN-2017-1324</v>
      </c>
      <c r="T6730" s="1" t="s">
        <v>32</v>
      </c>
    </row>
    <row r="6731" spans="1:20" ht="51" x14ac:dyDescent="0.25">
      <c r="A6731" s="6">
        <v>6710</v>
      </c>
      <c r="B6731" s="1" t="str">
        <f>"2017-1873"</f>
        <v>2017-1873</v>
      </c>
      <c r="C6731" s="1" t="s">
        <v>2677</v>
      </c>
      <c r="D6731" s="1" t="s">
        <v>2678</v>
      </c>
      <c r="E6731" s="1" t="str">
        <f>""</f>
        <v/>
      </c>
      <c r="F6731" s="1" t="s">
        <v>1860</v>
      </c>
      <c r="G6731" s="1" t="str">
        <f>CONCATENATE(" POLIMER D.O.O.,"," DAVORINA BAZJANCA 23,"," 10000 ZAGREB,"," OIB: 03060693877")</f>
        <v xml:space="preserve"> POLIMER D.O.O., DAVORINA BAZJANCA 23, 10000 ZAGREB, OIB: 03060693877</v>
      </c>
      <c r="H6731" s="7"/>
      <c r="I6731" s="8" t="s">
        <v>3502</v>
      </c>
      <c r="J6731" s="8" t="s">
        <v>3502</v>
      </c>
      <c r="K6731" s="6" t="str">
        <f>"716,09"</f>
        <v>716,09</v>
      </c>
      <c r="L6731" s="6" t="str">
        <f>"179,02"</f>
        <v>179,02</v>
      </c>
      <c r="M6731" s="6" t="str">
        <f>"895,11"</f>
        <v>895,11</v>
      </c>
      <c r="N6731" s="8" t="s">
        <v>124</v>
      </c>
      <c r="O6731" s="7"/>
      <c r="P6731" s="2" t="s">
        <v>5614</v>
      </c>
      <c r="Q6731" s="7"/>
      <c r="R6731" s="1"/>
      <c r="S6731" s="1" t="str">
        <f>"J-UN-2017-1326"</f>
        <v>J-UN-2017-1326</v>
      </c>
      <c r="T6731" s="1" t="s">
        <v>32</v>
      </c>
    </row>
    <row r="6732" spans="1:20" ht="51" x14ac:dyDescent="0.25">
      <c r="A6732" s="6">
        <v>6711</v>
      </c>
      <c r="B6732" s="1" t="str">
        <f>"2017-2415"</f>
        <v>2017-2415</v>
      </c>
      <c r="C6732" s="1" t="s">
        <v>2618</v>
      </c>
      <c r="D6732" s="1" t="s">
        <v>2619</v>
      </c>
      <c r="E6732" s="1" t="str">
        <f>""</f>
        <v/>
      </c>
      <c r="F6732" s="1" t="s">
        <v>1860</v>
      </c>
      <c r="G6732" s="1" t="str">
        <f>CONCATENATE(" TRA-MONT D.O.O.,"," MILIVOJA MATOŠECA 5,"," 10000 ZAGREB,"," OIB: 05336208843")</f>
        <v xml:space="preserve"> TRA-MONT D.O.O., MILIVOJA MATOŠECA 5, 10000 ZAGREB, OIB: 05336208843</v>
      </c>
      <c r="H6732" s="7"/>
      <c r="I6732" s="8" t="s">
        <v>4513</v>
      </c>
      <c r="J6732" s="8" t="s">
        <v>5188</v>
      </c>
      <c r="K6732" s="6" t="str">
        <f>"688,00"</f>
        <v>688,00</v>
      </c>
      <c r="L6732" s="6" t="str">
        <f>"172,00"</f>
        <v>172,00</v>
      </c>
      <c r="M6732" s="6" t="str">
        <f>"860,00"</f>
        <v>860,00</v>
      </c>
      <c r="N6732" s="8" t="s">
        <v>5189</v>
      </c>
      <c r="O6732" s="7"/>
      <c r="P6732" s="2" t="s">
        <v>8874</v>
      </c>
      <c r="Q6732" s="7"/>
      <c r="R6732" s="1"/>
      <c r="S6732" s="1" t="str">
        <f>"J-UN-2017-1338"</f>
        <v>J-UN-2017-1338</v>
      </c>
      <c r="T6732" s="1" t="s">
        <v>32</v>
      </c>
    </row>
    <row r="6733" spans="1:20" ht="63.75" x14ac:dyDescent="0.25">
      <c r="A6733" s="6">
        <v>6712</v>
      </c>
      <c r="B6733" s="1" t="str">
        <f>"2017-2190"</f>
        <v>2017-2190</v>
      </c>
      <c r="C6733" s="1" t="s">
        <v>2642</v>
      </c>
      <c r="D6733" s="1" t="s">
        <v>1236</v>
      </c>
      <c r="E6733" s="1" t="str">
        <f>""</f>
        <v/>
      </c>
      <c r="F6733" s="1" t="s">
        <v>1860</v>
      </c>
      <c r="G6733" s="1" t="str">
        <f>CONCATENATE(" SECURITAS HRVATSKA D.O.O.,"," ZAGREBAČKA CESTA 145A,"," 10000 ZAGREB,"," OIB: 33679708526")</f>
        <v xml:space="preserve"> SECURITAS HRVATSKA D.O.O., ZAGREBAČKA CESTA 145A, 10000 ZAGREB, OIB: 33679708526</v>
      </c>
      <c r="H6733" s="7"/>
      <c r="I6733" s="8" t="s">
        <v>3883</v>
      </c>
      <c r="J6733" s="8" t="s">
        <v>4513</v>
      </c>
      <c r="K6733" s="6" t="str">
        <f>"6.080,00"</f>
        <v>6.080,00</v>
      </c>
      <c r="L6733" s="6" t="str">
        <f>"1.520,00"</f>
        <v>1.520,00</v>
      </c>
      <c r="M6733" s="6" t="str">
        <f>"7.600,00"</f>
        <v>7.600,00</v>
      </c>
      <c r="N6733" s="8" t="s">
        <v>124</v>
      </c>
      <c r="O6733" s="7"/>
      <c r="P6733" s="2" t="s">
        <v>5614</v>
      </c>
      <c r="Q6733" s="7"/>
      <c r="R6733" s="1"/>
      <c r="S6733" s="1" t="str">
        <f>"J-UN-2017-1355"</f>
        <v>J-UN-2017-1355</v>
      </c>
      <c r="T6733" s="1" t="s">
        <v>32</v>
      </c>
    </row>
    <row r="6734" spans="1:20" ht="76.5" x14ac:dyDescent="0.25">
      <c r="A6734" s="6">
        <v>6713</v>
      </c>
      <c r="B6734" s="1" t="str">
        <f>"2017-1723"</f>
        <v>2017-1723</v>
      </c>
      <c r="C6734" s="1" t="s">
        <v>5169</v>
      </c>
      <c r="D6734" s="1" t="s">
        <v>880</v>
      </c>
      <c r="E6734" s="1" t="str">
        <f>""</f>
        <v/>
      </c>
      <c r="F6734" s="1" t="s">
        <v>1860</v>
      </c>
      <c r="G6734" s="1" t="str">
        <f>CONCATENATE(" NASTAVNI ZAVOD ZA JAVNO ZDRAVSTVO ISTARSKE ŽUPANIJE,"," NAZOROVA 23,"," 52100 PULA,"," OIB: 90629578695")</f>
        <v xml:space="preserve"> NASTAVNI ZAVOD ZA JAVNO ZDRAVSTVO ISTARSKE ŽUPANIJE, NAZOROVA 23, 52100 PULA, OIB: 90629578695</v>
      </c>
      <c r="H6734" s="7"/>
      <c r="I6734" s="8" t="s">
        <v>3883</v>
      </c>
      <c r="J6734" s="8" t="s">
        <v>4513</v>
      </c>
      <c r="K6734" s="6" t="str">
        <f>"295,00"</f>
        <v>295,00</v>
      </c>
      <c r="L6734" s="6" t="str">
        <f>"73,75"</f>
        <v>73,75</v>
      </c>
      <c r="M6734" s="6" t="str">
        <f>"368,75"</f>
        <v>368,75</v>
      </c>
      <c r="N6734" s="8" t="s">
        <v>124</v>
      </c>
      <c r="O6734" s="7"/>
      <c r="P6734" s="2" t="s">
        <v>5614</v>
      </c>
      <c r="Q6734" s="7"/>
      <c r="R6734" s="1"/>
      <c r="S6734" s="1" t="str">
        <f>"J-UN-2017-1358"</f>
        <v>J-UN-2017-1358</v>
      </c>
      <c r="T6734" s="1" t="s">
        <v>32</v>
      </c>
    </row>
    <row r="6735" spans="1:20" ht="63.75" x14ac:dyDescent="0.25">
      <c r="A6735" s="6">
        <v>6714</v>
      </c>
      <c r="B6735" s="1" t="str">
        <f>"2017-2723"</f>
        <v>2017-2723</v>
      </c>
      <c r="C6735" s="1" t="s">
        <v>5190</v>
      </c>
      <c r="D6735" s="1" t="s">
        <v>2107</v>
      </c>
      <c r="E6735" s="1" t="str">
        <f>""</f>
        <v/>
      </c>
      <c r="F6735" s="1" t="s">
        <v>1860</v>
      </c>
      <c r="G6735" s="1" t="str">
        <f>CONCATENATE(" PROSPECTUS D.O.O.,"," PAVLENSKI PUT 7F,"," 1000 ZAGREB,"," OIB: 50481342682")</f>
        <v xml:space="preserve"> PROSPECTUS D.O.O., PAVLENSKI PUT 7F, 1000 ZAGREB, OIB: 50481342682</v>
      </c>
      <c r="H6735" s="7"/>
      <c r="I6735" s="8" t="s">
        <v>3502</v>
      </c>
      <c r="J6735" s="8" t="s">
        <v>3883</v>
      </c>
      <c r="K6735" s="6" t="str">
        <f>"29.000,00"</f>
        <v>29.000,00</v>
      </c>
      <c r="L6735" s="6" t="str">
        <f>"7.250,00"</f>
        <v>7.250,00</v>
      </c>
      <c r="M6735" s="6" t="str">
        <f>"36.250,00"</f>
        <v>36.250,00</v>
      </c>
      <c r="N6735" s="8" t="s">
        <v>124</v>
      </c>
      <c r="O6735" s="7"/>
      <c r="P6735" s="2" t="s">
        <v>5614</v>
      </c>
      <c r="Q6735" s="7"/>
      <c r="R6735" s="1"/>
      <c r="S6735" s="1" t="str">
        <f>"J-UN-2017-1373"</f>
        <v>J-UN-2017-1373</v>
      </c>
      <c r="T6735" s="1" t="s">
        <v>32</v>
      </c>
    </row>
    <row r="6736" spans="1:20" ht="63.75" x14ac:dyDescent="0.25">
      <c r="A6736" s="6">
        <v>6715</v>
      </c>
      <c r="B6736" s="1" t="str">
        <f>"2017-474"</f>
        <v>2017-474</v>
      </c>
      <c r="C6736" s="1" t="s">
        <v>3085</v>
      </c>
      <c r="D6736" s="1" t="s">
        <v>2549</v>
      </c>
      <c r="E6736" s="1" t="str">
        <f>""</f>
        <v/>
      </c>
      <c r="F6736" s="1" t="s">
        <v>1860</v>
      </c>
      <c r="G6736" s="1" t="str">
        <f>CONCATENATE(" INTERPRETA USLUGE D.O.O.,"," ULICA GRADA VUKOVARA 271,"," 10000 ZAGREB,"," OIB: 13529271893")</f>
        <v xml:space="preserve"> INTERPRETA USLUGE D.O.O., ULICA GRADA VUKOVARA 271, 10000 ZAGREB, OIB: 13529271893</v>
      </c>
      <c r="H6736" s="7"/>
      <c r="I6736" s="8" t="s">
        <v>4513</v>
      </c>
      <c r="J6736" s="8" t="s">
        <v>5188</v>
      </c>
      <c r="K6736" s="6" t="str">
        <f>"3.600,00"</f>
        <v>3.600,00</v>
      </c>
      <c r="L6736" s="6" t="str">
        <f>"900,00"</f>
        <v>900,00</v>
      </c>
      <c r="M6736" s="6" t="str">
        <f>"4.500,00"</f>
        <v>4.500,00</v>
      </c>
      <c r="N6736" s="8" t="s">
        <v>124</v>
      </c>
      <c r="O6736" s="7"/>
      <c r="P6736" s="2" t="s">
        <v>5614</v>
      </c>
      <c r="Q6736" s="7"/>
      <c r="R6736" s="1"/>
      <c r="S6736" s="1" t="str">
        <f>"J-UN-2017-1393"</f>
        <v>J-UN-2017-1393</v>
      </c>
      <c r="T6736" s="1" t="s">
        <v>32</v>
      </c>
    </row>
    <row r="6737" spans="1:20" ht="63.75" x14ac:dyDescent="0.25">
      <c r="A6737" s="6">
        <v>6716</v>
      </c>
      <c r="B6737" s="1" t="str">
        <f>"2017-2507"</f>
        <v>2017-2507</v>
      </c>
      <c r="C6737" s="1" t="s">
        <v>5151</v>
      </c>
      <c r="D6737" s="1" t="s">
        <v>1065</v>
      </c>
      <c r="E6737" s="1" t="str">
        <f>""</f>
        <v/>
      </c>
      <c r="F6737" s="1" t="s">
        <v>1860</v>
      </c>
      <c r="G6737" s="1" t="str">
        <f>CONCATENATE(" FLEET RENT A CAR D.O.O.,"," ANDRIJE HEBRANGA 32,"," 10000 ZAGREB,"," OIB: 5950444323")</f>
        <v xml:space="preserve"> FLEET RENT A CAR D.O.O., ANDRIJE HEBRANGA 32, 10000 ZAGREB, OIB: 5950444323</v>
      </c>
      <c r="H6737" s="7"/>
      <c r="I6737" s="8" t="s">
        <v>4513</v>
      </c>
      <c r="J6737" s="8" t="s">
        <v>5188</v>
      </c>
      <c r="K6737" s="6" t="str">
        <f>"25.030,00"</f>
        <v>25.030,00</v>
      </c>
      <c r="L6737" s="6" t="str">
        <f>"6.257,50"</f>
        <v>6.257,50</v>
      </c>
      <c r="M6737" s="6" t="str">
        <f>"31.287,50"</f>
        <v>31.287,50</v>
      </c>
      <c r="N6737" s="8" t="s">
        <v>124</v>
      </c>
      <c r="O6737" s="7"/>
      <c r="P6737" s="2" t="s">
        <v>5614</v>
      </c>
      <c r="Q6737" s="7"/>
      <c r="R6737" s="1"/>
      <c r="S6737" s="1" t="str">
        <f>"J-UN-2017-1395"</f>
        <v>J-UN-2017-1395</v>
      </c>
      <c r="T6737" s="1" t="s">
        <v>32</v>
      </c>
    </row>
    <row r="6738" spans="1:20" ht="51" x14ac:dyDescent="0.25">
      <c r="A6738" s="6">
        <v>6717</v>
      </c>
      <c r="B6738" s="1" t="str">
        <f>"2017-570"</f>
        <v>2017-570</v>
      </c>
      <c r="C6738" s="1" t="s">
        <v>5191</v>
      </c>
      <c r="D6738" s="1" t="s">
        <v>5192</v>
      </c>
      <c r="E6738" s="1" t="str">
        <f>""</f>
        <v/>
      </c>
      <c r="F6738" s="1" t="s">
        <v>1860</v>
      </c>
      <c r="G6738" s="1" t="str">
        <f>CONCATENATE(" GASTRO LP D.O.O.,"," BUKOVAČKI VIJENAC 17,"," 10000 ZAGREB,"," OIB: 40121715817")</f>
        <v xml:space="preserve"> GASTRO LP D.O.O., BUKOVAČKI VIJENAC 17, 10000 ZAGREB, OIB: 40121715817</v>
      </c>
      <c r="H6738" s="7"/>
      <c r="I6738" s="8" t="s">
        <v>4650</v>
      </c>
      <c r="J6738" s="8" t="s">
        <v>4487</v>
      </c>
      <c r="K6738" s="6" t="str">
        <f>"24.900,00"</f>
        <v>24.900,00</v>
      </c>
      <c r="L6738" s="6" t="str">
        <f>"6.225,00"</f>
        <v>6.225,00</v>
      </c>
      <c r="M6738" s="6" t="str">
        <f>"31.125,00"</f>
        <v>31.125,00</v>
      </c>
      <c r="N6738" s="8" t="s">
        <v>124</v>
      </c>
      <c r="O6738" s="7"/>
      <c r="P6738" s="2" t="s">
        <v>5614</v>
      </c>
      <c r="Q6738" s="7"/>
      <c r="R6738" s="1"/>
      <c r="S6738" s="1" t="str">
        <f>"J-UN-2017-1426"</f>
        <v>J-UN-2017-1426</v>
      </c>
      <c r="T6738" s="1" t="s">
        <v>32</v>
      </c>
    </row>
    <row r="6739" spans="1:20" ht="51" x14ac:dyDescent="0.25">
      <c r="A6739" s="6">
        <v>6718</v>
      </c>
      <c r="B6739" s="1" t="str">
        <f>"2017-1250"</f>
        <v>2017-1250</v>
      </c>
      <c r="C6739" s="1" t="s">
        <v>5193</v>
      </c>
      <c r="D6739" s="1" t="s">
        <v>914</v>
      </c>
      <c r="E6739" s="1" t="str">
        <f>""</f>
        <v/>
      </c>
      <c r="F6739" s="1" t="s">
        <v>1860</v>
      </c>
      <c r="G6739" s="1" t="str">
        <f>CONCATENATE(" D.R. AUTO D.O.O.,"," SELSKA CESTA 34,"," 10000 ZAGREB,"," OIB: 07523847158")</f>
        <v xml:space="preserve"> D.R. AUTO D.O.O., SELSKA CESTA 34, 10000 ZAGREB, OIB: 07523847158</v>
      </c>
      <c r="H6739" s="7"/>
      <c r="I6739" s="8" t="s">
        <v>3671</v>
      </c>
      <c r="J6739" s="8" t="s">
        <v>3887</v>
      </c>
      <c r="K6739" s="6" t="str">
        <f>"10.353,34"</f>
        <v>10.353,34</v>
      </c>
      <c r="L6739" s="6" t="str">
        <f>"2.588,34"</f>
        <v>2.588,34</v>
      </c>
      <c r="M6739" s="6" t="str">
        <f>"12.941,68"</f>
        <v>12.941,68</v>
      </c>
      <c r="N6739" s="8" t="s">
        <v>3817</v>
      </c>
      <c r="O6739" s="7"/>
      <c r="P6739" s="2" t="s">
        <v>8875</v>
      </c>
      <c r="Q6739" s="7"/>
      <c r="R6739" s="1"/>
      <c r="S6739" s="1" t="str">
        <f>"J-UN-2017-1467"</f>
        <v>J-UN-2017-1467</v>
      </c>
      <c r="T6739" s="1" t="s">
        <v>32</v>
      </c>
    </row>
    <row r="6740" spans="1:20" ht="38.25" x14ac:dyDescent="0.25">
      <c r="A6740" s="6">
        <v>6719</v>
      </c>
      <c r="B6740" s="1" t="str">
        <f>"2017-1912"</f>
        <v>2017-1912</v>
      </c>
      <c r="C6740" s="1" t="s">
        <v>2778</v>
      </c>
      <c r="D6740" s="1" t="s">
        <v>1833</v>
      </c>
      <c r="E6740" s="1" t="str">
        <f>""</f>
        <v/>
      </c>
      <c r="F6740" s="1" t="s">
        <v>1860</v>
      </c>
      <c r="G6740" s="1" t="str">
        <f>CONCATENATE(" WAWA D.O.O.,"," ,"," OIB: 59785180614")</f>
        <v xml:space="preserve"> WAWA D.O.O., , OIB: 59785180614</v>
      </c>
      <c r="H6740" s="7"/>
      <c r="I6740" s="8" t="s">
        <v>3887</v>
      </c>
      <c r="J6740" s="8" t="s">
        <v>5194</v>
      </c>
      <c r="K6740" s="6" t="str">
        <f>"8.365,49"</f>
        <v>8.365,49</v>
      </c>
      <c r="L6740" s="6" t="str">
        <f>"2.091,37"</f>
        <v>2.091,37</v>
      </c>
      <c r="M6740" s="6" t="str">
        <f>"10.456,86"</f>
        <v>10.456,86</v>
      </c>
      <c r="N6740" s="8" t="s">
        <v>124</v>
      </c>
      <c r="O6740" s="7"/>
      <c r="P6740" s="2" t="s">
        <v>5614</v>
      </c>
      <c r="Q6740" s="7"/>
      <c r="R6740" s="1"/>
      <c r="S6740" s="1" t="str">
        <f>"J-UN-2017-1477"</f>
        <v>J-UN-2017-1477</v>
      </c>
      <c r="T6740" s="1" t="s">
        <v>32</v>
      </c>
    </row>
    <row r="6741" spans="1:20" ht="51" x14ac:dyDescent="0.25">
      <c r="A6741" s="6">
        <v>6720</v>
      </c>
      <c r="B6741" s="1" t="str">
        <f>"2017-2193"</f>
        <v>2017-2193</v>
      </c>
      <c r="C6741" s="1" t="s">
        <v>5195</v>
      </c>
      <c r="D6741" s="1" t="s">
        <v>5196</v>
      </c>
      <c r="E6741" s="1" t="str">
        <f>""</f>
        <v/>
      </c>
      <c r="F6741" s="1" t="s">
        <v>1860</v>
      </c>
      <c r="G6741" s="1" t="str">
        <f>CONCATENATE(" FRIGOTEHNIKA D.O.O.,"," GRABAR 15,"," 51557 CRES,"," OIB: 80978819204")</f>
        <v xml:space="preserve"> FRIGOTEHNIKA D.O.O., GRABAR 15, 51557 CRES, OIB: 80978819204</v>
      </c>
      <c r="H6741" s="7"/>
      <c r="I6741" s="8" t="s">
        <v>4520</v>
      </c>
      <c r="J6741" s="8" t="s">
        <v>5055</v>
      </c>
      <c r="K6741" s="6" t="str">
        <f>"1.719,20"</f>
        <v>1.719,20</v>
      </c>
      <c r="L6741" s="6" t="str">
        <f>"429,80"</f>
        <v>429,80</v>
      </c>
      <c r="M6741" s="6" t="str">
        <f>"2.149,00"</f>
        <v>2.149,00</v>
      </c>
      <c r="N6741" s="8" t="s">
        <v>124</v>
      </c>
      <c r="O6741" s="7"/>
      <c r="P6741" s="2" t="s">
        <v>5614</v>
      </c>
      <c r="Q6741" s="7"/>
      <c r="R6741" s="1"/>
      <c r="S6741" s="1" t="str">
        <f>"J-UN-2017-1502"</f>
        <v>J-UN-2017-1502</v>
      </c>
      <c r="T6741" s="1" t="s">
        <v>32</v>
      </c>
    </row>
    <row r="6742" spans="1:20" ht="51" x14ac:dyDescent="0.25">
      <c r="A6742" s="6">
        <v>6721</v>
      </c>
      <c r="B6742" s="1" t="str">
        <f>"2017-2436"</f>
        <v>2017-2436</v>
      </c>
      <c r="C6742" s="1" t="s">
        <v>2711</v>
      </c>
      <c r="D6742" s="1" t="s">
        <v>1914</v>
      </c>
      <c r="E6742" s="1" t="str">
        <f>""</f>
        <v/>
      </c>
      <c r="F6742" s="1" t="s">
        <v>1860</v>
      </c>
      <c r="G6742" s="1" t="str">
        <f>CONCATENATE(" TRA-MONT D.O.O.,"," MILIVOJA MATOŠECA 5,"," 10000 ZAGREB,"," OIB: 05336208843")</f>
        <v xml:space="preserve"> TRA-MONT D.O.O., MILIVOJA MATOŠECA 5, 10000 ZAGREB, OIB: 05336208843</v>
      </c>
      <c r="H6742" s="7"/>
      <c r="I6742" s="8" t="s">
        <v>5055</v>
      </c>
      <c r="J6742" s="8" t="s">
        <v>4518</v>
      </c>
      <c r="K6742" s="6" t="str">
        <f>"2.500,00"</f>
        <v>2.500,00</v>
      </c>
      <c r="L6742" s="6" t="str">
        <f>"625,00"</f>
        <v>625,00</v>
      </c>
      <c r="M6742" s="6" t="str">
        <f>"3.125,00"</f>
        <v>3.125,00</v>
      </c>
      <c r="N6742" s="8" t="s">
        <v>124</v>
      </c>
      <c r="O6742" s="7"/>
      <c r="P6742" s="2" t="s">
        <v>5614</v>
      </c>
      <c r="Q6742" s="7"/>
      <c r="R6742" s="1"/>
      <c r="S6742" s="1" t="str">
        <f>"J-UN-2017-1515"</f>
        <v>J-UN-2017-1515</v>
      </c>
      <c r="T6742" s="1" t="s">
        <v>32</v>
      </c>
    </row>
    <row r="6743" spans="1:20" ht="51" x14ac:dyDescent="0.25">
      <c r="A6743" s="6">
        <v>6722</v>
      </c>
      <c r="B6743" s="1" t="str">
        <f>"2017-2729"</f>
        <v>2017-2729</v>
      </c>
      <c r="C6743" s="1" t="s">
        <v>5197</v>
      </c>
      <c r="D6743" s="1" t="s">
        <v>3030</v>
      </c>
      <c r="E6743" s="1" t="str">
        <f>""</f>
        <v/>
      </c>
      <c r="F6743" s="1" t="s">
        <v>1860</v>
      </c>
      <c r="G6743" s="1" t="str">
        <f>CONCATENATE(" PROTEKTA D.O.O.,"," IVANA ŠIBLA 9,"," 10000 ZAGREB,"," OIB: 25210761537")</f>
        <v xml:space="preserve"> PROTEKTA D.O.O., IVANA ŠIBLA 9, 10000 ZAGREB, OIB: 25210761537</v>
      </c>
      <c r="H6743" s="7"/>
      <c r="I6743" s="8" t="s">
        <v>5055</v>
      </c>
      <c r="J6743" s="8" t="s">
        <v>4518</v>
      </c>
      <c r="K6743" s="6" t="str">
        <f>"190.000,00"</f>
        <v>190.000,00</v>
      </c>
      <c r="L6743" s="6" t="str">
        <f>"47.500,00"</f>
        <v>47.500,00</v>
      </c>
      <c r="M6743" s="6" t="str">
        <f>"237.500,00"</f>
        <v>237.500,00</v>
      </c>
      <c r="N6743" s="8" t="s">
        <v>124</v>
      </c>
      <c r="O6743" s="7"/>
      <c r="P6743" s="2" t="s">
        <v>5614</v>
      </c>
      <c r="Q6743" s="7"/>
      <c r="R6743" s="1"/>
      <c r="S6743" s="1" t="str">
        <f>"J-UN-2017-1525"</f>
        <v>J-UN-2017-1525</v>
      </c>
      <c r="T6743" s="1" t="s">
        <v>32</v>
      </c>
    </row>
    <row r="6744" spans="1:20" ht="63.75" x14ac:dyDescent="0.25">
      <c r="A6744" s="6">
        <v>6723</v>
      </c>
      <c r="B6744" s="1" t="str">
        <f>"2017-2434"</f>
        <v>2017-2434</v>
      </c>
      <c r="C6744" s="1" t="s">
        <v>5147</v>
      </c>
      <c r="D6744" s="1" t="s">
        <v>1007</v>
      </c>
      <c r="E6744" s="1" t="str">
        <f>""</f>
        <v/>
      </c>
      <c r="F6744" s="1" t="s">
        <v>1860</v>
      </c>
      <c r="G6744" s="1" t="str">
        <f>CONCATENATE(" DRÄGER SAFETY D.O.O.,"," AVENIJA VEĆESLAVA HOLJEVCA 40,"," 10010 ZAGREB,"," OIB: 32874587842")</f>
        <v xml:space="preserve"> DRÄGER SAFETY D.O.O., AVENIJA VEĆESLAVA HOLJEVCA 40, 10010 ZAGREB, OIB: 32874587842</v>
      </c>
      <c r="H6744" s="7"/>
      <c r="I6744" s="8" t="s">
        <v>3887</v>
      </c>
      <c r="J6744" s="8" t="s">
        <v>5194</v>
      </c>
      <c r="K6744" s="6" t="str">
        <f>"9.974,93"</f>
        <v>9.974,93</v>
      </c>
      <c r="L6744" s="6" t="str">
        <f>"2.493,73"</f>
        <v>2.493,73</v>
      </c>
      <c r="M6744" s="6" t="str">
        <f>"12.468,66"</f>
        <v>12.468,66</v>
      </c>
      <c r="N6744" s="8" t="s">
        <v>3904</v>
      </c>
      <c r="O6744" s="7"/>
      <c r="P6744" s="2" t="s">
        <v>8876</v>
      </c>
      <c r="Q6744" s="7"/>
      <c r="R6744" s="1"/>
      <c r="S6744" s="1" t="str">
        <f>"J-UN-2017-1527"</f>
        <v>J-UN-2017-1527</v>
      </c>
      <c r="T6744" s="1" t="s">
        <v>32</v>
      </c>
    </row>
    <row r="6745" spans="1:20" ht="51" x14ac:dyDescent="0.25">
      <c r="A6745" s="6">
        <v>6724</v>
      </c>
      <c r="B6745" s="1" t="str">
        <f>"2017-1562"</f>
        <v>2017-1562</v>
      </c>
      <c r="C6745" s="1" t="s">
        <v>4527</v>
      </c>
      <c r="D6745" s="1" t="s">
        <v>381</v>
      </c>
      <c r="E6745" s="1" t="str">
        <f>""</f>
        <v/>
      </c>
      <c r="F6745" s="1" t="s">
        <v>1860</v>
      </c>
      <c r="G6745" s="1" t="str">
        <f>CONCATENATE(" PASTOR - TVA - D.D.,"," RAKITJE,"," NOVAČKA 2,"," 10437 BESTOVJE,"," OIB: 17140959007")</f>
        <v xml:space="preserve"> PASTOR - TVA - D.D., RAKITJE, NOVAČKA 2, 10437 BESTOVJE, OIB: 17140959007</v>
      </c>
      <c r="H6745" s="7"/>
      <c r="I6745" s="8" t="s">
        <v>4738</v>
      </c>
      <c r="J6745" s="8" t="s">
        <v>4744</v>
      </c>
      <c r="K6745" s="6" t="str">
        <f>"372,00"</f>
        <v>372,00</v>
      </c>
      <c r="L6745" s="6" t="str">
        <f>"93,00"</f>
        <v>93,00</v>
      </c>
      <c r="M6745" s="6" t="str">
        <f>"465,00"</f>
        <v>465,00</v>
      </c>
      <c r="N6745" s="8" t="s">
        <v>124</v>
      </c>
      <c r="O6745" s="7"/>
      <c r="P6745" s="2" t="s">
        <v>5614</v>
      </c>
      <c r="Q6745" s="7"/>
      <c r="R6745" s="1"/>
      <c r="S6745" s="1" t="str">
        <f>"J-UN-2017-1528"</f>
        <v>J-UN-2017-1528</v>
      </c>
      <c r="T6745" s="1" t="s">
        <v>32</v>
      </c>
    </row>
    <row r="6746" spans="1:20" ht="51" x14ac:dyDescent="0.25">
      <c r="A6746" s="6">
        <v>6725</v>
      </c>
      <c r="B6746" s="1" t="str">
        <f>"2017-2172"</f>
        <v>2017-2172</v>
      </c>
      <c r="C6746" s="1" t="s">
        <v>2790</v>
      </c>
      <c r="D6746" s="1" t="s">
        <v>2791</v>
      </c>
      <c r="E6746" s="1" t="str">
        <f>""</f>
        <v/>
      </c>
      <c r="F6746" s="1" t="s">
        <v>1860</v>
      </c>
      <c r="G6746" s="1" t="str">
        <f>CONCATENATE(" PSC FERENČAK D.O.O.,"," N.TESLE bb,"," 48260 KRIŽEVCI,"," OIB: 92177469549")</f>
        <v xml:space="preserve"> PSC FERENČAK D.O.O., N.TESLE bb, 48260 KRIŽEVCI, OIB: 92177469549</v>
      </c>
      <c r="H6746" s="7"/>
      <c r="I6746" s="8" t="s">
        <v>4534</v>
      </c>
      <c r="J6746" s="8" t="s">
        <v>4534</v>
      </c>
      <c r="K6746" s="6" t="str">
        <f>"39.000,00"</f>
        <v>39.000,00</v>
      </c>
      <c r="L6746" s="6" t="str">
        <f>"9.750,00"</f>
        <v>9.750,00</v>
      </c>
      <c r="M6746" s="6" t="str">
        <f>"48.750,00"</f>
        <v>48.750,00</v>
      </c>
      <c r="N6746" s="8" t="s">
        <v>5198</v>
      </c>
      <c r="O6746" s="7"/>
      <c r="P6746" s="2" t="s">
        <v>5614</v>
      </c>
      <c r="Q6746" s="7"/>
      <c r="R6746" s="1"/>
      <c r="S6746" s="1" t="str">
        <f>"J-UN-2017-1556"</f>
        <v>J-UN-2017-1556</v>
      </c>
      <c r="T6746" s="1" t="s">
        <v>32</v>
      </c>
    </row>
    <row r="6747" spans="1:20" ht="51" x14ac:dyDescent="0.25">
      <c r="A6747" s="6">
        <v>6726</v>
      </c>
      <c r="B6747" s="1" t="str">
        <f>"2017-2415"</f>
        <v>2017-2415</v>
      </c>
      <c r="C6747" s="1" t="s">
        <v>2618</v>
      </c>
      <c r="D6747" s="1" t="s">
        <v>2619</v>
      </c>
      <c r="E6747" s="1" t="str">
        <f>""</f>
        <v/>
      </c>
      <c r="F6747" s="1" t="s">
        <v>1860</v>
      </c>
      <c r="G6747" s="1" t="str">
        <f>CONCATENATE(" TRA-MONT D.O.O.,"," MILIVOJA MATOŠECA 5,"," 10000 ZAGREB,"," OIB: 05336208843")</f>
        <v xml:space="preserve"> TRA-MONT D.O.O., MILIVOJA MATOŠECA 5, 10000 ZAGREB, OIB: 05336208843</v>
      </c>
      <c r="H6747" s="7"/>
      <c r="I6747" s="8" t="s">
        <v>3887</v>
      </c>
      <c r="J6747" s="8" t="s">
        <v>3887</v>
      </c>
      <c r="K6747" s="6" t="str">
        <f>"1.680,00"</f>
        <v>1.680,00</v>
      </c>
      <c r="L6747" s="6" t="str">
        <f>"420,00"</f>
        <v>420,00</v>
      </c>
      <c r="M6747" s="6" t="str">
        <f>"2.100,00"</f>
        <v>2.100,00</v>
      </c>
      <c r="N6747" s="8" t="s">
        <v>124</v>
      </c>
      <c r="O6747" s="7"/>
      <c r="P6747" s="2" t="s">
        <v>5614</v>
      </c>
      <c r="Q6747" s="7"/>
      <c r="R6747" s="1"/>
      <c r="S6747" s="1" t="str">
        <f>"J-UN-2017-1557"</f>
        <v>J-UN-2017-1557</v>
      </c>
      <c r="T6747" s="1" t="s">
        <v>32</v>
      </c>
    </row>
    <row r="6748" spans="1:20" ht="51" x14ac:dyDescent="0.25">
      <c r="A6748" s="6">
        <v>6727</v>
      </c>
      <c r="B6748" s="1" t="str">
        <f>"2017-2415"</f>
        <v>2017-2415</v>
      </c>
      <c r="C6748" s="1" t="s">
        <v>2618</v>
      </c>
      <c r="D6748" s="1" t="s">
        <v>2619</v>
      </c>
      <c r="E6748" s="1" t="str">
        <f>""</f>
        <v/>
      </c>
      <c r="F6748" s="1" t="s">
        <v>1860</v>
      </c>
      <c r="G6748" s="1" t="str">
        <f>CONCATENATE(" TRA-MONT D.O.O.,"," MILIVOJA MATOŠECA 5,"," 10000 ZAGREB,"," OIB: 05336208843")</f>
        <v xml:space="preserve"> TRA-MONT D.O.O., MILIVOJA MATOŠECA 5, 10000 ZAGREB, OIB: 05336208843</v>
      </c>
      <c r="H6748" s="7"/>
      <c r="I6748" s="8" t="s">
        <v>5194</v>
      </c>
      <c r="J6748" s="8" t="s">
        <v>4531</v>
      </c>
      <c r="K6748" s="6" t="str">
        <f>"3.043,00"</f>
        <v>3.043,00</v>
      </c>
      <c r="L6748" s="6" t="str">
        <f>"760,75"</f>
        <v>760,75</v>
      </c>
      <c r="M6748" s="6" t="str">
        <f>"3.803,75"</f>
        <v>3.803,75</v>
      </c>
      <c r="N6748" s="8" t="s">
        <v>124</v>
      </c>
      <c r="O6748" s="7"/>
      <c r="P6748" s="2" t="s">
        <v>5614</v>
      </c>
      <c r="Q6748" s="7"/>
      <c r="R6748" s="1"/>
      <c r="S6748" s="1" t="str">
        <f>"J-UN-2017-1577"</f>
        <v>J-UN-2017-1577</v>
      </c>
      <c r="T6748" s="1" t="s">
        <v>32</v>
      </c>
    </row>
    <row r="6749" spans="1:20" ht="51" x14ac:dyDescent="0.25">
      <c r="A6749" s="6">
        <v>6728</v>
      </c>
      <c r="B6749" s="1" t="str">
        <f>"2017-1170"</f>
        <v>2017-1170</v>
      </c>
      <c r="C6749" s="1" t="s">
        <v>2786</v>
      </c>
      <c r="D6749" s="1" t="s">
        <v>476</v>
      </c>
      <c r="E6749" s="1" t="str">
        <f>""</f>
        <v/>
      </c>
      <c r="F6749" s="1" t="s">
        <v>1860</v>
      </c>
      <c r="G6749" s="1" t="str">
        <f>CONCATENATE(" KING ICT D.O.O.,"," BUZINSKI PRILAZ 10,"," 10010 ZAGREB,"," OIB: 67001695549")</f>
        <v xml:space="preserve"> KING ICT D.O.O., BUZINSKI PRILAZ 10, 10010 ZAGREB, OIB: 67001695549</v>
      </c>
      <c r="H6749" s="7"/>
      <c r="I6749" s="8" t="s">
        <v>5194</v>
      </c>
      <c r="J6749" s="8" t="s">
        <v>4531</v>
      </c>
      <c r="K6749" s="6" t="str">
        <f>"9.600,00"</f>
        <v>9.600,00</v>
      </c>
      <c r="L6749" s="6" t="str">
        <f>"2.400,00"</f>
        <v>2.400,00</v>
      </c>
      <c r="M6749" s="6" t="str">
        <f>"12.000,00"</f>
        <v>12.000,00</v>
      </c>
      <c r="N6749" s="8" t="s">
        <v>124</v>
      </c>
      <c r="O6749" s="7"/>
      <c r="P6749" s="2" t="s">
        <v>5614</v>
      </c>
      <c r="Q6749" s="7"/>
      <c r="R6749" s="1"/>
      <c r="S6749" s="1" t="str">
        <f>"J-UN-2017-1579"</f>
        <v>J-UN-2017-1579</v>
      </c>
      <c r="T6749" s="1" t="s">
        <v>32</v>
      </c>
    </row>
    <row r="6750" spans="1:20" ht="63.75" x14ac:dyDescent="0.25">
      <c r="A6750" s="6">
        <v>6729</v>
      </c>
      <c r="B6750" s="1" t="str">
        <f>"2017-2507"</f>
        <v>2017-2507</v>
      </c>
      <c r="C6750" s="1" t="s">
        <v>5151</v>
      </c>
      <c r="D6750" s="1" t="s">
        <v>1065</v>
      </c>
      <c r="E6750" s="1" t="str">
        <f>""</f>
        <v/>
      </c>
      <c r="F6750" s="1" t="s">
        <v>1860</v>
      </c>
      <c r="G6750" s="1" t="str">
        <f>CONCATENATE(" FLEET RENT A CAR D.O.O.,"," ANDRIJE HEBRANGA 32,"," 10000 ZAGREB,"," OIB: 5950444323")</f>
        <v xml:space="preserve"> FLEET RENT A CAR D.O.O., ANDRIJE HEBRANGA 32, 10000 ZAGREB, OIB: 5950444323</v>
      </c>
      <c r="H6750" s="7"/>
      <c r="I6750" s="8" t="s">
        <v>5194</v>
      </c>
      <c r="J6750" s="8" t="s">
        <v>4531</v>
      </c>
      <c r="K6750" s="6" t="str">
        <f>"1.250,00"</f>
        <v>1.250,00</v>
      </c>
      <c r="L6750" s="6" t="str">
        <f>"312,50"</f>
        <v>312,50</v>
      </c>
      <c r="M6750" s="6" t="str">
        <f>"1.562,50"</f>
        <v>1.562,50</v>
      </c>
      <c r="N6750" s="8" t="s">
        <v>124</v>
      </c>
      <c r="O6750" s="7"/>
      <c r="P6750" s="2" t="s">
        <v>5614</v>
      </c>
      <c r="Q6750" s="7"/>
      <c r="R6750" s="1"/>
      <c r="S6750" s="1" t="str">
        <f>"J-UN-2017-1580"</f>
        <v>J-UN-2017-1580</v>
      </c>
      <c r="T6750" s="1" t="s">
        <v>32</v>
      </c>
    </row>
    <row r="6751" spans="1:20" ht="51" x14ac:dyDescent="0.25">
      <c r="A6751" s="6">
        <v>6730</v>
      </c>
      <c r="B6751" s="1" t="str">
        <f>"2017-474"</f>
        <v>2017-474</v>
      </c>
      <c r="C6751" s="1" t="s">
        <v>3085</v>
      </c>
      <c r="D6751" s="1" t="s">
        <v>2549</v>
      </c>
      <c r="E6751" s="1" t="str">
        <f>""</f>
        <v/>
      </c>
      <c r="F6751" s="1" t="s">
        <v>1860</v>
      </c>
      <c r="G6751" s="1" t="str">
        <f>CONCATENATE(" AD HOC-CENTAR D.O.O.,"," DRAŠKOVIĆEVA 4A,"," 10000 ZAGREB,"," OIB: 75132412279")</f>
        <v xml:space="preserve"> AD HOC-CENTAR D.O.O., DRAŠKOVIĆEVA 4A, 10000 ZAGREB, OIB: 75132412279</v>
      </c>
      <c r="H6751" s="7"/>
      <c r="I6751" s="8" t="s">
        <v>5199</v>
      </c>
      <c r="J6751" s="8" t="s">
        <v>3868</v>
      </c>
      <c r="K6751" s="6" t="str">
        <f>"935,00"</f>
        <v>935,00</v>
      </c>
      <c r="L6751" s="6" t="str">
        <f>"233,75"</f>
        <v>233,75</v>
      </c>
      <c r="M6751" s="6" t="str">
        <f>"1.168,75"</f>
        <v>1.168,75</v>
      </c>
      <c r="N6751" s="8" t="s">
        <v>4745</v>
      </c>
      <c r="O6751" s="7"/>
      <c r="P6751" s="2" t="s">
        <v>5682</v>
      </c>
      <c r="Q6751" s="7"/>
      <c r="R6751" s="1"/>
      <c r="S6751" s="1" t="str">
        <f>"J-UN-2017-1617"</f>
        <v>J-UN-2017-1617</v>
      </c>
      <c r="T6751" s="1" t="s">
        <v>32</v>
      </c>
    </row>
    <row r="6752" spans="1:20" ht="51" x14ac:dyDescent="0.25">
      <c r="A6752" s="6">
        <v>6731</v>
      </c>
      <c r="B6752" s="1" t="str">
        <f>"2017-1250"</f>
        <v>2017-1250</v>
      </c>
      <c r="C6752" s="1" t="s">
        <v>5193</v>
      </c>
      <c r="D6752" s="1" t="s">
        <v>914</v>
      </c>
      <c r="E6752" s="1" t="str">
        <f>""</f>
        <v/>
      </c>
      <c r="F6752" s="1" t="s">
        <v>1860</v>
      </c>
      <c r="G6752" s="1" t="str">
        <f>CONCATENATE(" D.R. AUTO D.O.O.,"," SELSKA CESTA 34,"," 10000 ZAGREB,"," OIB: 07523847158")</f>
        <v xml:space="preserve"> D.R. AUTO D.O.O., SELSKA CESTA 34, 10000 ZAGREB, OIB: 07523847158</v>
      </c>
      <c r="H6752" s="7"/>
      <c r="I6752" s="8" t="s">
        <v>4534</v>
      </c>
      <c r="J6752" s="8" t="s">
        <v>4534</v>
      </c>
      <c r="K6752" s="6" t="str">
        <f>"7.153,06"</f>
        <v>7.153,06</v>
      </c>
      <c r="L6752" s="6" t="str">
        <f>"1.788,26"</f>
        <v>1.788,26</v>
      </c>
      <c r="M6752" s="6" t="str">
        <f>"8.941,32"</f>
        <v>8.941,32</v>
      </c>
      <c r="N6752" s="8" t="s">
        <v>5200</v>
      </c>
      <c r="O6752" s="7"/>
      <c r="P6752" s="2" t="s">
        <v>8877</v>
      </c>
      <c r="Q6752" s="7"/>
      <c r="R6752" s="1"/>
      <c r="S6752" s="1" t="str">
        <f>"J-UN-2017-1621"</f>
        <v>J-UN-2017-1621</v>
      </c>
      <c r="T6752" s="1" t="s">
        <v>32</v>
      </c>
    </row>
    <row r="6753" spans="1:20" ht="51" x14ac:dyDescent="0.25">
      <c r="A6753" s="6">
        <v>6732</v>
      </c>
      <c r="B6753" s="1" t="str">
        <f>"2017-169"</f>
        <v>2017-169</v>
      </c>
      <c r="C6753" s="1" t="s">
        <v>5201</v>
      </c>
      <c r="D6753" s="1" t="s">
        <v>486</v>
      </c>
      <c r="E6753" s="1" t="str">
        <f>""</f>
        <v/>
      </c>
      <c r="F6753" s="1" t="s">
        <v>1860</v>
      </c>
      <c r="G6753" s="1" t="str">
        <f>CONCATENATE(" HEP ELEKTRA D.O.O.,"," GUNDULIĆEVA 32,"," 10000 ZAGREB,"," OIB: 43965974818")</f>
        <v xml:space="preserve"> HEP ELEKTRA D.O.O., GUNDULIĆEVA 32, 10000 ZAGREB, OIB: 43965974818</v>
      </c>
      <c r="H6753" s="7"/>
      <c r="I6753" s="8" t="s">
        <v>4738</v>
      </c>
      <c r="J6753" s="8" t="s">
        <v>4744</v>
      </c>
      <c r="K6753" s="6" t="str">
        <f>"46.684,95"</f>
        <v>46.684,95</v>
      </c>
      <c r="L6753" s="6" t="str">
        <f>"11.671,24"</f>
        <v>11.671,24</v>
      </c>
      <c r="M6753" s="6" t="str">
        <f>"58.356,19"</f>
        <v>58.356,19</v>
      </c>
      <c r="N6753" s="8" t="s">
        <v>124</v>
      </c>
      <c r="O6753" s="7"/>
      <c r="P6753" s="2" t="s">
        <v>5614</v>
      </c>
      <c r="Q6753" s="7"/>
      <c r="R6753" s="1"/>
      <c r="S6753" s="1" t="str">
        <f>"J-UN-2017-1633"</f>
        <v>J-UN-2017-1633</v>
      </c>
      <c r="T6753" s="1" t="s">
        <v>32</v>
      </c>
    </row>
    <row r="6754" spans="1:20" ht="63.75" x14ac:dyDescent="0.25">
      <c r="A6754" s="6">
        <v>6733</v>
      </c>
      <c r="B6754" s="1" t="str">
        <f>"2017-2425"</f>
        <v>2017-2425</v>
      </c>
      <c r="C6754" s="1" t="s">
        <v>5202</v>
      </c>
      <c r="D6754" s="1" t="s">
        <v>1525</v>
      </c>
      <c r="E6754" s="1" t="str">
        <f>""</f>
        <v/>
      </c>
      <c r="F6754" s="1" t="s">
        <v>1860</v>
      </c>
      <c r="G6754" s="1" t="str">
        <f>CONCATENATE(" RIJEKATANK D. O. O.,"," BARTOLA KAŠIĆA,"," 51000 RIJEKA,"," OIB: 9446593785")</f>
        <v xml:space="preserve"> RIJEKATANK D. O. O., BARTOLA KAŠIĆA, 51000 RIJEKA, OIB: 9446593785</v>
      </c>
      <c r="H6754" s="7"/>
      <c r="I6754" s="8" t="s">
        <v>4748</v>
      </c>
      <c r="J6754" s="8" t="s">
        <v>4748</v>
      </c>
      <c r="K6754" s="6" t="str">
        <f>"19.940,00"</f>
        <v>19.940,00</v>
      </c>
      <c r="L6754" s="6" t="str">
        <f>"4.985,00"</f>
        <v>4.985,00</v>
      </c>
      <c r="M6754" s="6" t="str">
        <f>"24.925,00"</f>
        <v>24.925,00</v>
      </c>
      <c r="N6754" s="8" t="s">
        <v>5203</v>
      </c>
      <c r="O6754" s="7"/>
      <c r="P6754" s="2" t="s">
        <v>8878</v>
      </c>
      <c r="Q6754" s="7"/>
      <c r="R6754" s="1"/>
      <c r="S6754" s="1" t="str">
        <f>"J-UN-2017-1635"</f>
        <v>J-UN-2017-1635</v>
      </c>
      <c r="T6754" s="1" t="s">
        <v>32</v>
      </c>
    </row>
    <row r="6755" spans="1:20" ht="51" x14ac:dyDescent="0.25">
      <c r="A6755" s="6">
        <v>6734</v>
      </c>
      <c r="B6755" s="1" t="str">
        <f>"2017-474"</f>
        <v>2017-474</v>
      </c>
      <c r="C6755" s="1" t="s">
        <v>3085</v>
      </c>
      <c r="D6755" s="1" t="s">
        <v>2549</v>
      </c>
      <c r="E6755" s="1" t="str">
        <f>""</f>
        <v/>
      </c>
      <c r="F6755" s="1" t="s">
        <v>1860</v>
      </c>
      <c r="G6755" s="1" t="str">
        <f>CONCATENATE(" AD HOC-CENTAR D.O.O.,"," DRAŠKOVIĆEVA 4A,"," 10000 ZAGREB,"," OIB: 75132412279")</f>
        <v xml:space="preserve"> AD HOC-CENTAR D.O.O., DRAŠKOVIĆEVA 4A, 10000 ZAGREB, OIB: 75132412279</v>
      </c>
      <c r="H6755" s="7"/>
      <c r="I6755" s="8" t="s">
        <v>4744</v>
      </c>
      <c r="J6755" s="8" t="s">
        <v>5204</v>
      </c>
      <c r="K6755" s="6" t="str">
        <f>"3.485,00"</f>
        <v>3.485,00</v>
      </c>
      <c r="L6755" s="6" t="str">
        <f>"871,25"</f>
        <v>871,25</v>
      </c>
      <c r="M6755" s="6" t="str">
        <f>"4.356,25"</f>
        <v>4.356,25</v>
      </c>
      <c r="N6755" s="8" t="s">
        <v>124</v>
      </c>
      <c r="O6755" s="7"/>
      <c r="P6755" s="2" t="s">
        <v>5614</v>
      </c>
      <c r="Q6755" s="7"/>
      <c r="R6755" s="1"/>
      <c r="S6755" s="1" t="str">
        <f>"J-UN-2017-1643"</f>
        <v>J-UN-2017-1643</v>
      </c>
      <c r="T6755" s="1" t="s">
        <v>32</v>
      </c>
    </row>
    <row r="6756" spans="1:20" ht="51" x14ac:dyDescent="0.25">
      <c r="A6756" s="6">
        <v>6735</v>
      </c>
      <c r="B6756" s="1" t="str">
        <f>"2017-474"</f>
        <v>2017-474</v>
      </c>
      <c r="C6756" s="1" t="s">
        <v>3085</v>
      </c>
      <c r="D6756" s="1" t="s">
        <v>2549</v>
      </c>
      <c r="E6756" s="1" t="str">
        <f>""</f>
        <v/>
      </c>
      <c r="F6756" s="1" t="s">
        <v>1860</v>
      </c>
      <c r="G6756" s="1" t="str">
        <f>CONCATENATE(" AD HOC-CENTAR D.O.O.,"," DRAŠKOVIĆEVA 4A,"," 10000 ZAGREB,"," OIB: 75132412279")</f>
        <v xml:space="preserve"> AD HOC-CENTAR D.O.O., DRAŠKOVIĆEVA 4A, 10000 ZAGREB, OIB: 75132412279</v>
      </c>
      <c r="H6756" s="7"/>
      <c r="I6756" s="8" t="s">
        <v>4744</v>
      </c>
      <c r="J6756" s="8" t="s">
        <v>5199</v>
      </c>
      <c r="K6756" s="6" t="str">
        <f>"425,00"</f>
        <v>425,00</v>
      </c>
      <c r="L6756" s="6" t="str">
        <f>"106,25"</f>
        <v>106,25</v>
      </c>
      <c r="M6756" s="6" t="str">
        <f>"531,25"</f>
        <v>531,25</v>
      </c>
      <c r="N6756" s="8" t="s">
        <v>124</v>
      </c>
      <c r="O6756" s="7"/>
      <c r="P6756" s="2" t="s">
        <v>5614</v>
      </c>
      <c r="Q6756" s="7"/>
      <c r="R6756" s="1"/>
      <c r="S6756" s="1" t="str">
        <f>"J-UN-2017-1646"</f>
        <v>J-UN-2017-1646</v>
      </c>
      <c r="T6756" s="1" t="s">
        <v>32</v>
      </c>
    </row>
    <row r="6757" spans="1:20" ht="76.5" x14ac:dyDescent="0.25">
      <c r="A6757" s="6">
        <v>6736</v>
      </c>
      <c r="B6757" s="1" t="str">
        <f>"2017-1723"</f>
        <v>2017-1723</v>
      </c>
      <c r="C6757" s="1" t="s">
        <v>5169</v>
      </c>
      <c r="D6757" s="1" t="s">
        <v>880</v>
      </c>
      <c r="E6757" s="1" t="str">
        <f>""</f>
        <v/>
      </c>
      <c r="F6757" s="1" t="s">
        <v>1860</v>
      </c>
      <c r="G6757" s="1" t="str">
        <f>CONCATENATE(" NASTAVNI ZAVOD ZA JAVNO ZDRAVSTVO DR. ANDRIJA ŠTAMPAR,"," MIROGOJSKA CESTA 16,"," 10000 ZAGREB,"," OIB: 3339200596")</f>
        <v xml:space="preserve"> NASTAVNI ZAVOD ZA JAVNO ZDRAVSTVO DR. ANDRIJA ŠTAMPAR, MIROGOJSKA CESTA 16, 10000 ZAGREB, OIB: 3339200596</v>
      </c>
      <c r="H6757" s="7"/>
      <c r="I6757" s="8" t="s">
        <v>5181</v>
      </c>
      <c r="J6757" s="8" t="s">
        <v>4487</v>
      </c>
      <c r="K6757" s="6" t="str">
        <f>"8.520,00"</f>
        <v>8.520,00</v>
      </c>
      <c r="L6757" s="6" t="str">
        <f>"2.130,00"</f>
        <v>2.130,00</v>
      </c>
      <c r="M6757" s="6" t="str">
        <f>"10.650,00"</f>
        <v>10.650,00</v>
      </c>
      <c r="N6757" s="8" t="s">
        <v>5205</v>
      </c>
      <c r="O6757" s="7"/>
      <c r="P6757" s="2" t="s">
        <v>8879</v>
      </c>
      <c r="Q6757" s="1"/>
      <c r="R6757" s="1"/>
      <c r="S6757" s="1" t="str">
        <f>"J-UN-2017-1676"</f>
        <v>J-UN-2017-1676</v>
      </c>
      <c r="T6757" s="1" t="s">
        <v>32</v>
      </c>
    </row>
    <row r="6758" spans="1:20" ht="63.75" x14ac:dyDescent="0.25">
      <c r="A6758" s="6">
        <v>6737</v>
      </c>
      <c r="B6758" s="1" t="str">
        <f>"2017-1766"</f>
        <v>2017-1766</v>
      </c>
      <c r="C6758" s="1" t="s">
        <v>2558</v>
      </c>
      <c r="D6758" s="1" t="s">
        <v>860</v>
      </c>
      <c r="E6758" s="1" t="str">
        <f>""</f>
        <v/>
      </c>
      <c r="F6758" s="1" t="s">
        <v>1860</v>
      </c>
      <c r="G6758" s="1" t="str">
        <f>CONCATENATE(" STROJOGRADNJA,"," VL. DORA PERŠI,"," RAKITJE,"," RADNIČKA 9,"," 10431 SVETA NEDJELJA,"," OIB: 72791562742")</f>
        <v xml:space="preserve"> STROJOGRADNJA, VL. DORA PERŠI, RAKITJE, RADNIČKA 9, 10431 SVETA NEDJELJA, OIB: 72791562742</v>
      </c>
      <c r="H6758" s="7"/>
      <c r="I6758" s="8" t="s">
        <v>4748</v>
      </c>
      <c r="J6758" s="8" t="s">
        <v>4748</v>
      </c>
      <c r="K6758" s="6" t="str">
        <f>"1.760,00"</f>
        <v>1.760,00</v>
      </c>
      <c r="L6758" s="6" t="str">
        <f>"440,00"</f>
        <v>440,00</v>
      </c>
      <c r="M6758" s="6" t="str">
        <f>"2.200,00"</f>
        <v>2.200,00</v>
      </c>
      <c r="N6758" s="8" t="s">
        <v>124</v>
      </c>
      <c r="O6758" s="7"/>
      <c r="P6758" s="2" t="s">
        <v>5614</v>
      </c>
      <c r="Q6758" s="7"/>
      <c r="R6758" s="1"/>
      <c r="S6758" s="1" t="str">
        <f>"J-UN-2017-1683"</f>
        <v>J-UN-2017-1683</v>
      </c>
      <c r="T6758" s="1" t="s">
        <v>32</v>
      </c>
    </row>
    <row r="6759" spans="1:20" ht="51" x14ac:dyDescent="0.25">
      <c r="A6759" s="6">
        <v>6738</v>
      </c>
      <c r="B6759" s="1" t="str">
        <f>"2017-2342"</f>
        <v>2017-2342</v>
      </c>
      <c r="C6759" s="1" t="s">
        <v>5206</v>
      </c>
      <c r="D6759" s="1" t="s">
        <v>1373</v>
      </c>
      <c r="E6759" s="1" t="str">
        <f>""</f>
        <v/>
      </c>
      <c r="F6759" s="1" t="s">
        <v>1860</v>
      </c>
      <c r="G6759" s="1" t="str">
        <f>CONCATENATE(" HÖRMANN HRVATSKA D.O.O.,"," NOVA CESTA 50,"," 10000 ZAGREB,"," OIB: 67604071454")</f>
        <v xml:space="preserve"> HÖRMANN HRVATSKA D.O.O., NOVA CESTA 50, 10000 ZAGREB, OIB: 67604071454</v>
      </c>
      <c r="H6759" s="7"/>
      <c r="I6759" s="8" t="s">
        <v>4748</v>
      </c>
      <c r="J6759" s="8" t="s">
        <v>4748</v>
      </c>
      <c r="K6759" s="6" t="str">
        <f>"450,00"</f>
        <v>450,00</v>
      </c>
      <c r="L6759" s="6" t="str">
        <f>"112,50"</f>
        <v>112,50</v>
      </c>
      <c r="M6759" s="6" t="str">
        <f>"562,50"</f>
        <v>562,50</v>
      </c>
      <c r="N6759" s="8" t="s">
        <v>124</v>
      </c>
      <c r="O6759" s="7"/>
      <c r="P6759" s="2" t="s">
        <v>5614</v>
      </c>
      <c r="Q6759" s="7"/>
      <c r="R6759" s="1"/>
      <c r="S6759" s="1" t="str">
        <f>"J-UN-2017-1684"</f>
        <v>J-UN-2017-1684</v>
      </c>
      <c r="T6759" s="1" t="s">
        <v>32</v>
      </c>
    </row>
    <row r="6760" spans="1:20" ht="76.5" x14ac:dyDescent="0.25">
      <c r="A6760" s="6">
        <v>6739</v>
      </c>
      <c r="B6760" s="1" t="str">
        <f>"2017-2735"</f>
        <v>2017-2735</v>
      </c>
      <c r="C6760" s="1" t="s">
        <v>5207</v>
      </c>
      <c r="D6760" s="1" t="s">
        <v>5208</v>
      </c>
      <c r="E6760" s="1" t="str">
        <f>""</f>
        <v/>
      </c>
      <c r="F6760" s="1" t="s">
        <v>1860</v>
      </c>
      <c r="G6760" s="1" t="str">
        <f>CONCATENATE(" ZAGREB-MONTAŽA D.O.O.,"," ROBERTA FRANGEŠA MIHANOVIĆA 9,"," 10000 ZAGREB,"," OIB: 065881494")</f>
        <v xml:space="preserve"> ZAGREB-MONTAŽA D.O.O., ROBERTA FRANGEŠA MIHANOVIĆA 9, 10000 ZAGREB, OIB: 065881494</v>
      </c>
      <c r="H6760" s="7"/>
      <c r="I6760" s="8" t="s">
        <v>4748</v>
      </c>
      <c r="J6760" s="8" t="s">
        <v>5209</v>
      </c>
      <c r="K6760" s="6" t="str">
        <f>"109.398,60"</f>
        <v>109.398,60</v>
      </c>
      <c r="L6760" s="6" t="str">
        <f>"27.349,65"</f>
        <v>27.349,65</v>
      </c>
      <c r="M6760" s="6" t="str">
        <f>"136.748,25"</f>
        <v>136.748,25</v>
      </c>
      <c r="N6760" s="8" t="s">
        <v>5084</v>
      </c>
      <c r="O6760" s="7"/>
      <c r="P6760" s="2" t="s">
        <v>8880</v>
      </c>
      <c r="Q6760" s="7"/>
      <c r="R6760" s="1"/>
      <c r="S6760" s="1" t="str">
        <f>"J-UN-2017-1686"</f>
        <v>J-UN-2017-1686</v>
      </c>
      <c r="T6760" s="1" t="s">
        <v>32</v>
      </c>
    </row>
    <row r="6761" spans="1:20" ht="38.25" x14ac:dyDescent="0.25">
      <c r="A6761" s="6">
        <v>6740</v>
      </c>
      <c r="B6761" s="1" t="str">
        <f>"2017-1746"</f>
        <v>2017-1746</v>
      </c>
      <c r="C6761" s="1" t="s">
        <v>5162</v>
      </c>
      <c r="D6761" s="1" t="s">
        <v>854</v>
      </c>
      <c r="E6761" s="1" t="str">
        <f>""</f>
        <v/>
      </c>
      <c r="F6761" s="1" t="s">
        <v>1860</v>
      </c>
      <c r="G6761" s="1" t="str">
        <f>CONCATENATE(" SELMET D.O.O.,"," ,"," OIB: 25531283613")</f>
        <v xml:space="preserve"> SELMET D.O.O., , OIB: 25531283613</v>
      </c>
      <c r="H6761" s="7"/>
      <c r="I6761" s="8" t="s">
        <v>5199</v>
      </c>
      <c r="J6761" s="8" t="s">
        <v>3868</v>
      </c>
      <c r="K6761" s="6" t="str">
        <f>"2.734,80"</f>
        <v>2.734,80</v>
      </c>
      <c r="L6761" s="6" t="str">
        <f>"683,70"</f>
        <v>683,70</v>
      </c>
      <c r="M6761" s="6" t="str">
        <f>"3.418,50"</f>
        <v>3.418,50</v>
      </c>
      <c r="N6761" s="8" t="s">
        <v>124</v>
      </c>
      <c r="O6761" s="7"/>
      <c r="P6761" s="2" t="s">
        <v>5614</v>
      </c>
      <c r="Q6761" s="7"/>
      <c r="R6761" s="1"/>
      <c r="S6761" s="1" t="str">
        <f>"J-UN-2017-1699"</f>
        <v>J-UN-2017-1699</v>
      </c>
      <c r="T6761" s="1" t="s">
        <v>32</v>
      </c>
    </row>
    <row r="6762" spans="1:20" ht="51" x14ac:dyDescent="0.25">
      <c r="A6762" s="6">
        <v>6741</v>
      </c>
      <c r="B6762" s="1" t="str">
        <f>"2017-2436"</f>
        <v>2017-2436</v>
      </c>
      <c r="C6762" s="1" t="s">
        <v>2711</v>
      </c>
      <c r="D6762" s="1" t="s">
        <v>1914</v>
      </c>
      <c r="E6762" s="1" t="str">
        <f>""</f>
        <v/>
      </c>
      <c r="F6762" s="1" t="s">
        <v>1860</v>
      </c>
      <c r="G6762" s="1" t="str">
        <f>CONCATENATE(" ŠKOLJIĆ PLIN D.O.O.,"," PUŠĆA 131,"," 51513 OMIŠALJ,"," OIB: 33596394529")</f>
        <v xml:space="preserve"> ŠKOLJIĆ PLIN D.O.O., PUŠĆA 131, 51513 OMIŠALJ, OIB: 33596394529</v>
      </c>
      <c r="H6762" s="7"/>
      <c r="I6762" s="8" t="s">
        <v>5209</v>
      </c>
      <c r="J6762" s="8" t="s">
        <v>5209</v>
      </c>
      <c r="K6762" s="6" t="str">
        <f>"2.217,60"</f>
        <v>2.217,60</v>
      </c>
      <c r="L6762" s="6" t="str">
        <f>"554,40"</f>
        <v>554,40</v>
      </c>
      <c r="M6762" s="6" t="str">
        <f>"2.772,00"</f>
        <v>2.772,00</v>
      </c>
      <c r="N6762" s="8" t="s">
        <v>124</v>
      </c>
      <c r="O6762" s="7"/>
      <c r="P6762" s="2" t="s">
        <v>5614</v>
      </c>
      <c r="Q6762" s="7"/>
      <c r="R6762" s="1"/>
      <c r="S6762" s="1" t="str">
        <f>"J-UN-2017-1714"</f>
        <v>J-UN-2017-1714</v>
      </c>
      <c r="T6762" s="1" t="s">
        <v>32</v>
      </c>
    </row>
    <row r="6763" spans="1:20" ht="63.75" x14ac:dyDescent="0.25">
      <c r="A6763" s="6">
        <v>6742</v>
      </c>
      <c r="B6763" s="1" t="str">
        <f>"2017-2352"</f>
        <v>2017-2352</v>
      </c>
      <c r="C6763" s="1" t="s">
        <v>5050</v>
      </c>
      <c r="D6763" s="1" t="s">
        <v>1619</v>
      </c>
      <c r="E6763" s="1" t="str">
        <f>""</f>
        <v/>
      </c>
      <c r="F6763" s="1" t="s">
        <v>1860</v>
      </c>
      <c r="G6763" s="1" t="str">
        <f>CONCATENATE(" POLJOOPSKRBA-TEHNO D.D.,"," SAMOBORSKA 96,"," 10000 ZAGREB,"," OIB: 5372167324")</f>
        <v xml:space="preserve"> POLJOOPSKRBA-TEHNO D.D., SAMOBORSKA 96, 10000 ZAGREB, OIB: 5372167324</v>
      </c>
      <c r="H6763" s="7"/>
      <c r="I6763" s="8" t="s">
        <v>5209</v>
      </c>
      <c r="J6763" s="8" t="s">
        <v>5185</v>
      </c>
      <c r="K6763" s="6" t="str">
        <f>"14.973,12"</f>
        <v>14.973,12</v>
      </c>
      <c r="L6763" s="6" t="str">
        <f>"3.743,28"</f>
        <v>3.743,28</v>
      </c>
      <c r="M6763" s="6" t="str">
        <f>"18.716,40"</f>
        <v>18.716,40</v>
      </c>
      <c r="N6763" s="8" t="s">
        <v>3764</v>
      </c>
      <c r="O6763" s="7"/>
      <c r="P6763" s="2" t="s">
        <v>8881</v>
      </c>
      <c r="Q6763" s="1"/>
      <c r="R6763" s="1"/>
      <c r="S6763" s="1" t="str">
        <f>"J-UN-2017-1731"</f>
        <v>J-UN-2017-1731</v>
      </c>
      <c r="T6763" s="1" t="s">
        <v>32</v>
      </c>
    </row>
    <row r="6764" spans="1:20" ht="51" x14ac:dyDescent="0.25">
      <c r="A6764" s="6">
        <v>6743</v>
      </c>
      <c r="B6764" s="1" t="str">
        <f>"2017-1063"</f>
        <v>2017-1063</v>
      </c>
      <c r="C6764" s="1" t="s">
        <v>2779</v>
      </c>
      <c r="D6764" s="1" t="s">
        <v>2780</v>
      </c>
      <c r="E6764" s="1" t="str">
        <f>""</f>
        <v/>
      </c>
      <c r="F6764" s="1" t="s">
        <v>1860</v>
      </c>
      <c r="G6764" s="1" t="str">
        <f>CONCATENATE(" LEXPERA D.O.O.,"," TUŠKANOVA 37,"," 10000 ZAGREB,"," OIB: 79506290597")</f>
        <v xml:space="preserve"> LEXPERA D.O.O., TUŠKANOVA 37, 10000 ZAGREB, OIB: 79506290597</v>
      </c>
      <c r="H6764" s="7"/>
      <c r="I6764" s="8" t="s">
        <v>4748</v>
      </c>
      <c r="J6764" s="8" t="s">
        <v>4487</v>
      </c>
      <c r="K6764" s="6" t="str">
        <f>"1.164,00"</f>
        <v>1.164,00</v>
      </c>
      <c r="L6764" s="6" t="str">
        <f>"291,00"</f>
        <v>291,00</v>
      </c>
      <c r="M6764" s="6" t="str">
        <f>"1.455,00"</f>
        <v>1.455,00</v>
      </c>
      <c r="N6764" s="8" t="s">
        <v>124</v>
      </c>
      <c r="O6764" s="7"/>
      <c r="P6764" s="2" t="s">
        <v>5614</v>
      </c>
      <c r="Q6764" s="7"/>
      <c r="R6764" s="1"/>
      <c r="S6764" s="1" t="str">
        <f>"J-UN-2017-1733"</f>
        <v>J-UN-2017-1733</v>
      </c>
      <c r="T6764" s="1" t="s">
        <v>32</v>
      </c>
    </row>
    <row r="6765" spans="1:20" ht="51" x14ac:dyDescent="0.25">
      <c r="A6765" s="6">
        <v>6744</v>
      </c>
      <c r="B6765" s="1" t="str">
        <f>"2017-1063"</f>
        <v>2017-1063</v>
      </c>
      <c r="C6765" s="1" t="s">
        <v>2779</v>
      </c>
      <c r="D6765" s="1" t="s">
        <v>2780</v>
      </c>
      <c r="E6765" s="1" t="str">
        <f>""</f>
        <v/>
      </c>
      <c r="F6765" s="1" t="s">
        <v>1860</v>
      </c>
      <c r="G6765" s="1" t="str">
        <f>CONCATENATE(" LEXPERA D.O.O.,"," TUŠKANOVA 37,"," 10000 ZAGREB,"," OIB: 79506290597")</f>
        <v xml:space="preserve"> LEXPERA D.O.O., TUŠKANOVA 37, 10000 ZAGREB, OIB: 79506290597</v>
      </c>
      <c r="H6765" s="7"/>
      <c r="I6765" s="8" t="s">
        <v>4748</v>
      </c>
      <c r="J6765" s="8" t="s">
        <v>4487</v>
      </c>
      <c r="K6765" s="6" t="str">
        <f>"2.550,00"</f>
        <v>2.550,00</v>
      </c>
      <c r="L6765" s="6" t="str">
        <f>"637,50"</f>
        <v>637,50</v>
      </c>
      <c r="M6765" s="6" t="str">
        <f>"3.187,50"</f>
        <v>3.187,50</v>
      </c>
      <c r="N6765" s="8" t="s">
        <v>124</v>
      </c>
      <c r="O6765" s="7"/>
      <c r="P6765" s="2" t="s">
        <v>5614</v>
      </c>
      <c r="Q6765" s="7"/>
      <c r="R6765" s="1"/>
      <c r="S6765" s="1" t="str">
        <f>"J-UN-2017-1734"</f>
        <v>J-UN-2017-1734</v>
      </c>
      <c r="T6765" s="1" t="s">
        <v>32</v>
      </c>
    </row>
    <row r="6766" spans="1:20" ht="51" x14ac:dyDescent="0.25">
      <c r="A6766" s="6">
        <v>6745</v>
      </c>
      <c r="B6766" s="1" t="str">
        <f>"2017-474"</f>
        <v>2017-474</v>
      </c>
      <c r="C6766" s="1" t="s">
        <v>3085</v>
      </c>
      <c r="D6766" s="1" t="s">
        <v>2549</v>
      </c>
      <c r="E6766" s="1" t="str">
        <f>""</f>
        <v/>
      </c>
      <c r="F6766" s="1" t="s">
        <v>1860</v>
      </c>
      <c r="G6766" s="1" t="str">
        <f>CONCATENATE(" AD HOC-CENTAR D.O.O.,"," DRAŠKOVIĆEVA 4A,"," 10000 ZAGREB,"," OIB: 75132412279")</f>
        <v xml:space="preserve"> AD HOC-CENTAR D.O.O., DRAŠKOVIĆEVA 4A, 10000 ZAGREB, OIB: 75132412279</v>
      </c>
      <c r="H6766" s="7"/>
      <c r="I6766" s="8" t="s">
        <v>4748</v>
      </c>
      <c r="J6766" s="8" t="s">
        <v>5209</v>
      </c>
      <c r="K6766" s="6" t="str">
        <f>"425,00"</f>
        <v>425,00</v>
      </c>
      <c r="L6766" s="6" t="str">
        <f>"106,25"</f>
        <v>106,25</v>
      </c>
      <c r="M6766" s="6" t="str">
        <f>"531,25"</f>
        <v>531,25</v>
      </c>
      <c r="N6766" s="8" t="s">
        <v>124</v>
      </c>
      <c r="O6766" s="7"/>
      <c r="P6766" s="2" t="s">
        <v>5614</v>
      </c>
      <c r="Q6766" s="7"/>
      <c r="R6766" s="1"/>
      <c r="S6766" s="1" t="str">
        <f>"J-UN-2017-1735"</f>
        <v>J-UN-2017-1735</v>
      </c>
      <c r="T6766" s="1" t="s">
        <v>32</v>
      </c>
    </row>
    <row r="6767" spans="1:20" ht="63.75" x14ac:dyDescent="0.25">
      <c r="A6767" s="6">
        <v>6746</v>
      </c>
      <c r="B6767" s="1" t="str">
        <f>"2017-535"</f>
        <v>2017-535</v>
      </c>
      <c r="C6767" s="1" t="s">
        <v>3136</v>
      </c>
      <c r="D6767" s="1" t="s">
        <v>21</v>
      </c>
      <c r="E6767" s="1" t="str">
        <f>""</f>
        <v/>
      </c>
      <c r="F6767" s="1" t="s">
        <v>1860</v>
      </c>
      <c r="G6767" s="1" t="str">
        <f>CONCATENATE(" EMIL FREY AUTO CENTAR D.O.O.,"," KOVINSKA 5,"," 10000 ZAGREB,"," OIB: 01930677284")</f>
        <v xml:space="preserve"> EMIL FREY AUTO CENTAR D.O.O., KOVINSKA 5, 10000 ZAGREB, OIB: 01930677284</v>
      </c>
      <c r="H6767" s="7"/>
      <c r="I6767" s="8" t="s">
        <v>3836</v>
      </c>
      <c r="J6767" s="8" t="s">
        <v>3836</v>
      </c>
      <c r="K6767" s="6" t="str">
        <f>"1.949,42"</f>
        <v>1.949,42</v>
      </c>
      <c r="L6767" s="6" t="str">
        <f>"487,36"</f>
        <v>487,36</v>
      </c>
      <c r="M6767" s="6" t="str">
        <f>"2.436,78"</f>
        <v>2.436,78</v>
      </c>
      <c r="N6767" s="8" t="s">
        <v>4748</v>
      </c>
      <c r="O6767" s="7"/>
      <c r="P6767" s="2" t="s">
        <v>8882</v>
      </c>
      <c r="Q6767" s="7"/>
      <c r="R6767" s="1"/>
      <c r="S6767" s="1" t="str">
        <f>"J-UN-2017-1770"</f>
        <v>J-UN-2017-1770</v>
      </c>
      <c r="T6767" s="1" t="s">
        <v>32</v>
      </c>
    </row>
    <row r="6768" spans="1:20" ht="76.5" x14ac:dyDescent="0.25">
      <c r="A6768" s="6">
        <v>6747</v>
      </c>
      <c r="B6768" s="1" t="str">
        <f>"2017-1081"</f>
        <v>2017-1081</v>
      </c>
      <c r="C6768" s="1" t="s">
        <v>5161</v>
      </c>
      <c r="D6768" s="1" t="s">
        <v>689</v>
      </c>
      <c r="E6768" s="1" t="str">
        <f>""</f>
        <v/>
      </c>
      <c r="F6768" s="1" t="s">
        <v>1860</v>
      </c>
      <c r="G6768" s="1" t="str">
        <f>CONCATENATE(" VEKTOR GRUPA DRUŠTVO S OGRANIČENOM ODGOVORNOŠĆU ZA TISAK I TRGOVINU,"," ,"," OIB: 4048577236")</f>
        <v xml:space="preserve"> VEKTOR GRUPA DRUŠTVO S OGRANIČENOM ODGOVORNOŠĆU ZA TISAK I TRGOVINU, , OIB: 4048577236</v>
      </c>
      <c r="H6768" s="7"/>
      <c r="I6768" s="8" t="s">
        <v>3836</v>
      </c>
      <c r="J6768" s="8" t="s">
        <v>5198</v>
      </c>
      <c r="K6768" s="6" t="str">
        <f>"6.510,00"</f>
        <v>6.510,00</v>
      </c>
      <c r="L6768" s="6" t="str">
        <f>"1.627,50"</f>
        <v>1.627,50</v>
      </c>
      <c r="M6768" s="6" t="str">
        <f>"8.137,50"</f>
        <v>8.137,50</v>
      </c>
      <c r="N6768" s="8" t="s">
        <v>124</v>
      </c>
      <c r="O6768" s="7"/>
      <c r="P6768" s="2" t="s">
        <v>5614</v>
      </c>
      <c r="Q6768" s="7"/>
      <c r="R6768" s="1"/>
      <c r="S6768" s="1" t="str">
        <f>"J-UN-2017-1787"</f>
        <v>J-UN-2017-1787</v>
      </c>
      <c r="T6768" s="1" t="s">
        <v>32</v>
      </c>
    </row>
    <row r="6769" spans="1:20" ht="63.75" x14ac:dyDescent="0.25">
      <c r="A6769" s="6">
        <v>6748</v>
      </c>
      <c r="B6769" s="1" t="str">
        <f>"2017-1454"</f>
        <v>2017-1454</v>
      </c>
      <c r="C6769" s="1" t="s">
        <v>2492</v>
      </c>
      <c r="D6769" s="1" t="s">
        <v>2493</v>
      </c>
      <c r="E6769" s="1" t="str">
        <f>""</f>
        <v/>
      </c>
      <c r="F6769" s="1" t="s">
        <v>1860</v>
      </c>
      <c r="G6769" s="1" t="str">
        <f>CONCATENATE(" EMIL FREY AUTO CENTAR D.O.O.,"," KOVINSKA 5,"," 10000 ZAGREB,"," OIB: 01930677284")</f>
        <v xml:space="preserve"> EMIL FREY AUTO CENTAR D.O.O., KOVINSKA 5, 10000 ZAGREB, OIB: 01930677284</v>
      </c>
      <c r="H6769" s="7"/>
      <c r="I6769" s="8" t="s">
        <v>4985</v>
      </c>
      <c r="J6769" s="8" t="s">
        <v>3895</v>
      </c>
      <c r="K6769" s="6" t="str">
        <f>"2.367,74"</f>
        <v>2.367,74</v>
      </c>
      <c r="L6769" s="6" t="str">
        <f>"591,94"</f>
        <v>591,94</v>
      </c>
      <c r="M6769" s="6" t="str">
        <f>"2.959,68"</f>
        <v>2.959,68</v>
      </c>
      <c r="N6769" s="8" t="s">
        <v>4748</v>
      </c>
      <c r="O6769" s="7"/>
      <c r="P6769" s="2" t="s">
        <v>8883</v>
      </c>
      <c r="Q6769" s="7"/>
      <c r="R6769" s="1"/>
      <c r="S6769" s="1" t="str">
        <f>"J-UN-2017-1797"</f>
        <v>J-UN-2017-1797</v>
      </c>
      <c r="T6769" s="1" t="s">
        <v>32</v>
      </c>
    </row>
    <row r="6770" spans="1:20" ht="76.5" x14ac:dyDescent="0.25">
      <c r="A6770" s="6">
        <v>6749</v>
      </c>
      <c r="B6770" s="1" t="str">
        <f>"2017-1723"</f>
        <v>2017-1723</v>
      </c>
      <c r="C6770" s="1" t="s">
        <v>5169</v>
      </c>
      <c r="D6770" s="1" t="s">
        <v>880</v>
      </c>
      <c r="E6770" s="1" t="str">
        <f>""</f>
        <v/>
      </c>
      <c r="F6770" s="1" t="s">
        <v>1860</v>
      </c>
      <c r="G6770" s="1" t="str">
        <f>CONCATENATE(" NASTAVNI ZAVOD ZA JAVNO ZDRAVSTVO ISTARSKE ŽUPANIJE,"," NAZOROVA 23,"," 52100 PULA,"," OIB: 90629578695")</f>
        <v xml:space="preserve"> NASTAVNI ZAVOD ZA JAVNO ZDRAVSTVO ISTARSKE ŽUPANIJE, NAZOROVA 23, 52100 PULA, OIB: 90629578695</v>
      </c>
      <c r="H6770" s="7"/>
      <c r="I6770" s="8" t="s">
        <v>3658</v>
      </c>
      <c r="J6770" s="8" t="s">
        <v>65</v>
      </c>
      <c r="K6770" s="6" t="str">
        <f>"280,00"</f>
        <v>280,00</v>
      </c>
      <c r="L6770" s="6" t="str">
        <f>"70,00"</f>
        <v>70,00</v>
      </c>
      <c r="M6770" s="6" t="str">
        <f>"350,00"</f>
        <v>350,00</v>
      </c>
      <c r="N6770" s="8" t="s">
        <v>124</v>
      </c>
      <c r="O6770" s="7"/>
      <c r="P6770" s="2" t="s">
        <v>5614</v>
      </c>
      <c r="Q6770" s="7"/>
      <c r="R6770" s="1"/>
      <c r="S6770" s="1" t="str">
        <f>"J-UN-2017-1810"</f>
        <v>J-UN-2017-1810</v>
      </c>
      <c r="T6770" s="1" t="s">
        <v>32</v>
      </c>
    </row>
    <row r="6771" spans="1:20" ht="51" x14ac:dyDescent="0.25">
      <c r="A6771" s="6">
        <v>6750</v>
      </c>
      <c r="B6771" s="1" t="str">
        <f>"2017-1382"</f>
        <v>2017-1382</v>
      </c>
      <c r="C6771" s="1" t="s">
        <v>2703</v>
      </c>
      <c r="D6771" s="1" t="s">
        <v>2704</v>
      </c>
      <c r="E6771" s="1" t="str">
        <f>""</f>
        <v/>
      </c>
      <c r="F6771" s="1" t="s">
        <v>1860</v>
      </c>
      <c r="G6771" s="1" t="str">
        <f>CONCATENATE(" STROJOPROMET D.O.O.,"," ZAGREBAČKA 6,"," 10292 ŠENKOVEC,"," OIB: 97994010225")</f>
        <v xml:space="preserve"> STROJOPROMET D.O.O., ZAGREBAČKA 6, 10292 ŠENKOVEC, OIB: 97994010225</v>
      </c>
      <c r="H6771" s="7"/>
      <c r="I6771" s="8" t="s">
        <v>5210</v>
      </c>
      <c r="J6771" s="8" t="s">
        <v>4745</v>
      </c>
      <c r="K6771" s="6" t="str">
        <f>"2.780,00"</f>
        <v>2.780,00</v>
      </c>
      <c r="L6771" s="6" t="str">
        <f>"695,00"</f>
        <v>695,00</v>
      </c>
      <c r="M6771" s="6" t="str">
        <f>"3.475,00"</f>
        <v>3.475,00</v>
      </c>
      <c r="N6771" s="8" t="s">
        <v>75</v>
      </c>
      <c r="O6771" s="7"/>
      <c r="P6771" s="2" t="s">
        <v>8884</v>
      </c>
      <c r="Q6771" s="7"/>
      <c r="R6771" s="1"/>
      <c r="S6771" s="1" t="str">
        <f>"J-UN-2017-1824"</f>
        <v>J-UN-2017-1824</v>
      </c>
      <c r="T6771" s="1" t="s">
        <v>32</v>
      </c>
    </row>
    <row r="6772" spans="1:20" ht="51" x14ac:dyDescent="0.25">
      <c r="A6772" s="6">
        <v>6751</v>
      </c>
      <c r="B6772" s="1" t="str">
        <f>"2017-474"</f>
        <v>2017-474</v>
      </c>
      <c r="C6772" s="1" t="s">
        <v>3085</v>
      </c>
      <c r="D6772" s="1" t="s">
        <v>2549</v>
      </c>
      <c r="E6772" s="1" t="str">
        <f>""</f>
        <v/>
      </c>
      <c r="F6772" s="1" t="s">
        <v>1860</v>
      </c>
      <c r="G6772" s="1" t="str">
        <f>CONCATENATE(" AD HOC-CENTAR D.O.O.,"," DRAŠKOVIĆEVA 4A,"," 10000 ZAGREB,"," OIB: 75132412279")</f>
        <v xml:space="preserve"> AD HOC-CENTAR D.O.O., DRAŠKOVIĆEVA 4A, 10000 ZAGREB, OIB: 75132412279</v>
      </c>
      <c r="H6772" s="7"/>
      <c r="I6772" s="8" t="s">
        <v>5156</v>
      </c>
      <c r="J6772" s="8" t="s">
        <v>35</v>
      </c>
      <c r="K6772" s="6" t="str">
        <f>"8.455,00"</f>
        <v>8.455,00</v>
      </c>
      <c r="L6772" s="6" t="str">
        <f>"2.113,75"</f>
        <v>2.113,75</v>
      </c>
      <c r="M6772" s="6" t="str">
        <f>"10.568,75"</f>
        <v>10.568,75</v>
      </c>
      <c r="N6772" s="8" t="s">
        <v>124</v>
      </c>
      <c r="O6772" s="7"/>
      <c r="P6772" s="2" t="s">
        <v>5614</v>
      </c>
      <c r="Q6772" s="7"/>
      <c r="R6772" s="1"/>
      <c r="S6772" s="1" t="str">
        <f>"J-UN-2017-1832"</f>
        <v>J-UN-2017-1832</v>
      </c>
      <c r="T6772" s="1" t="s">
        <v>32</v>
      </c>
    </row>
    <row r="6773" spans="1:20" ht="38.25" x14ac:dyDescent="0.25">
      <c r="A6773" s="6">
        <v>6752</v>
      </c>
      <c r="B6773" s="1" t="str">
        <f>"2017-1063"</f>
        <v>2017-1063</v>
      </c>
      <c r="C6773" s="1" t="s">
        <v>2779</v>
      </c>
      <c r="D6773" s="1" t="s">
        <v>2780</v>
      </c>
      <c r="E6773" s="1" t="str">
        <f>""</f>
        <v/>
      </c>
      <c r="F6773" s="1" t="s">
        <v>1860</v>
      </c>
      <c r="G6773" s="1" t="str">
        <f>CONCATENATE(" DUN&amp;BRADSTREET D.O.O.,"," ,"," OIB: 48270876028")</f>
        <v xml:space="preserve"> DUN&amp;BRADSTREET D.O.O., , OIB: 48270876028</v>
      </c>
      <c r="H6773" s="7"/>
      <c r="I6773" s="8" t="s">
        <v>23</v>
      </c>
      <c r="J6773" s="8" t="s">
        <v>3798</v>
      </c>
      <c r="K6773" s="6" t="str">
        <f>"21.000,00"</f>
        <v>21.000,00</v>
      </c>
      <c r="L6773" s="6" t="str">
        <f>"5.250,00"</f>
        <v>5.250,00</v>
      </c>
      <c r="M6773" s="6" t="str">
        <f>"26.250,00"</f>
        <v>26.250,00</v>
      </c>
      <c r="N6773" s="8" t="s">
        <v>124</v>
      </c>
      <c r="O6773" s="7"/>
      <c r="P6773" s="2" t="s">
        <v>5614</v>
      </c>
      <c r="Q6773" s="7"/>
      <c r="R6773" s="1"/>
      <c r="S6773" s="1" t="str">
        <f>"J-UN-2017-1900"</f>
        <v>J-UN-2017-1900</v>
      </c>
      <c r="T6773" s="1" t="s">
        <v>32</v>
      </c>
    </row>
    <row r="6774" spans="1:20" ht="51" x14ac:dyDescent="0.25">
      <c r="A6774" s="6">
        <v>6753</v>
      </c>
      <c r="B6774" s="1" t="str">
        <f>"2017-1826"</f>
        <v>2017-1826</v>
      </c>
      <c r="C6774" s="1" t="s">
        <v>2543</v>
      </c>
      <c r="D6774" s="1" t="s">
        <v>2544</v>
      </c>
      <c r="E6774" s="1" t="str">
        <f>""</f>
        <v/>
      </c>
      <c r="F6774" s="1" t="s">
        <v>1860</v>
      </c>
      <c r="G6774" s="1" t="str">
        <f>CONCATENATE(" TRIGLAV OSIGURANJE D. D.,"," ANTUNA HEINZA 4,"," 10000 ZAGREB,"," OIB: 29743547503")</f>
        <v xml:space="preserve"> TRIGLAV OSIGURANJE D. D., ANTUNA HEINZA 4, 10000 ZAGREB, OIB: 29743547503</v>
      </c>
      <c r="H6774" s="7"/>
      <c r="I6774" s="8" t="s">
        <v>3895</v>
      </c>
      <c r="J6774" s="8" t="s">
        <v>5211</v>
      </c>
      <c r="K6774" s="6" t="str">
        <f>"175.462,22"</f>
        <v>175.462,22</v>
      </c>
      <c r="L6774" s="6" t="str">
        <f>"43.865,56"</f>
        <v>43.865,56</v>
      </c>
      <c r="M6774" s="6" t="str">
        <f>"219.327,78"</f>
        <v>219.327,78</v>
      </c>
      <c r="N6774" s="8" t="s">
        <v>124</v>
      </c>
      <c r="O6774" s="7"/>
      <c r="P6774" s="2" t="s">
        <v>5614</v>
      </c>
      <c r="Q6774" s="7"/>
      <c r="R6774" s="1"/>
      <c r="S6774" s="1" t="str">
        <f>"J-UN-2017-1901"</f>
        <v>J-UN-2017-1901</v>
      </c>
      <c r="T6774" s="1" t="s">
        <v>32</v>
      </c>
    </row>
    <row r="6775" spans="1:20" ht="51" x14ac:dyDescent="0.25">
      <c r="A6775" s="6">
        <v>6754</v>
      </c>
      <c r="B6775" s="1" t="str">
        <f>"2017-1854"</f>
        <v>2017-1854</v>
      </c>
      <c r="C6775" s="1" t="s">
        <v>2912</v>
      </c>
      <c r="D6775" s="1" t="s">
        <v>2647</v>
      </c>
      <c r="E6775" s="1" t="str">
        <f>""</f>
        <v/>
      </c>
      <c r="F6775" s="1" t="s">
        <v>1860</v>
      </c>
      <c r="G6775" s="1" t="str">
        <f>CONCATENATE(" INSPEKT D.O.O.,"," AVENIJA DUBROVNIK 15,"," 10020 ZAGREB,"," OIB: 24609583524")</f>
        <v xml:space="preserve"> INSPEKT D.O.O., AVENIJA DUBROVNIK 15, 10020 ZAGREB, OIB: 24609583524</v>
      </c>
      <c r="H6775" s="7"/>
      <c r="I6775" s="8" t="s">
        <v>4643</v>
      </c>
      <c r="J6775" s="8" t="s">
        <v>4643</v>
      </c>
      <c r="K6775" s="6" t="str">
        <f>"600,00"</f>
        <v>600,00</v>
      </c>
      <c r="L6775" s="6" t="str">
        <f>"150,00"</f>
        <v>150,00</v>
      </c>
      <c r="M6775" s="6" t="str">
        <f>"750,00"</f>
        <v>750,00</v>
      </c>
      <c r="N6775" s="8" t="s">
        <v>124</v>
      </c>
      <c r="O6775" s="7"/>
      <c r="P6775" s="2" t="s">
        <v>5614</v>
      </c>
      <c r="Q6775" s="7"/>
      <c r="R6775" s="1"/>
      <c r="S6775" s="1" t="str">
        <f>"J-UN-2017-1932"</f>
        <v>J-UN-2017-1932</v>
      </c>
      <c r="T6775" s="1" t="s">
        <v>32</v>
      </c>
    </row>
    <row r="6776" spans="1:20" ht="63.75" x14ac:dyDescent="0.25">
      <c r="A6776" s="6">
        <v>6755</v>
      </c>
      <c r="B6776" s="1" t="str">
        <f>"2017-1920"</f>
        <v>2017-1920</v>
      </c>
      <c r="C6776" s="1" t="s">
        <v>2700</v>
      </c>
      <c r="D6776" s="1" t="s">
        <v>2701</v>
      </c>
      <c r="E6776" s="1" t="str">
        <f>""</f>
        <v/>
      </c>
      <c r="F6776" s="1" t="s">
        <v>1860</v>
      </c>
      <c r="G6776" s="1" t="str">
        <f>CONCATENATE(" POLJOOPSKRBA-TEHNO D.D.,"," SAMOBORSKA 96,"," 10000 ZAGREB,"," OIB: 5372167324")</f>
        <v xml:space="preserve"> POLJOOPSKRBA-TEHNO D.D., SAMOBORSKA 96, 10000 ZAGREB, OIB: 5372167324</v>
      </c>
      <c r="H6776" s="7"/>
      <c r="I6776" s="8" t="s">
        <v>5211</v>
      </c>
      <c r="J6776" s="8" t="s">
        <v>3658</v>
      </c>
      <c r="K6776" s="6" t="str">
        <f>"2.008,00"</f>
        <v>2.008,00</v>
      </c>
      <c r="L6776" s="6" t="str">
        <f>"502,00"</f>
        <v>502,00</v>
      </c>
      <c r="M6776" s="6" t="str">
        <f>"2.510,00"</f>
        <v>2.510,00</v>
      </c>
      <c r="N6776" s="8" t="s">
        <v>4989</v>
      </c>
      <c r="O6776" s="7"/>
      <c r="P6776" s="2" t="s">
        <v>8885</v>
      </c>
      <c r="Q6776" s="7"/>
      <c r="R6776" s="1"/>
      <c r="S6776" s="1" t="str">
        <f>"J-UN-2017-1936"</f>
        <v>J-UN-2017-1936</v>
      </c>
      <c r="T6776" s="1" t="s">
        <v>32</v>
      </c>
    </row>
    <row r="6777" spans="1:20" ht="51" x14ac:dyDescent="0.25">
      <c r="A6777" s="6">
        <v>6756</v>
      </c>
      <c r="B6777" s="1" t="str">
        <f>"2017-1028"</f>
        <v>2017-1028</v>
      </c>
      <c r="C6777" s="1" t="s">
        <v>2781</v>
      </c>
      <c r="D6777" s="1" t="s">
        <v>1458</v>
      </c>
      <c r="E6777" s="1" t="str">
        <f>""</f>
        <v/>
      </c>
      <c r="F6777" s="1" t="s">
        <v>1860</v>
      </c>
      <c r="G6777" s="1" t="str">
        <f>CONCATENATE(" DELTRON D.O.O.,"," VUKOVARSKA 148,"," 21000 SPLIT,"," OIB: 36118056137")</f>
        <v xml:space="preserve"> DELTRON D.O.O., VUKOVARSKA 148, 21000 SPLIT, OIB: 36118056137</v>
      </c>
      <c r="H6777" s="7"/>
      <c r="I6777" s="8" t="s">
        <v>3870</v>
      </c>
      <c r="J6777" s="8" t="s">
        <v>4643</v>
      </c>
      <c r="K6777" s="6" t="str">
        <f>"10.151,00"</f>
        <v>10.151,00</v>
      </c>
      <c r="L6777" s="6" t="str">
        <f>"2.537,75"</f>
        <v>2.537,75</v>
      </c>
      <c r="M6777" s="6" t="str">
        <f>"12.688,75"</f>
        <v>12.688,75</v>
      </c>
      <c r="N6777" s="8" t="s">
        <v>124</v>
      </c>
      <c r="O6777" s="7"/>
      <c r="P6777" s="2" t="s">
        <v>5614</v>
      </c>
      <c r="Q6777" s="7"/>
      <c r="R6777" s="1"/>
      <c r="S6777" s="1" t="str">
        <f>"J-UN-2017-1964"</f>
        <v>J-UN-2017-1964</v>
      </c>
      <c r="T6777" s="1" t="s">
        <v>32</v>
      </c>
    </row>
    <row r="6778" spans="1:20" ht="51" x14ac:dyDescent="0.25">
      <c r="A6778" s="6">
        <v>6757</v>
      </c>
      <c r="B6778" s="1" t="str">
        <f>"2017-1459"</f>
        <v>2017-1459</v>
      </c>
      <c r="C6778" s="1" t="s">
        <v>2595</v>
      </c>
      <c r="D6778" s="1" t="s">
        <v>2596</v>
      </c>
      <c r="E6778" s="1" t="str">
        <f>""</f>
        <v/>
      </c>
      <c r="F6778" s="1" t="s">
        <v>1860</v>
      </c>
      <c r="G6778" s="1" t="str">
        <f>CONCATENATE(" STEGA TISAK D.O.O.,"," HEINZELOVA 60/I,"," 10000 ZAGREB,"," OIB: 78043520516")</f>
        <v xml:space="preserve"> STEGA TISAK D.O.O., HEINZELOVA 60/I, 10000 ZAGREB, OIB: 78043520516</v>
      </c>
      <c r="H6778" s="7"/>
      <c r="I6778" s="8" t="s">
        <v>4985</v>
      </c>
      <c r="J6778" s="8" t="s">
        <v>3895</v>
      </c>
      <c r="K6778" s="6" t="str">
        <f>"14.912,70"</f>
        <v>14.912,70</v>
      </c>
      <c r="L6778" s="6" t="str">
        <f>"3.728,18"</f>
        <v>3.728,18</v>
      </c>
      <c r="M6778" s="6" t="str">
        <f>"18.640,88"</f>
        <v>18.640,88</v>
      </c>
      <c r="N6778" s="8" t="s">
        <v>124</v>
      </c>
      <c r="O6778" s="7"/>
      <c r="P6778" s="2" t="s">
        <v>5614</v>
      </c>
      <c r="Q6778" s="7"/>
      <c r="R6778" s="1"/>
      <c r="S6778" s="1" t="str">
        <f>"J-UN-2017-1971"</f>
        <v>J-UN-2017-1971</v>
      </c>
      <c r="T6778" s="1" t="s">
        <v>32</v>
      </c>
    </row>
    <row r="6779" spans="1:20" ht="51" x14ac:dyDescent="0.25">
      <c r="A6779" s="6">
        <v>6758</v>
      </c>
      <c r="B6779" s="1" t="str">
        <f>"2017-2342"</f>
        <v>2017-2342</v>
      </c>
      <c r="C6779" s="1" t="s">
        <v>5206</v>
      </c>
      <c r="D6779" s="1" t="s">
        <v>1373</v>
      </c>
      <c r="E6779" s="1" t="str">
        <f>""</f>
        <v/>
      </c>
      <c r="F6779" s="1" t="s">
        <v>1860</v>
      </c>
      <c r="G6779" s="1" t="str">
        <f>CONCATENATE(" HÖRMANN HRVATSKA D.O.O.,"," NOVA CESTA 50,"," 10000 ZAGREB,"," OIB: 67604071454")</f>
        <v xml:space="preserve"> HÖRMANN HRVATSKA D.O.O., NOVA CESTA 50, 10000 ZAGREB, OIB: 67604071454</v>
      </c>
      <c r="H6779" s="7"/>
      <c r="I6779" s="8" t="s">
        <v>3870</v>
      </c>
      <c r="J6779" s="8" t="s">
        <v>4643</v>
      </c>
      <c r="K6779" s="6" t="str">
        <f>"138,00"</f>
        <v>138,00</v>
      </c>
      <c r="L6779" s="6" t="str">
        <f>"34,50"</f>
        <v>34,50</v>
      </c>
      <c r="M6779" s="6" t="str">
        <f>"172,50"</f>
        <v>172,50</v>
      </c>
      <c r="N6779" s="8" t="s">
        <v>124</v>
      </c>
      <c r="O6779" s="7"/>
      <c r="P6779" s="2" t="s">
        <v>5614</v>
      </c>
      <c r="Q6779" s="7"/>
      <c r="R6779" s="1"/>
      <c r="S6779" s="1" t="str">
        <f>"J-UN-2017-1972"</f>
        <v>J-UN-2017-1972</v>
      </c>
      <c r="T6779" s="1" t="s">
        <v>32</v>
      </c>
    </row>
    <row r="6780" spans="1:20" ht="63.75" x14ac:dyDescent="0.25">
      <c r="A6780" s="6">
        <v>6759</v>
      </c>
      <c r="B6780" s="1" t="str">
        <f>"2017-2193"</f>
        <v>2017-2193</v>
      </c>
      <c r="C6780" s="1" t="s">
        <v>5195</v>
      </c>
      <c r="D6780" s="1" t="s">
        <v>5196</v>
      </c>
      <c r="E6780" s="1" t="str">
        <f>""</f>
        <v/>
      </c>
      <c r="F6780" s="1" t="s">
        <v>1860</v>
      </c>
      <c r="G6780" s="1" t="str">
        <f>CONCATENATE(" E PLUS D.O.O.,"," GOSPODARSKA 16/C,"," 10255 GORNJI STUPNIK,"," OIB: 93923226222")</f>
        <v xml:space="preserve"> E PLUS D.O.O., GOSPODARSKA 16/C, 10255 GORNJI STUPNIK, OIB: 93923226222</v>
      </c>
      <c r="H6780" s="7"/>
      <c r="I6780" s="8" t="s">
        <v>5210</v>
      </c>
      <c r="J6780" s="8" t="s">
        <v>4745</v>
      </c>
      <c r="K6780" s="6" t="str">
        <f>"3.352,00"</f>
        <v>3.352,00</v>
      </c>
      <c r="L6780" s="6" t="str">
        <f>"838,00"</f>
        <v>838,00</v>
      </c>
      <c r="M6780" s="6" t="str">
        <f>"4.190,00"</f>
        <v>4.190,00</v>
      </c>
      <c r="N6780" s="8" t="s">
        <v>124</v>
      </c>
      <c r="O6780" s="7"/>
      <c r="P6780" s="2" t="s">
        <v>5614</v>
      </c>
      <c r="Q6780" s="7"/>
      <c r="R6780" s="1"/>
      <c r="S6780" s="1" t="str">
        <f>"J-UN-2017-1975"</f>
        <v>J-UN-2017-1975</v>
      </c>
      <c r="T6780" s="1" t="s">
        <v>32</v>
      </c>
    </row>
    <row r="6781" spans="1:20" ht="25.5" x14ac:dyDescent="0.25">
      <c r="A6781" s="6">
        <v>6760</v>
      </c>
      <c r="B6781" s="1" t="str">
        <f>"2017-1968"</f>
        <v>2017-1968</v>
      </c>
      <c r="C6781" s="1" t="s">
        <v>3040</v>
      </c>
      <c r="D6781" s="1" t="s">
        <v>1865</v>
      </c>
      <c r="E6781" s="1" t="str">
        <f>""</f>
        <v/>
      </c>
      <c r="F6781" s="1" t="s">
        <v>1860</v>
      </c>
      <c r="G6781" s="1" t="str">
        <f>CONCATENATE(" INVENTA D.O.O.,"," ,"," OIB: 99213847706")</f>
        <v xml:space="preserve"> INVENTA D.O.O., , OIB: 99213847706</v>
      </c>
      <c r="H6781" s="7"/>
      <c r="I6781" s="8" t="s">
        <v>3895</v>
      </c>
      <c r="J6781" s="8" t="s">
        <v>5211</v>
      </c>
      <c r="K6781" s="6" t="str">
        <f>"70.991,29"</f>
        <v>70.991,29</v>
      </c>
      <c r="L6781" s="6" t="str">
        <f>"17.747,82"</f>
        <v>17.747,82</v>
      </c>
      <c r="M6781" s="6" t="str">
        <f>"88.739,11"</f>
        <v>88.739,11</v>
      </c>
      <c r="N6781" s="8" t="s">
        <v>124</v>
      </c>
      <c r="O6781" s="7"/>
      <c r="P6781" s="2" t="s">
        <v>5614</v>
      </c>
      <c r="Q6781" s="7"/>
      <c r="R6781" s="1"/>
      <c r="S6781" s="1" t="str">
        <f>"J-UN-2017-1992"</f>
        <v>J-UN-2017-1992</v>
      </c>
      <c r="T6781" s="1" t="s">
        <v>32</v>
      </c>
    </row>
    <row r="6782" spans="1:20" ht="51" x14ac:dyDescent="0.25">
      <c r="A6782" s="6">
        <v>6761</v>
      </c>
      <c r="B6782" s="1" t="str">
        <f>"2017-474"</f>
        <v>2017-474</v>
      </c>
      <c r="C6782" s="1" t="s">
        <v>3085</v>
      </c>
      <c r="D6782" s="1" t="s">
        <v>2549</v>
      </c>
      <c r="E6782" s="1" t="str">
        <f>""</f>
        <v/>
      </c>
      <c r="F6782" s="1" t="s">
        <v>1860</v>
      </c>
      <c r="G6782" s="1" t="str">
        <f>CONCATENATE(" AD HOC-CENTAR D.O.O.,"," DRAŠKOVIĆEVA 4A,"," 10000 ZAGREB,"," OIB: 75132412279")</f>
        <v xml:space="preserve"> AD HOC-CENTAR D.O.O., DRAŠKOVIĆEVA 4A, 10000 ZAGREB, OIB: 75132412279</v>
      </c>
      <c r="H6782" s="7"/>
      <c r="I6782" s="8" t="s">
        <v>5203</v>
      </c>
      <c r="J6782" s="8" t="s">
        <v>5203</v>
      </c>
      <c r="K6782" s="6" t="str">
        <f>"8.500,00"</f>
        <v>8.500,00</v>
      </c>
      <c r="L6782" s="6" t="str">
        <f>"2.125,00"</f>
        <v>2.125,00</v>
      </c>
      <c r="M6782" s="6" t="str">
        <f>"10.625,00"</f>
        <v>10.625,00</v>
      </c>
      <c r="N6782" s="8" t="s">
        <v>124</v>
      </c>
      <c r="O6782" s="7"/>
      <c r="P6782" s="2" t="s">
        <v>5614</v>
      </c>
      <c r="Q6782" s="7"/>
      <c r="R6782" s="1"/>
      <c r="S6782" s="1" t="str">
        <f>"J-UN-2017-2016"</f>
        <v>J-UN-2017-2016</v>
      </c>
      <c r="T6782" s="1" t="s">
        <v>32</v>
      </c>
    </row>
    <row r="6783" spans="1:20" ht="51" x14ac:dyDescent="0.25">
      <c r="A6783" s="6">
        <v>6762</v>
      </c>
      <c r="B6783" s="1" t="str">
        <f>"2017-2071"</f>
        <v>2017-2071</v>
      </c>
      <c r="C6783" s="1" t="s">
        <v>5212</v>
      </c>
      <c r="D6783" s="1" t="s">
        <v>2855</v>
      </c>
      <c r="E6783" s="1" t="str">
        <f>""</f>
        <v/>
      </c>
      <c r="F6783" s="1" t="s">
        <v>1860</v>
      </c>
      <c r="G6783" s="1" t="str">
        <f>CONCATENATE(" SAFIR D.O.O.,"," HORVAĆANSKA 17,"," 10000 ZAGREB,"," OIB: 33548604975")</f>
        <v xml:space="preserve"> SAFIR D.O.O., HORVAĆANSKA 17, 10000 ZAGREB, OIB: 33548604975</v>
      </c>
      <c r="H6783" s="7"/>
      <c r="I6783" s="8" t="s">
        <v>3658</v>
      </c>
      <c r="J6783" s="8" t="s">
        <v>65</v>
      </c>
      <c r="K6783" s="6" t="str">
        <f>"8.769,50"</f>
        <v>8.769,50</v>
      </c>
      <c r="L6783" s="6" t="str">
        <f>"2.192,38"</f>
        <v>2.192,38</v>
      </c>
      <c r="M6783" s="6" t="str">
        <f>"10.961,88"</f>
        <v>10.961,88</v>
      </c>
      <c r="N6783" s="8" t="s">
        <v>124</v>
      </c>
      <c r="O6783" s="7"/>
      <c r="P6783" s="2" t="s">
        <v>5614</v>
      </c>
      <c r="Q6783" s="7"/>
      <c r="R6783" s="1"/>
      <c r="S6783" s="1" t="str">
        <f>"J-UN-2017-2036"</f>
        <v>J-UN-2017-2036</v>
      </c>
      <c r="T6783" s="1" t="s">
        <v>32</v>
      </c>
    </row>
    <row r="6784" spans="1:20" ht="51" x14ac:dyDescent="0.25">
      <c r="A6784" s="6">
        <v>6763</v>
      </c>
      <c r="B6784" s="1" t="str">
        <f>"2017-980"</f>
        <v>2017-980</v>
      </c>
      <c r="C6784" s="1" t="s">
        <v>5213</v>
      </c>
      <c r="D6784" s="1" t="s">
        <v>229</v>
      </c>
      <c r="E6784" s="1" t="str">
        <f>""</f>
        <v/>
      </c>
      <c r="F6784" s="1" t="s">
        <v>1860</v>
      </c>
      <c r="G6784" s="1" t="str">
        <f>CONCATENATE(" KLIMA EXPERT D.O.O.,"," KARLOVAČKA CESTA 203A,"," 10250 LUČKO,"," OIB: 49766965594")</f>
        <v xml:space="preserve"> KLIMA EXPERT D.O.O., KARLOVAČKA CESTA 203A, 10250 LUČKO, OIB: 49766965594</v>
      </c>
      <c r="H6784" s="7"/>
      <c r="I6784" s="8" t="s">
        <v>65</v>
      </c>
      <c r="J6784" s="8" t="s">
        <v>3870</v>
      </c>
      <c r="K6784" s="6" t="str">
        <f>"2.976,00"</f>
        <v>2.976,00</v>
      </c>
      <c r="L6784" s="6" t="str">
        <f>"744,00"</f>
        <v>744,00</v>
      </c>
      <c r="M6784" s="6" t="str">
        <f>"3.720,00"</f>
        <v>3.720,00</v>
      </c>
      <c r="N6784" s="8" t="s">
        <v>124</v>
      </c>
      <c r="O6784" s="7"/>
      <c r="P6784" s="2" t="s">
        <v>5614</v>
      </c>
      <c r="Q6784" s="7"/>
      <c r="R6784" s="1"/>
      <c r="S6784" s="1" t="str">
        <f>"J-UN-2017-2048"</f>
        <v>J-UN-2017-2048</v>
      </c>
      <c r="T6784" s="1" t="s">
        <v>32</v>
      </c>
    </row>
    <row r="6785" spans="1:20" ht="51" x14ac:dyDescent="0.25">
      <c r="A6785" s="6">
        <v>6764</v>
      </c>
      <c r="B6785" s="1" t="str">
        <f>"2017-1811"</f>
        <v>2017-1811</v>
      </c>
      <c r="C6785" s="1" t="s">
        <v>2769</v>
      </c>
      <c r="D6785" s="1" t="s">
        <v>381</v>
      </c>
      <c r="E6785" s="1" t="str">
        <f>""</f>
        <v/>
      </c>
      <c r="F6785" s="1" t="s">
        <v>1860</v>
      </c>
      <c r="G6785" s="1" t="str">
        <f>CONCATENATE(" ZIK D.O.O.,"," LJUDEVITA GAJA 17/III,"," 10000 ZAGREB,"," OIB: 74121470605")</f>
        <v xml:space="preserve"> ZIK D.O.O., LJUDEVITA GAJA 17/III, 10000 ZAGREB, OIB: 74121470605</v>
      </c>
      <c r="H6785" s="7"/>
      <c r="I6785" s="8" t="s">
        <v>4650</v>
      </c>
      <c r="J6785" s="8" t="s">
        <v>4487</v>
      </c>
      <c r="K6785" s="6" t="str">
        <f>"28.800,00"</f>
        <v>28.800,00</v>
      </c>
      <c r="L6785" s="6" t="str">
        <f>"7.200,00"</f>
        <v>7.200,00</v>
      </c>
      <c r="M6785" s="6" t="str">
        <f>"36.000,00"</f>
        <v>36.000,00</v>
      </c>
      <c r="N6785" s="8" t="s">
        <v>3779</v>
      </c>
      <c r="O6785" s="7"/>
      <c r="P6785" s="2" t="s">
        <v>8886</v>
      </c>
      <c r="Q6785" s="7"/>
      <c r="R6785" s="1"/>
      <c r="S6785" s="1" t="str">
        <f>"J-UN-2017-2051"</f>
        <v>J-UN-2017-2051</v>
      </c>
      <c r="T6785" s="1" t="s">
        <v>32</v>
      </c>
    </row>
    <row r="6786" spans="1:20" ht="76.5" x14ac:dyDescent="0.25">
      <c r="A6786" s="6">
        <v>6765</v>
      </c>
      <c r="B6786" s="1" t="str">
        <f>"2017-409"</f>
        <v>2017-409</v>
      </c>
      <c r="C6786" s="1" t="s">
        <v>1041</v>
      </c>
      <c r="D6786" s="1" t="s">
        <v>515</v>
      </c>
      <c r="E6786" s="1" t="str">
        <f>""</f>
        <v/>
      </c>
      <c r="F6786" s="1" t="s">
        <v>1860</v>
      </c>
      <c r="G6786" s="1" t="str">
        <f>CONCATENATE(" NASTAVNI ZAVOD ZA JAVNO ZDRAVSTVO ISTARSKE ŽUPANIJE,"," NAZOROVA 23,"," 52100 PULA,"," OIB: 90629578695")</f>
        <v xml:space="preserve"> NASTAVNI ZAVOD ZA JAVNO ZDRAVSTVO ISTARSKE ŽUPANIJE, NAZOROVA 23, 52100 PULA, OIB: 90629578695</v>
      </c>
      <c r="H6786" s="7"/>
      <c r="I6786" s="8" t="s">
        <v>4643</v>
      </c>
      <c r="J6786" s="8" t="s">
        <v>4643</v>
      </c>
      <c r="K6786" s="6" t="str">
        <f>"512,00"</f>
        <v>512,00</v>
      </c>
      <c r="L6786" s="6" t="str">
        <f>"128,00"</f>
        <v>128,00</v>
      </c>
      <c r="M6786" s="6" t="str">
        <f>"640,00"</f>
        <v>640,00</v>
      </c>
      <c r="N6786" s="8" t="s">
        <v>124</v>
      </c>
      <c r="O6786" s="7"/>
      <c r="P6786" s="2" t="s">
        <v>5614</v>
      </c>
      <c r="Q6786" s="7"/>
      <c r="R6786" s="1"/>
      <c r="S6786" s="1" t="str">
        <f>"J-UN-2017-2097"</f>
        <v>J-UN-2017-2097</v>
      </c>
      <c r="T6786" s="1" t="s">
        <v>32</v>
      </c>
    </row>
    <row r="6787" spans="1:20" ht="76.5" x14ac:dyDescent="0.25">
      <c r="A6787" s="6">
        <v>6766</v>
      </c>
      <c r="B6787" s="1" t="str">
        <f>"2017-1623"</f>
        <v>2017-1623</v>
      </c>
      <c r="C6787" s="1" t="s">
        <v>2761</v>
      </c>
      <c r="D6787" s="1" t="s">
        <v>2762</v>
      </c>
      <c r="E6787" s="1" t="str">
        <f>""</f>
        <v/>
      </c>
      <c r="F6787" s="1" t="s">
        <v>1860</v>
      </c>
      <c r="G6787" s="1" t="str">
        <f>CONCATENATE(" NASTAVNI ZAVOD ZA JAVNO ZDRAVSTVO ISTARSKE ŽUPANIJE,"," NAZOROVA 23,"," 52100 PULA,"," OIB: 90629578695")</f>
        <v xml:space="preserve"> NASTAVNI ZAVOD ZA JAVNO ZDRAVSTVO ISTARSKE ŽUPANIJE, NAZOROVA 23, 52100 PULA, OIB: 90629578695</v>
      </c>
      <c r="H6787" s="7"/>
      <c r="I6787" s="8" t="s">
        <v>4643</v>
      </c>
      <c r="J6787" s="8" t="s">
        <v>4643</v>
      </c>
      <c r="K6787" s="6" t="str">
        <f>"950,00"</f>
        <v>950,00</v>
      </c>
      <c r="L6787" s="6" t="str">
        <f>"237,50"</f>
        <v>237,50</v>
      </c>
      <c r="M6787" s="6" t="str">
        <f>"1.187,50"</f>
        <v>1.187,50</v>
      </c>
      <c r="N6787" s="8" t="s">
        <v>124</v>
      </c>
      <c r="O6787" s="7"/>
      <c r="P6787" s="2" t="s">
        <v>5614</v>
      </c>
      <c r="Q6787" s="7"/>
      <c r="R6787" s="1"/>
      <c r="S6787" s="1" t="str">
        <f>"J-UN-2017-2098"</f>
        <v>J-UN-2017-2098</v>
      </c>
      <c r="T6787" s="1" t="s">
        <v>32</v>
      </c>
    </row>
    <row r="6788" spans="1:20" ht="51" x14ac:dyDescent="0.25">
      <c r="A6788" s="6">
        <v>6767</v>
      </c>
      <c r="B6788" s="1" t="str">
        <f>"2017-1627"</f>
        <v>2017-1627</v>
      </c>
      <c r="C6788" s="1" t="s">
        <v>5214</v>
      </c>
      <c r="D6788" s="1" t="s">
        <v>2785</v>
      </c>
      <c r="E6788" s="1" t="str">
        <f>""</f>
        <v/>
      </c>
      <c r="F6788" s="1" t="s">
        <v>1860</v>
      </c>
      <c r="G6788" s="1" t="str">
        <f>CONCATENATE(" KLIMA EXPERT D.O.O.,"," KARLOVAČKA CESTA 203A,"," 10250 LUČKO,"," OIB: 49766965594")</f>
        <v xml:space="preserve"> KLIMA EXPERT D.O.O., KARLOVAČKA CESTA 203A, 10250 LUČKO, OIB: 49766965594</v>
      </c>
      <c r="H6788" s="7"/>
      <c r="I6788" s="8" t="s">
        <v>4764</v>
      </c>
      <c r="J6788" s="8" t="s">
        <v>5215</v>
      </c>
      <c r="K6788" s="6" t="str">
        <f>"99.000,00"</f>
        <v>99.000,00</v>
      </c>
      <c r="L6788" s="6" t="str">
        <f>"24.750,00"</f>
        <v>24.750,00</v>
      </c>
      <c r="M6788" s="6" t="str">
        <f>"123.750,00"</f>
        <v>123.750,00</v>
      </c>
      <c r="N6788" s="8" t="s">
        <v>3737</v>
      </c>
      <c r="O6788" s="7"/>
      <c r="P6788" s="2" t="s">
        <v>8887</v>
      </c>
      <c r="Q6788" s="7"/>
      <c r="R6788" s="1"/>
      <c r="S6788" s="1" t="str">
        <f>"J-UN-2017-2192"</f>
        <v>J-UN-2017-2192</v>
      </c>
      <c r="T6788" s="1" t="s">
        <v>32</v>
      </c>
    </row>
    <row r="6789" spans="1:20" ht="51" x14ac:dyDescent="0.25">
      <c r="A6789" s="6">
        <v>6768</v>
      </c>
      <c r="B6789" s="1" t="str">
        <f>"2017-2473"</f>
        <v>2017-2473</v>
      </c>
      <c r="C6789" s="1" t="s">
        <v>5149</v>
      </c>
      <c r="D6789" s="1" t="s">
        <v>2241</v>
      </c>
      <c r="E6789" s="1" t="str">
        <f>""</f>
        <v/>
      </c>
      <c r="F6789" s="1" t="s">
        <v>1860</v>
      </c>
      <c r="G6789" s="1" t="str">
        <f>CONCATENATE(" AUTO BENUSSI D.O.O.,"," INDUSTRIJSKA 2D,"," 52100 PULA,"," OIB: 96262119913")</f>
        <v xml:space="preserve"> AUTO BENUSSI D.O.O., INDUSTRIJSKA 2D, 52100 PULA, OIB: 96262119913</v>
      </c>
      <c r="H6789" s="7"/>
      <c r="I6789" s="8" t="s">
        <v>5216</v>
      </c>
      <c r="J6789" s="8" t="s">
        <v>5217</v>
      </c>
      <c r="K6789" s="6" t="str">
        <f>"25.015,50"</f>
        <v>25.015,50</v>
      </c>
      <c r="L6789" s="6" t="str">
        <f>"6.253,88"</f>
        <v>6.253,88</v>
      </c>
      <c r="M6789" s="6" t="str">
        <f>"31.269,38"</f>
        <v>31.269,38</v>
      </c>
      <c r="N6789" s="8" t="s">
        <v>3924</v>
      </c>
      <c r="O6789" s="7"/>
      <c r="P6789" s="2" t="s">
        <v>8888</v>
      </c>
      <c r="Q6789" s="1" t="s">
        <v>5218</v>
      </c>
      <c r="R6789" s="1"/>
      <c r="S6789" s="1" t="str">
        <f>"J-UN-2017-2207"</f>
        <v>J-UN-2017-2207</v>
      </c>
      <c r="T6789" s="1" t="s">
        <v>32</v>
      </c>
    </row>
    <row r="6790" spans="1:20" ht="51" x14ac:dyDescent="0.25">
      <c r="A6790" s="6">
        <v>6769</v>
      </c>
      <c r="B6790" s="1" t="str">
        <f>"2017-474"</f>
        <v>2017-474</v>
      </c>
      <c r="C6790" s="1" t="s">
        <v>3085</v>
      </c>
      <c r="D6790" s="1" t="s">
        <v>2549</v>
      </c>
      <c r="E6790" s="1" t="str">
        <f>""</f>
        <v/>
      </c>
      <c r="F6790" s="1" t="s">
        <v>1860</v>
      </c>
      <c r="G6790" s="1" t="str">
        <f>CONCATENATE(" AD HOC-CENTAR D.O.O.,"," DRAŠKOVIĆEVA 4A,"," 10000 ZAGREB,"," OIB: 75132412279")</f>
        <v xml:space="preserve"> AD HOC-CENTAR D.O.O., DRAŠKOVIĆEVA 4A, 10000 ZAGREB, OIB: 75132412279</v>
      </c>
      <c r="H6790" s="7"/>
      <c r="I6790" s="8" t="s">
        <v>3668</v>
      </c>
      <c r="J6790" s="8" t="s">
        <v>4762</v>
      </c>
      <c r="K6790" s="6" t="str">
        <f>"1.955,00"</f>
        <v>1.955,00</v>
      </c>
      <c r="L6790" s="6" t="str">
        <f>"488,75"</f>
        <v>488,75</v>
      </c>
      <c r="M6790" s="6" t="str">
        <f>"2.443,75"</f>
        <v>2.443,75</v>
      </c>
      <c r="N6790" s="8" t="s">
        <v>5219</v>
      </c>
      <c r="O6790" s="7"/>
      <c r="P6790" s="2" t="s">
        <v>8889</v>
      </c>
      <c r="Q6790" s="7"/>
      <c r="R6790" s="1"/>
      <c r="S6790" s="1" t="str">
        <f>"J-UN-2017-2212"</f>
        <v>J-UN-2017-2212</v>
      </c>
      <c r="T6790" s="1" t="s">
        <v>32</v>
      </c>
    </row>
    <row r="6791" spans="1:20" ht="51" x14ac:dyDescent="0.25">
      <c r="A6791" s="6">
        <v>6770</v>
      </c>
      <c r="B6791" s="1" t="str">
        <f>"2017-2415"</f>
        <v>2017-2415</v>
      </c>
      <c r="C6791" s="1" t="s">
        <v>2618</v>
      </c>
      <c r="D6791" s="1" t="s">
        <v>2619</v>
      </c>
      <c r="E6791" s="1" t="str">
        <f>""</f>
        <v/>
      </c>
      <c r="F6791" s="1" t="s">
        <v>1860</v>
      </c>
      <c r="G6791" s="1" t="str">
        <f>CONCATENATE(" TRA-MONT D.O.O.,"," MILIVOJA MATOŠECA 5,"," 10000 ZAGREB,"," OIB: 05336208843")</f>
        <v xml:space="preserve"> TRA-MONT D.O.O., MILIVOJA MATOŠECA 5, 10000 ZAGREB, OIB: 05336208843</v>
      </c>
      <c r="H6791" s="7"/>
      <c r="I6791" s="8" t="s">
        <v>4759</v>
      </c>
      <c r="J6791" s="8" t="s">
        <v>4759</v>
      </c>
      <c r="K6791" s="6" t="str">
        <f>"10.466,00"</f>
        <v>10.466,00</v>
      </c>
      <c r="L6791" s="6" t="str">
        <f>"2.616,50"</f>
        <v>2.616,50</v>
      </c>
      <c r="M6791" s="6" t="str">
        <f>"13.082,50"</f>
        <v>13.082,50</v>
      </c>
      <c r="N6791" s="8" t="s">
        <v>5220</v>
      </c>
      <c r="O6791" s="7"/>
      <c r="P6791" s="2" t="s">
        <v>8890</v>
      </c>
      <c r="Q6791" s="7"/>
      <c r="R6791" s="1"/>
      <c r="S6791" s="1" t="str">
        <f>"J-UN-2017-2213"</f>
        <v>J-UN-2017-2213</v>
      </c>
      <c r="T6791" s="1" t="s">
        <v>32</v>
      </c>
    </row>
    <row r="6792" spans="1:20" ht="51" x14ac:dyDescent="0.25">
      <c r="A6792" s="6">
        <v>6771</v>
      </c>
      <c r="B6792" s="1" t="str">
        <f>"2017-697"</f>
        <v>2017-697</v>
      </c>
      <c r="C6792" s="1" t="s">
        <v>5221</v>
      </c>
      <c r="D6792" s="1" t="s">
        <v>2287</v>
      </c>
      <c r="E6792" s="1" t="str">
        <f>""</f>
        <v/>
      </c>
      <c r="F6792" s="1" t="s">
        <v>1860</v>
      </c>
      <c r="G6792" s="1" t="str">
        <f>CONCATENATE(" ZVIBOR D.O.O.,"," ZAVRTNICA 36,"," 10000 ZAGREB,"," OIB: 03454358063")</f>
        <v xml:space="preserve"> ZVIBOR D.O.O., ZAVRTNICA 36, 10000 ZAGREB, OIB: 03454358063</v>
      </c>
      <c r="H6792" s="7"/>
      <c r="I6792" s="8" t="s">
        <v>5217</v>
      </c>
      <c r="J6792" s="8" t="s">
        <v>3668</v>
      </c>
      <c r="K6792" s="6" t="str">
        <f>"27.233,00"</f>
        <v>27.233,00</v>
      </c>
      <c r="L6792" s="6" t="str">
        <f>"6.808,25"</f>
        <v>6.808,25</v>
      </c>
      <c r="M6792" s="6" t="str">
        <f>"34.041,25"</f>
        <v>34.041,25</v>
      </c>
      <c r="N6792" s="8" t="s">
        <v>124</v>
      </c>
      <c r="O6792" s="7"/>
      <c r="P6792" s="2" t="s">
        <v>5614</v>
      </c>
      <c r="Q6792" s="7"/>
      <c r="R6792" s="1"/>
      <c r="S6792" s="1" t="str">
        <f>"J-UN-2017-2219"</f>
        <v>J-UN-2017-2219</v>
      </c>
      <c r="T6792" s="1" t="s">
        <v>32</v>
      </c>
    </row>
    <row r="6793" spans="1:20" ht="51" x14ac:dyDescent="0.25">
      <c r="A6793" s="6">
        <v>6772</v>
      </c>
      <c r="B6793" s="1" t="str">
        <f>"2017-1174"</f>
        <v>2017-1174</v>
      </c>
      <c r="C6793" s="1" t="s">
        <v>5174</v>
      </c>
      <c r="D6793" s="1" t="s">
        <v>5175</v>
      </c>
      <c r="E6793" s="1" t="str">
        <f>""</f>
        <v/>
      </c>
      <c r="F6793" s="1" t="s">
        <v>1860</v>
      </c>
      <c r="G6793" s="1" t="str">
        <f>CONCATENATE(" IFIXIT D.O.O.,"," HEBRANGOVA 13,"," 10000 ZAGREB,"," OIB: 47940241302")</f>
        <v xml:space="preserve"> IFIXIT D.O.O., HEBRANGOVA 13, 10000 ZAGREB, OIB: 47940241302</v>
      </c>
      <c r="H6793" s="7"/>
      <c r="I6793" s="8" t="s">
        <v>3904</v>
      </c>
      <c r="J6793" s="8" t="s">
        <v>4759</v>
      </c>
      <c r="K6793" s="6" t="str">
        <f>"764,15"</f>
        <v>764,15</v>
      </c>
      <c r="L6793" s="6" t="str">
        <f>"191,04"</f>
        <v>191,04</v>
      </c>
      <c r="M6793" s="6" t="str">
        <f>"955,19"</f>
        <v>955,19</v>
      </c>
      <c r="N6793" s="8" t="s">
        <v>124</v>
      </c>
      <c r="O6793" s="7"/>
      <c r="P6793" s="2" t="s">
        <v>5614</v>
      </c>
      <c r="Q6793" s="7"/>
      <c r="R6793" s="1"/>
      <c r="S6793" s="1" t="str">
        <f>"J-UN-2017-2220"</f>
        <v>J-UN-2017-2220</v>
      </c>
      <c r="T6793" s="1" t="s">
        <v>32</v>
      </c>
    </row>
    <row r="6794" spans="1:20" ht="63.75" x14ac:dyDescent="0.25">
      <c r="A6794" s="6">
        <v>6773</v>
      </c>
      <c r="B6794" s="1" t="str">
        <f>"2017-2472"</f>
        <v>2017-2472</v>
      </c>
      <c r="C6794" s="1" t="s">
        <v>5222</v>
      </c>
      <c r="D6794" s="1" t="s">
        <v>2241</v>
      </c>
      <c r="E6794" s="1" t="str">
        <f>""</f>
        <v/>
      </c>
      <c r="F6794" s="1" t="s">
        <v>1860</v>
      </c>
      <c r="G6794" s="1" t="str">
        <f>CONCATENATE(" FLEET RENT A CAR D.O.O.,"," ANDRIJE HEBRANGA 32,"," 10000 ZAGREB,"," OIB: 5950444323")</f>
        <v xml:space="preserve"> FLEET RENT A CAR D.O.O., ANDRIJE HEBRANGA 32, 10000 ZAGREB, OIB: 5950444323</v>
      </c>
      <c r="H6794" s="7"/>
      <c r="I6794" s="8" t="s">
        <v>3904</v>
      </c>
      <c r="J6794" s="8" t="s">
        <v>4759</v>
      </c>
      <c r="K6794" s="6" t="str">
        <f>"11.183,33"</f>
        <v>11.183,33</v>
      </c>
      <c r="L6794" s="6" t="str">
        <f>"2.795,83"</f>
        <v>2.795,83</v>
      </c>
      <c r="M6794" s="6" t="str">
        <f>"13.979,16"</f>
        <v>13.979,16</v>
      </c>
      <c r="N6794" s="8" t="s">
        <v>3722</v>
      </c>
      <c r="O6794" s="7"/>
      <c r="P6794" s="2" t="s">
        <v>7058</v>
      </c>
      <c r="Q6794" s="7"/>
      <c r="R6794" s="1"/>
      <c r="S6794" s="1" t="str">
        <f>"J-UN-2017-2221"</f>
        <v>J-UN-2017-2221</v>
      </c>
      <c r="T6794" s="1" t="s">
        <v>32</v>
      </c>
    </row>
    <row r="6795" spans="1:20" ht="63.75" x14ac:dyDescent="0.25">
      <c r="A6795" s="6">
        <v>6774</v>
      </c>
      <c r="B6795" s="1" t="str">
        <f>"2017-2507"</f>
        <v>2017-2507</v>
      </c>
      <c r="C6795" s="1" t="s">
        <v>5151</v>
      </c>
      <c r="D6795" s="1" t="s">
        <v>1065</v>
      </c>
      <c r="E6795" s="1" t="str">
        <f>""</f>
        <v/>
      </c>
      <c r="F6795" s="1" t="s">
        <v>1860</v>
      </c>
      <c r="G6795" s="1" t="str">
        <f>CONCATENATE(" FLEET RENT A CAR D.O.O.,"," ANDRIJE HEBRANGA 32,"," 10000 ZAGREB,"," OIB: 5950444323")</f>
        <v xml:space="preserve"> FLEET RENT A CAR D.O.O., ANDRIJE HEBRANGA 32, 10000 ZAGREB, OIB: 5950444323</v>
      </c>
      <c r="H6795" s="7"/>
      <c r="I6795" s="8" t="s">
        <v>3904</v>
      </c>
      <c r="J6795" s="8" t="s">
        <v>4759</v>
      </c>
      <c r="K6795" s="6" t="str">
        <f>"32.629,33"</f>
        <v>32.629,33</v>
      </c>
      <c r="L6795" s="6" t="str">
        <f>"8.157,33"</f>
        <v>8.157,33</v>
      </c>
      <c r="M6795" s="6" t="str">
        <f>"40.786,66"</f>
        <v>40.786,66</v>
      </c>
      <c r="N6795" s="8" t="s">
        <v>5223</v>
      </c>
      <c r="O6795" s="7"/>
      <c r="P6795" s="2" t="s">
        <v>8802</v>
      </c>
      <c r="Q6795" s="7"/>
      <c r="R6795" s="1"/>
      <c r="S6795" s="1" t="str">
        <f>"J-UN-2017-2222"</f>
        <v>J-UN-2017-2222</v>
      </c>
      <c r="T6795" s="1" t="s">
        <v>32</v>
      </c>
    </row>
    <row r="6796" spans="1:20" ht="63.75" x14ac:dyDescent="0.25">
      <c r="A6796" s="6">
        <v>6775</v>
      </c>
      <c r="B6796" s="1" t="str">
        <f>"2017-2507"</f>
        <v>2017-2507</v>
      </c>
      <c r="C6796" s="1" t="s">
        <v>5151</v>
      </c>
      <c r="D6796" s="1" t="s">
        <v>1065</v>
      </c>
      <c r="E6796" s="1" t="str">
        <f>""</f>
        <v/>
      </c>
      <c r="F6796" s="1" t="s">
        <v>1860</v>
      </c>
      <c r="G6796" s="1" t="str">
        <f>CONCATENATE(" FLEET RENT A CAR D.O.O.,"," ANDRIJE HEBRANGA 32,"," 10000 ZAGREB,"," OIB: 5950444323")</f>
        <v xml:space="preserve"> FLEET RENT A CAR D.O.O., ANDRIJE HEBRANGA 32, 10000 ZAGREB, OIB: 5950444323</v>
      </c>
      <c r="H6796" s="7"/>
      <c r="I6796" s="8" t="s">
        <v>3904</v>
      </c>
      <c r="J6796" s="8" t="s">
        <v>4759</v>
      </c>
      <c r="K6796" s="6" t="str">
        <f>"36.373,33"</f>
        <v>36.373,33</v>
      </c>
      <c r="L6796" s="6" t="str">
        <f>"9.093,33"</f>
        <v>9.093,33</v>
      </c>
      <c r="M6796" s="6" t="str">
        <f>"45.466,66"</f>
        <v>45.466,66</v>
      </c>
      <c r="N6796" s="8" t="s">
        <v>5224</v>
      </c>
      <c r="O6796" s="7"/>
      <c r="P6796" s="2" t="s">
        <v>8891</v>
      </c>
      <c r="Q6796" s="7"/>
      <c r="R6796" s="1"/>
      <c r="S6796" s="1" t="str">
        <f>"J-UN-2017-2223"</f>
        <v>J-UN-2017-2223</v>
      </c>
      <c r="T6796" s="1" t="s">
        <v>32</v>
      </c>
    </row>
    <row r="6797" spans="1:20" ht="51" x14ac:dyDescent="0.25">
      <c r="A6797" s="6">
        <v>6776</v>
      </c>
      <c r="B6797" s="1" t="str">
        <f>"2017-535"</f>
        <v>2017-535</v>
      </c>
      <c r="C6797" s="1" t="s">
        <v>3136</v>
      </c>
      <c r="D6797" s="1" t="s">
        <v>21</v>
      </c>
      <c r="E6797" s="1" t="str">
        <f>""</f>
        <v/>
      </c>
      <c r="F6797" s="1" t="s">
        <v>1860</v>
      </c>
      <c r="G6797" s="1" t="str">
        <f>CONCATENATE(" TPZ D.O.O.,"," NOVOSELSKA 25,"," 10000 ZAGREB,"," OIB: 68119083236")</f>
        <v xml:space="preserve"> TPZ D.O.O., NOVOSELSKA 25, 10000 ZAGREB, OIB: 68119083236</v>
      </c>
      <c r="H6797" s="7"/>
      <c r="I6797" s="8" t="s">
        <v>3506</v>
      </c>
      <c r="J6797" s="8" t="s">
        <v>4764</v>
      </c>
      <c r="K6797" s="6" t="str">
        <f>"8.894,15"</f>
        <v>8.894,15</v>
      </c>
      <c r="L6797" s="6" t="str">
        <f>"2.223,54"</f>
        <v>2.223,54</v>
      </c>
      <c r="M6797" s="6" t="str">
        <f>"11.117,69"</f>
        <v>11.117,69</v>
      </c>
      <c r="N6797" s="8" t="s">
        <v>4831</v>
      </c>
      <c r="O6797" s="7"/>
      <c r="P6797" s="2" t="s">
        <v>8892</v>
      </c>
      <c r="Q6797" s="7"/>
      <c r="R6797" s="1"/>
      <c r="S6797" s="1" t="str">
        <f>"J-UN-2017-2245"</f>
        <v>J-UN-2017-2245</v>
      </c>
      <c r="T6797" s="1" t="s">
        <v>32</v>
      </c>
    </row>
    <row r="6798" spans="1:20" ht="51" x14ac:dyDescent="0.25">
      <c r="A6798" s="6">
        <v>6777</v>
      </c>
      <c r="B6798" s="1" t="str">
        <f>"2017-2729"</f>
        <v>2017-2729</v>
      </c>
      <c r="C6798" s="1" t="s">
        <v>5197</v>
      </c>
      <c r="D6798" s="1" t="s">
        <v>3030</v>
      </c>
      <c r="E6798" s="1" t="str">
        <f>""</f>
        <v/>
      </c>
      <c r="F6798" s="1" t="s">
        <v>1860</v>
      </c>
      <c r="G6798" s="1" t="str">
        <f>CONCATENATE(" PROTEKTA D.O.O.,"," IVANA ŠIBLA 9,"," 10000 ZAGREB,"," OIB: 25210761537")</f>
        <v xml:space="preserve"> PROTEKTA D.O.O., IVANA ŠIBLA 9, 10000 ZAGREB, OIB: 25210761537</v>
      </c>
      <c r="H6798" s="7"/>
      <c r="I6798" s="8" t="s">
        <v>4764</v>
      </c>
      <c r="J6798" s="8" t="s">
        <v>5215</v>
      </c>
      <c r="K6798" s="6" t="str">
        <f>"9.900,00"</f>
        <v>9.900,00</v>
      </c>
      <c r="L6798" s="6" t="str">
        <f>"2.475,00"</f>
        <v>2.475,00</v>
      </c>
      <c r="M6798" s="6" t="str">
        <f>"12.375,00"</f>
        <v>12.375,00</v>
      </c>
      <c r="N6798" s="8" t="s">
        <v>124</v>
      </c>
      <c r="O6798" s="7"/>
      <c r="P6798" s="2" t="s">
        <v>5614</v>
      </c>
      <c r="Q6798" s="7"/>
      <c r="R6798" s="1"/>
      <c r="S6798" s="1" t="str">
        <f>"J-UN-2017-2292"</f>
        <v>J-UN-2017-2292</v>
      </c>
      <c r="T6798" s="1" t="s">
        <v>32</v>
      </c>
    </row>
    <row r="6799" spans="1:20" ht="51" x14ac:dyDescent="0.25">
      <c r="A6799" s="6">
        <v>6778</v>
      </c>
      <c r="B6799" s="1" t="str">
        <f>"2017-2799"</f>
        <v>2017-2799</v>
      </c>
      <c r="C6799" s="1" t="s">
        <v>5225</v>
      </c>
      <c r="D6799" s="1" t="s">
        <v>5226</v>
      </c>
      <c r="E6799" s="1" t="str">
        <f>""</f>
        <v/>
      </c>
      <c r="F6799" s="1" t="s">
        <v>1860</v>
      </c>
      <c r="G6799" s="1" t="str">
        <f>CONCATENATE(" MULTI-SPORT D.O.O.,"," CEROVLJE 56,"," 52402 CEROVLJE,"," OIB: 88515189278")</f>
        <v xml:space="preserve"> MULTI-SPORT D.O.O., CEROVLJE 56, 52402 CEROVLJE, OIB: 88515189278</v>
      </c>
      <c r="H6799" s="7"/>
      <c r="I6799" s="8" t="s">
        <v>75</v>
      </c>
      <c r="J6799" s="8" t="s">
        <v>5227</v>
      </c>
      <c r="K6799" s="6" t="str">
        <f>"166.555,00"</f>
        <v>166.555,00</v>
      </c>
      <c r="L6799" s="6" t="str">
        <f>"41.638,75"</f>
        <v>41.638,75</v>
      </c>
      <c r="M6799" s="6" t="str">
        <f>"208.193,75"</f>
        <v>208.193,75</v>
      </c>
      <c r="N6799" s="8" t="s">
        <v>124</v>
      </c>
      <c r="O6799" s="7"/>
      <c r="P6799" s="2" t="s">
        <v>5614</v>
      </c>
      <c r="Q6799" s="7"/>
      <c r="R6799" s="1"/>
      <c r="S6799" s="1" t="str">
        <f>"J-UN-2017-2293"</f>
        <v>J-UN-2017-2293</v>
      </c>
      <c r="T6799" s="1" t="s">
        <v>32</v>
      </c>
    </row>
    <row r="6800" spans="1:20" ht="51" x14ac:dyDescent="0.25">
      <c r="A6800" s="6">
        <v>6779</v>
      </c>
      <c r="B6800" s="1" t="str">
        <f>"2017-1623"</f>
        <v>2017-1623</v>
      </c>
      <c r="C6800" s="1" t="s">
        <v>2761</v>
      </c>
      <c r="D6800" s="1" t="s">
        <v>2762</v>
      </c>
      <c r="E6800" s="1" t="str">
        <f>""</f>
        <v/>
      </c>
      <c r="F6800" s="1" t="s">
        <v>1860</v>
      </c>
      <c r="G6800" s="1" t="str">
        <f>CONCATENATE(" MFP GROUP D.O.O.,"," DRAŽIČKIH BORACA 67,"," 51218 DRAŽICE,"," OIB: 30450830327")</f>
        <v xml:space="preserve"> MFP GROUP D.O.O., DRAŽIČKIH BORACA 67, 51218 DRAŽICE, OIB: 30450830327</v>
      </c>
      <c r="H6800" s="7"/>
      <c r="I6800" s="8" t="s">
        <v>5228</v>
      </c>
      <c r="J6800" s="8" t="s">
        <v>75</v>
      </c>
      <c r="K6800" s="6" t="str">
        <f>"8.875,00"</f>
        <v>8.875,00</v>
      </c>
      <c r="L6800" s="6" t="str">
        <f>"2.218,75"</f>
        <v>2.218,75</v>
      </c>
      <c r="M6800" s="6" t="str">
        <f>"11.093,75"</f>
        <v>11.093,75</v>
      </c>
      <c r="N6800" s="8" t="s">
        <v>124</v>
      </c>
      <c r="O6800" s="7"/>
      <c r="P6800" s="2" t="s">
        <v>5614</v>
      </c>
      <c r="Q6800" s="7"/>
      <c r="R6800" s="1"/>
      <c r="S6800" s="1" t="str">
        <f>"J-UN-2017-2333"</f>
        <v>J-UN-2017-2333</v>
      </c>
      <c r="T6800" s="1" t="s">
        <v>32</v>
      </c>
    </row>
    <row r="6801" spans="1:20" ht="51" x14ac:dyDescent="0.25">
      <c r="A6801" s="6">
        <v>6780</v>
      </c>
      <c r="B6801" s="1" t="str">
        <f>"2017-1032"</f>
        <v>2017-1032</v>
      </c>
      <c r="C6801" s="1" t="s">
        <v>2788</v>
      </c>
      <c r="D6801" s="1" t="s">
        <v>2789</v>
      </c>
      <c r="E6801" s="1" t="str">
        <f>""</f>
        <v/>
      </c>
      <c r="F6801" s="1" t="s">
        <v>1860</v>
      </c>
      <c r="G6801" s="1" t="str">
        <f>CONCATENATE(" DUPIN S.L. D.O.O.,"," ŠESTAVINA BB,"," 51551 VELI LOŠINJ,"," OIB: 18466715353")</f>
        <v xml:space="preserve"> DUPIN S.L. D.O.O., ŠESTAVINA BB, 51551 VELI LOŠINJ, OIB: 18466715353</v>
      </c>
      <c r="H6801" s="7"/>
      <c r="I6801" s="8" t="s">
        <v>5227</v>
      </c>
      <c r="J6801" s="8" t="s">
        <v>4769</v>
      </c>
      <c r="K6801" s="6" t="str">
        <f>"819,98"</f>
        <v>819,98</v>
      </c>
      <c r="L6801" s="6" t="str">
        <f>"205,00"</f>
        <v>205,00</v>
      </c>
      <c r="M6801" s="6" t="str">
        <f>"1.024,98"</f>
        <v>1.024,98</v>
      </c>
      <c r="N6801" s="8" t="s">
        <v>124</v>
      </c>
      <c r="O6801" s="7"/>
      <c r="P6801" s="2" t="s">
        <v>5614</v>
      </c>
      <c r="Q6801" s="7"/>
      <c r="R6801" s="1"/>
      <c r="S6801" s="1" t="str">
        <f>"J-UN-2017-2353"</f>
        <v>J-UN-2017-2353</v>
      </c>
      <c r="T6801" s="1" t="s">
        <v>32</v>
      </c>
    </row>
    <row r="6802" spans="1:20" ht="51" x14ac:dyDescent="0.25">
      <c r="A6802" s="6">
        <v>6781</v>
      </c>
      <c r="B6802" s="1" t="str">
        <f>"2017-1052"</f>
        <v>2017-1052</v>
      </c>
      <c r="C6802" s="1" t="s">
        <v>5229</v>
      </c>
      <c r="D6802" s="1" t="s">
        <v>5230</v>
      </c>
      <c r="E6802" s="1" t="str">
        <f>""</f>
        <v/>
      </c>
      <c r="F6802" s="1" t="s">
        <v>1860</v>
      </c>
      <c r="G6802" s="1" t="str">
        <f>CONCATENATE(" SVIJET MEDIJA D.O.O.,"," TRG DRAGE IBLERA 10,"," 10000 ZAGREB,"," OIB: 08622180689")</f>
        <v xml:space="preserve"> SVIJET MEDIJA D.O.O., TRG DRAGE IBLERA 10, 10000 ZAGREB, OIB: 08622180689</v>
      </c>
      <c r="H6802" s="7"/>
      <c r="I6802" s="8" t="s">
        <v>4491</v>
      </c>
      <c r="J6802" s="8" t="s">
        <v>4491</v>
      </c>
      <c r="K6802" s="6" t="str">
        <f>"22.800,00"</f>
        <v>22.800,00</v>
      </c>
      <c r="L6802" s="6" t="str">
        <f>"5.700,00"</f>
        <v>5.700,00</v>
      </c>
      <c r="M6802" s="6" t="str">
        <f>"28.500,00"</f>
        <v>28.500,00</v>
      </c>
      <c r="N6802" s="8" t="s">
        <v>124</v>
      </c>
      <c r="O6802" s="7"/>
      <c r="P6802" s="2" t="s">
        <v>5614</v>
      </c>
      <c r="Q6802" s="7"/>
      <c r="R6802" s="1"/>
      <c r="S6802" s="1" t="str">
        <f>"J-UN-2017-2365"</f>
        <v>J-UN-2017-2365</v>
      </c>
      <c r="T6802" s="1" t="s">
        <v>32</v>
      </c>
    </row>
    <row r="6803" spans="1:20" ht="63.75" x14ac:dyDescent="0.25">
      <c r="A6803" s="6">
        <v>6782</v>
      </c>
      <c r="B6803" s="1" t="str">
        <f>"2017-2657"</f>
        <v>2017-2657</v>
      </c>
      <c r="C6803" s="1" t="s">
        <v>5231</v>
      </c>
      <c r="D6803" s="1" t="s">
        <v>3358</v>
      </c>
      <c r="E6803" s="1" t="str">
        <f>""</f>
        <v/>
      </c>
      <c r="F6803" s="1" t="s">
        <v>1860</v>
      </c>
      <c r="G6803" s="1" t="str">
        <f>CONCATENATE(" GRADITELJSTVO PAVE VUKELIĆ D.O.O.,"," LUKARSKA,"," LUKARIŠĆE 43,"," 10370 DUGO SELO,"," OIB: 21229144792")</f>
        <v xml:space="preserve"> GRADITELJSTVO PAVE VUKELIĆ D.O.O., LUKARSKA, LUKARIŠĆE 43, 10370 DUGO SELO, OIB: 21229144792</v>
      </c>
      <c r="H6803" s="7"/>
      <c r="I6803" s="8" t="s">
        <v>4769</v>
      </c>
      <c r="J6803" s="8" t="s">
        <v>4769</v>
      </c>
      <c r="K6803" s="6" t="str">
        <f>"69.965,00"</f>
        <v>69.965,00</v>
      </c>
      <c r="L6803" s="6" t="str">
        <f>"17.491,25"</f>
        <v>17.491,25</v>
      </c>
      <c r="M6803" s="6" t="str">
        <f>"87.456,25"</f>
        <v>87.456,25</v>
      </c>
      <c r="N6803" s="8" t="s">
        <v>4794</v>
      </c>
      <c r="O6803" s="7"/>
      <c r="P6803" s="2" t="s">
        <v>8893</v>
      </c>
      <c r="Q6803" s="7"/>
      <c r="R6803" s="1"/>
      <c r="S6803" s="1" t="str">
        <f>"J-UN-2017-2366"</f>
        <v>J-UN-2017-2366</v>
      </c>
      <c r="T6803" s="1" t="s">
        <v>32</v>
      </c>
    </row>
    <row r="6804" spans="1:20" ht="51" x14ac:dyDescent="0.25">
      <c r="A6804" s="6">
        <v>6783</v>
      </c>
      <c r="B6804" s="1" t="str">
        <f>"2017-1236"</f>
        <v>2017-1236</v>
      </c>
      <c r="C6804" s="1" t="s">
        <v>5232</v>
      </c>
      <c r="D6804" s="1" t="s">
        <v>1619</v>
      </c>
      <c r="E6804" s="1" t="str">
        <f>""</f>
        <v/>
      </c>
      <c r="F6804" s="1" t="s">
        <v>1860</v>
      </c>
      <c r="G6804" s="1" t="str">
        <f>CONCATENATE(" DREZGA D.O.O.,"," OBRTNIČKA 2,"," 10437 BESTOVJE,"," OIB: 46535283602")</f>
        <v xml:space="preserve"> DREZGA D.O.O., OBRTNIČKA 2, 10437 BESTOVJE, OIB: 46535283602</v>
      </c>
      <c r="H6804" s="7"/>
      <c r="I6804" s="8" t="s">
        <v>3509</v>
      </c>
      <c r="J6804" s="8" t="s">
        <v>3703</v>
      </c>
      <c r="K6804" s="6" t="str">
        <f>"7.016,59"</f>
        <v>7.016,59</v>
      </c>
      <c r="L6804" s="6" t="str">
        <f>"1.754,15"</f>
        <v>1.754,15</v>
      </c>
      <c r="M6804" s="6" t="str">
        <f>"8.770,74"</f>
        <v>8.770,74</v>
      </c>
      <c r="N6804" s="8" t="s">
        <v>4641</v>
      </c>
      <c r="O6804" s="7"/>
      <c r="P6804" s="2" t="s">
        <v>8894</v>
      </c>
      <c r="Q6804" s="7"/>
      <c r="R6804" s="1"/>
      <c r="S6804" s="1" t="str">
        <f>"J-UN-2017-2412"</f>
        <v>J-UN-2017-2412</v>
      </c>
      <c r="T6804" s="1" t="s">
        <v>32</v>
      </c>
    </row>
    <row r="6805" spans="1:20" ht="51" x14ac:dyDescent="0.25">
      <c r="A6805" s="6">
        <v>6784</v>
      </c>
      <c r="B6805" s="1" t="str">
        <f>"2017-1993"</f>
        <v>2017-1993</v>
      </c>
      <c r="C6805" s="1" t="s">
        <v>5233</v>
      </c>
      <c r="D6805" s="1" t="s">
        <v>5234</v>
      </c>
      <c r="E6805" s="1" t="str">
        <f>""</f>
        <v/>
      </c>
      <c r="F6805" s="1" t="s">
        <v>1860</v>
      </c>
      <c r="G6805" s="1" t="str">
        <f>CONCATENATE(" ROTEL D.O.O.,"," IVANE BRLIĆ MAŽURANIĆ 3,"," 10000 ZAGREB,"," OIB: 15126680753")</f>
        <v xml:space="preserve"> ROTEL D.O.O., IVANE BRLIĆ MAŽURANIĆ 3, 10000 ZAGREB, OIB: 15126680753</v>
      </c>
      <c r="H6805" s="7"/>
      <c r="I6805" s="8" t="s">
        <v>4491</v>
      </c>
      <c r="J6805" s="8" t="s">
        <v>3764</v>
      </c>
      <c r="K6805" s="6" t="str">
        <f>"332,80"</f>
        <v>332,80</v>
      </c>
      <c r="L6805" s="6" t="str">
        <f>"83,20"</f>
        <v>83,20</v>
      </c>
      <c r="M6805" s="6" t="str">
        <f>"416,00"</f>
        <v>416,00</v>
      </c>
      <c r="N6805" s="8" t="s">
        <v>124</v>
      </c>
      <c r="O6805" s="7"/>
      <c r="P6805" s="2" t="s">
        <v>5614</v>
      </c>
      <c r="Q6805" s="7"/>
      <c r="R6805" s="1"/>
      <c r="S6805" s="1" t="str">
        <f>"J-UN-2017-2414"</f>
        <v>J-UN-2017-2414</v>
      </c>
      <c r="T6805" s="1" t="s">
        <v>32</v>
      </c>
    </row>
    <row r="6806" spans="1:20" ht="51" x14ac:dyDescent="0.25">
      <c r="A6806" s="6">
        <v>6785</v>
      </c>
      <c r="B6806" s="1" t="str">
        <f>"2017-1028"</f>
        <v>2017-1028</v>
      </c>
      <c r="C6806" s="1" t="s">
        <v>2781</v>
      </c>
      <c r="D6806" s="1" t="s">
        <v>1458</v>
      </c>
      <c r="E6806" s="1" t="str">
        <f>""</f>
        <v/>
      </c>
      <c r="F6806" s="1" t="s">
        <v>1860</v>
      </c>
      <c r="G6806" s="1" t="str">
        <f>CONCATENATE(" DELTRON D.O.O.,"," VUKOVARSKA 148,"," 21000 SPLIT,"," OIB: 36118056137")</f>
        <v xml:space="preserve"> DELTRON D.O.O., VUKOVARSKA 148, 21000 SPLIT, OIB: 36118056137</v>
      </c>
      <c r="H6806" s="7"/>
      <c r="I6806" s="8" t="s">
        <v>5235</v>
      </c>
      <c r="J6806" s="8" t="s">
        <v>3509</v>
      </c>
      <c r="K6806" s="6" t="str">
        <f>"24.168,00"</f>
        <v>24.168,00</v>
      </c>
      <c r="L6806" s="6" t="str">
        <f>"6.042,00"</f>
        <v>6.042,00</v>
      </c>
      <c r="M6806" s="6" t="str">
        <f>"30.210,00"</f>
        <v>30.210,00</v>
      </c>
      <c r="N6806" s="8" t="s">
        <v>3913</v>
      </c>
      <c r="O6806" s="7"/>
      <c r="P6806" s="2" t="s">
        <v>8895</v>
      </c>
      <c r="Q6806" s="7"/>
      <c r="R6806" s="1"/>
      <c r="S6806" s="1" t="str">
        <f>"J-UN-2017-2432"</f>
        <v>J-UN-2017-2432</v>
      </c>
      <c r="T6806" s="1" t="s">
        <v>32</v>
      </c>
    </row>
    <row r="6807" spans="1:20" ht="38.25" x14ac:dyDescent="0.25">
      <c r="A6807" s="6">
        <v>6786</v>
      </c>
      <c r="B6807" s="1" t="str">
        <f>"2017-2024"</f>
        <v>2017-2024</v>
      </c>
      <c r="C6807" s="1" t="s">
        <v>3131</v>
      </c>
      <c r="D6807" s="1" t="s">
        <v>1859</v>
      </c>
      <c r="E6807" s="1" t="str">
        <f>""</f>
        <v/>
      </c>
      <c r="F6807" s="1" t="s">
        <v>1860</v>
      </c>
      <c r="G6807" s="1" t="str">
        <f>CONCATENATE(" NARODNE NOVINE D.D.,"," ,"," OIB: 64546066176")</f>
        <v xml:space="preserve"> NARODNE NOVINE D.D., , OIB: 64546066176</v>
      </c>
      <c r="H6807" s="7"/>
      <c r="I6807" s="8" t="s">
        <v>3764</v>
      </c>
      <c r="J6807" s="8" t="s">
        <v>3627</v>
      </c>
      <c r="K6807" s="6" t="str">
        <f>"3.600,00"</f>
        <v>3.600,00</v>
      </c>
      <c r="L6807" s="6" t="str">
        <f>"900,00"</f>
        <v>900,00</v>
      </c>
      <c r="M6807" s="6" t="str">
        <f>"4.500,00"</f>
        <v>4.500,00</v>
      </c>
      <c r="N6807" s="8" t="s">
        <v>124</v>
      </c>
      <c r="O6807" s="7"/>
      <c r="P6807" s="2" t="s">
        <v>5614</v>
      </c>
      <c r="Q6807" s="7"/>
      <c r="R6807" s="1"/>
      <c r="S6807" s="1" t="str">
        <f>"J-UN-2017-2457"</f>
        <v>J-UN-2017-2457</v>
      </c>
      <c r="T6807" s="1" t="s">
        <v>32</v>
      </c>
    </row>
    <row r="6808" spans="1:20" ht="51" x14ac:dyDescent="0.25">
      <c r="A6808" s="6">
        <v>6787</v>
      </c>
      <c r="B6808" s="1" t="str">
        <f>"2017-1788"</f>
        <v>2017-1788</v>
      </c>
      <c r="C6808" s="1" t="s">
        <v>5236</v>
      </c>
      <c r="D6808" s="1" t="s">
        <v>1859</v>
      </c>
      <c r="E6808" s="1" t="str">
        <f>""</f>
        <v/>
      </c>
      <c r="F6808" s="1" t="s">
        <v>1860</v>
      </c>
      <c r="G6808" s="1" t="str">
        <f>CONCATENATE(" AGENCIJA APPA D.O.O,"," MOSTARSKA 67,"," 22000 ŠIBENIK,"," OIB: 37357453647")</f>
        <v xml:space="preserve"> AGENCIJA APPA D.O.O, MOSTARSKA 67, 22000 ŠIBENIK, OIB: 37357453647</v>
      </c>
      <c r="H6808" s="7"/>
      <c r="I6808" s="8" t="s">
        <v>5235</v>
      </c>
      <c r="J6808" s="8" t="s">
        <v>3509</v>
      </c>
      <c r="K6808" s="6" t="str">
        <f>"6.200,00"</f>
        <v>6.200,00</v>
      </c>
      <c r="L6808" s="6" t="str">
        <f>"1.550,00"</f>
        <v>1.550,00</v>
      </c>
      <c r="M6808" s="6" t="str">
        <f>"7.750,00"</f>
        <v>7.750,00</v>
      </c>
      <c r="N6808" s="8" t="s">
        <v>124</v>
      </c>
      <c r="O6808" s="7"/>
      <c r="P6808" s="2" t="s">
        <v>5614</v>
      </c>
      <c r="Q6808" s="7"/>
      <c r="R6808" s="1"/>
      <c r="S6808" s="1" t="str">
        <f>"J-UN-2017-2469"</f>
        <v>J-UN-2017-2469</v>
      </c>
      <c r="T6808" s="1" t="s">
        <v>32</v>
      </c>
    </row>
    <row r="6809" spans="1:20" ht="25.5" x14ac:dyDescent="0.25">
      <c r="A6809" s="6">
        <v>6788</v>
      </c>
      <c r="B6809" s="1" t="str">
        <f>"2017-1528"</f>
        <v>2017-1528</v>
      </c>
      <c r="C6809" s="1" t="s">
        <v>4653</v>
      </c>
      <c r="D6809" s="1" t="s">
        <v>2903</v>
      </c>
      <c r="E6809" s="1" t="str">
        <f>""</f>
        <v/>
      </c>
      <c r="F6809" s="1" t="s">
        <v>1860</v>
      </c>
      <c r="G6809" s="1" t="str">
        <f>CONCATENATE(" MACK-M.K. D.O.O.,"," ,"," OIB: 88145820908")</f>
        <v xml:space="preserve"> MACK-M.K. D.O.O., , OIB: 88145820908</v>
      </c>
      <c r="H6809" s="7"/>
      <c r="I6809" s="8" t="s">
        <v>4543</v>
      </c>
      <c r="J6809" s="8" t="s">
        <v>3706</v>
      </c>
      <c r="K6809" s="6" t="str">
        <f>"3.745,00"</f>
        <v>3.745,00</v>
      </c>
      <c r="L6809" s="6" t="str">
        <f>"936,25"</f>
        <v>936,25</v>
      </c>
      <c r="M6809" s="6" t="str">
        <f>"4.681,25"</f>
        <v>4.681,25</v>
      </c>
      <c r="N6809" s="8" t="s">
        <v>124</v>
      </c>
      <c r="O6809" s="7"/>
      <c r="P6809" s="2" t="s">
        <v>5614</v>
      </c>
      <c r="Q6809" s="7"/>
      <c r="R6809" s="1"/>
      <c r="S6809" s="1" t="str">
        <f>"J-UN-2017-2532"</f>
        <v>J-UN-2017-2532</v>
      </c>
      <c r="T6809" s="1" t="s">
        <v>32</v>
      </c>
    </row>
    <row r="6810" spans="1:20" ht="51" x14ac:dyDescent="0.25">
      <c r="A6810" s="6">
        <v>6789</v>
      </c>
      <c r="B6810" s="1" t="str">
        <f>"2017-2809"</f>
        <v>2017-2809</v>
      </c>
      <c r="C6810" s="1" t="s">
        <v>5237</v>
      </c>
      <c r="D6810" s="1" t="s">
        <v>854</v>
      </c>
      <c r="E6810" s="1" t="str">
        <f>""</f>
        <v/>
      </c>
      <c r="F6810" s="1" t="s">
        <v>1860</v>
      </c>
      <c r="G6810" s="1" t="str">
        <f>CONCATENATE(" BIRODOM D.O.O.,"," UL. HOJNIKOVA 19,"," 10250 LUČKO,"," OIB: 47794513055")</f>
        <v xml:space="preserve"> BIRODOM D.O.O., UL. HOJNIKOVA 19, 10250 LUČKO, OIB: 47794513055</v>
      </c>
      <c r="H6810" s="7"/>
      <c r="I6810" s="8" t="s">
        <v>4543</v>
      </c>
      <c r="J6810" s="8" t="s">
        <v>4487</v>
      </c>
      <c r="K6810" s="6" t="str">
        <f>"174.855,51"</f>
        <v>174.855,51</v>
      </c>
      <c r="L6810" s="6" t="str">
        <f>"43.713,88"</f>
        <v>43.713,88</v>
      </c>
      <c r="M6810" s="6" t="str">
        <f>"218.569,39"</f>
        <v>218.569,39</v>
      </c>
      <c r="N6810" s="8" t="s">
        <v>4800</v>
      </c>
      <c r="O6810" s="7"/>
      <c r="P6810" s="2" t="s">
        <v>8896</v>
      </c>
      <c r="Q6810" s="7"/>
      <c r="R6810" s="1"/>
      <c r="S6810" s="1" t="str">
        <f>"J-UN-2017-2534"</f>
        <v>J-UN-2017-2534</v>
      </c>
      <c r="T6810" s="1" t="s">
        <v>32</v>
      </c>
    </row>
    <row r="6811" spans="1:20" ht="51" x14ac:dyDescent="0.25">
      <c r="A6811" s="6">
        <v>6790</v>
      </c>
      <c r="B6811" s="1" t="str">
        <f>"2017-2811"</f>
        <v>2017-2811</v>
      </c>
      <c r="C6811" s="1" t="s">
        <v>5238</v>
      </c>
      <c r="D6811" s="1" t="s">
        <v>854</v>
      </c>
      <c r="E6811" s="1" t="str">
        <f>""</f>
        <v/>
      </c>
      <c r="F6811" s="1" t="s">
        <v>1860</v>
      </c>
      <c r="G6811" s="1" t="str">
        <f>CONCATENATE(" ZVIBOR D.O.O.,"," ZAVRTNICA 36,"," 10000 ZAGREB,"," OIB: 03454358063")</f>
        <v xml:space="preserve"> ZVIBOR D.O.O., ZAVRTNICA 36, 10000 ZAGREB, OIB: 03454358063</v>
      </c>
      <c r="H6811" s="7"/>
      <c r="I6811" s="8" t="s">
        <v>3722</v>
      </c>
      <c r="J6811" s="8" t="s">
        <v>4012</v>
      </c>
      <c r="K6811" s="6" t="str">
        <f>"190.723,00"</f>
        <v>190.723,00</v>
      </c>
      <c r="L6811" s="6" t="str">
        <f>"47.680,75"</f>
        <v>47.680,75</v>
      </c>
      <c r="M6811" s="6" t="str">
        <f>"238.403,75"</f>
        <v>238.403,75</v>
      </c>
      <c r="N6811" s="8" t="s">
        <v>3635</v>
      </c>
      <c r="O6811" s="7"/>
      <c r="P6811" s="2" t="s">
        <v>8897</v>
      </c>
      <c r="Q6811" s="7"/>
      <c r="R6811" s="1"/>
      <c r="S6811" s="1" t="str">
        <f>"J-UN-2017-2536"</f>
        <v>J-UN-2017-2536</v>
      </c>
      <c r="T6811" s="1" t="s">
        <v>32</v>
      </c>
    </row>
    <row r="6812" spans="1:20" ht="76.5" x14ac:dyDescent="0.25">
      <c r="A6812" s="6">
        <v>6791</v>
      </c>
      <c r="B6812" s="1" t="str">
        <f>"2017-1382"</f>
        <v>2017-1382</v>
      </c>
      <c r="C6812" s="1" t="s">
        <v>2703</v>
      </c>
      <c r="D6812" s="1" t="s">
        <v>2704</v>
      </c>
      <c r="E6812" s="1" t="str">
        <f>""</f>
        <v/>
      </c>
      <c r="F6812" s="1" t="s">
        <v>1860</v>
      </c>
      <c r="G6812" s="1" t="str">
        <f>CONCATENATE(" SMIT-COMMERCE D.O.O.,"," GORNJOSTUPNIČKA 9B,"," 10255 GORNJI STUPNIK,"," OIB: 9524348214")</f>
        <v xml:space="preserve"> SMIT-COMMERCE D.O.O., GORNJOSTUPNIČKA 9B, 10255 GORNJI STUPNIK, OIB: 9524348214</v>
      </c>
      <c r="H6812" s="7"/>
      <c r="I6812" s="8" t="s">
        <v>3732</v>
      </c>
      <c r="J6812" s="8" t="s">
        <v>5239</v>
      </c>
      <c r="K6812" s="6" t="str">
        <f>"2.966,60"</f>
        <v>2.966,60</v>
      </c>
      <c r="L6812" s="6" t="str">
        <f>"741,65"</f>
        <v>741,65</v>
      </c>
      <c r="M6812" s="6" t="str">
        <f>"3.708,25"</f>
        <v>3.708,25</v>
      </c>
      <c r="N6812" s="8" t="s">
        <v>3873</v>
      </c>
      <c r="O6812" s="7"/>
      <c r="P6812" s="2" t="s">
        <v>8898</v>
      </c>
      <c r="Q6812" s="7"/>
      <c r="R6812" s="1"/>
      <c r="S6812" s="1" t="str">
        <f>"J-UN-2017-2566"</f>
        <v>J-UN-2017-2566</v>
      </c>
      <c r="T6812" s="1" t="s">
        <v>32</v>
      </c>
    </row>
    <row r="6813" spans="1:20" ht="51" x14ac:dyDescent="0.25">
      <c r="A6813" s="6">
        <v>6792</v>
      </c>
      <c r="B6813" s="1" t="str">
        <f>"2017-2111"</f>
        <v>2017-2111</v>
      </c>
      <c r="C6813" s="1" t="s">
        <v>5144</v>
      </c>
      <c r="D6813" s="1" t="s">
        <v>1726</v>
      </c>
      <c r="E6813" s="1" t="str">
        <f>""</f>
        <v/>
      </c>
      <c r="F6813" s="1" t="s">
        <v>1860</v>
      </c>
      <c r="G6813" s="1" t="str">
        <f>CONCATENATE(" MBM VRTNI CENTAR D.O.O.,"," DOLENICA 8,"," 10250 LUČKO,"," OIB: 19462674595")</f>
        <v xml:space="preserve"> MBM VRTNI CENTAR D.O.O., DOLENICA 8, 10250 LUČKO, OIB: 19462674595</v>
      </c>
      <c r="H6813" s="7"/>
      <c r="I6813" s="8" t="s">
        <v>3856</v>
      </c>
      <c r="J6813" s="8" t="s">
        <v>4487</v>
      </c>
      <c r="K6813" s="6" t="str">
        <f>"26.851,00"</f>
        <v>26.851,00</v>
      </c>
      <c r="L6813" s="6" t="str">
        <f>"6.712,75"</f>
        <v>6.712,75</v>
      </c>
      <c r="M6813" s="6" t="str">
        <f>"33.563,75"</f>
        <v>33.563,75</v>
      </c>
      <c r="N6813" s="8" t="s">
        <v>3962</v>
      </c>
      <c r="O6813" s="7"/>
      <c r="P6813" s="2" t="s">
        <v>8899</v>
      </c>
      <c r="Q6813" s="1"/>
      <c r="R6813" s="1"/>
      <c r="S6813" s="1" t="str">
        <f>"J-UN-2017-2605"</f>
        <v>J-UN-2017-2605</v>
      </c>
      <c r="T6813" s="1" t="s">
        <v>32</v>
      </c>
    </row>
    <row r="6814" spans="1:20" ht="51" x14ac:dyDescent="0.25">
      <c r="A6814" s="6">
        <v>6793</v>
      </c>
      <c r="B6814" s="1" t="str">
        <f>"2017-2527"</f>
        <v>2017-2527</v>
      </c>
      <c r="C6814" s="1" t="s">
        <v>5173</v>
      </c>
      <c r="D6814" s="1" t="s">
        <v>2331</v>
      </c>
      <c r="E6814" s="1" t="str">
        <f>""</f>
        <v/>
      </c>
      <c r="F6814" s="1" t="s">
        <v>1860</v>
      </c>
      <c r="G6814" s="1" t="str">
        <f>CONCATENATE(" MCCANN D.O.O.,"," HEINZELOVA 33/A,"," 10000 ZAGREB,"," OIB: 18233649487")</f>
        <v xml:space="preserve"> MCCANN D.O.O., HEINZELOVA 33/A, 10000 ZAGREB, OIB: 18233649487</v>
      </c>
      <c r="H6814" s="7"/>
      <c r="I6814" s="8" t="s">
        <v>3924</v>
      </c>
      <c r="J6814" s="8" t="s">
        <v>3927</v>
      </c>
      <c r="K6814" s="6" t="str">
        <f>"2.173,00"</f>
        <v>2.173,00</v>
      </c>
      <c r="L6814" s="6" t="str">
        <f>"543,25"</f>
        <v>543,25</v>
      </c>
      <c r="M6814" s="6" t="str">
        <f>"2.716,25"</f>
        <v>2.716,25</v>
      </c>
      <c r="N6814" s="8" t="s">
        <v>124</v>
      </c>
      <c r="O6814" s="7"/>
      <c r="P6814" s="2" t="s">
        <v>5614</v>
      </c>
      <c r="Q6814" s="7"/>
      <c r="R6814" s="1"/>
      <c r="S6814" s="1" t="str">
        <f>"J-UN-2017-2606"</f>
        <v>J-UN-2017-2606</v>
      </c>
      <c r="T6814" s="1" t="s">
        <v>32</v>
      </c>
    </row>
    <row r="6815" spans="1:20" ht="51" x14ac:dyDescent="0.25">
      <c r="A6815" s="6">
        <v>6794</v>
      </c>
      <c r="B6815" s="1" t="str">
        <f>"2017-1631"</f>
        <v>2017-1631</v>
      </c>
      <c r="C6815" s="1" t="s">
        <v>2730</v>
      </c>
      <c r="D6815" s="1" t="s">
        <v>1203</v>
      </c>
      <c r="E6815" s="1" t="str">
        <f>""</f>
        <v/>
      </c>
      <c r="F6815" s="1" t="s">
        <v>1860</v>
      </c>
      <c r="G6815" s="1" t="str">
        <f>CONCATENATE(" DIATEH D.O.O.,"," HRASTOVIČKA ULICA 33,"," 10250 LUČKO,"," OIB: 36086299082")</f>
        <v xml:space="preserve"> DIATEH D.O.O., HRASTOVIČKA ULICA 33, 10250 LUČKO, OIB: 36086299082</v>
      </c>
      <c r="H6815" s="7"/>
      <c r="I6815" s="8" t="s">
        <v>3856</v>
      </c>
      <c r="J6815" s="8" t="s">
        <v>3722</v>
      </c>
      <c r="K6815" s="6" t="str">
        <f>"76.038,00"</f>
        <v>76.038,00</v>
      </c>
      <c r="L6815" s="6" t="str">
        <f>"19.009,50"</f>
        <v>19.009,50</v>
      </c>
      <c r="M6815" s="6" t="str">
        <f>"95.047,50"</f>
        <v>95.047,50</v>
      </c>
      <c r="N6815" s="8" t="s">
        <v>5240</v>
      </c>
      <c r="O6815" s="7"/>
      <c r="P6815" s="2" t="s">
        <v>8900</v>
      </c>
      <c r="Q6815" s="7"/>
      <c r="R6815" s="1"/>
      <c r="S6815" s="1" t="str">
        <f>"J-UN-2017-2610"</f>
        <v>J-UN-2017-2610</v>
      </c>
      <c r="T6815" s="1" t="s">
        <v>32</v>
      </c>
    </row>
    <row r="6816" spans="1:20" ht="63.75" x14ac:dyDescent="0.25">
      <c r="A6816" s="6">
        <v>6795</v>
      </c>
      <c r="B6816" s="1" t="str">
        <f>"2017-1653"</f>
        <v>2017-1653</v>
      </c>
      <c r="C6816" s="1" t="s">
        <v>2937</v>
      </c>
      <c r="D6816" s="1" t="s">
        <v>2938</v>
      </c>
      <c r="E6816" s="1" t="str">
        <f>""</f>
        <v/>
      </c>
      <c r="F6816" s="1" t="s">
        <v>1860</v>
      </c>
      <c r="G6816" s="1" t="str">
        <f>CONCATENATE(" DRÄGER SAFETY D.O.O.,"," AVENIJA VEĆESLAVA HOLJEVCA 40,"," 10010 ZAGREB,"," OIB: 32874587842")</f>
        <v xml:space="preserve"> DRÄGER SAFETY D.O.O., AVENIJA VEĆESLAVA HOLJEVCA 40, 10010 ZAGREB, OIB: 32874587842</v>
      </c>
      <c r="H6816" s="7"/>
      <c r="I6816" s="8" t="s">
        <v>4788</v>
      </c>
      <c r="J6816" s="8" t="s">
        <v>3827</v>
      </c>
      <c r="K6816" s="6" t="str">
        <f>"18.728,47"</f>
        <v>18.728,47</v>
      </c>
      <c r="L6816" s="6" t="str">
        <f>"4.682,12"</f>
        <v>4.682,12</v>
      </c>
      <c r="M6816" s="6" t="str">
        <f>"23.410,59"</f>
        <v>23.410,59</v>
      </c>
      <c r="N6816" s="8" t="s">
        <v>4845</v>
      </c>
      <c r="O6816" s="7"/>
      <c r="P6816" s="2" t="s">
        <v>8901</v>
      </c>
      <c r="Q6816" s="7"/>
      <c r="R6816" s="1"/>
      <c r="S6816" s="1" t="str">
        <f>"J-UN-2017-2710"</f>
        <v>J-UN-2017-2710</v>
      </c>
      <c r="T6816" s="1" t="s">
        <v>32</v>
      </c>
    </row>
    <row r="6817" spans="1:20" ht="63.75" x14ac:dyDescent="0.25">
      <c r="A6817" s="6">
        <v>6796</v>
      </c>
      <c r="B6817" s="1" t="str">
        <f>"2017-1880"</f>
        <v>2017-1880</v>
      </c>
      <c r="C6817" s="1" t="s">
        <v>5241</v>
      </c>
      <c r="D6817" s="1" t="s">
        <v>2493</v>
      </c>
      <c r="E6817" s="1" t="str">
        <f>""</f>
        <v/>
      </c>
      <c r="F6817" s="1" t="s">
        <v>1860</v>
      </c>
      <c r="G6817" s="1" t="str">
        <f>CONCATENATE(" VOLVO GROUP CROATIA D.O.O.,"," KARLOVAČKA CESTA 94,"," 10000 ZAGREB,"," OIB: 88704563307")</f>
        <v xml:space="preserve"> VOLVO GROUP CROATIA D.O.O., KARLOVAČKA CESTA 94, 10000 ZAGREB, OIB: 88704563307</v>
      </c>
      <c r="H6817" s="7"/>
      <c r="I6817" s="8" t="s">
        <v>5239</v>
      </c>
      <c r="J6817" s="8" t="s">
        <v>5242</v>
      </c>
      <c r="K6817" s="6" t="str">
        <f>"4.410,98"</f>
        <v>4.410,98</v>
      </c>
      <c r="L6817" s="6" t="str">
        <f>"1.102,74"</f>
        <v>1.102,74</v>
      </c>
      <c r="M6817" s="6" t="str">
        <f>"5.513,72"</f>
        <v>5.513,72</v>
      </c>
      <c r="N6817" s="8" t="s">
        <v>3737</v>
      </c>
      <c r="O6817" s="7"/>
      <c r="P6817" s="2" t="s">
        <v>8902</v>
      </c>
      <c r="Q6817" s="7"/>
      <c r="R6817" s="1"/>
      <c r="S6817" s="1" t="str">
        <f>"J-UN-2017-2718"</f>
        <v>J-UN-2017-2718</v>
      </c>
      <c r="T6817" s="1" t="s">
        <v>32</v>
      </c>
    </row>
    <row r="6818" spans="1:20" ht="63.75" x14ac:dyDescent="0.25">
      <c r="A6818" s="6">
        <v>6797</v>
      </c>
      <c r="B6818" s="1" t="str">
        <f>"2017-1145"</f>
        <v>2017-1145</v>
      </c>
      <c r="C6818" s="1" t="s">
        <v>3312</v>
      </c>
      <c r="D6818" s="1" t="s">
        <v>21</v>
      </c>
      <c r="E6818" s="1" t="str">
        <f>""</f>
        <v/>
      </c>
      <c r="F6818" s="1" t="s">
        <v>1860</v>
      </c>
      <c r="G6818" s="1" t="str">
        <f>CONCATENATE(" GUMIIMPEX - GRP D.O.O.,"," PAVLEKA MIŠKINE 64C,"," 42000 VARAŽDIN,"," OIB: 8229856262")</f>
        <v xml:space="preserve"> GUMIIMPEX - GRP D.O.O., PAVLEKA MIŠKINE 64C, 42000 VARAŽDIN, OIB: 8229856262</v>
      </c>
      <c r="H6818" s="7"/>
      <c r="I6818" s="8" t="s">
        <v>3732</v>
      </c>
      <c r="J6818" s="8" t="s">
        <v>5239</v>
      </c>
      <c r="K6818" s="6" t="str">
        <f>"240,00"</f>
        <v>240,00</v>
      </c>
      <c r="L6818" s="6" t="str">
        <f>"60,00"</f>
        <v>60,00</v>
      </c>
      <c r="M6818" s="6" t="str">
        <f>"300,00"</f>
        <v>300,00</v>
      </c>
      <c r="N6818" s="8" t="s">
        <v>4831</v>
      </c>
      <c r="O6818" s="7"/>
      <c r="P6818" s="2" t="s">
        <v>8903</v>
      </c>
      <c r="Q6818" s="7"/>
      <c r="R6818" s="1"/>
      <c r="S6818" s="1" t="str">
        <f>"J-UN-2017-2731"</f>
        <v>J-UN-2017-2731</v>
      </c>
      <c r="T6818" s="1" t="s">
        <v>32</v>
      </c>
    </row>
    <row r="6819" spans="1:20" ht="63.75" x14ac:dyDescent="0.25">
      <c r="A6819" s="6">
        <v>6798</v>
      </c>
      <c r="B6819" s="1" t="str">
        <f>"2017-1268"</f>
        <v>2017-1268</v>
      </c>
      <c r="C6819" s="1" t="s">
        <v>2563</v>
      </c>
      <c r="D6819" s="1" t="s">
        <v>914</v>
      </c>
      <c r="E6819" s="1" t="str">
        <f>""</f>
        <v/>
      </c>
      <c r="F6819" s="1" t="s">
        <v>1860</v>
      </c>
      <c r="G6819" s="1" t="str">
        <f>CONCATENATE(" AUTO KUĆA KOVAČEVIĆ D.O.O.,"," BUKOVAC GORNJI 1/A,"," 10000 ZAGREB,"," OIB: 84485812058")</f>
        <v xml:space="preserve"> AUTO KUĆA KOVAČEVIĆ D.O.O., BUKOVAC GORNJI 1/A, 10000 ZAGREB, OIB: 84485812058</v>
      </c>
      <c r="H6819" s="7"/>
      <c r="I6819" s="8" t="s">
        <v>3714</v>
      </c>
      <c r="J6819" s="8" t="s">
        <v>3934</v>
      </c>
      <c r="K6819" s="6" t="str">
        <f>"1.240,51"</f>
        <v>1.240,51</v>
      </c>
      <c r="L6819" s="6" t="str">
        <f>"310,13"</f>
        <v>310,13</v>
      </c>
      <c r="M6819" s="6" t="str">
        <f>"1.550,64"</f>
        <v>1.550,64</v>
      </c>
      <c r="N6819" s="8" t="s">
        <v>4546</v>
      </c>
      <c r="O6819" s="7"/>
      <c r="P6819" s="2" t="s">
        <v>8904</v>
      </c>
      <c r="Q6819" s="7"/>
      <c r="R6819" s="1"/>
      <c r="S6819" s="1" t="str">
        <f>"J-UN-2017-2753"</f>
        <v>J-UN-2017-2753</v>
      </c>
      <c r="T6819" s="1" t="s">
        <v>32</v>
      </c>
    </row>
    <row r="6820" spans="1:20" ht="51" x14ac:dyDescent="0.25">
      <c r="A6820" s="6">
        <v>6799</v>
      </c>
      <c r="B6820" s="1" t="str">
        <f>"2017-2062"</f>
        <v>2017-2062</v>
      </c>
      <c r="C6820" s="1" t="s">
        <v>3313</v>
      </c>
      <c r="D6820" s="1" t="s">
        <v>1383</v>
      </c>
      <c r="E6820" s="1" t="str">
        <f>""</f>
        <v/>
      </c>
      <c r="F6820" s="1" t="s">
        <v>1860</v>
      </c>
      <c r="G6820" s="1" t="str">
        <f>CONCATENATE(" KERA TERM TRGOVINA D.O.O.,"," 14. TROKUT 19,"," 10000 ZAGREB,"," OIB: 42570728116")</f>
        <v xml:space="preserve"> KERA TERM TRGOVINA D.O.O., 14. TROKUT 19, 10000 ZAGREB, OIB: 42570728116</v>
      </c>
      <c r="H6820" s="7"/>
      <c r="I6820" s="8" t="s">
        <v>3931</v>
      </c>
      <c r="J6820" s="8" t="s">
        <v>3714</v>
      </c>
      <c r="K6820" s="6" t="str">
        <f>"25.072,70"</f>
        <v>25.072,70</v>
      </c>
      <c r="L6820" s="6" t="str">
        <f>"6.268,18"</f>
        <v>6.268,18</v>
      </c>
      <c r="M6820" s="6" t="str">
        <f>"31.340,88"</f>
        <v>31.340,88</v>
      </c>
      <c r="N6820" s="8" t="s">
        <v>3939</v>
      </c>
      <c r="O6820" s="7"/>
      <c r="P6820" s="2" t="s">
        <v>8905</v>
      </c>
      <c r="Q6820" s="7"/>
      <c r="R6820" s="1"/>
      <c r="S6820" s="1" t="str">
        <f>"J-UN-2017-2769"</f>
        <v>J-UN-2017-2769</v>
      </c>
      <c r="T6820" s="1" t="s">
        <v>32</v>
      </c>
    </row>
    <row r="6821" spans="1:20" ht="51" x14ac:dyDescent="0.25">
      <c r="A6821" s="6">
        <v>6800</v>
      </c>
      <c r="B6821" s="1" t="str">
        <f>"2017-2454"</f>
        <v>2017-2454</v>
      </c>
      <c r="C6821" s="1" t="s">
        <v>5243</v>
      </c>
      <c r="D6821" s="1" t="s">
        <v>1261</v>
      </c>
      <c r="E6821" s="1" t="str">
        <f>""</f>
        <v/>
      </c>
      <c r="F6821" s="1" t="s">
        <v>1860</v>
      </c>
      <c r="G6821" s="1" t="str">
        <f>CONCATENATE(" ARBORI CULTURA D.O.O.,"," POKUPSKO 86,"," 10414 POKUPSKO,"," OIB: 16690651659")</f>
        <v xml:space="preserve"> ARBORI CULTURA D.O.O., POKUPSKO 86, 10414 POKUPSKO, OIB: 16690651659</v>
      </c>
      <c r="H6821" s="7"/>
      <c r="I6821" s="8" t="s">
        <v>4788</v>
      </c>
      <c r="J6821" s="8" t="s">
        <v>4788</v>
      </c>
      <c r="K6821" s="6" t="str">
        <f>"24.670,00"</f>
        <v>24.670,00</v>
      </c>
      <c r="L6821" s="6" t="str">
        <f>"6.167,50"</f>
        <v>6.167,50</v>
      </c>
      <c r="M6821" s="6" t="str">
        <f>"30.837,50"</f>
        <v>30.837,50</v>
      </c>
      <c r="N6821" s="8" t="s">
        <v>3723</v>
      </c>
      <c r="O6821" s="7"/>
      <c r="P6821" s="2" t="s">
        <v>8906</v>
      </c>
      <c r="Q6821" s="7"/>
      <c r="R6821" s="1"/>
      <c r="S6821" s="1" t="str">
        <f>"J-UN-2017-2805"</f>
        <v>J-UN-2017-2805</v>
      </c>
      <c r="T6821" s="1" t="s">
        <v>32</v>
      </c>
    </row>
    <row r="6822" spans="1:20" ht="63.75" x14ac:dyDescent="0.25">
      <c r="A6822" s="6">
        <v>6801</v>
      </c>
      <c r="B6822" s="1" t="str">
        <f>"2017-2527"</f>
        <v>2017-2527</v>
      </c>
      <c r="C6822" s="1" t="s">
        <v>5173</v>
      </c>
      <c r="D6822" s="1" t="s">
        <v>2331</v>
      </c>
      <c r="E6822" s="1" t="str">
        <f>""</f>
        <v/>
      </c>
      <c r="F6822" s="1" t="s">
        <v>1860</v>
      </c>
      <c r="G6822" s="1" t="str">
        <f>CONCATENATE(" HENDRIH FELDBAUER D.O.O.,"," ANTUNA BAUERA 2,"," 10000 ZAGREB,"," OIB: 22564207533")</f>
        <v xml:space="preserve"> HENDRIH FELDBAUER D.O.O., ANTUNA BAUERA 2, 10000 ZAGREB, OIB: 22564207533</v>
      </c>
      <c r="H6822" s="7"/>
      <c r="I6822" s="8" t="s">
        <v>4788</v>
      </c>
      <c r="J6822" s="8" t="s">
        <v>3827</v>
      </c>
      <c r="K6822" s="6" t="str">
        <f>"9.620,60"</f>
        <v>9.620,60</v>
      </c>
      <c r="L6822" s="6" t="str">
        <f>"2.405,15"</f>
        <v>2.405,15</v>
      </c>
      <c r="M6822" s="6" t="str">
        <f>"12.025,75"</f>
        <v>12.025,75</v>
      </c>
      <c r="N6822" s="8" t="s">
        <v>124</v>
      </c>
      <c r="O6822" s="7"/>
      <c r="P6822" s="2" t="s">
        <v>5614</v>
      </c>
      <c r="Q6822" s="7"/>
      <c r="R6822" s="1"/>
      <c r="S6822" s="1" t="str">
        <f>"J-UN-2017-2836"</f>
        <v>J-UN-2017-2836</v>
      </c>
      <c r="T6822" s="1" t="s">
        <v>32</v>
      </c>
    </row>
    <row r="6823" spans="1:20" ht="63.75" x14ac:dyDescent="0.25">
      <c r="A6823" s="6">
        <v>6802</v>
      </c>
      <c r="B6823" s="1" t="str">
        <f>"2017-2507"</f>
        <v>2017-2507</v>
      </c>
      <c r="C6823" s="1" t="s">
        <v>5151</v>
      </c>
      <c r="D6823" s="1" t="s">
        <v>1065</v>
      </c>
      <c r="E6823" s="1" t="str">
        <f>""</f>
        <v/>
      </c>
      <c r="F6823" s="1" t="s">
        <v>1860</v>
      </c>
      <c r="G6823" s="1" t="str">
        <f>CONCATENATE(" FLEET RENT A CAR D.O.O.,"," ANDRIJE HEBRANGA 32,"," 10000 ZAGREB,"," OIB: 5950444323")</f>
        <v xml:space="preserve"> FLEET RENT A CAR D.O.O., ANDRIJE HEBRANGA 32, 10000 ZAGREB, OIB: 5950444323</v>
      </c>
      <c r="H6823" s="7"/>
      <c r="I6823" s="8" t="s">
        <v>5239</v>
      </c>
      <c r="J6823" s="8" t="s">
        <v>5242</v>
      </c>
      <c r="K6823" s="6" t="str">
        <f>"29.000,00"</f>
        <v>29.000,00</v>
      </c>
      <c r="L6823" s="6" t="str">
        <f>"7.250,00"</f>
        <v>7.250,00</v>
      </c>
      <c r="M6823" s="6" t="str">
        <f>"36.250,00"</f>
        <v>36.250,00</v>
      </c>
      <c r="N6823" s="8" t="s">
        <v>124</v>
      </c>
      <c r="O6823" s="7"/>
      <c r="P6823" s="2" t="s">
        <v>5614</v>
      </c>
      <c r="Q6823" s="7"/>
      <c r="R6823" s="1"/>
      <c r="S6823" s="1" t="str">
        <f>"J-UN-2017-2847"</f>
        <v>J-UN-2017-2847</v>
      </c>
      <c r="T6823" s="1" t="s">
        <v>32</v>
      </c>
    </row>
    <row r="6824" spans="1:20" ht="51" x14ac:dyDescent="0.25">
      <c r="A6824" s="6">
        <v>6803</v>
      </c>
      <c r="B6824" s="1" t="str">
        <f>"2017-2754"</f>
        <v>2017-2754</v>
      </c>
      <c r="C6824" s="1" t="s">
        <v>5244</v>
      </c>
      <c r="D6824" s="1" t="s">
        <v>381</v>
      </c>
      <c r="E6824" s="1" t="str">
        <f>""</f>
        <v/>
      </c>
      <c r="F6824" s="1" t="s">
        <v>1860</v>
      </c>
      <c r="G6824" s="1" t="str">
        <f>CONCATENATE(" CROATIAINSPECT D.O.O.,"," TKALČIĆEVA 7,"," 10000 ZAGREB,"," OIB: 17295810199")</f>
        <v xml:space="preserve"> CROATIAINSPECT D.O.O., TKALČIĆEVA 7, 10000 ZAGREB, OIB: 17295810199</v>
      </c>
      <c r="H6824" s="7"/>
      <c r="I6824" s="8" t="s">
        <v>4554</v>
      </c>
      <c r="J6824" s="8" t="s">
        <v>3756</v>
      </c>
      <c r="K6824" s="6" t="str">
        <f>"6.800,00"</f>
        <v>6.800,00</v>
      </c>
      <c r="L6824" s="6" t="str">
        <f>"1.700,00"</f>
        <v>1.700,00</v>
      </c>
      <c r="M6824" s="6" t="str">
        <f>"8.500,00"</f>
        <v>8.500,00</v>
      </c>
      <c r="N6824" s="7"/>
      <c r="O6824" s="9">
        <v>43383</v>
      </c>
      <c r="P6824" s="2" t="s">
        <v>5614</v>
      </c>
      <c r="Q6824" s="7"/>
      <c r="R6824" s="1"/>
      <c r="S6824" s="1" t="str">
        <f>"J-UN-2017-2894"</f>
        <v>J-UN-2017-2894</v>
      </c>
      <c r="T6824" s="1" t="s">
        <v>32</v>
      </c>
    </row>
    <row r="6825" spans="1:20" ht="63.75" x14ac:dyDescent="0.25">
      <c r="A6825" s="6">
        <v>6804</v>
      </c>
      <c r="B6825" s="1" t="str">
        <f>"2017-1873"</f>
        <v>2017-1873</v>
      </c>
      <c r="C6825" s="1" t="s">
        <v>2677</v>
      </c>
      <c r="D6825" s="1" t="s">
        <v>2678</v>
      </c>
      <c r="E6825" s="1" t="str">
        <f>""</f>
        <v/>
      </c>
      <c r="F6825" s="1" t="s">
        <v>1860</v>
      </c>
      <c r="G6825" s="1" t="str">
        <f>CONCATENATE(" GRADSKA LJEKARNA ZAGREB,"," KRALJA DRŽISLAVA 6,"," 10000 ZAGREB,"," OIB: 37268254106")</f>
        <v xml:space="preserve"> GRADSKA LJEKARNA ZAGREB, KRALJA DRŽISLAVA 6, 10000 ZAGREB, OIB: 37268254106</v>
      </c>
      <c r="H6825" s="7"/>
      <c r="I6825" s="8" t="s">
        <v>3718</v>
      </c>
      <c r="J6825" s="8" t="s">
        <v>4800</v>
      </c>
      <c r="K6825" s="6" t="str">
        <f>"610,55"</f>
        <v>610,55</v>
      </c>
      <c r="L6825" s="6" t="str">
        <f>"152,64"</f>
        <v>152,64</v>
      </c>
      <c r="M6825" s="6" t="str">
        <f>"763,19"</f>
        <v>763,19</v>
      </c>
      <c r="N6825" s="8" t="s">
        <v>124</v>
      </c>
      <c r="O6825" s="7"/>
      <c r="P6825" s="2" t="s">
        <v>5614</v>
      </c>
      <c r="Q6825" s="7"/>
      <c r="R6825" s="1"/>
      <c r="S6825" s="1" t="str">
        <f>"J-UN-2017-2902"</f>
        <v>J-UN-2017-2902</v>
      </c>
      <c r="T6825" s="1" t="s">
        <v>32</v>
      </c>
    </row>
    <row r="6826" spans="1:20" ht="76.5" x14ac:dyDescent="0.25">
      <c r="A6826" s="6">
        <v>6805</v>
      </c>
      <c r="B6826" s="1" t="str">
        <f>"2017-1723"</f>
        <v>2017-1723</v>
      </c>
      <c r="C6826" s="1" t="s">
        <v>5169</v>
      </c>
      <c r="D6826" s="1" t="s">
        <v>880</v>
      </c>
      <c r="E6826" s="1" t="str">
        <f>""</f>
        <v/>
      </c>
      <c r="F6826" s="1" t="s">
        <v>1860</v>
      </c>
      <c r="G6826" s="1" t="str">
        <f>CONCATENATE(" NASTAVNI ZAVOD ZA JAVNO ZDRAVSTVO DR. ANDRIJA ŠTAMPAR,"," MIROGOJSKA CESTA 16,"," 10000 ZAGREB,"," OIB: 3339200596")</f>
        <v xml:space="preserve"> NASTAVNI ZAVOD ZA JAVNO ZDRAVSTVO DR. ANDRIJA ŠTAMPAR, MIROGOJSKA CESTA 16, 10000 ZAGREB, OIB: 3339200596</v>
      </c>
      <c r="H6826" s="7"/>
      <c r="I6826" s="8" t="s">
        <v>3953</v>
      </c>
      <c r="J6826" s="8" t="s">
        <v>4803</v>
      </c>
      <c r="K6826" s="6" t="str">
        <f>"2.880,00"</f>
        <v>2.880,00</v>
      </c>
      <c r="L6826" s="6" t="str">
        <f>"720,00"</f>
        <v>720,00</v>
      </c>
      <c r="M6826" s="6" t="str">
        <f>"3.600,00"</f>
        <v>3.600,00</v>
      </c>
      <c r="N6826" s="8" t="s">
        <v>5205</v>
      </c>
      <c r="O6826" s="7"/>
      <c r="P6826" s="2" t="s">
        <v>8907</v>
      </c>
      <c r="Q6826" s="7"/>
      <c r="R6826" s="1"/>
      <c r="S6826" s="1" t="str">
        <f>"J-UN-2017-2911"</f>
        <v>J-UN-2017-2911</v>
      </c>
      <c r="T6826" s="1" t="s">
        <v>32</v>
      </c>
    </row>
    <row r="6827" spans="1:20" ht="51" x14ac:dyDescent="0.25">
      <c r="A6827" s="6">
        <v>6806</v>
      </c>
      <c r="B6827" s="1" t="str">
        <f>"2017-2267"</f>
        <v>2017-2267</v>
      </c>
      <c r="C6827" s="1" t="s">
        <v>5184</v>
      </c>
      <c r="D6827" s="1" t="s">
        <v>689</v>
      </c>
      <c r="E6827" s="1" t="str">
        <f>""</f>
        <v/>
      </c>
      <c r="F6827" s="1" t="s">
        <v>1860</v>
      </c>
      <c r="G6827" s="1" t="str">
        <f>CONCATENATE(" BILAĆ COLOR D.O.O.,"," VODIĆKA 24,"," 10000 ZAGREB,"," OIB: 54294753")</f>
        <v xml:space="preserve"> BILAĆ COLOR D.O.O., VODIĆKA 24, 10000 ZAGREB, OIB: 54294753</v>
      </c>
      <c r="H6827" s="7"/>
      <c r="I6827" s="8" t="s">
        <v>4554</v>
      </c>
      <c r="J6827" s="8" t="s">
        <v>3756</v>
      </c>
      <c r="K6827" s="6" t="str">
        <f>"484,10"</f>
        <v>484,10</v>
      </c>
      <c r="L6827" s="6" t="str">
        <f>"121,02"</f>
        <v>121,02</v>
      </c>
      <c r="M6827" s="6" t="str">
        <f>"605,12"</f>
        <v>605,12</v>
      </c>
      <c r="N6827" s="8" t="s">
        <v>5245</v>
      </c>
      <c r="O6827" s="7"/>
      <c r="P6827" s="2" t="s">
        <v>8908</v>
      </c>
      <c r="Q6827" s="7"/>
      <c r="R6827" s="1"/>
      <c r="S6827" s="1" t="str">
        <f>"J-UN-2017-2923"</f>
        <v>J-UN-2017-2923</v>
      </c>
      <c r="T6827" s="1" t="s">
        <v>32</v>
      </c>
    </row>
    <row r="6828" spans="1:20" ht="51" x14ac:dyDescent="0.25">
      <c r="A6828" s="6">
        <v>6807</v>
      </c>
      <c r="B6828" s="1" t="str">
        <f>"2017-650"</f>
        <v>2017-650</v>
      </c>
      <c r="C6828" s="1" t="s">
        <v>5246</v>
      </c>
      <c r="D6828" s="1" t="s">
        <v>3091</v>
      </c>
      <c r="E6828" s="1" t="str">
        <f>""</f>
        <v/>
      </c>
      <c r="F6828" s="1" t="s">
        <v>1860</v>
      </c>
      <c r="G6828" s="1" t="str">
        <f>CONCATENATE(" MEGA MONT D.O.O.,"," POPOVIĆEV PUT 2/D,"," 51211 MATULJI,"," OIB: 64536314217")</f>
        <v xml:space="preserve"> MEGA MONT D.O.O., POPOVIĆEV PUT 2/D, 51211 MATULJI, OIB: 64536314217</v>
      </c>
      <c r="H6828" s="7"/>
      <c r="I6828" s="8" t="s">
        <v>3523</v>
      </c>
      <c r="J6828" s="8" t="s">
        <v>4554</v>
      </c>
      <c r="K6828" s="6" t="str">
        <f>"1.690,00"</f>
        <v>1.690,00</v>
      </c>
      <c r="L6828" s="6" t="str">
        <f>"422,50"</f>
        <v>422,50</v>
      </c>
      <c r="M6828" s="6" t="str">
        <f>"2.112,50"</f>
        <v>2.112,50</v>
      </c>
      <c r="N6828" s="8" t="s">
        <v>3513</v>
      </c>
      <c r="O6828" s="7"/>
      <c r="P6828" s="2" t="s">
        <v>7239</v>
      </c>
      <c r="Q6828" s="7"/>
      <c r="R6828" s="1"/>
      <c r="S6828" s="1" t="str">
        <f>"J-UN-2017-2950"</f>
        <v>J-UN-2017-2950</v>
      </c>
      <c r="T6828" s="1" t="s">
        <v>32</v>
      </c>
    </row>
    <row r="6829" spans="1:20" ht="51" x14ac:dyDescent="0.25">
      <c r="A6829" s="6">
        <v>6808</v>
      </c>
      <c r="B6829" s="1" t="str">
        <f>"2017-1911"</f>
        <v>2017-1911</v>
      </c>
      <c r="C6829" s="1" t="s">
        <v>5020</v>
      </c>
      <c r="D6829" s="1" t="s">
        <v>815</v>
      </c>
      <c r="E6829" s="1" t="str">
        <f>""</f>
        <v/>
      </c>
      <c r="F6829" s="1" t="s">
        <v>1860</v>
      </c>
      <c r="G6829" s="1" t="str">
        <f>CONCATENATE(" DROBILEC D.O.O.,"," MATUNOVA 14,"," 10000 ZAGREB,"," OIB: 87772955929")</f>
        <v xml:space="preserve"> DROBILEC D.O.O., MATUNOVA 14, 10000 ZAGREB, OIB: 87772955929</v>
      </c>
      <c r="H6829" s="7"/>
      <c r="I6829" s="8" t="s">
        <v>3827</v>
      </c>
      <c r="J6829" s="8" t="s">
        <v>3737</v>
      </c>
      <c r="K6829" s="6" t="str">
        <f>"500,00"</f>
        <v>500,00</v>
      </c>
      <c r="L6829" s="6" t="str">
        <f>"125,00"</f>
        <v>125,00</v>
      </c>
      <c r="M6829" s="6" t="str">
        <f>"625,00"</f>
        <v>625,00</v>
      </c>
      <c r="N6829" s="8" t="s">
        <v>124</v>
      </c>
      <c r="O6829" s="7"/>
      <c r="P6829" s="2" t="s">
        <v>5614</v>
      </c>
      <c r="Q6829" s="7"/>
      <c r="R6829" s="1"/>
      <c r="S6829" s="1" t="str">
        <f>"J-UN-2017-2965"</f>
        <v>J-UN-2017-2965</v>
      </c>
      <c r="T6829" s="1" t="s">
        <v>32</v>
      </c>
    </row>
    <row r="6830" spans="1:20" ht="63.75" x14ac:dyDescent="0.25">
      <c r="A6830" s="6">
        <v>6809</v>
      </c>
      <c r="B6830" s="1" t="str">
        <f>"2017-2268"</f>
        <v>2017-2268</v>
      </c>
      <c r="C6830" s="1" t="s">
        <v>5247</v>
      </c>
      <c r="D6830" s="1" t="s">
        <v>2827</v>
      </c>
      <c r="E6830" s="1" t="str">
        <f>""</f>
        <v/>
      </c>
      <c r="F6830" s="1" t="s">
        <v>1860</v>
      </c>
      <c r="G6830" s="1" t="str">
        <f>CONCATENATE(" TOKIĆ D.O.O.,"," ULICA 144. BRIGADE HRVATSKE VOJSKE 1A,"," 10360 SESVETE,"," OIB: 7486748762")</f>
        <v xml:space="preserve"> TOKIĆ D.O.O., ULICA 144. BRIGADE HRVATSKE VOJSKE 1A, 10360 SESVETE, OIB: 7486748762</v>
      </c>
      <c r="H6830" s="7"/>
      <c r="I6830" s="8" t="s">
        <v>3578</v>
      </c>
      <c r="J6830" s="8" t="s">
        <v>3957</v>
      </c>
      <c r="K6830" s="6" t="str">
        <f>"14.454,66"</f>
        <v>14.454,66</v>
      </c>
      <c r="L6830" s="6" t="str">
        <f>"3.613,66"</f>
        <v>3.613,66</v>
      </c>
      <c r="M6830" s="6" t="str">
        <f>"18.068,32"</f>
        <v>18.068,32</v>
      </c>
      <c r="N6830" s="8" t="s">
        <v>3840</v>
      </c>
      <c r="O6830" s="7"/>
      <c r="P6830" s="2" t="s">
        <v>8909</v>
      </c>
      <c r="Q6830" s="7"/>
      <c r="R6830" s="1"/>
      <c r="S6830" s="1" t="str">
        <f>"J-UN-2017-2967"</f>
        <v>J-UN-2017-2967</v>
      </c>
      <c r="T6830" s="1" t="s">
        <v>32</v>
      </c>
    </row>
    <row r="6831" spans="1:20" ht="51" x14ac:dyDescent="0.25">
      <c r="A6831" s="6">
        <v>6810</v>
      </c>
      <c r="B6831" s="1" t="str">
        <f>"2017-513"</f>
        <v>2017-513</v>
      </c>
      <c r="C6831" s="1" t="s">
        <v>2747</v>
      </c>
      <c r="D6831" s="1" t="s">
        <v>1334</v>
      </c>
      <c r="E6831" s="1" t="str">
        <f>""</f>
        <v/>
      </c>
      <c r="F6831" s="1" t="s">
        <v>1860</v>
      </c>
      <c r="G6831" s="1" t="str">
        <f>CONCATENATE(" SCHEDA D.O.O.,"," LJUDEVITA POSAVSKOG 29,"," 10360 SESVETE,"," OIB: 76219817247")</f>
        <v xml:space="preserve"> SCHEDA D.O.O., LJUDEVITA POSAVSKOG 29, 10360 SESVETE, OIB: 76219817247</v>
      </c>
      <c r="H6831" s="7"/>
      <c r="I6831" s="8" t="s">
        <v>4554</v>
      </c>
      <c r="J6831" s="8" t="s">
        <v>4554</v>
      </c>
      <c r="K6831" s="6" t="str">
        <f>"1.820,00"</f>
        <v>1.820,00</v>
      </c>
      <c r="L6831" s="6" t="str">
        <f>"455,00"</f>
        <v>455,00</v>
      </c>
      <c r="M6831" s="6" t="str">
        <f>"2.275,00"</f>
        <v>2.275,00</v>
      </c>
      <c r="N6831" s="8" t="s">
        <v>124</v>
      </c>
      <c r="O6831" s="7"/>
      <c r="P6831" s="2" t="s">
        <v>5614</v>
      </c>
      <c r="Q6831" s="7"/>
      <c r="R6831" s="1"/>
      <c r="S6831" s="1" t="str">
        <f>"J-UN-2017-2974"</f>
        <v>J-UN-2017-2974</v>
      </c>
      <c r="T6831" s="1" t="s">
        <v>32</v>
      </c>
    </row>
    <row r="6832" spans="1:20" ht="51" x14ac:dyDescent="0.25">
      <c r="A6832" s="6">
        <v>6811</v>
      </c>
      <c r="B6832" s="1" t="str">
        <f>"2017-1989"</f>
        <v>2017-1989</v>
      </c>
      <c r="C6832" s="1" t="s">
        <v>5248</v>
      </c>
      <c r="D6832" s="1" t="s">
        <v>5249</v>
      </c>
      <c r="E6832" s="1" t="str">
        <f>""</f>
        <v/>
      </c>
      <c r="F6832" s="1" t="s">
        <v>1860</v>
      </c>
      <c r="G6832" s="1" t="str">
        <f>CONCATENATE(" INFOLAB E.I. D.O.O.,"," SOKOLGRADSKA 28,"," 10000 ZAGREB,"," OIB: 41823200992")</f>
        <v xml:space="preserve"> INFOLAB E.I. D.O.O., SOKOLGRADSKA 28, 10000 ZAGREB, OIB: 41823200992</v>
      </c>
      <c r="H6832" s="7"/>
      <c r="I6832" s="8" t="s">
        <v>4788</v>
      </c>
      <c r="J6832" s="8" t="s">
        <v>3827</v>
      </c>
      <c r="K6832" s="6" t="str">
        <f>"5.377,20"</f>
        <v>5.377,20</v>
      </c>
      <c r="L6832" s="6" t="str">
        <f>"1.344,30"</f>
        <v>1.344,30</v>
      </c>
      <c r="M6832" s="6" t="str">
        <f>"6.721,50"</f>
        <v>6.721,50</v>
      </c>
      <c r="N6832" s="8" t="s">
        <v>124</v>
      </c>
      <c r="O6832" s="7"/>
      <c r="P6832" s="2" t="s">
        <v>5614</v>
      </c>
      <c r="Q6832" s="7"/>
      <c r="R6832" s="1"/>
      <c r="S6832" s="1" t="str">
        <f>"J-UN-2017-2976"</f>
        <v>J-UN-2017-2976</v>
      </c>
      <c r="T6832" s="1" t="s">
        <v>32</v>
      </c>
    </row>
    <row r="6833" spans="1:20" ht="51" x14ac:dyDescent="0.25">
      <c r="A6833" s="6">
        <v>6812</v>
      </c>
      <c r="B6833" s="1" t="str">
        <f>"2017-1063"</f>
        <v>2017-1063</v>
      </c>
      <c r="C6833" s="1" t="s">
        <v>2779</v>
      </c>
      <c r="D6833" s="1" t="s">
        <v>2780</v>
      </c>
      <c r="E6833" s="1" t="str">
        <f>""</f>
        <v/>
      </c>
      <c r="F6833" s="1" t="s">
        <v>1860</v>
      </c>
      <c r="G6833" s="1" t="str">
        <f>CONCATENATE(" LEXPERA D.O.O.,"," TUŠKANOVA 37,"," 10000 ZAGREB,"," OIB: 79506290597")</f>
        <v xml:space="preserve"> LEXPERA D.O.O., TUŠKANOVA 37, 10000 ZAGREB, OIB: 79506290597</v>
      </c>
      <c r="H6833" s="7"/>
      <c r="I6833" s="8" t="s">
        <v>3827</v>
      </c>
      <c r="J6833" s="8" t="s">
        <v>3737</v>
      </c>
      <c r="K6833" s="6" t="str">
        <f>"2.550,00"</f>
        <v>2.550,00</v>
      </c>
      <c r="L6833" s="6" t="str">
        <f>"637,50"</f>
        <v>637,50</v>
      </c>
      <c r="M6833" s="6" t="str">
        <f>"3.187,50"</f>
        <v>3.187,50</v>
      </c>
      <c r="N6833" s="8" t="s">
        <v>124</v>
      </c>
      <c r="O6833" s="7"/>
      <c r="P6833" s="2" t="s">
        <v>5614</v>
      </c>
      <c r="Q6833" s="7"/>
      <c r="R6833" s="1"/>
      <c r="S6833" s="1" t="str">
        <f>"J-UN-2017-2978"</f>
        <v>J-UN-2017-2978</v>
      </c>
      <c r="T6833" s="1" t="s">
        <v>32</v>
      </c>
    </row>
    <row r="6834" spans="1:20" ht="63.75" x14ac:dyDescent="0.25">
      <c r="A6834" s="6">
        <v>6813</v>
      </c>
      <c r="B6834" s="1" t="str">
        <f>"2017-1734"</f>
        <v>2017-1734</v>
      </c>
      <c r="C6834" s="1" t="s">
        <v>5146</v>
      </c>
      <c r="D6834" s="1" t="s">
        <v>2988</v>
      </c>
      <c r="E6834" s="1" t="str">
        <f>""</f>
        <v/>
      </c>
      <c r="F6834" s="1" t="s">
        <v>1860</v>
      </c>
      <c r="G6834" s="1" t="str">
        <f>CONCATENATE(" LANIŠTE D.O.O.,"," ALEXANDERA VON HUMBOLDTA 4B,"," 10000 ZAGREB,"," OIB: 3755384865")</f>
        <v xml:space="preserve"> LANIŠTE D.O.O., ALEXANDERA VON HUMBOLDTA 4B, 10000 ZAGREB, OIB: 3755384865</v>
      </c>
      <c r="H6834" s="7"/>
      <c r="I6834" s="8" t="s">
        <v>3737</v>
      </c>
      <c r="J6834" s="8" t="s">
        <v>4794</v>
      </c>
      <c r="K6834" s="6" t="str">
        <f>"6.050,00"</f>
        <v>6.050,00</v>
      </c>
      <c r="L6834" s="6" t="str">
        <f>"1.512,50"</f>
        <v>1.512,50</v>
      </c>
      <c r="M6834" s="6" t="str">
        <f>"7.562,50"</f>
        <v>7.562,50</v>
      </c>
      <c r="N6834" s="8" t="s">
        <v>5242</v>
      </c>
      <c r="O6834" s="7"/>
      <c r="P6834" s="2" t="s">
        <v>6424</v>
      </c>
      <c r="Q6834" s="7"/>
      <c r="R6834" s="1"/>
      <c r="S6834" s="1" t="str">
        <f>"J-UN-2017-2989"</f>
        <v>J-UN-2017-2989</v>
      </c>
      <c r="T6834" s="1" t="s">
        <v>32</v>
      </c>
    </row>
    <row r="6835" spans="1:20" ht="63.75" x14ac:dyDescent="0.25">
      <c r="A6835" s="6">
        <v>6814</v>
      </c>
      <c r="B6835" s="1" t="str">
        <f>"2017-992"</f>
        <v>2017-992</v>
      </c>
      <c r="C6835" s="1" t="s">
        <v>2984</v>
      </c>
      <c r="D6835" s="1" t="s">
        <v>2985</v>
      </c>
      <c r="E6835" s="1" t="str">
        <f>""</f>
        <v/>
      </c>
      <c r="F6835" s="1" t="s">
        <v>1860</v>
      </c>
      <c r="G6835" s="1" t="str">
        <f>CONCATENATE(" LANIŠTE D.O.O.,"," ALEXANDERA VON HUMBOLDTA 4B,"," 10000 ZAGREB,"," OIB: 3755384865")</f>
        <v xml:space="preserve"> LANIŠTE D.O.O., ALEXANDERA VON HUMBOLDTA 4B, 10000 ZAGREB, OIB: 3755384865</v>
      </c>
      <c r="H6835" s="7"/>
      <c r="I6835" s="8" t="s">
        <v>3737</v>
      </c>
      <c r="J6835" s="8" t="s">
        <v>4794</v>
      </c>
      <c r="K6835" s="6" t="str">
        <f>"6.050,00"</f>
        <v>6.050,00</v>
      </c>
      <c r="L6835" s="6" t="str">
        <f>"1.512,50"</f>
        <v>1.512,50</v>
      </c>
      <c r="M6835" s="6" t="str">
        <f>"7.562,50"</f>
        <v>7.562,50</v>
      </c>
      <c r="N6835" s="8" t="s">
        <v>5242</v>
      </c>
      <c r="O6835" s="7"/>
      <c r="P6835" s="2" t="s">
        <v>6424</v>
      </c>
      <c r="Q6835" s="7"/>
      <c r="R6835" s="1"/>
      <c r="S6835" s="1" t="str">
        <f>"J-UN-2017-2991"</f>
        <v>J-UN-2017-2991</v>
      </c>
      <c r="T6835" s="1" t="s">
        <v>32</v>
      </c>
    </row>
    <row r="6836" spans="1:20" ht="25.5" x14ac:dyDescent="0.25">
      <c r="A6836" s="6">
        <v>6815</v>
      </c>
      <c r="B6836" s="1" t="str">
        <f>"2017-2667"</f>
        <v>2017-2667</v>
      </c>
      <c r="C6836" s="1" t="s">
        <v>2685</v>
      </c>
      <c r="D6836" s="1" t="s">
        <v>2686</v>
      </c>
      <c r="E6836" s="1" t="str">
        <f>""</f>
        <v/>
      </c>
      <c r="F6836" s="1" t="s">
        <v>1860</v>
      </c>
      <c r="G6836" s="1" t="str">
        <f>CONCATENATE(" PAN-PROM D.O.O.,"," ,"," OIB: 2922488175")</f>
        <v xml:space="preserve"> PAN-PROM D.O.O., , OIB: 2922488175</v>
      </c>
      <c r="H6836" s="7"/>
      <c r="I6836" s="8" t="s">
        <v>4479</v>
      </c>
      <c r="J6836" s="8" t="s">
        <v>4479</v>
      </c>
      <c r="K6836" s="6" t="str">
        <f>"3.135,50"</f>
        <v>3.135,50</v>
      </c>
      <c r="L6836" s="6" t="str">
        <f>"783,88"</f>
        <v>783,88</v>
      </c>
      <c r="M6836" s="6" t="str">
        <f>"3.919,38"</f>
        <v>3.919,38</v>
      </c>
      <c r="N6836" s="8" t="s">
        <v>5250</v>
      </c>
      <c r="O6836" s="7"/>
      <c r="P6836" s="2" t="s">
        <v>5804</v>
      </c>
      <c r="Q6836" s="7"/>
      <c r="R6836" s="1"/>
      <c r="S6836" s="1" t="str">
        <f>"J-UN-2017-3032"</f>
        <v>J-UN-2017-3032</v>
      </c>
      <c r="T6836" s="1" t="s">
        <v>32</v>
      </c>
    </row>
    <row r="6837" spans="1:20" ht="63.75" x14ac:dyDescent="0.25">
      <c r="A6837" s="6">
        <v>6816</v>
      </c>
      <c r="B6837" s="1" t="str">
        <f>"2017-1682"</f>
        <v>2017-1682</v>
      </c>
      <c r="C6837" s="1" t="s">
        <v>5251</v>
      </c>
      <c r="D6837" s="1" t="s">
        <v>689</v>
      </c>
      <c r="E6837" s="1" t="str">
        <f>""</f>
        <v/>
      </c>
      <c r="F6837" s="1" t="s">
        <v>1860</v>
      </c>
      <c r="G6837" s="1" t="str">
        <f>CONCATENATE(" PROFI BAUCENTAR D.O.O.,"," SLAVONSKA AVENIJA 17,"," 10040 ZAGREB,"," OIB: 61095212969")</f>
        <v xml:space="preserve"> PROFI BAUCENTAR D.O.O., SLAVONSKA AVENIJA 17, 10040 ZAGREB, OIB: 61095212969</v>
      </c>
      <c r="H6837" s="7"/>
      <c r="I6837" s="8" t="s">
        <v>3756</v>
      </c>
      <c r="J6837" s="8" t="s">
        <v>3756</v>
      </c>
      <c r="K6837" s="6" t="str">
        <f>"905,00"</f>
        <v>905,00</v>
      </c>
      <c r="L6837" s="6" t="str">
        <f>"226,25"</f>
        <v>226,25</v>
      </c>
      <c r="M6837" s="6" t="str">
        <f>"1.131,25"</f>
        <v>1.131,25</v>
      </c>
      <c r="N6837" s="8" t="s">
        <v>5250</v>
      </c>
      <c r="O6837" s="7"/>
      <c r="P6837" s="2" t="s">
        <v>8910</v>
      </c>
      <c r="Q6837" s="7"/>
      <c r="R6837" s="1"/>
      <c r="S6837" s="1" t="str">
        <f>"J-UN-2017-3054"</f>
        <v>J-UN-2017-3054</v>
      </c>
      <c r="T6837" s="1" t="s">
        <v>32</v>
      </c>
    </row>
    <row r="6838" spans="1:20" ht="51" x14ac:dyDescent="0.25">
      <c r="A6838" s="6">
        <v>6817</v>
      </c>
      <c r="B6838" s="1" t="str">
        <f>"2017-1253"</f>
        <v>2017-1253</v>
      </c>
      <c r="C6838" s="1" t="s">
        <v>5252</v>
      </c>
      <c r="D6838" s="1" t="s">
        <v>815</v>
      </c>
      <c r="E6838" s="1" t="str">
        <f>""</f>
        <v/>
      </c>
      <c r="F6838" s="1" t="s">
        <v>1860</v>
      </c>
      <c r="G6838" s="1" t="str">
        <f>CONCATENATE(" CIAK TOOLS D.O.O.,"," KOVINSKA 4,"," 10090 ZAGREB-SUSEDGRAD,"," OIB: 26004523816")</f>
        <v xml:space="preserve"> CIAK TOOLS D.O.O., KOVINSKA 4, 10090 ZAGREB-SUSEDGRAD, OIB: 26004523816</v>
      </c>
      <c r="H6838" s="7"/>
      <c r="I6838" s="8" t="s">
        <v>5066</v>
      </c>
      <c r="J6838" s="8" t="s">
        <v>5066</v>
      </c>
      <c r="K6838" s="6" t="str">
        <f>"643,50"</f>
        <v>643,50</v>
      </c>
      <c r="L6838" s="6" t="str">
        <f>"160,88"</f>
        <v>160,88</v>
      </c>
      <c r="M6838" s="6" t="str">
        <f>"804,38"</f>
        <v>804,38</v>
      </c>
      <c r="N6838" s="8" t="s">
        <v>5253</v>
      </c>
      <c r="O6838" s="7"/>
      <c r="P6838" s="2" t="s">
        <v>8911</v>
      </c>
      <c r="Q6838" s="7"/>
      <c r="R6838" s="1"/>
      <c r="S6838" s="1" t="str">
        <f>"J-UN-2017-3070"</f>
        <v>J-UN-2017-3070</v>
      </c>
      <c r="T6838" s="1" t="s">
        <v>32</v>
      </c>
    </row>
    <row r="6839" spans="1:20" ht="51" x14ac:dyDescent="0.25">
      <c r="A6839" s="6">
        <v>6818</v>
      </c>
      <c r="B6839" s="1" t="str">
        <f>"2017-1834"</f>
        <v>2017-1834</v>
      </c>
      <c r="C6839" s="1" t="s">
        <v>3057</v>
      </c>
      <c r="D6839" s="1" t="s">
        <v>486</v>
      </c>
      <c r="E6839" s="1" t="str">
        <f>""</f>
        <v/>
      </c>
      <c r="F6839" s="1" t="s">
        <v>1860</v>
      </c>
      <c r="G6839" s="1" t="str">
        <f>CONCATENATE(" HEP ELEKTRA D.O.O.,"," GUNDULIĆEVA 32,"," 10000 ZAGREB,"," OIB: 43965974818")</f>
        <v xml:space="preserve"> HEP ELEKTRA D.O.O., GUNDULIĆEVA 32, 10000 ZAGREB, OIB: 43965974818</v>
      </c>
      <c r="H6839" s="7"/>
      <c r="I6839" s="8" t="s">
        <v>3723</v>
      </c>
      <c r="J6839" s="8" t="s">
        <v>3723</v>
      </c>
      <c r="K6839" s="6" t="str">
        <f>"3.785,17"</f>
        <v>3.785,17</v>
      </c>
      <c r="L6839" s="6" t="str">
        <f>"946,29"</f>
        <v>946,29</v>
      </c>
      <c r="M6839" s="6" t="str">
        <f>"4.731,46"</f>
        <v>4.731,46</v>
      </c>
      <c r="N6839" s="8" t="s">
        <v>3752</v>
      </c>
      <c r="O6839" s="7"/>
      <c r="P6839" s="2" t="s">
        <v>8912</v>
      </c>
      <c r="Q6839" s="7"/>
      <c r="R6839" s="1"/>
      <c r="S6839" s="1" t="str">
        <f>"J-UN-2017-3098"</f>
        <v>J-UN-2017-3098</v>
      </c>
      <c r="T6839" s="1" t="s">
        <v>32</v>
      </c>
    </row>
    <row r="6840" spans="1:20" ht="63.75" x14ac:dyDescent="0.25">
      <c r="A6840" s="6">
        <v>6819</v>
      </c>
      <c r="B6840" s="1" t="str">
        <f>"2017-516"</f>
        <v>2017-516</v>
      </c>
      <c r="C6840" s="1" t="s">
        <v>2572</v>
      </c>
      <c r="D6840" s="1" t="s">
        <v>2573</v>
      </c>
      <c r="E6840" s="1" t="str">
        <f>""</f>
        <v/>
      </c>
      <c r="F6840" s="1" t="s">
        <v>1860</v>
      </c>
      <c r="G6840" s="1" t="str">
        <f>CONCATENATE(" SECURITAS HRVATSKA D.O.O.,"," ZAGREBAČKA CESTA 145A,"," 10000 ZAGREB,"," OIB: 33679708526")</f>
        <v xml:space="preserve"> SECURITAS HRVATSKA D.O.O., ZAGREBAČKA CESTA 145A, 10000 ZAGREB, OIB: 33679708526</v>
      </c>
      <c r="H6840" s="7"/>
      <c r="I6840" s="8" t="s">
        <v>3953</v>
      </c>
      <c r="J6840" s="8" t="s">
        <v>3953</v>
      </c>
      <c r="K6840" s="6" t="str">
        <f>"5.848,00"</f>
        <v>5.848,00</v>
      </c>
      <c r="L6840" s="6" t="str">
        <f>"1.462,00"</f>
        <v>1.462,00</v>
      </c>
      <c r="M6840" s="6" t="str">
        <f>"7.310,00"</f>
        <v>7.310,00</v>
      </c>
      <c r="N6840" s="8" t="s">
        <v>124</v>
      </c>
      <c r="O6840" s="7"/>
      <c r="P6840" s="2" t="s">
        <v>5614</v>
      </c>
      <c r="Q6840" s="7"/>
      <c r="R6840" s="1"/>
      <c r="S6840" s="1" t="str">
        <f>"J-UN-2017-3100"</f>
        <v>J-UN-2017-3100</v>
      </c>
      <c r="T6840" s="1" t="s">
        <v>32</v>
      </c>
    </row>
    <row r="6841" spans="1:20" ht="25.5" x14ac:dyDescent="0.25">
      <c r="A6841" s="6">
        <v>6820</v>
      </c>
      <c r="B6841" s="1" t="str">
        <f>"2017-1198"</f>
        <v>2017-1198</v>
      </c>
      <c r="C6841" s="1" t="s">
        <v>2771</v>
      </c>
      <c r="D6841" s="1" t="s">
        <v>2772</v>
      </c>
      <c r="E6841" s="1" t="str">
        <f>""</f>
        <v/>
      </c>
      <c r="F6841" s="1" t="s">
        <v>1860</v>
      </c>
      <c r="G6841" s="1" t="str">
        <f>CONCATENATE(" ASES USLUGE D.O.O.,"," ,"," OIB: 28315107902")</f>
        <v xml:space="preserve"> ASES USLUGE D.O.O., , OIB: 28315107902</v>
      </c>
      <c r="H6841" s="7"/>
      <c r="I6841" s="8" t="s">
        <v>3959</v>
      </c>
      <c r="J6841" s="8" t="s">
        <v>4559</v>
      </c>
      <c r="K6841" s="6" t="str">
        <f>"45.270,40"</f>
        <v>45.270,40</v>
      </c>
      <c r="L6841" s="6" t="str">
        <f>"11.317,60"</f>
        <v>11.317,60</v>
      </c>
      <c r="M6841" s="6" t="str">
        <f>"56.588,00"</f>
        <v>56.588,00</v>
      </c>
      <c r="N6841" s="7"/>
      <c r="O6841" s="9">
        <v>43193</v>
      </c>
      <c r="P6841" s="2" t="s">
        <v>5614</v>
      </c>
      <c r="Q6841" s="7"/>
      <c r="R6841" s="1"/>
      <c r="S6841" s="1" t="str">
        <f>"J-UN-2017-3105"</f>
        <v>J-UN-2017-3105</v>
      </c>
      <c r="T6841" s="1" t="s">
        <v>32</v>
      </c>
    </row>
    <row r="6842" spans="1:20" ht="51" x14ac:dyDescent="0.25">
      <c r="A6842" s="6">
        <v>6821</v>
      </c>
      <c r="B6842" s="1" t="str">
        <f>"2017-2321"</f>
        <v>2017-2321</v>
      </c>
      <c r="C6842" s="1" t="s">
        <v>3770</v>
      </c>
      <c r="D6842" s="1" t="s">
        <v>2357</v>
      </c>
      <c r="E6842" s="1" t="str">
        <f>""</f>
        <v/>
      </c>
      <c r="F6842" s="1" t="s">
        <v>1860</v>
      </c>
      <c r="G6842" s="1" t="str">
        <f>CONCATENATE(" KAPETANOVIĆ SISTEMI D.O.O.,"," NOVA CESTA 171,"," 10000 ZAGREB,"," OIB: 09539646589")</f>
        <v xml:space="preserve"> KAPETANOVIĆ SISTEMI D.O.O., NOVA CESTA 171, 10000 ZAGREB, OIB: 09539646589</v>
      </c>
      <c r="H6842" s="7"/>
      <c r="I6842" s="8" t="s">
        <v>3953</v>
      </c>
      <c r="J6842" s="8" t="s">
        <v>4803</v>
      </c>
      <c r="K6842" s="6" t="str">
        <f>"14.262,00"</f>
        <v>14.262,00</v>
      </c>
      <c r="L6842" s="6" t="str">
        <f>"3.565,50"</f>
        <v>3.565,50</v>
      </c>
      <c r="M6842" s="6" t="str">
        <f>"17.827,50"</f>
        <v>17.827,50</v>
      </c>
      <c r="N6842" s="8" t="s">
        <v>124</v>
      </c>
      <c r="O6842" s="7"/>
      <c r="P6842" s="2" t="s">
        <v>5614</v>
      </c>
      <c r="Q6842" s="7"/>
      <c r="R6842" s="1"/>
      <c r="S6842" s="1" t="str">
        <f>"J-UN-2017-3136"</f>
        <v>J-UN-2017-3136</v>
      </c>
      <c r="T6842" s="1" t="s">
        <v>32</v>
      </c>
    </row>
    <row r="6843" spans="1:20" ht="63.75" x14ac:dyDescent="0.25">
      <c r="A6843" s="6">
        <v>6822</v>
      </c>
      <c r="B6843" s="1" t="str">
        <f>"2017-2321"</f>
        <v>2017-2321</v>
      </c>
      <c r="C6843" s="1" t="s">
        <v>3770</v>
      </c>
      <c r="D6843" s="1" t="s">
        <v>2357</v>
      </c>
      <c r="E6843" s="1" t="str">
        <f>""</f>
        <v/>
      </c>
      <c r="F6843" s="1" t="s">
        <v>1860</v>
      </c>
      <c r="G6843" s="1" t="str">
        <f>CONCATENATE(" AUDIO VIDEO TEHNOLOGIJA D.O.O.,"," IVANA BROZA 8A,"," 10000 ZAGREB,"," OIB: 74228338976")</f>
        <v xml:space="preserve"> AUDIO VIDEO TEHNOLOGIJA D.O.O., IVANA BROZA 8A, 10000 ZAGREB, OIB: 74228338976</v>
      </c>
      <c r="H6843" s="7"/>
      <c r="I6843" s="8" t="s">
        <v>3953</v>
      </c>
      <c r="J6843" s="8" t="s">
        <v>4803</v>
      </c>
      <c r="K6843" s="6" t="str">
        <f>"4.061,60"</f>
        <v>4.061,60</v>
      </c>
      <c r="L6843" s="6" t="str">
        <f>"1.015,40"</f>
        <v>1.015,40</v>
      </c>
      <c r="M6843" s="6" t="str">
        <f>"5.077,00"</f>
        <v>5.077,00</v>
      </c>
      <c r="N6843" s="8" t="s">
        <v>124</v>
      </c>
      <c r="O6843" s="7"/>
      <c r="P6843" s="2" t="s">
        <v>5614</v>
      </c>
      <c r="Q6843" s="7"/>
      <c r="R6843" s="1"/>
      <c r="S6843" s="1" t="str">
        <f>"J-UN-2017-3137"</f>
        <v>J-UN-2017-3137</v>
      </c>
      <c r="T6843" s="1" t="s">
        <v>32</v>
      </c>
    </row>
    <row r="6844" spans="1:20" ht="76.5" x14ac:dyDescent="0.25">
      <c r="A6844" s="6">
        <v>6823</v>
      </c>
      <c r="B6844" s="1" t="str">
        <f>"2017-622"</f>
        <v>2017-622</v>
      </c>
      <c r="C6844" s="1" t="s">
        <v>5008</v>
      </c>
      <c r="D6844" s="1" t="s">
        <v>5009</v>
      </c>
      <c r="E6844" s="1" t="str">
        <f>""</f>
        <v/>
      </c>
      <c r="F6844" s="1" t="s">
        <v>1860</v>
      </c>
      <c r="G6844" s="1" t="str">
        <f>CONCATENATE(" NASTAVNI ZAVOD ZA JAVNO ZDRAVSTVO DR. ANDRIJA ŠTAMPAR,"," MIROGOJSKA CESTA 16,"," 10000 ZAGREB,"," OIB: 3339200596")</f>
        <v xml:space="preserve"> NASTAVNI ZAVOD ZA JAVNO ZDRAVSTVO DR. ANDRIJA ŠTAMPAR, MIROGOJSKA CESTA 16, 10000 ZAGREB, OIB: 3339200596</v>
      </c>
      <c r="H6844" s="7"/>
      <c r="I6844" s="8" t="s">
        <v>3957</v>
      </c>
      <c r="J6844" s="8" t="s">
        <v>4479</v>
      </c>
      <c r="K6844" s="6" t="str">
        <f>"2.064,00"</f>
        <v>2.064,00</v>
      </c>
      <c r="L6844" s="6" t="str">
        <f>"516,00"</f>
        <v>516,00</v>
      </c>
      <c r="M6844" s="6" t="str">
        <f>"2.580,00"</f>
        <v>2.580,00</v>
      </c>
      <c r="N6844" s="8" t="s">
        <v>124</v>
      </c>
      <c r="O6844" s="7"/>
      <c r="P6844" s="2" t="s">
        <v>5614</v>
      </c>
      <c r="Q6844" s="7"/>
      <c r="R6844" s="1"/>
      <c r="S6844" s="1" t="str">
        <f>"J-UN-2017-3143"</f>
        <v>J-UN-2017-3143</v>
      </c>
      <c r="T6844" s="1" t="s">
        <v>32</v>
      </c>
    </row>
    <row r="6845" spans="1:20" ht="63.75" x14ac:dyDescent="0.25">
      <c r="A6845" s="6">
        <v>6824</v>
      </c>
      <c r="B6845" s="1" t="str">
        <f>"2017-344"</f>
        <v>2017-344</v>
      </c>
      <c r="C6845" s="1" t="s">
        <v>2954</v>
      </c>
      <c r="D6845" s="1" t="s">
        <v>2955</v>
      </c>
      <c r="E6845" s="1" t="str">
        <f>""</f>
        <v/>
      </c>
      <c r="F6845" s="1" t="s">
        <v>1860</v>
      </c>
      <c r="G6845" s="1" t="str">
        <f>CONCATENATE(" DRŽAVNI HIDROMETEOROLOŠKI ZAVOD - DHMZ,"," GRIČ 3,"," 10000 ZAGREB,"," OIB: 74660437164")</f>
        <v xml:space="preserve"> DRŽAVNI HIDROMETEOROLOŠKI ZAVOD - DHMZ, GRIČ 3, 10000 ZAGREB, OIB: 74660437164</v>
      </c>
      <c r="H6845" s="7"/>
      <c r="I6845" s="8" t="s">
        <v>3953</v>
      </c>
      <c r="J6845" s="8" t="s">
        <v>4803</v>
      </c>
      <c r="K6845" s="6" t="str">
        <f>"79.980,00"</f>
        <v>79.980,00</v>
      </c>
      <c r="L6845" s="6" t="str">
        <f>"19.995,00"</f>
        <v>19.995,00</v>
      </c>
      <c r="M6845" s="6" t="str">
        <f>"99.975,00"</f>
        <v>99.975,00</v>
      </c>
      <c r="N6845" s="8" t="s">
        <v>4580</v>
      </c>
      <c r="O6845" s="7"/>
      <c r="P6845" s="2" t="s">
        <v>8913</v>
      </c>
      <c r="Q6845" s="7"/>
      <c r="R6845" s="1"/>
      <c r="S6845" s="1" t="str">
        <f>"J-UN-2017-3148"</f>
        <v>J-UN-2017-3148</v>
      </c>
      <c r="T6845" s="1" t="s">
        <v>32</v>
      </c>
    </row>
    <row r="6846" spans="1:20" ht="63.75" x14ac:dyDescent="0.25">
      <c r="A6846" s="6">
        <v>6825</v>
      </c>
      <c r="B6846" s="1" t="str">
        <f>"2017-1202"</f>
        <v>2017-1202</v>
      </c>
      <c r="C6846" s="1" t="s">
        <v>2483</v>
      </c>
      <c r="D6846" s="1" t="s">
        <v>2484</v>
      </c>
      <c r="E6846" s="1" t="str">
        <f>""</f>
        <v/>
      </c>
      <c r="F6846" s="1" t="s">
        <v>1860</v>
      </c>
      <c r="G6846" s="1" t="str">
        <f>CONCATENATE(" GROSSI ULAGANJA D.O.O.,"," BOŽIDARA ADŽIJE 22/2,"," 10000 ZAGREB,"," OIB: 04091477986")</f>
        <v xml:space="preserve"> GROSSI ULAGANJA D.O.O., BOŽIDARA ADŽIJE 22/2, 10000 ZAGREB, OIB: 04091477986</v>
      </c>
      <c r="H6846" s="7"/>
      <c r="I6846" s="8" t="s">
        <v>3749</v>
      </c>
      <c r="J6846" s="8" t="s">
        <v>3953</v>
      </c>
      <c r="K6846" s="6" t="str">
        <f>"15.000,00"</f>
        <v>15.000,00</v>
      </c>
      <c r="L6846" s="6" t="str">
        <f>"3.750,00"</f>
        <v>3.750,00</v>
      </c>
      <c r="M6846" s="6" t="str">
        <f>"18.750,00"</f>
        <v>18.750,00</v>
      </c>
      <c r="N6846" s="8" t="s">
        <v>124</v>
      </c>
      <c r="O6846" s="7"/>
      <c r="P6846" s="2" t="s">
        <v>5614</v>
      </c>
      <c r="Q6846" s="7"/>
      <c r="R6846" s="1"/>
      <c r="S6846" s="1" t="str">
        <f>"J-UN-2017-3222"</f>
        <v>J-UN-2017-3222</v>
      </c>
      <c r="T6846" s="1" t="s">
        <v>32</v>
      </c>
    </row>
    <row r="6847" spans="1:20" ht="51" x14ac:dyDescent="0.25">
      <c r="A6847" s="6">
        <v>6826</v>
      </c>
      <c r="B6847" s="1" t="str">
        <f>"2017-1057"</f>
        <v>2017-1057</v>
      </c>
      <c r="C6847" s="1" t="s">
        <v>2699</v>
      </c>
      <c r="D6847" s="1" t="s">
        <v>1888</v>
      </c>
      <c r="E6847" s="1" t="str">
        <f>""</f>
        <v/>
      </c>
      <c r="F6847" s="1" t="s">
        <v>1860</v>
      </c>
      <c r="G6847" s="1" t="str">
        <f>CONCATENATE(" HILTI CROATIA D.O.O.,"," LJUDEVITA POSAVSKOG 29,"," 10360 SESVETE,"," OIB: 80353079725")</f>
        <v xml:space="preserve"> HILTI CROATIA D.O.O., LJUDEVITA POSAVSKOG 29, 10360 SESVETE, OIB: 80353079725</v>
      </c>
      <c r="H6847" s="7"/>
      <c r="I6847" s="8" t="s">
        <v>3523</v>
      </c>
      <c r="J6847" s="8" t="s">
        <v>3523</v>
      </c>
      <c r="K6847" s="6" t="str">
        <f>"6.954,08"</f>
        <v>6.954,08</v>
      </c>
      <c r="L6847" s="6" t="str">
        <f>"1.738,52"</f>
        <v>1.738,52</v>
      </c>
      <c r="M6847" s="6" t="str">
        <f>"8.692,60"</f>
        <v>8.692,60</v>
      </c>
      <c r="N6847" s="8" t="s">
        <v>3627</v>
      </c>
      <c r="O6847" s="7"/>
      <c r="P6847" s="2" t="s">
        <v>8914</v>
      </c>
      <c r="Q6847" s="7"/>
      <c r="R6847" s="1"/>
      <c r="S6847" s="1" t="str">
        <f>"J-UN-2017-3237"</f>
        <v>J-UN-2017-3237</v>
      </c>
      <c r="T6847" s="1" t="s">
        <v>32</v>
      </c>
    </row>
    <row r="6848" spans="1:20" ht="89.25" x14ac:dyDescent="0.25">
      <c r="A6848" s="6">
        <v>6827</v>
      </c>
      <c r="B6848" s="1" t="str">
        <f>"2017-2119"</f>
        <v>2017-2119</v>
      </c>
      <c r="C6848" s="1" t="s">
        <v>5254</v>
      </c>
      <c r="D6848" s="1" t="s">
        <v>2493</v>
      </c>
      <c r="E6848" s="1" t="str">
        <f>""</f>
        <v/>
      </c>
      <c r="F6848" s="1" t="s">
        <v>1860</v>
      </c>
      <c r="G6848" s="1" t="str">
        <f>CONCATENATE(" AUTO HRVATSKA PRODAJNO SERVISNI CENTRI D.O.O.,"," ZASTAVNICE 25/C,"," 10251 HRVATSKI LESKOVAC,"," OIB: 87682591133")</f>
        <v xml:space="preserve"> AUTO HRVATSKA PRODAJNO SERVISNI CENTRI D.O.O., ZASTAVNICE 25/C, 10251 HRVATSKI LESKOVAC, OIB: 87682591133</v>
      </c>
      <c r="H6848" s="7"/>
      <c r="I6848" s="8" t="s">
        <v>3752</v>
      </c>
      <c r="J6848" s="8" t="s">
        <v>3752</v>
      </c>
      <c r="K6848" s="6" t="str">
        <f>"1.573,47"</f>
        <v>1.573,47</v>
      </c>
      <c r="L6848" s="6" t="str">
        <f>"393,37"</f>
        <v>393,37</v>
      </c>
      <c r="M6848" s="6" t="str">
        <f>"1.966,84"</f>
        <v>1.966,84</v>
      </c>
      <c r="N6848" s="8" t="s">
        <v>124</v>
      </c>
      <c r="O6848" s="7"/>
      <c r="P6848" s="2" t="s">
        <v>5614</v>
      </c>
      <c r="Q6848" s="7"/>
      <c r="R6848" s="1"/>
      <c r="S6848" s="1" t="str">
        <f>"J-UN-2017-3241"</f>
        <v>J-UN-2017-3241</v>
      </c>
      <c r="T6848" s="1" t="s">
        <v>32</v>
      </c>
    </row>
    <row r="6849" spans="1:20" ht="51" x14ac:dyDescent="0.25">
      <c r="A6849" s="6">
        <v>6828</v>
      </c>
      <c r="B6849" s="1" t="str">
        <f>"2017-1415"</f>
        <v>2017-1415</v>
      </c>
      <c r="C6849" s="1" t="s">
        <v>5255</v>
      </c>
      <c r="D6849" s="1" t="s">
        <v>381</v>
      </c>
      <c r="E6849" s="1" t="str">
        <f>""</f>
        <v/>
      </c>
      <c r="F6849" s="1" t="s">
        <v>1860</v>
      </c>
      <c r="G6849" s="1" t="str">
        <f>CONCATENATE(" STS PLIN D.O.O.,"," MEĐUGORSKA 1A,"," 10360 SESVETE,"," OIB: 31411911877")</f>
        <v xml:space="preserve"> STS PLIN D.O.O., MEĐUGORSKA 1A, 10360 SESVETE, OIB: 31411911877</v>
      </c>
      <c r="H6849" s="7"/>
      <c r="I6849" s="8" t="s">
        <v>3854</v>
      </c>
      <c r="J6849" s="8" t="s">
        <v>5256</v>
      </c>
      <c r="K6849" s="6" t="str">
        <f>"11.700,00"</f>
        <v>11.700,00</v>
      </c>
      <c r="L6849" s="6" t="str">
        <f>"2.925,00"</f>
        <v>2.925,00</v>
      </c>
      <c r="M6849" s="6" t="str">
        <f>"14.625,00"</f>
        <v>14.625,00</v>
      </c>
      <c r="N6849" s="8" t="s">
        <v>124</v>
      </c>
      <c r="O6849" s="7"/>
      <c r="P6849" s="2" t="s">
        <v>5614</v>
      </c>
      <c r="Q6849" s="7"/>
      <c r="R6849" s="1"/>
      <c r="S6849" s="1" t="str">
        <f>"J-UN-2017-3248"</f>
        <v>J-UN-2017-3248</v>
      </c>
      <c r="T6849" s="1" t="s">
        <v>32</v>
      </c>
    </row>
    <row r="6850" spans="1:20" ht="63.75" x14ac:dyDescent="0.25">
      <c r="A6850" s="6">
        <v>6829</v>
      </c>
      <c r="B6850" s="1" t="str">
        <f>"2017-597"</f>
        <v>2017-597</v>
      </c>
      <c r="C6850" s="1" t="s">
        <v>2856</v>
      </c>
      <c r="D6850" s="1" t="s">
        <v>1007</v>
      </c>
      <c r="E6850" s="1" t="str">
        <f>""</f>
        <v/>
      </c>
      <c r="F6850" s="1" t="s">
        <v>1860</v>
      </c>
      <c r="G6850" s="1" t="str">
        <f>CONCATENATE(" VODOOPSKRBA I ODVODNJA D.O.O.,"," FOLNEGOVIĆEVA 1B,"," 10000 ZAGREB,"," OIB: 83416546499")</f>
        <v xml:space="preserve"> VODOOPSKRBA I ODVODNJA D.O.O., FOLNEGOVIĆEVA 1B, 10000 ZAGREB, OIB: 83416546499</v>
      </c>
      <c r="H6850" s="7"/>
      <c r="I6850" s="8" t="s">
        <v>3752</v>
      </c>
      <c r="J6850" s="8" t="s">
        <v>3752</v>
      </c>
      <c r="K6850" s="6" t="str">
        <f>"4.426,96"</f>
        <v>4.426,96</v>
      </c>
      <c r="L6850" s="6" t="str">
        <f>"1.106,74"</f>
        <v>1.106,74</v>
      </c>
      <c r="M6850" s="6" t="str">
        <f>"5.533,70"</f>
        <v>5.533,70</v>
      </c>
      <c r="N6850" s="8" t="s">
        <v>124</v>
      </c>
      <c r="O6850" s="7"/>
      <c r="P6850" s="2" t="s">
        <v>5614</v>
      </c>
      <c r="Q6850" s="7"/>
      <c r="R6850" s="1"/>
      <c r="S6850" s="1" t="str">
        <f>"J-UN-2017-3250"</f>
        <v>J-UN-2017-3250</v>
      </c>
      <c r="T6850" s="1" t="s">
        <v>32</v>
      </c>
    </row>
    <row r="6851" spans="1:20" ht="51" x14ac:dyDescent="0.25">
      <c r="A6851" s="6">
        <v>6830</v>
      </c>
      <c r="B6851" s="1" t="str">
        <f>"2017-1422"</f>
        <v>2017-1422</v>
      </c>
      <c r="C6851" s="1" t="s">
        <v>5257</v>
      </c>
      <c r="D6851" s="1" t="s">
        <v>1888</v>
      </c>
      <c r="E6851" s="1" t="str">
        <f>""</f>
        <v/>
      </c>
      <c r="F6851" s="1" t="s">
        <v>1860</v>
      </c>
      <c r="G6851" s="1" t="str">
        <f>CONCATENATE(" COMET D.O.O.,"," VARAŽDINSKA 40/C,"," 42220 NOVI MAROF,"," OIB: 48249084626")</f>
        <v xml:space="preserve"> COMET D.O.O., VARAŽDINSKA 40/C, 42220 NOVI MAROF, OIB: 48249084626</v>
      </c>
      <c r="H6851" s="7"/>
      <c r="I6851" s="8" t="s">
        <v>4559</v>
      </c>
      <c r="J6851" s="8" t="s">
        <v>3767</v>
      </c>
      <c r="K6851" s="6" t="str">
        <f>"1.350,00"</f>
        <v>1.350,00</v>
      </c>
      <c r="L6851" s="6" t="str">
        <f>"337,50"</f>
        <v>337,50</v>
      </c>
      <c r="M6851" s="6" t="str">
        <f>"1.687,50"</f>
        <v>1.687,50</v>
      </c>
      <c r="N6851" s="8" t="s">
        <v>124</v>
      </c>
      <c r="O6851" s="7"/>
      <c r="P6851" s="2" t="s">
        <v>5614</v>
      </c>
      <c r="Q6851" s="7"/>
      <c r="R6851" s="1"/>
      <c r="S6851" s="1" t="str">
        <f>"J-UN-2017-3259"</f>
        <v>J-UN-2017-3259</v>
      </c>
      <c r="T6851" s="1" t="s">
        <v>32</v>
      </c>
    </row>
    <row r="6852" spans="1:20" ht="38.25" x14ac:dyDescent="0.25">
      <c r="A6852" s="6">
        <v>6831</v>
      </c>
      <c r="B6852" s="1" t="str">
        <f>"2017-1117"</f>
        <v>2017-1117</v>
      </c>
      <c r="C6852" s="1" t="s">
        <v>5258</v>
      </c>
      <c r="D6852" s="1" t="s">
        <v>1373</v>
      </c>
      <c r="E6852" s="1" t="str">
        <f>""</f>
        <v/>
      </c>
      <c r="F6852" s="1" t="s">
        <v>1860</v>
      </c>
      <c r="G6852" s="1" t="str">
        <f>CONCATENATE(" MAGIS TRITON D.O.O.,"," TRVIŽ 25,"," 52000 PAZIN,"," OIB: 52949364664")</f>
        <v xml:space="preserve"> MAGIS TRITON D.O.O., TRVIŽ 25, 52000 PAZIN, OIB: 52949364664</v>
      </c>
      <c r="H6852" s="7"/>
      <c r="I6852" s="8" t="s">
        <v>3854</v>
      </c>
      <c r="J6852" s="8" t="s">
        <v>3760</v>
      </c>
      <c r="K6852" s="6" t="str">
        <f>"12.009,00"</f>
        <v>12.009,00</v>
      </c>
      <c r="L6852" s="6" t="str">
        <f>"3.002,25"</f>
        <v>3.002,25</v>
      </c>
      <c r="M6852" s="6" t="str">
        <f>"15.011,25"</f>
        <v>15.011,25</v>
      </c>
      <c r="N6852" s="8" t="s">
        <v>124</v>
      </c>
      <c r="O6852" s="7"/>
      <c r="P6852" s="2" t="s">
        <v>5614</v>
      </c>
      <c r="Q6852" s="7"/>
      <c r="R6852" s="1"/>
      <c r="S6852" s="1" t="str">
        <f>"J-UN-2017-3299"</f>
        <v>J-UN-2017-3299</v>
      </c>
      <c r="T6852" s="1" t="s">
        <v>32</v>
      </c>
    </row>
    <row r="6853" spans="1:20" ht="25.5" x14ac:dyDescent="0.25">
      <c r="A6853" s="6">
        <v>6832</v>
      </c>
      <c r="B6853" s="1" t="str">
        <f>"2017-538"</f>
        <v>2017-538</v>
      </c>
      <c r="C6853" s="1" t="s">
        <v>2745</v>
      </c>
      <c r="D6853" s="1" t="s">
        <v>700</v>
      </c>
      <c r="E6853" s="1" t="str">
        <f>""</f>
        <v/>
      </c>
      <c r="F6853" s="1" t="s">
        <v>1860</v>
      </c>
      <c r="G6853" s="1" t="str">
        <f>CONCATENATE(" C.I.A.K. D.O.O.,"," ,"," OIB: 47428597158")</f>
        <v xml:space="preserve"> C.I.A.K. D.O.O., , OIB: 47428597158</v>
      </c>
      <c r="H6853" s="7"/>
      <c r="I6853" s="8" t="s">
        <v>3767</v>
      </c>
      <c r="J6853" s="8" t="s">
        <v>3767</v>
      </c>
      <c r="K6853" s="6" t="str">
        <f>"1.544,00"</f>
        <v>1.544,00</v>
      </c>
      <c r="L6853" s="6" t="str">
        <f>"386,00"</f>
        <v>386,00</v>
      </c>
      <c r="M6853" s="6" t="str">
        <f>"1.930,00"</f>
        <v>1.930,00</v>
      </c>
      <c r="N6853" s="8" t="s">
        <v>3879</v>
      </c>
      <c r="O6853" s="7"/>
      <c r="P6853" s="2" t="s">
        <v>8915</v>
      </c>
      <c r="Q6853" s="7"/>
      <c r="R6853" s="1"/>
      <c r="S6853" s="1" t="str">
        <f>"J-UN-2017-3308"</f>
        <v>J-UN-2017-3308</v>
      </c>
      <c r="T6853" s="1" t="s">
        <v>32</v>
      </c>
    </row>
    <row r="6854" spans="1:20" ht="51" x14ac:dyDescent="0.25">
      <c r="A6854" s="6">
        <v>6833</v>
      </c>
      <c r="B6854" s="1" t="str">
        <f>"2017-1382"</f>
        <v>2017-1382</v>
      </c>
      <c r="C6854" s="1" t="s">
        <v>2703</v>
      </c>
      <c r="D6854" s="1" t="s">
        <v>2704</v>
      </c>
      <c r="E6854" s="1" t="str">
        <f>""</f>
        <v/>
      </c>
      <c r="F6854" s="1" t="s">
        <v>1860</v>
      </c>
      <c r="G6854" s="1" t="str">
        <f>CONCATENATE(" STROJOPROMET D.O.O.,"," ZAGREBAČKA 6,"," 10292 ŠENKOVEC,"," OIB: 97994010225")</f>
        <v xml:space="preserve"> STROJOPROMET D.O.O., ZAGREBAČKA 6, 10292 ŠENKOVEC, OIB: 97994010225</v>
      </c>
      <c r="H6854" s="7"/>
      <c r="I6854" s="8" t="s">
        <v>3959</v>
      </c>
      <c r="J6854" s="8" t="s">
        <v>3959</v>
      </c>
      <c r="K6854" s="6" t="str">
        <f>"4.866,90"</f>
        <v>4.866,90</v>
      </c>
      <c r="L6854" s="6" t="str">
        <f>"1.216,72"</f>
        <v>1.216,72</v>
      </c>
      <c r="M6854" s="6" t="str">
        <f>"6.083,62"</f>
        <v>6.083,62</v>
      </c>
      <c r="N6854" s="8" t="s">
        <v>4845</v>
      </c>
      <c r="O6854" s="7"/>
      <c r="P6854" s="2" t="s">
        <v>8916</v>
      </c>
      <c r="Q6854" s="7"/>
      <c r="R6854" s="1"/>
      <c r="S6854" s="1" t="str">
        <f>"J-UN-2017-3309"</f>
        <v>J-UN-2017-3309</v>
      </c>
      <c r="T6854" s="1" t="s">
        <v>32</v>
      </c>
    </row>
    <row r="6855" spans="1:20" ht="51" x14ac:dyDescent="0.25">
      <c r="A6855" s="6">
        <v>6834</v>
      </c>
      <c r="B6855" s="1" t="str">
        <f>"2017-2254"</f>
        <v>2017-2254</v>
      </c>
      <c r="C6855" s="1" t="s">
        <v>2641</v>
      </c>
      <c r="D6855" s="1" t="s">
        <v>515</v>
      </c>
      <c r="E6855" s="1" t="str">
        <f>""</f>
        <v/>
      </c>
      <c r="F6855" s="1" t="s">
        <v>1860</v>
      </c>
      <c r="G6855" s="1" t="str">
        <f>CONCATENATE(" INSTITUT IGH D.D.,"," JANKA RAKUŠE 1,"," 10000 ZAGREB,"," OIB: 79766124714")</f>
        <v xml:space="preserve"> INSTITUT IGH D.D., JANKA RAKUŠE 1, 10000 ZAGREB, OIB: 79766124714</v>
      </c>
      <c r="H6855" s="7"/>
      <c r="I6855" s="8" t="s">
        <v>5256</v>
      </c>
      <c r="J6855" s="8" t="s">
        <v>5256</v>
      </c>
      <c r="K6855" s="6" t="str">
        <f>"33.148,00"</f>
        <v>33.148,00</v>
      </c>
      <c r="L6855" s="6" t="str">
        <f>"8.287,00"</f>
        <v>8.287,00</v>
      </c>
      <c r="M6855" s="6" t="str">
        <f>"41.435,00"</f>
        <v>41.435,00</v>
      </c>
      <c r="N6855" s="8" t="s">
        <v>218</v>
      </c>
      <c r="O6855" s="7"/>
      <c r="P6855" s="2" t="s">
        <v>8917</v>
      </c>
      <c r="Q6855" s="7"/>
      <c r="R6855" s="1"/>
      <c r="S6855" s="1" t="str">
        <f>"J-UN-2017-3317"</f>
        <v>J-UN-2017-3317</v>
      </c>
      <c r="T6855" s="1" t="s">
        <v>32</v>
      </c>
    </row>
    <row r="6856" spans="1:20" ht="63.75" x14ac:dyDescent="0.25">
      <c r="A6856" s="6">
        <v>6835</v>
      </c>
      <c r="B6856" s="1" t="str">
        <f>"2017-2276"</f>
        <v>2017-2276</v>
      </c>
      <c r="C6856" s="1" t="s">
        <v>2811</v>
      </c>
      <c r="D6856" s="1" t="s">
        <v>1859</v>
      </c>
      <c r="E6856" s="1" t="str">
        <f>""</f>
        <v/>
      </c>
      <c r="F6856" s="1" t="s">
        <v>1860</v>
      </c>
      <c r="G6856" s="1" t="str">
        <f>CONCATENATE(" PUČKO OTVORENO UČILIŠTE INVICTUS,"," DUBEČKA 94,"," 10000 ZAGREB,"," OIB: 07357960999")</f>
        <v xml:space="preserve"> PUČKO OTVORENO UČILIŠTE INVICTUS, DUBEČKA 94, 10000 ZAGREB, OIB: 07357960999</v>
      </c>
      <c r="H6856" s="7"/>
      <c r="I6856" s="8" t="s">
        <v>5253</v>
      </c>
      <c r="J6856" s="8" t="s">
        <v>3959</v>
      </c>
      <c r="K6856" s="6" t="str">
        <f>"1.560,00"</f>
        <v>1.560,00</v>
      </c>
      <c r="L6856" s="6" t="str">
        <f>"390,00"</f>
        <v>390,00</v>
      </c>
      <c r="M6856" s="6" t="str">
        <f>"1.950,00"</f>
        <v>1.950,00</v>
      </c>
      <c r="N6856" s="8" t="s">
        <v>124</v>
      </c>
      <c r="O6856" s="7"/>
      <c r="P6856" s="2" t="s">
        <v>5614</v>
      </c>
      <c r="Q6856" s="7"/>
      <c r="R6856" s="1"/>
      <c r="S6856" s="1" t="str">
        <f>"J-UN-2017-3337"</f>
        <v>J-UN-2017-3337</v>
      </c>
      <c r="T6856" s="1" t="s">
        <v>32</v>
      </c>
    </row>
    <row r="6857" spans="1:20" ht="51" x14ac:dyDescent="0.25">
      <c r="A6857" s="6">
        <v>6836</v>
      </c>
      <c r="B6857" s="1" t="str">
        <f>"2017-2821"</f>
        <v>2017-2821</v>
      </c>
      <c r="C6857" s="1" t="s">
        <v>5259</v>
      </c>
      <c r="D6857" s="1" t="s">
        <v>1352</v>
      </c>
      <c r="E6857" s="1" t="str">
        <f>""</f>
        <v/>
      </c>
      <c r="F6857" s="1" t="s">
        <v>1860</v>
      </c>
      <c r="G6857" s="1" t="str">
        <f>CONCATENATE(" CENTAR AUTO D.O.O.,"," OBRTNIČKA ULICA 3,"," 40000 ČAKOVEC,"," OIB: 6785440366")</f>
        <v xml:space="preserve"> CENTAR AUTO D.O.O., OBRTNIČKA ULICA 3, 40000 ČAKOVEC, OIB: 6785440366</v>
      </c>
      <c r="H6857" s="7"/>
      <c r="I6857" s="8" t="s">
        <v>3957</v>
      </c>
      <c r="J6857" s="8" t="s">
        <v>3957</v>
      </c>
      <c r="K6857" s="6" t="str">
        <f>"142.175,25"</f>
        <v>142.175,25</v>
      </c>
      <c r="L6857" s="6" t="str">
        <f>"35.543,81"</f>
        <v>35.543,81</v>
      </c>
      <c r="M6857" s="6" t="str">
        <f>"177.719,06"</f>
        <v>177.719,06</v>
      </c>
      <c r="N6857" s="8" t="s">
        <v>5260</v>
      </c>
      <c r="O6857" s="7"/>
      <c r="P6857" s="2" t="s">
        <v>8918</v>
      </c>
      <c r="Q6857" s="7"/>
      <c r="R6857" s="1"/>
      <c r="S6857" s="1" t="str">
        <f>"J-UN-2017-3349"</f>
        <v>J-UN-2017-3349</v>
      </c>
      <c r="T6857" s="1" t="s">
        <v>32</v>
      </c>
    </row>
    <row r="6858" spans="1:20" ht="51" x14ac:dyDescent="0.25">
      <c r="A6858" s="6">
        <v>6837</v>
      </c>
      <c r="B6858" s="1" t="str">
        <f>"2017-971"</f>
        <v>2017-971</v>
      </c>
      <c r="C6858" s="1" t="s">
        <v>5182</v>
      </c>
      <c r="D6858" s="1" t="s">
        <v>2631</v>
      </c>
      <c r="E6858" s="1" t="str">
        <f>""</f>
        <v/>
      </c>
      <c r="F6858" s="1" t="s">
        <v>1860</v>
      </c>
      <c r="G6858" s="1" t="str">
        <f>CONCATENATE(" LIDER MEDIA D.O.O.,"," SAVSKA CESTA 41,"," 10000 ZAGREB,"," OIB: 75374786952")</f>
        <v xml:space="preserve"> LIDER MEDIA D.O.O., SAVSKA CESTA 41, 10000 ZAGREB, OIB: 75374786952</v>
      </c>
      <c r="H6858" s="7"/>
      <c r="I6858" s="8" t="s">
        <v>4479</v>
      </c>
      <c r="J6858" s="8" t="s">
        <v>3854</v>
      </c>
      <c r="K6858" s="6" t="str">
        <f>"15.000,00"</f>
        <v>15.000,00</v>
      </c>
      <c r="L6858" s="6" t="str">
        <f>"3.750,00"</f>
        <v>3.750,00</v>
      </c>
      <c r="M6858" s="6" t="str">
        <f>"18.750,00"</f>
        <v>18.750,00</v>
      </c>
      <c r="N6858" s="8" t="s">
        <v>5261</v>
      </c>
      <c r="O6858" s="7"/>
      <c r="P6858" s="2" t="s">
        <v>8919</v>
      </c>
      <c r="Q6858" s="7"/>
      <c r="R6858" s="1"/>
      <c r="S6858" s="1" t="str">
        <f>"J-UN-2017-3395"</f>
        <v>J-UN-2017-3395</v>
      </c>
      <c r="T6858" s="1" t="s">
        <v>32</v>
      </c>
    </row>
    <row r="6859" spans="1:20" ht="51" x14ac:dyDescent="0.25">
      <c r="A6859" s="6">
        <v>6838</v>
      </c>
      <c r="B6859" s="1" t="str">
        <f>"2017-808"</f>
        <v>2017-808</v>
      </c>
      <c r="C6859" s="1" t="s">
        <v>5262</v>
      </c>
      <c r="D6859" s="1" t="s">
        <v>1726</v>
      </c>
      <c r="E6859" s="1" t="str">
        <f>""</f>
        <v/>
      </c>
      <c r="F6859" s="1" t="s">
        <v>1860</v>
      </c>
      <c r="G6859" s="1" t="str">
        <f>CONCATENATE(" BOXES D.O.O.,"," GUSTAVA KRKLECA 11,"," 10000 ZAGREB,"," OIB: 41791523272")</f>
        <v xml:space="preserve"> BOXES D.O.O., GUSTAVA KRKLECA 11, 10000 ZAGREB, OIB: 41791523272</v>
      </c>
      <c r="H6859" s="7"/>
      <c r="I6859" s="8" t="s">
        <v>3635</v>
      </c>
      <c r="J6859" s="8" t="s">
        <v>3965</v>
      </c>
      <c r="K6859" s="6" t="str">
        <f>"53.962,34"</f>
        <v>53.962,34</v>
      </c>
      <c r="L6859" s="6" t="str">
        <f>"13.490,58"</f>
        <v>13.490,58</v>
      </c>
      <c r="M6859" s="6" t="str">
        <f>"67.452,92"</f>
        <v>67.452,92</v>
      </c>
      <c r="N6859" s="8" t="s">
        <v>5261</v>
      </c>
      <c r="O6859" s="7"/>
      <c r="P6859" s="2" t="s">
        <v>8920</v>
      </c>
      <c r="Q6859" s="7"/>
      <c r="R6859" s="1"/>
      <c r="S6859" s="1" t="str">
        <f>"J-UN-2017-3408"</f>
        <v>J-UN-2017-3408</v>
      </c>
      <c r="T6859" s="1" t="s">
        <v>32</v>
      </c>
    </row>
    <row r="6860" spans="1:20" ht="38.25" x14ac:dyDescent="0.25">
      <c r="A6860" s="6">
        <v>6839</v>
      </c>
      <c r="B6860" s="1" t="str">
        <f>"2017-1912"</f>
        <v>2017-1912</v>
      </c>
      <c r="C6860" s="1" t="s">
        <v>2778</v>
      </c>
      <c r="D6860" s="1" t="s">
        <v>1833</v>
      </c>
      <c r="E6860" s="1" t="str">
        <f>""</f>
        <v/>
      </c>
      <c r="F6860" s="1" t="s">
        <v>1860</v>
      </c>
      <c r="G6860" s="1" t="str">
        <f>CONCATENATE(" WAWA D.O.O.,"," ,"," OIB: 59785180614")</f>
        <v xml:space="preserve"> WAWA D.O.O., , OIB: 59785180614</v>
      </c>
      <c r="H6860" s="7"/>
      <c r="I6860" s="8" t="s">
        <v>3965</v>
      </c>
      <c r="J6860" s="8" t="s">
        <v>5263</v>
      </c>
      <c r="K6860" s="6" t="str">
        <f>"21.018,59"</f>
        <v>21.018,59</v>
      </c>
      <c r="L6860" s="6" t="str">
        <f>"5.254,65"</f>
        <v>5.254,65</v>
      </c>
      <c r="M6860" s="6" t="str">
        <f>"26.273,24"</f>
        <v>26.273,24</v>
      </c>
      <c r="N6860" s="8" t="s">
        <v>4857</v>
      </c>
      <c r="O6860" s="7"/>
      <c r="P6860" s="2" t="s">
        <v>8921</v>
      </c>
      <c r="Q6860" s="7"/>
      <c r="R6860" s="1"/>
      <c r="S6860" s="1" t="str">
        <f>"J-UN-2017-3421"</f>
        <v>J-UN-2017-3421</v>
      </c>
      <c r="T6860" s="1" t="s">
        <v>32</v>
      </c>
    </row>
    <row r="6861" spans="1:20" ht="25.5" x14ac:dyDescent="0.25">
      <c r="A6861" s="6">
        <v>6840</v>
      </c>
      <c r="B6861" s="1" t="str">
        <f>"2017-580"</f>
        <v>2017-580</v>
      </c>
      <c r="C6861" s="1" t="s">
        <v>3823</v>
      </c>
      <c r="D6861" s="1" t="s">
        <v>1886</v>
      </c>
      <c r="E6861" s="1" t="str">
        <f>""</f>
        <v/>
      </c>
      <c r="F6861" s="1" t="s">
        <v>1860</v>
      </c>
      <c r="G6861" s="1" t="str">
        <f>CONCATENATE(" ASES USLUGE D.O.O.,"," ,"," OIB: 28315107902")</f>
        <v xml:space="preserve"> ASES USLUGE D.O.O., , OIB: 28315107902</v>
      </c>
      <c r="H6861" s="7"/>
      <c r="I6861" s="8" t="s">
        <v>3962</v>
      </c>
      <c r="J6861" s="8" t="s">
        <v>3635</v>
      </c>
      <c r="K6861" s="6" t="str">
        <f>"6.600,00"</f>
        <v>6.600,00</v>
      </c>
      <c r="L6861" s="6" t="str">
        <f>"1.650,00"</f>
        <v>1.650,00</v>
      </c>
      <c r="M6861" s="6" t="str">
        <f>"8.250,00"</f>
        <v>8.250,00</v>
      </c>
      <c r="N6861" s="8" t="s">
        <v>124</v>
      </c>
      <c r="O6861" s="7"/>
      <c r="P6861" s="2" t="s">
        <v>5614</v>
      </c>
      <c r="Q6861" s="7"/>
      <c r="R6861" s="1"/>
      <c r="S6861" s="1" t="str">
        <f>"J-UN-2017-3432"</f>
        <v>J-UN-2017-3432</v>
      </c>
      <c r="T6861" s="1" t="s">
        <v>32</v>
      </c>
    </row>
    <row r="6862" spans="1:20" ht="51" x14ac:dyDescent="0.25">
      <c r="A6862" s="6">
        <v>6841</v>
      </c>
      <c r="B6862" s="1" t="str">
        <f>"2017-2936"</f>
        <v>2017-2936</v>
      </c>
      <c r="C6862" s="1" t="s">
        <v>3130</v>
      </c>
      <c r="D6862" s="1" t="s">
        <v>2631</v>
      </c>
      <c r="E6862" s="1" t="str">
        <f>""</f>
        <v/>
      </c>
      <c r="F6862" s="1" t="s">
        <v>1860</v>
      </c>
      <c r="G6862" s="1" t="str">
        <f>CONCATENATE(" HANZA MEDIA D.O.O.,"," KORANSKA 2,"," 10000 ZAGREB,"," OIB: 79517545745")</f>
        <v xml:space="preserve"> HANZA MEDIA D.O.O., KORANSKA 2, 10000 ZAGREB, OIB: 79517545745</v>
      </c>
      <c r="H6862" s="7"/>
      <c r="I6862" s="8" t="s">
        <v>5264</v>
      </c>
      <c r="J6862" s="8" t="s">
        <v>4543</v>
      </c>
      <c r="K6862" s="6" t="str">
        <f>"195.000,00"</f>
        <v>195.000,00</v>
      </c>
      <c r="L6862" s="6" t="str">
        <f>"48.750,00"</f>
        <v>48.750,00</v>
      </c>
      <c r="M6862" s="6" t="str">
        <f>"243.750,00"</f>
        <v>243.750,00</v>
      </c>
      <c r="N6862" s="8" t="s">
        <v>124</v>
      </c>
      <c r="O6862" s="7"/>
      <c r="P6862" s="2" t="s">
        <v>5614</v>
      </c>
      <c r="Q6862" s="7"/>
      <c r="R6862" s="1"/>
      <c r="S6862" s="1" t="str">
        <f>"J-UN-2017-3451"</f>
        <v>J-UN-2017-3451</v>
      </c>
      <c r="T6862" s="1" t="s">
        <v>32</v>
      </c>
    </row>
    <row r="6863" spans="1:20" ht="51" x14ac:dyDescent="0.25">
      <c r="A6863" s="6">
        <v>6842</v>
      </c>
      <c r="B6863" s="1" t="str">
        <f>"2017-678"</f>
        <v>2017-678</v>
      </c>
      <c r="C6863" s="1" t="s">
        <v>2904</v>
      </c>
      <c r="D6863" s="1" t="s">
        <v>2577</v>
      </c>
      <c r="E6863" s="1" t="str">
        <f>""</f>
        <v/>
      </c>
      <c r="F6863" s="1" t="s">
        <v>1860</v>
      </c>
      <c r="G6863" s="1" t="str">
        <f>CONCATENATE(" MAN-EKO D.O.O.,"," BRAĆE CVIJIĆA 17,"," 10000 ZAGREB,"," OIB: 708190967")</f>
        <v xml:space="preserve"> MAN-EKO D.O.O., BRAĆE CVIJIĆA 17, 10000 ZAGREB, OIB: 708190967</v>
      </c>
      <c r="H6863" s="7"/>
      <c r="I6863" s="8" t="s">
        <v>3767</v>
      </c>
      <c r="J6863" s="8" t="s">
        <v>3962</v>
      </c>
      <c r="K6863" s="6" t="str">
        <f>"50.069,67"</f>
        <v>50.069,67</v>
      </c>
      <c r="L6863" s="6" t="str">
        <f>"12.517,42"</f>
        <v>12.517,42</v>
      </c>
      <c r="M6863" s="6" t="str">
        <f>"62.587,09"</f>
        <v>62.587,09</v>
      </c>
      <c r="N6863" s="8" t="s">
        <v>4880</v>
      </c>
      <c r="O6863" s="7"/>
      <c r="P6863" s="2" t="s">
        <v>8922</v>
      </c>
      <c r="Q6863" s="7"/>
      <c r="R6863" s="1"/>
      <c r="S6863" s="1" t="str">
        <f>"J-UN-2017-3460"</f>
        <v>J-UN-2017-3460</v>
      </c>
      <c r="T6863" s="1" t="s">
        <v>32</v>
      </c>
    </row>
    <row r="6864" spans="1:20" ht="51" x14ac:dyDescent="0.25">
      <c r="A6864" s="6">
        <v>6843</v>
      </c>
      <c r="B6864" s="1" t="str">
        <f>"2017-1993"</f>
        <v>2017-1993</v>
      </c>
      <c r="C6864" s="1" t="s">
        <v>5233</v>
      </c>
      <c r="D6864" s="1" t="s">
        <v>5234</v>
      </c>
      <c r="E6864" s="1" t="str">
        <f>""</f>
        <v/>
      </c>
      <c r="F6864" s="1" t="s">
        <v>1860</v>
      </c>
      <c r="G6864" s="1" t="str">
        <f>CONCATENATE(" ROTEL D.O.O.,"," IVANE BRLIĆ MAŽURANIĆ 3,"," 10000 ZAGREB,"," OIB: 15126680753")</f>
        <v xml:space="preserve"> ROTEL D.O.O., IVANE BRLIĆ MAŽURANIĆ 3, 10000 ZAGREB, OIB: 15126680753</v>
      </c>
      <c r="H6864" s="7"/>
      <c r="I6864" s="8" t="s">
        <v>4479</v>
      </c>
      <c r="J6864" s="8" t="s">
        <v>3854</v>
      </c>
      <c r="K6864" s="6" t="str">
        <f>"1.280,80"</f>
        <v>1.280,80</v>
      </c>
      <c r="L6864" s="6" t="str">
        <f>"320,20"</f>
        <v>320,20</v>
      </c>
      <c r="M6864" s="6" t="str">
        <f>"1.601,00"</f>
        <v>1.601,00</v>
      </c>
      <c r="N6864" s="8" t="s">
        <v>124</v>
      </c>
      <c r="O6864" s="7"/>
      <c r="P6864" s="2" t="s">
        <v>5614</v>
      </c>
      <c r="Q6864" s="7"/>
      <c r="R6864" s="1"/>
      <c r="S6864" s="1" t="str">
        <f>"J-UN-2017-3462"</f>
        <v>J-UN-2017-3462</v>
      </c>
      <c r="T6864" s="1" t="s">
        <v>32</v>
      </c>
    </row>
    <row r="6865" spans="1:20" ht="51" x14ac:dyDescent="0.25">
      <c r="A6865" s="6">
        <v>6844</v>
      </c>
      <c r="B6865" s="1" t="str">
        <f>"2017-2190"</f>
        <v>2017-2190</v>
      </c>
      <c r="C6865" s="1" t="s">
        <v>2642</v>
      </c>
      <c r="D6865" s="1" t="s">
        <v>1236</v>
      </c>
      <c r="E6865" s="1" t="str">
        <f>""</f>
        <v/>
      </c>
      <c r="F6865" s="1" t="s">
        <v>1860</v>
      </c>
      <c r="G6865" s="1" t="str">
        <f>CONCATENATE(" SCHEDA D.O.O.,"," LJUDEVITA POSAVSKOG 29,"," 10360 SESVETE,"," OIB: 76219817247")</f>
        <v xml:space="preserve"> SCHEDA D.O.O., LJUDEVITA POSAVSKOG 29, 10360 SESVETE, OIB: 76219817247</v>
      </c>
      <c r="H6865" s="7"/>
      <c r="I6865" s="8" t="s">
        <v>4845</v>
      </c>
      <c r="J6865" s="8" t="s">
        <v>4991</v>
      </c>
      <c r="K6865" s="6" t="str">
        <f>"500,00"</f>
        <v>500,00</v>
      </c>
      <c r="L6865" s="6" t="str">
        <f>"125,00"</f>
        <v>125,00</v>
      </c>
      <c r="M6865" s="6" t="str">
        <f>"625,00"</f>
        <v>625,00</v>
      </c>
      <c r="N6865" s="8" t="s">
        <v>124</v>
      </c>
      <c r="O6865" s="7"/>
      <c r="P6865" s="2" t="s">
        <v>5614</v>
      </c>
      <c r="Q6865" s="7"/>
      <c r="R6865" s="1"/>
      <c r="S6865" s="1" t="str">
        <f>"J-UN-2017-3501"</f>
        <v>J-UN-2017-3501</v>
      </c>
      <c r="T6865" s="1" t="s">
        <v>32</v>
      </c>
    </row>
    <row r="6866" spans="1:20" ht="51" x14ac:dyDescent="0.25">
      <c r="A6866" s="10">
        <v>6845</v>
      </c>
      <c r="B6866" s="11" t="str">
        <f>"2017-1459"</f>
        <v>2017-1459</v>
      </c>
      <c r="C6866" s="11" t="s">
        <v>2595</v>
      </c>
      <c r="D6866" s="11" t="s">
        <v>2596</v>
      </c>
      <c r="E6866" s="11" t="str">
        <f>""</f>
        <v/>
      </c>
      <c r="F6866" s="11" t="s">
        <v>1860</v>
      </c>
      <c r="G6866" s="11" t="str">
        <f>CONCATENATE(" LEONARDO MEDIA D.O.O.,"," GJURE SZABA 4/2,"," 10000 ZAGREB,"," OIB: 90240160025")</f>
        <v xml:space="preserve"> LEONARDO MEDIA D.O.O., GJURE SZABA 4/2, 10000 ZAGREB, OIB: 90240160025</v>
      </c>
      <c r="H6866" s="12"/>
      <c r="I6866" s="13" t="s">
        <v>3962</v>
      </c>
      <c r="J6866" s="13" t="s">
        <v>4487</v>
      </c>
      <c r="K6866" s="10" t="str">
        <f>"87.965,00"</f>
        <v>87.965,00</v>
      </c>
      <c r="L6866" s="10" t="str">
        <f>"21.991,25"</f>
        <v>21.991,25</v>
      </c>
      <c r="M6866" s="10" t="str">
        <f>"109.956,25"</f>
        <v>109.956,25</v>
      </c>
      <c r="N6866" s="13" t="s">
        <v>124</v>
      </c>
      <c r="O6866" s="12"/>
      <c r="P6866" s="14" t="s">
        <v>5614</v>
      </c>
      <c r="Q6866" s="12"/>
      <c r="R6866" s="11"/>
      <c r="S6866" s="11" t="str">
        <f>"J-UN-2017-3515"</f>
        <v>J-UN-2017-3515</v>
      </c>
      <c r="T6866" s="11" t="s">
        <v>32</v>
      </c>
    </row>
    <row r="6867" spans="1:20" x14ac:dyDescent="0.25">
      <c r="A6867" s="18"/>
      <c r="B6867" s="18"/>
      <c r="C6867" s="18"/>
      <c r="D6867" s="18"/>
      <c r="E6867" s="18"/>
      <c r="F6867" s="18"/>
      <c r="G6867" s="18"/>
      <c r="H6867" s="18"/>
      <c r="I6867" s="18"/>
      <c r="J6867" s="18"/>
      <c r="K6867" s="18"/>
      <c r="L6867" s="18"/>
      <c r="M6867" s="18"/>
      <c r="N6867" s="18"/>
      <c r="O6867" s="18"/>
      <c r="P6867" s="19"/>
      <c r="Q6867" s="18"/>
      <c r="R6867" s="16"/>
      <c r="S6867" s="18"/>
      <c r="T6867" s="18"/>
    </row>
    <row r="6868" spans="1:20" x14ac:dyDescent="0.25">
      <c r="A6868" s="18"/>
      <c r="B6868" s="18"/>
      <c r="C6868" s="18"/>
      <c r="D6868" s="18"/>
      <c r="E6868" s="18"/>
      <c r="F6868" s="18"/>
      <c r="G6868" s="18"/>
      <c r="H6868" s="18"/>
      <c r="I6868" s="18"/>
      <c r="J6868" s="18"/>
      <c r="K6868" s="18"/>
      <c r="L6868" s="18"/>
      <c r="M6868" s="18"/>
      <c r="N6868" s="18"/>
      <c r="O6868" s="18"/>
      <c r="P6868" s="19"/>
      <c r="Q6868" s="18"/>
      <c r="R6868" s="16"/>
      <c r="S6868" s="18"/>
      <c r="T6868" s="18"/>
    </row>
    <row r="6869" spans="1:20" x14ac:dyDescent="0.25">
      <c r="A6869" s="18"/>
      <c r="B6869" s="18"/>
      <c r="C6869" s="18"/>
      <c r="D6869" s="18"/>
      <c r="E6869" s="18"/>
      <c r="F6869" s="18"/>
      <c r="G6869" s="18"/>
      <c r="H6869" s="18"/>
      <c r="I6869" s="18"/>
      <c r="J6869" s="18"/>
      <c r="K6869" s="18"/>
      <c r="L6869" s="18"/>
      <c r="M6869" s="18"/>
      <c r="N6869" s="18"/>
      <c r="O6869" s="18"/>
      <c r="P6869" s="19"/>
      <c r="Q6869" s="18"/>
      <c r="R6869" s="16"/>
      <c r="S6869" s="18"/>
      <c r="T6869" s="18"/>
    </row>
    <row r="6870" spans="1:20" x14ac:dyDescent="0.25">
      <c r="A6870" s="18"/>
      <c r="B6870" s="18"/>
      <c r="C6870" s="18"/>
      <c r="D6870" s="18"/>
      <c r="E6870" s="18"/>
      <c r="F6870" s="18"/>
      <c r="G6870" s="18"/>
      <c r="H6870" s="18"/>
      <c r="I6870" s="18"/>
      <c r="J6870" s="18"/>
      <c r="K6870" s="18"/>
      <c r="L6870" s="18"/>
      <c r="M6870" s="18"/>
      <c r="N6870" s="18"/>
      <c r="O6870" s="18"/>
      <c r="P6870" s="19"/>
      <c r="Q6870" s="18"/>
      <c r="R6870" s="16"/>
      <c r="S6870" s="18"/>
      <c r="T6870" s="18"/>
    </row>
    <row r="6871" spans="1:20" x14ac:dyDescent="0.25">
      <c r="A6871" s="18"/>
      <c r="B6871" s="18"/>
      <c r="C6871" s="18"/>
      <c r="D6871" s="18"/>
      <c r="E6871" s="18"/>
      <c r="F6871" s="18"/>
      <c r="G6871" s="18"/>
      <c r="H6871" s="18"/>
      <c r="I6871" s="18"/>
      <c r="J6871" s="18"/>
      <c r="K6871" s="18"/>
      <c r="L6871" s="18"/>
      <c r="M6871" s="18"/>
      <c r="N6871" s="18"/>
      <c r="O6871" s="18"/>
      <c r="P6871" s="19"/>
      <c r="Q6871" s="18"/>
      <c r="R6871" s="16"/>
      <c r="S6871" s="18"/>
      <c r="T6871" s="18"/>
    </row>
    <row r="6872" spans="1:20" x14ac:dyDescent="0.25">
      <c r="A6872" s="18"/>
      <c r="B6872" s="18"/>
      <c r="C6872" s="18"/>
      <c r="D6872" s="18"/>
      <c r="E6872" s="18"/>
      <c r="F6872" s="18"/>
      <c r="G6872" s="18"/>
      <c r="H6872" s="18"/>
      <c r="I6872" s="18"/>
      <c r="J6872" s="18"/>
      <c r="K6872" s="18"/>
      <c r="L6872" s="18"/>
      <c r="M6872" s="18"/>
      <c r="N6872" s="18"/>
      <c r="O6872" s="18"/>
      <c r="P6872" s="19"/>
      <c r="Q6872" s="18"/>
      <c r="R6872" s="16"/>
      <c r="S6872" s="18"/>
      <c r="T6872" s="18"/>
    </row>
    <row r="6873" spans="1:20" x14ac:dyDescent="0.25">
      <c r="A6873" s="18"/>
      <c r="B6873" s="18"/>
      <c r="C6873" s="18"/>
      <c r="D6873" s="18"/>
      <c r="E6873" s="18"/>
      <c r="F6873" s="18"/>
      <c r="G6873" s="18"/>
      <c r="H6873" s="18"/>
      <c r="I6873" s="18"/>
      <c r="J6873" s="18"/>
      <c r="K6873" s="18"/>
      <c r="L6873" s="18"/>
      <c r="M6873" s="18"/>
      <c r="N6873" s="18"/>
      <c r="O6873" s="18"/>
      <c r="P6873" s="19"/>
      <c r="Q6873" s="18"/>
      <c r="R6873" s="16"/>
      <c r="S6873" s="18"/>
      <c r="T6873" s="18"/>
    </row>
    <row r="6874" spans="1:20" x14ac:dyDescent="0.25">
      <c r="A6874" s="20"/>
      <c r="B6874" s="20"/>
      <c r="C6874" s="20"/>
      <c r="D6874" s="20"/>
      <c r="E6874" s="20"/>
      <c r="F6874" s="20"/>
      <c r="G6874" s="20"/>
      <c r="H6874" s="20"/>
      <c r="I6874" s="20"/>
      <c r="J6874" s="20"/>
      <c r="K6874" s="20"/>
      <c r="L6874" s="20"/>
      <c r="M6874" s="20"/>
      <c r="N6874" s="20"/>
      <c r="O6874" s="20"/>
      <c r="P6874" s="21"/>
      <c r="Q6874" s="20"/>
      <c r="R6874" s="15"/>
      <c r="S6874" s="20"/>
      <c r="T6874" s="20"/>
    </row>
    <row r="6875" spans="1:20" ht="51" x14ac:dyDescent="0.25">
      <c r="A6875" s="6">
        <v>6846</v>
      </c>
      <c r="B6875" s="1" t="str">
        <f>"2017-2292"</f>
        <v>2017-2292</v>
      </c>
      <c r="C6875" s="1" t="s">
        <v>3282</v>
      </c>
      <c r="D6875" s="1" t="s">
        <v>2701</v>
      </c>
      <c r="E6875" s="1" t="str">
        <f>""</f>
        <v/>
      </c>
      <c r="F6875" s="1" t="s">
        <v>1860</v>
      </c>
      <c r="G6875" s="1" t="str">
        <f>CONCATENATE(" PAMAJO D.O.O.,"," VRANIČKA 7/A,"," 10000 ZAGREB,"," OIB: 46401136513")</f>
        <v xml:space="preserve"> PAMAJO D.O.O., VRANIČKA 7/A, 10000 ZAGREB, OIB: 46401136513</v>
      </c>
      <c r="H6875" s="7"/>
      <c r="I6875" s="8" t="s">
        <v>3738</v>
      </c>
      <c r="J6875" s="8" t="s">
        <v>3786</v>
      </c>
      <c r="K6875" s="6" t="str">
        <f>"12.246,00"</f>
        <v>12.246,00</v>
      </c>
      <c r="L6875" s="6" t="str">
        <f>"3.061,50"</f>
        <v>3.061,50</v>
      </c>
      <c r="M6875" s="6" t="str">
        <f>"15.307,50"</f>
        <v>15.307,50</v>
      </c>
      <c r="N6875" s="8" t="s">
        <v>5265</v>
      </c>
      <c r="O6875" s="7"/>
      <c r="P6875" s="2" t="s">
        <v>8923</v>
      </c>
      <c r="Q6875" s="7"/>
      <c r="R6875" s="1"/>
      <c r="S6875" s="1" t="str">
        <f>"J-UN-2017-3525"</f>
        <v>J-UN-2017-3525</v>
      </c>
      <c r="T6875" s="1" t="s">
        <v>32</v>
      </c>
    </row>
    <row r="6876" spans="1:20" ht="76.5" x14ac:dyDescent="0.25">
      <c r="A6876" s="6">
        <v>6847</v>
      </c>
      <c r="B6876" s="1" t="str">
        <f>"2017-1682"</f>
        <v>2017-1682</v>
      </c>
      <c r="C6876" s="1" t="s">
        <v>5251</v>
      </c>
      <c r="D6876" s="1" t="s">
        <v>689</v>
      </c>
      <c r="E6876" s="1" t="str">
        <f>""</f>
        <v/>
      </c>
      <c r="F6876" s="1" t="s">
        <v>1860</v>
      </c>
      <c r="G6876" s="1" t="str">
        <f>CONCATENATE(" SMIT-COMMERCE D.O.O.,"," GORNJOSTUPNIČKA 9B,"," 10255 GORNJI STUPNIK,"," OIB: 9524348214")</f>
        <v xml:space="preserve"> SMIT-COMMERCE D.O.O., GORNJOSTUPNIČKA 9B, 10255 GORNJI STUPNIK, OIB: 9524348214</v>
      </c>
      <c r="H6876" s="7"/>
      <c r="I6876" s="8" t="s">
        <v>4845</v>
      </c>
      <c r="J6876" s="8" t="s">
        <v>4991</v>
      </c>
      <c r="K6876" s="6" t="str">
        <f>"1.253,38"</f>
        <v>1.253,38</v>
      </c>
      <c r="L6876" s="6" t="str">
        <f>"313,34"</f>
        <v>313,34</v>
      </c>
      <c r="M6876" s="6" t="str">
        <f>"1.566,72"</f>
        <v>1.566,72</v>
      </c>
      <c r="N6876" s="8" t="s">
        <v>3773</v>
      </c>
      <c r="O6876" s="7"/>
      <c r="P6876" s="2" t="s">
        <v>8924</v>
      </c>
      <c r="Q6876" s="7"/>
      <c r="R6876" s="1"/>
      <c r="S6876" s="1" t="str">
        <f>"J-UN-2017-3565"</f>
        <v>J-UN-2017-3565</v>
      </c>
      <c r="T6876" s="1" t="s">
        <v>32</v>
      </c>
    </row>
    <row r="6877" spans="1:20" ht="51" x14ac:dyDescent="0.25">
      <c r="A6877" s="6">
        <v>6848</v>
      </c>
      <c r="B6877" s="1" t="str">
        <f>"2017-2660"</f>
        <v>2017-2660</v>
      </c>
      <c r="C6877" s="1" t="s">
        <v>4677</v>
      </c>
      <c r="D6877" s="1" t="s">
        <v>5266</v>
      </c>
      <c r="E6877" s="1" t="str">
        <f>""</f>
        <v/>
      </c>
      <c r="F6877" s="1" t="s">
        <v>1860</v>
      </c>
      <c r="G6877" s="1" t="str">
        <f>CONCATENATE(" HYSTERIA D.O.O.,"," KRSTE HEGEDUŠIĆA 53,"," 10360 SESVETE,"," OIB: 99537953083")</f>
        <v xml:space="preserve"> HYSTERIA D.O.O., KRSTE HEGEDUŠIĆA 53, 10360 SESVETE, OIB: 99537953083</v>
      </c>
      <c r="H6877" s="7"/>
      <c r="I6877" s="8" t="s">
        <v>3786</v>
      </c>
      <c r="J6877" s="8" t="s">
        <v>4845</v>
      </c>
      <c r="K6877" s="6" t="str">
        <f>"39.550,00"</f>
        <v>39.550,00</v>
      </c>
      <c r="L6877" s="6" t="str">
        <f>"9.887,50"</f>
        <v>9.887,50</v>
      </c>
      <c r="M6877" s="6" t="str">
        <f>"49.437,50"</f>
        <v>49.437,50</v>
      </c>
      <c r="N6877" s="8" t="s">
        <v>4582</v>
      </c>
      <c r="O6877" s="7"/>
      <c r="P6877" s="2" t="s">
        <v>8925</v>
      </c>
      <c r="Q6877" s="7"/>
      <c r="R6877" s="1"/>
      <c r="S6877" s="1" t="str">
        <f>"J-UN-2017-3635"</f>
        <v>J-UN-2017-3635</v>
      </c>
      <c r="T6877" s="1" t="s">
        <v>32</v>
      </c>
    </row>
    <row r="6878" spans="1:20" ht="51" x14ac:dyDescent="0.25">
      <c r="A6878" s="6">
        <v>6849</v>
      </c>
      <c r="B6878" s="1" t="str">
        <f>"2017-1459"</f>
        <v>2017-1459</v>
      </c>
      <c r="C6878" s="1" t="s">
        <v>2595</v>
      </c>
      <c r="D6878" s="1" t="s">
        <v>2596</v>
      </c>
      <c r="E6878" s="1" t="str">
        <f>""</f>
        <v/>
      </c>
      <c r="F6878" s="1" t="s">
        <v>1860</v>
      </c>
      <c r="G6878" s="1" t="str">
        <f>CONCATENATE(" ACROBAT D&amp;M D.O.O.,"," BOŽIDARA ADŽIJE 22/1,"," 10000 ZAGREB,"," OIB: 58517646273")</f>
        <v xml:space="preserve"> ACROBAT D&amp;M D.O.O., BOŽIDARA ADŽIJE 22/1, 10000 ZAGREB, OIB: 58517646273</v>
      </c>
      <c r="H6878" s="7"/>
      <c r="I6878" s="8" t="s">
        <v>3635</v>
      </c>
      <c r="J6878" s="8" t="s">
        <v>3965</v>
      </c>
      <c r="K6878" s="6" t="str">
        <f>"26.917,00"</f>
        <v>26.917,00</v>
      </c>
      <c r="L6878" s="6" t="str">
        <f>"6.729,25"</f>
        <v>6.729,25</v>
      </c>
      <c r="M6878" s="6" t="str">
        <f>"33.646,25"</f>
        <v>33.646,25</v>
      </c>
      <c r="N6878" s="8" t="s">
        <v>124</v>
      </c>
      <c r="O6878" s="7"/>
      <c r="P6878" s="2" t="s">
        <v>5614</v>
      </c>
      <c r="Q6878" s="7"/>
      <c r="R6878" s="1"/>
      <c r="S6878" s="1" t="str">
        <f>"J-UN-2017-3684"</f>
        <v>J-UN-2017-3684</v>
      </c>
      <c r="T6878" s="1" t="s">
        <v>32</v>
      </c>
    </row>
    <row r="6879" spans="1:20" ht="51" x14ac:dyDescent="0.25">
      <c r="A6879" s="6">
        <v>6850</v>
      </c>
      <c r="B6879" s="1" t="str">
        <f>"2017-768"</f>
        <v>2017-768</v>
      </c>
      <c r="C6879" s="1" t="s">
        <v>5267</v>
      </c>
      <c r="D6879" s="1" t="s">
        <v>914</v>
      </c>
      <c r="E6879" s="1" t="str">
        <f>""</f>
        <v/>
      </c>
      <c r="F6879" s="1" t="s">
        <v>1860</v>
      </c>
      <c r="G6879" s="1" t="str">
        <f>CONCATENATE(" DROBILEC D.O.O.,"," MATUNOVA 14,"," 10000 ZAGREB,"," OIB: 87772955929")</f>
        <v xml:space="preserve"> DROBILEC D.O.O., MATUNOVA 14, 10000 ZAGREB, OIB: 87772955929</v>
      </c>
      <c r="H6879" s="7"/>
      <c r="I6879" s="8" t="s">
        <v>3635</v>
      </c>
      <c r="J6879" s="8" t="s">
        <v>3965</v>
      </c>
      <c r="K6879" s="6" t="str">
        <f>"1.100,00"</f>
        <v>1.100,00</v>
      </c>
      <c r="L6879" s="6" t="str">
        <f>"275,00"</f>
        <v>275,00</v>
      </c>
      <c r="M6879" s="6" t="str">
        <f>"1.375,00"</f>
        <v>1.375,00</v>
      </c>
      <c r="N6879" s="8" t="s">
        <v>124</v>
      </c>
      <c r="O6879" s="7"/>
      <c r="P6879" s="2" t="s">
        <v>5614</v>
      </c>
      <c r="Q6879" s="7"/>
      <c r="R6879" s="1"/>
      <c r="S6879" s="1" t="str">
        <f>"J-UN-2017-3688"</f>
        <v>J-UN-2017-3688</v>
      </c>
      <c r="T6879" s="1" t="s">
        <v>32</v>
      </c>
    </row>
    <row r="6880" spans="1:20" ht="63.75" x14ac:dyDescent="0.25">
      <c r="A6880" s="6">
        <v>6851</v>
      </c>
      <c r="B6880" s="1" t="str">
        <f>"2017-2207"</f>
        <v>2017-2207</v>
      </c>
      <c r="C6880" s="1" t="s">
        <v>2815</v>
      </c>
      <c r="D6880" s="1" t="s">
        <v>1373</v>
      </c>
      <c r="E6880" s="1" t="str">
        <f>""</f>
        <v/>
      </c>
      <c r="F6880" s="1" t="s">
        <v>1860</v>
      </c>
      <c r="G6880" s="1" t="str">
        <f>CONCATENATE(" STROJOOBNOVA,"," VL.TIHOMIR LJUBIĆ,"," RAVNICE 13,"," 10294 DONJA PUŠĆA,"," OIB: 50149576546")</f>
        <v xml:space="preserve"> STROJOOBNOVA, VL.TIHOMIR LJUBIĆ, RAVNICE 13, 10294 DONJA PUŠĆA, OIB: 50149576546</v>
      </c>
      <c r="H6880" s="7"/>
      <c r="I6880" s="8" t="s">
        <v>4991</v>
      </c>
      <c r="J6880" s="8" t="s">
        <v>5261</v>
      </c>
      <c r="K6880" s="6" t="str">
        <f>"1.442,80"</f>
        <v>1.442,80</v>
      </c>
      <c r="L6880" s="6" t="str">
        <f>"360,70"</f>
        <v>360,70</v>
      </c>
      <c r="M6880" s="6" t="str">
        <f>"1.803,50"</f>
        <v>1.803,50</v>
      </c>
      <c r="N6880" s="8" t="s">
        <v>124</v>
      </c>
      <c r="O6880" s="7"/>
      <c r="P6880" s="2" t="s">
        <v>5614</v>
      </c>
      <c r="Q6880" s="7"/>
      <c r="R6880" s="1"/>
      <c r="S6880" s="1" t="str">
        <f>"J-UN-2017-3696"</f>
        <v>J-UN-2017-3696</v>
      </c>
      <c r="T6880" s="1" t="s">
        <v>32</v>
      </c>
    </row>
    <row r="6881" spans="1:20" ht="63.75" x14ac:dyDescent="0.25">
      <c r="A6881" s="6">
        <v>6852</v>
      </c>
      <c r="B6881" s="1" t="str">
        <f>"2017-1734"</f>
        <v>2017-1734</v>
      </c>
      <c r="C6881" s="1" t="s">
        <v>5146</v>
      </c>
      <c r="D6881" s="1" t="s">
        <v>2988</v>
      </c>
      <c r="E6881" s="1" t="str">
        <f>""</f>
        <v/>
      </c>
      <c r="F6881" s="1" t="s">
        <v>1860</v>
      </c>
      <c r="G6881" s="1" t="str">
        <f>CONCATENATE(" LANIŠTE D.O.O.,"," ALEXANDERA VON HUMBOLDTA 4B,"," 10000 ZAGREB,"," OIB: 3755384865")</f>
        <v xml:space="preserve"> LANIŠTE D.O.O., ALEXANDERA VON HUMBOLDTA 4B, 10000 ZAGREB, OIB: 3755384865</v>
      </c>
      <c r="H6881" s="7"/>
      <c r="I6881" s="8" t="s">
        <v>3786</v>
      </c>
      <c r="J6881" s="8" t="s">
        <v>4845</v>
      </c>
      <c r="K6881" s="6" t="str">
        <f>"6.050,00"</f>
        <v>6.050,00</v>
      </c>
      <c r="L6881" s="6" t="str">
        <f>"1.512,50"</f>
        <v>1.512,50</v>
      </c>
      <c r="M6881" s="6" t="str">
        <f>"7.562,50"</f>
        <v>7.562,50</v>
      </c>
      <c r="N6881" s="8" t="s">
        <v>5253</v>
      </c>
      <c r="O6881" s="7"/>
      <c r="P6881" s="2" t="s">
        <v>6424</v>
      </c>
      <c r="Q6881" s="7"/>
      <c r="R6881" s="1"/>
      <c r="S6881" s="1" t="str">
        <f>"J-UN-2017-3698"</f>
        <v>J-UN-2017-3698</v>
      </c>
      <c r="T6881" s="1" t="s">
        <v>32</v>
      </c>
    </row>
    <row r="6882" spans="1:20" ht="63.75" x14ac:dyDescent="0.25">
      <c r="A6882" s="6">
        <v>6853</v>
      </c>
      <c r="B6882" s="1" t="str">
        <f>"2017-992"</f>
        <v>2017-992</v>
      </c>
      <c r="C6882" s="1" t="s">
        <v>2984</v>
      </c>
      <c r="D6882" s="1" t="s">
        <v>2985</v>
      </c>
      <c r="E6882" s="1" t="str">
        <f>""</f>
        <v/>
      </c>
      <c r="F6882" s="1" t="s">
        <v>1860</v>
      </c>
      <c r="G6882" s="1" t="str">
        <f>CONCATENATE(" LANIŠTE D.O.O.,"," ALEXANDERA VON HUMBOLDTA 4B,"," 10000 ZAGREB,"," OIB: 3755384865")</f>
        <v xml:space="preserve"> LANIŠTE D.O.O., ALEXANDERA VON HUMBOLDTA 4B, 10000 ZAGREB, OIB: 3755384865</v>
      </c>
      <c r="H6882" s="7"/>
      <c r="I6882" s="8" t="s">
        <v>3965</v>
      </c>
      <c r="J6882" s="8" t="s">
        <v>3738</v>
      </c>
      <c r="K6882" s="6" t="str">
        <f>"6.050,00"</f>
        <v>6.050,00</v>
      </c>
      <c r="L6882" s="6" t="str">
        <f>"1.512,50"</f>
        <v>1.512,50</v>
      </c>
      <c r="M6882" s="6" t="str">
        <f>"7.562,50"</f>
        <v>7.562,50</v>
      </c>
      <c r="N6882" s="8" t="s">
        <v>5253</v>
      </c>
      <c r="O6882" s="7"/>
      <c r="P6882" s="2" t="s">
        <v>6424</v>
      </c>
      <c r="Q6882" s="7"/>
      <c r="R6882" s="1"/>
      <c r="S6882" s="1" t="str">
        <f>"J-UN-2017-3700"</f>
        <v>J-UN-2017-3700</v>
      </c>
      <c r="T6882" s="1" t="s">
        <v>32</v>
      </c>
    </row>
    <row r="6883" spans="1:20" ht="63.75" x14ac:dyDescent="0.25">
      <c r="A6883" s="6">
        <v>6854</v>
      </c>
      <c r="B6883" s="1" t="str">
        <f>"2017-2472"</f>
        <v>2017-2472</v>
      </c>
      <c r="C6883" s="1" t="s">
        <v>5222</v>
      </c>
      <c r="D6883" s="1" t="s">
        <v>2241</v>
      </c>
      <c r="E6883" s="1" t="str">
        <f>""</f>
        <v/>
      </c>
      <c r="F6883" s="1" t="s">
        <v>1860</v>
      </c>
      <c r="G6883" s="1" t="str">
        <f>CONCATENATE(" FLEET RENT A CAR D.O.O.,"," ANDRIJE HEBRANGA 32,"," 10000 ZAGREB,"," OIB: 5950444323")</f>
        <v xml:space="preserve"> FLEET RENT A CAR D.O.O., ANDRIJE HEBRANGA 32, 10000 ZAGREB, OIB: 5950444323</v>
      </c>
      <c r="H6883" s="7"/>
      <c r="I6883" s="8" t="s">
        <v>3786</v>
      </c>
      <c r="J6883" s="8" t="s">
        <v>4845</v>
      </c>
      <c r="K6883" s="6" t="str">
        <f>"25.974,00"</f>
        <v>25.974,00</v>
      </c>
      <c r="L6883" s="6" t="str">
        <f>"6.493,50"</f>
        <v>6.493,50</v>
      </c>
      <c r="M6883" s="6" t="str">
        <f>"32.467,50"</f>
        <v>32.467,50</v>
      </c>
      <c r="N6883" s="8" t="s">
        <v>4900</v>
      </c>
      <c r="O6883" s="7"/>
      <c r="P6883" s="2" t="s">
        <v>8926</v>
      </c>
      <c r="Q6883" s="7"/>
      <c r="R6883" s="1"/>
      <c r="S6883" s="1" t="str">
        <f>"J-UN-2017-3733"</f>
        <v>J-UN-2017-3733</v>
      </c>
      <c r="T6883" s="1" t="s">
        <v>32</v>
      </c>
    </row>
    <row r="6884" spans="1:20" ht="51" x14ac:dyDescent="0.25">
      <c r="A6884" s="6">
        <v>6855</v>
      </c>
      <c r="B6884" s="1" t="str">
        <f>"2017-2472"</f>
        <v>2017-2472</v>
      </c>
      <c r="C6884" s="1" t="s">
        <v>5222</v>
      </c>
      <c r="D6884" s="1" t="s">
        <v>2241</v>
      </c>
      <c r="E6884" s="1" t="str">
        <f>""</f>
        <v/>
      </c>
      <c r="F6884" s="1" t="s">
        <v>1860</v>
      </c>
      <c r="G6884" s="1" t="str">
        <f>CONCATENATE(" AUTO BENUSSI D.O.O.,"," INDUSTRIJSKA 2D,"," 52100 PULA,"," OIB: 96262119913")</f>
        <v xml:space="preserve"> AUTO BENUSSI D.O.O., INDUSTRIJSKA 2D, 52100 PULA, OIB: 96262119913</v>
      </c>
      <c r="H6884" s="7"/>
      <c r="I6884" s="8" t="s">
        <v>3786</v>
      </c>
      <c r="J6884" s="8" t="s">
        <v>4845</v>
      </c>
      <c r="K6884" s="6" t="str">
        <f>"21.133,86"</f>
        <v>21.133,86</v>
      </c>
      <c r="L6884" s="6" t="str">
        <f>"5.283,46"</f>
        <v>5.283,46</v>
      </c>
      <c r="M6884" s="6" t="str">
        <f>"26.417,32"</f>
        <v>26.417,32</v>
      </c>
      <c r="N6884" s="8" t="s">
        <v>3905</v>
      </c>
      <c r="O6884" s="7"/>
      <c r="P6884" s="2" t="s">
        <v>8927</v>
      </c>
      <c r="Q6884" s="7"/>
      <c r="R6884" s="1"/>
      <c r="S6884" s="1" t="str">
        <f>"J-UN-2017-3734"</f>
        <v>J-UN-2017-3734</v>
      </c>
      <c r="T6884" s="1" t="s">
        <v>32</v>
      </c>
    </row>
    <row r="6885" spans="1:20" ht="63.75" x14ac:dyDescent="0.25">
      <c r="A6885" s="6">
        <v>6856</v>
      </c>
      <c r="B6885" s="1" t="str">
        <f>"2017-116"</f>
        <v>2017-116</v>
      </c>
      <c r="C6885" s="1" t="s">
        <v>2702</v>
      </c>
      <c r="D6885" s="1" t="s">
        <v>1209</v>
      </c>
      <c r="E6885" s="1" t="str">
        <f>""</f>
        <v/>
      </c>
      <c r="F6885" s="1" t="s">
        <v>1860</v>
      </c>
      <c r="G6885" s="1" t="str">
        <f>CONCATENATE(" DRÄGER SAFETY D.O.O.,"," AVENIJA VEĆESLAVA HOLJEVCA 40,"," 10010 ZAGREB,"," OIB: 32874587842")</f>
        <v xml:space="preserve"> DRÄGER SAFETY D.O.O., AVENIJA VEĆESLAVA HOLJEVCA 40, 10010 ZAGREB, OIB: 32874587842</v>
      </c>
      <c r="H6885" s="7"/>
      <c r="I6885" s="8" t="s">
        <v>3744</v>
      </c>
      <c r="J6885" s="8" t="s">
        <v>3873</v>
      </c>
      <c r="K6885" s="6" t="str">
        <f>"645,25"</f>
        <v>645,25</v>
      </c>
      <c r="L6885" s="6" t="str">
        <f>"161,31"</f>
        <v>161,31</v>
      </c>
      <c r="M6885" s="6" t="str">
        <f>"806,56"</f>
        <v>806,56</v>
      </c>
      <c r="N6885" s="8" t="s">
        <v>3805</v>
      </c>
      <c r="O6885" s="7"/>
      <c r="P6885" s="2" t="s">
        <v>8928</v>
      </c>
      <c r="Q6885" s="7"/>
      <c r="R6885" s="1"/>
      <c r="S6885" s="1" t="str">
        <f>"J-UN-2017-3742"</f>
        <v>J-UN-2017-3742</v>
      </c>
      <c r="T6885" s="1" t="s">
        <v>32</v>
      </c>
    </row>
    <row r="6886" spans="1:20" ht="25.5" x14ac:dyDescent="0.25">
      <c r="A6886" s="6">
        <v>6857</v>
      </c>
      <c r="B6886" s="1" t="str">
        <f>"2017-1362"</f>
        <v>2017-1362</v>
      </c>
      <c r="C6886" s="1" t="s">
        <v>2592</v>
      </c>
      <c r="D6886" s="1" t="s">
        <v>1865</v>
      </c>
      <c r="E6886" s="1" t="str">
        <f>""</f>
        <v/>
      </c>
      <c r="F6886" s="1" t="s">
        <v>1860</v>
      </c>
      <c r="G6886" s="1" t="str">
        <f>CONCATENATE(" INVENTA D.O.O.,"," ,"," OIB: 99213847706")</f>
        <v xml:space="preserve"> INVENTA D.O.O., , OIB: 99213847706</v>
      </c>
      <c r="H6886" s="7"/>
      <c r="I6886" s="8" t="s">
        <v>3777</v>
      </c>
      <c r="J6886" s="8" t="s">
        <v>97</v>
      </c>
      <c r="K6886" s="6" t="str">
        <f>"24.600,00"</f>
        <v>24.600,00</v>
      </c>
      <c r="L6886" s="6" t="str">
        <f>"6.150,00"</f>
        <v>6.150,00</v>
      </c>
      <c r="M6886" s="6" t="str">
        <f>"30.750,00"</f>
        <v>30.750,00</v>
      </c>
      <c r="N6886" s="8" t="s">
        <v>124</v>
      </c>
      <c r="O6886" s="7"/>
      <c r="P6886" s="2" t="s">
        <v>5614</v>
      </c>
      <c r="Q6886" s="7"/>
      <c r="R6886" s="1"/>
      <c r="S6886" s="1" t="str">
        <f>"J-UN-2017-3748"</f>
        <v>J-UN-2017-3748</v>
      </c>
      <c r="T6886" s="1" t="s">
        <v>32</v>
      </c>
    </row>
    <row r="6887" spans="1:20" ht="63.75" x14ac:dyDescent="0.25">
      <c r="A6887" s="6">
        <v>6858</v>
      </c>
      <c r="B6887" s="1" t="str">
        <f>"2017-1884"</f>
        <v>2017-1884</v>
      </c>
      <c r="C6887" s="1" t="s">
        <v>5268</v>
      </c>
      <c r="D6887" s="1" t="s">
        <v>1007</v>
      </c>
      <c r="E6887" s="1" t="str">
        <f>""</f>
        <v/>
      </c>
      <c r="F6887" s="1" t="s">
        <v>1860</v>
      </c>
      <c r="G6887" s="1" t="str">
        <f>CONCATENATE(" ALARM AUTOMATIKA D.O.O.,"," DRAŽICE (ZAMET) 123/C,"," 51000 RIJEKA,"," OIB: 30532290707")</f>
        <v xml:space="preserve"> ALARM AUTOMATIKA D.O.O., DRAŽICE (ZAMET) 123/C, 51000 RIJEKA, OIB: 30532290707</v>
      </c>
      <c r="H6887" s="7"/>
      <c r="I6887" s="8" t="s">
        <v>3744</v>
      </c>
      <c r="J6887" s="8" t="s">
        <v>3873</v>
      </c>
      <c r="K6887" s="6" t="str">
        <f>"1.200,00"</f>
        <v>1.200,00</v>
      </c>
      <c r="L6887" s="6" t="str">
        <f>"300,00"</f>
        <v>300,00</v>
      </c>
      <c r="M6887" s="6" t="str">
        <f>"1.500,00"</f>
        <v>1.500,00</v>
      </c>
      <c r="N6887" s="8" t="s">
        <v>124</v>
      </c>
      <c r="O6887" s="7"/>
      <c r="P6887" s="2" t="s">
        <v>5614</v>
      </c>
      <c r="Q6887" s="7"/>
      <c r="R6887" s="1"/>
      <c r="S6887" s="1" t="str">
        <f>"J-UN-2017-3768"</f>
        <v>J-UN-2017-3768</v>
      </c>
      <c r="T6887" s="1" t="s">
        <v>32</v>
      </c>
    </row>
    <row r="6888" spans="1:20" ht="63.75" x14ac:dyDescent="0.25">
      <c r="A6888" s="6">
        <v>6859</v>
      </c>
      <c r="B6888" s="1" t="str">
        <f>"2017-532"</f>
        <v>2017-532</v>
      </c>
      <c r="C6888" s="1" t="s">
        <v>3414</v>
      </c>
      <c r="D6888" s="1" t="s">
        <v>3415</v>
      </c>
      <c r="E6888" s="1" t="str">
        <f>""</f>
        <v/>
      </c>
      <c r="F6888" s="1" t="s">
        <v>1860</v>
      </c>
      <c r="G6888" s="1" t="str">
        <f>CONCATENATE(" ADEO d.o.o. Osijek,"," ULICA KRALJA TOMISLAVA 81,"," 31327 BILJE,"," OIB: 6242811405")</f>
        <v xml:space="preserve"> ADEO d.o.o. Osijek, ULICA KRALJA TOMISLAVA 81, 31327 BILJE, OIB: 6242811405</v>
      </c>
      <c r="H6888" s="7"/>
      <c r="I6888" s="8" t="s">
        <v>3777</v>
      </c>
      <c r="J6888" s="8" t="s">
        <v>97</v>
      </c>
      <c r="K6888" s="6" t="str">
        <f>"4.980,00"</f>
        <v>4.980,00</v>
      </c>
      <c r="L6888" s="6" t="str">
        <f>"1.245,00"</f>
        <v>1.245,00</v>
      </c>
      <c r="M6888" s="6" t="str">
        <f>"6.225,00"</f>
        <v>6.225,00</v>
      </c>
      <c r="N6888" s="8" t="s">
        <v>124</v>
      </c>
      <c r="O6888" s="7"/>
      <c r="P6888" s="2" t="s">
        <v>5614</v>
      </c>
      <c r="Q6888" s="7"/>
      <c r="R6888" s="1"/>
      <c r="S6888" s="1" t="str">
        <f>"J-UN-2017-3780"</f>
        <v>J-UN-2017-3780</v>
      </c>
      <c r="T6888" s="1" t="s">
        <v>32</v>
      </c>
    </row>
    <row r="6889" spans="1:20" ht="63.75" x14ac:dyDescent="0.25">
      <c r="A6889" s="6">
        <v>6860</v>
      </c>
      <c r="B6889" s="1" t="str">
        <f>"2017-2268"</f>
        <v>2017-2268</v>
      </c>
      <c r="C6889" s="1" t="s">
        <v>5247</v>
      </c>
      <c r="D6889" s="1" t="s">
        <v>2827</v>
      </c>
      <c r="E6889" s="1" t="str">
        <f>""</f>
        <v/>
      </c>
      <c r="F6889" s="1" t="s">
        <v>1860</v>
      </c>
      <c r="G6889" s="1" t="str">
        <f>CONCATENATE(" TOKIĆ D.O.O.,"," ULICA 144. BRIGADE HRVATSKE VOJSKE 1A,"," 10360 SESVETE,"," OIB: 7486748762")</f>
        <v xml:space="preserve"> TOKIĆ D.O.O., ULICA 144. BRIGADE HRVATSKE VOJSKE 1A, 10360 SESVETE, OIB: 7486748762</v>
      </c>
      <c r="H6889" s="7"/>
      <c r="I6889" s="8" t="s">
        <v>3777</v>
      </c>
      <c r="J6889" s="8" t="s">
        <v>97</v>
      </c>
      <c r="K6889" s="6" t="str">
        <f>"789,88"</f>
        <v>789,88</v>
      </c>
      <c r="L6889" s="6" t="str">
        <f>"197,47"</f>
        <v>197,47</v>
      </c>
      <c r="M6889" s="6" t="str">
        <f>"987,35"</f>
        <v>987,35</v>
      </c>
      <c r="N6889" s="8" t="s">
        <v>124</v>
      </c>
      <c r="O6889" s="7"/>
      <c r="P6889" s="2" t="s">
        <v>5614</v>
      </c>
      <c r="Q6889" s="7"/>
      <c r="R6889" s="1"/>
      <c r="S6889" s="1" t="str">
        <f>"J-UN-2017-3812"</f>
        <v>J-UN-2017-3812</v>
      </c>
      <c r="T6889" s="1" t="s">
        <v>32</v>
      </c>
    </row>
    <row r="6890" spans="1:20" ht="25.5" x14ac:dyDescent="0.25">
      <c r="A6890" s="6">
        <v>6861</v>
      </c>
      <c r="B6890" s="1" t="str">
        <f>"2017-2434"</f>
        <v>2017-2434</v>
      </c>
      <c r="C6890" s="1" t="s">
        <v>5147</v>
      </c>
      <c r="D6890" s="1" t="s">
        <v>1007</v>
      </c>
      <c r="E6890" s="1" t="str">
        <f>""</f>
        <v/>
      </c>
      <c r="F6890" s="1" t="s">
        <v>1860</v>
      </c>
      <c r="G6890" s="1" t="str">
        <f>CONCATENATE(" CIRRUS CENTAR D.O.O.,"," ,"," OIB: 47858195002")</f>
        <v xml:space="preserve"> CIRRUS CENTAR D.O.O., , OIB: 47858195002</v>
      </c>
      <c r="H6890" s="7"/>
      <c r="I6890" s="8" t="s">
        <v>3970</v>
      </c>
      <c r="J6890" s="8" t="s">
        <v>3879</v>
      </c>
      <c r="K6890" s="6" t="str">
        <f>"6.757,16"</f>
        <v>6.757,16</v>
      </c>
      <c r="L6890" s="6" t="str">
        <f>"1.689,29"</f>
        <v>1.689,29</v>
      </c>
      <c r="M6890" s="6" t="str">
        <f>"8.446,45"</f>
        <v>8.446,45</v>
      </c>
      <c r="N6890" s="8" t="s">
        <v>124</v>
      </c>
      <c r="O6890" s="7"/>
      <c r="P6890" s="2" t="s">
        <v>5614</v>
      </c>
      <c r="Q6890" s="7"/>
      <c r="R6890" s="1"/>
      <c r="S6890" s="1" t="str">
        <f>"J-UN-2017-3861"</f>
        <v>J-UN-2017-3861</v>
      </c>
      <c r="T6890" s="1" t="s">
        <v>32</v>
      </c>
    </row>
    <row r="6891" spans="1:20" ht="38.25" x14ac:dyDescent="0.25">
      <c r="A6891" s="6">
        <v>6862</v>
      </c>
      <c r="B6891" s="1" t="str">
        <f>"2017-2252"</f>
        <v>2017-2252</v>
      </c>
      <c r="C6891" s="1" t="s">
        <v>2697</v>
      </c>
      <c r="D6891" s="1" t="s">
        <v>2698</v>
      </c>
      <c r="E6891" s="1" t="str">
        <f>""</f>
        <v/>
      </c>
      <c r="F6891" s="1" t="s">
        <v>1860</v>
      </c>
      <c r="G6891" s="1" t="str">
        <f>CONCATENATE(" OPREMA POD TLAKOM D.O.O.,"," ,"," OIB: 07435417708")</f>
        <v xml:space="preserve"> OPREMA POD TLAKOM D.O.O., , OIB: 07435417708</v>
      </c>
      <c r="H6891" s="7"/>
      <c r="I6891" s="8" t="s">
        <v>3970</v>
      </c>
      <c r="J6891" s="8" t="s">
        <v>3879</v>
      </c>
      <c r="K6891" s="6" t="str">
        <f>"480,00"</f>
        <v>480,00</v>
      </c>
      <c r="L6891" s="6" t="str">
        <f>"120,00"</f>
        <v>120,00</v>
      </c>
      <c r="M6891" s="6" t="str">
        <f>"600,00"</f>
        <v>600,00</v>
      </c>
      <c r="N6891" s="8" t="s">
        <v>124</v>
      </c>
      <c r="O6891" s="7"/>
      <c r="P6891" s="2" t="s">
        <v>5614</v>
      </c>
      <c r="Q6891" s="7"/>
      <c r="R6891" s="1"/>
      <c r="S6891" s="1" t="str">
        <f>"J-UN-2017-3874"</f>
        <v>J-UN-2017-3874</v>
      </c>
      <c r="T6891" s="1" t="s">
        <v>32</v>
      </c>
    </row>
    <row r="6892" spans="1:20" ht="51" x14ac:dyDescent="0.25">
      <c r="A6892" s="6">
        <v>6863</v>
      </c>
      <c r="B6892" s="1" t="str">
        <f>"2017-2952"</f>
        <v>2017-2952</v>
      </c>
      <c r="C6892" s="1" t="s">
        <v>5269</v>
      </c>
      <c r="D6892" s="1" t="s">
        <v>1865</v>
      </c>
      <c r="E6892" s="1" t="str">
        <f>""</f>
        <v/>
      </c>
      <c r="F6892" s="1" t="s">
        <v>1860</v>
      </c>
      <c r="G6892" s="1" t="str">
        <f>CONCATENATE(" PROPULS D.O.O.,"," ŽUPANIĆI 2E,"," 10000 ZAGREB,"," OIB: 12518683193")</f>
        <v xml:space="preserve"> PROPULS D.O.O., ŽUPANIĆI 2E, 10000 ZAGREB, OIB: 12518683193</v>
      </c>
      <c r="H6892" s="7"/>
      <c r="I6892" s="8" t="s">
        <v>175</v>
      </c>
      <c r="J6892" s="8" t="s">
        <v>175</v>
      </c>
      <c r="K6892" s="6" t="str">
        <f>"30.000,00"</f>
        <v>30.000,00</v>
      </c>
      <c r="L6892" s="6" t="str">
        <f>"7.500,00"</f>
        <v>7.500,00</v>
      </c>
      <c r="M6892" s="6" t="str">
        <f>"37.500,00"</f>
        <v>37.500,00</v>
      </c>
      <c r="N6892" s="8" t="s">
        <v>4550</v>
      </c>
      <c r="O6892" s="7"/>
      <c r="P6892" s="2" t="s">
        <v>8929</v>
      </c>
      <c r="Q6892" s="7"/>
      <c r="R6892" s="1"/>
      <c r="S6892" s="1" t="str">
        <f>"J-UN-2017-3934"</f>
        <v>J-UN-2017-3934</v>
      </c>
      <c r="T6892" s="1" t="s">
        <v>32</v>
      </c>
    </row>
    <row r="6893" spans="1:20" ht="63.75" x14ac:dyDescent="0.25">
      <c r="A6893" s="6">
        <v>6864</v>
      </c>
      <c r="B6893" s="1" t="str">
        <f>"2017-2024"</f>
        <v>2017-2024</v>
      </c>
      <c r="C6893" s="1" t="s">
        <v>3131</v>
      </c>
      <c r="D6893" s="1" t="s">
        <v>1859</v>
      </c>
      <c r="E6893" s="1" t="str">
        <f>""</f>
        <v/>
      </c>
      <c r="F6893" s="1" t="s">
        <v>1860</v>
      </c>
      <c r="G6893" s="1" t="str">
        <f>CONCATENATE(" TEMPORIS SAVJETOVANJE D.O.O.,"," LOPATINEČKA ULICA 4,"," 10000 ZAGREB,"," OIB: 80885983918")</f>
        <v xml:space="preserve"> TEMPORIS SAVJETOVANJE D.O.O., LOPATINEČKA ULICA 4, 10000 ZAGREB, OIB: 80885983918</v>
      </c>
      <c r="H6893" s="7"/>
      <c r="I6893" s="8" t="s">
        <v>3773</v>
      </c>
      <c r="J6893" s="8" t="s">
        <v>3773</v>
      </c>
      <c r="K6893" s="6" t="str">
        <f>"2.240,00"</f>
        <v>2.240,00</v>
      </c>
      <c r="L6893" s="6" t="str">
        <f>"560,00"</f>
        <v>560,00</v>
      </c>
      <c r="M6893" s="6" t="str">
        <f>"2.800,00"</f>
        <v>2.800,00</v>
      </c>
      <c r="N6893" s="8" t="s">
        <v>124</v>
      </c>
      <c r="O6893" s="7"/>
      <c r="P6893" s="2" t="s">
        <v>5614</v>
      </c>
      <c r="Q6893" s="7"/>
      <c r="R6893" s="1"/>
      <c r="S6893" s="1" t="str">
        <f>"J-UN-2017-3937"</f>
        <v>J-UN-2017-3937</v>
      </c>
      <c r="T6893" s="1" t="s">
        <v>32</v>
      </c>
    </row>
    <row r="6894" spans="1:20" ht="51" x14ac:dyDescent="0.25">
      <c r="A6894" s="6">
        <v>6865</v>
      </c>
      <c r="B6894" s="1" t="str">
        <f>"2017-2276"</f>
        <v>2017-2276</v>
      </c>
      <c r="C6894" s="1" t="s">
        <v>2811</v>
      </c>
      <c r="D6894" s="1" t="s">
        <v>1859</v>
      </c>
      <c r="E6894" s="1" t="str">
        <f>""</f>
        <v/>
      </c>
      <c r="F6894" s="1" t="s">
        <v>1860</v>
      </c>
      <c r="G6894" s="1" t="str">
        <f>CONCATENATE(" ZIRS UČILIŠTE,"," ULICA GRADA VUKOVARA 68,"," 10000 ZAGREB,"," OIB: 22228764473")</f>
        <v xml:space="preserve"> ZIRS UČILIŠTE, ULICA GRADA VUKOVARA 68, 10000 ZAGREB, OIB: 22228764473</v>
      </c>
      <c r="H6894" s="7"/>
      <c r="I6894" s="8" t="s">
        <v>175</v>
      </c>
      <c r="J6894" s="8" t="s">
        <v>186</v>
      </c>
      <c r="K6894" s="6" t="str">
        <f>"1.520,00"</f>
        <v>1.520,00</v>
      </c>
      <c r="L6894" s="6" t="str">
        <f>"380,00"</f>
        <v>380,00</v>
      </c>
      <c r="M6894" s="6" t="str">
        <f>"1.900,00"</f>
        <v>1.900,00</v>
      </c>
      <c r="N6894" s="8" t="s">
        <v>124</v>
      </c>
      <c r="O6894" s="7"/>
      <c r="P6894" s="2" t="s">
        <v>5614</v>
      </c>
      <c r="Q6894" s="7"/>
      <c r="R6894" s="1"/>
      <c r="S6894" s="1" t="str">
        <f>"J-UN-2017-3940"</f>
        <v>J-UN-2017-3940</v>
      </c>
      <c r="T6894" s="1" t="s">
        <v>32</v>
      </c>
    </row>
    <row r="6895" spans="1:20" ht="51" x14ac:dyDescent="0.25">
      <c r="A6895" s="6">
        <v>6866</v>
      </c>
      <c r="B6895" s="1" t="str">
        <f>"2017-2415"</f>
        <v>2017-2415</v>
      </c>
      <c r="C6895" s="1" t="s">
        <v>2618</v>
      </c>
      <c r="D6895" s="1" t="s">
        <v>2619</v>
      </c>
      <c r="E6895" s="1" t="str">
        <f>""</f>
        <v/>
      </c>
      <c r="F6895" s="1" t="s">
        <v>1860</v>
      </c>
      <c r="G6895" s="1" t="str">
        <f>CONCATENATE(" TEHNO - ZAGREB D.O.O.,"," HRASTOVIČKA 70,"," 10 250 LUČKO,"," OIB: 60557784734")</f>
        <v xml:space="preserve"> TEHNO - ZAGREB D.O.O., HRASTOVIČKA 70, 10 250 LUČKO, OIB: 60557784734</v>
      </c>
      <c r="H6895" s="7"/>
      <c r="I6895" s="8" t="s">
        <v>3970</v>
      </c>
      <c r="J6895" s="8" t="s">
        <v>3879</v>
      </c>
      <c r="K6895" s="6" t="str">
        <f>"2.376,00"</f>
        <v>2.376,00</v>
      </c>
      <c r="L6895" s="6" t="str">
        <f>"594,00"</f>
        <v>594,00</v>
      </c>
      <c r="M6895" s="6" t="str">
        <f>"2.970,00"</f>
        <v>2.970,00</v>
      </c>
      <c r="N6895" s="8" t="s">
        <v>124</v>
      </c>
      <c r="O6895" s="7"/>
      <c r="P6895" s="2" t="s">
        <v>5614</v>
      </c>
      <c r="Q6895" s="7"/>
      <c r="R6895" s="1"/>
      <c r="S6895" s="1" t="str">
        <f>"J-UN-2017-3958"</f>
        <v>J-UN-2017-3958</v>
      </c>
      <c r="T6895" s="1" t="s">
        <v>32</v>
      </c>
    </row>
    <row r="6896" spans="1:20" ht="63.75" x14ac:dyDescent="0.25">
      <c r="A6896" s="6">
        <v>6867</v>
      </c>
      <c r="B6896" s="1" t="str">
        <f>"2017-1060"</f>
        <v>2017-1060</v>
      </c>
      <c r="C6896" s="1" t="s">
        <v>2672</v>
      </c>
      <c r="D6896" s="1" t="s">
        <v>2673</v>
      </c>
      <c r="E6896" s="1" t="str">
        <f>""</f>
        <v/>
      </c>
      <c r="F6896" s="1" t="s">
        <v>1860</v>
      </c>
      <c r="G6896" s="1" t="str">
        <f>CONCATENATE(" ENERGETIKA MARKETING D.O.O.,"," SOKOLSKA 25,"," 10000 ZAGREB,"," OIB: 04687731207")</f>
        <v xml:space="preserve"> ENERGETIKA MARKETING D.O.O., SOKOLSKA 25, 10000 ZAGREB, OIB: 04687731207</v>
      </c>
      <c r="H6896" s="7"/>
      <c r="I6896" s="8" t="s">
        <v>97</v>
      </c>
      <c r="J6896" s="8" t="s">
        <v>3744</v>
      </c>
      <c r="K6896" s="6" t="str">
        <f>"353,98"</f>
        <v>353,98</v>
      </c>
      <c r="L6896" s="6" t="str">
        <f>"88,50"</f>
        <v>88,50</v>
      </c>
      <c r="M6896" s="6" t="str">
        <f>"442,48"</f>
        <v>442,48</v>
      </c>
      <c r="N6896" s="8" t="s">
        <v>124</v>
      </c>
      <c r="O6896" s="7"/>
      <c r="P6896" s="2" t="s">
        <v>5614</v>
      </c>
      <c r="Q6896" s="7"/>
      <c r="R6896" s="1"/>
      <c r="S6896" s="1" t="str">
        <f>"J-UN-2017-3967"</f>
        <v>J-UN-2017-3967</v>
      </c>
      <c r="T6896" s="1" t="s">
        <v>32</v>
      </c>
    </row>
    <row r="6897" spans="1:20" ht="51" x14ac:dyDescent="0.25">
      <c r="A6897" s="6">
        <v>6868</v>
      </c>
      <c r="B6897" s="1" t="str">
        <f>"2017-2577"</f>
        <v>2017-2577</v>
      </c>
      <c r="C6897" s="1" t="s">
        <v>5177</v>
      </c>
      <c r="D6897" s="1" t="s">
        <v>1458</v>
      </c>
      <c r="E6897" s="1" t="str">
        <f>""</f>
        <v/>
      </c>
      <c r="F6897" s="1" t="s">
        <v>1860</v>
      </c>
      <c r="G6897" s="1" t="str">
        <f>CONCATENATE(" PRO-KLIMA D.O.O.,"," GRADNA 78E,"," 10430 SAMOBOR,"," OIB: 47347658558")</f>
        <v xml:space="preserve"> PRO-KLIMA D.O.O., GRADNA 78E, 10430 SAMOBOR, OIB: 47347658558</v>
      </c>
      <c r="H6897" s="7"/>
      <c r="I6897" s="8" t="s">
        <v>3970</v>
      </c>
      <c r="J6897" s="8" t="s">
        <v>3970</v>
      </c>
      <c r="K6897" s="6" t="str">
        <f>"22.956,29"</f>
        <v>22.956,29</v>
      </c>
      <c r="L6897" s="6" t="str">
        <f>"5.739,07"</f>
        <v>5.739,07</v>
      </c>
      <c r="M6897" s="6" t="str">
        <f>"28.695,36"</f>
        <v>28.695,36</v>
      </c>
      <c r="N6897" s="8" t="s">
        <v>124</v>
      </c>
      <c r="O6897" s="7"/>
      <c r="P6897" s="2" t="s">
        <v>5614</v>
      </c>
      <c r="Q6897" s="7"/>
      <c r="R6897" s="1"/>
      <c r="S6897" s="1" t="str">
        <f>"J-UN-2017-3973"</f>
        <v>J-UN-2017-3973</v>
      </c>
      <c r="T6897" s="1" t="s">
        <v>32</v>
      </c>
    </row>
    <row r="6898" spans="1:20" ht="63.75" x14ac:dyDescent="0.25">
      <c r="A6898" s="6">
        <v>6869</v>
      </c>
      <c r="B6898" s="1" t="str">
        <f>"2017-2954"</f>
        <v>2017-2954</v>
      </c>
      <c r="C6898" s="1" t="s">
        <v>760</v>
      </c>
      <c r="D6898" s="1" t="s">
        <v>761</v>
      </c>
      <c r="E6898" s="1" t="str">
        <f>""</f>
        <v/>
      </c>
      <c r="F6898" s="1" t="s">
        <v>1860</v>
      </c>
      <c r="G6898" s="1" t="str">
        <f>CONCATENATE(" MALI GRM D.O.O.,"," GRANČARSKA ULICA II. ODVOJAK 4,"," 10000 ZAGREB,"," OIB: 91276298719")</f>
        <v xml:space="preserve"> MALI GRM D.O.O., GRANČARSKA ULICA II. ODVOJAK 4, 10000 ZAGREB, OIB: 91276298719</v>
      </c>
      <c r="H6898" s="7"/>
      <c r="I6898" s="8" t="s">
        <v>3970</v>
      </c>
      <c r="J6898" s="8" t="s">
        <v>3879</v>
      </c>
      <c r="K6898" s="6" t="str">
        <f>"446.600,00"</f>
        <v>446.600,00</v>
      </c>
      <c r="L6898" s="6" t="str">
        <f>"111.650,00"</f>
        <v>111.650,00</v>
      </c>
      <c r="M6898" s="6" t="str">
        <f>"558.250,00"</f>
        <v>558.250,00</v>
      </c>
      <c r="N6898" s="8" t="s">
        <v>5270</v>
      </c>
      <c r="O6898" s="7"/>
      <c r="P6898" s="2" t="s">
        <v>8930</v>
      </c>
      <c r="Q6898" s="7"/>
      <c r="R6898" s="1"/>
      <c r="S6898" s="1" t="str">
        <f>"J-UN-2017-3993"</f>
        <v>J-UN-2017-3993</v>
      </c>
      <c r="T6898" s="1" t="s">
        <v>32</v>
      </c>
    </row>
    <row r="6899" spans="1:20" ht="51" x14ac:dyDescent="0.25">
      <c r="A6899" s="6">
        <v>6870</v>
      </c>
      <c r="B6899" s="1" t="str">
        <f>"2017-1081"</f>
        <v>2017-1081</v>
      </c>
      <c r="C6899" s="1" t="s">
        <v>5161</v>
      </c>
      <c r="D6899" s="1" t="s">
        <v>689</v>
      </c>
      <c r="E6899" s="1" t="str">
        <f>""</f>
        <v/>
      </c>
      <c r="F6899" s="1" t="s">
        <v>1860</v>
      </c>
      <c r="G6899" s="1" t="str">
        <f>CONCATENATE(" FIRASTONE D.O.O.,"," DONJE SVETICE 31,"," 10000 ZAGREB,"," OIB: 2711712242")</f>
        <v xml:space="preserve"> FIRASTONE D.O.O., DONJE SVETICE 31, 10000 ZAGREB, OIB: 2711712242</v>
      </c>
      <c r="H6899" s="7"/>
      <c r="I6899" s="8" t="s">
        <v>4857</v>
      </c>
      <c r="J6899" s="8" t="s">
        <v>3840</v>
      </c>
      <c r="K6899" s="6" t="str">
        <f>"9.392,00"</f>
        <v>9.392,00</v>
      </c>
      <c r="L6899" s="6" t="str">
        <f>"2.348,00"</f>
        <v>2.348,00</v>
      </c>
      <c r="M6899" s="6" t="str">
        <f>"11.740,00"</f>
        <v>11.740,00</v>
      </c>
      <c r="N6899" s="8" t="s">
        <v>124</v>
      </c>
      <c r="O6899" s="7"/>
      <c r="P6899" s="2" t="s">
        <v>5614</v>
      </c>
      <c r="Q6899" s="7"/>
      <c r="R6899" s="1"/>
      <c r="S6899" s="1" t="str">
        <f>"J-UN-2017-4010"</f>
        <v>J-UN-2017-4010</v>
      </c>
      <c r="T6899" s="1" t="s">
        <v>32</v>
      </c>
    </row>
    <row r="6900" spans="1:20" ht="51" x14ac:dyDescent="0.25">
      <c r="A6900" s="6">
        <v>6871</v>
      </c>
      <c r="B6900" s="1" t="str">
        <f>"2017-2190"</f>
        <v>2017-2190</v>
      </c>
      <c r="C6900" s="1" t="s">
        <v>2642</v>
      </c>
      <c r="D6900" s="1" t="s">
        <v>1236</v>
      </c>
      <c r="E6900" s="1" t="str">
        <f>""</f>
        <v/>
      </c>
      <c r="F6900" s="1" t="s">
        <v>1860</v>
      </c>
      <c r="G6900" s="1" t="str">
        <f>CONCATENATE(" TEKLA VRATA D.O.O.,"," KRSTE HEGEDUŠIĆA 34C,"," 10360 SESVETE,"," OIB: 041350502")</f>
        <v xml:space="preserve"> TEKLA VRATA D.O.O., KRSTE HEGEDUŠIĆA 34C, 10360 SESVETE, OIB: 041350502</v>
      </c>
      <c r="H6900" s="7"/>
      <c r="I6900" s="8" t="s">
        <v>3773</v>
      </c>
      <c r="J6900" s="8" t="s">
        <v>3777</v>
      </c>
      <c r="K6900" s="6" t="str">
        <f>"1.760,00"</f>
        <v>1.760,00</v>
      </c>
      <c r="L6900" s="6" t="str">
        <f>"440,00"</f>
        <v>440,00</v>
      </c>
      <c r="M6900" s="6" t="str">
        <f>"2.200,00"</f>
        <v>2.200,00</v>
      </c>
      <c r="N6900" s="8" t="s">
        <v>124</v>
      </c>
      <c r="O6900" s="7"/>
      <c r="P6900" s="2" t="s">
        <v>5614</v>
      </c>
      <c r="Q6900" s="7"/>
      <c r="R6900" s="1"/>
      <c r="S6900" s="1" t="str">
        <f>"J-UN-2017-4019"</f>
        <v>J-UN-2017-4019</v>
      </c>
      <c r="T6900" s="1" t="s">
        <v>32</v>
      </c>
    </row>
    <row r="6901" spans="1:20" ht="51" x14ac:dyDescent="0.25">
      <c r="A6901" s="6">
        <v>6872</v>
      </c>
      <c r="B6901" s="1" t="str">
        <f>"2017-1117"</f>
        <v>2017-1117</v>
      </c>
      <c r="C6901" s="1" t="s">
        <v>5258</v>
      </c>
      <c r="D6901" s="1" t="s">
        <v>1373</v>
      </c>
      <c r="E6901" s="1" t="str">
        <f>""</f>
        <v/>
      </c>
      <c r="F6901" s="1" t="s">
        <v>1860</v>
      </c>
      <c r="G6901" s="1" t="str">
        <f>CONCATENATE(" VODOTEHNIKA D.D.,"," KOTURAŠKA CESTA 49,"," 10000 ZAGREB,"," OIB: 1763143132")</f>
        <v xml:space="preserve"> VODOTEHNIKA D.D., KOTURAŠKA CESTA 49, 10000 ZAGREB, OIB: 1763143132</v>
      </c>
      <c r="H6901" s="7"/>
      <c r="I6901" s="8" t="s">
        <v>186</v>
      </c>
      <c r="J6901" s="8" t="s">
        <v>3795</v>
      </c>
      <c r="K6901" s="6" t="str">
        <f>"19.200,00"</f>
        <v>19.200,00</v>
      </c>
      <c r="L6901" s="6" t="str">
        <f>"4.800,00"</f>
        <v>4.800,00</v>
      </c>
      <c r="M6901" s="6" t="str">
        <f>"24.000,00"</f>
        <v>24.000,00</v>
      </c>
      <c r="N6901" s="8" t="s">
        <v>124</v>
      </c>
      <c r="O6901" s="7"/>
      <c r="P6901" s="2" t="s">
        <v>5614</v>
      </c>
      <c r="Q6901" s="7"/>
      <c r="R6901" s="1"/>
      <c r="S6901" s="1" t="str">
        <f>"J-UN-2017-4059"</f>
        <v>J-UN-2017-4059</v>
      </c>
      <c r="T6901" s="1" t="s">
        <v>32</v>
      </c>
    </row>
    <row r="6902" spans="1:20" ht="38.25" x14ac:dyDescent="0.25">
      <c r="A6902" s="6">
        <v>6873</v>
      </c>
      <c r="B6902" s="1" t="str">
        <f>"2017-940"</f>
        <v>2017-940</v>
      </c>
      <c r="C6902" s="1" t="s">
        <v>3024</v>
      </c>
      <c r="D6902" s="1" t="s">
        <v>1007</v>
      </c>
      <c r="E6902" s="1" t="str">
        <f>""</f>
        <v/>
      </c>
      <c r="F6902" s="1" t="s">
        <v>1860</v>
      </c>
      <c r="G6902" s="1" t="str">
        <f>CONCATENATE(" SBT D.O.O.,"," BANI 75,"," 10000 BUZIN ZAGREB,"," OIB: 31770065778")</f>
        <v xml:space="preserve"> SBT D.O.O., BANI 75, 10000 BUZIN ZAGREB, OIB: 31770065778</v>
      </c>
      <c r="H6902" s="7"/>
      <c r="I6902" s="8" t="s">
        <v>186</v>
      </c>
      <c r="J6902" s="8" t="s">
        <v>186</v>
      </c>
      <c r="K6902" s="6" t="str">
        <f>"1.000,00"</f>
        <v>1.000,00</v>
      </c>
      <c r="L6902" s="6" t="str">
        <f>"250,00"</f>
        <v>250,00</v>
      </c>
      <c r="M6902" s="6" t="str">
        <f>"1.250,00"</f>
        <v>1.250,00</v>
      </c>
      <c r="N6902" s="8" t="s">
        <v>124</v>
      </c>
      <c r="O6902" s="7"/>
      <c r="P6902" s="2" t="s">
        <v>5614</v>
      </c>
      <c r="Q6902" s="7"/>
      <c r="R6902" s="1"/>
      <c r="S6902" s="1" t="str">
        <f>"J-UN-2017-4073"</f>
        <v>J-UN-2017-4073</v>
      </c>
      <c r="T6902" s="1" t="s">
        <v>32</v>
      </c>
    </row>
    <row r="6903" spans="1:20" ht="51" x14ac:dyDescent="0.25">
      <c r="A6903" s="6">
        <v>6874</v>
      </c>
      <c r="B6903" s="1" t="str">
        <f>"2017-1060"</f>
        <v>2017-1060</v>
      </c>
      <c r="C6903" s="1" t="s">
        <v>2672</v>
      </c>
      <c r="D6903" s="1" t="s">
        <v>2673</v>
      </c>
      <c r="E6903" s="1" t="str">
        <f>""</f>
        <v/>
      </c>
      <c r="F6903" s="1" t="s">
        <v>1860</v>
      </c>
      <c r="G6903" s="1" t="str">
        <f>CONCATENATE(" RIFIN D.O.O.,"," PANTOVČAK 192A,"," 10000 ZAGREB,"," OIB: 33175616273")</f>
        <v xml:space="preserve"> RIFIN D.O.O., PANTOVČAK 192A, 10000 ZAGREB, OIB: 33175616273</v>
      </c>
      <c r="H6903" s="7"/>
      <c r="I6903" s="8" t="s">
        <v>4857</v>
      </c>
      <c r="J6903" s="8" t="s">
        <v>4857</v>
      </c>
      <c r="K6903" s="6" t="str">
        <f>"380,95"</f>
        <v>380,95</v>
      </c>
      <c r="L6903" s="6" t="str">
        <f>"95,24"</f>
        <v>95,24</v>
      </c>
      <c r="M6903" s="6" t="str">
        <f>"476,19"</f>
        <v>476,19</v>
      </c>
      <c r="N6903" s="8" t="s">
        <v>124</v>
      </c>
      <c r="O6903" s="7"/>
      <c r="P6903" s="2" t="s">
        <v>5614</v>
      </c>
      <c r="Q6903" s="7"/>
      <c r="R6903" s="1"/>
      <c r="S6903" s="1" t="str">
        <f>"J-UN-2017-4089"</f>
        <v>J-UN-2017-4089</v>
      </c>
      <c r="T6903" s="1" t="s">
        <v>32</v>
      </c>
    </row>
    <row r="6904" spans="1:20" ht="63.75" x14ac:dyDescent="0.25">
      <c r="A6904" s="6">
        <v>6875</v>
      </c>
      <c r="B6904" s="1" t="str">
        <f>"2017-2472"</f>
        <v>2017-2472</v>
      </c>
      <c r="C6904" s="1" t="s">
        <v>5222</v>
      </c>
      <c r="D6904" s="1" t="s">
        <v>2241</v>
      </c>
      <c r="E6904" s="1" t="str">
        <f>""</f>
        <v/>
      </c>
      <c r="F6904" s="1" t="s">
        <v>1860</v>
      </c>
      <c r="G6904" s="1" t="str">
        <f>CONCATENATE(" FLEET RENT A CAR D.O.O.,"," ANDRIJE HEBRANGA 32,"," 10000 ZAGREB,"," OIB: 5950444323")</f>
        <v xml:space="preserve"> FLEET RENT A CAR D.O.O., ANDRIJE HEBRANGA 32, 10000 ZAGREB, OIB: 5950444323</v>
      </c>
      <c r="H6904" s="7"/>
      <c r="I6904" s="8" t="s">
        <v>4857</v>
      </c>
      <c r="J6904" s="8" t="s">
        <v>3840</v>
      </c>
      <c r="K6904" s="6" t="str">
        <f>"20.166,40"</f>
        <v>20.166,40</v>
      </c>
      <c r="L6904" s="6" t="str">
        <f>"5.041,60"</f>
        <v>5.041,60</v>
      </c>
      <c r="M6904" s="6" t="str">
        <f>"25.208,00"</f>
        <v>25.208,00</v>
      </c>
      <c r="N6904" s="8" t="s">
        <v>124</v>
      </c>
      <c r="O6904" s="7"/>
      <c r="P6904" s="2" t="s">
        <v>5614</v>
      </c>
      <c r="Q6904" s="7"/>
      <c r="R6904" s="1"/>
      <c r="S6904" s="1" t="str">
        <f>"J-UN-2017-4150"</f>
        <v>J-UN-2017-4150</v>
      </c>
      <c r="T6904" s="1" t="s">
        <v>32</v>
      </c>
    </row>
    <row r="6905" spans="1:20" ht="51" x14ac:dyDescent="0.25">
      <c r="A6905" s="6">
        <v>6876</v>
      </c>
      <c r="B6905" s="1" t="str">
        <f>"2017-1397"</f>
        <v>2017-1397</v>
      </c>
      <c r="C6905" s="1" t="s">
        <v>5271</v>
      </c>
      <c r="D6905" s="1" t="s">
        <v>2309</v>
      </c>
      <c r="E6905" s="1" t="str">
        <f>""</f>
        <v/>
      </c>
      <c r="F6905" s="1" t="s">
        <v>1860</v>
      </c>
      <c r="G6905" s="1" t="str">
        <f>CONCATENATE(" TERRA AGRO D.O.O.,"," ŠIROKI PUT 121,"," 32000 VUKOVAR,"," OIB: 26680443552")</f>
        <v xml:space="preserve"> TERRA AGRO D.O.O., ŠIROKI PUT 121, 32000 VUKOVAR, OIB: 26680443552</v>
      </c>
      <c r="H6905" s="7"/>
      <c r="I6905" s="8" t="s">
        <v>3795</v>
      </c>
      <c r="J6905" s="8" t="s">
        <v>5272</v>
      </c>
      <c r="K6905" s="6" t="str">
        <f>"193.600,00"</f>
        <v>193.600,00</v>
      </c>
      <c r="L6905" s="6" t="str">
        <f>"48.400,00"</f>
        <v>48.400,00</v>
      </c>
      <c r="M6905" s="6" t="str">
        <f>"242.000,00"</f>
        <v>242.000,00</v>
      </c>
      <c r="N6905" s="8" t="s">
        <v>5273</v>
      </c>
      <c r="O6905" s="7"/>
      <c r="P6905" s="2" t="s">
        <v>8931</v>
      </c>
      <c r="Q6905" s="7"/>
      <c r="R6905" s="1"/>
      <c r="S6905" s="1" t="str">
        <f>"J-UN-2017-4157"</f>
        <v>J-UN-2017-4157</v>
      </c>
      <c r="T6905" s="1" t="s">
        <v>32</v>
      </c>
    </row>
    <row r="6906" spans="1:20" ht="63.75" x14ac:dyDescent="0.25">
      <c r="A6906" s="6">
        <v>6877</v>
      </c>
      <c r="B6906" s="1" t="str">
        <f>"2017-2968"</f>
        <v>2017-2968</v>
      </c>
      <c r="C6906" s="1" t="s">
        <v>5274</v>
      </c>
      <c r="D6906" s="1" t="s">
        <v>1979</v>
      </c>
      <c r="E6906" s="1" t="str">
        <f>""</f>
        <v/>
      </c>
      <c r="F6906" s="1" t="s">
        <v>1860</v>
      </c>
      <c r="G6906" s="1" t="str">
        <f>CONCATENATE(" SAMIN D.O.O.,"," OREŠKOVIĆEVA 22B,"," 10000 ZAGREB,"," OIB: 49237516688")</f>
        <v xml:space="preserve"> SAMIN D.O.O., OREŠKOVIĆEVA 22B, 10000 ZAGREB, OIB: 49237516688</v>
      </c>
      <c r="H6906" s="7"/>
      <c r="I6906" s="8" t="s">
        <v>106</v>
      </c>
      <c r="J6906" s="8" t="s">
        <v>4572</v>
      </c>
      <c r="K6906" s="6" t="str">
        <f>"148.750,00"</f>
        <v>148.750,00</v>
      </c>
      <c r="L6906" s="6" t="str">
        <f>"37.187,50"</f>
        <v>37.187,50</v>
      </c>
      <c r="M6906" s="6" t="str">
        <f>"185.937,50"</f>
        <v>185.937,50</v>
      </c>
      <c r="N6906" s="8" t="s">
        <v>4106</v>
      </c>
      <c r="O6906" s="7"/>
      <c r="P6906" s="2" t="s">
        <v>8932</v>
      </c>
      <c r="Q6906" s="7"/>
      <c r="R6906" s="1"/>
      <c r="S6906" s="1" t="str">
        <f>"J-UN-2017-4195"</f>
        <v>J-UN-2017-4195</v>
      </c>
      <c r="T6906" s="1" t="s">
        <v>32</v>
      </c>
    </row>
    <row r="6907" spans="1:20" ht="51" x14ac:dyDescent="0.25">
      <c r="A6907" s="6">
        <v>6878</v>
      </c>
      <c r="B6907" s="1" t="str">
        <f>"2017-2970"</f>
        <v>2017-2970</v>
      </c>
      <c r="C6907" s="1" t="s">
        <v>5275</v>
      </c>
      <c r="D6907" s="1" t="s">
        <v>4069</v>
      </c>
      <c r="E6907" s="1" t="str">
        <f>""</f>
        <v/>
      </c>
      <c r="F6907" s="1" t="s">
        <v>1860</v>
      </c>
      <c r="G6907" s="1" t="str">
        <f>CONCATENATE(" HEDOM D.O.O.,"," VELIKA CESTA 28,"," 10000 ZAGREB,"," OIB: 62485998118")</f>
        <v xml:space="preserve"> HEDOM D.O.O., VELIKA CESTA 28, 10000 ZAGREB, OIB: 62485998118</v>
      </c>
      <c r="H6907" s="7"/>
      <c r="I6907" s="8" t="s">
        <v>3795</v>
      </c>
      <c r="J6907" s="8" t="s">
        <v>5205</v>
      </c>
      <c r="K6907" s="6" t="str">
        <f>"18.330,00"</f>
        <v>18.330,00</v>
      </c>
      <c r="L6907" s="6" t="str">
        <f>"4.582,50"</f>
        <v>4.582,50</v>
      </c>
      <c r="M6907" s="6" t="str">
        <f>"22.912,50"</f>
        <v>22.912,50</v>
      </c>
      <c r="N6907" s="8" t="s">
        <v>124</v>
      </c>
      <c r="O6907" s="7"/>
      <c r="P6907" s="2" t="s">
        <v>5614</v>
      </c>
      <c r="Q6907" s="7"/>
      <c r="R6907" s="1"/>
      <c r="S6907" s="1" t="str">
        <f>"J-UN-2017-4197"</f>
        <v>J-UN-2017-4197</v>
      </c>
      <c r="T6907" s="1" t="s">
        <v>32</v>
      </c>
    </row>
    <row r="6908" spans="1:20" ht="63.75" x14ac:dyDescent="0.25">
      <c r="A6908" s="6">
        <v>6879</v>
      </c>
      <c r="B6908" s="1" t="str">
        <f>"2018-2901"</f>
        <v>2018-2901</v>
      </c>
      <c r="C6908" s="1" t="s">
        <v>5276</v>
      </c>
      <c r="D6908" s="1" t="s">
        <v>5277</v>
      </c>
      <c r="E6908" s="1" t="str">
        <f>""</f>
        <v/>
      </c>
      <c r="F6908" s="1" t="s">
        <v>1860</v>
      </c>
      <c r="G6908" s="1" t="str">
        <f>CONCATENATE(" GRADEKO D.O.O.,"," PRILAZ BARUNA FILIPOVIĆA 15/A,"," 10000 ZAGREB,"," OIB: 920451227")</f>
        <v xml:space="preserve"> GRADEKO D.O.O., PRILAZ BARUNA FILIPOVIĆA 15/A, 10000 ZAGREB, OIB: 920451227</v>
      </c>
      <c r="H6908" s="7"/>
      <c r="I6908" s="8" t="s">
        <v>196</v>
      </c>
      <c r="J6908" s="8" t="s">
        <v>3793</v>
      </c>
      <c r="K6908" s="6" t="str">
        <f>"198.750,00"</f>
        <v>198.750,00</v>
      </c>
      <c r="L6908" s="6" t="str">
        <f>"49.687,50"</f>
        <v>49.687,50</v>
      </c>
      <c r="M6908" s="6" t="str">
        <f>"248.437,50"</f>
        <v>248.437,50</v>
      </c>
      <c r="N6908" s="8" t="s">
        <v>4029</v>
      </c>
      <c r="O6908" s="7"/>
      <c r="P6908" s="2" t="s">
        <v>8933</v>
      </c>
      <c r="Q6908" s="7"/>
      <c r="R6908" s="1"/>
      <c r="S6908" s="1" t="str">
        <f>"J-UN-2018-27"</f>
        <v>J-UN-2018-27</v>
      </c>
      <c r="T6908" s="1" t="s">
        <v>32</v>
      </c>
    </row>
    <row r="6909" spans="1:20" ht="63.75" x14ac:dyDescent="0.25">
      <c r="A6909" s="6">
        <v>6880</v>
      </c>
      <c r="B6909" s="1" t="str">
        <f>"2018-2408"</f>
        <v>2018-2408</v>
      </c>
      <c r="C6909" s="1" t="s">
        <v>3131</v>
      </c>
      <c r="D6909" s="1" t="s">
        <v>1859</v>
      </c>
      <c r="E6909" s="1" t="str">
        <f>""</f>
        <v/>
      </c>
      <c r="F6909" s="1" t="s">
        <v>1860</v>
      </c>
      <c r="G6909" s="1" t="str">
        <f>CONCATENATE(" PRAVNI FAKULTET U ZAGREBU,"," TRG REPUBLIKE HRVATSKE 14,"," 10000 ZAGREB,"," OIB: 3858330316")</f>
        <v xml:space="preserve"> PRAVNI FAKULTET U ZAGREBU, TRG REPUBLIKE HRVATSKE 14, 10000 ZAGREB, OIB: 3858330316</v>
      </c>
      <c r="H6909" s="7"/>
      <c r="I6909" s="8" t="s">
        <v>4896</v>
      </c>
      <c r="J6909" s="8" t="s">
        <v>3811</v>
      </c>
      <c r="K6909" s="6" t="str">
        <f>"3.000,00"</f>
        <v>3.000,00</v>
      </c>
      <c r="L6909" s="6" t="str">
        <f>"750,00"</f>
        <v>750,00</v>
      </c>
      <c r="M6909" s="6" t="str">
        <f>"3.750,00"</f>
        <v>3.750,00</v>
      </c>
      <c r="N6909" s="8" t="s">
        <v>124</v>
      </c>
      <c r="O6909" s="7"/>
      <c r="P6909" s="2" t="s">
        <v>5614</v>
      </c>
      <c r="Q6909" s="7"/>
      <c r="R6909" s="1"/>
      <c r="S6909" s="1" t="str">
        <f>"J-UN-2018-40"</f>
        <v>J-UN-2018-40</v>
      </c>
      <c r="T6909" s="1" t="s">
        <v>32</v>
      </c>
    </row>
    <row r="6910" spans="1:20" ht="51" x14ac:dyDescent="0.25">
      <c r="A6910" s="6">
        <v>6881</v>
      </c>
      <c r="B6910" s="1" t="str">
        <f>"2018-2889"</f>
        <v>2018-2889</v>
      </c>
      <c r="C6910" s="1" t="s">
        <v>5278</v>
      </c>
      <c r="D6910" s="1" t="s">
        <v>2596</v>
      </c>
      <c r="E6910" s="1" t="str">
        <f>""</f>
        <v/>
      </c>
      <c r="F6910" s="1" t="s">
        <v>1860</v>
      </c>
      <c r="G6910" s="1" t="str">
        <f>CONCATENATE(" PEPLOS D.O.O.,"," A. ŠTRBANA 2,"," 10000 ZAGREB,"," OIB: 99548240574")</f>
        <v xml:space="preserve"> PEPLOS D.O.O., A. ŠTRBANA 2, 10000 ZAGREB, OIB: 99548240574</v>
      </c>
      <c r="H6910" s="7"/>
      <c r="I6910" s="8" t="s">
        <v>5023</v>
      </c>
      <c r="J6910" s="8" t="s">
        <v>5279</v>
      </c>
      <c r="K6910" s="6" t="str">
        <f>"119.925,00"</f>
        <v>119.925,00</v>
      </c>
      <c r="L6910" s="6" t="str">
        <f>"29.981,25"</f>
        <v>29.981,25</v>
      </c>
      <c r="M6910" s="6" t="str">
        <f>"149.906,25"</f>
        <v>149.906,25</v>
      </c>
      <c r="N6910" s="8" t="s">
        <v>5280</v>
      </c>
      <c r="O6910" s="7"/>
      <c r="P6910" s="2" t="s">
        <v>8934</v>
      </c>
      <c r="Q6910" s="7"/>
      <c r="R6910" s="1"/>
      <c r="S6910" s="1" t="str">
        <f>"J-UN-2018-100"</f>
        <v>J-UN-2018-100</v>
      </c>
      <c r="T6910" s="1" t="s">
        <v>32</v>
      </c>
    </row>
    <row r="6911" spans="1:20" ht="51" x14ac:dyDescent="0.25">
      <c r="A6911" s="6">
        <v>6882</v>
      </c>
      <c r="B6911" s="1" t="str">
        <f>"2018-1421"</f>
        <v>2018-1421</v>
      </c>
      <c r="C6911" s="1" t="s">
        <v>2711</v>
      </c>
      <c r="D6911" s="1" t="s">
        <v>1914</v>
      </c>
      <c r="E6911" s="1" t="str">
        <f>""</f>
        <v/>
      </c>
      <c r="F6911" s="1" t="s">
        <v>1860</v>
      </c>
      <c r="G6911" s="1" t="str">
        <f>CONCATENATE(" INDA D.O.O.,"," AMBROZA HARAČIĆA 30,"," 51550 MALI LOŠINJ,"," OIB: 8491367538")</f>
        <v xml:space="preserve"> INDA D.O.O., AMBROZA HARAČIĆA 30, 51550 MALI LOŠINJ, OIB: 8491367538</v>
      </c>
      <c r="H6911" s="7"/>
      <c r="I6911" s="8" t="s">
        <v>4580</v>
      </c>
      <c r="J6911" s="8" t="s">
        <v>5281</v>
      </c>
      <c r="K6911" s="6" t="str">
        <f>"2.322,44"</f>
        <v>2.322,44</v>
      </c>
      <c r="L6911" s="6" t="str">
        <f>"580,61"</f>
        <v>580,61</v>
      </c>
      <c r="M6911" s="6" t="str">
        <f>"2.903,05"</f>
        <v>2.903,05</v>
      </c>
      <c r="N6911" s="8" t="s">
        <v>5024</v>
      </c>
      <c r="O6911" s="7"/>
      <c r="P6911" s="2" t="s">
        <v>8935</v>
      </c>
      <c r="Q6911" s="7"/>
      <c r="R6911" s="1"/>
      <c r="S6911" s="1" t="str">
        <f>"J-UN-2018-136"</f>
        <v>J-UN-2018-136</v>
      </c>
      <c r="T6911" s="1" t="s">
        <v>32</v>
      </c>
    </row>
    <row r="6912" spans="1:20" ht="51" x14ac:dyDescent="0.25">
      <c r="A6912" s="6">
        <v>6883</v>
      </c>
      <c r="B6912" s="1" t="str">
        <f>"2018-1421"</f>
        <v>2018-1421</v>
      </c>
      <c r="C6912" s="1" t="s">
        <v>2711</v>
      </c>
      <c r="D6912" s="1" t="s">
        <v>1914</v>
      </c>
      <c r="E6912" s="1" t="str">
        <f>""</f>
        <v/>
      </c>
      <c r="F6912" s="1" t="s">
        <v>1860</v>
      </c>
      <c r="G6912" s="1" t="str">
        <f>CONCATENATE(" FINACT D.O.O.,"," BRAĆE CAR URAČIĆ 13,"," 51260 CRIKVENICA,"," OIB: 31138054256")</f>
        <v xml:space="preserve"> FINACT D.O.O., BRAĆE CAR URAČIĆ 13, 51260 CRIKVENICA, OIB: 31138054256</v>
      </c>
      <c r="H6912" s="7"/>
      <c r="I6912" s="8" t="s">
        <v>5281</v>
      </c>
      <c r="J6912" s="8" t="s">
        <v>3820</v>
      </c>
      <c r="K6912" s="6" t="str">
        <f>"4.737,04"</f>
        <v>4.737,04</v>
      </c>
      <c r="L6912" s="6" t="str">
        <f>"1.184,26"</f>
        <v>1.184,26</v>
      </c>
      <c r="M6912" s="6" t="str">
        <f>"5.921,30"</f>
        <v>5.921,30</v>
      </c>
      <c r="N6912" s="8" t="s">
        <v>4582</v>
      </c>
      <c r="O6912" s="7"/>
      <c r="P6912" s="2" t="s">
        <v>8936</v>
      </c>
      <c r="Q6912" s="7"/>
      <c r="R6912" s="1"/>
      <c r="S6912" s="1" t="str">
        <f>"J-UN-2018-149"</f>
        <v>J-UN-2018-149</v>
      </c>
      <c r="T6912" s="1" t="s">
        <v>32</v>
      </c>
    </row>
    <row r="6913" spans="1:20" ht="63.75" x14ac:dyDescent="0.25">
      <c r="A6913" s="6">
        <v>6884</v>
      </c>
      <c r="B6913" s="1" t="str">
        <f>"2018-2602"</f>
        <v>2018-2602</v>
      </c>
      <c r="C6913" s="1" t="s">
        <v>2634</v>
      </c>
      <c r="D6913" s="1" t="s">
        <v>2331</v>
      </c>
      <c r="E6913" s="1" t="str">
        <f>""</f>
        <v/>
      </c>
      <c r="F6913" s="1" t="s">
        <v>1860</v>
      </c>
      <c r="G6913" s="1" t="str">
        <f>CONCATENATE(" KOFEIN D.O.O.,"," DR. FRANJE TUĐMANA 14/A,"," 10431 SVETA NEDELJA,"," OIB: 57993674442")</f>
        <v xml:space="preserve"> KOFEIN D.O.O., DR. FRANJE TUĐMANA 14/A, 10431 SVETA NEDELJA, OIB: 57993674442</v>
      </c>
      <c r="H6913" s="7"/>
      <c r="I6913" s="8" t="s">
        <v>5087</v>
      </c>
      <c r="J6913" s="8" t="s">
        <v>5282</v>
      </c>
      <c r="K6913" s="6" t="str">
        <f>"53.850,00"</f>
        <v>53.850,00</v>
      </c>
      <c r="L6913" s="6" t="str">
        <f>"13.462,50"</f>
        <v>13.462,50</v>
      </c>
      <c r="M6913" s="6" t="str">
        <f>"67.312,50"</f>
        <v>67.312,50</v>
      </c>
      <c r="N6913" s="8" t="s">
        <v>124</v>
      </c>
      <c r="O6913" s="7"/>
      <c r="P6913" s="2" t="s">
        <v>5614</v>
      </c>
      <c r="Q6913" s="7"/>
      <c r="R6913" s="1"/>
      <c r="S6913" s="1" t="str">
        <f>"J-UN-2018-173"</f>
        <v>J-UN-2018-173</v>
      </c>
      <c r="T6913" s="1" t="s">
        <v>32</v>
      </c>
    </row>
    <row r="6914" spans="1:20" ht="51" x14ac:dyDescent="0.25">
      <c r="A6914" s="6">
        <v>6885</v>
      </c>
      <c r="B6914" s="1" t="str">
        <f>"2018-253"</f>
        <v>2018-253</v>
      </c>
      <c r="C6914" s="1" t="s">
        <v>2674</v>
      </c>
      <c r="D6914" s="1" t="s">
        <v>1637</v>
      </c>
      <c r="E6914" s="1" t="str">
        <f>""</f>
        <v/>
      </c>
      <c r="F6914" s="1" t="s">
        <v>1860</v>
      </c>
      <c r="G6914" s="1" t="str">
        <f>CONCATENATE(" KURIJA SUVENIRI D.O.O.,"," MIHANOVIĆEVA 4,"," 47000 KARLOVAC,"," OIB: 10384365453")</f>
        <v xml:space="preserve"> KURIJA SUVENIRI D.O.O., MIHANOVIĆEVA 4, 47000 KARLOVAC, OIB: 10384365453</v>
      </c>
      <c r="H6914" s="7"/>
      <c r="I6914" s="8" t="s">
        <v>5283</v>
      </c>
      <c r="J6914" s="8" t="s">
        <v>5284</v>
      </c>
      <c r="K6914" s="6" t="str">
        <f>"36.000,00"</f>
        <v>36.000,00</v>
      </c>
      <c r="L6914" s="6" t="str">
        <f>"9.000,00"</f>
        <v>9.000,00</v>
      </c>
      <c r="M6914" s="6" t="str">
        <f>"45.000,00"</f>
        <v>45.000,00</v>
      </c>
      <c r="N6914" s="8" t="s">
        <v>3696</v>
      </c>
      <c r="O6914" s="7"/>
      <c r="P6914" s="2" t="s">
        <v>7510</v>
      </c>
      <c r="Q6914" s="7"/>
      <c r="R6914" s="1"/>
      <c r="S6914" s="1" t="str">
        <f>"J-UN-2018-209"</f>
        <v>J-UN-2018-209</v>
      </c>
      <c r="T6914" s="1" t="s">
        <v>32</v>
      </c>
    </row>
    <row r="6915" spans="1:20" ht="63.75" x14ac:dyDescent="0.25">
      <c r="A6915" s="6">
        <v>6886</v>
      </c>
      <c r="B6915" s="1" t="str">
        <f>"2018-2030"</f>
        <v>2018-2030</v>
      </c>
      <c r="C6915" s="1" t="s">
        <v>2866</v>
      </c>
      <c r="D6915" s="1" t="s">
        <v>2867</v>
      </c>
      <c r="E6915" s="1" t="str">
        <f>""</f>
        <v/>
      </c>
      <c r="F6915" s="1" t="s">
        <v>1860</v>
      </c>
      <c r="G6915" s="1" t="str">
        <f>CONCATENATE(" AGROTUROPOLJE D.O.O.,"," VELIKOGORIČKA 43,"," 10415 NOVO ČIČE,"," OIB: 66493270332")</f>
        <v xml:space="preserve"> AGROTUROPOLJE D.O.O., VELIKOGORIČKA 43, 10415 NOVO ČIČE, OIB: 66493270332</v>
      </c>
      <c r="H6915" s="7"/>
      <c r="I6915" s="8" t="s">
        <v>245</v>
      </c>
      <c r="J6915" s="8" t="s">
        <v>5285</v>
      </c>
      <c r="K6915" s="6" t="str">
        <f>"43.506,50"</f>
        <v>43.506,50</v>
      </c>
      <c r="L6915" s="6" t="str">
        <f>"10.876,62"</f>
        <v>10.876,62</v>
      </c>
      <c r="M6915" s="6" t="str">
        <f>"54.383,12"</f>
        <v>54.383,12</v>
      </c>
      <c r="N6915" s="8" t="s">
        <v>3991</v>
      </c>
      <c r="O6915" s="7"/>
      <c r="P6915" s="2" t="s">
        <v>8937</v>
      </c>
      <c r="Q6915" s="7"/>
      <c r="R6915" s="1"/>
      <c r="S6915" s="1" t="str">
        <f>"J-UN-2018-241"</f>
        <v>J-UN-2018-241</v>
      </c>
      <c r="T6915" s="1" t="s">
        <v>32</v>
      </c>
    </row>
    <row r="6916" spans="1:20" ht="76.5" x14ac:dyDescent="0.25">
      <c r="A6916" s="6">
        <v>6887</v>
      </c>
      <c r="B6916" s="1" t="str">
        <f>"2018-1596"</f>
        <v>2018-1596</v>
      </c>
      <c r="C6916" s="1" t="s">
        <v>1041</v>
      </c>
      <c r="D6916" s="1" t="s">
        <v>515</v>
      </c>
      <c r="E6916" s="1" t="str">
        <f>""</f>
        <v/>
      </c>
      <c r="F6916" s="1" t="s">
        <v>1860</v>
      </c>
      <c r="G6916" s="1" t="str">
        <f>CONCATENATE(" NASTAVNI ZAVOD ZA JAVNO ZDRAVSTVO DR. ANDRIJA ŠTAMPAR,"," MIROGOJSKA CESTA 16,"," 10000 ZAGREB,"," OIB: 3339200596")</f>
        <v xml:space="preserve"> NASTAVNI ZAVOD ZA JAVNO ZDRAVSTVO DR. ANDRIJA ŠTAMPAR, MIROGOJSKA CESTA 16, 10000 ZAGREB, OIB: 3339200596</v>
      </c>
      <c r="H6916" s="7"/>
      <c r="I6916" s="8" t="s">
        <v>3802</v>
      </c>
      <c r="J6916" s="8" t="s">
        <v>4004</v>
      </c>
      <c r="K6916" s="6" t="str">
        <f>"13.875,00"</f>
        <v>13.875,00</v>
      </c>
      <c r="L6916" s="6" t="str">
        <f>"3.468,75"</f>
        <v>3.468,75</v>
      </c>
      <c r="M6916" s="6" t="str">
        <f>"17.343,75"</f>
        <v>17.343,75</v>
      </c>
      <c r="N6916" s="8" t="s">
        <v>124</v>
      </c>
      <c r="O6916" s="7"/>
      <c r="P6916" s="2" t="s">
        <v>5614</v>
      </c>
      <c r="Q6916" s="7"/>
      <c r="R6916" s="1"/>
      <c r="S6916" s="1" t="str">
        <f>"J-UN-2018-251"</f>
        <v>J-UN-2018-251</v>
      </c>
      <c r="T6916" s="1" t="s">
        <v>32</v>
      </c>
    </row>
    <row r="6917" spans="1:20" ht="38.25" x14ac:dyDescent="0.25">
      <c r="A6917" s="6">
        <v>6888</v>
      </c>
      <c r="B6917" s="1" t="str">
        <f>"2018-1314"</f>
        <v>2018-1314</v>
      </c>
      <c r="C6917" s="1" t="s">
        <v>2778</v>
      </c>
      <c r="D6917" s="1" t="s">
        <v>1833</v>
      </c>
      <c r="E6917" s="1" t="str">
        <f>""</f>
        <v/>
      </c>
      <c r="F6917" s="1" t="s">
        <v>1860</v>
      </c>
      <c r="G6917" s="1" t="str">
        <f>CONCATENATE(" WAWA D.O.O.,"," ,"," OIB: 59785180614")</f>
        <v xml:space="preserve"> WAWA D.O.O., , OIB: 59785180614</v>
      </c>
      <c r="H6917" s="7"/>
      <c r="I6917" s="8" t="s">
        <v>3853</v>
      </c>
      <c r="J6917" s="8" t="s">
        <v>4588</v>
      </c>
      <c r="K6917" s="6" t="str">
        <f>"5.619,70"</f>
        <v>5.619,70</v>
      </c>
      <c r="L6917" s="6" t="str">
        <f>"1.404,92"</f>
        <v>1.404,92</v>
      </c>
      <c r="M6917" s="6" t="str">
        <f>"7.024,62"</f>
        <v>7.024,62</v>
      </c>
      <c r="N6917" s="8" t="s">
        <v>124</v>
      </c>
      <c r="O6917" s="7"/>
      <c r="P6917" s="2" t="s">
        <v>5614</v>
      </c>
      <c r="Q6917" s="7"/>
      <c r="R6917" s="1"/>
      <c r="S6917" s="1" t="str">
        <f>"J-UN-2018-282"</f>
        <v>J-UN-2018-282</v>
      </c>
      <c r="T6917" s="1" t="s">
        <v>32</v>
      </c>
    </row>
    <row r="6918" spans="1:20" ht="76.5" x14ac:dyDescent="0.25">
      <c r="A6918" s="6">
        <v>6889</v>
      </c>
      <c r="B6918" s="1" t="str">
        <f>"2018-1031"</f>
        <v>2018-1031</v>
      </c>
      <c r="C6918" s="1" t="s">
        <v>5008</v>
      </c>
      <c r="D6918" s="1" t="s">
        <v>5009</v>
      </c>
      <c r="E6918" s="1" t="str">
        <f>""</f>
        <v/>
      </c>
      <c r="F6918" s="1" t="s">
        <v>1860</v>
      </c>
      <c r="G6918" s="1" t="str">
        <f>CONCATENATE(" NASTAVNI ZAVOD ZA JAVNO ZDRAVSTVO DR. ANDRIJA ŠTAMPAR,"," MIROGOJSKA CESTA 16,"," 10000 ZAGREB,"," OIB: 3339200596")</f>
        <v xml:space="preserve"> NASTAVNI ZAVOD ZA JAVNO ZDRAVSTVO DR. ANDRIJA ŠTAMPAR, MIROGOJSKA CESTA 16, 10000 ZAGREB, OIB: 3339200596</v>
      </c>
      <c r="H6918" s="7"/>
      <c r="I6918" s="8" t="s">
        <v>245</v>
      </c>
      <c r="J6918" s="8" t="s">
        <v>245</v>
      </c>
      <c r="K6918" s="6" t="str">
        <f>"7.568,00"</f>
        <v>7.568,00</v>
      </c>
      <c r="L6918" s="6" t="str">
        <f>"1.892,00"</f>
        <v>1.892,00</v>
      </c>
      <c r="M6918" s="6" t="str">
        <f>"9.460,00"</f>
        <v>9.460,00</v>
      </c>
      <c r="N6918" s="8" t="s">
        <v>5286</v>
      </c>
      <c r="O6918" s="7"/>
      <c r="P6918" s="2" t="s">
        <v>8938</v>
      </c>
      <c r="Q6918" s="7"/>
      <c r="R6918" s="1"/>
      <c r="S6918" s="1" t="str">
        <f>"J-UN-2018-308"</f>
        <v>J-UN-2018-308</v>
      </c>
      <c r="T6918" s="1" t="s">
        <v>32</v>
      </c>
    </row>
    <row r="6919" spans="1:20" ht="89.25" x14ac:dyDescent="0.25">
      <c r="A6919" s="6">
        <v>6890</v>
      </c>
      <c r="B6919" s="1" t="str">
        <f>"2018-26"</f>
        <v>2018-26</v>
      </c>
      <c r="C6919" s="1" t="s">
        <v>5287</v>
      </c>
      <c r="D6919" s="1" t="s">
        <v>5288</v>
      </c>
      <c r="E6919" s="1" t="str">
        <f>""</f>
        <v/>
      </c>
      <c r="F6919" s="1" t="s">
        <v>1860</v>
      </c>
      <c r="G6919" s="1" t="str">
        <f>CONCATENATE(" RASADNIK UKRASNOG BILJA ĐURO JOVANOVAC VL.SINIŠA JOVANOVAC,"," MATIJE GUPCA 33,"," 32273 GRADIŠTE,"," OIB: 63533508033")</f>
        <v xml:space="preserve"> RASADNIK UKRASNOG BILJA ĐURO JOVANOVAC VL.SINIŠA JOVANOVAC, MATIJE GUPCA 33, 32273 GRADIŠTE, OIB: 63533508033</v>
      </c>
      <c r="H6919" s="7"/>
      <c r="I6919" s="8" t="s">
        <v>5285</v>
      </c>
      <c r="J6919" s="8" t="s">
        <v>5043</v>
      </c>
      <c r="K6919" s="6" t="str">
        <f>"27.000,00"</f>
        <v>27.000,00</v>
      </c>
      <c r="L6919" s="6" t="str">
        <f>"6.750,00"</f>
        <v>6.750,00</v>
      </c>
      <c r="M6919" s="6" t="str">
        <f>"33.750,00"</f>
        <v>33.750,00</v>
      </c>
      <c r="N6919" s="8" t="s">
        <v>4618</v>
      </c>
      <c r="O6919" s="7"/>
      <c r="P6919" s="2" t="s">
        <v>8939</v>
      </c>
      <c r="Q6919" s="7"/>
      <c r="R6919" s="1"/>
      <c r="S6919" s="1" t="str">
        <f>"J-UN-2018-318"</f>
        <v>J-UN-2018-318</v>
      </c>
      <c r="T6919" s="1" t="s">
        <v>32</v>
      </c>
    </row>
    <row r="6920" spans="1:20" ht="38.25" x14ac:dyDescent="0.25">
      <c r="A6920" s="6">
        <v>6891</v>
      </c>
      <c r="B6920" s="1" t="str">
        <f>"2018-2909"</f>
        <v>2018-2909</v>
      </c>
      <c r="C6920" s="1" t="s">
        <v>5289</v>
      </c>
      <c r="D6920" s="1" t="s">
        <v>1184</v>
      </c>
      <c r="E6920" s="1" t="str">
        <f>""</f>
        <v/>
      </c>
      <c r="F6920" s="1" t="s">
        <v>1860</v>
      </c>
      <c r="G6920" s="1" t="str">
        <f>CONCATENATE(" ZET D.O.O.,"," OZALJSKA 105,"," 10000 ZAGREB,"," OIB: 82031999604")</f>
        <v xml:space="preserve"> ZET D.O.O., OZALJSKA 105, 10000 ZAGREB, OIB: 82031999604</v>
      </c>
      <c r="H6920" s="7"/>
      <c r="I6920" s="8" t="s">
        <v>3853</v>
      </c>
      <c r="J6920" s="8" t="s">
        <v>4588</v>
      </c>
      <c r="K6920" s="6" t="str">
        <f>"79.651,40"</f>
        <v>79.651,40</v>
      </c>
      <c r="L6920" s="6" t="str">
        <f>"19.912,85"</f>
        <v>19.912,85</v>
      </c>
      <c r="M6920" s="6" t="str">
        <f>"99.564,25"</f>
        <v>99.564,25</v>
      </c>
      <c r="N6920" s="8" t="s">
        <v>4117</v>
      </c>
      <c r="O6920" s="7"/>
      <c r="P6920" s="2" t="s">
        <v>8940</v>
      </c>
      <c r="Q6920" s="7"/>
      <c r="R6920" s="1"/>
      <c r="S6920" s="1" t="str">
        <f>"J-UN-2018-325"</f>
        <v>J-UN-2018-325</v>
      </c>
      <c r="T6920" s="1" t="s">
        <v>32</v>
      </c>
    </row>
    <row r="6921" spans="1:20" ht="63.75" x14ac:dyDescent="0.25">
      <c r="A6921" s="6">
        <v>6892</v>
      </c>
      <c r="B6921" s="1" t="str">
        <f>"2018-1002"</f>
        <v>2018-1002</v>
      </c>
      <c r="C6921" s="1" t="s">
        <v>3126</v>
      </c>
      <c r="D6921" s="1" t="s">
        <v>2871</v>
      </c>
      <c r="E6921" s="1" t="str">
        <f>""</f>
        <v/>
      </c>
      <c r="F6921" s="1" t="s">
        <v>1860</v>
      </c>
      <c r="G6921" s="1" t="str">
        <f>CONCATENATE(" GUMIIMPEX - GRP D.O.O.,"," PAVLEKA MIŠKINE 64C,"," 42000 VARAŽDIN,"," OIB: 8229856262")</f>
        <v xml:space="preserve"> GUMIIMPEX - GRP D.O.O., PAVLEKA MIŠKINE 64C, 42000 VARAŽDIN, OIB: 8229856262</v>
      </c>
      <c r="H6921" s="7"/>
      <c r="I6921" s="8" t="s">
        <v>5043</v>
      </c>
      <c r="J6921" s="8" t="s">
        <v>5043</v>
      </c>
      <c r="K6921" s="6" t="str">
        <f>"9.734,00"</f>
        <v>9.734,00</v>
      </c>
      <c r="L6921" s="6" t="str">
        <f>"2.433,50"</f>
        <v>2.433,50</v>
      </c>
      <c r="M6921" s="6" t="str">
        <f>"12.167,50"</f>
        <v>12.167,50</v>
      </c>
      <c r="N6921" s="8" t="s">
        <v>5290</v>
      </c>
      <c r="O6921" s="7"/>
      <c r="P6921" s="2" t="s">
        <v>7590</v>
      </c>
      <c r="Q6921" s="7"/>
      <c r="R6921" s="1"/>
      <c r="S6921" s="1" t="str">
        <f>"J-UN-2018-352"</f>
        <v>J-UN-2018-352</v>
      </c>
      <c r="T6921" s="1" t="s">
        <v>32</v>
      </c>
    </row>
    <row r="6922" spans="1:20" ht="51" x14ac:dyDescent="0.25">
      <c r="A6922" s="6">
        <v>6893</v>
      </c>
      <c r="B6922" s="1" t="str">
        <f>"2018-2408"</f>
        <v>2018-2408</v>
      </c>
      <c r="C6922" s="1" t="s">
        <v>3131</v>
      </c>
      <c r="D6922" s="1" t="s">
        <v>1859</v>
      </c>
      <c r="E6922" s="1" t="str">
        <f>""</f>
        <v/>
      </c>
      <c r="F6922" s="1" t="s">
        <v>1860</v>
      </c>
      <c r="G6922" s="1" t="str">
        <f>CONCATENATE(" TPT EDUKACIJE,"," IVANA GORANA KOVAČIĆA 26,"," 34000 POŽEGA,"," OIB: 55967593756")</f>
        <v xml:space="preserve"> TPT EDUKACIJE, IVANA GORANA KOVAČIĆA 26, 34000 POŽEGA, OIB: 55967593756</v>
      </c>
      <c r="H6922" s="7"/>
      <c r="I6922" s="8" t="s">
        <v>3802</v>
      </c>
      <c r="J6922" s="8" t="s">
        <v>4004</v>
      </c>
      <c r="K6922" s="6" t="str">
        <f>"900,00"</f>
        <v>900,00</v>
      </c>
      <c r="L6922" s="6" t="str">
        <f>"225,00"</f>
        <v>225,00</v>
      </c>
      <c r="M6922" s="6" t="str">
        <f>"1.125,00"</f>
        <v>1.125,00</v>
      </c>
      <c r="N6922" s="8" t="s">
        <v>124</v>
      </c>
      <c r="O6922" s="7"/>
      <c r="P6922" s="2" t="s">
        <v>5614</v>
      </c>
      <c r="Q6922" s="7"/>
      <c r="R6922" s="1"/>
      <c r="S6922" s="1" t="str">
        <f>"J-UN-2018-370"</f>
        <v>J-UN-2018-370</v>
      </c>
      <c r="T6922" s="1" t="s">
        <v>32</v>
      </c>
    </row>
    <row r="6923" spans="1:20" ht="76.5" x14ac:dyDescent="0.25">
      <c r="A6923" s="6">
        <v>6894</v>
      </c>
      <c r="B6923" s="1" t="str">
        <f>"2018-1564"</f>
        <v>2018-1564</v>
      </c>
      <c r="C6923" s="1" t="s">
        <v>2877</v>
      </c>
      <c r="D6923" s="1" t="s">
        <v>794</v>
      </c>
      <c r="E6923" s="1" t="str">
        <f>""</f>
        <v/>
      </c>
      <c r="F6923" s="1" t="s">
        <v>1860</v>
      </c>
      <c r="G6923" s="1" t="str">
        <f>CONCATENATE(" MAN IMPORTER HRVATSKA D.O.O.,"," ZASTAVNICE 25C,"," 10251 HRVATSKI LESKOVAC,"," OIB: 07719493783")</f>
        <v xml:space="preserve"> MAN IMPORTER HRVATSKA D.O.O., ZASTAVNICE 25C, 10251 HRVATSKI LESKOVAC, OIB: 07719493783</v>
      </c>
      <c r="H6923" s="7"/>
      <c r="I6923" s="8" t="s">
        <v>3802</v>
      </c>
      <c r="J6923" s="8" t="s">
        <v>4004</v>
      </c>
      <c r="K6923" s="6" t="str">
        <f>"16.200,00"</f>
        <v>16.200,00</v>
      </c>
      <c r="L6923" s="6" t="str">
        <f>"4.050,00"</f>
        <v>4.050,00</v>
      </c>
      <c r="M6923" s="6" t="str">
        <f>"20.250,00"</f>
        <v>20.250,00</v>
      </c>
      <c r="N6923" s="8" t="s">
        <v>5291</v>
      </c>
      <c r="O6923" s="7"/>
      <c r="P6923" s="2" t="s">
        <v>8941</v>
      </c>
      <c r="Q6923" s="7"/>
      <c r="R6923" s="1"/>
      <c r="S6923" s="1" t="str">
        <f>"J-UN-2018-373"</f>
        <v>J-UN-2018-373</v>
      </c>
      <c r="T6923" s="1" t="s">
        <v>32</v>
      </c>
    </row>
    <row r="6924" spans="1:20" ht="89.25" x14ac:dyDescent="0.25">
      <c r="A6924" s="6">
        <v>6895</v>
      </c>
      <c r="B6924" s="1" t="str">
        <f>"2018-1031"</f>
        <v>2018-1031</v>
      </c>
      <c r="C6924" s="1" t="s">
        <v>5008</v>
      </c>
      <c r="D6924" s="1" t="s">
        <v>5009</v>
      </c>
      <c r="E6924" s="1" t="str">
        <f>""</f>
        <v/>
      </c>
      <c r="F6924" s="1" t="s">
        <v>1860</v>
      </c>
      <c r="G6924" s="1" t="str">
        <f>CONCATENATE(" NASTAVNI ZAVOD ZA JAVNO ZDRAVSTVO PRIMORSKO - GORANSKE ŽUPANIJE,"," KREŠIMIROVA 52/A,"," 51000 RIJEKA,"," OIB: 45613787772")</f>
        <v xml:space="preserve"> NASTAVNI ZAVOD ZA JAVNO ZDRAVSTVO PRIMORSKO - GORANSKE ŽUPANIJE, KREŠIMIROVA 52/A, 51000 RIJEKA, OIB: 45613787772</v>
      </c>
      <c r="H6924" s="7"/>
      <c r="I6924" s="8" t="s">
        <v>5043</v>
      </c>
      <c r="J6924" s="8" t="s">
        <v>5043</v>
      </c>
      <c r="K6924" s="6" t="str">
        <f>"1.080,00"</f>
        <v>1.080,00</v>
      </c>
      <c r="L6924" s="6" t="str">
        <f>"270,00"</f>
        <v>270,00</v>
      </c>
      <c r="M6924" s="6" t="str">
        <f>"1.350,00"</f>
        <v>1.350,00</v>
      </c>
      <c r="N6924" s="8" t="s">
        <v>124</v>
      </c>
      <c r="O6924" s="7"/>
      <c r="P6924" s="2" t="s">
        <v>5614</v>
      </c>
      <c r="Q6924" s="7"/>
      <c r="R6924" s="1"/>
      <c r="S6924" s="1" t="str">
        <f>"J-UN-2018-476"</f>
        <v>J-UN-2018-476</v>
      </c>
      <c r="T6924" s="1" t="s">
        <v>32</v>
      </c>
    </row>
    <row r="6925" spans="1:20" ht="89.25" x14ac:dyDescent="0.25">
      <c r="A6925" s="6">
        <v>6896</v>
      </c>
      <c r="B6925" s="1" t="str">
        <f>"2018-1857"</f>
        <v>2018-1857</v>
      </c>
      <c r="C6925" s="1" t="s">
        <v>3059</v>
      </c>
      <c r="D6925" s="1" t="s">
        <v>3060</v>
      </c>
      <c r="E6925" s="1" t="str">
        <f>""</f>
        <v/>
      </c>
      <c r="F6925" s="1" t="s">
        <v>1860</v>
      </c>
      <c r="G6925" s="1" t="str">
        <f>CONCATENATE(" EFEKTIVNI MIKROORGANIZMI ORIGINALNA TEHNOLOGIJA RIJEKA D.O.O.,"," F. ČANDEKA 33,"," 51000 RIJEKA,"," OIB: 5176600402")</f>
        <v xml:space="preserve"> EFEKTIVNI MIKROORGANIZMI ORIGINALNA TEHNOLOGIJA RIJEKA D.O.O., F. ČANDEKA 33, 51000 RIJEKA, OIB: 5176600402</v>
      </c>
      <c r="H6925" s="7"/>
      <c r="I6925" s="8" t="s">
        <v>5292</v>
      </c>
      <c r="J6925" s="8" t="s">
        <v>3774</v>
      </c>
      <c r="K6925" s="6" t="str">
        <f>"22.500,00"</f>
        <v>22.500,00</v>
      </c>
      <c r="L6925" s="6" t="str">
        <f>"5.625,00"</f>
        <v>5.625,00</v>
      </c>
      <c r="M6925" s="6" t="str">
        <f>"28.125,00"</f>
        <v>28.125,00</v>
      </c>
      <c r="N6925" s="8" t="s">
        <v>5293</v>
      </c>
      <c r="O6925" s="7"/>
      <c r="P6925" s="2" t="s">
        <v>8942</v>
      </c>
      <c r="Q6925" s="7"/>
      <c r="R6925" s="1"/>
      <c r="S6925" s="1" t="str">
        <f>"J-UN-2018-535"</f>
        <v>J-UN-2018-535</v>
      </c>
      <c r="T6925" s="1" t="s">
        <v>32</v>
      </c>
    </row>
    <row r="6926" spans="1:20" ht="63.75" x14ac:dyDescent="0.25">
      <c r="A6926" s="6">
        <v>6897</v>
      </c>
      <c r="B6926" s="1" t="str">
        <f>"2018-682"</f>
        <v>2018-682</v>
      </c>
      <c r="C6926" s="1" t="s">
        <v>2734</v>
      </c>
      <c r="D6926" s="1" t="s">
        <v>2735</v>
      </c>
      <c r="E6926" s="1" t="str">
        <f>""</f>
        <v/>
      </c>
      <c r="F6926" s="1" t="s">
        <v>1860</v>
      </c>
      <c r="G6926" s="1" t="str">
        <f>CONCATENATE(" POLJOOPSKRBA-TEHNO D.D.,"," SAMOBORSKA 96,"," 10000 ZAGREB,"," OIB: 5372167324")</f>
        <v xml:space="preserve"> POLJOOPSKRBA-TEHNO D.D., SAMOBORSKA 96, 10000 ZAGREB, OIB: 5372167324</v>
      </c>
      <c r="H6926" s="7"/>
      <c r="I6926" s="8" t="s">
        <v>4507</v>
      </c>
      <c r="J6926" s="8" t="s">
        <v>4507</v>
      </c>
      <c r="K6926" s="6" t="str">
        <f>"1.445,00"</f>
        <v>1.445,00</v>
      </c>
      <c r="L6926" s="6" t="str">
        <f>"361,25"</f>
        <v>361,25</v>
      </c>
      <c r="M6926" s="6" t="str">
        <f>"1.806,25"</f>
        <v>1.806,25</v>
      </c>
      <c r="N6926" s="8" t="s">
        <v>4596</v>
      </c>
      <c r="O6926" s="7"/>
      <c r="P6926" s="2" t="s">
        <v>8943</v>
      </c>
      <c r="Q6926" s="7"/>
      <c r="R6926" s="1"/>
      <c r="S6926" s="1" t="str">
        <f>"J-UN-2018-549"</f>
        <v>J-UN-2018-549</v>
      </c>
      <c r="T6926" s="1" t="s">
        <v>32</v>
      </c>
    </row>
    <row r="6927" spans="1:20" ht="63.75" x14ac:dyDescent="0.25">
      <c r="A6927" s="6">
        <v>6898</v>
      </c>
      <c r="B6927" s="1" t="str">
        <f>"2018-623"</f>
        <v>2018-623</v>
      </c>
      <c r="C6927" s="1" t="s">
        <v>2563</v>
      </c>
      <c r="D6927" s="1" t="s">
        <v>914</v>
      </c>
      <c r="E6927" s="1" t="str">
        <f>""</f>
        <v/>
      </c>
      <c r="F6927" s="1" t="s">
        <v>1860</v>
      </c>
      <c r="G6927" s="1" t="str">
        <f>CONCATENATE(" AUTO SERVIS NEVENKO D.O.O.,"," MARKUŠEVAC TUJROPOLJSKI 5,"," 10253 DONJI DRAGONOŽEC,"," OIB: 6396994527")</f>
        <v xml:space="preserve"> AUTO SERVIS NEVENKO D.O.O., MARKUŠEVAC TUJROPOLJSKI 5, 10253 DONJI DRAGONOŽEC, OIB: 6396994527</v>
      </c>
      <c r="H6927" s="7"/>
      <c r="I6927" s="8" t="s">
        <v>5049</v>
      </c>
      <c r="J6927" s="8" t="s">
        <v>5294</v>
      </c>
      <c r="K6927" s="6" t="str">
        <f>"1.391,00"</f>
        <v>1.391,00</v>
      </c>
      <c r="L6927" s="6" t="str">
        <f>"347,75"</f>
        <v>347,75</v>
      </c>
      <c r="M6927" s="6" t="str">
        <f>"1.738,75"</f>
        <v>1.738,75</v>
      </c>
      <c r="N6927" s="8" t="s">
        <v>124</v>
      </c>
      <c r="O6927" s="7"/>
      <c r="P6927" s="2" t="s">
        <v>5614</v>
      </c>
      <c r="Q6927" s="7"/>
      <c r="R6927" s="1"/>
      <c r="S6927" s="1" t="str">
        <f>"J-UN-2018-583"</f>
        <v>J-UN-2018-583</v>
      </c>
      <c r="T6927" s="1" t="s">
        <v>32</v>
      </c>
    </row>
    <row r="6928" spans="1:20" ht="76.5" x14ac:dyDescent="0.25">
      <c r="A6928" s="6">
        <v>6899</v>
      </c>
      <c r="B6928" s="1" t="str">
        <f>"2018-1489"</f>
        <v>2018-1489</v>
      </c>
      <c r="C6928" s="1" t="s">
        <v>2405</v>
      </c>
      <c r="D6928" s="1" t="s">
        <v>880</v>
      </c>
      <c r="E6928" s="1" t="str">
        <f>""</f>
        <v/>
      </c>
      <c r="F6928" s="1" t="s">
        <v>1860</v>
      </c>
      <c r="G6928" s="1" t="str">
        <f>CONCATENATE(" NASTAVNI ZAVOD ZA JAVNO ZDRAVSTVO ISTARSKE ŽUPANIJE,"," NAZOROVA 23,"," 52100 PULA,"," OIB: 90629578695")</f>
        <v xml:space="preserve"> NASTAVNI ZAVOD ZA JAVNO ZDRAVSTVO ISTARSKE ŽUPANIJE, NAZOROVA 23, 52100 PULA, OIB: 90629578695</v>
      </c>
      <c r="H6928" s="7"/>
      <c r="I6928" s="8" t="s">
        <v>3696</v>
      </c>
      <c r="J6928" s="8" t="s">
        <v>5049</v>
      </c>
      <c r="K6928" s="6" t="str">
        <f>"560,00"</f>
        <v>560,00</v>
      </c>
      <c r="L6928" s="6" t="str">
        <f>"140,00"</f>
        <v>140,00</v>
      </c>
      <c r="M6928" s="6" t="str">
        <f>"700,00"</f>
        <v>700,00</v>
      </c>
      <c r="N6928" s="8" t="s">
        <v>124</v>
      </c>
      <c r="O6928" s="7"/>
      <c r="P6928" s="2" t="s">
        <v>5614</v>
      </c>
      <c r="Q6928" s="7"/>
      <c r="R6928" s="1"/>
      <c r="S6928" s="1" t="str">
        <f>"J-UN-2018-603"</f>
        <v>J-UN-2018-603</v>
      </c>
      <c r="T6928" s="1" t="s">
        <v>32</v>
      </c>
    </row>
    <row r="6929" spans="1:20" ht="76.5" x14ac:dyDescent="0.25">
      <c r="A6929" s="6">
        <v>6900</v>
      </c>
      <c r="B6929" s="1" t="str">
        <f>"2018-1489"</f>
        <v>2018-1489</v>
      </c>
      <c r="C6929" s="1" t="s">
        <v>2405</v>
      </c>
      <c r="D6929" s="1" t="s">
        <v>880</v>
      </c>
      <c r="E6929" s="1" t="str">
        <f>""</f>
        <v/>
      </c>
      <c r="F6929" s="1" t="s">
        <v>1860</v>
      </c>
      <c r="G6929" s="1" t="str">
        <f>CONCATENATE(" NASTAVNI ZAVOD ZA JAVNO ZDRAVSTVO DR. ANDRIJA ŠTAMPAR,"," MIROGOJSKA CESTA 16,"," 10000 ZAGREB,"," OIB: 3339200596")</f>
        <v xml:space="preserve"> NASTAVNI ZAVOD ZA JAVNO ZDRAVSTVO DR. ANDRIJA ŠTAMPAR, MIROGOJSKA CESTA 16, 10000 ZAGREB, OIB: 3339200596</v>
      </c>
      <c r="H6929" s="7"/>
      <c r="I6929" s="8" t="s">
        <v>3779</v>
      </c>
      <c r="J6929" s="8" t="s">
        <v>3779</v>
      </c>
      <c r="K6929" s="6" t="str">
        <f>"11.990,00"</f>
        <v>11.990,00</v>
      </c>
      <c r="L6929" s="6" t="str">
        <f>"2.997,50"</f>
        <v>2.997,50</v>
      </c>
      <c r="M6929" s="6" t="str">
        <f>"14.987,50"</f>
        <v>14.987,50</v>
      </c>
      <c r="N6929" s="8" t="s">
        <v>5295</v>
      </c>
      <c r="O6929" s="7"/>
      <c r="P6929" s="2" t="s">
        <v>8944</v>
      </c>
      <c r="Q6929" s="7"/>
      <c r="R6929" s="1"/>
      <c r="S6929" s="1" t="str">
        <f>"J-UN-2018-606"</f>
        <v>J-UN-2018-606</v>
      </c>
      <c r="T6929" s="1" t="s">
        <v>32</v>
      </c>
    </row>
    <row r="6930" spans="1:20" ht="76.5" x14ac:dyDescent="0.25">
      <c r="A6930" s="6">
        <v>6901</v>
      </c>
      <c r="B6930" s="1" t="str">
        <f>"2018-1421"</f>
        <v>2018-1421</v>
      </c>
      <c r="C6930" s="1" t="s">
        <v>2711</v>
      </c>
      <c r="D6930" s="1" t="s">
        <v>1914</v>
      </c>
      <c r="E6930" s="1" t="str">
        <f>""</f>
        <v/>
      </c>
      <c r="F6930" s="1" t="s">
        <v>1860</v>
      </c>
      <c r="G6930" s="1" t="str">
        <f>CONCATENATE(" BUTAN PLIN D.O.O.,"," ULICA RIJEKE DRAGONJE 23,"," 52466 NOVIGRAD (CITTANOVA),"," OIB: 80051835685")</f>
        <v xml:space="preserve"> BUTAN PLIN D.O.O., ULICA RIJEKE DRAGONJE 23, 52466 NOVIGRAD (CITTANOVA), OIB: 80051835685</v>
      </c>
      <c r="H6930" s="7"/>
      <c r="I6930" s="8" t="s">
        <v>4507</v>
      </c>
      <c r="J6930" s="8" t="s">
        <v>4507</v>
      </c>
      <c r="K6930" s="6" t="str">
        <f>"1.588,00"</f>
        <v>1.588,00</v>
      </c>
      <c r="L6930" s="6" t="str">
        <f>"397,00"</f>
        <v>397,00</v>
      </c>
      <c r="M6930" s="6" t="str">
        <f>"1.985,00"</f>
        <v>1.985,00</v>
      </c>
      <c r="N6930" s="8" t="s">
        <v>4493</v>
      </c>
      <c r="O6930" s="7"/>
      <c r="P6930" s="2" t="s">
        <v>8945</v>
      </c>
      <c r="Q6930" s="7"/>
      <c r="R6930" s="1"/>
      <c r="S6930" s="1" t="str">
        <f>"J-UN-2018-636"</f>
        <v>J-UN-2018-636</v>
      </c>
      <c r="T6930" s="1" t="s">
        <v>32</v>
      </c>
    </row>
    <row r="6931" spans="1:20" ht="51" x14ac:dyDescent="0.25">
      <c r="A6931" s="6">
        <v>6902</v>
      </c>
      <c r="B6931" s="1" t="str">
        <f>"2018-2054"</f>
        <v>2018-2054</v>
      </c>
      <c r="C6931" s="1" t="s">
        <v>5296</v>
      </c>
      <c r="D6931" s="1" t="s">
        <v>5297</v>
      </c>
      <c r="E6931" s="1" t="str">
        <f>""</f>
        <v/>
      </c>
      <c r="F6931" s="1" t="s">
        <v>1860</v>
      </c>
      <c r="G6931" s="1" t="str">
        <f>CONCATENATE(" INTERPLAN D.O.O.,"," ĐURE BENCETIĆA 10,"," 47000 KARLOVAC,"," OIB: 82844419736")</f>
        <v xml:space="preserve"> INTERPLAN D.O.O., ĐURE BENCETIĆA 10, 47000 KARLOVAC, OIB: 82844419736</v>
      </c>
      <c r="H6931" s="7"/>
      <c r="I6931" s="8" t="s">
        <v>4507</v>
      </c>
      <c r="J6931" s="8" t="s">
        <v>4507</v>
      </c>
      <c r="K6931" s="6" t="str">
        <f>"6.483,00"</f>
        <v>6.483,00</v>
      </c>
      <c r="L6931" s="6" t="str">
        <f>"1.620,75"</f>
        <v>1.620,75</v>
      </c>
      <c r="M6931" s="6" t="str">
        <f>"8.103,75"</f>
        <v>8.103,75</v>
      </c>
      <c r="N6931" s="8" t="s">
        <v>5048</v>
      </c>
      <c r="O6931" s="7"/>
      <c r="P6931" s="2" t="s">
        <v>7603</v>
      </c>
      <c r="Q6931" s="7"/>
      <c r="R6931" s="1"/>
      <c r="S6931" s="1" t="str">
        <f>"J-UN-2018-637"</f>
        <v>J-UN-2018-637</v>
      </c>
      <c r="T6931" s="1" t="s">
        <v>32</v>
      </c>
    </row>
    <row r="6932" spans="1:20" ht="76.5" x14ac:dyDescent="0.25">
      <c r="A6932" s="6">
        <v>6903</v>
      </c>
      <c r="B6932" s="1" t="str">
        <f>"2018-638"</f>
        <v>2018-638</v>
      </c>
      <c r="C6932" s="1" t="s">
        <v>2703</v>
      </c>
      <c r="D6932" s="1" t="s">
        <v>2704</v>
      </c>
      <c r="E6932" s="1" t="str">
        <f>""</f>
        <v/>
      </c>
      <c r="F6932" s="1" t="s">
        <v>1860</v>
      </c>
      <c r="G6932" s="1" t="str">
        <f>CONCATENATE(" SMIT-COMMERCE D.O.O.,"," GORNJOSTUPNIČKA 9B,"," 10255 GORNJI STUPNIK,"," OIB: 9524348214")</f>
        <v xml:space="preserve"> SMIT-COMMERCE D.O.O., GORNJOSTUPNIČKA 9B, 10255 GORNJI STUPNIK, OIB: 9524348214</v>
      </c>
      <c r="H6932" s="7"/>
      <c r="I6932" s="8" t="s">
        <v>4933</v>
      </c>
      <c r="J6932" s="8" t="s">
        <v>5298</v>
      </c>
      <c r="K6932" s="6" t="str">
        <f>"2.412,00"</f>
        <v>2.412,00</v>
      </c>
      <c r="L6932" s="6" t="str">
        <f>"603,00"</f>
        <v>603,00</v>
      </c>
      <c r="M6932" s="6" t="str">
        <f>"3.015,00"</f>
        <v>3.015,00</v>
      </c>
      <c r="N6932" s="8" t="s">
        <v>3884</v>
      </c>
      <c r="O6932" s="7"/>
      <c r="P6932" s="2" t="s">
        <v>8946</v>
      </c>
      <c r="Q6932" s="7"/>
      <c r="R6932" s="1"/>
      <c r="S6932" s="1" t="str">
        <f>"J-UN-2018-661"</f>
        <v>J-UN-2018-661</v>
      </c>
      <c r="T6932" s="1" t="s">
        <v>32</v>
      </c>
    </row>
    <row r="6933" spans="1:20" ht="51" x14ac:dyDescent="0.25">
      <c r="A6933" s="6">
        <v>6904</v>
      </c>
      <c r="B6933" s="1" t="str">
        <f>"2018-289"</f>
        <v>2018-289</v>
      </c>
      <c r="C6933" s="1" t="s">
        <v>2761</v>
      </c>
      <c r="D6933" s="1" t="s">
        <v>2762</v>
      </c>
      <c r="E6933" s="1" t="str">
        <f>""</f>
        <v/>
      </c>
      <c r="F6933" s="1" t="s">
        <v>1860</v>
      </c>
      <c r="G6933" s="1" t="str">
        <f>CONCATENATE(" ADRIALIFT D.O.O.,"," BRAĆE BAĆIĆA 36,"," 51000 RIJEKA,"," OIB: 36856415212")</f>
        <v xml:space="preserve"> ADRIALIFT D.O.O., BRAĆE BAĆIĆA 36, 51000 RIJEKA, OIB: 36856415212</v>
      </c>
      <c r="H6933" s="7"/>
      <c r="I6933" s="8" t="s">
        <v>4507</v>
      </c>
      <c r="J6933" s="8" t="s">
        <v>3554</v>
      </c>
      <c r="K6933" s="6" t="str">
        <f>"1.250,00"</f>
        <v>1.250,00</v>
      </c>
      <c r="L6933" s="6" t="str">
        <f>"312,50"</f>
        <v>312,50</v>
      </c>
      <c r="M6933" s="6" t="str">
        <f>"1.562,50"</f>
        <v>1.562,50</v>
      </c>
      <c r="N6933" s="8" t="s">
        <v>3711</v>
      </c>
      <c r="O6933" s="7"/>
      <c r="P6933" s="2" t="s">
        <v>6552</v>
      </c>
      <c r="Q6933" s="7"/>
      <c r="R6933" s="1"/>
      <c r="S6933" s="1" t="str">
        <f>"J-UN-2018-668"</f>
        <v>J-UN-2018-668</v>
      </c>
      <c r="T6933" s="1" t="s">
        <v>32</v>
      </c>
    </row>
    <row r="6934" spans="1:20" ht="51" x14ac:dyDescent="0.25">
      <c r="A6934" s="6">
        <v>6905</v>
      </c>
      <c r="B6934" s="1" t="str">
        <f>"2018-1212"</f>
        <v>2018-1212</v>
      </c>
      <c r="C6934" s="1" t="s">
        <v>5299</v>
      </c>
      <c r="D6934" s="1" t="s">
        <v>1672</v>
      </c>
      <c r="E6934" s="1" t="str">
        <f>""</f>
        <v/>
      </c>
      <c r="F6934" s="1" t="s">
        <v>1860</v>
      </c>
      <c r="G6934" s="1" t="str">
        <f>CONCATENATE(" DRVNA BIOMASA D.O.O.,"," LOVAČKA 22,"," 53260 BRINJE,"," OIB: 64425469834")</f>
        <v xml:space="preserve"> DRVNA BIOMASA D.O.O., LOVAČKA 22, 53260 BRINJE, OIB: 64425469834</v>
      </c>
      <c r="H6934" s="7"/>
      <c r="I6934" s="8" t="s">
        <v>3884</v>
      </c>
      <c r="J6934" s="8" t="s">
        <v>3884</v>
      </c>
      <c r="K6934" s="6" t="str">
        <f>"198.800,00"</f>
        <v>198.800,00</v>
      </c>
      <c r="L6934" s="6" t="str">
        <f>"49.700,00"</f>
        <v>49.700,00</v>
      </c>
      <c r="M6934" s="6" t="str">
        <f>"248.500,00"</f>
        <v>248.500,00</v>
      </c>
      <c r="N6934" s="8" t="s">
        <v>5300</v>
      </c>
      <c r="O6934" s="7"/>
      <c r="P6934" s="2" t="s">
        <v>8947</v>
      </c>
      <c r="Q6934" s="7"/>
      <c r="R6934" s="1"/>
      <c r="S6934" s="1" t="str">
        <f>"J-UN-2018-696"</f>
        <v>J-UN-2018-696</v>
      </c>
      <c r="T6934" s="1" t="s">
        <v>32</v>
      </c>
    </row>
    <row r="6935" spans="1:20" ht="51" x14ac:dyDescent="0.25">
      <c r="A6935" s="6">
        <v>6906</v>
      </c>
      <c r="B6935" s="1" t="str">
        <f>"2018-650"</f>
        <v>2018-650</v>
      </c>
      <c r="C6935" s="1" t="s">
        <v>2553</v>
      </c>
      <c r="D6935" s="1" t="s">
        <v>2554</v>
      </c>
      <c r="E6935" s="1" t="str">
        <f>""</f>
        <v/>
      </c>
      <c r="F6935" s="1" t="s">
        <v>1860</v>
      </c>
      <c r="G6935" s="1" t="str">
        <f>CONCATENATE(" Z1 TELEVIZIJA D.O.O.,"," LJUDEVITA POSAVSKOG 48,"," 10000 ZAGREB,"," OIB: 93559902375")</f>
        <v xml:space="preserve"> Z1 TELEVIZIJA D.O.O., LJUDEVITA POSAVSKOG 48, 10000 ZAGREB, OIB: 93559902375</v>
      </c>
      <c r="H6935" s="7"/>
      <c r="I6935" s="8" t="s">
        <v>4528</v>
      </c>
      <c r="J6935" s="8" t="s">
        <v>4933</v>
      </c>
      <c r="K6935" s="6" t="str">
        <f>"39.400,00"</f>
        <v>39.400,00</v>
      </c>
      <c r="L6935" s="6" t="str">
        <f>"9.850,00"</f>
        <v>9.850,00</v>
      </c>
      <c r="M6935" s="6" t="str">
        <f>"49.250,00"</f>
        <v>49.250,00</v>
      </c>
      <c r="N6935" s="8" t="s">
        <v>124</v>
      </c>
      <c r="O6935" s="7"/>
      <c r="P6935" s="2" t="s">
        <v>5614</v>
      </c>
      <c r="Q6935" s="7"/>
      <c r="R6935" s="1"/>
      <c r="S6935" s="1" t="str">
        <f>"J-UN-2018-711"</f>
        <v>J-UN-2018-711</v>
      </c>
      <c r="T6935" s="1" t="s">
        <v>32</v>
      </c>
    </row>
    <row r="6936" spans="1:20" ht="63.75" x14ac:dyDescent="0.25">
      <c r="A6936" s="6">
        <v>6907</v>
      </c>
      <c r="B6936" s="1" t="str">
        <f>"2018-857"</f>
        <v>2018-857</v>
      </c>
      <c r="C6936" s="1" t="s">
        <v>5251</v>
      </c>
      <c r="D6936" s="1" t="s">
        <v>689</v>
      </c>
      <c r="E6936" s="1" t="str">
        <f>""</f>
        <v/>
      </c>
      <c r="F6936" s="1" t="s">
        <v>1860</v>
      </c>
      <c r="G6936" s="1" t="str">
        <f>CONCATENATE(" ELEKTRO-KOMUNIKACIJE D.O.O.,"," 14. PODBREŽJE 4,"," 10000 ZAGREB,"," OIB: 76412373309")</f>
        <v xml:space="preserve"> ELEKTRO-KOMUNIKACIJE D.O.O., 14. PODBREŽJE 4, 10000 ZAGREB, OIB: 76412373309</v>
      </c>
      <c r="H6936" s="7"/>
      <c r="I6936" s="8" t="s">
        <v>268</v>
      </c>
      <c r="J6936" s="8" t="s">
        <v>4528</v>
      </c>
      <c r="K6936" s="6" t="str">
        <f>"5.902,40"</f>
        <v>5.902,40</v>
      </c>
      <c r="L6936" s="6" t="str">
        <f>"1.475,60"</f>
        <v>1.475,60</v>
      </c>
      <c r="M6936" s="6" t="str">
        <f>"7.378,00"</f>
        <v>7.378,00</v>
      </c>
      <c r="N6936" s="8" t="s">
        <v>124</v>
      </c>
      <c r="O6936" s="7"/>
      <c r="P6936" s="2" t="s">
        <v>5614</v>
      </c>
      <c r="Q6936" s="7"/>
      <c r="R6936" s="1"/>
      <c r="S6936" s="1" t="str">
        <f>"J-UN-2018-715"</f>
        <v>J-UN-2018-715</v>
      </c>
      <c r="T6936" s="1" t="s">
        <v>32</v>
      </c>
    </row>
    <row r="6937" spans="1:20" ht="51" x14ac:dyDescent="0.25">
      <c r="A6937" s="6">
        <v>6908</v>
      </c>
      <c r="B6937" s="1" t="str">
        <f>"2018-1299"</f>
        <v>2018-1299</v>
      </c>
      <c r="C6937" s="1" t="s">
        <v>5214</v>
      </c>
      <c r="D6937" s="1" t="s">
        <v>2785</v>
      </c>
      <c r="E6937" s="1" t="str">
        <f>""</f>
        <v/>
      </c>
      <c r="F6937" s="1" t="s">
        <v>1860</v>
      </c>
      <c r="G6937" s="1" t="str">
        <f>CONCATENATE(" FRIGOMOTORS D.O.O.,"," DUGOPOLJSKA 35,"," 21204 DUGOPOLJE,"," OIB: 09191580513")</f>
        <v xml:space="preserve"> FRIGOMOTORS D.O.O., DUGOPOLJSKA 35, 21204 DUGOPOLJE, OIB: 09191580513</v>
      </c>
      <c r="H6937" s="7"/>
      <c r="I6937" s="8" t="s">
        <v>4514</v>
      </c>
      <c r="J6937" s="8" t="s">
        <v>4596</v>
      </c>
      <c r="K6937" s="6" t="str">
        <f>"4.900,00"</f>
        <v>4.900,00</v>
      </c>
      <c r="L6937" s="6" t="str">
        <f>"1.225,00"</f>
        <v>1.225,00</v>
      </c>
      <c r="M6937" s="6" t="str">
        <f>"6.125,00"</f>
        <v>6.125,00</v>
      </c>
      <c r="N6937" s="8" t="s">
        <v>124</v>
      </c>
      <c r="O6937" s="7"/>
      <c r="P6937" s="2" t="s">
        <v>5614</v>
      </c>
      <c r="Q6937" s="7"/>
      <c r="R6937" s="1"/>
      <c r="S6937" s="1" t="str">
        <f>"J-UN-2018-736"</f>
        <v>J-UN-2018-736</v>
      </c>
      <c r="T6937" s="1" t="s">
        <v>32</v>
      </c>
    </row>
    <row r="6938" spans="1:20" ht="51" x14ac:dyDescent="0.25">
      <c r="A6938" s="6">
        <v>6909</v>
      </c>
      <c r="B6938" s="1" t="str">
        <f>"2018-1421"</f>
        <v>2018-1421</v>
      </c>
      <c r="C6938" s="1" t="s">
        <v>2711</v>
      </c>
      <c r="D6938" s="1" t="s">
        <v>1914</v>
      </c>
      <c r="E6938" s="1" t="str">
        <f>""</f>
        <v/>
      </c>
      <c r="F6938" s="1" t="s">
        <v>1860</v>
      </c>
      <c r="G6938" s="1" t="str">
        <f>CONCATENATE(" TOPLANE D.O.O.,"," KOZALA 87,"," 51000 RIJEKA,"," OIB: 82266510597")</f>
        <v xml:space="preserve"> TOPLANE D.O.O., KOZALA 87, 51000 RIJEKA, OIB: 82266510597</v>
      </c>
      <c r="H6938" s="7"/>
      <c r="I6938" s="8" t="s">
        <v>5301</v>
      </c>
      <c r="J6938" s="8" t="s">
        <v>5301</v>
      </c>
      <c r="K6938" s="6" t="str">
        <f>"3.200,00"</f>
        <v>3.200,00</v>
      </c>
      <c r="L6938" s="6" t="str">
        <f>"800,00"</f>
        <v>800,00</v>
      </c>
      <c r="M6938" s="6" t="str">
        <f>"4.000,00"</f>
        <v>4.000,00</v>
      </c>
      <c r="N6938" s="8" t="s">
        <v>124</v>
      </c>
      <c r="O6938" s="7"/>
      <c r="P6938" s="2" t="s">
        <v>5614</v>
      </c>
      <c r="Q6938" s="7"/>
      <c r="R6938" s="1"/>
      <c r="S6938" s="1" t="str">
        <f>"J-UN-2018-740"</f>
        <v>J-UN-2018-740</v>
      </c>
      <c r="T6938" s="1" t="s">
        <v>32</v>
      </c>
    </row>
    <row r="6939" spans="1:20" ht="51" x14ac:dyDescent="0.25">
      <c r="A6939" s="6">
        <v>6910</v>
      </c>
      <c r="B6939" s="1" t="str">
        <f>"2018-1110"</f>
        <v>2018-1110</v>
      </c>
      <c r="C6939" s="1" t="s">
        <v>2931</v>
      </c>
      <c r="D6939" s="1" t="s">
        <v>2932</v>
      </c>
      <c r="E6939" s="1" t="str">
        <f>""</f>
        <v/>
      </c>
      <c r="F6939" s="1" t="s">
        <v>1860</v>
      </c>
      <c r="G6939" s="1" t="str">
        <f>CONCATENATE(" IV-IREN D.O.O.,"," MARIJE RADIĆ 14,"," 10090 ZAGREB,"," OIB: 44000240609")</f>
        <v xml:space="preserve"> IV-IREN D.O.O., MARIJE RADIĆ 14, 10090 ZAGREB, OIB: 44000240609</v>
      </c>
      <c r="H6939" s="7"/>
      <c r="I6939" s="8" t="s">
        <v>4528</v>
      </c>
      <c r="J6939" s="8" t="s">
        <v>4933</v>
      </c>
      <c r="K6939" s="6" t="str">
        <f>"5.028,35"</f>
        <v>5.028,35</v>
      </c>
      <c r="L6939" s="6" t="str">
        <f>"1.257,09"</f>
        <v>1.257,09</v>
      </c>
      <c r="M6939" s="6" t="str">
        <f>"6.285,44"</f>
        <v>6.285,44</v>
      </c>
      <c r="N6939" s="8" t="s">
        <v>124</v>
      </c>
      <c r="O6939" s="7"/>
      <c r="P6939" s="2" t="s">
        <v>5614</v>
      </c>
      <c r="Q6939" s="7"/>
      <c r="R6939" s="1"/>
      <c r="S6939" s="1" t="str">
        <f>"J-UN-2018-746"</f>
        <v>J-UN-2018-746</v>
      </c>
      <c r="T6939" s="1" t="s">
        <v>32</v>
      </c>
    </row>
    <row r="6940" spans="1:20" ht="63.75" x14ac:dyDescent="0.25">
      <c r="A6940" s="6">
        <v>6911</v>
      </c>
      <c r="B6940" s="1" t="str">
        <f>"2018-3002"</f>
        <v>2018-3002</v>
      </c>
      <c r="C6940" s="1" t="s">
        <v>5302</v>
      </c>
      <c r="D6940" s="1" t="s">
        <v>5303</v>
      </c>
      <c r="E6940" s="1" t="str">
        <f>""</f>
        <v/>
      </c>
      <c r="F6940" s="1" t="s">
        <v>1860</v>
      </c>
      <c r="G6940" s="1" t="str">
        <f>CONCATENATE(" DIV GRUPA  D.O.O. ZA USLUGE,"," BOBOVICA 10/A,"," 10430 SAMOBOR,"," OIB: 33890755814")</f>
        <v xml:space="preserve"> DIV GRUPA  D.O.O. ZA USLUGE, BOBOVICA 10/A, 10430 SAMOBOR, OIB: 33890755814</v>
      </c>
      <c r="H6940" s="7"/>
      <c r="I6940" s="8" t="s">
        <v>4524</v>
      </c>
      <c r="J6940" s="8" t="s">
        <v>4524</v>
      </c>
      <c r="K6940" s="6" t="str">
        <f>"14.072,95"</f>
        <v>14.072,95</v>
      </c>
      <c r="L6940" s="6" t="str">
        <f>"3.518,24"</f>
        <v>3.518,24</v>
      </c>
      <c r="M6940" s="6" t="str">
        <f>"17.591,19"</f>
        <v>17.591,19</v>
      </c>
      <c r="N6940" s="8" t="s">
        <v>124</v>
      </c>
      <c r="O6940" s="7"/>
      <c r="P6940" s="2" t="s">
        <v>5614</v>
      </c>
      <c r="Q6940" s="7"/>
      <c r="R6940" s="1"/>
      <c r="S6940" s="1" t="str">
        <f>"J-UN-2018-766"</f>
        <v>J-UN-2018-766</v>
      </c>
      <c r="T6940" s="1" t="s">
        <v>32</v>
      </c>
    </row>
    <row r="6941" spans="1:20" ht="76.5" x14ac:dyDescent="0.25">
      <c r="A6941" s="6">
        <v>6912</v>
      </c>
      <c r="B6941" s="1" t="str">
        <f>"2018-2285"</f>
        <v>2018-2285</v>
      </c>
      <c r="C6941" s="1" t="s">
        <v>2712</v>
      </c>
      <c r="D6941" s="1" t="s">
        <v>2713</v>
      </c>
      <c r="E6941" s="1" t="str">
        <f>""</f>
        <v/>
      </c>
      <c r="F6941" s="1" t="s">
        <v>1860</v>
      </c>
      <c r="G6941" s="1" t="str">
        <f>CONCATENATE(" SMIT-COMMERCE D.O.O.,"," GORNJOSTUPNIČKA 9B,"," 10255 GORNJI STUPNIK,"," OIB: 9524348214")</f>
        <v xml:space="preserve"> SMIT-COMMERCE D.O.O., GORNJOSTUPNIČKA 9B, 10255 GORNJI STUPNIK, OIB: 9524348214</v>
      </c>
      <c r="H6941" s="7"/>
      <c r="I6941" s="8" t="s">
        <v>4524</v>
      </c>
      <c r="J6941" s="8" t="s">
        <v>4029</v>
      </c>
      <c r="K6941" s="6" t="str">
        <f>"5.200,00"</f>
        <v>5.200,00</v>
      </c>
      <c r="L6941" s="6" t="str">
        <f>"1.300,00"</f>
        <v>1.300,00</v>
      </c>
      <c r="M6941" s="6" t="str">
        <f>"6.500,00"</f>
        <v>6.500,00</v>
      </c>
      <c r="N6941" s="8" t="s">
        <v>4607</v>
      </c>
      <c r="O6941" s="7"/>
      <c r="P6941" s="2" t="s">
        <v>8948</v>
      </c>
      <c r="Q6941" s="7"/>
      <c r="R6941" s="1"/>
      <c r="S6941" s="1" t="str">
        <f>"J-UN-2018-781"</f>
        <v>J-UN-2018-781</v>
      </c>
      <c r="T6941" s="1" t="s">
        <v>32</v>
      </c>
    </row>
    <row r="6942" spans="1:20" ht="51" x14ac:dyDescent="0.25">
      <c r="A6942" s="6">
        <v>6913</v>
      </c>
      <c r="B6942" s="1" t="str">
        <f>"2018-156"</f>
        <v>2018-156</v>
      </c>
      <c r="C6942" s="1" t="s">
        <v>5206</v>
      </c>
      <c r="D6942" s="1" t="s">
        <v>1373</v>
      </c>
      <c r="E6942" s="1" t="str">
        <f>""</f>
        <v/>
      </c>
      <c r="F6942" s="1" t="s">
        <v>1860</v>
      </c>
      <c r="G6942" s="1" t="str">
        <f>CONCATENATE(" EUROMONT INTRO D.O.O.,"," KANALSKI PUT 20,"," 10000 ZAGREB,"," OIB: 46289034988")</f>
        <v xml:space="preserve"> EUROMONT INTRO D.O.O., KANALSKI PUT 20, 10000 ZAGREB, OIB: 46289034988</v>
      </c>
      <c r="H6942" s="7"/>
      <c r="I6942" s="8" t="s">
        <v>4029</v>
      </c>
      <c r="J6942" s="8" t="s">
        <v>4029</v>
      </c>
      <c r="K6942" s="6" t="str">
        <f>"2.210,00"</f>
        <v>2.210,00</v>
      </c>
      <c r="L6942" s="6" t="str">
        <f>"552,50"</f>
        <v>552,50</v>
      </c>
      <c r="M6942" s="6" t="str">
        <f>"2.762,50"</f>
        <v>2.762,50</v>
      </c>
      <c r="N6942" s="8" t="s">
        <v>124</v>
      </c>
      <c r="O6942" s="7"/>
      <c r="P6942" s="2" t="s">
        <v>5614</v>
      </c>
      <c r="Q6942" s="7"/>
      <c r="R6942" s="1"/>
      <c r="S6942" s="1" t="str">
        <f>"J-UN-2018-783"</f>
        <v>J-UN-2018-783</v>
      </c>
      <c r="T6942" s="1" t="s">
        <v>32</v>
      </c>
    </row>
    <row r="6943" spans="1:20" ht="51" x14ac:dyDescent="0.25">
      <c r="A6943" s="6">
        <v>6914</v>
      </c>
      <c r="B6943" s="1" t="str">
        <f>"2018-1949"</f>
        <v>2018-1949</v>
      </c>
      <c r="C6943" s="1" t="s">
        <v>5182</v>
      </c>
      <c r="D6943" s="1" t="s">
        <v>2631</v>
      </c>
      <c r="E6943" s="1" t="str">
        <f>""</f>
        <v/>
      </c>
      <c r="F6943" s="1" t="s">
        <v>1860</v>
      </c>
      <c r="G6943" s="1" t="str">
        <f>CONCATENATE(" LIDER MEDIA D.O.O.,"," SAVSKA CESTA 41,"," 10000 ZAGREB,"," OIB: 75374786952")</f>
        <v xml:space="preserve"> LIDER MEDIA D.O.O., SAVSKA CESTA 41, 10000 ZAGREB, OIB: 75374786952</v>
      </c>
      <c r="H6943" s="7"/>
      <c r="I6943" s="8" t="s">
        <v>5301</v>
      </c>
      <c r="J6943" s="8" t="s">
        <v>4048</v>
      </c>
      <c r="K6943" s="6" t="str">
        <f>"12.285,00"</f>
        <v>12.285,00</v>
      </c>
      <c r="L6943" s="6" t="str">
        <f>"3.071,25"</f>
        <v>3.071,25</v>
      </c>
      <c r="M6943" s="6" t="str">
        <f>"15.356,25"</f>
        <v>15.356,25</v>
      </c>
      <c r="N6943" s="8" t="s">
        <v>124</v>
      </c>
      <c r="O6943" s="7"/>
      <c r="P6943" s="2" t="s">
        <v>5614</v>
      </c>
      <c r="Q6943" s="7"/>
      <c r="R6943" s="1"/>
      <c r="S6943" s="1" t="str">
        <f>"J-UN-2018-786"</f>
        <v>J-UN-2018-786</v>
      </c>
      <c r="T6943" s="1" t="s">
        <v>32</v>
      </c>
    </row>
    <row r="6944" spans="1:20" ht="51" x14ac:dyDescent="0.25">
      <c r="A6944" s="6">
        <v>6915</v>
      </c>
      <c r="B6944" s="1" t="str">
        <f>"2018-1586"</f>
        <v>2018-1586</v>
      </c>
      <c r="C6944" s="1" t="s">
        <v>5304</v>
      </c>
      <c r="D6944" s="1" t="s">
        <v>244</v>
      </c>
      <c r="E6944" s="1" t="str">
        <f>""</f>
        <v/>
      </c>
      <c r="F6944" s="1" t="s">
        <v>1860</v>
      </c>
      <c r="G6944" s="1" t="str">
        <f>CONCATENATE(" ELEKTROCENTAR PETEK D.O.O.,"," ETANSKA CESTA 8,"," 10310 IVANIĆ-GRAD,"," OIB: 17491977848")</f>
        <v xml:space="preserve"> ELEKTROCENTAR PETEK D.O.O., ETANSKA CESTA 8, 10310 IVANIĆ-GRAD, OIB: 17491977848</v>
      </c>
      <c r="H6944" s="7"/>
      <c r="I6944" s="8" t="s">
        <v>4524</v>
      </c>
      <c r="J6944" s="8" t="s">
        <v>4029</v>
      </c>
      <c r="K6944" s="6" t="str">
        <f>"188.960,00"</f>
        <v>188.960,00</v>
      </c>
      <c r="L6944" s="6" t="str">
        <f>"47.240,00"</f>
        <v>47.240,00</v>
      </c>
      <c r="M6944" s="6" t="str">
        <f>"236.200,00"</f>
        <v>236.200,00</v>
      </c>
      <c r="N6944" s="8" t="s">
        <v>3728</v>
      </c>
      <c r="O6944" s="7"/>
      <c r="P6944" s="2" t="s">
        <v>8949</v>
      </c>
      <c r="Q6944" s="7"/>
      <c r="R6944" s="1"/>
      <c r="S6944" s="1" t="str">
        <f>"J-UN-2018-809"</f>
        <v>J-UN-2018-809</v>
      </c>
      <c r="T6944" s="1" t="s">
        <v>32</v>
      </c>
    </row>
    <row r="6945" spans="1:20" ht="51" x14ac:dyDescent="0.25">
      <c r="A6945" s="6">
        <v>6916</v>
      </c>
      <c r="B6945" s="1" t="str">
        <f>"2018-1992"</f>
        <v>2018-1992</v>
      </c>
      <c r="C6945" s="1" t="s">
        <v>3230</v>
      </c>
      <c r="D6945" s="1" t="s">
        <v>3231</v>
      </c>
      <c r="E6945" s="1" t="str">
        <f>""</f>
        <v/>
      </c>
      <c r="F6945" s="1" t="s">
        <v>1860</v>
      </c>
      <c r="G6945" s="1" t="str">
        <f>CONCATENATE(" PROTEKTA D.O.O.,"," IVANA ŠIBLA 9,"," 10000 ZAGREB,"," OIB: 25210761537")</f>
        <v xml:space="preserve"> PROTEKTA D.O.O., IVANA ŠIBLA 9, 10000 ZAGREB, OIB: 25210761537</v>
      </c>
      <c r="H6945" s="7"/>
      <c r="I6945" s="8" t="s">
        <v>4514</v>
      </c>
      <c r="J6945" s="8" t="s">
        <v>4596</v>
      </c>
      <c r="K6945" s="6" t="str">
        <f>"7.900,00"</f>
        <v>7.900,00</v>
      </c>
      <c r="L6945" s="6" t="str">
        <f>"1.975,00"</f>
        <v>1.975,00</v>
      </c>
      <c r="M6945" s="6" t="str">
        <f>"9.875,00"</f>
        <v>9.875,00</v>
      </c>
      <c r="N6945" s="8" t="s">
        <v>5305</v>
      </c>
      <c r="O6945" s="7"/>
      <c r="P6945" s="2" t="s">
        <v>7958</v>
      </c>
      <c r="Q6945" s="7"/>
      <c r="R6945" s="1"/>
      <c r="S6945" s="1" t="str">
        <f>"J-UN-2018-839"</f>
        <v>J-UN-2018-839</v>
      </c>
      <c r="T6945" s="1" t="s">
        <v>32</v>
      </c>
    </row>
    <row r="6946" spans="1:20" ht="63.75" x14ac:dyDescent="0.25">
      <c r="A6946" s="6">
        <v>6917</v>
      </c>
      <c r="B6946" s="1" t="str">
        <f>"2018-2280"</f>
        <v>2018-2280</v>
      </c>
      <c r="C6946" s="1" t="s">
        <v>2991</v>
      </c>
      <c r="D6946" s="1" t="s">
        <v>2992</v>
      </c>
      <c r="E6946" s="1" t="str">
        <f>""</f>
        <v/>
      </c>
      <c r="F6946" s="1" t="s">
        <v>1860</v>
      </c>
      <c r="G6946" s="1" t="str">
        <f t="shared" ref="G6946:G6953" si="245">CONCATENATE(" LANIŠTE D.O.O.,"," ALEXANDERA VON HUMBOLDTA 4B,"," 10000 ZAGREB,"," OIB: 3755384865")</f>
        <v xml:space="preserve"> LANIŠTE D.O.O., ALEXANDERA VON HUMBOLDTA 4B, 10000 ZAGREB, OIB: 3755384865</v>
      </c>
      <c r="H6946" s="7"/>
      <c r="I6946" s="8" t="s">
        <v>4596</v>
      </c>
      <c r="J6946" s="8" t="s">
        <v>4524</v>
      </c>
      <c r="K6946" s="6" t="str">
        <f>"3.636,00"</f>
        <v>3.636,00</v>
      </c>
      <c r="L6946" s="6" t="str">
        <f>"909,00"</f>
        <v>909,00</v>
      </c>
      <c r="M6946" s="6" t="str">
        <f>"4.545,00"</f>
        <v>4.545,00</v>
      </c>
      <c r="N6946" s="8" t="s">
        <v>3805</v>
      </c>
      <c r="O6946" s="7"/>
      <c r="P6946" s="2" t="s">
        <v>7918</v>
      </c>
      <c r="Q6946" s="7"/>
      <c r="R6946" s="1"/>
      <c r="S6946" s="1" t="str">
        <f>"J-UN-2018-848"</f>
        <v>J-UN-2018-848</v>
      </c>
      <c r="T6946" s="1" t="s">
        <v>32</v>
      </c>
    </row>
    <row r="6947" spans="1:20" ht="63.75" x14ac:dyDescent="0.25">
      <c r="A6947" s="6">
        <v>6918</v>
      </c>
      <c r="B6947" s="1" t="str">
        <f>"2018-630"</f>
        <v>2018-630</v>
      </c>
      <c r="C6947" s="1" t="s">
        <v>2984</v>
      </c>
      <c r="D6947" s="1" t="s">
        <v>2985</v>
      </c>
      <c r="E6947" s="1" t="str">
        <f>""</f>
        <v/>
      </c>
      <c r="F6947" s="1" t="s">
        <v>1860</v>
      </c>
      <c r="G6947" s="1" t="str">
        <f t="shared" si="245"/>
        <v xml:space="preserve"> LANIŠTE D.O.O., ALEXANDERA VON HUMBOLDTA 4B, 10000 ZAGREB, OIB: 3755384865</v>
      </c>
      <c r="H6947" s="7"/>
      <c r="I6947" s="8" t="s">
        <v>4596</v>
      </c>
      <c r="J6947" s="8" t="s">
        <v>4524</v>
      </c>
      <c r="K6947" s="6" t="str">
        <f>"4.032,00"</f>
        <v>4.032,00</v>
      </c>
      <c r="L6947" s="6" t="str">
        <f>"1.008,00"</f>
        <v>1.008,00</v>
      </c>
      <c r="M6947" s="6" t="str">
        <f>"5.040,00"</f>
        <v>5.040,00</v>
      </c>
      <c r="N6947" s="8" t="s">
        <v>3805</v>
      </c>
      <c r="O6947" s="7"/>
      <c r="P6947" s="2" t="s">
        <v>7917</v>
      </c>
      <c r="Q6947" s="7"/>
      <c r="R6947" s="1"/>
      <c r="S6947" s="1" t="str">
        <f>"J-UN-2018-849"</f>
        <v>J-UN-2018-849</v>
      </c>
      <c r="T6947" s="1" t="s">
        <v>32</v>
      </c>
    </row>
    <row r="6948" spans="1:20" ht="63.75" x14ac:dyDescent="0.25">
      <c r="A6948" s="6">
        <v>6919</v>
      </c>
      <c r="B6948" s="1" t="str">
        <f>"2018-2280"</f>
        <v>2018-2280</v>
      </c>
      <c r="C6948" s="1" t="s">
        <v>2991</v>
      </c>
      <c r="D6948" s="1" t="s">
        <v>2992</v>
      </c>
      <c r="E6948" s="1" t="str">
        <f>""</f>
        <v/>
      </c>
      <c r="F6948" s="1" t="s">
        <v>1860</v>
      </c>
      <c r="G6948" s="1" t="str">
        <f t="shared" si="245"/>
        <v xml:space="preserve"> LANIŠTE D.O.O., ALEXANDERA VON HUMBOLDTA 4B, 10000 ZAGREB, OIB: 3755384865</v>
      </c>
      <c r="H6948" s="7"/>
      <c r="I6948" s="8" t="s">
        <v>4602</v>
      </c>
      <c r="J6948" s="8" t="s">
        <v>3726</v>
      </c>
      <c r="K6948" s="6" t="str">
        <f>"5.636,00"</f>
        <v>5.636,00</v>
      </c>
      <c r="L6948" s="6" t="str">
        <f>"1.409,00"</f>
        <v>1.409,00</v>
      </c>
      <c r="M6948" s="6" t="str">
        <f>"7.045,00"</f>
        <v>7.045,00</v>
      </c>
      <c r="N6948" s="8" t="s">
        <v>5306</v>
      </c>
      <c r="O6948" s="7"/>
      <c r="P6948" s="2" t="s">
        <v>7917</v>
      </c>
      <c r="Q6948" s="7"/>
      <c r="R6948" s="1"/>
      <c r="S6948" s="1" t="str">
        <f>"J-UN-2018-909"</f>
        <v>J-UN-2018-909</v>
      </c>
      <c r="T6948" s="1" t="s">
        <v>32</v>
      </c>
    </row>
    <row r="6949" spans="1:20" ht="63.75" x14ac:dyDescent="0.25">
      <c r="A6949" s="6">
        <v>6920</v>
      </c>
      <c r="B6949" s="1" t="str">
        <f>"2018-630"</f>
        <v>2018-630</v>
      </c>
      <c r="C6949" s="1" t="s">
        <v>2984</v>
      </c>
      <c r="D6949" s="1" t="s">
        <v>2985</v>
      </c>
      <c r="E6949" s="1" t="str">
        <f>""</f>
        <v/>
      </c>
      <c r="F6949" s="1" t="s">
        <v>1860</v>
      </c>
      <c r="G6949" s="1" t="str">
        <f t="shared" si="245"/>
        <v xml:space="preserve"> LANIŠTE D.O.O., ALEXANDERA VON HUMBOLDTA 4B, 10000 ZAGREB, OIB: 3755384865</v>
      </c>
      <c r="H6949" s="7"/>
      <c r="I6949" s="8" t="s">
        <v>4602</v>
      </c>
      <c r="J6949" s="8" t="s">
        <v>3726</v>
      </c>
      <c r="K6949" s="6" t="str">
        <f>"6.032,00"</f>
        <v>6.032,00</v>
      </c>
      <c r="L6949" s="6" t="str">
        <f>"1.508,00"</f>
        <v>1.508,00</v>
      </c>
      <c r="M6949" s="6" t="str">
        <f>"7.540,00"</f>
        <v>7.540,00</v>
      </c>
      <c r="N6949" s="8" t="s">
        <v>5306</v>
      </c>
      <c r="O6949" s="7"/>
      <c r="P6949" s="2" t="s">
        <v>7919</v>
      </c>
      <c r="Q6949" s="7"/>
      <c r="R6949" s="1"/>
      <c r="S6949" s="1" t="str">
        <f>"J-UN-2018-910"</f>
        <v>J-UN-2018-910</v>
      </c>
      <c r="T6949" s="1" t="s">
        <v>32</v>
      </c>
    </row>
    <row r="6950" spans="1:20" ht="63.75" x14ac:dyDescent="0.25">
      <c r="A6950" s="6">
        <v>6921</v>
      </c>
      <c r="B6950" s="1" t="str">
        <f>"2018-185"</f>
        <v>2018-185</v>
      </c>
      <c r="C6950" s="1" t="s">
        <v>2986</v>
      </c>
      <c r="D6950" s="1" t="s">
        <v>2985</v>
      </c>
      <c r="E6950" s="1" t="str">
        <f>""</f>
        <v/>
      </c>
      <c r="F6950" s="1" t="s">
        <v>1860</v>
      </c>
      <c r="G6950" s="1" t="str">
        <f t="shared" si="245"/>
        <v xml:space="preserve"> LANIŠTE D.O.O., ALEXANDERA VON HUMBOLDTA 4B, 10000 ZAGREB, OIB: 3755384865</v>
      </c>
      <c r="H6950" s="7"/>
      <c r="I6950" s="8" t="s">
        <v>4602</v>
      </c>
      <c r="J6950" s="8" t="s">
        <v>3726</v>
      </c>
      <c r="K6950" s="6" t="str">
        <f>"6.032,00"</f>
        <v>6.032,00</v>
      </c>
      <c r="L6950" s="6" t="str">
        <f>"1.508,00"</f>
        <v>1.508,00</v>
      </c>
      <c r="M6950" s="6" t="str">
        <f>"7.540,00"</f>
        <v>7.540,00</v>
      </c>
      <c r="N6950" s="8" t="s">
        <v>5306</v>
      </c>
      <c r="O6950" s="7"/>
      <c r="P6950" s="2" t="s">
        <v>7919</v>
      </c>
      <c r="Q6950" s="7"/>
      <c r="R6950" s="1"/>
      <c r="S6950" s="1" t="str">
        <f>"J-UN-2018-911"</f>
        <v>J-UN-2018-911</v>
      </c>
      <c r="T6950" s="1" t="s">
        <v>32</v>
      </c>
    </row>
    <row r="6951" spans="1:20" ht="63.75" x14ac:dyDescent="0.25">
      <c r="A6951" s="6">
        <v>6922</v>
      </c>
      <c r="B6951" s="1" t="str">
        <f>"2018-672"</f>
        <v>2018-672</v>
      </c>
      <c r="C6951" s="1" t="s">
        <v>2987</v>
      </c>
      <c r="D6951" s="1" t="s">
        <v>2988</v>
      </c>
      <c r="E6951" s="1" t="str">
        <f>""</f>
        <v/>
      </c>
      <c r="F6951" s="1" t="s">
        <v>1860</v>
      </c>
      <c r="G6951" s="1" t="str">
        <f t="shared" si="245"/>
        <v xml:space="preserve"> LANIŠTE D.O.O., ALEXANDERA VON HUMBOLDTA 4B, 10000 ZAGREB, OIB: 3755384865</v>
      </c>
      <c r="H6951" s="7"/>
      <c r="I6951" s="8" t="s">
        <v>4602</v>
      </c>
      <c r="J6951" s="8" t="s">
        <v>3726</v>
      </c>
      <c r="K6951" s="6" t="str">
        <f>"6.032,00"</f>
        <v>6.032,00</v>
      </c>
      <c r="L6951" s="6" t="str">
        <f>"1.508,00"</f>
        <v>1.508,00</v>
      </c>
      <c r="M6951" s="6" t="str">
        <f>"7.540,00"</f>
        <v>7.540,00</v>
      </c>
      <c r="N6951" s="8" t="s">
        <v>5306</v>
      </c>
      <c r="O6951" s="7"/>
      <c r="P6951" s="2" t="s">
        <v>7919</v>
      </c>
      <c r="Q6951" s="7"/>
      <c r="R6951" s="1"/>
      <c r="S6951" s="1" t="str">
        <f>"J-UN-2018-912"</f>
        <v>J-UN-2018-912</v>
      </c>
      <c r="T6951" s="1" t="s">
        <v>32</v>
      </c>
    </row>
    <row r="6952" spans="1:20" ht="63.75" x14ac:dyDescent="0.25">
      <c r="A6952" s="6">
        <v>6923</v>
      </c>
      <c r="B6952" s="1" t="str">
        <f>"2018-2949"</f>
        <v>2018-2949</v>
      </c>
      <c r="C6952" s="1" t="s">
        <v>2993</v>
      </c>
      <c r="D6952" s="1" t="s">
        <v>2994</v>
      </c>
      <c r="E6952" s="1" t="str">
        <f>""</f>
        <v/>
      </c>
      <c r="F6952" s="1" t="s">
        <v>1860</v>
      </c>
      <c r="G6952" s="1" t="str">
        <f t="shared" si="245"/>
        <v xml:space="preserve"> LANIŠTE D.O.O., ALEXANDERA VON HUMBOLDTA 4B, 10000 ZAGREB, OIB: 3755384865</v>
      </c>
      <c r="H6952" s="7"/>
      <c r="I6952" s="8" t="s">
        <v>4602</v>
      </c>
      <c r="J6952" s="8" t="s">
        <v>3726</v>
      </c>
      <c r="K6952" s="6" t="str">
        <f>"5.632,00"</f>
        <v>5.632,00</v>
      </c>
      <c r="L6952" s="6" t="str">
        <f>"1.408,00"</f>
        <v>1.408,00</v>
      </c>
      <c r="M6952" s="6" t="str">
        <f>"7.040,00"</f>
        <v>7.040,00</v>
      </c>
      <c r="N6952" s="8" t="s">
        <v>5306</v>
      </c>
      <c r="O6952" s="7"/>
      <c r="P6952" s="2" t="s">
        <v>7918</v>
      </c>
      <c r="Q6952" s="7"/>
      <c r="R6952" s="1"/>
      <c r="S6952" s="1" t="str">
        <f>"J-UN-2018-913"</f>
        <v>J-UN-2018-913</v>
      </c>
      <c r="T6952" s="1" t="s">
        <v>32</v>
      </c>
    </row>
    <row r="6953" spans="1:20" ht="63.75" x14ac:dyDescent="0.25">
      <c r="A6953" s="6">
        <v>6924</v>
      </c>
      <c r="B6953" s="1" t="str">
        <f>"2018-2950"</f>
        <v>2018-2950</v>
      </c>
      <c r="C6953" s="1" t="s">
        <v>2989</v>
      </c>
      <c r="D6953" s="1" t="s">
        <v>2990</v>
      </c>
      <c r="E6953" s="1" t="str">
        <f>""</f>
        <v/>
      </c>
      <c r="F6953" s="1" t="s">
        <v>1860</v>
      </c>
      <c r="G6953" s="1" t="str">
        <f t="shared" si="245"/>
        <v xml:space="preserve"> LANIŠTE D.O.O., ALEXANDERA VON HUMBOLDTA 4B, 10000 ZAGREB, OIB: 3755384865</v>
      </c>
      <c r="H6953" s="7"/>
      <c r="I6953" s="8" t="s">
        <v>4602</v>
      </c>
      <c r="J6953" s="8" t="s">
        <v>3726</v>
      </c>
      <c r="K6953" s="6" t="str">
        <f>"6.636,00"</f>
        <v>6.636,00</v>
      </c>
      <c r="L6953" s="6" t="str">
        <f>"1.659,00"</f>
        <v>1.659,00</v>
      </c>
      <c r="M6953" s="6" t="str">
        <f>"8.295,00"</f>
        <v>8.295,00</v>
      </c>
      <c r="N6953" s="8" t="s">
        <v>5306</v>
      </c>
      <c r="O6953" s="7"/>
      <c r="P6953" s="2" t="s">
        <v>7917</v>
      </c>
      <c r="Q6953" s="7"/>
      <c r="R6953" s="1"/>
      <c r="S6953" s="1" t="str">
        <f>"J-UN-2018-914"</f>
        <v>J-UN-2018-914</v>
      </c>
      <c r="T6953" s="1" t="s">
        <v>32</v>
      </c>
    </row>
    <row r="6954" spans="1:20" ht="51" x14ac:dyDescent="0.25">
      <c r="A6954" s="6">
        <v>6925</v>
      </c>
      <c r="B6954" s="1" t="str">
        <f>"2018-2139"</f>
        <v>2018-2139</v>
      </c>
      <c r="C6954" s="1" t="s">
        <v>5307</v>
      </c>
      <c r="D6954" s="1" t="s">
        <v>5308</v>
      </c>
      <c r="E6954" s="1" t="str">
        <f>""</f>
        <v/>
      </c>
      <c r="F6954" s="1" t="s">
        <v>1860</v>
      </c>
      <c r="G6954" s="1" t="str">
        <f>CONCATENATE(" VEČERNJI LIST D.O.O.,"," OREŠKOVIĆEVA 6H1,"," 10000 ZAGREB,"," OIB: 92276133102")</f>
        <v xml:space="preserve"> VEČERNJI LIST D.O.O., OREŠKOVIĆEVA 6H1, 10000 ZAGREB, OIB: 92276133102</v>
      </c>
      <c r="H6954" s="7"/>
      <c r="I6954" s="8" t="s">
        <v>4029</v>
      </c>
      <c r="J6954" s="8" t="s">
        <v>4602</v>
      </c>
      <c r="K6954" s="6" t="str">
        <f>"75.000,00"</f>
        <v>75.000,00</v>
      </c>
      <c r="L6954" s="6" t="str">
        <f>"18.750,00"</f>
        <v>18.750,00</v>
      </c>
      <c r="M6954" s="6" t="str">
        <f>"93.750,00"</f>
        <v>93.750,00</v>
      </c>
      <c r="N6954" s="8" t="s">
        <v>124</v>
      </c>
      <c r="O6954" s="7"/>
      <c r="P6954" s="2" t="s">
        <v>5614</v>
      </c>
      <c r="Q6954" s="7"/>
      <c r="R6954" s="1"/>
      <c r="S6954" s="1" t="str">
        <f>"J-UN-2018-931"</f>
        <v>J-UN-2018-931</v>
      </c>
      <c r="T6954" s="1" t="s">
        <v>32</v>
      </c>
    </row>
    <row r="6955" spans="1:20" ht="76.5" x14ac:dyDescent="0.25">
      <c r="A6955" s="6">
        <v>6926</v>
      </c>
      <c r="B6955" s="1" t="str">
        <f>"2018-1489"</f>
        <v>2018-1489</v>
      </c>
      <c r="C6955" s="1" t="s">
        <v>2405</v>
      </c>
      <c r="D6955" s="1" t="s">
        <v>880</v>
      </c>
      <c r="E6955" s="1" t="str">
        <f>""</f>
        <v/>
      </c>
      <c r="F6955" s="1" t="s">
        <v>1860</v>
      </c>
      <c r="G6955" s="1" t="str">
        <f>CONCATENATE(" NASTAVNI ZAVOD ZA JAVNO ZDRAVSTVO DR. ANDRIJA ŠTAMPAR,"," MIROGOJSKA CESTA 16,"," 10000 ZAGREB,"," OIB: 3339200596")</f>
        <v xml:space="preserve"> NASTAVNI ZAVOD ZA JAVNO ZDRAVSTVO DR. ANDRIJA ŠTAMPAR, MIROGOJSKA CESTA 16, 10000 ZAGREB, OIB: 3339200596</v>
      </c>
      <c r="H6955" s="7"/>
      <c r="I6955" s="8" t="s">
        <v>5309</v>
      </c>
      <c r="J6955" s="8" t="s">
        <v>3554</v>
      </c>
      <c r="K6955" s="6" t="str">
        <f>"4.275,00"</f>
        <v>4.275,00</v>
      </c>
      <c r="L6955" s="6" t="str">
        <f>"1.068,75"</f>
        <v>1.068,75</v>
      </c>
      <c r="M6955" s="6" t="str">
        <f>"5.343,75"</f>
        <v>5.343,75</v>
      </c>
      <c r="N6955" s="8" t="s">
        <v>4117</v>
      </c>
      <c r="O6955" s="7"/>
      <c r="P6955" s="2" t="s">
        <v>8950</v>
      </c>
      <c r="Q6955" s="1"/>
      <c r="R6955" s="1"/>
      <c r="S6955" s="1" t="str">
        <f>"J-UN-2018-948"</f>
        <v>J-UN-2018-948</v>
      </c>
      <c r="T6955" s="1" t="s">
        <v>32</v>
      </c>
    </row>
    <row r="6956" spans="1:20" ht="51" x14ac:dyDescent="0.25">
      <c r="A6956" s="6">
        <v>6927</v>
      </c>
      <c r="B6956" s="1" t="str">
        <f>"2018-1780"</f>
        <v>2018-1780</v>
      </c>
      <c r="C6956" s="1" t="s">
        <v>2641</v>
      </c>
      <c r="D6956" s="1" t="s">
        <v>515</v>
      </c>
      <c r="E6956" s="1" t="str">
        <f>""</f>
        <v/>
      </c>
      <c r="F6956" s="1" t="s">
        <v>1860</v>
      </c>
      <c r="G6956" s="1" t="str">
        <f>CONCATENATE(" INSTITUT IGH D.D.,"," JANKA RAKUŠE 1,"," 10000 ZAGREB,"," OIB: 79766124714")</f>
        <v xml:space="preserve"> INSTITUT IGH D.D., JANKA RAKUŠE 1, 10000 ZAGREB, OIB: 79766124714</v>
      </c>
      <c r="H6956" s="7"/>
      <c r="I6956" s="8" t="s">
        <v>4033</v>
      </c>
      <c r="J6956" s="8" t="s">
        <v>4033</v>
      </c>
      <c r="K6956" s="6" t="str">
        <f>"23.120,00"</f>
        <v>23.120,00</v>
      </c>
      <c r="L6956" s="6" t="str">
        <f>"5.780,00"</f>
        <v>5.780,00</v>
      </c>
      <c r="M6956" s="6" t="str">
        <f>"28.900,00"</f>
        <v>28.900,00</v>
      </c>
      <c r="N6956" s="8" t="s">
        <v>5310</v>
      </c>
      <c r="O6956" s="7"/>
      <c r="P6956" s="2" t="s">
        <v>8951</v>
      </c>
      <c r="Q6956" s="7"/>
      <c r="R6956" s="1"/>
      <c r="S6956" s="1" t="str">
        <f>"J-UN-2018-1005"</f>
        <v>J-UN-2018-1005</v>
      </c>
      <c r="T6956" s="1" t="s">
        <v>32</v>
      </c>
    </row>
    <row r="6957" spans="1:20" ht="25.5" x14ac:dyDescent="0.25">
      <c r="A6957" s="6">
        <v>6928</v>
      </c>
      <c r="B6957" s="1" t="str">
        <f>"2018-2230"</f>
        <v>2018-2230</v>
      </c>
      <c r="C6957" s="1" t="s">
        <v>3136</v>
      </c>
      <c r="D6957" s="1" t="s">
        <v>21</v>
      </c>
      <c r="E6957" s="1" t="str">
        <f>""</f>
        <v/>
      </c>
      <c r="F6957" s="1" t="s">
        <v>1860</v>
      </c>
      <c r="G6957" s="1" t="str">
        <f>CONCATENATE(" VAR D.O.O.,"," ,"," OIB: 66402309304")</f>
        <v xml:space="preserve"> VAR D.O.O., , OIB: 66402309304</v>
      </c>
      <c r="H6957" s="7"/>
      <c r="I6957" s="8" t="s">
        <v>4532</v>
      </c>
      <c r="J6957" s="8" t="s">
        <v>5309</v>
      </c>
      <c r="K6957" s="6" t="str">
        <f>"576,00"</f>
        <v>576,00</v>
      </c>
      <c r="L6957" s="6" t="str">
        <f>"144,00"</f>
        <v>144,00</v>
      </c>
      <c r="M6957" s="6" t="str">
        <f>"720,00"</f>
        <v>720,00</v>
      </c>
      <c r="N6957" s="8" t="s">
        <v>124</v>
      </c>
      <c r="O6957" s="7"/>
      <c r="P6957" s="2" t="s">
        <v>5614</v>
      </c>
      <c r="Q6957" s="7"/>
      <c r="R6957" s="1"/>
      <c r="S6957" s="1" t="str">
        <f>"J-UN-2018-1023"</f>
        <v>J-UN-2018-1023</v>
      </c>
      <c r="T6957" s="1" t="s">
        <v>32</v>
      </c>
    </row>
    <row r="6958" spans="1:20" ht="38.25" x14ac:dyDescent="0.25">
      <c r="A6958" s="6">
        <v>6929</v>
      </c>
      <c r="B6958" s="1" t="str">
        <f>"2018-291"</f>
        <v>2018-291</v>
      </c>
      <c r="C6958" s="1" t="s">
        <v>2765</v>
      </c>
      <c r="D6958" s="1" t="s">
        <v>2766</v>
      </c>
      <c r="E6958" s="1" t="str">
        <f>""</f>
        <v/>
      </c>
      <c r="F6958" s="1" t="s">
        <v>1860</v>
      </c>
      <c r="G6958" s="1" t="str">
        <f>CONCATENATE(" ZET D.O.O.,"," OZALJSKA 105,"," 10000 ZAGREB,"," OIB: 82031999604")</f>
        <v xml:space="preserve"> ZET D.O.O., OZALJSKA 105, 10000 ZAGREB, OIB: 82031999604</v>
      </c>
      <c r="H6958" s="7"/>
      <c r="I6958" s="8" t="s">
        <v>5311</v>
      </c>
      <c r="J6958" s="8" t="s">
        <v>4037</v>
      </c>
      <c r="K6958" s="6" t="str">
        <f>"2.975,00"</f>
        <v>2.975,00</v>
      </c>
      <c r="L6958" s="6" t="str">
        <f>"743,75"</f>
        <v>743,75</v>
      </c>
      <c r="M6958" s="6" t="str">
        <f>"3.718,75"</f>
        <v>3.718,75</v>
      </c>
      <c r="N6958" s="8" t="s">
        <v>276</v>
      </c>
      <c r="O6958" s="7"/>
      <c r="P6958" s="2" t="s">
        <v>8952</v>
      </c>
      <c r="Q6958" s="7"/>
      <c r="R6958" s="1"/>
      <c r="S6958" s="1" t="str">
        <f>"J-UN-2018-1055"</f>
        <v>J-UN-2018-1055</v>
      </c>
      <c r="T6958" s="1" t="s">
        <v>32</v>
      </c>
    </row>
    <row r="6959" spans="1:20" ht="51" x14ac:dyDescent="0.25">
      <c r="A6959" s="6">
        <v>6930</v>
      </c>
      <c r="B6959" s="1" t="str">
        <f>"2018-2132"</f>
        <v>2018-2132</v>
      </c>
      <c r="C6959" s="1" t="s">
        <v>2790</v>
      </c>
      <c r="D6959" s="1" t="s">
        <v>2791</v>
      </c>
      <c r="E6959" s="1" t="str">
        <f>""</f>
        <v/>
      </c>
      <c r="F6959" s="1" t="s">
        <v>1860</v>
      </c>
      <c r="G6959" s="1" t="str">
        <f>CONCATENATE(" ARBORI CULTURA D.O.O.,"," POKUPSKO 86,"," 10414 POKUPSKO,"," OIB: 16690651659")</f>
        <v xml:space="preserve"> ARBORI CULTURA D.O.O., POKUPSKO 86, 10414 POKUPSKO, OIB: 16690651659</v>
      </c>
      <c r="H6959" s="7"/>
      <c r="I6959" s="8" t="s">
        <v>4652</v>
      </c>
      <c r="J6959" s="8" t="s">
        <v>4652</v>
      </c>
      <c r="K6959" s="6" t="str">
        <f>"4.400,00"</f>
        <v>4.400,00</v>
      </c>
      <c r="L6959" s="6" t="str">
        <f>"1.100,00"</f>
        <v>1.100,00</v>
      </c>
      <c r="M6959" s="6" t="str">
        <f>"5.500,00"</f>
        <v>5.500,00</v>
      </c>
      <c r="N6959" s="8" t="s">
        <v>5312</v>
      </c>
      <c r="O6959" s="7"/>
      <c r="P6959" s="2" t="s">
        <v>8953</v>
      </c>
      <c r="Q6959" s="7"/>
      <c r="R6959" s="1"/>
      <c r="S6959" s="1" t="str">
        <f>"J-UN-2018-1064"</f>
        <v>J-UN-2018-1064</v>
      </c>
      <c r="T6959" s="1" t="s">
        <v>32</v>
      </c>
    </row>
    <row r="6960" spans="1:20" ht="51" x14ac:dyDescent="0.25">
      <c r="A6960" s="6">
        <v>6931</v>
      </c>
      <c r="B6960" s="1" t="str">
        <f>"2018-703"</f>
        <v>2018-703</v>
      </c>
      <c r="C6960" s="1" t="s">
        <v>2782</v>
      </c>
      <c r="D6960" s="1" t="s">
        <v>815</v>
      </c>
      <c r="E6960" s="1" t="str">
        <f>""</f>
        <v/>
      </c>
      <c r="F6960" s="1" t="s">
        <v>1860</v>
      </c>
      <c r="G6960" s="1" t="str">
        <f>CONCATENATE(" M.B. AUTO  d.o.o.,"," KOLEDOVČINA 8,"," 10000 ZAGREB,"," OIB: 8902734372")</f>
        <v xml:space="preserve"> M.B. AUTO  d.o.o., KOLEDOVČINA 8, 10000 ZAGREB, OIB: 8902734372</v>
      </c>
      <c r="H6960" s="7"/>
      <c r="I6960" s="8" t="s">
        <v>5313</v>
      </c>
      <c r="J6960" s="8" t="s">
        <v>4536</v>
      </c>
      <c r="K6960" s="6" t="str">
        <f>"1.508,80"</f>
        <v>1.508,80</v>
      </c>
      <c r="L6960" s="6" t="str">
        <f>"377,20"</f>
        <v>377,20</v>
      </c>
      <c r="M6960" s="6" t="str">
        <f>"1.886,00"</f>
        <v>1.886,00</v>
      </c>
      <c r="N6960" s="8" t="s">
        <v>124</v>
      </c>
      <c r="O6960" s="7"/>
      <c r="P6960" s="2" t="s">
        <v>5614</v>
      </c>
      <c r="Q6960" s="7"/>
      <c r="R6960" s="1"/>
      <c r="S6960" s="1" t="str">
        <f>"J-UN-2018-1071"</f>
        <v>J-UN-2018-1071</v>
      </c>
      <c r="T6960" s="1" t="s">
        <v>32</v>
      </c>
    </row>
    <row r="6961" spans="1:20" ht="38.25" x14ac:dyDescent="0.25">
      <c r="A6961" s="6">
        <v>6932</v>
      </c>
      <c r="B6961" s="1" t="str">
        <f>"2018-2909"</f>
        <v>2018-2909</v>
      </c>
      <c r="C6961" s="1" t="s">
        <v>5289</v>
      </c>
      <c r="D6961" s="1" t="s">
        <v>1184</v>
      </c>
      <c r="E6961" s="1" t="str">
        <f>""</f>
        <v/>
      </c>
      <c r="F6961" s="1" t="s">
        <v>1860</v>
      </c>
      <c r="G6961" s="1" t="str">
        <f>CONCATENATE(" ZET D.O.O.,"," OZALJSKA 105,"," 10000 ZAGREB,"," OIB: 82031999604")</f>
        <v xml:space="preserve"> ZET D.O.O., OZALJSKA 105, 10000 ZAGREB, OIB: 82031999604</v>
      </c>
      <c r="H6961" s="7"/>
      <c r="I6961" s="8" t="s">
        <v>4607</v>
      </c>
      <c r="J6961" s="8" t="s">
        <v>4644</v>
      </c>
      <c r="K6961" s="6" t="str">
        <f>"216,00"</f>
        <v>216,00</v>
      </c>
      <c r="L6961" s="6" t="str">
        <f>"54,00"</f>
        <v>54,00</v>
      </c>
      <c r="M6961" s="6" t="str">
        <f>"270,00"</f>
        <v>270,00</v>
      </c>
      <c r="N6961" s="8" t="s">
        <v>124</v>
      </c>
      <c r="O6961" s="7"/>
      <c r="P6961" s="2" t="s">
        <v>5614</v>
      </c>
      <c r="Q6961" s="7"/>
      <c r="R6961" s="1"/>
      <c r="S6961" s="1" t="str">
        <f>"J-UN-2018-1072"</f>
        <v>J-UN-2018-1072</v>
      </c>
      <c r="T6961" s="1" t="s">
        <v>32</v>
      </c>
    </row>
    <row r="6962" spans="1:20" ht="38.25" x14ac:dyDescent="0.25">
      <c r="A6962" s="6">
        <v>6933</v>
      </c>
      <c r="B6962" s="1" t="str">
        <f>"2018-701"</f>
        <v>2018-701</v>
      </c>
      <c r="C6962" s="1" t="s">
        <v>5314</v>
      </c>
      <c r="D6962" s="1" t="s">
        <v>1458</v>
      </c>
      <c r="E6962" s="1" t="str">
        <f>""</f>
        <v/>
      </c>
      <c r="F6962" s="1" t="s">
        <v>1860</v>
      </c>
      <c r="G6962" s="1" t="str">
        <f>CONCATENATE(" RO-TERMO D.O.O.,"," ,"," OIB: 24452310712")</f>
        <v xml:space="preserve"> RO-TERMO D.O.O., , OIB: 24452310712</v>
      </c>
      <c r="H6962" s="7"/>
      <c r="I6962" s="8" t="s">
        <v>4008</v>
      </c>
      <c r="J6962" s="8" t="s">
        <v>5300</v>
      </c>
      <c r="K6962" s="6" t="str">
        <f>"34.771,35"</f>
        <v>34.771,35</v>
      </c>
      <c r="L6962" s="6" t="str">
        <f>"8.692,84"</f>
        <v>8.692,84</v>
      </c>
      <c r="M6962" s="6" t="str">
        <f>"43.464,19"</f>
        <v>43.464,19</v>
      </c>
      <c r="N6962" s="8" t="s">
        <v>124</v>
      </c>
      <c r="O6962" s="7"/>
      <c r="P6962" s="2" t="s">
        <v>5614</v>
      </c>
      <c r="Q6962" s="7"/>
      <c r="R6962" s="1"/>
      <c r="S6962" s="1" t="str">
        <f>"J-UN-2018-1096"</f>
        <v>J-UN-2018-1096</v>
      </c>
      <c r="T6962" s="1" t="s">
        <v>32</v>
      </c>
    </row>
    <row r="6963" spans="1:20" ht="51" x14ac:dyDescent="0.25">
      <c r="A6963" s="6">
        <v>6934</v>
      </c>
      <c r="B6963" s="1" t="str">
        <f>"2018-2488"</f>
        <v>2018-2488</v>
      </c>
      <c r="C6963" s="1" t="s">
        <v>2844</v>
      </c>
      <c r="D6963" s="1" t="s">
        <v>2716</v>
      </c>
      <c r="E6963" s="1" t="str">
        <f>""</f>
        <v/>
      </c>
      <c r="F6963" s="1" t="s">
        <v>1860</v>
      </c>
      <c r="G6963" s="1" t="str">
        <f>CONCATENATE(" AUTOBUS D.O.O.,"," I. RESNIK 178,"," 10040 ZAGREB,"," OIB: 77383886713")</f>
        <v xml:space="preserve"> AUTOBUS D.O.O., I. RESNIK 178, 10040 ZAGREB, OIB: 77383886713</v>
      </c>
      <c r="H6963" s="7"/>
      <c r="I6963" s="8" t="s">
        <v>4607</v>
      </c>
      <c r="J6963" s="8" t="s">
        <v>4607</v>
      </c>
      <c r="K6963" s="6" t="str">
        <f>"8.579,48"</f>
        <v>8.579,48</v>
      </c>
      <c r="L6963" s="6" t="str">
        <f>"2.144,87"</f>
        <v>2.144,87</v>
      </c>
      <c r="M6963" s="6" t="str">
        <f>"10.724,35"</f>
        <v>10.724,35</v>
      </c>
      <c r="N6963" s="8" t="s">
        <v>3477</v>
      </c>
      <c r="O6963" s="7"/>
      <c r="P6963" s="2" t="s">
        <v>8954</v>
      </c>
      <c r="Q6963" s="7"/>
      <c r="R6963" s="1"/>
      <c r="S6963" s="1" t="str">
        <f>"J-UN-2018-1099"</f>
        <v>J-UN-2018-1099</v>
      </c>
      <c r="T6963" s="1" t="s">
        <v>32</v>
      </c>
    </row>
    <row r="6964" spans="1:20" ht="51" x14ac:dyDescent="0.25">
      <c r="A6964" s="6">
        <v>6935</v>
      </c>
      <c r="B6964" s="1" t="str">
        <f>"2018-2195"</f>
        <v>2018-2195</v>
      </c>
      <c r="C6964" s="1" t="s">
        <v>5315</v>
      </c>
      <c r="D6964" s="1" t="s">
        <v>2716</v>
      </c>
      <c r="E6964" s="1" t="str">
        <f>""</f>
        <v/>
      </c>
      <c r="F6964" s="1" t="s">
        <v>1860</v>
      </c>
      <c r="G6964" s="1" t="str">
        <f>CONCATENATE(" AGRO-GROM d.o.o.,"," PERKOVČEVA 88,"," 10430 SAMOBOR,"," OIB: 59513976642")</f>
        <v xml:space="preserve"> AGRO-GROM d.o.o., PERKOVČEVA 88, 10430 SAMOBOR, OIB: 59513976642</v>
      </c>
      <c r="H6964" s="7"/>
      <c r="I6964" s="8" t="s">
        <v>3477</v>
      </c>
      <c r="J6964" s="8" t="s">
        <v>5286</v>
      </c>
      <c r="K6964" s="6" t="str">
        <f>"5.911,75"</f>
        <v>5.911,75</v>
      </c>
      <c r="L6964" s="6" t="str">
        <f>"1.477,94"</f>
        <v>1.477,94</v>
      </c>
      <c r="M6964" s="6" t="str">
        <f>"7.389,69"</f>
        <v>7.389,69</v>
      </c>
      <c r="N6964" s="8" t="s">
        <v>124</v>
      </c>
      <c r="O6964" s="7"/>
      <c r="P6964" s="2" t="s">
        <v>5614</v>
      </c>
      <c r="Q6964" s="7"/>
      <c r="R6964" s="1"/>
      <c r="S6964" s="1" t="str">
        <f>"J-UN-2018-1133"</f>
        <v>J-UN-2018-1133</v>
      </c>
      <c r="T6964" s="1" t="s">
        <v>32</v>
      </c>
    </row>
    <row r="6965" spans="1:20" ht="51" x14ac:dyDescent="0.25">
      <c r="A6965" s="6">
        <v>6936</v>
      </c>
      <c r="B6965" s="1" t="str">
        <f>"2018-2575"</f>
        <v>2018-2575</v>
      </c>
      <c r="C6965" s="1" t="s">
        <v>2741</v>
      </c>
      <c r="D6965" s="1" t="s">
        <v>2742</v>
      </c>
      <c r="E6965" s="1" t="str">
        <f>""</f>
        <v/>
      </c>
      <c r="F6965" s="1" t="s">
        <v>1860</v>
      </c>
      <c r="G6965" s="1" t="str">
        <f>CONCATENATE(" PEVEX D.D.,"," SAVSKA CESTA 84,"," 10360 SESVETE,"," OIB: 73660371074")</f>
        <v xml:space="preserve"> PEVEX D.D., SAVSKA CESTA 84, 10360 SESVETE, OIB: 73660371074</v>
      </c>
      <c r="H6965" s="7"/>
      <c r="I6965" s="8" t="s">
        <v>276</v>
      </c>
      <c r="J6965" s="8" t="s">
        <v>4995</v>
      </c>
      <c r="K6965" s="6" t="str">
        <f>"891,20"</f>
        <v>891,20</v>
      </c>
      <c r="L6965" s="6" t="str">
        <f>"222,80"</f>
        <v>222,80</v>
      </c>
      <c r="M6965" s="6" t="str">
        <f>"1.114,00"</f>
        <v>1.114,00</v>
      </c>
      <c r="N6965" s="8" t="s">
        <v>4654</v>
      </c>
      <c r="O6965" s="7"/>
      <c r="P6965" s="2" t="s">
        <v>8955</v>
      </c>
      <c r="Q6965" s="7"/>
      <c r="R6965" s="1"/>
      <c r="S6965" s="1" t="str">
        <f>"J-UN-2018-1163"</f>
        <v>J-UN-2018-1163</v>
      </c>
      <c r="T6965" s="1" t="s">
        <v>32</v>
      </c>
    </row>
    <row r="6966" spans="1:20" ht="63.75" x14ac:dyDescent="0.25">
      <c r="A6966" s="6">
        <v>6937</v>
      </c>
      <c r="B6966" s="1" t="str">
        <f>"2018-266"</f>
        <v>2018-266</v>
      </c>
      <c r="C6966" s="1" t="s">
        <v>2642</v>
      </c>
      <c r="D6966" s="1" t="s">
        <v>1236</v>
      </c>
      <c r="E6966" s="1" t="str">
        <f>""</f>
        <v/>
      </c>
      <c r="F6966" s="1" t="s">
        <v>1860</v>
      </c>
      <c r="G6966" s="1" t="str">
        <f>CONCATENATE(" SECURITAS HRVATSKA D.O.O.,"," ZAGREBAČKA CESTA 145A,"," 10000 ZAGREB,"," OIB: 33679708526")</f>
        <v xml:space="preserve"> SECURITAS HRVATSKA D.O.O., ZAGREBAČKA CESTA 145A, 10000 ZAGREB, OIB: 33679708526</v>
      </c>
      <c r="H6966" s="7"/>
      <c r="I6966" s="8" t="s">
        <v>5313</v>
      </c>
      <c r="J6966" s="8" t="s">
        <v>4536</v>
      </c>
      <c r="K6966" s="6" t="str">
        <f>"8.965,00"</f>
        <v>8.965,00</v>
      </c>
      <c r="L6966" s="6" t="str">
        <f>"2.241,25"</f>
        <v>2.241,25</v>
      </c>
      <c r="M6966" s="6" t="str">
        <f>"11.206,25"</f>
        <v>11.206,25</v>
      </c>
      <c r="N6966" s="8" t="s">
        <v>124</v>
      </c>
      <c r="O6966" s="7"/>
      <c r="P6966" s="2" t="s">
        <v>5614</v>
      </c>
      <c r="Q6966" s="7"/>
      <c r="R6966" s="1"/>
      <c r="S6966" s="1" t="str">
        <f>"J-UN-2018-1164"</f>
        <v>J-UN-2018-1164</v>
      </c>
      <c r="T6966" s="1" t="s">
        <v>32</v>
      </c>
    </row>
    <row r="6967" spans="1:20" ht="51" x14ac:dyDescent="0.25">
      <c r="A6967" s="6">
        <v>6938</v>
      </c>
      <c r="B6967" s="1" t="str">
        <f>"2018-2279"</f>
        <v>2018-2279</v>
      </c>
      <c r="C6967" s="1" t="s">
        <v>5316</v>
      </c>
      <c r="D6967" s="1" t="s">
        <v>2631</v>
      </c>
      <c r="E6967" s="1" t="str">
        <f>""</f>
        <v/>
      </c>
      <c r="F6967" s="1" t="s">
        <v>1860</v>
      </c>
      <c r="G6967" s="1" t="str">
        <f>CONCATENATE(" HANZA MEDIA D.O.O.,"," KORANSKA 2,"," 10000 ZAGREB,"," OIB: 79517545745")</f>
        <v xml:space="preserve"> HANZA MEDIA D.O.O., KORANSKA 2, 10000 ZAGREB, OIB: 79517545745</v>
      </c>
      <c r="H6967" s="7"/>
      <c r="I6967" s="8" t="s">
        <v>4652</v>
      </c>
      <c r="J6967" s="8" t="s">
        <v>5317</v>
      </c>
      <c r="K6967" s="6" t="str">
        <f>"189.000,00"</f>
        <v>189.000,00</v>
      </c>
      <c r="L6967" s="6" t="str">
        <f>"47.250,00"</f>
        <v>47.250,00</v>
      </c>
      <c r="M6967" s="6" t="str">
        <f>"236.250,00"</f>
        <v>236.250,00</v>
      </c>
      <c r="N6967" s="8" t="s">
        <v>124</v>
      </c>
      <c r="O6967" s="7"/>
      <c r="P6967" s="2" t="s">
        <v>5614</v>
      </c>
      <c r="Q6967" s="7"/>
      <c r="R6967" s="1"/>
      <c r="S6967" s="1" t="str">
        <f>"J-UN-2018-1191"</f>
        <v>J-UN-2018-1191</v>
      </c>
      <c r="T6967" s="1" t="s">
        <v>32</v>
      </c>
    </row>
    <row r="6968" spans="1:20" ht="63.75" x14ac:dyDescent="0.25">
      <c r="A6968" s="6">
        <v>6939</v>
      </c>
      <c r="B6968" s="1" t="str">
        <f>"2018-289"</f>
        <v>2018-289</v>
      </c>
      <c r="C6968" s="1" t="s">
        <v>2761</v>
      </c>
      <c r="D6968" s="1" t="s">
        <v>2762</v>
      </c>
      <c r="E6968" s="1" t="str">
        <f>""</f>
        <v/>
      </c>
      <c r="F6968" s="1" t="s">
        <v>1860</v>
      </c>
      <c r="G6968" s="1" t="str">
        <f>CONCATENATE(" SERVISNO ZANATSKA RADNJA DRAGO PERIĆ,"," TRG ZAGAZINJINE 6,"," 51000 MALI LOŠINJ,"," OIB: 6659709072")</f>
        <v xml:space="preserve"> SERVISNO ZANATSKA RADNJA DRAGO PERIĆ, TRG ZAGAZINJINE 6, 51000 MALI LOŠINJ, OIB: 6659709072</v>
      </c>
      <c r="H6968" s="7"/>
      <c r="I6968" s="8" t="s">
        <v>4008</v>
      </c>
      <c r="J6968" s="8" t="s">
        <v>4008</v>
      </c>
      <c r="K6968" s="6" t="str">
        <f>"1.646,00"</f>
        <v>1.646,00</v>
      </c>
      <c r="L6968" s="6" t="str">
        <f>"411,50"</f>
        <v>411,50</v>
      </c>
      <c r="M6968" s="6" t="str">
        <f>"2.057,50"</f>
        <v>2.057,50</v>
      </c>
      <c r="N6968" s="8" t="s">
        <v>124</v>
      </c>
      <c r="O6968" s="7"/>
      <c r="P6968" s="2" t="s">
        <v>5614</v>
      </c>
      <c r="Q6968" s="7"/>
      <c r="R6968" s="1"/>
      <c r="S6968" s="1" t="str">
        <f>"J-UN-2018-1208"</f>
        <v>J-UN-2018-1208</v>
      </c>
      <c r="T6968" s="1" t="s">
        <v>32</v>
      </c>
    </row>
    <row r="6969" spans="1:20" ht="51" x14ac:dyDescent="0.25">
      <c r="A6969" s="6">
        <v>6940</v>
      </c>
      <c r="B6969" s="1" t="str">
        <f>"2018-364"</f>
        <v>2018-364</v>
      </c>
      <c r="C6969" s="1" t="s">
        <v>2908</v>
      </c>
      <c r="D6969" s="1" t="s">
        <v>74</v>
      </c>
      <c r="E6969" s="1" t="str">
        <f>""</f>
        <v/>
      </c>
      <c r="F6969" s="1" t="s">
        <v>1860</v>
      </c>
      <c r="G6969" s="1" t="str">
        <f>CONCATENATE("  SMARTNET D.O.O.,"," STINICE 12,"," 21000 SPLIT,"," OIB: 2337997359")</f>
        <v>  SMARTNET D.O.O., STINICE 12, 21000 SPLIT, OIB: 2337997359</v>
      </c>
      <c r="H6969" s="7"/>
      <c r="I6969" s="8" t="s">
        <v>4995</v>
      </c>
      <c r="J6969" s="8" t="s">
        <v>5318</v>
      </c>
      <c r="K6969" s="6" t="str">
        <f>"7.650,00"</f>
        <v>7.650,00</v>
      </c>
      <c r="L6969" s="6" t="str">
        <f>"1.912,50"</f>
        <v>1.912,50</v>
      </c>
      <c r="M6969" s="6" t="str">
        <f>"9.562,50"</f>
        <v>9.562,50</v>
      </c>
      <c r="N6969" s="8" t="s">
        <v>4145</v>
      </c>
      <c r="O6969" s="7"/>
      <c r="P6969" s="2" t="s">
        <v>5806</v>
      </c>
      <c r="Q6969" s="7"/>
      <c r="R6969" s="1"/>
      <c r="S6969" s="1" t="str">
        <f>"J-UN-2018-1213"</f>
        <v>J-UN-2018-1213</v>
      </c>
      <c r="T6969" s="1" t="s">
        <v>32</v>
      </c>
    </row>
    <row r="6970" spans="1:20" ht="51" x14ac:dyDescent="0.25">
      <c r="A6970" s="6">
        <v>6941</v>
      </c>
      <c r="B6970" s="1" t="str">
        <f>"2018-364"</f>
        <v>2018-364</v>
      </c>
      <c r="C6970" s="1" t="s">
        <v>2908</v>
      </c>
      <c r="D6970" s="1" t="s">
        <v>74</v>
      </c>
      <c r="E6970" s="1" t="str">
        <f>""</f>
        <v/>
      </c>
      <c r="F6970" s="1" t="s">
        <v>1860</v>
      </c>
      <c r="G6970" s="1" t="str">
        <f>CONCATENATE("  SMARTNET D.O.O.,"," STINICE 12,"," 21000 SPLIT,"," OIB: 2337997359")</f>
        <v>  SMARTNET D.O.O., STINICE 12, 21000 SPLIT, OIB: 2337997359</v>
      </c>
      <c r="H6970" s="7"/>
      <c r="I6970" s="8" t="s">
        <v>4058</v>
      </c>
      <c r="J6970" s="8" t="s">
        <v>4616</v>
      </c>
      <c r="K6970" s="6" t="str">
        <f>"10.500,00"</f>
        <v>10.500,00</v>
      </c>
      <c r="L6970" s="6" t="str">
        <f>"2.625,00"</f>
        <v>2.625,00</v>
      </c>
      <c r="M6970" s="6" t="str">
        <f>"13.125,00"</f>
        <v>13.125,00</v>
      </c>
      <c r="N6970" s="8" t="s">
        <v>4145</v>
      </c>
      <c r="O6970" s="7"/>
      <c r="P6970" s="2" t="s">
        <v>8956</v>
      </c>
      <c r="Q6970" s="7"/>
      <c r="R6970" s="1"/>
      <c r="S6970" s="1" t="str">
        <f>"J-UN-2018-1215"</f>
        <v>J-UN-2018-1215</v>
      </c>
      <c r="T6970" s="1" t="s">
        <v>32</v>
      </c>
    </row>
    <row r="6971" spans="1:20" ht="76.5" x14ac:dyDescent="0.25">
      <c r="A6971" s="6">
        <v>6942</v>
      </c>
      <c r="B6971" s="1" t="str">
        <f>"2018-1421"</f>
        <v>2018-1421</v>
      </c>
      <c r="C6971" s="1" t="s">
        <v>2711</v>
      </c>
      <c r="D6971" s="1" t="s">
        <v>1914</v>
      </c>
      <c r="E6971" s="1" t="str">
        <f>""</f>
        <v/>
      </c>
      <c r="F6971" s="1" t="s">
        <v>1860</v>
      </c>
      <c r="G6971" s="1" t="str">
        <f>CONCATENATE(" BUTAN PLIN D.O.O.,"," ULICA RIJEKE DRAGONJE 23,"," 52466 NOVIGRAD (CITTANOVA),"," OIB: 80051835685")</f>
        <v xml:space="preserve"> BUTAN PLIN D.O.O., ULICA RIJEKE DRAGONJE 23, 52466 NOVIGRAD (CITTANOVA), OIB: 80051835685</v>
      </c>
      <c r="H6971" s="7"/>
      <c r="I6971" s="8" t="s">
        <v>4539</v>
      </c>
      <c r="J6971" s="8" t="s">
        <v>4539</v>
      </c>
      <c r="K6971" s="6" t="str">
        <f>"3.816,00"</f>
        <v>3.816,00</v>
      </c>
      <c r="L6971" s="6" t="str">
        <f>"954,00"</f>
        <v>954,00</v>
      </c>
      <c r="M6971" s="6" t="str">
        <f>"4.770,00"</f>
        <v>4.770,00</v>
      </c>
      <c r="N6971" s="8" t="s">
        <v>4995</v>
      </c>
      <c r="O6971" s="7"/>
      <c r="P6971" s="2" t="s">
        <v>8957</v>
      </c>
      <c r="Q6971" s="7"/>
      <c r="R6971" s="1"/>
      <c r="S6971" s="1" t="str">
        <f>"J-UN-2018-1245"</f>
        <v>J-UN-2018-1245</v>
      </c>
      <c r="T6971" s="1" t="s">
        <v>32</v>
      </c>
    </row>
    <row r="6972" spans="1:20" ht="51" x14ac:dyDescent="0.25">
      <c r="A6972" s="6">
        <v>6943</v>
      </c>
      <c r="B6972" s="1" t="str">
        <f>"2018-1758"</f>
        <v>2018-1758</v>
      </c>
      <c r="C6972" s="1" t="s">
        <v>2618</v>
      </c>
      <c r="D6972" s="1" t="s">
        <v>2619</v>
      </c>
      <c r="E6972" s="1" t="str">
        <f>""</f>
        <v/>
      </c>
      <c r="F6972" s="1" t="s">
        <v>1860</v>
      </c>
      <c r="G6972" s="1" t="str">
        <f>CONCATENATE(" TRA-MONT D.O.O.,"," MILIVOJA MATOŠECA 5,"," 10000 ZAGREB,"," OIB: 05336208843")</f>
        <v xml:space="preserve"> TRA-MONT D.O.O., MILIVOJA MATOŠECA 5, 10000 ZAGREB, OIB: 05336208843</v>
      </c>
      <c r="H6972" s="7"/>
      <c r="I6972" s="8" t="s">
        <v>4539</v>
      </c>
      <c r="J6972" s="8" t="s">
        <v>3891</v>
      </c>
      <c r="K6972" s="6" t="str">
        <f>"1.415,00"</f>
        <v>1.415,00</v>
      </c>
      <c r="L6972" s="6" t="str">
        <f>"353,75"</f>
        <v>353,75</v>
      </c>
      <c r="M6972" s="6" t="str">
        <f>"1.768,75"</f>
        <v>1.768,75</v>
      </c>
      <c r="N6972" s="8" t="s">
        <v>5319</v>
      </c>
      <c r="O6972" s="7"/>
      <c r="P6972" s="2" t="s">
        <v>8958</v>
      </c>
      <c r="Q6972" s="7"/>
      <c r="R6972" s="1"/>
      <c r="S6972" s="1" t="str">
        <f>"J-UN-2018-1246"</f>
        <v>J-UN-2018-1246</v>
      </c>
      <c r="T6972" s="1" t="s">
        <v>32</v>
      </c>
    </row>
    <row r="6973" spans="1:20" ht="51" x14ac:dyDescent="0.25">
      <c r="A6973" s="6">
        <v>6944</v>
      </c>
      <c r="B6973" s="1" t="str">
        <f>"2018-772"</f>
        <v>2018-772</v>
      </c>
      <c r="C6973" s="1" t="s">
        <v>2543</v>
      </c>
      <c r="D6973" s="1" t="s">
        <v>2544</v>
      </c>
      <c r="E6973" s="1" t="str">
        <f>""</f>
        <v/>
      </c>
      <c r="F6973" s="1" t="s">
        <v>1860</v>
      </c>
      <c r="G6973" s="1" t="str">
        <f>CONCATENATE(" TRIGLAV OSIGURANJE D. D.,"," ANTUNA HEINZA 4,"," 10000 ZAGREB,"," OIB: 29743547503")</f>
        <v xml:space="preserve"> TRIGLAV OSIGURANJE D. D., ANTUNA HEINZA 4, 10000 ZAGREB, OIB: 29743547503</v>
      </c>
      <c r="H6973" s="7"/>
      <c r="I6973" s="8" t="s">
        <v>4610</v>
      </c>
      <c r="J6973" s="8" t="s">
        <v>4088</v>
      </c>
      <c r="K6973" s="6" t="str">
        <f>"176.064,16"</f>
        <v>176.064,16</v>
      </c>
      <c r="L6973" s="6" t="str">
        <f>"44.016,04"</f>
        <v>44.016,04</v>
      </c>
      <c r="M6973" s="6" t="str">
        <f>"220.080,20"</f>
        <v>220.080,20</v>
      </c>
      <c r="N6973" s="8" t="s">
        <v>124</v>
      </c>
      <c r="O6973" s="7"/>
      <c r="P6973" s="2" t="s">
        <v>5614</v>
      </c>
      <c r="Q6973" s="7"/>
      <c r="R6973" s="1"/>
      <c r="S6973" s="1" t="str">
        <f>"J-UN-2018-1249"</f>
        <v>J-UN-2018-1249</v>
      </c>
      <c r="T6973" s="1" t="s">
        <v>32</v>
      </c>
    </row>
    <row r="6974" spans="1:20" ht="76.5" x14ac:dyDescent="0.25">
      <c r="A6974" s="6">
        <v>6945</v>
      </c>
      <c r="B6974" s="1" t="str">
        <f>"2018-2633"</f>
        <v>2018-2633</v>
      </c>
      <c r="C6974" s="1" t="s">
        <v>2737</v>
      </c>
      <c r="D6974" s="1" t="s">
        <v>689</v>
      </c>
      <c r="E6974" s="1" t="str">
        <f>""</f>
        <v/>
      </c>
      <c r="F6974" s="1" t="s">
        <v>1860</v>
      </c>
      <c r="G6974" s="1" t="str">
        <f>CONCATENATE(" SMIT-COMMERCE D.O.O.,"," GORNJOSTUPNIČKA 9B,"," 10255 GORNJI STUPNIK,"," OIB: 9524348214")</f>
        <v xml:space="preserve"> SMIT-COMMERCE D.O.O., GORNJOSTUPNIČKA 9B, 10255 GORNJI STUPNIK, OIB: 9524348214</v>
      </c>
      <c r="H6974" s="7"/>
      <c r="I6974" s="8" t="s">
        <v>4616</v>
      </c>
      <c r="J6974" s="8" t="s">
        <v>5270</v>
      </c>
      <c r="K6974" s="6" t="str">
        <f>"1.890,00"</f>
        <v>1.890,00</v>
      </c>
      <c r="L6974" s="6" t="str">
        <f>"472,50"</f>
        <v>472,50</v>
      </c>
      <c r="M6974" s="6" t="str">
        <f>"2.362,50"</f>
        <v>2.362,50</v>
      </c>
      <c r="N6974" s="8" t="s">
        <v>124</v>
      </c>
      <c r="O6974" s="7"/>
      <c r="P6974" s="2" t="s">
        <v>5614</v>
      </c>
      <c r="Q6974" s="7"/>
      <c r="R6974" s="1"/>
      <c r="S6974" s="1" t="str">
        <f>"J-UN-2018-1268"</f>
        <v>J-UN-2018-1268</v>
      </c>
      <c r="T6974" s="1" t="s">
        <v>32</v>
      </c>
    </row>
    <row r="6975" spans="1:20" ht="51" x14ac:dyDescent="0.25">
      <c r="A6975" s="6">
        <v>6946</v>
      </c>
      <c r="B6975" s="1" t="str">
        <f>"2018-2230"</f>
        <v>2018-2230</v>
      </c>
      <c r="C6975" s="1" t="s">
        <v>3136</v>
      </c>
      <c r="D6975" s="1" t="s">
        <v>21</v>
      </c>
      <c r="E6975" s="1" t="str">
        <f>""</f>
        <v/>
      </c>
      <c r="F6975" s="1" t="s">
        <v>1860</v>
      </c>
      <c r="G6975" s="1" t="str">
        <f>CONCATENATE(" VAR D.O.O.,"," IVANA KELEKA 18A,"," 10360 SESVETE,"," OIB: 66402309304")</f>
        <v xml:space="preserve"> VAR D.O.O., IVANA KELEKA 18A, 10360 SESVETE, OIB: 66402309304</v>
      </c>
      <c r="H6975" s="7"/>
      <c r="I6975" s="8" t="s">
        <v>4995</v>
      </c>
      <c r="J6975" s="8" t="s">
        <v>5318</v>
      </c>
      <c r="K6975" s="6" t="str">
        <f>"769,00"</f>
        <v>769,00</v>
      </c>
      <c r="L6975" s="6" t="str">
        <f>"192,25"</f>
        <v>192,25</v>
      </c>
      <c r="M6975" s="6" t="str">
        <f>"961,25"</f>
        <v>961,25</v>
      </c>
      <c r="N6975" s="8" t="s">
        <v>124</v>
      </c>
      <c r="O6975" s="7"/>
      <c r="P6975" s="2" t="s">
        <v>5614</v>
      </c>
      <c r="Q6975" s="7"/>
      <c r="R6975" s="1"/>
      <c r="S6975" s="1" t="str">
        <f>"J-UN-2018-1294"</f>
        <v>J-UN-2018-1294</v>
      </c>
      <c r="T6975" s="1" t="s">
        <v>32</v>
      </c>
    </row>
    <row r="6976" spans="1:20" ht="51" x14ac:dyDescent="0.25">
      <c r="A6976" s="6">
        <v>6947</v>
      </c>
      <c r="B6976" s="1" t="str">
        <f>"2018-3018"</f>
        <v>2018-3018</v>
      </c>
      <c r="C6976" s="1" t="s">
        <v>5320</v>
      </c>
      <c r="D6976" s="1" t="s">
        <v>619</v>
      </c>
      <c r="E6976" s="1" t="str">
        <f>""</f>
        <v/>
      </c>
      <c r="F6976" s="1" t="s">
        <v>1860</v>
      </c>
      <c r="G6976" s="1" t="str">
        <f>CONCATENATE(" RASCO D.O.O.,"," KOLODVORSKA 120B,"," 48361 KALINOVAC,"," OIB: 12710048305")</f>
        <v xml:space="preserve"> RASCO D.O.O., KOLODVORSKA 120B, 48361 KALINOVAC, OIB: 12710048305</v>
      </c>
      <c r="H6976" s="7"/>
      <c r="I6976" s="8" t="s">
        <v>4616</v>
      </c>
      <c r="J6976" s="8" t="s">
        <v>5270</v>
      </c>
      <c r="K6976" s="6" t="str">
        <f>"9.099,81"</f>
        <v>9.099,81</v>
      </c>
      <c r="L6976" s="6" t="str">
        <f>"2.274,95"</f>
        <v>2.274,95</v>
      </c>
      <c r="M6976" s="6" t="str">
        <f>"11.374,76"</f>
        <v>11.374,76</v>
      </c>
      <c r="N6976" s="8" t="s">
        <v>5321</v>
      </c>
      <c r="O6976" s="7"/>
      <c r="P6976" s="2" t="s">
        <v>8959</v>
      </c>
      <c r="Q6976" s="7"/>
      <c r="R6976" s="1"/>
      <c r="S6976" s="1" t="str">
        <f>"J-UN-2018-1329"</f>
        <v>J-UN-2018-1329</v>
      </c>
      <c r="T6976" s="1" t="s">
        <v>32</v>
      </c>
    </row>
    <row r="6977" spans="1:20" ht="51" x14ac:dyDescent="0.25">
      <c r="A6977" s="6">
        <v>6948</v>
      </c>
      <c r="B6977" s="1" t="str">
        <f>"2018-178"</f>
        <v>2018-178</v>
      </c>
      <c r="C6977" s="1" t="s">
        <v>2769</v>
      </c>
      <c r="D6977" s="1" t="s">
        <v>381</v>
      </c>
      <c r="E6977" s="1" t="str">
        <f>""</f>
        <v/>
      </c>
      <c r="F6977" s="1" t="s">
        <v>1860</v>
      </c>
      <c r="G6977" s="1" t="str">
        <f>CONCATENATE(" ZIK D.O.O.,"," LJUDEVITA GAJA 17/III,"," 10000 ZAGREB,"," OIB: 74121470605")</f>
        <v xml:space="preserve"> ZIK D.O.O., LJUDEVITA GAJA 17/III, 10000 ZAGREB, OIB: 74121470605</v>
      </c>
      <c r="H6977" s="7"/>
      <c r="I6977" s="8" t="s">
        <v>4062</v>
      </c>
      <c r="J6977" s="8" t="s">
        <v>3662</v>
      </c>
      <c r="K6977" s="6" t="str">
        <f>"350,00"</f>
        <v>350,00</v>
      </c>
      <c r="L6977" s="6" t="str">
        <f>"87,50"</f>
        <v>87,50</v>
      </c>
      <c r="M6977" s="6" t="str">
        <f>"437,50"</f>
        <v>437,50</v>
      </c>
      <c r="N6977" s="8" t="s">
        <v>124</v>
      </c>
      <c r="O6977" s="7"/>
      <c r="P6977" s="2" t="s">
        <v>5614</v>
      </c>
      <c r="Q6977" s="7"/>
      <c r="R6977" s="1"/>
      <c r="S6977" s="1" t="str">
        <f>"J-UN-2018-1410"</f>
        <v>J-UN-2018-1410</v>
      </c>
      <c r="T6977" s="1" t="s">
        <v>32</v>
      </c>
    </row>
    <row r="6978" spans="1:20" ht="76.5" x14ac:dyDescent="0.25">
      <c r="A6978" s="6">
        <v>6949</v>
      </c>
      <c r="B6978" s="1" t="str">
        <f>"2018-1489"</f>
        <v>2018-1489</v>
      </c>
      <c r="C6978" s="1" t="s">
        <v>2405</v>
      </c>
      <c r="D6978" s="1" t="s">
        <v>880</v>
      </c>
      <c r="E6978" s="1" t="str">
        <f>""</f>
        <v/>
      </c>
      <c r="F6978" s="1" t="s">
        <v>1860</v>
      </c>
      <c r="G6978" s="1" t="str">
        <f>CONCATENATE(" NASTAVNI ZAVOD ZA JAVNO ZDRAVSTVO DR. ANDRIJA ŠTAMPAR,"," MIROGOJSKA CESTA 16,"," 10000 ZAGREB,"," OIB: 3339200596")</f>
        <v xml:space="preserve"> NASTAVNI ZAVOD ZA JAVNO ZDRAVSTVO DR. ANDRIJA ŠTAMPAR, MIROGOJSKA CESTA 16, 10000 ZAGREB, OIB: 3339200596</v>
      </c>
      <c r="H6978" s="7"/>
      <c r="I6978" s="8" t="s">
        <v>4065</v>
      </c>
      <c r="J6978" s="8" t="s">
        <v>5322</v>
      </c>
      <c r="K6978" s="6" t="str">
        <f>"3.000,00"</f>
        <v>3.000,00</v>
      </c>
      <c r="L6978" s="6" t="str">
        <f>"750,00"</f>
        <v>750,00</v>
      </c>
      <c r="M6978" s="6" t="str">
        <f>"3.750,00"</f>
        <v>3.750,00</v>
      </c>
      <c r="N6978" s="8" t="s">
        <v>5323</v>
      </c>
      <c r="O6978" s="7"/>
      <c r="P6978" s="2" t="s">
        <v>8960</v>
      </c>
      <c r="Q6978" s="1"/>
      <c r="R6978" s="1"/>
      <c r="S6978" s="1" t="str">
        <f>"J-UN-2018-1415"</f>
        <v>J-UN-2018-1415</v>
      </c>
      <c r="T6978" s="1" t="s">
        <v>32</v>
      </c>
    </row>
    <row r="6979" spans="1:20" ht="89.25" x14ac:dyDescent="0.25">
      <c r="A6979" s="6">
        <v>6950</v>
      </c>
      <c r="B6979" s="1" t="str">
        <f>"2018-26"</f>
        <v>2018-26</v>
      </c>
      <c r="C6979" s="1" t="s">
        <v>5287</v>
      </c>
      <c r="D6979" s="1" t="s">
        <v>5288</v>
      </c>
      <c r="E6979" s="1" t="str">
        <f>""</f>
        <v/>
      </c>
      <c r="F6979" s="1" t="s">
        <v>1860</v>
      </c>
      <c r="G6979" s="1" t="str">
        <f>CONCATENATE(" RASADNIK UKRASNOG BILJA ĐURO JOVANOVAC VL.SINIŠA JOVANOVAC,"," MATIJE GUPCA 33,"," 32273 GRADIŠTE,"," OIB: 63533508033")</f>
        <v xml:space="preserve"> RASADNIK UKRASNOG BILJA ĐURO JOVANOVAC VL.SINIŠA JOVANOVAC, MATIJE GUPCA 33, 32273 GRADIŠTE, OIB: 63533508033</v>
      </c>
      <c r="H6979" s="7"/>
      <c r="I6979" s="8" t="s">
        <v>5322</v>
      </c>
      <c r="J6979" s="8" t="s">
        <v>3905</v>
      </c>
      <c r="K6979" s="6" t="str">
        <f>"68.614,00"</f>
        <v>68.614,00</v>
      </c>
      <c r="L6979" s="6" t="str">
        <f>"17.153,50"</f>
        <v>17.153,50</v>
      </c>
      <c r="M6979" s="6" t="str">
        <f>"85.767,50"</f>
        <v>85.767,50</v>
      </c>
      <c r="N6979" s="8" t="s">
        <v>3687</v>
      </c>
      <c r="O6979" s="7"/>
      <c r="P6979" s="2" t="s">
        <v>8961</v>
      </c>
      <c r="Q6979" s="7"/>
      <c r="R6979" s="1"/>
      <c r="S6979" s="1" t="str">
        <f>"J-UN-2018-1418"</f>
        <v>J-UN-2018-1418</v>
      </c>
      <c r="T6979" s="1" t="s">
        <v>32</v>
      </c>
    </row>
    <row r="6980" spans="1:20" ht="63.75" x14ac:dyDescent="0.25">
      <c r="A6980" s="6">
        <v>6951</v>
      </c>
      <c r="B6980" s="1" t="str">
        <f>"2018-2280"</f>
        <v>2018-2280</v>
      </c>
      <c r="C6980" s="1" t="s">
        <v>2991</v>
      </c>
      <c r="D6980" s="1" t="s">
        <v>2992</v>
      </c>
      <c r="E6980" s="1" t="str">
        <f>""</f>
        <v/>
      </c>
      <c r="F6980" s="1" t="s">
        <v>1860</v>
      </c>
      <c r="G6980" s="1" t="str">
        <f t="shared" ref="G6980:G6985" si="246">CONCATENATE(" LANIŠTE D.O.O.,"," ALEXANDERA VON HUMBOLDTA 4B,"," 10000 ZAGREB,"," OIB: 3755384865")</f>
        <v xml:space="preserve"> LANIŠTE D.O.O., ALEXANDERA VON HUMBOLDTA 4B, 10000 ZAGREB, OIB: 3755384865</v>
      </c>
      <c r="H6980" s="7"/>
      <c r="I6980" s="8" t="s">
        <v>3662</v>
      </c>
      <c r="J6980" s="8" t="s">
        <v>3889</v>
      </c>
      <c r="K6980" s="6" t="str">
        <f>"5.636,00"</f>
        <v>5.636,00</v>
      </c>
      <c r="L6980" s="6" t="str">
        <f>"1.409,00"</f>
        <v>1.409,00</v>
      </c>
      <c r="M6980" s="6" t="str">
        <f>"7.045,00"</f>
        <v>7.045,00</v>
      </c>
      <c r="N6980" s="8" t="s">
        <v>4055</v>
      </c>
      <c r="O6980" s="7"/>
      <c r="P6980" s="2" t="s">
        <v>7917</v>
      </c>
      <c r="Q6980" s="7"/>
      <c r="R6980" s="1"/>
      <c r="S6980" s="1" t="str">
        <f>"J-UN-2018-1432"</f>
        <v>J-UN-2018-1432</v>
      </c>
      <c r="T6980" s="1" t="s">
        <v>32</v>
      </c>
    </row>
    <row r="6981" spans="1:20" ht="63.75" x14ac:dyDescent="0.25">
      <c r="A6981" s="6">
        <v>6952</v>
      </c>
      <c r="B6981" s="1" t="str">
        <f>"2018-630"</f>
        <v>2018-630</v>
      </c>
      <c r="C6981" s="1" t="s">
        <v>2984</v>
      </c>
      <c r="D6981" s="1" t="s">
        <v>2985</v>
      </c>
      <c r="E6981" s="1" t="str">
        <f>""</f>
        <v/>
      </c>
      <c r="F6981" s="1" t="s">
        <v>1860</v>
      </c>
      <c r="G6981" s="1" t="str">
        <f t="shared" si="246"/>
        <v xml:space="preserve"> LANIŠTE D.O.O., ALEXANDERA VON HUMBOLDTA 4B, 10000 ZAGREB, OIB: 3755384865</v>
      </c>
      <c r="H6981" s="7"/>
      <c r="I6981" s="8" t="s">
        <v>3662</v>
      </c>
      <c r="J6981" s="8" t="s">
        <v>3889</v>
      </c>
      <c r="K6981" s="6" t="str">
        <f>"6.032,00"</f>
        <v>6.032,00</v>
      </c>
      <c r="L6981" s="6" t="str">
        <f>"1.508,00"</f>
        <v>1.508,00</v>
      </c>
      <c r="M6981" s="6" t="str">
        <f>"7.540,00"</f>
        <v>7.540,00</v>
      </c>
      <c r="N6981" s="8" t="s">
        <v>4055</v>
      </c>
      <c r="O6981" s="7"/>
      <c r="P6981" s="2" t="s">
        <v>7919</v>
      </c>
      <c r="Q6981" s="7"/>
      <c r="R6981" s="1"/>
      <c r="S6981" s="1" t="str">
        <f>"J-UN-2018-1433"</f>
        <v>J-UN-2018-1433</v>
      </c>
      <c r="T6981" s="1" t="s">
        <v>32</v>
      </c>
    </row>
    <row r="6982" spans="1:20" ht="63.75" x14ac:dyDescent="0.25">
      <c r="A6982" s="6">
        <v>6953</v>
      </c>
      <c r="B6982" s="1" t="str">
        <f>"2018-185"</f>
        <v>2018-185</v>
      </c>
      <c r="C6982" s="1" t="s">
        <v>2986</v>
      </c>
      <c r="D6982" s="1" t="s">
        <v>2985</v>
      </c>
      <c r="E6982" s="1" t="str">
        <f>""</f>
        <v/>
      </c>
      <c r="F6982" s="1" t="s">
        <v>1860</v>
      </c>
      <c r="G6982" s="1" t="str">
        <f t="shared" si="246"/>
        <v xml:space="preserve"> LANIŠTE D.O.O., ALEXANDERA VON HUMBOLDTA 4B, 10000 ZAGREB, OIB: 3755384865</v>
      </c>
      <c r="H6982" s="7"/>
      <c r="I6982" s="8" t="s">
        <v>3889</v>
      </c>
      <c r="J6982" s="8" t="s">
        <v>4065</v>
      </c>
      <c r="K6982" s="6" t="str">
        <f>"6.032,00"</f>
        <v>6.032,00</v>
      </c>
      <c r="L6982" s="6" t="str">
        <f>"1.508,00"</f>
        <v>1.508,00</v>
      </c>
      <c r="M6982" s="6" t="str">
        <f>"7.540,00"</f>
        <v>7.540,00</v>
      </c>
      <c r="N6982" s="8" t="s">
        <v>4055</v>
      </c>
      <c r="O6982" s="7"/>
      <c r="P6982" s="2" t="s">
        <v>7919</v>
      </c>
      <c r="Q6982" s="7"/>
      <c r="R6982" s="1"/>
      <c r="S6982" s="1" t="str">
        <f>"J-UN-2018-1434"</f>
        <v>J-UN-2018-1434</v>
      </c>
      <c r="T6982" s="1" t="s">
        <v>32</v>
      </c>
    </row>
    <row r="6983" spans="1:20" ht="63.75" x14ac:dyDescent="0.25">
      <c r="A6983" s="6">
        <v>6954</v>
      </c>
      <c r="B6983" s="1" t="str">
        <f>"2018-672"</f>
        <v>2018-672</v>
      </c>
      <c r="C6983" s="1" t="s">
        <v>2987</v>
      </c>
      <c r="D6983" s="1" t="s">
        <v>2988</v>
      </c>
      <c r="E6983" s="1" t="str">
        <f>""</f>
        <v/>
      </c>
      <c r="F6983" s="1" t="s">
        <v>1860</v>
      </c>
      <c r="G6983" s="1" t="str">
        <f t="shared" si="246"/>
        <v xml:space="preserve"> LANIŠTE D.O.O., ALEXANDERA VON HUMBOLDTA 4B, 10000 ZAGREB, OIB: 3755384865</v>
      </c>
      <c r="H6983" s="7"/>
      <c r="I6983" s="8" t="s">
        <v>3889</v>
      </c>
      <c r="J6983" s="8" t="s">
        <v>4065</v>
      </c>
      <c r="K6983" s="6" t="str">
        <f>"6.032,00"</f>
        <v>6.032,00</v>
      </c>
      <c r="L6983" s="6" t="str">
        <f>"1.508,00"</f>
        <v>1.508,00</v>
      </c>
      <c r="M6983" s="6" t="str">
        <f>"7.540,00"</f>
        <v>7.540,00</v>
      </c>
      <c r="N6983" s="8" t="s">
        <v>4055</v>
      </c>
      <c r="O6983" s="7"/>
      <c r="P6983" s="2" t="s">
        <v>7919</v>
      </c>
      <c r="Q6983" s="7"/>
      <c r="R6983" s="1"/>
      <c r="S6983" s="1" t="str">
        <f>"J-UN-2018-1435"</f>
        <v>J-UN-2018-1435</v>
      </c>
      <c r="T6983" s="1" t="s">
        <v>32</v>
      </c>
    </row>
    <row r="6984" spans="1:20" ht="63.75" x14ac:dyDescent="0.25">
      <c r="A6984" s="6">
        <v>6955</v>
      </c>
      <c r="B6984" s="1" t="str">
        <f>"2018-2949"</f>
        <v>2018-2949</v>
      </c>
      <c r="C6984" s="1" t="s">
        <v>2993</v>
      </c>
      <c r="D6984" s="1" t="s">
        <v>2994</v>
      </c>
      <c r="E6984" s="1" t="str">
        <f>""</f>
        <v/>
      </c>
      <c r="F6984" s="1" t="s">
        <v>1860</v>
      </c>
      <c r="G6984" s="1" t="str">
        <f t="shared" si="246"/>
        <v xml:space="preserve"> LANIŠTE D.O.O., ALEXANDERA VON HUMBOLDTA 4B, 10000 ZAGREB, OIB: 3755384865</v>
      </c>
      <c r="H6984" s="7"/>
      <c r="I6984" s="8" t="s">
        <v>3889</v>
      </c>
      <c r="J6984" s="8" t="s">
        <v>4065</v>
      </c>
      <c r="K6984" s="6" t="str">
        <f>"5.632,00"</f>
        <v>5.632,00</v>
      </c>
      <c r="L6984" s="6" t="str">
        <f>"1.408,00"</f>
        <v>1.408,00</v>
      </c>
      <c r="M6984" s="6" t="str">
        <f>"7.040,00"</f>
        <v>7.040,00</v>
      </c>
      <c r="N6984" s="8" t="s">
        <v>4055</v>
      </c>
      <c r="O6984" s="7"/>
      <c r="P6984" s="2" t="s">
        <v>7918</v>
      </c>
      <c r="Q6984" s="7"/>
      <c r="R6984" s="1"/>
      <c r="S6984" s="1" t="str">
        <f>"J-UN-2018-1436"</f>
        <v>J-UN-2018-1436</v>
      </c>
      <c r="T6984" s="1" t="s">
        <v>32</v>
      </c>
    </row>
    <row r="6985" spans="1:20" ht="63.75" x14ac:dyDescent="0.25">
      <c r="A6985" s="6">
        <v>6956</v>
      </c>
      <c r="B6985" s="1" t="str">
        <f>"2018-2950"</f>
        <v>2018-2950</v>
      </c>
      <c r="C6985" s="1" t="s">
        <v>2989</v>
      </c>
      <c r="D6985" s="1" t="s">
        <v>2990</v>
      </c>
      <c r="E6985" s="1" t="str">
        <f>""</f>
        <v/>
      </c>
      <c r="F6985" s="1" t="s">
        <v>1860</v>
      </c>
      <c r="G6985" s="1" t="str">
        <f t="shared" si="246"/>
        <v xml:space="preserve"> LANIŠTE D.O.O., ALEXANDERA VON HUMBOLDTA 4B, 10000 ZAGREB, OIB: 3755384865</v>
      </c>
      <c r="H6985" s="7"/>
      <c r="I6985" s="8" t="s">
        <v>3889</v>
      </c>
      <c r="J6985" s="8" t="s">
        <v>4065</v>
      </c>
      <c r="K6985" s="6" t="str">
        <f>"6.636,00"</f>
        <v>6.636,00</v>
      </c>
      <c r="L6985" s="6" t="str">
        <f>"1.659,00"</f>
        <v>1.659,00</v>
      </c>
      <c r="M6985" s="6" t="str">
        <f>"8.295,00"</f>
        <v>8.295,00</v>
      </c>
      <c r="N6985" s="8" t="s">
        <v>4055</v>
      </c>
      <c r="O6985" s="7"/>
      <c r="P6985" s="2" t="s">
        <v>7917</v>
      </c>
      <c r="Q6985" s="7"/>
      <c r="R6985" s="1"/>
      <c r="S6985" s="1" t="str">
        <f>"J-UN-2018-1437"</f>
        <v>J-UN-2018-1437</v>
      </c>
      <c r="T6985" s="1" t="s">
        <v>32</v>
      </c>
    </row>
    <row r="6986" spans="1:20" ht="38.25" x14ac:dyDescent="0.25">
      <c r="A6986" s="6">
        <v>6957</v>
      </c>
      <c r="B6986" s="1" t="str">
        <f>"2018-1314"</f>
        <v>2018-1314</v>
      </c>
      <c r="C6986" s="1" t="s">
        <v>2778</v>
      </c>
      <c r="D6986" s="1" t="s">
        <v>1833</v>
      </c>
      <c r="E6986" s="1" t="str">
        <f>""</f>
        <v/>
      </c>
      <c r="F6986" s="1" t="s">
        <v>1860</v>
      </c>
      <c r="G6986" s="1" t="str">
        <f>CONCATENATE(" WAWA D.O.O.,"," ,"," OIB: 59785180614")</f>
        <v xml:space="preserve"> WAWA D.O.O., , OIB: 59785180614</v>
      </c>
      <c r="H6986" s="7"/>
      <c r="I6986" s="8" t="s">
        <v>4065</v>
      </c>
      <c r="J6986" s="8" t="s">
        <v>4065</v>
      </c>
      <c r="K6986" s="6" t="str">
        <f>"3.870,44"</f>
        <v>3.870,44</v>
      </c>
      <c r="L6986" s="6" t="str">
        <f>"967,61"</f>
        <v>967,61</v>
      </c>
      <c r="M6986" s="6" t="str">
        <f>"4.838,05"</f>
        <v>4.838,05</v>
      </c>
      <c r="N6986" s="8" t="s">
        <v>4013</v>
      </c>
      <c r="O6986" s="7"/>
      <c r="P6986" s="2" t="s">
        <v>8962</v>
      </c>
      <c r="Q6986" s="7"/>
      <c r="R6986" s="1"/>
      <c r="S6986" s="1" t="str">
        <f>"J-UN-2018-1463"</f>
        <v>J-UN-2018-1463</v>
      </c>
      <c r="T6986" s="1" t="s">
        <v>32</v>
      </c>
    </row>
    <row r="6987" spans="1:20" ht="51" x14ac:dyDescent="0.25">
      <c r="A6987" s="6">
        <v>6958</v>
      </c>
      <c r="B6987" s="1" t="str">
        <f>"2018-1213"</f>
        <v>2018-1213</v>
      </c>
      <c r="C6987" s="1" t="s">
        <v>2492</v>
      </c>
      <c r="D6987" s="1" t="s">
        <v>2493</v>
      </c>
      <c r="E6987" s="1" t="str">
        <f>""</f>
        <v/>
      </c>
      <c r="F6987" s="1" t="s">
        <v>1860</v>
      </c>
      <c r="G6987" s="1" t="str">
        <f>CONCATENATE(" AUTO ZOVAK D.O.O.,"," NIKOLE KRAMARIĆA 20,"," 10408 VELIKA MLAKA,"," OIB: 54549529724")</f>
        <v xml:space="preserve"> AUTO ZOVAK D.O.O., NIKOLE KRAMARIĆA 20, 10408 VELIKA MLAKA, OIB: 54549529724</v>
      </c>
      <c r="H6987" s="7"/>
      <c r="I6987" s="8" t="s">
        <v>5322</v>
      </c>
      <c r="J6987" s="8" t="s">
        <v>3905</v>
      </c>
      <c r="K6987" s="6" t="str">
        <f>"9.226,28"</f>
        <v>9.226,28</v>
      </c>
      <c r="L6987" s="6" t="str">
        <f>"2.306,57"</f>
        <v>2.306,57</v>
      </c>
      <c r="M6987" s="6" t="str">
        <f>"11.532,85"</f>
        <v>11.532,85</v>
      </c>
      <c r="N6987" s="8" t="s">
        <v>3905</v>
      </c>
      <c r="O6987" s="7"/>
      <c r="P6987" s="2" t="s">
        <v>8963</v>
      </c>
      <c r="Q6987" s="7"/>
      <c r="R6987" s="1"/>
      <c r="S6987" s="1" t="str">
        <f>"J-UN-2018-1486"</f>
        <v>J-UN-2018-1486</v>
      </c>
      <c r="T6987" s="1" t="s">
        <v>32</v>
      </c>
    </row>
    <row r="6988" spans="1:20" ht="63.75" x14ac:dyDescent="0.25">
      <c r="A6988" s="6">
        <v>6959</v>
      </c>
      <c r="B6988" s="1" t="str">
        <f>"2018-630"</f>
        <v>2018-630</v>
      </c>
      <c r="C6988" s="1" t="s">
        <v>2984</v>
      </c>
      <c r="D6988" s="1" t="s">
        <v>2985</v>
      </c>
      <c r="E6988" s="1" t="str">
        <f>""</f>
        <v/>
      </c>
      <c r="F6988" s="1" t="s">
        <v>1860</v>
      </c>
      <c r="G6988" s="1" t="str">
        <f t="shared" ref="G6988:G6994" si="247">CONCATENATE(" LANIŠTE D.O.O.,"," ALEXANDERA VON HUMBOLDTA 4B,"," 10000 ZAGREB,"," OIB: 3755384865")</f>
        <v xml:space="preserve"> LANIŠTE D.O.O., ALEXANDERA VON HUMBOLDTA 4B, 10000 ZAGREB, OIB: 3755384865</v>
      </c>
      <c r="H6988" s="7"/>
      <c r="I6988" s="8" t="s">
        <v>4070</v>
      </c>
      <c r="J6988" s="8" t="s">
        <v>5324</v>
      </c>
      <c r="K6988" s="6" t="str">
        <f>"4.032,00"</f>
        <v>4.032,00</v>
      </c>
      <c r="L6988" s="6" t="str">
        <f>"1.008,00"</f>
        <v>1.008,00</v>
      </c>
      <c r="M6988" s="6" t="str">
        <f>"5.040,00"</f>
        <v>5.040,00</v>
      </c>
      <c r="N6988" s="8" t="s">
        <v>5318</v>
      </c>
      <c r="O6988" s="7"/>
      <c r="P6988" s="2" t="s">
        <v>7918</v>
      </c>
      <c r="Q6988" s="7"/>
      <c r="R6988" s="1"/>
      <c r="S6988" s="1" t="str">
        <f>"J-UN-2018-1534"</f>
        <v>J-UN-2018-1534</v>
      </c>
      <c r="T6988" s="1" t="s">
        <v>32</v>
      </c>
    </row>
    <row r="6989" spans="1:20" ht="63.75" x14ac:dyDescent="0.25">
      <c r="A6989" s="6">
        <v>6960</v>
      </c>
      <c r="B6989" s="1" t="str">
        <f>"2018-2950"</f>
        <v>2018-2950</v>
      </c>
      <c r="C6989" s="1" t="s">
        <v>2989</v>
      </c>
      <c r="D6989" s="1" t="s">
        <v>2990</v>
      </c>
      <c r="E6989" s="1" t="str">
        <f>""</f>
        <v/>
      </c>
      <c r="F6989" s="1" t="s">
        <v>1860</v>
      </c>
      <c r="G6989" s="1" t="str">
        <f t="shared" si="247"/>
        <v xml:space="preserve"> LANIŠTE D.O.O., ALEXANDERA VON HUMBOLDTA 4B, 10000 ZAGREB, OIB: 3755384865</v>
      </c>
      <c r="H6989" s="7"/>
      <c r="I6989" s="8" t="s">
        <v>4072</v>
      </c>
      <c r="J6989" s="8" t="s">
        <v>3922</v>
      </c>
      <c r="K6989" s="6" t="str">
        <f>"6.636,00"</f>
        <v>6.636,00</v>
      </c>
      <c r="L6989" s="6" t="str">
        <f>"1.659,00"</f>
        <v>1.659,00</v>
      </c>
      <c r="M6989" s="6" t="str">
        <f>"8.295,00"</f>
        <v>8.295,00</v>
      </c>
      <c r="N6989" s="8" t="s">
        <v>5325</v>
      </c>
      <c r="O6989" s="7"/>
      <c r="P6989" s="2" t="s">
        <v>7917</v>
      </c>
      <c r="Q6989" s="7"/>
      <c r="R6989" s="1"/>
      <c r="S6989" s="1" t="str">
        <f>"J-UN-2018-1561"</f>
        <v>J-UN-2018-1561</v>
      </c>
      <c r="T6989" s="1" t="s">
        <v>32</v>
      </c>
    </row>
    <row r="6990" spans="1:20" ht="63.75" x14ac:dyDescent="0.25">
      <c r="A6990" s="6">
        <v>6961</v>
      </c>
      <c r="B6990" s="1" t="str">
        <f>"2018-2949"</f>
        <v>2018-2949</v>
      </c>
      <c r="C6990" s="1" t="s">
        <v>2993</v>
      </c>
      <c r="D6990" s="1" t="s">
        <v>2994</v>
      </c>
      <c r="E6990" s="1" t="str">
        <f>""</f>
        <v/>
      </c>
      <c r="F6990" s="1" t="s">
        <v>1860</v>
      </c>
      <c r="G6990" s="1" t="str">
        <f t="shared" si="247"/>
        <v xml:space="preserve"> LANIŠTE D.O.O., ALEXANDERA VON HUMBOLDTA 4B, 10000 ZAGREB, OIB: 3755384865</v>
      </c>
      <c r="H6990" s="7"/>
      <c r="I6990" s="8" t="s">
        <v>3922</v>
      </c>
      <c r="J6990" s="8" t="s">
        <v>5326</v>
      </c>
      <c r="K6990" s="6" t="str">
        <f>"5.632,00"</f>
        <v>5.632,00</v>
      </c>
      <c r="L6990" s="6" t="str">
        <f>"1.408,00"</f>
        <v>1.408,00</v>
      </c>
      <c r="M6990" s="6" t="str">
        <f>"7.040,00"</f>
        <v>7.040,00</v>
      </c>
      <c r="N6990" s="8" t="s">
        <v>5325</v>
      </c>
      <c r="O6990" s="7"/>
      <c r="P6990" s="2" t="s">
        <v>7919</v>
      </c>
      <c r="Q6990" s="7"/>
      <c r="R6990" s="1"/>
      <c r="S6990" s="1" t="str">
        <f>"J-UN-2018-1562"</f>
        <v>J-UN-2018-1562</v>
      </c>
      <c r="T6990" s="1" t="s">
        <v>32</v>
      </c>
    </row>
    <row r="6991" spans="1:20" ht="63.75" x14ac:dyDescent="0.25">
      <c r="A6991" s="6">
        <v>6962</v>
      </c>
      <c r="B6991" s="1" t="str">
        <f>"2018-672"</f>
        <v>2018-672</v>
      </c>
      <c r="C6991" s="1" t="s">
        <v>2987</v>
      </c>
      <c r="D6991" s="1" t="s">
        <v>2988</v>
      </c>
      <c r="E6991" s="1" t="str">
        <f>""</f>
        <v/>
      </c>
      <c r="F6991" s="1" t="s">
        <v>1860</v>
      </c>
      <c r="G6991" s="1" t="str">
        <f t="shared" si="247"/>
        <v xml:space="preserve"> LANIŠTE D.O.O., ALEXANDERA VON HUMBOLDTA 4B, 10000 ZAGREB, OIB: 3755384865</v>
      </c>
      <c r="H6991" s="7"/>
      <c r="I6991" s="8" t="s">
        <v>3922</v>
      </c>
      <c r="J6991" s="8" t="s">
        <v>5326</v>
      </c>
      <c r="K6991" s="6" t="str">
        <f>"6.032,00"</f>
        <v>6.032,00</v>
      </c>
      <c r="L6991" s="6" t="str">
        <f>"1.508,00"</f>
        <v>1.508,00</v>
      </c>
      <c r="M6991" s="6" t="str">
        <f>"7.540,00"</f>
        <v>7.540,00</v>
      </c>
      <c r="N6991" s="8" t="s">
        <v>5325</v>
      </c>
      <c r="O6991" s="7"/>
      <c r="P6991" s="2" t="s">
        <v>7919</v>
      </c>
      <c r="Q6991" s="7"/>
      <c r="R6991" s="1"/>
      <c r="S6991" s="1" t="str">
        <f>"J-UN-2018-1563"</f>
        <v>J-UN-2018-1563</v>
      </c>
      <c r="T6991" s="1" t="s">
        <v>32</v>
      </c>
    </row>
    <row r="6992" spans="1:20" ht="63.75" x14ac:dyDescent="0.25">
      <c r="A6992" s="6">
        <v>6963</v>
      </c>
      <c r="B6992" s="1" t="str">
        <f>"2018-185"</f>
        <v>2018-185</v>
      </c>
      <c r="C6992" s="1" t="s">
        <v>2986</v>
      </c>
      <c r="D6992" s="1" t="s">
        <v>2985</v>
      </c>
      <c r="E6992" s="1" t="str">
        <f>""</f>
        <v/>
      </c>
      <c r="F6992" s="1" t="s">
        <v>1860</v>
      </c>
      <c r="G6992" s="1" t="str">
        <f t="shared" si="247"/>
        <v xml:space="preserve"> LANIŠTE D.O.O., ALEXANDERA VON HUMBOLDTA 4B, 10000 ZAGREB, OIB: 3755384865</v>
      </c>
      <c r="H6992" s="7"/>
      <c r="I6992" s="8" t="s">
        <v>3922</v>
      </c>
      <c r="J6992" s="8" t="s">
        <v>5326</v>
      </c>
      <c r="K6992" s="6" t="str">
        <f>"6.032,00"</f>
        <v>6.032,00</v>
      </c>
      <c r="L6992" s="6" t="str">
        <f>"1.508,00"</f>
        <v>1.508,00</v>
      </c>
      <c r="M6992" s="6" t="str">
        <f>"7.540,00"</f>
        <v>7.540,00</v>
      </c>
      <c r="N6992" s="8" t="s">
        <v>5325</v>
      </c>
      <c r="O6992" s="7"/>
      <c r="P6992" s="2" t="s">
        <v>7919</v>
      </c>
      <c r="Q6992" s="7"/>
      <c r="R6992" s="1"/>
      <c r="S6992" s="1" t="str">
        <f>"J-UN-2018-1564"</f>
        <v>J-UN-2018-1564</v>
      </c>
      <c r="T6992" s="1" t="s">
        <v>32</v>
      </c>
    </row>
    <row r="6993" spans="1:20" ht="63.75" x14ac:dyDescent="0.25">
      <c r="A6993" s="6">
        <v>6964</v>
      </c>
      <c r="B6993" s="1" t="str">
        <f>"2018-630"</f>
        <v>2018-630</v>
      </c>
      <c r="C6993" s="1" t="s">
        <v>2984</v>
      </c>
      <c r="D6993" s="1" t="s">
        <v>2985</v>
      </c>
      <c r="E6993" s="1" t="str">
        <f>""</f>
        <v/>
      </c>
      <c r="F6993" s="1" t="s">
        <v>1860</v>
      </c>
      <c r="G6993" s="1" t="str">
        <f t="shared" si="247"/>
        <v xml:space="preserve"> LANIŠTE D.O.O., ALEXANDERA VON HUMBOLDTA 4B, 10000 ZAGREB, OIB: 3755384865</v>
      </c>
      <c r="H6993" s="7"/>
      <c r="I6993" s="8" t="s">
        <v>3922</v>
      </c>
      <c r="J6993" s="8" t="s">
        <v>5326</v>
      </c>
      <c r="K6993" s="6" t="str">
        <f>"6.032,00"</f>
        <v>6.032,00</v>
      </c>
      <c r="L6993" s="6" t="str">
        <f>"1.508,00"</f>
        <v>1.508,00</v>
      </c>
      <c r="M6993" s="6" t="str">
        <f>"7.540,00"</f>
        <v>7.540,00</v>
      </c>
      <c r="N6993" s="8" t="s">
        <v>5325</v>
      </c>
      <c r="O6993" s="7"/>
      <c r="P6993" s="2" t="s">
        <v>7918</v>
      </c>
      <c r="Q6993" s="7"/>
      <c r="R6993" s="1"/>
      <c r="S6993" s="1" t="str">
        <f>"J-UN-2018-1565"</f>
        <v>J-UN-2018-1565</v>
      </c>
      <c r="T6993" s="1" t="s">
        <v>32</v>
      </c>
    </row>
    <row r="6994" spans="1:20" ht="63.75" x14ac:dyDescent="0.25">
      <c r="A6994" s="6">
        <v>6965</v>
      </c>
      <c r="B6994" s="1" t="str">
        <f>"2018-2280"</f>
        <v>2018-2280</v>
      </c>
      <c r="C6994" s="1" t="s">
        <v>2991</v>
      </c>
      <c r="D6994" s="1" t="s">
        <v>2992</v>
      </c>
      <c r="E6994" s="1" t="str">
        <f>""</f>
        <v/>
      </c>
      <c r="F6994" s="1" t="s">
        <v>1860</v>
      </c>
      <c r="G6994" s="1" t="str">
        <f t="shared" si="247"/>
        <v xml:space="preserve"> LANIŠTE D.O.O., ALEXANDERA VON HUMBOLDTA 4B, 10000 ZAGREB, OIB: 3755384865</v>
      </c>
      <c r="H6994" s="7"/>
      <c r="I6994" s="8" t="s">
        <v>4072</v>
      </c>
      <c r="J6994" s="8" t="s">
        <v>3922</v>
      </c>
      <c r="K6994" s="6" t="str">
        <f>"5.636,00"</f>
        <v>5.636,00</v>
      </c>
      <c r="L6994" s="6" t="str">
        <f>"1.409,00"</f>
        <v>1.409,00</v>
      </c>
      <c r="M6994" s="6" t="str">
        <f>"7.045,00"</f>
        <v>7.045,00</v>
      </c>
      <c r="N6994" s="8" t="s">
        <v>5325</v>
      </c>
      <c r="O6994" s="7"/>
      <c r="P6994" s="2" t="s">
        <v>7917</v>
      </c>
      <c r="Q6994" s="7"/>
      <c r="R6994" s="1"/>
      <c r="S6994" s="1" t="str">
        <f>"J-UN-2018-1566"</f>
        <v>J-UN-2018-1566</v>
      </c>
      <c r="T6994" s="1" t="s">
        <v>32</v>
      </c>
    </row>
    <row r="6995" spans="1:20" ht="51" x14ac:dyDescent="0.25">
      <c r="A6995" s="6">
        <v>6966</v>
      </c>
      <c r="B6995" s="1" t="str">
        <f>"2018-871"</f>
        <v>2018-871</v>
      </c>
      <c r="C6995" s="1" t="s">
        <v>5257</v>
      </c>
      <c r="D6995" s="1" t="s">
        <v>1888</v>
      </c>
      <c r="E6995" s="1" t="str">
        <f>""</f>
        <v/>
      </c>
      <c r="F6995" s="1" t="s">
        <v>1860</v>
      </c>
      <c r="G6995" s="1" t="str">
        <f>CONCATENATE(" PEVEX D.D.,"," SAVSKA CESTA 84,"," 10360 SESVETE,"," OIB: 73660371074")</f>
        <v xml:space="preserve"> PEVEX D.D., SAVSKA CESTA 84, 10360 SESVETE, OIB: 73660371074</v>
      </c>
      <c r="H6995" s="7"/>
      <c r="I6995" s="8" t="s">
        <v>3909</v>
      </c>
      <c r="J6995" s="8" t="s">
        <v>4654</v>
      </c>
      <c r="K6995" s="6" t="str">
        <f>"6.947,07"</f>
        <v>6.947,07</v>
      </c>
      <c r="L6995" s="6" t="str">
        <f>"1.736,77"</f>
        <v>1.736,77</v>
      </c>
      <c r="M6995" s="6" t="str">
        <f>"8.683,84"</f>
        <v>8.683,84</v>
      </c>
      <c r="N6995" s="8" t="s">
        <v>3687</v>
      </c>
      <c r="O6995" s="7"/>
      <c r="P6995" s="2" t="s">
        <v>8964</v>
      </c>
      <c r="Q6995" s="7"/>
      <c r="R6995" s="1"/>
      <c r="S6995" s="1" t="str">
        <f>"J-UN-2018-1572"</f>
        <v>J-UN-2018-1572</v>
      </c>
      <c r="T6995" s="1" t="s">
        <v>32</v>
      </c>
    </row>
    <row r="6996" spans="1:20" ht="51" x14ac:dyDescent="0.25">
      <c r="A6996" s="6">
        <v>6967</v>
      </c>
      <c r="B6996" s="1" t="str">
        <f>"2018-1336"</f>
        <v>2018-1336</v>
      </c>
      <c r="C6996" s="1" t="s">
        <v>2923</v>
      </c>
      <c r="D6996" s="1" t="s">
        <v>2924</v>
      </c>
      <c r="E6996" s="1" t="str">
        <f>""</f>
        <v/>
      </c>
      <c r="F6996" s="1" t="s">
        <v>1860</v>
      </c>
      <c r="G6996" s="1" t="str">
        <f>CONCATENATE(" ECOINA D.O.O.,"," SR NJEMAČKE 10,"," 10000 ZAGREB,"," OIB: 98219968247")</f>
        <v xml:space="preserve"> ECOINA D.O.O., SR NJEMAČKE 10, 10000 ZAGREB, OIB: 98219968247</v>
      </c>
      <c r="H6996" s="7"/>
      <c r="I6996" s="8" t="s">
        <v>4080</v>
      </c>
      <c r="J6996" s="8" t="s">
        <v>4617</v>
      </c>
      <c r="K6996" s="6" t="str">
        <f>"124.800,00"</f>
        <v>124.800,00</v>
      </c>
      <c r="L6996" s="6" t="str">
        <f>"31.200,00"</f>
        <v>31.200,00</v>
      </c>
      <c r="M6996" s="6" t="str">
        <f>"156.000,00"</f>
        <v>156.000,00</v>
      </c>
      <c r="N6996" s="8" t="s">
        <v>5327</v>
      </c>
      <c r="O6996" s="7"/>
      <c r="P6996" s="2" t="s">
        <v>8965</v>
      </c>
      <c r="Q6996" s="7"/>
      <c r="R6996" s="1"/>
      <c r="S6996" s="1" t="str">
        <f>"J-UN-2018-1592"</f>
        <v>J-UN-2018-1592</v>
      </c>
      <c r="T6996" s="1" t="s">
        <v>32</v>
      </c>
    </row>
    <row r="6997" spans="1:20" ht="51" x14ac:dyDescent="0.25">
      <c r="A6997" s="6">
        <v>6968</v>
      </c>
      <c r="B6997" s="1" t="str">
        <f>"2018-1905"</f>
        <v>2018-1905</v>
      </c>
      <c r="C6997" s="1" t="s">
        <v>5232</v>
      </c>
      <c r="D6997" s="1" t="s">
        <v>1619</v>
      </c>
      <c r="E6997" s="1" t="str">
        <f>""</f>
        <v/>
      </c>
      <c r="F6997" s="1" t="s">
        <v>1860</v>
      </c>
      <c r="G6997" s="1" t="str">
        <f>CONCATENATE(" AGRO-HONOR D.O.O.,"," KRALJA TOMISLAVA 82,"," 31300 BELI MANASTIR,"," OIB: 82775399135")</f>
        <v xml:space="preserve"> AGRO-HONOR D.O.O., KRALJA TOMISLAVA 82, 31300 BELI MANASTIR, OIB: 82775399135</v>
      </c>
      <c r="H6997" s="7"/>
      <c r="I6997" s="8" t="s">
        <v>4080</v>
      </c>
      <c r="J6997" s="8" t="s">
        <v>4617</v>
      </c>
      <c r="K6997" s="6" t="str">
        <f>"34.970,00"</f>
        <v>34.970,00</v>
      </c>
      <c r="L6997" s="6" t="str">
        <f>"8.742,50"</f>
        <v>8.742,50</v>
      </c>
      <c r="M6997" s="6" t="str">
        <f>"43.712,50"</f>
        <v>43.712,50</v>
      </c>
      <c r="N6997" s="8" t="s">
        <v>4995</v>
      </c>
      <c r="O6997" s="7"/>
      <c r="P6997" s="2" t="s">
        <v>8966</v>
      </c>
      <c r="Q6997" s="7"/>
      <c r="R6997" s="1"/>
      <c r="S6997" s="1" t="str">
        <f>"J-UN-2018-1594"</f>
        <v>J-UN-2018-1594</v>
      </c>
      <c r="T6997" s="1" t="s">
        <v>32</v>
      </c>
    </row>
    <row r="6998" spans="1:20" ht="76.5" x14ac:dyDescent="0.25">
      <c r="A6998" s="6">
        <v>6969</v>
      </c>
      <c r="B6998" s="1" t="str">
        <f>"2018-289"</f>
        <v>2018-289</v>
      </c>
      <c r="C6998" s="1" t="s">
        <v>2761</v>
      </c>
      <c r="D6998" s="1" t="s">
        <v>2762</v>
      </c>
      <c r="E6998" s="1" t="str">
        <f>""</f>
        <v/>
      </c>
      <c r="F6998" s="1" t="s">
        <v>1860</v>
      </c>
      <c r="G6998" s="1" t="str">
        <f>CONCATENATE(" BUBOLA,"," OBRT ZA ZEMLJANE RADOVE,"," VLASNIK STOJAN BUBOLA ,",","," KUĆIBREG 17,"," 52460 BUJE (BUIE),"," OIB: 44268786234")</f>
        <v xml:space="preserve"> BUBOLA, OBRT ZA ZEMLJANE RADOVE, VLASNIK STOJAN BUBOLA ,, KUĆIBREG 17, 52460 BUJE (BUIE), OIB: 44268786234</v>
      </c>
      <c r="H6998" s="7"/>
      <c r="I6998" s="8" t="s">
        <v>4646</v>
      </c>
      <c r="J6998" s="8" t="s">
        <v>4080</v>
      </c>
      <c r="K6998" s="6" t="str">
        <f>"1.710,00"</f>
        <v>1.710,00</v>
      </c>
      <c r="L6998" s="6" t="str">
        <f>"427,50"</f>
        <v>427,50</v>
      </c>
      <c r="M6998" s="6" t="str">
        <f>"2.137,50"</f>
        <v>2.137,50</v>
      </c>
      <c r="N6998" s="8" t="s">
        <v>124</v>
      </c>
      <c r="O6998" s="7"/>
      <c r="P6998" s="2" t="s">
        <v>5614</v>
      </c>
      <c r="Q6998" s="7"/>
      <c r="R6998" s="1"/>
      <c r="S6998" s="1" t="str">
        <f>"J-UN-2018-1619"</f>
        <v>J-UN-2018-1619</v>
      </c>
      <c r="T6998" s="1" t="s">
        <v>32</v>
      </c>
    </row>
    <row r="6999" spans="1:20" ht="76.5" x14ac:dyDescent="0.25">
      <c r="A6999" s="6">
        <v>6970</v>
      </c>
      <c r="B6999" s="1" t="str">
        <f>"2018-682"</f>
        <v>2018-682</v>
      </c>
      <c r="C6999" s="1" t="s">
        <v>2734</v>
      </c>
      <c r="D6999" s="1" t="s">
        <v>2735</v>
      </c>
      <c r="E6999" s="1" t="str">
        <f>""</f>
        <v/>
      </c>
      <c r="F6999" s="1" t="s">
        <v>1860</v>
      </c>
      <c r="G6999" s="1" t="str">
        <f>CONCATENATE(" SMIT-COMMERCE D.O.O.,"," GORNJOSTUPNIČKA 9B,"," 10255 GORNJI STUPNIK,"," OIB: 9524348214")</f>
        <v xml:space="preserve"> SMIT-COMMERCE D.O.O., GORNJOSTUPNIČKA 9B, 10255 GORNJI STUPNIK, OIB: 9524348214</v>
      </c>
      <c r="H6999" s="7"/>
      <c r="I6999" s="8" t="s">
        <v>4084</v>
      </c>
      <c r="J6999" s="8" t="s">
        <v>4492</v>
      </c>
      <c r="K6999" s="6" t="str">
        <f>"410,00"</f>
        <v>410,00</v>
      </c>
      <c r="L6999" s="6" t="str">
        <f>"102,50"</f>
        <v>102,50</v>
      </c>
      <c r="M6999" s="6" t="str">
        <f>"512,50"</f>
        <v>512,50</v>
      </c>
      <c r="N6999" s="8" t="s">
        <v>124</v>
      </c>
      <c r="O6999" s="7"/>
      <c r="P6999" s="2" t="s">
        <v>5614</v>
      </c>
      <c r="Q6999" s="7"/>
      <c r="R6999" s="1"/>
      <c r="S6999" s="1" t="str">
        <f>"J-UN-2018-1639"</f>
        <v>J-UN-2018-1639</v>
      </c>
      <c r="T6999" s="1" t="s">
        <v>32</v>
      </c>
    </row>
    <row r="7000" spans="1:20" ht="51" x14ac:dyDescent="0.25">
      <c r="A7000" s="6">
        <v>6971</v>
      </c>
      <c r="B7000" s="1" t="str">
        <f>"2018-623"</f>
        <v>2018-623</v>
      </c>
      <c r="C7000" s="1" t="s">
        <v>2563</v>
      </c>
      <c r="D7000" s="1" t="s">
        <v>914</v>
      </c>
      <c r="E7000" s="1" t="str">
        <f>""</f>
        <v/>
      </c>
      <c r="F7000" s="1" t="s">
        <v>1860</v>
      </c>
      <c r="G7000" s="1" t="str">
        <f>CONCATENATE(" DROBILEC D.O.O.,"," MATUNOVA 14,"," 10000 ZAGREB,"," OIB: 87772955929")</f>
        <v xml:space="preserve"> DROBILEC D.O.O., MATUNOVA 14, 10000 ZAGREB, OIB: 87772955929</v>
      </c>
      <c r="H7000" s="7"/>
      <c r="I7000" s="8" t="s">
        <v>4646</v>
      </c>
      <c r="J7000" s="8" t="s">
        <v>4080</v>
      </c>
      <c r="K7000" s="6" t="str">
        <f>"3.300,00"</f>
        <v>3.300,00</v>
      </c>
      <c r="L7000" s="6" t="str">
        <f>"825,00"</f>
        <v>825,00</v>
      </c>
      <c r="M7000" s="6" t="str">
        <f>"4.125,00"</f>
        <v>4.125,00</v>
      </c>
      <c r="N7000" s="8" t="s">
        <v>124</v>
      </c>
      <c r="O7000" s="7"/>
      <c r="P7000" s="2" t="s">
        <v>5614</v>
      </c>
      <c r="Q7000" s="7"/>
      <c r="R7000" s="1"/>
      <c r="S7000" s="1" t="str">
        <f>"J-UN-2018-1645"</f>
        <v>J-UN-2018-1645</v>
      </c>
      <c r="T7000" s="1" t="s">
        <v>32</v>
      </c>
    </row>
    <row r="7001" spans="1:20" ht="51" x14ac:dyDescent="0.25">
      <c r="A7001" s="6">
        <v>6972</v>
      </c>
      <c r="B7001" s="1" t="str">
        <f>"2018-1213"</f>
        <v>2018-1213</v>
      </c>
      <c r="C7001" s="1" t="s">
        <v>2492</v>
      </c>
      <c r="D7001" s="1" t="s">
        <v>2493</v>
      </c>
      <c r="E7001" s="1" t="str">
        <f>""</f>
        <v/>
      </c>
      <c r="F7001" s="1" t="s">
        <v>1860</v>
      </c>
      <c r="G7001" s="1" t="str">
        <f>CONCATENATE(" BENUSSI D. O. O.,"," FAŽANSKA CESTA 86,"," 52212 FAŽANA,"," OIB: 87971197112")</f>
        <v xml:space="preserve"> BENUSSI D. O. O., FAŽANSKA CESTA 86, 52212 FAŽANA, OIB: 87971197112</v>
      </c>
      <c r="H7001" s="7"/>
      <c r="I7001" s="8" t="s">
        <v>4646</v>
      </c>
      <c r="J7001" s="8" t="s">
        <v>4080</v>
      </c>
      <c r="K7001" s="6" t="str">
        <f>"5.601,01"</f>
        <v>5.601,01</v>
      </c>
      <c r="L7001" s="6" t="str">
        <f>"1.400,25"</f>
        <v>1.400,25</v>
      </c>
      <c r="M7001" s="6" t="str">
        <f>"7.001,26"</f>
        <v>7.001,26</v>
      </c>
      <c r="N7001" s="8" t="s">
        <v>4564</v>
      </c>
      <c r="O7001" s="7"/>
      <c r="P7001" s="2" t="s">
        <v>8967</v>
      </c>
      <c r="Q7001" s="7"/>
      <c r="R7001" s="1"/>
      <c r="S7001" s="1" t="str">
        <f>"J-UN-2018-1652"</f>
        <v>J-UN-2018-1652</v>
      </c>
      <c r="T7001" s="1" t="s">
        <v>32</v>
      </c>
    </row>
    <row r="7002" spans="1:20" ht="63.75" x14ac:dyDescent="0.25">
      <c r="A7002" s="6">
        <v>6973</v>
      </c>
      <c r="B7002" s="1" t="str">
        <f>"2018-638"</f>
        <v>2018-638</v>
      </c>
      <c r="C7002" s="1" t="s">
        <v>2703</v>
      </c>
      <c r="D7002" s="1" t="s">
        <v>2704</v>
      </c>
      <c r="E7002" s="1" t="str">
        <f>""</f>
        <v/>
      </c>
      <c r="F7002" s="1" t="s">
        <v>1860</v>
      </c>
      <c r="G7002" s="1" t="str">
        <f>CONCATENATE(" ELEKTRO-KOMUNIKACIJE D.O.O.,"," 14. PODBREŽJE 4,"," 10000 ZAGREB,"," OIB: 76412373309")</f>
        <v xml:space="preserve"> ELEKTRO-KOMUNIKACIJE D.O.O., 14. PODBREŽJE 4, 10000 ZAGREB, OIB: 76412373309</v>
      </c>
      <c r="H7002" s="7"/>
      <c r="I7002" s="8" t="s">
        <v>4084</v>
      </c>
      <c r="J7002" s="8" t="s">
        <v>4492</v>
      </c>
      <c r="K7002" s="6" t="str">
        <f>"4.376,00"</f>
        <v>4.376,00</v>
      </c>
      <c r="L7002" s="6" t="str">
        <f>"1.094,00"</f>
        <v>1.094,00</v>
      </c>
      <c r="M7002" s="6" t="str">
        <f>"5.470,00"</f>
        <v>5.470,00</v>
      </c>
      <c r="N7002" s="8" t="s">
        <v>3936</v>
      </c>
      <c r="O7002" s="7"/>
      <c r="P7002" s="2" t="s">
        <v>8968</v>
      </c>
      <c r="Q7002" s="7"/>
      <c r="R7002" s="1"/>
      <c r="S7002" s="1" t="str">
        <f>"J-UN-2018-1655"</f>
        <v>J-UN-2018-1655</v>
      </c>
      <c r="T7002" s="1" t="s">
        <v>32</v>
      </c>
    </row>
    <row r="7003" spans="1:20" ht="63.75" x14ac:dyDescent="0.25">
      <c r="A7003" s="6">
        <v>6974</v>
      </c>
      <c r="B7003" s="1" t="str">
        <f>"2018-3064"</f>
        <v>2018-3064</v>
      </c>
      <c r="C7003" s="1" t="s">
        <v>5328</v>
      </c>
      <c r="D7003" s="1" t="s">
        <v>5303</v>
      </c>
      <c r="E7003" s="1" t="str">
        <f>""</f>
        <v/>
      </c>
      <c r="F7003" s="1" t="s">
        <v>1860</v>
      </c>
      <c r="G7003" s="1" t="str">
        <f>CONCATENATE(" DIV GRUPA  D.O.O. ZA USLUGE,"," BOBOVICA 10/A,"," 10430 SAMOBOR,"," OIB: 33890755814")</f>
        <v xml:space="preserve"> DIV GRUPA  D.O.O. ZA USLUGE, BOBOVICA 10/A, 10430 SAMOBOR, OIB: 33890755814</v>
      </c>
      <c r="H7003" s="7"/>
      <c r="I7003" s="8" t="s">
        <v>3687</v>
      </c>
      <c r="J7003" s="8" t="s">
        <v>3919</v>
      </c>
      <c r="K7003" s="6" t="str">
        <f>"29.300,10"</f>
        <v>29.300,10</v>
      </c>
      <c r="L7003" s="6" t="str">
        <f>"7.325,02"</f>
        <v>7.325,02</v>
      </c>
      <c r="M7003" s="6" t="str">
        <f>"36.625,12"</f>
        <v>36.625,12</v>
      </c>
      <c r="N7003" s="8" t="s">
        <v>4480</v>
      </c>
      <c r="O7003" s="7"/>
      <c r="P7003" s="2" t="s">
        <v>8969</v>
      </c>
      <c r="Q7003" s="7"/>
      <c r="R7003" s="1"/>
      <c r="S7003" s="1" t="str">
        <f>"J-UN-2018-1682"</f>
        <v>J-UN-2018-1682</v>
      </c>
      <c r="T7003" s="1" t="s">
        <v>32</v>
      </c>
    </row>
    <row r="7004" spans="1:20" ht="51" x14ac:dyDescent="0.25">
      <c r="A7004" s="6">
        <v>6975</v>
      </c>
      <c r="B7004" s="1" t="str">
        <f>"2018-151"</f>
        <v>2018-151</v>
      </c>
      <c r="C7004" s="1" t="s">
        <v>5329</v>
      </c>
      <c r="D7004" s="1" t="s">
        <v>1322</v>
      </c>
      <c r="E7004" s="1" t="str">
        <f>""</f>
        <v/>
      </c>
      <c r="F7004" s="1" t="s">
        <v>1860</v>
      </c>
      <c r="G7004" s="1" t="str">
        <f>CONCATENATE(" SCHEDA D.O.O.,"," LJUDEVITA POSAVSKOG 29,"," 10360 SESVETE,"," OIB: 76219817247")</f>
        <v xml:space="preserve"> SCHEDA D.O.O., LJUDEVITA POSAVSKOG 29, 10360 SESVETE, OIB: 76219817247</v>
      </c>
      <c r="H7004" s="7"/>
      <c r="I7004" s="8" t="s">
        <v>5330</v>
      </c>
      <c r="J7004" s="8" t="s">
        <v>5330</v>
      </c>
      <c r="K7004" s="6" t="str">
        <f>"95.294,00"</f>
        <v>95.294,00</v>
      </c>
      <c r="L7004" s="6" t="str">
        <f>"23.823,50"</f>
        <v>23.823,50</v>
      </c>
      <c r="M7004" s="6" t="str">
        <f>"119.117,50"</f>
        <v>119.117,50</v>
      </c>
      <c r="N7004" s="8" t="s">
        <v>5106</v>
      </c>
      <c r="O7004" s="7"/>
      <c r="P7004" s="2" t="s">
        <v>8970</v>
      </c>
      <c r="Q7004" s="7"/>
      <c r="R7004" s="1"/>
      <c r="S7004" s="1" t="str">
        <f>"J-UN-2018-1722"</f>
        <v>J-UN-2018-1722</v>
      </c>
      <c r="T7004" s="1" t="s">
        <v>32</v>
      </c>
    </row>
    <row r="7005" spans="1:20" ht="51" x14ac:dyDescent="0.25">
      <c r="A7005" s="6">
        <v>6976</v>
      </c>
      <c r="B7005" s="1" t="str">
        <f>"2018-2976"</f>
        <v>2018-2976</v>
      </c>
      <c r="C7005" s="1" t="s">
        <v>2804</v>
      </c>
      <c r="D7005" s="1" t="s">
        <v>2805</v>
      </c>
      <c r="E7005" s="1" t="str">
        <f>""</f>
        <v/>
      </c>
      <c r="F7005" s="1" t="s">
        <v>1860</v>
      </c>
      <c r="G7005" s="1" t="str">
        <f>CONCATENATE(" RUNOGRAD D.O.O.,"," MIJE SILOBOD BOLŠIĆA 2,"," 10000 ZAGREB,"," OIB: 7831042879")</f>
        <v xml:space="preserve"> RUNOGRAD D.O.O., MIJE SILOBOD BOLŠIĆA 2, 10000 ZAGREB, OIB: 7831042879</v>
      </c>
      <c r="H7005" s="7"/>
      <c r="I7005" s="8" t="s">
        <v>5331</v>
      </c>
      <c r="J7005" s="8" t="s">
        <v>3711</v>
      </c>
      <c r="K7005" s="6" t="str">
        <f>"35.453,60"</f>
        <v>35.453,60</v>
      </c>
      <c r="L7005" s="6" t="str">
        <f>"8.863,40"</f>
        <v>8.863,40</v>
      </c>
      <c r="M7005" s="6" t="str">
        <f>"44.317,00"</f>
        <v>44.317,00</v>
      </c>
      <c r="N7005" s="8" t="s">
        <v>4103</v>
      </c>
      <c r="O7005" s="7"/>
      <c r="P7005" s="2" t="s">
        <v>8971</v>
      </c>
      <c r="Q7005" s="7"/>
      <c r="R7005" s="1"/>
      <c r="S7005" s="1" t="str">
        <f>"J-UN-2018-1809"</f>
        <v>J-UN-2018-1809</v>
      </c>
      <c r="T7005" s="1" t="s">
        <v>32</v>
      </c>
    </row>
    <row r="7006" spans="1:20" ht="51" x14ac:dyDescent="0.25">
      <c r="A7006" s="6">
        <v>6977</v>
      </c>
      <c r="B7006" s="1" t="str">
        <f>"2018-3060"</f>
        <v>2018-3060</v>
      </c>
      <c r="C7006" s="1" t="s">
        <v>5116</v>
      </c>
      <c r="D7006" s="1" t="s">
        <v>229</v>
      </c>
      <c r="E7006" s="1" t="str">
        <f>""</f>
        <v/>
      </c>
      <c r="F7006" s="1" t="s">
        <v>1860</v>
      </c>
      <c r="G7006" s="1" t="str">
        <f>CONCATENATE(" RANUS D.O.O.,"," STUBIČKA 44,"," 10000 ZAGREB,"," OIB: 65348127386")</f>
        <v xml:space="preserve"> RANUS D.O.O., STUBIČKA 44, 10000 ZAGREB, OIB: 65348127386</v>
      </c>
      <c r="H7006" s="7"/>
      <c r="I7006" s="8" t="s">
        <v>3919</v>
      </c>
      <c r="J7006" s="8" t="s">
        <v>3919</v>
      </c>
      <c r="K7006" s="6" t="str">
        <f>"27.434,00"</f>
        <v>27.434,00</v>
      </c>
      <c r="L7006" s="6" t="str">
        <f>"6.858,50"</f>
        <v>6.858,50</v>
      </c>
      <c r="M7006" s="6" t="str">
        <f>"34.292,50"</f>
        <v>34.292,50</v>
      </c>
      <c r="N7006" s="8" t="s">
        <v>5096</v>
      </c>
      <c r="O7006" s="7"/>
      <c r="P7006" s="2" t="s">
        <v>8972</v>
      </c>
      <c r="Q7006" s="7"/>
      <c r="R7006" s="1"/>
      <c r="S7006" s="1" t="str">
        <f>"J-UN-2018-1834"</f>
        <v>J-UN-2018-1834</v>
      </c>
      <c r="T7006" s="1" t="s">
        <v>32</v>
      </c>
    </row>
    <row r="7007" spans="1:20" ht="63.75" x14ac:dyDescent="0.25">
      <c r="A7007" s="6">
        <v>6978</v>
      </c>
      <c r="B7007" s="1" t="str">
        <f>"2018-266"</f>
        <v>2018-266</v>
      </c>
      <c r="C7007" s="1" t="s">
        <v>2642</v>
      </c>
      <c r="D7007" s="1" t="s">
        <v>1236</v>
      </c>
      <c r="E7007" s="1" t="str">
        <f>""</f>
        <v/>
      </c>
      <c r="F7007" s="1" t="s">
        <v>1860</v>
      </c>
      <c r="G7007" s="1" t="str">
        <f>CONCATENATE(" SECURITAS HRVATSKA D.O.O.,"," ZAGREBAČKA CESTA 145A,"," 10000 ZAGREB,"," OIB: 33679708526")</f>
        <v xml:space="preserve"> SECURITAS HRVATSKA D.O.O., ZAGREBAČKA CESTA 145A, 10000 ZAGREB, OIB: 33679708526</v>
      </c>
      <c r="H7007" s="7"/>
      <c r="I7007" s="8" t="s">
        <v>5293</v>
      </c>
      <c r="J7007" s="8" t="s">
        <v>3700</v>
      </c>
      <c r="K7007" s="6" t="str">
        <f>"4.199,00"</f>
        <v>4.199,00</v>
      </c>
      <c r="L7007" s="6" t="str">
        <f>"1.049,75"</f>
        <v>1.049,75</v>
      </c>
      <c r="M7007" s="6" t="str">
        <f>"5.248,75"</f>
        <v>5.248,75</v>
      </c>
      <c r="N7007" s="8" t="s">
        <v>413</v>
      </c>
      <c r="O7007" s="7"/>
      <c r="P7007" s="2" t="s">
        <v>8973</v>
      </c>
      <c r="Q7007" s="1"/>
      <c r="R7007" s="1"/>
      <c r="S7007" s="1" t="str">
        <f>"J-UN-2018-1842"</f>
        <v>J-UN-2018-1842</v>
      </c>
      <c r="T7007" s="1" t="s">
        <v>32</v>
      </c>
    </row>
    <row r="7008" spans="1:20" ht="63.75" x14ac:dyDescent="0.25">
      <c r="A7008" s="6">
        <v>6979</v>
      </c>
      <c r="B7008" s="1" t="str">
        <f>"2018-2195"</f>
        <v>2018-2195</v>
      </c>
      <c r="C7008" s="1" t="s">
        <v>5315</v>
      </c>
      <c r="D7008" s="1" t="s">
        <v>2716</v>
      </c>
      <c r="E7008" s="1" t="str">
        <f>""</f>
        <v/>
      </c>
      <c r="F7008" s="1" t="s">
        <v>1860</v>
      </c>
      <c r="G7008" s="1" t="str">
        <f>CONCATENATE(" GRA-PO D.O.O.,"," GOSPODARSKA 5B,"," 10255 ZAGREB - STUPNIK,"," OIB: 05364995085")</f>
        <v xml:space="preserve"> GRA-PO D.O.O., GOSPODARSKA 5B, 10255 ZAGREB - STUPNIK, OIB: 05364995085</v>
      </c>
      <c r="H7008" s="7"/>
      <c r="I7008" s="8" t="s">
        <v>4086</v>
      </c>
      <c r="J7008" s="8" t="s">
        <v>4086</v>
      </c>
      <c r="K7008" s="6" t="str">
        <f>"9.283,00"</f>
        <v>9.283,00</v>
      </c>
      <c r="L7008" s="6" t="str">
        <f>"2.320,75"</f>
        <v>2.320,75</v>
      </c>
      <c r="M7008" s="6" t="str">
        <f>"11.603,75"</f>
        <v>11.603,75</v>
      </c>
      <c r="N7008" s="8" t="s">
        <v>124</v>
      </c>
      <c r="O7008" s="7"/>
      <c r="P7008" s="2" t="s">
        <v>5614</v>
      </c>
      <c r="Q7008" s="7"/>
      <c r="R7008" s="1"/>
      <c r="S7008" s="1" t="str">
        <f>"J-UN-2018-1851"</f>
        <v>J-UN-2018-1851</v>
      </c>
      <c r="T7008" s="1" t="s">
        <v>32</v>
      </c>
    </row>
    <row r="7009" spans="1:20" ht="51" x14ac:dyDescent="0.25">
      <c r="A7009" s="6">
        <v>6980</v>
      </c>
      <c r="B7009" s="1" t="str">
        <f>"2018-1313"</f>
        <v>2018-1313</v>
      </c>
      <c r="C7009" s="1" t="s">
        <v>2912</v>
      </c>
      <c r="D7009" s="1" t="s">
        <v>2647</v>
      </c>
      <c r="E7009" s="1" t="str">
        <f>""</f>
        <v/>
      </c>
      <c r="F7009" s="1" t="s">
        <v>1860</v>
      </c>
      <c r="G7009" s="1" t="str">
        <f>CONCATENATE(" ZIRS UČILIŠTE,"," ULICA GRADA VUKOVARA 68,"," 10000 ZAGREB,"," OIB: 22228764473")</f>
        <v xml:space="preserve"> ZIRS UČILIŠTE, ULICA GRADA VUKOVARA 68, 10000 ZAGREB, OIB: 22228764473</v>
      </c>
      <c r="H7009" s="7"/>
      <c r="I7009" s="8" t="s">
        <v>5096</v>
      </c>
      <c r="J7009" s="8" t="s">
        <v>5332</v>
      </c>
      <c r="K7009" s="6" t="str">
        <f>"2.800,00"</f>
        <v>2.800,00</v>
      </c>
      <c r="L7009" s="6" t="str">
        <f>"700,00"</f>
        <v>700,00</v>
      </c>
      <c r="M7009" s="6" t="str">
        <f>"3.500,00"</f>
        <v>3.500,00</v>
      </c>
      <c r="N7009" s="8" t="s">
        <v>124</v>
      </c>
      <c r="O7009" s="7"/>
      <c r="P7009" s="2" t="s">
        <v>5614</v>
      </c>
      <c r="Q7009" s="7"/>
      <c r="R7009" s="1"/>
      <c r="S7009" s="1" t="str">
        <f>"J-UN-2018-1857"</f>
        <v>J-UN-2018-1857</v>
      </c>
      <c r="T7009" s="1" t="s">
        <v>32</v>
      </c>
    </row>
    <row r="7010" spans="1:20" ht="38.25" x14ac:dyDescent="0.25">
      <c r="A7010" s="6">
        <v>6981</v>
      </c>
      <c r="B7010" s="1" t="str">
        <f>"2018-1832"</f>
        <v>2018-1832</v>
      </c>
      <c r="C7010" s="1" t="s">
        <v>5333</v>
      </c>
      <c r="D7010" s="1" t="s">
        <v>2384</v>
      </c>
      <c r="E7010" s="1" t="str">
        <f>""</f>
        <v/>
      </c>
      <c r="F7010" s="1" t="s">
        <v>1860</v>
      </c>
      <c r="G7010" s="1" t="str">
        <f>CONCATENATE(" ATEST-KONTROLA D.O.O.,"," ,"," OIB: 1401327393")</f>
        <v xml:space="preserve"> ATEST-KONTROLA D.O.O., , OIB: 1401327393</v>
      </c>
      <c r="H7010" s="7"/>
      <c r="I7010" s="8" t="s">
        <v>5332</v>
      </c>
      <c r="J7010" s="8" t="s">
        <v>4544</v>
      </c>
      <c r="K7010" s="6" t="str">
        <f>"42.600,00"</f>
        <v>42.600,00</v>
      </c>
      <c r="L7010" s="6" t="str">
        <f>"10.650,00"</f>
        <v>10.650,00</v>
      </c>
      <c r="M7010" s="6" t="str">
        <f>"53.250,00"</f>
        <v>53.250,00</v>
      </c>
      <c r="N7010" s="8" t="s">
        <v>5108</v>
      </c>
      <c r="O7010" s="7"/>
      <c r="P7010" s="2" t="s">
        <v>8974</v>
      </c>
      <c r="Q7010" s="7"/>
      <c r="R7010" s="1"/>
      <c r="S7010" s="1" t="str">
        <f>"J-UN-2018-1861"</f>
        <v>J-UN-2018-1861</v>
      </c>
      <c r="T7010" s="1" t="s">
        <v>32</v>
      </c>
    </row>
    <row r="7011" spans="1:20" ht="63.75" x14ac:dyDescent="0.25">
      <c r="A7011" s="6">
        <v>6982</v>
      </c>
      <c r="B7011" s="1" t="str">
        <f>"2018-3027"</f>
        <v>2018-3027</v>
      </c>
      <c r="C7011" s="1" t="s">
        <v>5334</v>
      </c>
      <c r="D7011" s="1" t="s">
        <v>2107</v>
      </c>
      <c r="E7011" s="1" t="str">
        <f>""</f>
        <v/>
      </c>
      <c r="F7011" s="1" t="s">
        <v>1860</v>
      </c>
      <c r="G7011" s="1" t="str">
        <f>CONCATENATE(" INSTITUT IGH D.D.,"," JANKA RAKUŠE 1,"," 10000 ZAGREB,"," OIB: 79766124714")</f>
        <v xml:space="preserve"> INSTITUT IGH D.D., JANKA RAKUŠE 1, 10000 ZAGREB, OIB: 79766124714</v>
      </c>
      <c r="H7011" s="7"/>
      <c r="I7011" s="8" t="s">
        <v>5096</v>
      </c>
      <c r="J7011" s="8" t="s">
        <v>5096</v>
      </c>
      <c r="K7011" s="6" t="str">
        <f>"179.700,00"</f>
        <v>179.700,00</v>
      </c>
      <c r="L7011" s="6" t="str">
        <f>"44.925,00"</f>
        <v>44.925,00</v>
      </c>
      <c r="M7011" s="6" t="str">
        <f>"224.625,00"</f>
        <v>224.625,00</v>
      </c>
      <c r="N7011" s="8" t="s">
        <v>4211</v>
      </c>
      <c r="O7011" s="7"/>
      <c r="P7011" s="2" t="s">
        <v>8975</v>
      </c>
      <c r="Q7011" s="7"/>
      <c r="R7011" s="1"/>
      <c r="S7011" s="1" t="str">
        <f>"J-UN-2018-1862"</f>
        <v>J-UN-2018-1862</v>
      </c>
      <c r="T7011" s="1" t="s">
        <v>32</v>
      </c>
    </row>
    <row r="7012" spans="1:20" ht="63.75" x14ac:dyDescent="0.25">
      <c r="A7012" s="6">
        <v>6983</v>
      </c>
      <c r="B7012" s="1" t="str">
        <f>"2018-1825"</f>
        <v>2018-1825</v>
      </c>
      <c r="C7012" s="1" t="s">
        <v>5335</v>
      </c>
      <c r="D7012" s="1" t="s">
        <v>3223</v>
      </c>
      <c r="E7012" s="1" t="str">
        <f>""</f>
        <v/>
      </c>
      <c r="F7012" s="1" t="s">
        <v>1860</v>
      </c>
      <c r="G7012" s="1" t="str">
        <f>CONCATENATE(" GRA-PO D.O.O.,"," GOSPODARSKA 5B,"," 10255 ZAGREB - STUPNIK,"," OIB: 05364995085")</f>
        <v xml:space="preserve"> GRA-PO D.O.O., GOSPODARSKA 5B, 10255 ZAGREB - STUPNIK, OIB: 05364995085</v>
      </c>
      <c r="H7012" s="7"/>
      <c r="I7012" s="8" t="s">
        <v>4086</v>
      </c>
      <c r="J7012" s="8" t="s">
        <v>5293</v>
      </c>
      <c r="K7012" s="6" t="str">
        <f>"1.689,40"</f>
        <v>1.689,40</v>
      </c>
      <c r="L7012" s="6" t="str">
        <f>"422,35"</f>
        <v>422,35</v>
      </c>
      <c r="M7012" s="6" t="str">
        <f>"2.111,75"</f>
        <v>2.111,75</v>
      </c>
      <c r="N7012" s="8" t="s">
        <v>124</v>
      </c>
      <c r="O7012" s="7"/>
      <c r="P7012" s="2" t="s">
        <v>5614</v>
      </c>
      <c r="Q7012" s="7"/>
      <c r="R7012" s="1"/>
      <c r="S7012" s="1" t="str">
        <f>"J-UN-2018-1867"</f>
        <v>J-UN-2018-1867</v>
      </c>
      <c r="T7012" s="1" t="s">
        <v>32</v>
      </c>
    </row>
    <row r="7013" spans="1:20" ht="51" x14ac:dyDescent="0.25">
      <c r="A7013" s="6">
        <v>6984</v>
      </c>
      <c r="B7013" s="1" t="str">
        <f>"2018-2132"</f>
        <v>2018-2132</v>
      </c>
      <c r="C7013" s="1" t="s">
        <v>2790</v>
      </c>
      <c r="D7013" s="1" t="s">
        <v>2791</v>
      </c>
      <c r="E7013" s="1" t="str">
        <f>""</f>
        <v/>
      </c>
      <c r="F7013" s="1" t="s">
        <v>1860</v>
      </c>
      <c r="G7013" s="1" t="str">
        <f>CONCATENATE(" ARBORI CULTURA D.O.O.,"," POKUPSKO 86,"," 10414 POKUPSKO,"," OIB: 16690651659")</f>
        <v xml:space="preserve"> ARBORI CULTURA D.O.O., POKUPSKO 86, 10414 POKUPSKO, OIB: 16690651659</v>
      </c>
      <c r="H7013" s="7"/>
      <c r="I7013" s="8" t="s">
        <v>5096</v>
      </c>
      <c r="J7013" s="8" t="s">
        <v>5332</v>
      </c>
      <c r="K7013" s="6" t="str">
        <f>"81.300,00"</f>
        <v>81.300,00</v>
      </c>
      <c r="L7013" s="6" t="str">
        <f>"20.325,00"</f>
        <v>20.325,00</v>
      </c>
      <c r="M7013" s="6" t="str">
        <f>"101.625,00"</f>
        <v>101.625,00</v>
      </c>
      <c r="N7013" s="8" t="s">
        <v>5336</v>
      </c>
      <c r="O7013" s="7"/>
      <c r="P7013" s="2" t="s">
        <v>8522</v>
      </c>
      <c r="Q7013" s="7"/>
      <c r="R7013" s="1"/>
      <c r="S7013" s="1" t="str">
        <f>"J-UN-2018-1868"</f>
        <v>J-UN-2018-1868</v>
      </c>
      <c r="T7013" s="1" t="s">
        <v>32</v>
      </c>
    </row>
    <row r="7014" spans="1:20" ht="51" x14ac:dyDescent="0.25">
      <c r="A7014" s="6">
        <v>6985</v>
      </c>
      <c r="B7014" s="1" t="str">
        <f>"2018-2238"</f>
        <v>2018-2238</v>
      </c>
      <c r="C7014" s="1" t="s">
        <v>5337</v>
      </c>
      <c r="D7014" s="1" t="s">
        <v>766</v>
      </c>
      <c r="E7014" s="1" t="str">
        <f>""</f>
        <v/>
      </c>
      <c r="F7014" s="1" t="s">
        <v>1860</v>
      </c>
      <c r="G7014" s="1" t="str">
        <f>CONCATENATE(" INA MAZIVA D.O.O.,"," RADNIČKA CESTA 175,"," 10000 ZAGREB,"," OIB: 63988426425")</f>
        <v xml:space="preserve"> INA MAZIVA D.O.O., RADNIČKA CESTA 175, 10000 ZAGREB, OIB: 63988426425</v>
      </c>
      <c r="H7014" s="7"/>
      <c r="I7014" s="8" t="s">
        <v>5332</v>
      </c>
      <c r="J7014" s="8" t="s">
        <v>4544</v>
      </c>
      <c r="K7014" s="6" t="str">
        <f>"5.600,00"</f>
        <v>5.600,00</v>
      </c>
      <c r="L7014" s="6" t="str">
        <f>"1.400,00"</f>
        <v>1.400,00</v>
      </c>
      <c r="M7014" s="6" t="str">
        <f>"7.000,00"</f>
        <v>7.000,00</v>
      </c>
      <c r="N7014" s="8" t="s">
        <v>124</v>
      </c>
      <c r="O7014" s="7"/>
      <c r="P7014" s="2" t="s">
        <v>5614</v>
      </c>
      <c r="Q7014" s="7"/>
      <c r="R7014" s="1"/>
      <c r="S7014" s="1" t="str">
        <f>"J-UN-2018-1872"</f>
        <v>J-UN-2018-1872</v>
      </c>
      <c r="T7014" s="1" t="s">
        <v>32</v>
      </c>
    </row>
    <row r="7015" spans="1:20" ht="38.25" x14ac:dyDescent="0.25">
      <c r="A7015" s="6">
        <v>6986</v>
      </c>
      <c r="B7015" s="1" t="str">
        <f>"2018-1345"</f>
        <v>2018-1345</v>
      </c>
      <c r="C7015" s="1" t="s">
        <v>5338</v>
      </c>
      <c r="D7015" s="1" t="s">
        <v>5339</v>
      </c>
      <c r="E7015" s="1" t="str">
        <f>""</f>
        <v/>
      </c>
      <c r="F7015" s="1" t="s">
        <v>1860</v>
      </c>
      <c r="G7015" s="1" t="str">
        <f>CONCATENATE(" ZET D.O.O.,"," OZALJSKA 105,"," 10000 ZAGREB,"," OIB: 82031999604")</f>
        <v xml:space="preserve"> ZET D.O.O., OZALJSKA 105, 10000 ZAGREB, OIB: 82031999604</v>
      </c>
      <c r="H7015" s="7"/>
      <c r="I7015" s="8" t="s">
        <v>5331</v>
      </c>
      <c r="J7015" s="8" t="s">
        <v>3711</v>
      </c>
      <c r="K7015" s="6" t="str">
        <f>"41.491,66"</f>
        <v>41.491,66</v>
      </c>
      <c r="L7015" s="6" t="str">
        <f>"10.372,92"</f>
        <v>10.372,92</v>
      </c>
      <c r="M7015" s="6" t="str">
        <f>"51.864,58"</f>
        <v>51.864,58</v>
      </c>
      <c r="N7015" s="8" t="s">
        <v>124</v>
      </c>
      <c r="O7015" s="7"/>
      <c r="P7015" s="2" t="s">
        <v>5614</v>
      </c>
      <c r="Q7015" s="7"/>
      <c r="R7015" s="1"/>
      <c r="S7015" s="1" t="str">
        <f>"J-UN-2018-1882"</f>
        <v>J-UN-2018-1882</v>
      </c>
      <c r="T7015" s="1" t="s">
        <v>32</v>
      </c>
    </row>
    <row r="7016" spans="1:20" ht="51" x14ac:dyDescent="0.25">
      <c r="A7016" s="6">
        <v>6987</v>
      </c>
      <c r="B7016" s="1" t="str">
        <f>"2018-2882"</f>
        <v>2018-2882</v>
      </c>
      <c r="C7016" s="1" t="s">
        <v>2793</v>
      </c>
      <c r="D7016" s="1" t="s">
        <v>1619</v>
      </c>
      <c r="E7016" s="1" t="str">
        <f>""</f>
        <v/>
      </c>
      <c r="F7016" s="1" t="s">
        <v>1860</v>
      </c>
      <c r="G7016" s="1" t="str">
        <f>CONCATENATE(" AGRO-HONOR D.O.O.,"," KRALJA TOMISLAVA 82,"," 31300 BELI MANASTIR,"," OIB: 82775399135")</f>
        <v xml:space="preserve"> AGRO-HONOR D.O.O., KRALJA TOMISLAVA 82, 31300 BELI MANASTIR, OIB: 82775399135</v>
      </c>
      <c r="H7016" s="7"/>
      <c r="I7016" s="8" t="s">
        <v>5062</v>
      </c>
      <c r="J7016" s="8" t="s">
        <v>5062</v>
      </c>
      <c r="K7016" s="6" t="str">
        <f>"10.834,00"</f>
        <v>10.834,00</v>
      </c>
      <c r="L7016" s="6" t="str">
        <f>"2.708,50"</f>
        <v>2.708,50</v>
      </c>
      <c r="M7016" s="6" t="str">
        <f>"13.542,50"</f>
        <v>13.542,50</v>
      </c>
      <c r="N7016" s="8" t="s">
        <v>4560</v>
      </c>
      <c r="O7016" s="7"/>
      <c r="P7016" s="2" t="s">
        <v>8976</v>
      </c>
      <c r="Q7016" s="7"/>
      <c r="R7016" s="1"/>
      <c r="S7016" s="1" t="str">
        <f>"J-UN-2018-1893"</f>
        <v>J-UN-2018-1893</v>
      </c>
      <c r="T7016" s="1" t="s">
        <v>32</v>
      </c>
    </row>
    <row r="7017" spans="1:20" ht="76.5" x14ac:dyDescent="0.25">
      <c r="A7017" s="6">
        <v>6988</v>
      </c>
      <c r="B7017" s="1" t="str">
        <f>"2018-3005"</f>
        <v>2018-3005</v>
      </c>
      <c r="C7017" s="1" t="s">
        <v>5340</v>
      </c>
      <c r="D7017" s="1" t="s">
        <v>5341</v>
      </c>
      <c r="E7017" s="1" t="str">
        <f>""</f>
        <v/>
      </c>
      <c r="F7017" s="1" t="s">
        <v>1860</v>
      </c>
      <c r="G7017" s="1" t="str">
        <f>CONCATENATE(" ZET D.O.O.,"," OZALJSKA 105,"," 10000 ZAGREB,"," OIB: 82031999604")</f>
        <v xml:space="preserve"> ZET D.O.O., OZALJSKA 105, 10000 ZAGREB, OIB: 82031999604</v>
      </c>
      <c r="H7017" s="7"/>
      <c r="I7017" s="8" t="s">
        <v>5332</v>
      </c>
      <c r="J7017" s="8" t="s">
        <v>4544</v>
      </c>
      <c r="K7017" s="6" t="str">
        <f>"18.730,71"</f>
        <v>18.730,71</v>
      </c>
      <c r="L7017" s="6" t="str">
        <f>"4.682,68"</f>
        <v>4.682,68</v>
      </c>
      <c r="M7017" s="6" t="str">
        <f>"23.413,39"</f>
        <v>23.413,39</v>
      </c>
      <c r="N7017" s="8" t="s">
        <v>124</v>
      </c>
      <c r="O7017" s="7"/>
      <c r="P7017" s="2" t="s">
        <v>5614</v>
      </c>
      <c r="Q7017" s="7"/>
      <c r="R7017" s="1"/>
      <c r="S7017" s="1" t="str">
        <f>"J-UN-2018-1923"</f>
        <v>J-UN-2018-1923</v>
      </c>
      <c r="T7017" s="1" t="s">
        <v>32</v>
      </c>
    </row>
    <row r="7018" spans="1:20" ht="76.5" x14ac:dyDescent="0.25">
      <c r="A7018" s="6">
        <v>6989</v>
      </c>
      <c r="B7018" s="1" t="str">
        <f>"2018-3005"</f>
        <v>2018-3005</v>
      </c>
      <c r="C7018" s="1" t="s">
        <v>5340</v>
      </c>
      <c r="D7018" s="1" t="s">
        <v>5341</v>
      </c>
      <c r="E7018" s="1" t="str">
        <f>""</f>
        <v/>
      </c>
      <c r="F7018" s="1" t="s">
        <v>1860</v>
      </c>
      <c r="G7018" s="1" t="str">
        <f>CONCATENATE(" ELEX D.O.O.,"," SVIBJE,"," SAVSKA 70,"," 10361 SESVETSKI KRALJEVEC,"," OIB: 34421776805")</f>
        <v xml:space="preserve"> ELEX D.O.O., SVIBJE, SAVSKA 70, 10361 SESVETSKI KRALJEVEC, OIB: 34421776805</v>
      </c>
      <c r="H7018" s="7"/>
      <c r="I7018" s="8" t="s">
        <v>5342</v>
      </c>
      <c r="J7018" s="8" t="s">
        <v>3725</v>
      </c>
      <c r="K7018" s="6" t="str">
        <f>"24.400,00"</f>
        <v>24.400,00</v>
      </c>
      <c r="L7018" s="6" t="str">
        <f>"6.100,00"</f>
        <v>6.100,00</v>
      </c>
      <c r="M7018" s="6" t="str">
        <f>"30.500,00"</f>
        <v>30.500,00</v>
      </c>
      <c r="N7018" s="8" t="s">
        <v>5343</v>
      </c>
      <c r="O7018" s="7"/>
      <c r="P7018" s="2" t="s">
        <v>8977</v>
      </c>
      <c r="Q7018" s="7"/>
      <c r="R7018" s="1"/>
      <c r="S7018" s="1" t="str">
        <f>"J-UN-2018-1927"</f>
        <v>J-UN-2018-1927</v>
      </c>
      <c r="T7018" s="1" t="s">
        <v>32</v>
      </c>
    </row>
    <row r="7019" spans="1:20" ht="51" x14ac:dyDescent="0.25">
      <c r="A7019" s="6">
        <v>6990</v>
      </c>
      <c r="B7019" s="1" t="str">
        <f>"2018-669"</f>
        <v>2018-669</v>
      </c>
      <c r="C7019" s="1" t="s">
        <v>2722</v>
      </c>
      <c r="D7019" s="1" t="s">
        <v>1428</v>
      </c>
      <c r="E7019" s="1" t="str">
        <f>""</f>
        <v/>
      </c>
      <c r="F7019" s="1" t="s">
        <v>1860</v>
      </c>
      <c r="G7019" s="1" t="str">
        <f>CONCATENATE(" GRANDIFLORA D.O.O.,"," DOLENICA 8,"," 10250 LUČKO,"," OIB: 89219306427")</f>
        <v xml:space="preserve"> GRANDIFLORA D.O.O., DOLENICA 8, 10250 LUČKO, OIB: 89219306427</v>
      </c>
      <c r="H7019" s="7"/>
      <c r="I7019" s="8" t="s">
        <v>3725</v>
      </c>
      <c r="J7019" s="8" t="s">
        <v>5344</v>
      </c>
      <c r="K7019" s="6" t="str">
        <f>"2.220,00"</f>
        <v>2.220,00</v>
      </c>
      <c r="L7019" s="6" t="str">
        <f>"555,00"</f>
        <v>555,00</v>
      </c>
      <c r="M7019" s="6" t="str">
        <f>"2.775,00"</f>
        <v>2.775,00</v>
      </c>
      <c r="N7019" s="8" t="s">
        <v>124</v>
      </c>
      <c r="O7019" s="7"/>
      <c r="P7019" s="2" t="s">
        <v>5614</v>
      </c>
      <c r="Q7019" s="7"/>
      <c r="R7019" s="1"/>
      <c r="S7019" s="1" t="str">
        <f>"J-UN-2018-1946"</f>
        <v>J-UN-2018-1946</v>
      </c>
      <c r="T7019" s="1" t="s">
        <v>32</v>
      </c>
    </row>
    <row r="7020" spans="1:20" ht="114.75" x14ac:dyDescent="0.25">
      <c r="A7020" s="6">
        <v>6991</v>
      </c>
      <c r="B7020" s="1" t="str">
        <f>"2018-2942"</f>
        <v>2018-2942</v>
      </c>
      <c r="C7020" s="1" t="s">
        <v>5345</v>
      </c>
      <c r="D7020" s="1" t="s">
        <v>5341</v>
      </c>
      <c r="E7020" s="1" t="str">
        <f>""</f>
        <v/>
      </c>
      <c r="F7020" s="1" t="s">
        <v>1860</v>
      </c>
      <c r="G7020" s="1" t="str">
        <f>CONCATENATE(" TEHNOSERVIS-SISAK D.O.O.,"," NOVOSELSKA 85,"," 44000 SISAK,"," OIB: 26353235254")</f>
        <v xml:space="preserve"> TEHNOSERVIS-SISAK D.O.O., NOVOSELSKA 85, 44000 SISAK, OIB: 26353235254</v>
      </c>
      <c r="H7020" s="7"/>
      <c r="I7020" s="8" t="s">
        <v>5346</v>
      </c>
      <c r="J7020" s="8" t="s">
        <v>3554</v>
      </c>
      <c r="K7020" s="6" t="str">
        <f>"24.260,00"</f>
        <v>24.260,00</v>
      </c>
      <c r="L7020" s="6" t="str">
        <f>"6.065,00"</f>
        <v>6.065,00</v>
      </c>
      <c r="M7020" s="6" t="str">
        <f>"30.325,00"</f>
        <v>30.325,00</v>
      </c>
      <c r="N7020" s="8" t="s">
        <v>5347</v>
      </c>
      <c r="O7020" s="7"/>
      <c r="P7020" s="2" t="s">
        <v>8978</v>
      </c>
      <c r="Q7020" s="7"/>
      <c r="R7020" s="1"/>
      <c r="S7020" s="1" t="str">
        <f>"J-UN-2018-2032"</f>
        <v>J-UN-2018-2032</v>
      </c>
      <c r="T7020" s="1" t="s">
        <v>32</v>
      </c>
    </row>
    <row r="7021" spans="1:20" ht="51" x14ac:dyDescent="0.25">
      <c r="A7021" s="6">
        <v>6992</v>
      </c>
      <c r="B7021" s="1" t="str">
        <f>"2018-1756"</f>
        <v>2018-1756</v>
      </c>
      <c r="C7021" s="1" t="s">
        <v>3085</v>
      </c>
      <c r="D7021" s="1" t="s">
        <v>2549</v>
      </c>
      <c r="E7021" s="1" t="str">
        <f>""</f>
        <v/>
      </c>
      <c r="F7021" s="1" t="s">
        <v>1860</v>
      </c>
      <c r="G7021" s="1" t="str">
        <f>CONCATENATE(" AD HOC-CENTAR D.O.O.,"," DRAŠKOVIĆEVA 4A,"," 10000 ZAGREB,"," OIB: 75132412279")</f>
        <v xml:space="preserve"> AD HOC-CENTAR D.O.O., DRAŠKOVIĆEVA 4A, 10000 ZAGREB, OIB: 75132412279</v>
      </c>
      <c r="H7021" s="7"/>
      <c r="I7021" s="8" t="s">
        <v>5344</v>
      </c>
      <c r="J7021" s="8" t="s">
        <v>5344</v>
      </c>
      <c r="K7021" s="6" t="str">
        <f>"27.715,00"</f>
        <v>27.715,00</v>
      </c>
      <c r="L7021" s="6" t="str">
        <f>"6.928,75"</f>
        <v>6.928,75</v>
      </c>
      <c r="M7021" s="6" t="str">
        <f>"34.643,75"</f>
        <v>34.643,75</v>
      </c>
      <c r="N7021" s="8" t="s">
        <v>5310</v>
      </c>
      <c r="O7021" s="7"/>
      <c r="P7021" s="2" t="s">
        <v>8979</v>
      </c>
      <c r="Q7021" s="7"/>
      <c r="R7021" s="1"/>
      <c r="S7021" s="1" t="str">
        <f>"J-UN-2018-2037"</f>
        <v>J-UN-2018-2037</v>
      </c>
      <c r="T7021" s="1" t="s">
        <v>32</v>
      </c>
    </row>
    <row r="7022" spans="1:20" ht="51" x14ac:dyDescent="0.25">
      <c r="A7022" s="6">
        <v>6993</v>
      </c>
      <c r="B7022" s="1" t="str">
        <f>"2018-796"</f>
        <v>2018-796</v>
      </c>
      <c r="C7022" s="1" t="s">
        <v>5348</v>
      </c>
      <c r="D7022" s="1" t="s">
        <v>1833</v>
      </c>
      <c r="E7022" s="1" t="str">
        <f>""</f>
        <v/>
      </c>
      <c r="F7022" s="1" t="s">
        <v>1860</v>
      </c>
      <c r="G7022" s="1" t="str">
        <f>CONCATENATE(" L.-RING D.O.O.,"," DOBRIŠE CESARIĆA 14,"," 10000 ZAGREB,"," OIB: 6911525968")</f>
        <v xml:space="preserve"> L.-RING D.O.O., DOBRIŠE CESARIĆA 14, 10000 ZAGREB, OIB: 6911525968</v>
      </c>
      <c r="H7022" s="7"/>
      <c r="I7022" s="8" t="s">
        <v>4547</v>
      </c>
      <c r="J7022" s="8" t="s">
        <v>5346</v>
      </c>
      <c r="K7022" s="6" t="str">
        <f>"975,00"</f>
        <v>975,00</v>
      </c>
      <c r="L7022" s="6" t="str">
        <f>"243,75"</f>
        <v>243,75</v>
      </c>
      <c r="M7022" s="6" t="str">
        <f>"1.218,75"</f>
        <v>1.218,75</v>
      </c>
      <c r="N7022" s="8" t="s">
        <v>299</v>
      </c>
      <c r="O7022" s="7"/>
      <c r="P7022" s="2" t="s">
        <v>8980</v>
      </c>
      <c r="Q7022" s="7"/>
      <c r="R7022" s="1"/>
      <c r="S7022" s="1" t="str">
        <f>"J-UN-2018-2057"</f>
        <v>J-UN-2018-2057</v>
      </c>
      <c r="T7022" s="1" t="s">
        <v>32</v>
      </c>
    </row>
    <row r="7023" spans="1:20" ht="76.5" x14ac:dyDescent="0.25">
      <c r="A7023" s="6">
        <v>6994</v>
      </c>
      <c r="B7023" s="1" t="str">
        <f>"2018-3005"</f>
        <v>2018-3005</v>
      </c>
      <c r="C7023" s="1" t="s">
        <v>5340</v>
      </c>
      <c r="D7023" s="1" t="s">
        <v>5341</v>
      </c>
      <c r="E7023" s="1" t="str">
        <f>""</f>
        <v/>
      </c>
      <c r="F7023" s="1" t="s">
        <v>1860</v>
      </c>
      <c r="G7023" s="1" t="str">
        <f>CONCATENATE(" VATRO-PROMET D.O.O.,"," JEŽDOVEČKA 87,"," 10000 ZAGREB,"," OIB: 57189591567")</f>
        <v xml:space="preserve"> VATRO-PROMET D.O.O., JEŽDOVEČKA 87, 10000 ZAGREB, OIB: 57189591567</v>
      </c>
      <c r="H7023" s="7"/>
      <c r="I7023" s="8" t="s">
        <v>299</v>
      </c>
      <c r="J7023" s="8" t="s">
        <v>5349</v>
      </c>
      <c r="K7023" s="6" t="str">
        <f>"11.920,00"</f>
        <v>11.920,00</v>
      </c>
      <c r="L7023" s="6" t="str">
        <f>"2.980,00"</f>
        <v>2.980,00</v>
      </c>
      <c r="M7023" s="6" t="str">
        <f>"14.900,00"</f>
        <v>14.900,00</v>
      </c>
      <c r="N7023" s="8" t="s">
        <v>1984</v>
      </c>
      <c r="O7023" s="7"/>
      <c r="P7023" s="2" t="s">
        <v>8981</v>
      </c>
      <c r="Q7023" s="7"/>
      <c r="R7023" s="1"/>
      <c r="S7023" s="1" t="str">
        <f>"J-UN-2018-2062"</f>
        <v>J-UN-2018-2062</v>
      </c>
      <c r="T7023" s="1" t="s">
        <v>32</v>
      </c>
    </row>
    <row r="7024" spans="1:20" ht="63.75" x14ac:dyDescent="0.25">
      <c r="A7024" s="6">
        <v>6995</v>
      </c>
      <c r="B7024" s="1" t="str">
        <f>"2018-450"</f>
        <v>2018-450</v>
      </c>
      <c r="C7024" s="1" t="s">
        <v>5184</v>
      </c>
      <c r="D7024" s="1" t="s">
        <v>689</v>
      </c>
      <c r="E7024" s="1" t="str">
        <f>""</f>
        <v/>
      </c>
      <c r="F7024" s="1" t="s">
        <v>1860</v>
      </c>
      <c r="G7024" s="1" t="str">
        <f>CONCATENATE(" ELEKTRO-KOMUNIKACIJE D.O.O.,"," 14. PODBREŽJE 4,"," 10000 ZAGREB,"," OIB: 76412373309")</f>
        <v xml:space="preserve"> ELEKTRO-KOMUNIKACIJE D.O.O., 14. PODBREŽJE 4, 10000 ZAGREB, OIB: 76412373309</v>
      </c>
      <c r="H7024" s="7"/>
      <c r="I7024" s="8" t="s">
        <v>299</v>
      </c>
      <c r="J7024" s="8" t="s">
        <v>5349</v>
      </c>
      <c r="K7024" s="6" t="str">
        <f>"3.920,00"</f>
        <v>3.920,00</v>
      </c>
      <c r="L7024" s="6" t="str">
        <f>"980,00"</f>
        <v>980,00</v>
      </c>
      <c r="M7024" s="6" t="str">
        <f>"4.900,00"</f>
        <v>4.900,00</v>
      </c>
      <c r="N7024" s="8" t="s">
        <v>3885</v>
      </c>
      <c r="O7024" s="7"/>
      <c r="P7024" s="2" t="s">
        <v>8982</v>
      </c>
      <c r="Q7024" s="7"/>
      <c r="R7024" s="1"/>
      <c r="S7024" s="1" t="str">
        <f>"J-UN-2018-2082"</f>
        <v>J-UN-2018-2082</v>
      </c>
      <c r="T7024" s="1" t="s">
        <v>32</v>
      </c>
    </row>
    <row r="7025" spans="1:20" ht="63.75" x14ac:dyDescent="0.25">
      <c r="A7025" s="6">
        <v>6996</v>
      </c>
      <c r="B7025" s="1" t="str">
        <f>"2018-2007"</f>
        <v>2018-2007</v>
      </c>
      <c r="C7025" s="1" t="s">
        <v>3392</v>
      </c>
      <c r="D7025" s="1" t="s">
        <v>2659</v>
      </c>
      <c r="E7025" s="1" t="str">
        <f>""</f>
        <v/>
      </c>
      <c r="F7025" s="1" t="s">
        <v>1860</v>
      </c>
      <c r="G7025" s="1" t="str">
        <f>CONCATENATE(" ELEKTRO-KOMUNIKACIJE D.O.O.,"," 14. PODBREŽJE 4,"," 10000 ZAGREB,"," OIB: 76412373309")</f>
        <v xml:space="preserve"> ELEKTRO-KOMUNIKACIJE D.O.O., 14. PODBREŽJE 4, 10000 ZAGREB, OIB: 76412373309</v>
      </c>
      <c r="H7025" s="7"/>
      <c r="I7025" s="8" t="s">
        <v>5350</v>
      </c>
      <c r="J7025" s="8" t="s">
        <v>413</v>
      </c>
      <c r="K7025" s="6" t="str">
        <f>"29.760,00"</f>
        <v>29.760,00</v>
      </c>
      <c r="L7025" s="6" t="str">
        <f>"7.440,00"</f>
        <v>7.440,00</v>
      </c>
      <c r="M7025" s="6" t="str">
        <f>"37.200,00"</f>
        <v>37.200,00</v>
      </c>
      <c r="N7025" s="8" t="s">
        <v>124</v>
      </c>
      <c r="O7025" s="7"/>
      <c r="P7025" s="2" t="s">
        <v>5614</v>
      </c>
      <c r="Q7025" s="7"/>
      <c r="R7025" s="1"/>
      <c r="S7025" s="1" t="str">
        <f>"J-UN-2018-2090"</f>
        <v>J-UN-2018-2090</v>
      </c>
      <c r="T7025" s="1" t="s">
        <v>32</v>
      </c>
    </row>
    <row r="7026" spans="1:20" ht="51" x14ac:dyDescent="0.25">
      <c r="A7026" s="6">
        <v>6997</v>
      </c>
      <c r="B7026" s="1" t="str">
        <f>"2018-3085"</f>
        <v>2018-3085</v>
      </c>
      <c r="C7026" s="1" t="s">
        <v>5351</v>
      </c>
      <c r="D7026" s="1" t="s">
        <v>5352</v>
      </c>
      <c r="E7026" s="1" t="str">
        <f>""</f>
        <v/>
      </c>
      <c r="F7026" s="1" t="s">
        <v>1860</v>
      </c>
      <c r="G7026" s="1" t="str">
        <f>CONCATENATE(" KUBIK PLUS D.O.O.,"," SLOVENSKI TRG 3,"," 44000 SISAK,"," OIB: 4370199899")</f>
        <v xml:space="preserve"> KUBIK PLUS D.O.O., SLOVENSKI TRG 3, 44000 SISAK, OIB: 4370199899</v>
      </c>
      <c r="H7026" s="7"/>
      <c r="I7026" s="8" t="s">
        <v>299</v>
      </c>
      <c r="J7026" s="8" t="s">
        <v>3554</v>
      </c>
      <c r="K7026" s="6" t="str">
        <f>"69.900,00"</f>
        <v>69.900,00</v>
      </c>
      <c r="L7026" s="6" t="str">
        <f>"17.475,00"</f>
        <v>17.475,00</v>
      </c>
      <c r="M7026" s="6" t="str">
        <f>"87.375,00"</f>
        <v>87.375,00</v>
      </c>
      <c r="N7026" s="8" t="s">
        <v>124</v>
      </c>
      <c r="O7026" s="7"/>
      <c r="P7026" s="2" t="s">
        <v>5614</v>
      </c>
      <c r="Q7026" s="7"/>
      <c r="R7026" s="1"/>
      <c r="S7026" s="1" t="str">
        <f>"J-UN-2018-2101"</f>
        <v>J-UN-2018-2101</v>
      </c>
      <c r="T7026" s="1" t="s">
        <v>32</v>
      </c>
    </row>
    <row r="7027" spans="1:20" ht="63.75" x14ac:dyDescent="0.25">
      <c r="A7027" s="6">
        <v>6998</v>
      </c>
      <c r="B7027" s="1" t="str">
        <f>"2018-1334"</f>
        <v>2018-1334</v>
      </c>
      <c r="C7027" s="1" t="s">
        <v>2815</v>
      </c>
      <c r="D7027" s="1" t="s">
        <v>1373</v>
      </c>
      <c r="E7027" s="1" t="str">
        <f>""</f>
        <v/>
      </c>
      <c r="F7027" s="1" t="s">
        <v>1860</v>
      </c>
      <c r="G7027" s="1" t="str">
        <f>CONCATENATE(" STROJOOBNOVA,"," VL.TIHOMIR LJUBIĆ,"," RAVNICE 13,"," 10294 DONJA PUŠĆA,"," OIB: 50149576546")</f>
        <v xml:space="preserve"> STROJOOBNOVA, VL.TIHOMIR LJUBIĆ, RAVNICE 13, 10294 DONJA PUŠĆA, OIB: 50149576546</v>
      </c>
      <c r="H7027" s="7"/>
      <c r="I7027" s="8" t="s">
        <v>3936</v>
      </c>
      <c r="J7027" s="8" t="s">
        <v>3936</v>
      </c>
      <c r="K7027" s="6" t="str">
        <f>"8.830,00"</f>
        <v>8.830,00</v>
      </c>
      <c r="L7027" s="6" t="str">
        <f>"2.207,50"</f>
        <v>2.207,50</v>
      </c>
      <c r="M7027" s="6" t="str">
        <f>"11.037,50"</f>
        <v>11.037,50</v>
      </c>
      <c r="N7027" s="8" t="s">
        <v>3728</v>
      </c>
      <c r="O7027" s="7"/>
      <c r="P7027" s="2" t="s">
        <v>8983</v>
      </c>
      <c r="Q7027" s="7"/>
      <c r="R7027" s="1"/>
      <c r="S7027" s="1" t="str">
        <f>"J-UN-2018-2115"</f>
        <v>J-UN-2018-2115</v>
      </c>
      <c r="T7027" s="1" t="s">
        <v>32</v>
      </c>
    </row>
    <row r="7028" spans="1:20" ht="63.75" x14ac:dyDescent="0.25">
      <c r="A7028" s="6">
        <v>6999</v>
      </c>
      <c r="B7028" s="1" t="str">
        <f>"2018-630"</f>
        <v>2018-630</v>
      </c>
      <c r="C7028" s="1" t="s">
        <v>2984</v>
      </c>
      <c r="D7028" s="1" t="s">
        <v>2985</v>
      </c>
      <c r="E7028" s="1" t="str">
        <f>""</f>
        <v/>
      </c>
      <c r="F7028" s="1" t="s">
        <v>1860</v>
      </c>
      <c r="G7028" s="1" t="str">
        <f>CONCATENATE(" LANIŠTE D.O.O.,"," ALEXANDERA VON HUMBOLDTA 4B,"," 10000 ZAGREB,"," OIB: 3755384865")</f>
        <v xml:space="preserve"> LANIŠTE D.O.O., ALEXANDERA VON HUMBOLDTA 4B, 10000 ZAGREB, OIB: 3755384865</v>
      </c>
      <c r="H7028" s="7"/>
      <c r="I7028" s="8" t="s">
        <v>5346</v>
      </c>
      <c r="J7028" s="8" t="s">
        <v>3942</v>
      </c>
      <c r="K7028" s="6" t="str">
        <f>"4.032,00"</f>
        <v>4.032,00</v>
      </c>
      <c r="L7028" s="6" t="str">
        <f>"1.008,00"</f>
        <v>1.008,00</v>
      </c>
      <c r="M7028" s="6" t="str">
        <f>"5.040,00"</f>
        <v>5.040,00</v>
      </c>
      <c r="N7028" s="8" t="s">
        <v>5346</v>
      </c>
      <c r="O7028" s="7"/>
      <c r="P7028" s="2" t="s">
        <v>7918</v>
      </c>
      <c r="Q7028" s="7"/>
      <c r="R7028" s="1"/>
      <c r="S7028" s="1" t="str">
        <f>"J-UN-2018-2123"</f>
        <v>J-UN-2018-2123</v>
      </c>
      <c r="T7028" s="1" t="s">
        <v>32</v>
      </c>
    </row>
    <row r="7029" spans="1:20" ht="51" x14ac:dyDescent="0.25">
      <c r="A7029" s="6">
        <v>7000</v>
      </c>
      <c r="B7029" s="1" t="str">
        <f>"2018-2519"</f>
        <v>2018-2519</v>
      </c>
      <c r="C7029" s="1" t="s">
        <v>5173</v>
      </c>
      <c r="D7029" s="1" t="s">
        <v>2331</v>
      </c>
      <c r="E7029" s="1" t="str">
        <f>""</f>
        <v/>
      </c>
      <c r="F7029" s="1" t="s">
        <v>1860</v>
      </c>
      <c r="G7029" s="1" t="str">
        <f>CONCATENATE(" KADEI 360 D.O.O.,"," IVE MALLINA 30,"," 10000 ZAGREB,"," OIB: 7082163502")</f>
        <v xml:space="preserve"> KADEI 360 D.O.O., IVE MALLINA 30, 10000 ZAGREB, OIB: 7082163502</v>
      </c>
      <c r="H7029" s="7"/>
      <c r="I7029" s="8" t="s">
        <v>4097</v>
      </c>
      <c r="J7029" s="8" t="s">
        <v>299</v>
      </c>
      <c r="K7029" s="6" t="str">
        <f>"34.400,00"</f>
        <v>34.400,00</v>
      </c>
      <c r="L7029" s="6" t="str">
        <f>"8.600,00"</f>
        <v>8.600,00</v>
      </c>
      <c r="M7029" s="6" t="str">
        <f>"43.000,00"</f>
        <v>43.000,00</v>
      </c>
      <c r="N7029" s="8" t="s">
        <v>5353</v>
      </c>
      <c r="O7029" s="7"/>
      <c r="P7029" s="2" t="s">
        <v>6054</v>
      </c>
      <c r="Q7029" s="7"/>
      <c r="R7029" s="1"/>
      <c r="S7029" s="1" t="str">
        <f>"J-UN-2018-2143"</f>
        <v>J-UN-2018-2143</v>
      </c>
      <c r="T7029" s="1" t="s">
        <v>32</v>
      </c>
    </row>
    <row r="7030" spans="1:20" ht="63.75" x14ac:dyDescent="0.25">
      <c r="A7030" s="6">
        <v>7001</v>
      </c>
      <c r="B7030" s="1" t="str">
        <f>"2018-2280"</f>
        <v>2018-2280</v>
      </c>
      <c r="C7030" s="1" t="s">
        <v>2991</v>
      </c>
      <c r="D7030" s="1" t="s">
        <v>2992</v>
      </c>
      <c r="E7030" s="1" t="str">
        <f>""</f>
        <v/>
      </c>
      <c r="F7030" s="1" t="s">
        <v>1860</v>
      </c>
      <c r="G7030" s="1" t="str">
        <f>CONCATENATE(" LANIŠTE D.O.O.,"," ALEXANDERA VON HUMBOLDTA 4B,"," 10000 ZAGREB,"," OIB: 3755384865")</f>
        <v xml:space="preserve"> LANIŠTE D.O.O., ALEXANDERA VON HUMBOLDTA 4B, 10000 ZAGREB, OIB: 3755384865</v>
      </c>
      <c r="H7030" s="7"/>
      <c r="I7030" s="8" t="s">
        <v>299</v>
      </c>
      <c r="J7030" s="8" t="s">
        <v>5349</v>
      </c>
      <c r="K7030" s="6" t="str">
        <f>"3.636,00"</f>
        <v>3.636,00</v>
      </c>
      <c r="L7030" s="6" t="str">
        <f>"909,00"</f>
        <v>909,00</v>
      </c>
      <c r="M7030" s="6" t="str">
        <f>"4.545,00"</f>
        <v>4.545,00</v>
      </c>
      <c r="N7030" s="8" t="s">
        <v>5346</v>
      </c>
      <c r="O7030" s="7"/>
      <c r="P7030" s="2" t="s">
        <v>7918</v>
      </c>
      <c r="Q7030" s="7"/>
      <c r="R7030" s="1"/>
      <c r="S7030" s="1" t="str">
        <f>"J-UN-2018-2170"</f>
        <v>J-UN-2018-2170</v>
      </c>
      <c r="T7030" s="1" t="s">
        <v>32</v>
      </c>
    </row>
    <row r="7031" spans="1:20" ht="89.25" x14ac:dyDescent="0.25">
      <c r="A7031" s="6">
        <v>7002</v>
      </c>
      <c r="B7031" s="1" t="str">
        <f>"2018-2043"</f>
        <v>2018-2043</v>
      </c>
      <c r="C7031" s="1" t="s">
        <v>5354</v>
      </c>
      <c r="D7031" s="1" t="s">
        <v>515</v>
      </c>
      <c r="E7031" s="1" t="str">
        <f>""</f>
        <v/>
      </c>
      <c r="F7031" s="1" t="s">
        <v>1860</v>
      </c>
      <c r="G7031" s="1" t="str">
        <f>CONCATENATE(" SVEUČILIŠTE U ZAGREBU - AGRONOMSKI FAKULTET,"," SVETOŠIMUNSKA CESTA 25,"," 10000 ZAGREB,"," OIB: 76023745044")</f>
        <v xml:space="preserve"> SVEUČILIŠTE U ZAGREBU - AGRONOMSKI FAKULTET, SVETOŠIMUNSKA CESTA 25, 10000 ZAGREB, OIB: 76023745044</v>
      </c>
      <c r="H7031" s="7"/>
      <c r="I7031" s="8" t="s">
        <v>413</v>
      </c>
      <c r="J7031" s="8" t="s">
        <v>413</v>
      </c>
      <c r="K7031" s="6" t="str">
        <f>"26.416,00"</f>
        <v>26.416,00</v>
      </c>
      <c r="L7031" s="6" t="str">
        <f>"6.604,00"</f>
        <v>6.604,00</v>
      </c>
      <c r="M7031" s="6" t="str">
        <f>"33.020,00"</f>
        <v>33.020,00</v>
      </c>
      <c r="N7031" s="8" t="s">
        <v>124</v>
      </c>
      <c r="O7031" s="7"/>
      <c r="P7031" s="2" t="s">
        <v>5614</v>
      </c>
      <c r="Q7031" s="7"/>
      <c r="R7031" s="1"/>
      <c r="S7031" s="1" t="str">
        <f>"J-UN-2018-2199"</f>
        <v>J-UN-2018-2199</v>
      </c>
      <c r="T7031" s="1" t="s">
        <v>32</v>
      </c>
    </row>
    <row r="7032" spans="1:20" ht="51" x14ac:dyDescent="0.25">
      <c r="A7032" s="6">
        <v>7003</v>
      </c>
      <c r="B7032" s="1" t="str">
        <f>"2018-1922"</f>
        <v>2018-1922</v>
      </c>
      <c r="C7032" s="1" t="s">
        <v>2753</v>
      </c>
      <c r="D7032" s="1" t="s">
        <v>2331</v>
      </c>
      <c r="E7032" s="1" t="str">
        <f>""</f>
        <v/>
      </c>
      <c r="F7032" s="1" t="s">
        <v>1860</v>
      </c>
      <c r="G7032" s="1" t="str">
        <f>CONCATENATE(" LEONARDO MEDIA D.O.O.,"," GJURE SZABA 4/2,"," 10000 ZAGREB,"," OIB: 90240160025")</f>
        <v xml:space="preserve"> LEONARDO MEDIA D.O.O., GJURE SZABA 4/2, 10000 ZAGREB, OIB: 90240160025</v>
      </c>
      <c r="H7032" s="7"/>
      <c r="I7032" s="8" t="s">
        <v>419</v>
      </c>
      <c r="J7032" s="8" t="s">
        <v>4438</v>
      </c>
      <c r="K7032" s="6" t="str">
        <f>"75.978,00"</f>
        <v>75.978,00</v>
      </c>
      <c r="L7032" s="6" t="str">
        <f>"18.994,50"</f>
        <v>18.994,50</v>
      </c>
      <c r="M7032" s="6" t="str">
        <f>"94.972,50"</f>
        <v>94.972,50</v>
      </c>
      <c r="N7032" s="8" t="s">
        <v>124</v>
      </c>
      <c r="O7032" s="7"/>
      <c r="P7032" s="2" t="s">
        <v>5614</v>
      </c>
      <c r="Q7032" s="7"/>
      <c r="R7032" s="1"/>
      <c r="S7032" s="1" t="str">
        <f>"J-UN-2018-2233"</f>
        <v>J-UN-2018-2233</v>
      </c>
      <c r="T7032" s="1" t="s">
        <v>32</v>
      </c>
    </row>
    <row r="7033" spans="1:20" ht="51" x14ac:dyDescent="0.25">
      <c r="A7033" s="6">
        <v>7004</v>
      </c>
      <c r="B7033" s="1" t="str">
        <f>"2018-2180"</f>
        <v>2018-2180</v>
      </c>
      <c r="C7033" s="1" t="s">
        <v>5149</v>
      </c>
      <c r="D7033" s="1" t="s">
        <v>2241</v>
      </c>
      <c r="E7033" s="1" t="str">
        <f>""</f>
        <v/>
      </c>
      <c r="F7033" s="1" t="s">
        <v>1860</v>
      </c>
      <c r="G7033" s="1" t="str">
        <f>CONCATENATE(" AUTO BENUSSI D.O.O.,"," INDUSTRIJSKA 2D,"," 52100 PULA,"," OIB: 96262119913")</f>
        <v xml:space="preserve"> AUTO BENUSSI D.O.O., INDUSTRIJSKA 2D, 52100 PULA, OIB: 96262119913</v>
      </c>
      <c r="H7033" s="7"/>
      <c r="I7033" s="8" t="s">
        <v>413</v>
      </c>
      <c r="J7033" s="8" t="s">
        <v>4954</v>
      </c>
      <c r="K7033" s="6" t="str">
        <f>"30.918,16"</f>
        <v>30.918,16</v>
      </c>
      <c r="L7033" s="6" t="str">
        <f>"7.729,54"</f>
        <v>7.729,54</v>
      </c>
      <c r="M7033" s="6" t="str">
        <f>"38.647,70"</f>
        <v>38.647,70</v>
      </c>
      <c r="N7033" s="8" t="s">
        <v>5355</v>
      </c>
      <c r="O7033" s="7"/>
      <c r="P7033" s="2" t="s">
        <v>8984</v>
      </c>
      <c r="Q7033" s="7"/>
      <c r="R7033" s="1"/>
      <c r="S7033" s="1" t="str">
        <f>"J-UN-2018-2246"</f>
        <v>J-UN-2018-2246</v>
      </c>
      <c r="T7033" s="1" t="s">
        <v>32</v>
      </c>
    </row>
    <row r="7034" spans="1:20" ht="63.75" x14ac:dyDescent="0.25">
      <c r="A7034" s="6">
        <v>7005</v>
      </c>
      <c r="B7034" s="1" t="str">
        <f>"2018-266"</f>
        <v>2018-266</v>
      </c>
      <c r="C7034" s="1" t="s">
        <v>2642</v>
      </c>
      <c r="D7034" s="1" t="s">
        <v>1236</v>
      </c>
      <c r="E7034" s="1" t="str">
        <f>""</f>
        <v/>
      </c>
      <c r="F7034" s="1" t="s">
        <v>1860</v>
      </c>
      <c r="G7034" s="1" t="str">
        <f>CONCATENATE(" SECURITAS HRVATSKA D.O.O.,"," ZAGREBAČKA CESTA 145A,"," 10000 ZAGREB,"," OIB: 33679708526")</f>
        <v xml:space="preserve"> SECURITAS HRVATSKA D.O.O., ZAGREBAČKA CESTA 145A, 10000 ZAGREB, OIB: 33679708526</v>
      </c>
      <c r="H7034" s="7"/>
      <c r="I7034" s="8" t="s">
        <v>3669</v>
      </c>
      <c r="J7034" s="8" t="s">
        <v>4106</v>
      </c>
      <c r="K7034" s="6" t="str">
        <f>"780,00"</f>
        <v>780,00</v>
      </c>
      <c r="L7034" s="6" t="str">
        <f>"195,00"</f>
        <v>195,00</v>
      </c>
      <c r="M7034" s="6" t="str">
        <f>"975,00"</f>
        <v>975,00</v>
      </c>
      <c r="N7034" s="8" t="s">
        <v>124</v>
      </c>
      <c r="O7034" s="7"/>
      <c r="P7034" s="2" t="s">
        <v>5614</v>
      </c>
      <c r="Q7034" s="7"/>
      <c r="R7034" s="1"/>
      <c r="S7034" s="1" t="str">
        <f>"J-UN-2018-2307"</f>
        <v>J-UN-2018-2307</v>
      </c>
      <c r="T7034" s="1" t="s">
        <v>32</v>
      </c>
    </row>
    <row r="7035" spans="1:20" ht="51" x14ac:dyDescent="0.25">
      <c r="A7035" s="6">
        <v>7006</v>
      </c>
      <c r="B7035" s="1" t="str">
        <f>"2018-2311"</f>
        <v>2018-2311</v>
      </c>
      <c r="C7035" s="1" t="s">
        <v>2996</v>
      </c>
      <c r="D7035" s="1" t="s">
        <v>74</v>
      </c>
      <c r="E7035" s="1" t="str">
        <f>""</f>
        <v/>
      </c>
      <c r="F7035" s="1" t="s">
        <v>1860</v>
      </c>
      <c r="G7035" s="1" t="str">
        <f>CONCATENATE(" PAKOM D. O. O.,"," WOLFFOVA ULICA 6,"," 52100 PULA,"," OIB: 67442775703")</f>
        <v xml:space="preserve"> PAKOM D. O. O., WOLFFOVA ULICA 6, 52100 PULA, OIB: 67442775703</v>
      </c>
      <c r="H7035" s="7"/>
      <c r="I7035" s="8" t="s">
        <v>3936</v>
      </c>
      <c r="J7035" s="8" t="s">
        <v>419</v>
      </c>
      <c r="K7035" s="6" t="str">
        <f>"18.500,00"</f>
        <v>18.500,00</v>
      </c>
      <c r="L7035" s="6" t="str">
        <f>"4.625,00"</f>
        <v>4.625,00</v>
      </c>
      <c r="M7035" s="6" t="str">
        <f>"23.125,00"</f>
        <v>23.125,00</v>
      </c>
      <c r="N7035" s="8" t="s">
        <v>5356</v>
      </c>
      <c r="O7035" s="7"/>
      <c r="P7035" s="2" t="s">
        <v>5900</v>
      </c>
      <c r="Q7035" s="7"/>
      <c r="R7035" s="1"/>
      <c r="S7035" s="1" t="str">
        <f>"J-UN-2018-2313"</f>
        <v>J-UN-2018-2313</v>
      </c>
      <c r="T7035" s="1" t="s">
        <v>32</v>
      </c>
    </row>
    <row r="7036" spans="1:20" ht="63.75" x14ac:dyDescent="0.25">
      <c r="A7036" s="6">
        <v>7007</v>
      </c>
      <c r="B7036" s="1" t="str">
        <f>"2018-630"</f>
        <v>2018-630</v>
      </c>
      <c r="C7036" s="1" t="s">
        <v>2984</v>
      </c>
      <c r="D7036" s="1" t="s">
        <v>2985</v>
      </c>
      <c r="E7036" s="1" t="str">
        <f>""</f>
        <v/>
      </c>
      <c r="F7036" s="1" t="s">
        <v>1860</v>
      </c>
      <c r="G7036" s="1" t="str">
        <f>CONCATENATE(" LANIŠTE D.O.O.,"," ALEXANDERA VON HUMBOLDTA 4B,"," 10000 ZAGREB,"," OIB: 3755384865")</f>
        <v xml:space="preserve"> LANIŠTE D.O.O., ALEXANDERA VON HUMBOLDTA 4B, 10000 ZAGREB, OIB: 3755384865</v>
      </c>
      <c r="H7036" s="7"/>
      <c r="I7036" s="8" t="s">
        <v>3936</v>
      </c>
      <c r="J7036" s="8" t="s">
        <v>419</v>
      </c>
      <c r="K7036" s="6" t="str">
        <f>"4.032,00"</f>
        <v>4.032,00</v>
      </c>
      <c r="L7036" s="6" t="str">
        <f>"1.008,00"</f>
        <v>1.008,00</v>
      </c>
      <c r="M7036" s="6" t="str">
        <f>"5.040,00"</f>
        <v>5.040,00</v>
      </c>
      <c r="N7036" s="8" t="s">
        <v>5357</v>
      </c>
      <c r="O7036" s="7"/>
      <c r="P7036" s="2" t="s">
        <v>7919</v>
      </c>
      <c r="Q7036" s="7"/>
      <c r="R7036" s="1"/>
      <c r="S7036" s="1" t="str">
        <f>"J-UN-2018-2321"</f>
        <v>J-UN-2018-2321</v>
      </c>
      <c r="T7036" s="1" t="s">
        <v>32</v>
      </c>
    </row>
    <row r="7037" spans="1:20" ht="51" x14ac:dyDescent="0.25">
      <c r="A7037" s="6">
        <v>7008</v>
      </c>
      <c r="B7037" s="1" t="str">
        <f>"2018-1920"</f>
        <v>2018-1920</v>
      </c>
      <c r="C7037" s="1" t="s">
        <v>5358</v>
      </c>
      <c r="D7037" s="1" t="s">
        <v>1726</v>
      </c>
      <c r="E7037" s="1" t="str">
        <f>""</f>
        <v/>
      </c>
      <c r="F7037" s="1" t="s">
        <v>1860</v>
      </c>
      <c r="G7037" s="1" t="str">
        <f>CONCATENATE(" DOBAR PARTNER D.O.O.,"," KNEZA BORNE 1,"," 10000 ZAGREB,"," OIB: 65278787645")</f>
        <v xml:space="preserve"> DOBAR PARTNER D.O.O., KNEZA BORNE 1, 10000 ZAGREB, OIB: 65278787645</v>
      </c>
      <c r="H7037" s="7"/>
      <c r="I7037" s="8" t="s">
        <v>5359</v>
      </c>
      <c r="J7037" s="8" t="s">
        <v>5359</v>
      </c>
      <c r="K7037" s="6" t="str">
        <f>"46.996,00"</f>
        <v>46.996,00</v>
      </c>
      <c r="L7037" s="6" t="str">
        <f>"11.749,00"</f>
        <v>11.749,00</v>
      </c>
      <c r="M7037" s="6" t="str">
        <f>"58.745,00"</f>
        <v>58.745,00</v>
      </c>
      <c r="N7037" s="8" t="s">
        <v>4134</v>
      </c>
      <c r="O7037" s="7"/>
      <c r="P7037" s="2" t="s">
        <v>8985</v>
      </c>
      <c r="Q7037" s="7"/>
      <c r="R7037" s="1"/>
      <c r="S7037" s="1" t="str">
        <f>"J-UN-2018-2348"</f>
        <v>J-UN-2018-2348</v>
      </c>
      <c r="T7037" s="1" t="s">
        <v>32</v>
      </c>
    </row>
    <row r="7038" spans="1:20" ht="51" x14ac:dyDescent="0.25">
      <c r="A7038" s="6">
        <v>7009</v>
      </c>
      <c r="B7038" s="1" t="str">
        <f>"2018-266"</f>
        <v>2018-266</v>
      </c>
      <c r="C7038" s="1" t="s">
        <v>2642</v>
      </c>
      <c r="D7038" s="1" t="s">
        <v>1236</v>
      </c>
      <c r="E7038" s="1" t="str">
        <f>""</f>
        <v/>
      </c>
      <c r="F7038" s="1" t="s">
        <v>1860</v>
      </c>
      <c r="G7038" s="1" t="str">
        <f>CONCATENATE(" ECCOS-INŽENJERING D.O.O.,"," BANI 110,"," 10000 ZAGREB,"," OIB: 71629027685")</f>
        <v xml:space="preserve"> ECCOS-INŽENJERING D.O.O., BANI 110, 10000 ZAGREB, OIB: 71629027685</v>
      </c>
      <c r="H7038" s="7"/>
      <c r="I7038" s="8" t="s">
        <v>5357</v>
      </c>
      <c r="J7038" s="8" t="s">
        <v>3669</v>
      </c>
      <c r="K7038" s="6" t="str">
        <f>"6.000,00"</f>
        <v>6.000,00</v>
      </c>
      <c r="L7038" s="6" t="str">
        <f>"1.500,00"</f>
        <v>1.500,00</v>
      </c>
      <c r="M7038" s="6" t="str">
        <f>"7.500,00"</f>
        <v>7.500,00</v>
      </c>
      <c r="N7038" s="8" t="s">
        <v>124</v>
      </c>
      <c r="O7038" s="7"/>
      <c r="P7038" s="2" t="s">
        <v>5614</v>
      </c>
      <c r="Q7038" s="7"/>
      <c r="R7038" s="1"/>
      <c r="S7038" s="1" t="str">
        <f>"J-UN-2018-2356"</f>
        <v>J-UN-2018-2356</v>
      </c>
      <c r="T7038" s="1" t="s">
        <v>32</v>
      </c>
    </row>
    <row r="7039" spans="1:20" ht="51" x14ac:dyDescent="0.25">
      <c r="A7039" s="6">
        <v>7010</v>
      </c>
      <c r="B7039" s="1" t="str">
        <f>"2018-2055"</f>
        <v>2018-2055</v>
      </c>
      <c r="C7039" s="1" t="s">
        <v>4677</v>
      </c>
      <c r="D7039" s="1" t="s">
        <v>5266</v>
      </c>
      <c r="E7039" s="1" t="str">
        <f>""</f>
        <v/>
      </c>
      <c r="F7039" s="1" t="s">
        <v>1860</v>
      </c>
      <c r="G7039" s="1" t="str">
        <f>CONCATENATE(" REAL GRUPA D.O.O.,"," LJUDEVITA POSAVSKOG 31,"," 10000 ZAGREB,"," OIB: 57210097686")</f>
        <v xml:space="preserve"> REAL GRUPA D.O.O., LJUDEVITA POSAVSKOG 31, 10000 ZAGREB, OIB: 57210097686</v>
      </c>
      <c r="H7039" s="7"/>
      <c r="I7039" s="8" t="s">
        <v>5359</v>
      </c>
      <c r="J7039" s="8" t="s">
        <v>3877</v>
      </c>
      <c r="K7039" s="6" t="str">
        <f>"42.200,00"</f>
        <v>42.200,00</v>
      </c>
      <c r="L7039" s="6" t="str">
        <f>"10.550,00"</f>
        <v>10.550,00</v>
      </c>
      <c r="M7039" s="6" t="str">
        <f>"52.750,00"</f>
        <v>52.750,00</v>
      </c>
      <c r="N7039" s="8" t="s">
        <v>4310</v>
      </c>
      <c r="O7039" s="7"/>
      <c r="P7039" s="2" t="s">
        <v>7127</v>
      </c>
      <c r="Q7039" s="7"/>
      <c r="R7039" s="1"/>
      <c r="S7039" s="1" t="str">
        <f>"J-UN-2018-2357"</f>
        <v>J-UN-2018-2357</v>
      </c>
      <c r="T7039" s="1" t="s">
        <v>32</v>
      </c>
    </row>
    <row r="7040" spans="1:20" ht="51" x14ac:dyDescent="0.25">
      <c r="A7040" s="6">
        <v>7011</v>
      </c>
      <c r="B7040" s="1" t="str">
        <f>"2018-561"</f>
        <v>2018-561</v>
      </c>
      <c r="C7040" s="1" t="s">
        <v>2672</v>
      </c>
      <c r="D7040" s="1" t="s">
        <v>2673</v>
      </c>
      <c r="E7040" s="1" t="str">
        <f>""</f>
        <v/>
      </c>
      <c r="F7040" s="1" t="s">
        <v>1860</v>
      </c>
      <c r="G7040" s="1" t="str">
        <f>CONCATENATE(" B U G D.O.O.,"," TRATINSKA 36,"," 10000 ZAGREB,"," OIB: 0546167484")</f>
        <v xml:space="preserve"> B U G D.O.O., TRATINSKA 36, 10000 ZAGREB, OIB: 0546167484</v>
      </c>
      <c r="H7040" s="7"/>
      <c r="I7040" s="8" t="s">
        <v>4632</v>
      </c>
      <c r="J7040" s="8" t="s">
        <v>5099</v>
      </c>
      <c r="K7040" s="6" t="str">
        <f>"213,60"</f>
        <v>213,60</v>
      </c>
      <c r="L7040" s="6" t="str">
        <f>"53,40"</f>
        <v>53,40</v>
      </c>
      <c r="M7040" s="6" t="str">
        <f>"267,00"</f>
        <v>267,00</v>
      </c>
      <c r="N7040" s="8" t="s">
        <v>124</v>
      </c>
      <c r="O7040" s="7"/>
      <c r="P7040" s="2" t="s">
        <v>5614</v>
      </c>
      <c r="Q7040" s="7"/>
      <c r="R7040" s="1"/>
      <c r="S7040" s="1" t="str">
        <f>"J-UN-2018-2431"</f>
        <v>J-UN-2018-2431</v>
      </c>
      <c r="T7040" s="1" t="s">
        <v>32</v>
      </c>
    </row>
    <row r="7041" spans="1:20" ht="51" x14ac:dyDescent="0.25">
      <c r="A7041" s="6">
        <v>7012</v>
      </c>
      <c r="B7041" s="1" t="str">
        <f>"2018-2884"</f>
        <v>2018-2884</v>
      </c>
      <c r="C7041" s="1" t="s">
        <v>3072</v>
      </c>
      <c r="D7041" s="1" t="s">
        <v>914</v>
      </c>
      <c r="E7041" s="1" t="str">
        <f>""</f>
        <v/>
      </c>
      <c r="F7041" s="1" t="s">
        <v>1860</v>
      </c>
      <c r="G7041" s="1" t="str">
        <f>CONCATENATE(" AUTOCENTAR BAOTIĆ D.O.O.,"," MAKSIMIRSKA 282,"," 10000 ZAGREB,"," OIB: 49369673972")</f>
        <v xml:space="preserve"> AUTOCENTAR BAOTIĆ D.O.O., MAKSIMIRSKA 282, 10000 ZAGREB, OIB: 49369673972</v>
      </c>
      <c r="H7041" s="7"/>
      <c r="I7041" s="8" t="s">
        <v>5099</v>
      </c>
      <c r="J7041" s="8" t="s">
        <v>3994</v>
      </c>
      <c r="K7041" s="6" t="str">
        <f>"11.517,68"</f>
        <v>11.517,68</v>
      </c>
      <c r="L7041" s="6" t="str">
        <f>"2.879,42"</f>
        <v>2.879,42</v>
      </c>
      <c r="M7041" s="6" t="str">
        <f>"14.397,10"</f>
        <v>14.397,10</v>
      </c>
      <c r="N7041" s="8" t="s">
        <v>3877</v>
      </c>
      <c r="O7041" s="7"/>
      <c r="P7041" s="2" t="s">
        <v>8986</v>
      </c>
      <c r="Q7041" s="7"/>
      <c r="R7041" s="1"/>
      <c r="S7041" s="1" t="str">
        <f>"J-UN-2018-2465"</f>
        <v>J-UN-2018-2465</v>
      </c>
      <c r="T7041" s="1" t="s">
        <v>32</v>
      </c>
    </row>
    <row r="7042" spans="1:20" ht="89.25" x14ac:dyDescent="0.25">
      <c r="A7042" s="6">
        <v>7013</v>
      </c>
      <c r="B7042" s="1" t="str">
        <f>"2018-26"</f>
        <v>2018-26</v>
      </c>
      <c r="C7042" s="1" t="s">
        <v>5287</v>
      </c>
      <c r="D7042" s="1" t="s">
        <v>5288</v>
      </c>
      <c r="E7042" s="1" t="str">
        <f>""</f>
        <v/>
      </c>
      <c r="F7042" s="1" t="s">
        <v>1860</v>
      </c>
      <c r="G7042" s="1" t="str">
        <f>CONCATENATE(" RASADNIK UKRASNOG BILJA ĐURO JOVANOVAC VL.SINIŠA JOVANOVAC,"," MATIJE GUPCA 33,"," 32273 GRADIŠTE,"," OIB: 63533508033")</f>
        <v xml:space="preserve"> RASADNIK UKRASNOG BILJA ĐURO JOVANOVAC VL.SINIŠA JOVANOVAC, MATIJE GUPCA 33, 32273 GRADIŠTE, OIB: 63533508033</v>
      </c>
      <c r="H7042" s="7"/>
      <c r="I7042" s="8" t="s">
        <v>4635</v>
      </c>
      <c r="J7042" s="8" t="s">
        <v>4635</v>
      </c>
      <c r="K7042" s="6" t="str">
        <f>"48.350,00"</f>
        <v>48.350,00</v>
      </c>
      <c r="L7042" s="6" t="str">
        <f>"12.087,50"</f>
        <v>12.087,50</v>
      </c>
      <c r="M7042" s="6" t="str">
        <f>"60.437,50"</f>
        <v>60.437,50</v>
      </c>
      <c r="N7042" s="8" t="s">
        <v>4101</v>
      </c>
      <c r="O7042" s="7"/>
      <c r="P7042" s="2" t="s">
        <v>8987</v>
      </c>
      <c r="Q7042" s="7"/>
      <c r="R7042" s="1"/>
      <c r="S7042" s="1" t="str">
        <f>"J-UN-2018-2466"</f>
        <v>J-UN-2018-2466</v>
      </c>
      <c r="T7042" s="1" t="s">
        <v>32</v>
      </c>
    </row>
    <row r="7043" spans="1:20" ht="76.5" x14ac:dyDescent="0.25">
      <c r="A7043" s="6">
        <v>7014</v>
      </c>
      <c r="B7043" s="1" t="str">
        <f>"2018-1896"</f>
        <v>2018-1896</v>
      </c>
      <c r="C7043" s="1" t="s">
        <v>3057</v>
      </c>
      <c r="D7043" s="1" t="s">
        <v>486</v>
      </c>
      <c r="E7043" s="1" t="str">
        <f>""</f>
        <v/>
      </c>
      <c r="F7043" s="1" t="s">
        <v>1860</v>
      </c>
      <c r="G7043" s="1" t="str">
        <f>CONCATENATE(" HEP-Operator distribucijskog sustava d.o.o.,"," ULICA GRADA VUKOVARA 37,"," 10000 ZAGREB,"," OIB: 4683060075")</f>
        <v xml:space="preserve"> HEP-Operator distribucijskog sustava d.o.o., ULICA GRADA VUKOVARA 37, 10000 ZAGREB, OIB: 4683060075</v>
      </c>
      <c r="H7043" s="7"/>
      <c r="I7043" s="8" t="s">
        <v>5359</v>
      </c>
      <c r="J7043" s="8" t="s">
        <v>3877</v>
      </c>
      <c r="K7043" s="6" t="str">
        <f>"8.222,01"</f>
        <v>8.222,01</v>
      </c>
      <c r="L7043" s="6" t="str">
        <f>"2.055,50"</f>
        <v>2.055,50</v>
      </c>
      <c r="M7043" s="6" t="str">
        <f>"10.277,51"</f>
        <v>10.277,51</v>
      </c>
      <c r="N7043" s="8" t="s">
        <v>124</v>
      </c>
      <c r="O7043" s="7"/>
      <c r="P7043" s="2" t="s">
        <v>5614</v>
      </c>
      <c r="Q7043" s="7"/>
      <c r="R7043" s="1"/>
      <c r="S7043" s="1" t="str">
        <f>"J-UN-2018-2477"</f>
        <v>J-UN-2018-2477</v>
      </c>
      <c r="T7043" s="1" t="s">
        <v>32</v>
      </c>
    </row>
    <row r="7044" spans="1:20" ht="51" x14ac:dyDescent="0.25">
      <c r="A7044" s="6">
        <v>7015</v>
      </c>
      <c r="B7044" s="1" t="str">
        <f>"2018-563"</f>
        <v>2018-563</v>
      </c>
      <c r="C7044" s="1" t="s">
        <v>2952</v>
      </c>
      <c r="D7044" s="1" t="s">
        <v>2953</v>
      </c>
      <c r="E7044" s="1" t="str">
        <f>""</f>
        <v/>
      </c>
      <c r="F7044" s="1" t="s">
        <v>1860</v>
      </c>
      <c r="G7044" s="1" t="str">
        <f>CONCATENATE(" ARBORI CULTURA D.O.O.,"," POKUPSKO 86,"," 10414 POKUPSKO,"," OIB: 16690651659")</f>
        <v xml:space="preserve"> ARBORI CULTURA D.O.O., POKUPSKO 86, 10414 POKUPSKO, OIB: 16690651659</v>
      </c>
      <c r="H7044" s="7"/>
      <c r="I7044" s="8" t="s">
        <v>3963</v>
      </c>
      <c r="J7044" s="8" t="s">
        <v>3913</v>
      </c>
      <c r="K7044" s="6" t="str">
        <f>"39.860,00"</f>
        <v>39.860,00</v>
      </c>
      <c r="L7044" s="6" t="str">
        <f>"9.965,00"</f>
        <v>9.965,00</v>
      </c>
      <c r="M7044" s="6" t="str">
        <f>"49.825,00"</f>
        <v>49.825,00</v>
      </c>
      <c r="N7044" s="8" t="s">
        <v>3554</v>
      </c>
      <c r="O7044" s="7"/>
      <c r="P7044" s="2" t="s">
        <v>8988</v>
      </c>
      <c r="Q7044" s="7"/>
      <c r="R7044" s="1"/>
      <c r="S7044" s="1" t="str">
        <f>"J-UN-2018-2516"</f>
        <v>J-UN-2018-2516</v>
      </c>
      <c r="T7044" s="1" t="s">
        <v>32</v>
      </c>
    </row>
    <row r="7045" spans="1:20" ht="63.75" x14ac:dyDescent="0.25">
      <c r="A7045" s="6">
        <v>7016</v>
      </c>
      <c r="B7045" s="1" t="str">
        <f>"2018-563"</f>
        <v>2018-563</v>
      </c>
      <c r="C7045" s="1" t="s">
        <v>2952</v>
      </c>
      <c r="D7045" s="1" t="s">
        <v>2953</v>
      </c>
      <c r="E7045" s="1" t="str">
        <f>""</f>
        <v/>
      </c>
      <c r="F7045" s="1" t="s">
        <v>1860</v>
      </c>
      <c r="G7045" s="1" t="str">
        <f>CONCATENATE(" POLJOPRIVREDNIK VLADO CRLJENKOVIĆ,"," BANIĆEVA 44,"," 35404 CERNIK,"," OIB: 565136778")</f>
        <v xml:space="preserve"> POLJOPRIVREDNIK VLADO CRLJENKOVIĆ, BANIĆEVA 44, 35404 CERNIK, OIB: 565136778</v>
      </c>
      <c r="H7045" s="7"/>
      <c r="I7045" s="8" t="s">
        <v>3963</v>
      </c>
      <c r="J7045" s="8" t="s">
        <v>3913</v>
      </c>
      <c r="K7045" s="6" t="str">
        <f>"158.750,00"</f>
        <v>158.750,00</v>
      </c>
      <c r="L7045" s="6" t="str">
        <f>"39.687,50"</f>
        <v>39.687,50</v>
      </c>
      <c r="M7045" s="6" t="str">
        <f>"198.437,50"</f>
        <v>198.437,50</v>
      </c>
      <c r="N7045" s="8" t="s">
        <v>3528</v>
      </c>
      <c r="O7045" s="7"/>
      <c r="P7045" s="2" t="s">
        <v>8989</v>
      </c>
      <c r="Q7045" s="7"/>
      <c r="R7045" s="1"/>
      <c r="S7045" s="1" t="str">
        <f>"J-UN-2018-2517"</f>
        <v>J-UN-2018-2517</v>
      </c>
      <c r="T7045" s="1" t="s">
        <v>32</v>
      </c>
    </row>
    <row r="7046" spans="1:20" ht="51" x14ac:dyDescent="0.25">
      <c r="A7046" s="6">
        <v>7017</v>
      </c>
      <c r="B7046" s="1" t="str">
        <f>"2018-1920"</f>
        <v>2018-1920</v>
      </c>
      <c r="C7046" s="1" t="s">
        <v>5358</v>
      </c>
      <c r="D7046" s="1" t="s">
        <v>1726</v>
      </c>
      <c r="E7046" s="1" t="str">
        <f>""</f>
        <v/>
      </c>
      <c r="F7046" s="1" t="s">
        <v>1860</v>
      </c>
      <c r="G7046" s="1" t="str">
        <f>CONCATENATE(" BOXES D.O.O.,"," GUSTAVA KRKLECA 11,"," 10000 ZAGREB,"," OIB: 41791523272")</f>
        <v xml:space="preserve"> BOXES D.O.O., GUSTAVA KRKLECA 11, 10000 ZAGREB, OIB: 41791523272</v>
      </c>
      <c r="H7046" s="7"/>
      <c r="I7046" s="8" t="s">
        <v>1964</v>
      </c>
      <c r="J7046" s="8" t="s">
        <v>5360</v>
      </c>
      <c r="K7046" s="6" t="str">
        <f>"70.478,12"</f>
        <v>70.478,12</v>
      </c>
      <c r="L7046" s="6" t="str">
        <f>"17.619,53"</f>
        <v>17.619,53</v>
      </c>
      <c r="M7046" s="6" t="str">
        <f>"88.097,65"</f>
        <v>88.097,65</v>
      </c>
      <c r="N7046" s="8" t="s">
        <v>5106</v>
      </c>
      <c r="O7046" s="7"/>
      <c r="P7046" s="2" t="s">
        <v>8990</v>
      </c>
      <c r="Q7046" s="7"/>
      <c r="R7046" s="1"/>
      <c r="S7046" s="1" t="str">
        <f>"J-UN-2018-2520"</f>
        <v>J-UN-2018-2520</v>
      </c>
      <c r="T7046" s="1" t="s">
        <v>32</v>
      </c>
    </row>
    <row r="7047" spans="1:20" ht="63.75" x14ac:dyDescent="0.25">
      <c r="A7047" s="6">
        <v>7018</v>
      </c>
      <c r="B7047" s="1" t="str">
        <f>"2018-641"</f>
        <v>2018-641</v>
      </c>
      <c r="C7047" s="1" t="s">
        <v>2811</v>
      </c>
      <c r="D7047" s="1" t="s">
        <v>1859</v>
      </c>
      <c r="E7047" s="1" t="str">
        <f>""</f>
        <v/>
      </c>
      <c r="F7047" s="1" t="s">
        <v>1860</v>
      </c>
      <c r="G7047" s="1" t="str">
        <f>CONCATENATE(" PUČKO OTVORENO UČILIŠTE INVICTUS,"," DUBEČKA 94,"," 10000 ZAGREB,"," OIB: 07357960999")</f>
        <v xml:space="preserve"> PUČKO OTVORENO UČILIŠTE INVICTUS, DUBEČKA 94, 10000 ZAGREB, OIB: 07357960999</v>
      </c>
      <c r="H7047" s="7"/>
      <c r="I7047" s="8" t="s">
        <v>5106</v>
      </c>
      <c r="J7047" s="8" t="s">
        <v>1964</v>
      </c>
      <c r="K7047" s="6" t="str">
        <f>"7.840,00"</f>
        <v>7.840,00</v>
      </c>
      <c r="L7047" s="6" t="str">
        <f>"1.960,00"</f>
        <v>1.960,00</v>
      </c>
      <c r="M7047" s="6" t="str">
        <f>"9.800,00"</f>
        <v>9.800,00</v>
      </c>
      <c r="N7047" s="8" t="s">
        <v>5361</v>
      </c>
      <c r="O7047" s="7"/>
      <c r="P7047" s="2" t="s">
        <v>8991</v>
      </c>
      <c r="Q7047" s="7"/>
      <c r="R7047" s="1"/>
      <c r="S7047" s="1" t="str">
        <f>"J-UN-2018-2555"</f>
        <v>J-UN-2018-2555</v>
      </c>
      <c r="T7047" s="1" t="s">
        <v>32</v>
      </c>
    </row>
    <row r="7048" spans="1:20" ht="51" x14ac:dyDescent="0.25">
      <c r="A7048" s="6">
        <v>7019</v>
      </c>
      <c r="B7048" s="1" t="str">
        <f>"2018-1929"</f>
        <v>2018-1929</v>
      </c>
      <c r="C7048" s="1" t="s">
        <v>266</v>
      </c>
      <c r="D7048" s="1" t="s">
        <v>267</v>
      </c>
      <c r="E7048" s="1" t="str">
        <f>""</f>
        <v/>
      </c>
      <c r="F7048" s="1" t="s">
        <v>1860</v>
      </c>
      <c r="G7048" s="1" t="str">
        <f>CONCATENATE(" JARUN-DIP D.O.O.,"," JOSIPA VOGRINCA 8,"," 10000 ZAGREB,"," OIB: 94659921563")</f>
        <v xml:space="preserve"> JARUN-DIP D.O.O., JOSIPA VOGRINCA 8, 10000 ZAGREB, OIB: 94659921563</v>
      </c>
      <c r="H7048" s="7"/>
      <c r="I7048" s="8" t="s">
        <v>5106</v>
      </c>
      <c r="J7048" s="8" t="s">
        <v>1964</v>
      </c>
      <c r="K7048" s="6" t="str">
        <f>"1.980,00"</f>
        <v>1.980,00</v>
      </c>
      <c r="L7048" s="6" t="str">
        <f>"495,00"</f>
        <v>495,00</v>
      </c>
      <c r="M7048" s="6" t="str">
        <f>"2.475,00"</f>
        <v>2.475,00</v>
      </c>
      <c r="N7048" s="8" t="s">
        <v>124</v>
      </c>
      <c r="O7048" s="7"/>
      <c r="P7048" s="2" t="s">
        <v>5614</v>
      </c>
      <c r="Q7048" s="7"/>
      <c r="R7048" s="1"/>
      <c r="S7048" s="1" t="str">
        <f>"J-UN-2018-2569"</f>
        <v>J-UN-2018-2569</v>
      </c>
      <c r="T7048" s="1" t="s">
        <v>32</v>
      </c>
    </row>
    <row r="7049" spans="1:20" ht="76.5" x14ac:dyDescent="0.25">
      <c r="A7049" s="6">
        <v>7020</v>
      </c>
      <c r="B7049" s="1" t="str">
        <f>"2018-1489"</f>
        <v>2018-1489</v>
      </c>
      <c r="C7049" s="1" t="s">
        <v>2405</v>
      </c>
      <c r="D7049" s="1" t="s">
        <v>880</v>
      </c>
      <c r="E7049" s="1" t="str">
        <f>""</f>
        <v/>
      </c>
      <c r="F7049" s="1" t="s">
        <v>1860</v>
      </c>
      <c r="G7049" s="1" t="str">
        <f>CONCATENATE(" NASTAVNI ZAVOD ZA JAVNO ZDRAVSTVO DR. ANDRIJA ŠTAMPAR,"," MIROGOJSKA CESTA 16,"," 10000 ZAGREB,"," OIB: 3339200596")</f>
        <v xml:space="preserve"> NASTAVNI ZAVOD ZA JAVNO ZDRAVSTVO DR. ANDRIJA ŠTAMPAR, MIROGOJSKA CESTA 16, 10000 ZAGREB, OIB: 3339200596</v>
      </c>
      <c r="H7049" s="7"/>
      <c r="I7049" s="8" t="s">
        <v>3963</v>
      </c>
      <c r="J7049" s="8" t="s">
        <v>3963</v>
      </c>
      <c r="K7049" s="6" t="str">
        <f>"6.660,00"</f>
        <v>6.660,00</v>
      </c>
      <c r="L7049" s="6" t="str">
        <f>"1.665,00"</f>
        <v>1.665,00</v>
      </c>
      <c r="M7049" s="6" t="str">
        <f>"8.325,00"</f>
        <v>8.325,00</v>
      </c>
      <c r="N7049" s="8" t="s">
        <v>591</v>
      </c>
      <c r="O7049" s="7"/>
      <c r="P7049" s="2" t="s">
        <v>8992</v>
      </c>
      <c r="Q7049" s="7"/>
      <c r="R7049" s="1"/>
      <c r="S7049" s="1" t="str">
        <f>"J-UN-2018-2617"</f>
        <v>J-UN-2018-2617</v>
      </c>
      <c r="T7049" s="1" t="s">
        <v>32</v>
      </c>
    </row>
    <row r="7050" spans="1:20" ht="63.75" x14ac:dyDescent="0.25">
      <c r="A7050" s="6">
        <v>7021</v>
      </c>
      <c r="B7050" s="1" t="str">
        <f>"2018-630"</f>
        <v>2018-630</v>
      </c>
      <c r="C7050" s="1" t="s">
        <v>2984</v>
      </c>
      <c r="D7050" s="1" t="s">
        <v>2985</v>
      </c>
      <c r="E7050" s="1" t="str">
        <f>""</f>
        <v/>
      </c>
      <c r="F7050" s="1" t="s">
        <v>1860</v>
      </c>
      <c r="G7050" s="1" t="str">
        <f>CONCATENATE(" LANIŠTE D.O.O.,"," ALEXANDERA VON HUMBOLDTA 4B,"," 10000 ZAGREB,"," OIB: 3755384865")</f>
        <v xml:space="preserve"> LANIŠTE D.O.O., ALEXANDERA VON HUMBOLDTA 4B, 10000 ZAGREB, OIB: 3755384865</v>
      </c>
      <c r="H7050" s="7"/>
      <c r="I7050" s="8" t="s">
        <v>5104</v>
      </c>
      <c r="J7050" s="8" t="s">
        <v>4560</v>
      </c>
      <c r="K7050" s="6" t="str">
        <f>"4.032,00"</f>
        <v>4.032,00</v>
      </c>
      <c r="L7050" s="6" t="str">
        <f>"1.008,00"</f>
        <v>1.008,00</v>
      </c>
      <c r="M7050" s="6" t="str">
        <f>"5.040,00"</f>
        <v>5.040,00</v>
      </c>
      <c r="N7050" s="8" t="s">
        <v>3885</v>
      </c>
      <c r="O7050" s="7"/>
      <c r="P7050" s="2" t="s">
        <v>7919</v>
      </c>
      <c r="Q7050" s="7"/>
      <c r="R7050" s="1"/>
      <c r="S7050" s="1" t="str">
        <f>"J-UN-2018-2653"</f>
        <v>J-UN-2018-2653</v>
      </c>
      <c r="T7050" s="1" t="s">
        <v>32</v>
      </c>
    </row>
    <row r="7051" spans="1:20" ht="51" x14ac:dyDescent="0.25">
      <c r="A7051" s="6">
        <v>7022</v>
      </c>
      <c r="B7051" s="1" t="str">
        <f>"2018-2149"</f>
        <v>2018-2149</v>
      </c>
      <c r="C7051" s="1" t="s">
        <v>2639</v>
      </c>
      <c r="D7051" s="1" t="s">
        <v>2640</v>
      </c>
      <c r="E7051" s="1" t="str">
        <f>""</f>
        <v/>
      </c>
      <c r="F7051" s="1" t="s">
        <v>1860</v>
      </c>
      <c r="G7051" s="1" t="str">
        <f>CONCATENATE(" HANZA MEDIA D.O.O.,"," KORANSKA 2,"," 10000 ZAGREB,"," OIB: 79517545745")</f>
        <v xml:space="preserve"> HANZA MEDIA D.O.O., KORANSKA 2, 10000 ZAGREB, OIB: 79517545745</v>
      </c>
      <c r="H7051" s="7"/>
      <c r="I7051" s="8" t="s">
        <v>3728</v>
      </c>
      <c r="J7051" s="8" t="s">
        <v>3960</v>
      </c>
      <c r="K7051" s="6" t="str">
        <f>"2.640,00"</f>
        <v>2.640,00</v>
      </c>
      <c r="L7051" s="6" t="str">
        <f>"660,00"</f>
        <v>660,00</v>
      </c>
      <c r="M7051" s="6" t="str">
        <f>"3.300,00"</f>
        <v>3.300,00</v>
      </c>
      <c r="N7051" s="8" t="s">
        <v>124</v>
      </c>
      <c r="O7051" s="7"/>
      <c r="P7051" s="2" t="s">
        <v>5614</v>
      </c>
      <c r="Q7051" s="7"/>
      <c r="R7051" s="1"/>
      <c r="S7051" s="1" t="str">
        <f>"J-UN-2018-2655"</f>
        <v>J-UN-2018-2655</v>
      </c>
      <c r="T7051" s="1" t="s">
        <v>32</v>
      </c>
    </row>
    <row r="7052" spans="1:20" ht="63.75" x14ac:dyDescent="0.25">
      <c r="A7052" s="6">
        <v>7023</v>
      </c>
      <c r="B7052" s="1" t="str">
        <f>"2018-561"</f>
        <v>2018-561</v>
      </c>
      <c r="C7052" s="1" t="s">
        <v>2672</v>
      </c>
      <c r="D7052" s="1" t="s">
        <v>2673</v>
      </c>
      <c r="E7052" s="1" t="str">
        <f>""</f>
        <v/>
      </c>
      <c r="F7052" s="1" t="s">
        <v>1860</v>
      </c>
      <c r="G7052" s="1" t="str">
        <f>CONCATENATE(" ENERGETIKA MARKETING D.O.O.,"," SOKOLSKA 25,"," 10000 ZAGREB,"," OIB: 04687731207")</f>
        <v xml:space="preserve"> ENERGETIKA MARKETING D.O.O., SOKOLSKA 25, 10000 ZAGREB, OIB: 04687731207</v>
      </c>
      <c r="H7052" s="7"/>
      <c r="I7052" s="8" t="s">
        <v>5104</v>
      </c>
      <c r="J7052" s="8" t="s">
        <v>5104</v>
      </c>
      <c r="K7052" s="6" t="str">
        <f>"353,98"</f>
        <v>353,98</v>
      </c>
      <c r="L7052" s="6" t="str">
        <f>"88,50"</f>
        <v>88,50</v>
      </c>
      <c r="M7052" s="6" t="str">
        <f>"442,48"</f>
        <v>442,48</v>
      </c>
      <c r="N7052" s="8" t="s">
        <v>124</v>
      </c>
      <c r="O7052" s="7"/>
      <c r="P7052" s="2" t="s">
        <v>5614</v>
      </c>
      <c r="Q7052" s="7"/>
      <c r="R7052" s="1"/>
      <c r="S7052" s="1" t="str">
        <f>"J-UN-2018-2661"</f>
        <v>J-UN-2018-2661</v>
      </c>
      <c r="T7052" s="1" t="s">
        <v>32</v>
      </c>
    </row>
    <row r="7053" spans="1:20" ht="63.75" x14ac:dyDescent="0.25">
      <c r="A7053" s="6">
        <v>7024</v>
      </c>
      <c r="B7053" s="1" t="str">
        <f>"2018-138"</f>
        <v>2018-138</v>
      </c>
      <c r="C7053" s="1" t="s">
        <v>2926</v>
      </c>
      <c r="D7053" s="1" t="s">
        <v>689</v>
      </c>
      <c r="E7053" s="1" t="str">
        <f>""</f>
        <v/>
      </c>
      <c r="F7053" s="1" t="s">
        <v>1860</v>
      </c>
      <c r="G7053" s="1" t="str">
        <f>CONCATENATE(" ROTOPLAST D.O.O.,"," PODUZETNIČKA 7,"," 10431 SVETA NEDJELJA - KERESTINEC,"," OIB: 3795557299")</f>
        <v xml:space="preserve"> ROTOPLAST D.O.O., PODUZETNIČKA 7, 10431 SVETA NEDJELJA - KERESTINEC, OIB: 3795557299</v>
      </c>
      <c r="H7053" s="7"/>
      <c r="I7053" s="8" t="s">
        <v>4657</v>
      </c>
      <c r="J7053" s="8" t="s">
        <v>4657</v>
      </c>
      <c r="K7053" s="6" t="str">
        <f>"85.125,00"</f>
        <v>85.125,00</v>
      </c>
      <c r="L7053" s="6" t="str">
        <f>"21.281,25"</f>
        <v>21.281,25</v>
      </c>
      <c r="M7053" s="6" t="str">
        <f>"106.406,25"</f>
        <v>106.406,25</v>
      </c>
      <c r="N7053" s="8" t="s">
        <v>1972</v>
      </c>
      <c r="O7053" s="7"/>
      <c r="P7053" s="2" t="s">
        <v>8993</v>
      </c>
      <c r="Q7053" s="7"/>
      <c r="R7053" s="1"/>
      <c r="S7053" s="1" t="str">
        <f>"J-UN-2018-2669"</f>
        <v>J-UN-2018-2669</v>
      </c>
      <c r="T7053" s="1" t="s">
        <v>32</v>
      </c>
    </row>
    <row r="7054" spans="1:20" ht="51" x14ac:dyDescent="0.25">
      <c r="A7054" s="6">
        <v>7025</v>
      </c>
      <c r="B7054" s="1" t="str">
        <f>"2018-690"</f>
        <v>2018-690</v>
      </c>
      <c r="C7054" s="1" t="s">
        <v>5159</v>
      </c>
      <c r="D7054" s="1" t="s">
        <v>2577</v>
      </c>
      <c r="E7054" s="1" t="str">
        <f>""</f>
        <v/>
      </c>
      <c r="F7054" s="1" t="s">
        <v>1860</v>
      </c>
      <c r="G7054" s="1" t="str">
        <f>CONCATENATE(" TPZ D.O.O.,"," NOVOSELSKA 25,"," 10000 ZAGREB,"," OIB: 68119083236")</f>
        <v xml:space="preserve"> TPZ D.O.O., NOVOSELSKA 25, 10000 ZAGREB, OIB: 68119083236</v>
      </c>
      <c r="H7054" s="7"/>
      <c r="I7054" s="8" t="s">
        <v>3790</v>
      </c>
      <c r="J7054" s="8" t="s">
        <v>3963</v>
      </c>
      <c r="K7054" s="6" t="str">
        <f>"19.829,41"</f>
        <v>19.829,41</v>
      </c>
      <c r="L7054" s="6" t="str">
        <f>"4.957,35"</f>
        <v>4.957,35</v>
      </c>
      <c r="M7054" s="6" t="str">
        <f>"24.786,76"</f>
        <v>24.786,76</v>
      </c>
      <c r="N7054" s="8" t="s">
        <v>3554</v>
      </c>
      <c r="O7054" s="7"/>
      <c r="P7054" s="2" t="s">
        <v>8994</v>
      </c>
      <c r="Q7054" s="7"/>
      <c r="R7054" s="1"/>
      <c r="S7054" s="1" t="str">
        <f>"J-UN-2018-2670"</f>
        <v>J-UN-2018-2670</v>
      </c>
      <c r="T7054" s="1" t="s">
        <v>32</v>
      </c>
    </row>
    <row r="7055" spans="1:20" ht="63.75" x14ac:dyDescent="0.25">
      <c r="A7055" s="6">
        <v>7026</v>
      </c>
      <c r="B7055" s="1" t="str">
        <f>"2018-630"</f>
        <v>2018-630</v>
      </c>
      <c r="C7055" s="1" t="s">
        <v>2984</v>
      </c>
      <c r="D7055" s="1" t="s">
        <v>2985</v>
      </c>
      <c r="E7055" s="1" t="str">
        <f>""</f>
        <v/>
      </c>
      <c r="F7055" s="1" t="s">
        <v>1860</v>
      </c>
      <c r="G7055" s="1" t="str">
        <f>CONCATENATE(" LANIŠTE D.O.O.,"," ALEXANDERA VON HUMBOLDTA 4B,"," 10000 ZAGREB,"," OIB: 3755384865")</f>
        <v xml:space="preserve"> LANIŠTE D.O.O., ALEXANDERA VON HUMBOLDTA 4B, 10000 ZAGREB, OIB: 3755384865</v>
      </c>
      <c r="H7055" s="7"/>
      <c r="I7055" s="8" t="s">
        <v>3913</v>
      </c>
      <c r="J7055" s="8" t="s">
        <v>5106</v>
      </c>
      <c r="K7055" s="6" t="str">
        <f>"4.032,00"</f>
        <v>4.032,00</v>
      </c>
      <c r="L7055" s="6" t="str">
        <f>"1.008,00"</f>
        <v>1.008,00</v>
      </c>
      <c r="M7055" s="6" t="str">
        <f>"5.040,00"</f>
        <v>5.040,00</v>
      </c>
      <c r="N7055" s="8" t="s">
        <v>5104</v>
      </c>
      <c r="O7055" s="7"/>
      <c r="P7055" s="2" t="s">
        <v>7919</v>
      </c>
      <c r="Q7055" s="7"/>
      <c r="R7055" s="1"/>
      <c r="S7055" s="1" t="str">
        <f>"J-UN-2018-2679"</f>
        <v>J-UN-2018-2679</v>
      </c>
      <c r="T7055" s="1" t="s">
        <v>32</v>
      </c>
    </row>
    <row r="7056" spans="1:20" ht="51" x14ac:dyDescent="0.25">
      <c r="A7056" s="6">
        <v>7027</v>
      </c>
      <c r="B7056" s="1" t="str">
        <f>"2018-3030"</f>
        <v>2018-3030</v>
      </c>
      <c r="C7056" s="1" t="s">
        <v>5362</v>
      </c>
      <c r="D7056" s="1" t="s">
        <v>483</v>
      </c>
      <c r="E7056" s="1" t="str">
        <f>""</f>
        <v/>
      </c>
      <c r="F7056" s="1" t="s">
        <v>1860</v>
      </c>
      <c r="G7056" s="1" t="str">
        <f>CONCATENATE(" SUPRA NET D.O.O.,"," MAJSTORSKA 5,"," 10000 ZAGREB,"," OIB: 4334012458")</f>
        <v xml:space="preserve"> SUPRA NET D.O.O., MAJSTORSKA 5, 10000 ZAGREB, OIB: 4334012458</v>
      </c>
      <c r="H7056" s="7"/>
      <c r="I7056" s="8" t="s">
        <v>4103</v>
      </c>
      <c r="J7056" s="8" t="s">
        <v>3974</v>
      </c>
      <c r="K7056" s="6" t="str">
        <f>"397.811,04"</f>
        <v>397.811,04</v>
      </c>
      <c r="L7056" s="6" t="str">
        <f>"99.452,76"</f>
        <v>99.452,76</v>
      </c>
      <c r="M7056" s="6" t="str">
        <f>"497.263,80"</f>
        <v>497.263,80</v>
      </c>
      <c r="N7056" s="8" t="s">
        <v>5363</v>
      </c>
      <c r="O7056" s="7"/>
      <c r="P7056" s="2" t="s">
        <v>8995</v>
      </c>
      <c r="Q7056" s="7"/>
      <c r="R7056" s="1"/>
      <c r="S7056" s="1" t="str">
        <f>"J-UN-2018-2727"</f>
        <v>J-UN-2018-2727</v>
      </c>
      <c r="T7056" s="1" t="s">
        <v>32</v>
      </c>
    </row>
    <row r="7057" spans="1:20" ht="51" x14ac:dyDescent="0.25">
      <c r="A7057" s="6">
        <v>7028</v>
      </c>
      <c r="B7057" s="1" t="str">
        <f>"2018-3044"</f>
        <v>2018-3044</v>
      </c>
      <c r="C7057" s="1" t="s">
        <v>5364</v>
      </c>
      <c r="D7057" s="1" t="s">
        <v>1641</v>
      </c>
      <c r="E7057" s="1" t="str">
        <f>""</f>
        <v/>
      </c>
      <c r="F7057" s="1" t="s">
        <v>1860</v>
      </c>
      <c r="G7057" s="1" t="str">
        <f>CONCATENATE(" ZEBAU D.O.O.,"," BRAĆE BUKOVINA 38C,"," 10290 ZAPREŠIĆ,"," OIB: 4049684908")</f>
        <v xml:space="preserve"> ZEBAU D.O.O., BRAĆE BUKOVINA 38C, 10290 ZAPREŠIĆ, OIB: 4049684908</v>
      </c>
      <c r="H7057" s="7"/>
      <c r="I7057" s="8" t="s">
        <v>5365</v>
      </c>
      <c r="J7057" s="8" t="s">
        <v>4657</v>
      </c>
      <c r="K7057" s="6" t="str">
        <f>"29.800,00"</f>
        <v>29.800,00</v>
      </c>
      <c r="L7057" s="6" t="str">
        <f>"7.450,00"</f>
        <v>7.450,00</v>
      </c>
      <c r="M7057" s="6" t="str">
        <f>"37.250,00"</f>
        <v>37.250,00</v>
      </c>
      <c r="N7057" s="8" t="s">
        <v>4045</v>
      </c>
      <c r="O7057" s="7"/>
      <c r="P7057" s="2" t="s">
        <v>8996</v>
      </c>
      <c r="Q7057" s="7"/>
      <c r="R7057" s="1"/>
      <c r="S7057" s="1" t="str">
        <f>"J-UN-2018-2735"</f>
        <v>J-UN-2018-2735</v>
      </c>
      <c r="T7057" s="1" t="s">
        <v>32</v>
      </c>
    </row>
    <row r="7058" spans="1:20" ht="51" x14ac:dyDescent="0.25">
      <c r="A7058" s="6">
        <v>7029</v>
      </c>
      <c r="B7058" s="1" t="str">
        <f>"2018-2974"</f>
        <v>2018-2974</v>
      </c>
      <c r="C7058" s="1" t="s">
        <v>5366</v>
      </c>
      <c r="D7058" s="1" t="s">
        <v>5367</v>
      </c>
      <c r="E7058" s="1" t="str">
        <f>""</f>
        <v/>
      </c>
      <c r="F7058" s="1" t="s">
        <v>1860</v>
      </c>
      <c r="G7058" s="1" t="str">
        <f>CONCATENATE(" AMICO-EKSPERT J.D.O.O.,"," KUĆINA 7,"," 51000 RIJEKA,"," OIB: 59277959515")</f>
        <v xml:space="preserve"> AMICO-EKSPERT J.D.O.O., KUĆINA 7, 51000 RIJEKA, OIB: 59277959515</v>
      </c>
      <c r="H7058" s="7"/>
      <c r="I7058" s="8" t="s">
        <v>5070</v>
      </c>
      <c r="J7058" s="8" t="s">
        <v>5368</v>
      </c>
      <c r="K7058" s="6" t="str">
        <f>"26.500,00"</f>
        <v>26.500,00</v>
      </c>
      <c r="L7058" s="6" t="str">
        <f>"6.625,00"</f>
        <v>6.625,00</v>
      </c>
      <c r="M7058" s="6" t="str">
        <f>"33.125,00"</f>
        <v>33.125,00</v>
      </c>
      <c r="N7058" s="8" t="s">
        <v>4140</v>
      </c>
      <c r="O7058" s="7"/>
      <c r="P7058" s="2" t="s">
        <v>8067</v>
      </c>
      <c r="Q7058" s="7"/>
      <c r="R7058" s="1"/>
      <c r="S7058" s="1" t="str">
        <f>"J-UN-2018-2763"</f>
        <v>J-UN-2018-2763</v>
      </c>
      <c r="T7058" s="1" t="s">
        <v>32</v>
      </c>
    </row>
    <row r="7059" spans="1:20" ht="76.5" x14ac:dyDescent="0.25">
      <c r="A7059" s="6">
        <v>7030</v>
      </c>
      <c r="B7059" s="1" t="str">
        <f>"2018-2364"</f>
        <v>2018-2364</v>
      </c>
      <c r="C7059" s="1" t="s">
        <v>5369</v>
      </c>
      <c r="D7059" s="1" t="s">
        <v>1007</v>
      </c>
      <c r="E7059" s="1" t="str">
        <f>""</f>
        <v/>
      </c>
      <c r="F7059" s="1" t="s">
        <v>1860</v>
      </c>
      <c r="G7059" s="1" t="str">
        <f>CONCATENATE(" BILIĆ-ERIĆ D.O.O.,"," TRGOVAČKI CENTAR MILLENNIJUM,"," LJUDEVITA POSAVSKOG 3,"," 10360 SESVETE,"," OIB: 685801282")</f>
        <v xml:space="preserve"> BILIĆ-ERIĆ D.O.O., TRGOVAČKI CENTAR MILLENNIJUM, LJUDEVITA POSAVSKOG 3, 10360 SESVETE, OIB: 685801282</v>
      </c>
      <c r="H7059" s="7"/>
      <c r="I7059" s="8" t="s">
        <v>4101</v>
      </c>
      <c r="J7059" s="8" t="s">
        <v>5370</v>
      </c>
      <c r="K7059" s="6" t="str">
        <f>"13.668,00"</f>
        <v>13.668,00</v>
      </c>
      <c r="L7059" s="6" t="str">
        <f>"3.417,00"</f>
        <v>3.417,00</v>
      </c>
      <c r="M7059" s="6" t="str">
        <f>"17.085,00"</f>
        <v>17.085,00</v>
      </c>
      <c r="N7059" s="8" t="s">
        <v>3971</v>
      </c>
      <c r="O7059" s="7"/>
      <c r="P7059" s="2" t="s">
        <v>8997</v>
      </c>
      <c r="Q7059" s="7"/>
      <c r="R7059" s="1"/>
      <c r="S7059" s="1" t="str">
        <f>"J-UN-2018-2767"</f>
        <v>J-UN-2018-2767</v>
      </c>
      <c r="T7059" s="1" t="s">
        <v>32</v>
      </c>
    </row>
    <row r="7060" spans="1:20" ht="51" x14ac:dyDescent="0.25">
      <c r="A7060" s="6">
        <v>7031</v>
      </c>
      <c r="B7060" s="1" t="str">
        <f>"2018-1701"</f>
        <v>2018-1701</v>
      </c>
      <c r="C7060" s="1" t="s">
        <v>2733</v>
      </c>
      <c r="D7060" s="1" t="s">
        <v>914</v>
      </c>
      <c r="E7060" s="1" t="str">
        <f>""</f>
        <v/>
      </c>
      <c r="F7060" s="1" t="s">
        <v>1860</v>
      </c>
      <c r="G7060" s="1" t="str">
        <f>CONCATENATE(" AUTO HOLETIĆ D.O.O.,"," SISAČKA 47,"," 10410 VELIKA GORICA,"," OIB: 78653954953")</f>
        <v xml:space="preserve"> AUTO HOLETIĆ D.O.O., SISAČKA 47, 10410 VELIKA GORICA, OIB: 78653954953</v>
      </c>
      <c r="H7060" s="7"/>
      <c r="I7060" s="8" t="s">
        <v>4101</v>
      </c>
      <c r="J7060" s="8" t="s">
        <v>5370</v>
      </c>
      <c r="K7060" s="6" t="str">
        <f>"768,98"</f>
        <v>768,98</v>
      </c>
      <c r="L7060" s="6" t="str">
        <f>"192,24"</f>
        <v>192,24</v>
      </c>
      <c r="M7060" s="6" t="str">
        <f>"961,22"</f>
        <v>961,22</v>
      </c>
      <c r="N7060" s="8" t="s">
        <v>5371</v>
      </c>
      <c r="O7060" s="7"/>
      <c r="P7060" s="2" t="s">
        <v>8998</v>
      </c>
      <c r="Q7060" s="7"/>
      <c r="R7060" s="1"/>
      <c r="S7060" s="1" t="str">
        <f>"J-UN-2018-2776"</f>
        <v>J-UN-2018-2776</v>
      </c>
      <c r="T7060" s="1" t="s">
        <v>32</v>
      </c>
    </row>
    <row r="7061" spans="1:20" ht="38.25" x14ac:dyDescent="0.25">
      <c r="A7061" s="6">
        <v>7032</v>
      </c>
      <c r="B7061" s="1" t="str">
        <f>"2018-394"</f>
        <v>2018-394</v>
      </c>
      <c r="C7061" s="1" t="s">
        <v>2756</v>
      </c>
      <c r="D7061" s="1" t="s">
        <v>860</v>
      </c>
      <c r="E7061" s="1" t="str">
        <f>""</f>
        <v/>
      </c>
      <c r="F7061" s="1" t="s">
        <v>1860</v>
      </c>
      <c r="G7061" s="1" t="str">
        <f>CONCATENATE(" ZET D.O.O.,"," OZALJSKA 105,"," 10000 ZAGREB,"," OIB: 82031999604")</f>
        <v xml:space="preserve"> ZET D.O.O., OZALJSKA 105, 10000 ZAGREB, OIB: 82031999604</v>
      </c>
      <c r="H7061" s="7"/>
      <c r="I7061" s="8" t="s">
        <v>5360</v>
      </c>
      <c r="J7061" s="8" t="s">
        <v>4101</v>
      </c>
      <c r="K7061" s="6" t="str">
        <f>"17.100,00"</f>
        <v>17.100,00</v>
      </c>
      <c r="L7061" s="6" t="str">
        <f>"4.275,00"</f>
        <v>4.275,00</v>
      </c>
      <c r="M7061" s="6" t="str">
        <f>"21.375,00"</f>
        <v>21.375,00</v>
      </c>
      <c r="N7061" s="8" t="s">
        <v>4082</v>
      </c>
      <c r="O7061" s="7"/>
      <c r="P7061" s="2" t="s">
        <v>8999</v>
      </c>
      <c r="Q7061" s="7"/>
      <c r="R7061" s="1"/>
      <c r="S7061" s="1" t="str">
        <f>"J-UN-2018-2779"</f>
        <v>J-UN-2018-2779</v>
      </c>
      <c r="T7061" s="1" t="s">
        <v>32</v>
      </c>
    </row>
    <row r="7062" spans="1:20" ht="51" x14ac:dyDescent="0.25">
      <c r="A7062" s="6">
        <v>7033</v>
      </c>
      <c r="B7062" s="1" t="str">
        <f>"2018-2467"</f>
        <v>2018-2467</v>
      </c>
      <c r="C7062" s="1" t="s">
        <v>5212</v>
      </c>
      <c r="D7062" s="1" t="s">
        <v>2855</v>
      </c>
      <c r="E7062" s="1" t="str">
        <f>""</f>
        <v/>
      </c>
      <c r="F7062" s="1" t="s">
        <v>1860</v>
      </c>
      <c r="G7062" s="1" t="str">
        <f>CONCATENATE(" TEHNO-HIDRAULIK D.O.O.,"," SAVIŠĆE 2,"," 10000 ZAGREB,"," OIB: 09925328419")</f>
        <v xml:space="preserve"> TEHNO-HIDRAULIK D.O.O., SAVIŠĆE 2, 10000 ZAGREB, OIB: 09925328419</v>
      </c>
      <c r="H7062" s="7"/>
      <c r="I7062" s="8" t="s">
        <v>4101</v>
      </c>
      <c r="J7062" s="8" t="s">
        <v>5370</v>
      </c>
      <c r="K7062" s="6" t="str">
        <f>"6.397,56"</f>
        <v>6.397,56</v>
      </c>
      <c r="L7062" s="6" t="str">
        <f>"1.599,39"</f>
        <v>1.599,39</v>
      </c>
      <c r="M7062" s="6" t="str">
        <f>"7.996,95"</f>
        <v>7.996,95</v>
      </c>
      <c r="N7062" s="8" t="s">
        <v>3971</v>
      </c>
      <c r="O7062" s="7"/>
      <c r="P7062" s="2" t="s">
        <v>9000</v>
      </c>
      <c r="Q7062" s="7"/>
      <c r="R7062" s="1"/>
      <c r="S7062" s="1" t="str">
        <f>"J-UN-2018-2792"</f>
        <v>J-UN-2018-2792</v>
      </c>
      <c r="T7062" s="1" t="s">
        <v>32</v>
      </c>
    </row>
    <row r="7063" spans="1:20" ht="63.75" x14ac:dyDescent="0.25">
      <c r="A7063" s="6">
        <v>7034</v>
      </c>
      <c r="B7063" s="1" t="str">
        <f>"2018-351"</f>
        <v>2018-351</v>
      </c>
      <c r="C7063" s="1" t="s">
        <v>2677</v>
      </c>
      <c r="D7063" s="1" t="s">
        <v>2678</v>
      </c>
      <c r="E7063" s="1" t="str">
        <f>""</f>
        <v/>
      </c>
      <c r="F7063" s="1" t="s">
        <v>1860</v>
      </c>
      <c r="G7063" s="1" t="str">
        <f>CONCATENATE(" GRADSKA LJEKARNA ZAGREB,"," KRALJA DRŽISLAVA 6,"," 10000 ZAGREB,"," OIB: 37268254106")</f>
        <v xml:space="preserve"> GRADSKA LJEKARNA ZAGREB, KRALJA DRŽISLAVA 6, 10000 ZAGREB, OIB: 37268254106</v>
      </c>
      <c r="H7063" s="7"/>
      <c r="I7063" s="8" t="s">
        <v>4567</v>
      </c>
      <c r="J7063" s="8" t="s">
        <v>4567</v>
      </c>
      <c r="K7063" s="6" t="str">
        <f>"1.156,02"</f>
        <v>1.156,02</v>
      </c>
      <c r="L7063" s="6" t="str">
        <f>"289,00"</f>
        <v>289,00</v>
      </c>
      <c r="M7063" s="6" t="str">
        <f>"1.445,02"</f>
        <v>1.445,02</v>
      </c>
      <c r="N7063" s="8" t="s">
        <v>4573</v>
      </c>
      <c r="O7063" s="7"/>
      <c r="P7063" s="2" t="s">
        <v>9001</v>
      </c>
      <c r="Q7063" s="7"/>
      <c r="R7063" s="1"/>
      <c r="S7063" s="1" t="str">
        <f>"J-UN-2018-2816"</f>
        <v>J-UN-2018-2816</v>
      </c>
      <c r="T7063" s="1" t="s">
        <v>32</v>
      </c>
    </row>
    <row r="7064" spans="1:20" ht="51" x14ac:dyDescent="0.25">
      <c r="A7064" s="6">
        <v>7035</v>
      </c>
      <c r="B7064" s="1" t="str">
        <f>"2018-1780"</f>
        <v>2018-1780</v>
      </c>
      <c r="C7064" s="1" t="s">
        <v>2641</v>
      </c>
      <c r="D7064" s="1" t="s">
        <v>515</v>
      </c>
      <c r="E7064" s="1" t="str">
        <f>""</f>
        <v/>
      </c>
      <c r="F7064" s="1" t="s">
        <v>1860</v>
      </c>
      <c r="G7064" s="1" t="str">
        <f>CONCATENATE(" INSTITUT IGH D.D.,"," JANKA RAKUŠE 1,"," 10000 ZAGREB,"," OIB: 79766124714")</f>
        <v xml:space="preserve"> INSTITUT IGH D.D., JANKA RAKUŠE 1, 10000 ZAGREB, OIB: 79766124714</v>
      </c>
      <c r="H7064" s="7"/>
      <c r="I7064" s="8" t="s">
        <v>4639</v>
      </c>
      <c r="J7064" s="8" t="s">
        <v>4567</v>
      </c>
      <c r="K7064" s="6" t="str">
        <f>"16.768,00"</f>
        <v>16.768,00</v>
      </c>
      <c r="L7064" s="6" t="str">
        <f>"4.192,00"</f>
        <v>4.192,00</v>
      </c>
      <c r="M7064" s="6" t="str">
        <f>"20.960,00"</f>
        <v>20.960,00</v>
      </c>
      <c r="N7064" s="8" t="s">
        <v>3882</v>
      </c>
      <c r="O7064" s="7"/>
      <c r="P7064" s="2" t="s">
        <v>9002</v>
      </c>
      <c r="Q7064" s="7"/>
      <c r="R7064" s="1"/>
      <c r="S7064" s="1" t="str">
        <f>"J-UN-2018-2817"</f>
        <v>J-UN-2018-2817</v>
      </c>
      <c r="T7064" s="1" t="s">
        <v>32</v>
      </c>
    </row>
    <row r="7065" spans="1:20" ht="63.75" x14ac:dyDescent="0.25">
      <c r="A7065" s="6">
        <v>7036</v>
      </c>
      <c r="B7065" s="1" t="str">
        <f>"2018-156"</f>
        <v>2018-156</v>
      </c>
      <c r="C7065" s="1" t="s">
        <v>5206</v>
      </c>
      <c r="D7065" s="1" t="s">
        <v>1373</v>
      </c>
      <c r="E7065" s="1" t="str">
        <f>""</f>
        <v/>
      </c>
      <c r="F7065" s="1" t="s">
        <v>1860</v>
      </c>
      <c r="G7065" s="1" t="str">
        <f>CONCATENATE(" MEDVED METALI D.O.O.,"," SLAVKA KOLARA 57,"," 10410 VELIKA GORICA,"," OIB: 47243684113")</f>
        <v xml:space="preserve"> MEDVED METALI D.O.O., SLAVKA KOLARA 57, 10410 VELIKA GORICA, OIB: 47243684113</v>
      </c>
      <c r="H7065" s="7"/>
      <c r="I7065" s="8" t="s">
        <v>5370</v>
      </c>
      <c r="J7065" s="8" t="s">
        <v>5370</v>
      </c>
      <c r="K7065" s="6" t="str">
        <f>"30.540,00"</f>
        <v>30.540,00</v>
      </c>
      <c r="L7065" s="6" t="str">
        <f>"7.635,00"</f>
        <v>7.635,00</v>
      </c>
      <c r="M7065" s="6" t="str">
        <f>"38.175,00"</f>
        <v>38.175,00</v>
      </c>
      <c r="N7065" s="8" t="s">
        <v>4573</v>
      </c>
      <c r="O7065" s="7"/>
      <c r="P7065" s="2" t="s">
        <v>9003</v>
      </c>
      <c r="Q7065" s="7"/>
      <c r="R7065" s="1"/>
      <c r="S7065" s="1" t="str">
        <f>"J-UN-2018-2832"</f>
        <v>J-UN-2018-2832</v>
      </c>
      <c r="T7065" s="1" t="s">
        <v>32</v>
      </c>
    </row>
    <row r="7066" spans="1:20" ht="63.75" x14ac:dyDescent="0.25">
      <c r="A7066" s="6">
        <v>7037</v>
      </c>
      <c r="B7066" s="1" t="str">
        <f>"2018-1994"</f>
        <v>2018-1994</v>
      </c>
      <c r="C7066" s="1" t="s">
        <v>2726</v>
      </c>
      <c r="D7066" s="1" t="s">
        <v>689</v>
      </c>
      <c r="E7066" s="1" t="str">
        <f>""</f>
        <v/>
      </c>
      <c r="F7066" s="1" t="s">
        <v>1860</v>
      </c>
      <c r="G7066" s="1" t="str">
        <f>CONCATENATE(" KEMOBOJA-DUBRAVA D.O.O.,"," AVENIJA DUBRAVA 37,"," 10000 ZAGREB,"," OIB: 6402157427")</f>
        <v xml:space="preserve"> KEMOBOJA-DUBRAVA D.O.O., AVENIJA DUBRAVA 37, 10000 ZAGREB, OIB: 6402157427</v>
      </c>
      <c r="H7066" s="7"/>
      <c r="I7066" s="8" t="s">
        <v>3880</v>
      </c>
      <c r="J7066" s="8" t="s">
        <v>4103</v>
      </c>
      <c r="K7066" s="6" t="str">
        <f>"2.160,00"</f>
        <v>2.160,00</v>
      </c>
      <c r="L7066" s="6" t="str">
        <f>"540,00"</f>
        <v>540,00</v>
      </c>
      <c r="M7066" s="6" t="str">
        <f>"2.700,00"</f>
        <v>2.700,00</v>
      </c>
      <c r="N7066" s="8" t="s">
        <v>124</v>
      </c>
      <c r="O7066" s="7"/>
      <c r="P7066" s="2" t="s">
        <v>5614</v>
      </c>
      <c r="Q7066" s="7"/>
      <c r="R7066" s="1"/>
      <c r="S7066" s="1" t="str">
        <f>"J-UN-2018-2846"</f>
        <v>J-UN-2018-2846</v>
      </c>
      <c r="T7066" s="1" t="s">
        <v>32</v>
      </c>
    </row>
    <row r="7067" spans="1:20" ht="63.75" x14ac:dyDescent="0.25">
      <c r="A7067" s="6">
        <v>7038</v>
      </c>
      <c r="B7067" s="1" t="str">
        <f>"2018-2950"</f>
        <v>2018-2950</v>
      </c>
      <c r="C7067" s="1" t="s">
        <v>2989</v>
      </c>
      <c r="D7067" s="1" t="s">
        <v>2990</v>
      </c>
      <c r="E7067" s="1" t="str">
        <f>""</f>
        <v/>
      </c>
      <c r="F7067" s="1" t="s">
        <v>1860</v>
      </c>
      <c r="G7067" s="1" t="str">
        <f>CONCATENATE(" LANIŠTE D.O.O.,"," ALEXANDERA VON HUMBOLDTA 4B,"," 10000 ZAGREB,"," OIB: 3755384865")</f>
        <v xml:space="preserve"> LANIŠTE D.O.O., ALEXANDERA VON HUMBOLDTA 4B, 10000 ZAGREB, OIB: 3755384865</v>
      </c>
      <c r="H7067" s="7"/>
      <c r="I7067" s="8" t="s">
        <v>5370</v>
      </c>
      <c r="J7067" s="8" t="s">
        <v>5365</v>
      </c>
      <c r="K7067" s="6" t="str">
        <f>"8.236,00"</f>
        <v>8.236,00</v>
      </c>
      <c r="L7067" s="6" t="str">
        <f>"2.059,00"</f>
        <v>2.059,00</v>
      </c>
      <c r="M7067" s="6" t="str">
        <f>"10.295,00"</f>
        <v>10.295,00</v>
      </c>
      <c r="N7067" s="8" t="s">
        <v>5310</v>
      </c>
      <c r="O7067" s="7"/>
      <c r="P7067" s="2" t="s">
        <v>7917</v>
      </c>
      <c r="Q7067" s="7"/>
      <c r="R7067" s="1"/>
      <c r="S7067" s="1" t="str">
        <f>"J-UN-2018-2882"</f>
        <v>J-UN-2018-2882</v>
      </c>
      <c r="T7067" s="1" t="s">
        <v>32</v>
      </c>
    </row>
    <row r="7068" spans="1:20" ht="63.75" x14ac:dyDescent="0.25">
      <c r="A7068" s="6">
        <v>7039</v>
      </c>
      <c r="B7068" s="1" t="str">
        <f>"2018-623"</f>
        <v>2018-623</v>
      </c>
      <c r="C7068" s="1" t="s">
        <v>2563</v>
      </c>
      <c r="D7068" s="1" t="s">
        <v>914</v>
      </c>
      <c r="E7068" s="1" t="str">
        <f>""</f>
        <v/>
      </c>
      <c r="F7068" s="1" t="s">
        <v>1860</v>
      </c>
      <c r="G7068" s="1" t="str">
        <f>CONCATENATE(" AUTO KUĆA KOVAČEVIĆ D.O.O.,"," BUKOVAC GORNJI 1/A,"," 10000 ZAGREB,"," OIB: 84485812058")</f>
        <v xml:space="preserve"> AUTO KUĆA KOVAČEVIĆ D.O.O., BUKOVAC GORNJI 1/A, 10000 ZAGREB, OIB: 84485812058</v>
      </c>
      <c r="H7068" s="7"/>
      <c r="I7068" s="8" t="s">
        <v>4639</v>
      </c>
      <c r="J7068" s="8" t="s">
        <v>4567</v>
      </c>
      <c r="K7068" s="6" t="str">
        <f>"3.366,60"</f>
        <v>3.366,60</v>
      </c>
      <c r="L7068" s="6" t="str">
        <f>"841,65"</f>
        <v>841,65</v>
      </c>
      <c r="M7068" s="6" t="str">
        <f>"4.208,25"</f>
        <v>4.208,25</v>
      </c>
      <c r="N7068" s="8" t="s">
        <v>124</v>
      </c>
      <c r="O7068" s="7"/>
      <c r="P7068" s="2" t="s">
        <v>5614</v>
      </c>
      <c r="Q7068" s="7"/>
      <c r="R7068" s="1"/>
      <c r="S7068" s="1" t="str">
        <f>"J-UN-2018-2909"</f>
        <v>J-UN-2018-2909</v>
      </c>
      <c r="T7068" s="1" t="s">
        <v>32</v>
      </c>
    </row>
    <row r="7069" spans="1:20" ht="51" x14ac:dyDescent="0.25">
      <c r="A7069" s="6">
        <v>7040</v>
      </c>
      <c r="B7069" s="1" t="str">
        <f>"2018-2999"</f>
        <v>2018-2999</v>
      </c>
      <c r="C7069" s="1" t="s">
        <v>5372</v>
      </c>
      <c r="D7069" s="1" t="s">
        <v>1641</v>
      </c>
      <c r="E7069" s="1" t="str">
        <f>""</f>
        <v/>
      </c>
      <c r="F7069" s="1" t="s">
        <v>1860</v>
      </c>
      <c r="G7069" s="1" t="str">
        <f>CONCATENATE(" KOPIMA D.O.O.,"," VRBIK 8B,"," 10000 ZAGREB,"," OIB: 04662252043")</f>
        <v xml:space="preserve"> KOPIMA D.O.O., VRBIK 8B, 10000 ZAGREB, OIB: 04662252043</v>
      </c>
      <c r="H7069" s="7"/>
      <c r="I7069" s="8" t="s">
        <v>4103</v>
      </c>
      <c r="J7069" s="8" t="s">
        <v>5373</v>
      </c>
      <c r="K7069" s="6" t="str">
        <f>"32.400,00"</f>
        <v>32.400,00</v>
      </c>
      <c r="L7069" s="6" t="str">
        <f>"8.100,00"</f>
        <v>8.100,00</v>
      </c>
      <c r="M7069" s="6" t="str">
        <f>"40.500,00"</f>
        <v>40.500,00</v>
      </c>
      <c r="N7069" s="8" t="s">
        <v>2259</v>
      </c>
      <c r="O7069" s="7"/>
      <c r="P7069" s="2" t="s">
        <v>9004</v>
      </c>
      <c r="Q7069" s="1"/>
      <c r="R7069" s="1"/>
      <c r="S7069" s="1" t="str">
        <f>"J-UN-2018-2914"</f>
        <v>J-UN-2018-2914</v>
      </c>
      <c r="T7069" s="1" t="s">
        <v>32</v>
      </c>
    </row>
    <row r="7070" spans="1:20" ht="51" x14ac:dyDescent="0.25">
      <c r="A7070" s="6">
        <v>7041</v>
      </c>
      <c r="B7070" s="1" t="str">
        <f>"2018-1920"</f>
        <v>2018-1920</v>
      </c>
      <c r="C7070" s="1" t="s">
        <v>5358</v>
      </c>
      <c r="D7070" s="1" t="s">
        <v>1726</v>
      </c>
      <c r="E7070" s="1" t="str">
        <f>""</f>
        <v/>
      </c>
      <c r="F7070" s="1" t="s">
        <v>1860</v>
      </c>
      <c r="G7070" s="1" t="str">
        <f>CONCATENATE(" BOXES D.O.O.,"," GUSTAVA KRKLECA 11,"," 10000 ZAGREB,"," OIB: 41791523272")</f>
        <v xml:space="preserve"> BOXES D.O.O., GUSTAVA KRKLECA 11, 10000 ZAGREB, OIB: 41791523272</v>
      </c>
      <c r="H7070" s="7"/>
      <c r="I7070" s="8" t="s">
        <v>5347</v>
      </c>
      <c r="J7070" s="8" t="s">
        <v>3554</v>
      </c>
      <c r="K7070" s="6" t="str">
        <f>"40.612,14"</f>
        <v>40.612,14</v>
      </c>
      <c r="L7070" s="6" t="str">
        <f>"10.153,04"</f>
        <v>10.153,04</v>
      </c>
      <c r="M7070" s="6" t="str">
        <f>"50.765,18"</f>
        <v>50.765,18</v>
      </c>
      <c r="N7070" s="8" t="s">
        <v>5122</v>
      </c>
      <c r="O7070" s="7"/>
      <c r="P7070" s="2" t="s">
        <v>9005</v>
      </c>
      <c r="Q7070" s="7"/>
      <c r="R7070" s="1"/>
      <c r="S7070" s="1" t="str">
        <f>"J-UN-2018-2925"</f>
        <v>J-UN-2018-2925</v>
      </c>
      <c r="T7070" s="1" t="s">
        <v>32</v>
      </c>
    </row>
    <row r="7071" spans="1:20" ht="63.75" x14ac:dyDescent="0.25">
      <c r="A7071" s="6">
        <v>7042</v>
      </c>
      <c r="B7071" s="1" t="str">
        <f>"2018-630"</f>
        <v>2018-630</v>
      </c>
      <c r="C7071" s="1" t="s">
        <v>2984</v>
      </c>
      <c r="D7071" s="1" t="s">
        <v>2985</v>
      </c>
      <c r="E7071" s="1" t="str">
        <f>""</f>
        <v/>
      </c>
      <c r="F7071" s="1" t="s">
        <v>1860</v>
      </c>
      <c r="G7071" s="1" t="str">
        <f>CONCATENATE(" LANIŠTE D.O.O.,"," ALEXANDERA VON HUMBOLDTA 4B,"," 10000 ZAGREB,"," OIB: 3755384865")</f>
        <v xml:space="preserve"> LANIŠTE D.O.O., ALEXANDERA VON HUMBOLDTA 4B, 10000 ZAGREB, OIB: 3755384865</v>
      </c>
      <c r="H7071" s="7"/>
      <c r="I7071" s="8" t="s">
        <v>4567</v>
      </c>
      <c r="J7071" s="8" t="s">
        <v>3971</v>
      </c>
      <c r="K7071" s="6" t="str">
        <f>"4.032,00"</f>
        <v>4.032,00</v>
      </c>
      <c r="L7071" s="6" t="str">
        <f>"1.008,00"</f>
        <v>1.008,00</v>
      </c>
      <c r="M7071" s="6" t="str">
        <f>"5.040,00"</f>
        <v>5.040,00</v>
      </c>
      <c r="N7071" s="8" t="s">
        <v>4567</v>
      </c>
      <c r="O7071" s="7"/>
      <c r="P7071" s="2" t="s">
        <v>7918</v>
      </c>
      <c r="Q7071" s="7"/>
      <c r="R7071" s="1"/>
      <c r="S7071" s="1" t="str">
        <f>"J-UN-2018-2931"</f>
        <v>J-UN-2018-2931</v>
      </c>
      <c r="T7071" s="1" t="s">
        <v>32</v>
      </c>
    </row>
    <row r="7072" spans="1:20" ht="51" x14ac:dyDescent="0.25">
      <c r="A7072" s="6">
        <v>7043</v>
      </c>
      <c r="B7072" s="1" t="str">
        <f>"2018-3057"</f>
        <v>2018-3057</v>
      </c>
      <c r="C7072" s="1" t="s">
        <v>5374</v>
      </c>
      <c r="D7072" s="1" t="s">
        <v>1641</v>
      </c>
      <c r="E7072" s="1" t="str">
        <f>""</f>
        <v/>
      </c>
      <c r="F7072" s="1" t="s">
        <v>1860</v>
      </c>
      <c r="G7072" s="1" t="str">
        <f>CONCATENATE(" INSTITUT IGH D.D.,"," JANKA RAKUŠE 1,"," 10000 ZAGREB,"," OIB: 79766124714")</f>
        <v xml:space="preserve"> INSTITUT IGH D.D., JANKA RAKUŠE 1, 10000 ZAGREB, OIB: 79766124714</v>
      </c>
      <c r="H7072" s="7"/>
      <c r="I7072" s="8" t="s">
        <v>4567</v>
      </c>
      <c r="J7072" s="8" t="s">
        <v>4117</v>
      </c>
      <c r="K7072" s="6" t="str">
        <f>"24.480,00"</f>
        <v>24.480,00</v>
      </c>
      <c r="L7072" s="6" t="str">
        <f>"6.120,00"</f>
        <v>6.120,00</v>
      </c>
      <c r="M7072" s="6" t="str">
        <f>"30.600,00"</f>
        <v>30.600,00</v>
      </c>
      <c r="N7072" s="8" t="s">
        <v>5375</v>
      </c>
      <c r="O7072" s="7"/>
      <c r="P7072" s="2" t="s">
        <v>9006</v>
      </c>
      <c r="Q7072" s="7"/>
      <c r="R7072" s="1"/>
      <c r="S7072" s="1" t="str">
        <f>"J-UN-2018-2944"</f>
        <v>J-UN-2018-2944</v>
      </c>
      <c r="T7072" s="1" t="s">
        <v>32</v>
      </c>
    </row>
    <row r="7073" spans="1:20" ht="63.75" x14ac:dyDescent="0.25">
      <c r="A7073" s="6">
        <v>7044</v>
      </c>
      <c r="B7073" s="1" t="str">
        <f>"2018-1758"</f>
        <v>2018-1758</v>
      </c>
      <c r="C7073" s="1" t="s">
        <v>2618</v>
      </c>
      <c r="D7073" s="1" t="s">
        <v>2619</v>
      </c>
      <c r="E7073" s="1" t="str">
        <f>""</f>
        <v/>
      </c>
      <c r="F7073" s="1" t="s">
        <v>1860</v>
      </c>
      <c r="G7073" s="1" t="str">
        <f>CONCATENATE(" MEŠTROVIĆ,"," VL. SLAVKO MEŠTROVIĆ,"," SLAVKA KOLARA 10,"," 10410 VELIKA GORICA,"," OIB: 69216090164")</f>
        <v xml:space="preserve"> MEŠTROVIĆ, VL. SLAVKO MEŠTROVIĆ, SLAVKA KOLARA 10, 10410 VELIKA GORICA, OIB: 69216090164</v>
      </c>
      <c r="H7073" s="7"/>
      <c r="I7073" s="8" t="s">
        <v>4639</v>
      </c>
      <c r="J7073" s="8" t="s">
        <v>4639</v>
      </c>
      <c r="K7073" s="6" t="str">
        <f>"1.176,00"</f>
        <v>1.176,00</v>
      </c>
      <c r="L7073" s="6" t="str">
        <f>"294,00"</f>
        <v>294,00</v>
      </c>
      <c r="M7073" s="6" t="str">
        <f>"1.470,00"</f>
        <v>1.470,00</v>
      </c>
      <c r="N7073" s="8" t="s">
        <v>124</v>
      </c>
      <c r="O7073" s="7"/>
      <c r="P7073" s="2" t="s">
        <v>5614</v>
      </c>
      <c r="Q7073" s="7"/>
      <c r="R7073" s="1"/>
      <c r="S7073" s="1" t="str">
        <f>"J-UN-2018-2951"</f>
        <v>J-UN-2018-2951</v>
      </c>
      <c r="T7073" s="1" t="s">
        <v>32</v>
      </c>
    </row>
    <row r="7074" spans="1:20" ht="51" x14ac:dyDescent="0.25">
      <c r="A7074" s="6">
        <v>7045</v>
      </c>
      <c r="B7074" s="1" t="str">
        <f>"2018-1920"</f>
        <v>2018-1920</v>
      </c>
      <c r="C7074" s="1" t="s">
        <v>5358</v>
      </c>
      <c r="D7074" s="1" t="s">
        <v>1726</v>
      </c>
      <c r="E7074" s="1" t="str">
        <f>""</f>
        <v/>
      </c>
      <c r="F7074" s="1" t="s">
        <v>1860</v>
      </c>
      <c r="G7074" s="1" t="str">
        <f>CONCATENATE(" BOXES D.O.O.,"," GUSTAVA KRKLECA 11,"," 10000 ZAGREB,"," OIB: 41791523272")</f>
        <v xml:space="preserve"> BOXES D.O.O., GUSTAVA KRKLECA 11, 10000 ZAGREB, OIB: 41791523272</v>
      </c>
      <c r="H7074" s="7"/>
      <c r="I7074" s="8" t="s">
        <v>3880</v>
      </c>
      <c r="J7074" s="8" t="s">
        <v>4103</v>
      </c>
      <c r="K7074" s="6" t="str">
        <f>"34.507,39"</f>
        <v>34.507,39</v>
      </c>
      <c r="L7074" s="6" t="str">
        <f>"8.626,85"</f>
        <v>8.626,85</v>
      </c>
      <c r="M7074" s="6" t="str">
        <f>"43.134,24"</f>
        <v>43.134,24</v>
      </c>
      <c r="N7074" s="8" t="s">
        <v>3913</v>
      </c>
      <c r="O7074" s="7"/>
      <c r="P7074" s="2" t="s">
        <v>9007</v>
      </c>
      <c r="Q7074" s="7"/>
      <c r="R7074" s="1"/>
      <c r="S7074" s="1" t="str">
        <f>"J-UN-2018-2963"</f>
        <v>J-UN-2018-2963</v>
      </c>
      <c r="T7074" s="1" t="s">
        <v>32</v>
      </c>
    </row>
    <row r="7075" spans="1:20" ht="76.5" x14ac:dyDescent="0.25">
      <c r="A7075" s="6">
        <v>7046</v>
      </c>
      <c r="B7075" s="1" t="str">
        <f>"2018-638"</f>
        <v>2018-638</v>
      </c>
      <c r="C7075" s="1" t="s">
        <v>2703</v>
      </c>
      <c r="D7075" s="1" t="s">
        <v>2704</v>
      </c>
      <c r="E7075" s="1" t="str">
        <f>""</f>
        <v/>
      </c>
      <c r="F7075" s="1" t="s">
        <v>1860</v>
      </c>
      <c r="G7075" s="1" t="str">
        <f>CONCATENATE(" SMIT-COMMERCE D.O.O.,"," GORNJOSTUPNIČKA 9B,"," 10255 GORNJI STUPNIK,"," OIB: 9524348214")</f>
        <v xml:space="preserve"> SMIT-COMMERCE D.O.O., GORNJOSTUPNIČKA 9B, 10255 GORNJI STUPNIK, OIB: 9524348214</v>
      </c>
      <c r="H7075" s="7"/>
      <c r="I7075" s="8" t="s">
        <v>3880</v>
      </c>
      <c r="J7075" s="8" t="s">
        <v>4103</v>
      </c>
      <c r="K7075" s="6" t="str">
        <f>"620,00"</f>
        <v>620,00</v>
      </c>
      <c r="L7075" s="6" t="str">
        <f>"155,00"</f>
        <v>155,00</v>
      </c>
      <c r="M7075" s="6" t="str">
        <f>"775,00"</f>
        <v>775,00</v>
      </c>
      <c r="N7075" s="8" t="s">
        <v>5376</v>
      </c>
      <c r="O7075" s="7"/>
      <c r="P7075" s="2" t="s">
        <v>9008</v>
      </c>
      <c r="Q7075" s="7"/>
      <c r="R7075" s="1"/>
      <c r="S7075" s="1" t="str">
        <f>"J-UN-2018-2964"</f>
        <v>J-UN-2018-2964</v>
      </c>
      <c r="T7075" s="1" t="s">
        <v>32</v>
      </c>
    </row>
    <row r="7076" spans="1:20" ht="63.75" x14ac:dyDescent="0.25">
      <c r="A7076" s="6">
        <v>7047</v>
      </c>
      <c r="B7076" s="1" t="str">
        <f>"2018-1421"</f>
        <v>2018-1421</v>
      </c>
      <c r="C7076" s="1" t="s">
        <v>2711</v>
      </c>
      <c r="D7076" s="1" t="s">
        <v>1914</v>
      </c>
      <c r="E7076" s="1" t="str">
        <f>""</f>
        <v/>
      </c>
      <c r="F7076" s="1" t="s">
        <v>1860</v>
      </c>
      <c r="G7076" s="1" t="str">
        <f>CONCATENATE(" S - CO D.O.O.,"," ŠĆAVONIJA 44/E,"," 52470 UMAG (UMAGO),"," OIB: 88126633655")</f>
        <v xml:space="preserve"> S - CO D.O.O., ŠĆAVONIJA 44/E, 52470 UMAG (UMAGO), OIB: 88126633655</v>
      </c>
      <c r="H7076" s="7"/>
      <c r="I7076" s="8" t="s">
        <v>4639</v>
      </c>
      <c r="J7076" s="8" t="s">
        <v>4567</v>
      </c>
      <c r="K7076" s="6" t="str">
        <f>"13.996,98"</f>
        <v>13.996,98</v>
      </c>
      <c r="L7076" s="6" t="str">
        <f>"3.499,24"</f>
        <v>3.499,24</v>
      </c>
      <c r="M7076" s="6" t="str">
        <f>"17.496,22"</f>
        <v>17.496,22</v>
      </c>
      <c r="N7076" s="8" t="s">
        <v>124</v>
      </c>
      <c r="O7076" s="7"/>
      <c r="P7076" s="2" t="s">
        <v>5614</v>
      </c>
      <c r="Q7076" s="7"/>
      <c r="R7076" s="1"/>
      <c r="S7076" s="1" t="str">
        <f>"J-UN-2018-2969"</f>
        <v>J-UN-2018-2969</v>
      </c>
      <c r="T7076" s="1" t="s">
        <v>32</v>
      </c>
    </row>
    <row r="7077" spans="1:20" ht="51" x14ac:dyDescent="0.25">
      <c r="A7077" s="6">
        <v>7048</v>
      </c>
      <c r="B7077" s="1" t="str">
        <f>"2018-3077"</f>
        <v>2018-3077</v>
      </c>
      <c r="C7077" s="1" t="s">
        <v>5377</v>
      </c>
      <c r="D7077" s="1" t="s">
        <v>5378</v>
      </c>
      <c r="E7077" s="1" t="str">
        <f>""</f>
        <v/>
      </c>
      <c r="F7077" s="1" t="s">
        <v>1860</v>
      </c>
      <c r="G7077" s="1" t="str">
        <f>CONCATENATE(" DEZINSEKCIJA D.O.O.,"," BRAJŠINA 13,"," 51000 RIJEKA,"," OIB: 75145286506")</f>
        <v xml:space="preserve"> DEZINSEKCIJA D.O.O., BRAJŠINA 13, 51000 RIJEKA, OIB: 75145286506</v>
      </c>
      <c r="H7077" s="7"/>
      <c r="I7077" s="8" t="s">
        <v>3971</v>
      </c>
      <c r="J7077" s="8" t="s">
        <v>5379</v>
      </c>
      <c r="K7077" s="6" t="str">
        <f>"189.869,00"</f>
        <v>189.869,00</v>
      </c>
      <c r="L7077" s="6" t="str">
        <f>"47.467,25"</f>
        <v>47.467,25</v>
      </c>
      <c r="M7077" s="6" t="str">
        <f>"237.336,25"</f>
        <v>237.336,25</v>
      </c>
      <c r="N7077" s="8" t="s">
        <v>2030</v>
      </c>
      <c r="O7077" s="7"/>
      <c r="P7077" s="2" t="s">
        <v>9009</v>
      </c>
      <c r="Q7077" s="7"/>
      <c r="R7077" s="1"/>
      <c r="S7077" s="1" t="str">
        <f>"J-UN-2018-3026"</f>
        <v>J-UN-2018-3026</v>
      </c>
      <c r="T7077" s="1" t="s">
        <v>32</v>
      </c>
    </row>
    <row r="7078" spans="1:20" ht="89.25" x14ac:dyDescent="0.25">
      <c r="A7078" s="6">
        <v>7049</v>
      </c>
      <c r="B7078" s="1" t="str">
        <f>"2018-1180"</f>
        <v>2018-1180</v>
      </c>
      <c r="C7078" s="1" t="s">
        <v>2839</v>
      </c>
      <c r="D7078" s="1" t="s">
        <v>2716</v>
      </c>
      <c r="E7078" s="1" t="str">
        <f>""</f>
        <v/>
      </c>
      <c r="F7078" s="1" t="s">
        <v>1860</v>
      </c>
      <c r="G7078" s="1" t="str">
        <f>CONCATENATE(" AGRO - DOM,"," VL. ZORAN CRNOMARKOVIĆ I DUBRAVKO KUŠ,"," BUNIĆEVA 20,"," 10000 ZAGREB,"," OIB: 47865426584")</f>
        <v xml:space="preserve"> AGRO - DOM, VL. ZORAN CRNOMARKOVIĆ I DUBRAVKO KUŠ, BUNIĆEVA 20, 10000 ZAGREB, OIB: 47865426584</v>
      </c>
      <c r="H7078" s="7"/>
      <c r="I7078" s="8" t="s">
        <v>4567</v>
      </c>
      <c r="J7078" s="8" t="s">
        <v>3971</v>
      </c>
      <c r="K7078" s="6" t="str">
        <f>"6.600,00"</f>
        <v>6.600,00</v>
      </c>
      <c r="L7078" s="6" t="str">
        <f>"1.650,00"</f>
        <v>1.650,00</v>
      </c>
      <c r="M7078" s="6" t="str">
        <f>"8.250,00"</f>
        <v>8.250,00</v>
      </c>
      <c r="N7078" s="8" t="s">
        <v>124</v>
      </c>
      <c r="O7078" s="7"/>
      <c r="P7078" s="2" t="s">
        <v>5614</v>
      </c>
      <c r="Q7078" s="7"/>
      <c r="R7078" s="1"/>
      <c r="S7078" s="1" t="str">
        <f>"J-UN-2018-3030"</f>
        <v>J-UN-2018-3030</v>
      </c>
      <c r="T7078" s="1" t="s">
        <v>32</v>
      </c>
    </row>
    <row r="7079" spans="1:20" ht="51" x14ac:dyDescent="0.25">
      <c r="A7079" s="6">
        <v>7050</v>
      </c>
      <c r="B7079" s="1" t="str">
        <f>"2018-1949"</f>
        <v>2018-1949</v>
      </c>
      <c r="C7079" s="1" t="s">
        <v>5182</v>
      </c>
      <c r="D7079" s="1" t="s">
        <v>2631</v>
      </c>
      <c r="E7079" s="1" t="str">
        <f>""</f>
        <v/>
      </c>
      <c r="F7079" s="1" t="s">
        <v>1860</v>
      </c>
      <c r="G7079" s="1" t="str">
        <f>CONCATENATE(" LIDER MEDIA D.O.O.,"," SAVSKA CESTA 41,"," 10000 ZAGREB,"," OIB: 75374786952")</f>
        <v xml:space="preserve"> LIDER MEDIA D.O.O., SAVSKA CESTA 41, 10000 ZAGREB, OIB: 75374786952</v>
      </c>
      <c r="H7079" s="7"/>
      <c r="I7079" s="8" t="s">
        <v>3971</v>
      </c>
      <c r="J7079" s="8" t="s">
        <v>3880</v>
      </c>
      <c r="K7079" s="6" t="str">
        <f>"25.000,00"</f>
        <v>25.000,00</v>
      </c>
      <c r="L7079" s="6" t="str">
        <f>"6.250,00"</f>
        <v>6.250,00</v>
      </c>
      <c r="M7079" s="6" t="str">
        <f>"31.250,00"</f>
        <v>31.250,00</v>
      </c>
      <c r="N7079" s="8" t="s">
        <v>124</v>
      </c>
      <c r="O7079" s="7"/>
      <c r="P7079" s="2" t="s">
        <v>5614</v>
      </c>
      <c r="Q7079" s="7"/>
      <c r="R7079" s="1"/>
      <c r="S7079" s="1" t="str">
        <f>"J-UN-2018-3043"</f>
        <v>J-UN-2018-3043</v>
      </c>
      <c r="T7079" s="1" t="s">
        <v>32</v>
      </c>
    </row>
    <row r="7080" spans="1:20" ht="51" x14ac:dyDescent="0.25">
      <c r="A7080" s="6">
        <v>7051</v>
      </c>
      <c r="B7080" s="1" t="str">
        <f>"2018-2408"</f>
        <v>2018-2408</v>
      </c>
      <c r="C7080" s="1" t="s">
        <v>3131</v>
      </c>
      <c r="D7080" s="1" t="s">
        <v>1859</v>
      </c>
      <c r="E7080" s="1" t="str">
        <f>""</f>
        <v/>
      </c>
      <c r="F7080" s="1" t="s">
        <v>1860</v>
      </c>
      <c r="G7080" s="1" t="str">
        <f>CONCATENATE(" AGENCIJA APPA D.O.O,"," MOSTARSKA 67,"," 22000 ŠIBENIK,"," OIB: 37357453647")</f>
        <v xml:space="preserve"> AGENCIJA APPA D.O.O, MOSTARSKA 67, 22000 ŠIBENIK, OIB: 37357453647</v>
      </c>
      <c r="H7080" s="7"/>
      <c r="I7080" s="8" t="s">
        <v>3880</v>
      </c>
      <c r="J7080" s="8" t="s">
        <v>3880</v>
      </c>
      <c r="K7080" s="6" t="str">
        <f>"2.943,00"</f>
        <v>2.943,00</v>
      </c>
      <c r="L7080" s="6" t="str">
        <f>"735,75"</f>
        <v>735,75</v>
      </c>
      <c r="M7080" s="6" t="str">
        <f>"3.678,75"</f>
        <v>3.678,75</v>
      </c>
      <c r="N7080" s="8" t="s">
        <v>124</v>
      </c>
      <c r="O7080" s="7"/>
      <c r="P7080" s="2" t="s">
        <v>5614</v>
      </c>
      <c r="Q7080" s="7"/>
      <c r="R7080" s="1"/>
      <c r="S7080" s="1" t="str">
        <f>"J-UN-2018-3061"</f>
        <v>J-UN-2018-3061</v>
      </c>
      <c r="T7080" s="1" t="s">
        <v>32</v>
      </c>
    </row>
    <row r="7081" spans="1:20" ht="51" x14ac:dyDescent="0.25">
      <c r="A7081" s="6">
        <v>7052</v>
      </c>
      <c r="B7081" s="1" t="str">
        <f>"2018-2745"</f>
        <v>2018-2745</v>
      </c>
      <c r="C7081" s="1" t="s">
        <v>2927</v>
      </c>
      <c r="D7081" s="1" t="s">
        <v>2928</v>
      </c>
      <c r="E7081" s="1" t="str">
        <f>""</f>
        <v/>
      </c>
      <c r="F7081" s="1" t="s">
        <v>1860</v>
      </c>
      <c r="G7081" s="1" t="str">
        <f>CONCATENATE(" MODEL-OSIG D.O.O.,"," ANTUNA ŠTRBANA 12,"," 10000 ZAGREB,"," OIB: 56618475289")</f>
        <v xml:space="preserve"> MODEL-OSIG D.O.O., ANTUNA ŠTRBANA 12, 10000 ZAGREB, OIB: 56618475289</v>
      </c>
      <c r="H7081" s="7"/>
      <c r="I7081" s="8" t="s">
        <v>4103</v>
      </c>
      <c r="J7081" s="8" t="s">
        <v>4103</v>
      </c>
      <c r="K7081" s="6" t="str">
        <f>"4.500,00"</f>
        <v>4.500,00</v>
      </c>
      <c r="L7081" s="6" t="str">
        <f>"1.125,00"</f>
        <v>1.125,00</v>
      </c>
      <c r="M7081" s="6" t="str">
        <f>"5.625,00"</f>
        <v>5.625,00</v>
      </c>
      <c r="N7081" s="8" t="s">
        <v>124</v>
      </c>
      <c r="O7081" s="7"/>
      <c r="P7081" s="2" t="s">
        <v>5614</v>
      </c>
      <c r="Q7081" s="7"/>
      <c r="R7081" s="1"/>
      <c r="S7081" s="1" t="str">
        <f>"J-UN-2018-3072"</f>
        <v>J-UN-2018-3072</v>
      </c>
      <c r="T7081" s="1" t="s">
        <v>32</v>
      </c>
    </row>
    <row r="7082" spans="1:20" ht="51" x14ac:dyDescent="0.25">
      <c r="A7082" s="6">
        <v>7053</v>
      </c>
      <c r="B7082" s="1" t="str">
        <f>"2018-1162"</f>
        <v>2018-1162</v>
      </c>
      <c r="C7082" s="1" t="s">
        <v>2937</v>
      </c>
      <c r="D7082" s="1" t="s">
        <v>2938</v>
      </c>
      <c r="E7082" s="1" t="str">
        <f>""</f>
        <v/>
      </c>
      <c r="F7082" s="1" t="s">
        <v>1860</v>
      </c>
      <c r="G7082" s="1" t="str">
        <f>CONCATENATE(" DREZGA D.O.O.,"," OBRTNIČKA 2,"," 10437 BESTOVJE,"," OIB: 46535283602")</f>
        <v xml:space="preserve"> DREZGA D.O.O., OBRTNIČKA 2, 10437 BESTOVJE, OIB: 46535283602</v>
      </c>
      <c r="H7082" s="7"/>
      <c r="I7082" s="8" t="s">
        <v>3974</v>
      </c>
      <c r="J7082" s="8" t="s">
        <v>5347</v>
      </c>
      <c r="K7082" s="6" t="str">
        <f>"4.408,00"</f>
        <v>4.408,00</v>
      </c>
      <c r="L7082" s="6" t="str">
        <f>"1.102,00"</f>
        <v>1.102,00</v>
      </c>
      <c r="M7082" s="6" t="str">
        <f>"5.510,00"</f>
        <v>5.510,00</v>
      </c>
      <c r="N7082" s="8" t="s">
        <v>4154</v>
      </c>
      <c r="O7082" s="7"/>
      <c r="P7082" s="2" t="s">
        <v>9010</v>
      </c>
      <c r="Q7082" s="7"/>
      <c r="R7082" s="1"/>
      <c r="S7082" s="1" t="str">
        <f>"J-UN-2018-3075"</f>
        <v>J-UN-2018-3075</v>
      </c>
      <c r="T7082" s="1" t="s">
        <v>32</v>
      </c>
    </row>
    <row r="7083" spans="1:20" ht="51" x14ac:dyDescent="0.25">
      <c r="A7083" s="6">
        <v>7054</v>
      </c>
      <c r="B7083" s="1" t="str">
        <f>"2018-1188"</f>
        <v>2018-1188</v>
      </c>
      <c r="C7083" s="1" t="s">
        <v>5380</v>
      </c>
      <c r="D7083" s="1" t="s">
        <v>483</v>
      </c>
      <c r="E7083" s="1" t="str">
        <f>""</f>
        <v/>
      </c>
      <c r="F7083" s="1" t="s">
        <v>1860</v>
      </c>
      <c r="G7083" s="1" t="str">
        <f>CONCATENATE(" ELNA KABEL D.O.O.,"," SELSKA CESTA 217/1A,"," 10000 ZAGREB,"," OIB: 305405687")</f>
        <v xml:space="preserve"> ELNA KABEL D.O.O., SELSKA CESTA 217/1A, 10000 ZAGREB, OIB: 305405687</v>
      </c>
      <c r="H7083" s="7"/>
      <c r="I7083" s="8" t="s">
        <v>5381</v>
      </c>
      <c r="J7083" s="8" t="s">
        <v>4117</v>
      </c>
      <c r="K7083" s="6" t="str">
        <f>"474.857,22"</f>
        <v>474.857,22</v>
      </c>
      <c r="L7083" s="6" t="str">
        <f>"118.714,30"</f>
        <v>118.714,30</v>
      </c>
      <c r="M7083" s="6" t="str">
        <f>"593.571,52"</f>
        <v>593.571,52</v>
      </c>
      <c r="N7083" s="8" t="s">
        <v>4308</v>
      </c>
      <c r="O7083" s="7"/>
      <c r="P7083" s="2" t="s">
        <v>9011</v>
      </c>
      <c r="Q7083" s="7"/>
      <c r="R7083" s="1"/>
      <c r="S7083" s="1" t="str">
        <f>"J-UN-2018-3078"</f>
        <v>J-UN-2018-3078</v>
      </c>
      <c r="T7083" s="1" t="s">
        <v>32</v>
      </c>
    </row>
    <row r="7084" spans="1:20" ht="51" x14ac:dyDescent="0.25">
      <c r="A7084" s="6">
        <v>7055</v>
      </c>
      <c r="B7084" s="1" t="str">
        <f>"2018-3168"</f>
        <v>2018-3168</v>
      </c>
      <c r="C7084" s="1" t="s">
        <v>5382</v>
      </c>
      <c r="D7084" s="1" t="s">
        <v>5383</v>
      </c>
      <c r="E7084" s="1" t="str">
        <f>""</f>
        <v/>
      </c>
      <c r="F7084" s="1" t="s">
        <v>1860</v>
      </c>
      <c r="G7084" s="1" t="str">
        <f>CONCATENATE(" KOMET D.O.O.,"," KALMANA MESARIĆA 26,"," 40323 PRELOG,"," OIB: 74845491867")</f>
        <v xml:space="preserve"> KOMET D.O.O., KALMANA MESARIĆA 26, 40323 PRELOG, OIB: 74845491867</v>
      </c>
      <c r="H7084" s="7"/>
      <c r="I7084" s="8" t="s">
        <v>5373</v>
      </c>
      <c r="J7084" s="8" t="s">
        <v>5347</v>
      </c>
      <c r="K7084" s="6" t="str">
        <f>"64.570,00"</f>
        <v>64.570,00</v>
      </c>
      <c r="L7084" s="6" t="str">
        <f>"16.142,50"</f>
        <v>16.142,50</v>
      </c>
      <c r="M7084" s="6" t="str">
        <f>"80.712,50"</f>
        <v>80.712,50</v>
      </c>
      <c r="N7084" s="8" t="s">
        <v>5384</v>
      </c>
      <c r="O7084" s="7"/>
      <c r="P7084" s="2" t="s">
        <v>9012</v>
      </c>
      <c r="Q7084" s="7"/>
      <c r="R7084" s="1"/>
      <c r="S7084" s="1" t="str">
        <f>"J-UN-2018-3094"</f>
        <v>J-UN-2018-3094</v>
      </c>
      <c r="T7084" s="1" t="s">
        <v>32</v>
      </c>
    </row>
    <row r="7085" spans="1:20" ht="63.75" x14ac:dyDescent="0.25">
      <c r="A7085" s="6">
        <v>7056</v>
      </c>
      <c r="B7085" s="1" t="str">
        <f>"2018-1928"</f>
        <v>2018-1928</v>
      </c>
      <c r="C7085" s="1" t="s">
        <v>5385</v>
      </c>
      <c r="D7085" s="1" t="s">
        <v>2331</v>
      </c>
      <c r="E7085" s="1" t="str">
        <f>""</f>
        <v/>
      </c>
      <c r="F7085" s="1" t="s">
        <v>1860</v>
      </c>
      <c r="G7085" s="1" t="str">
        <f>CONCATENATE(" STUDIO ANEGDOTA J.D.O.O.,"," MILIVOJA MATOŠECA 5,"," 10000 ZAGREB,"," OIB: 235890552")</f>
        <v xml:space="preserve"> STUDIO ANEGDOTA J.D.O.O., MILIVOJA MATOŠECA 5, 10000 ZAGREB, OIB: 235890552</v>
      </c>
      <c r="H7085" s="7"/>
      <c r="I7085" s="8" t="s">
        <v>3554</v>
      </c>
      <c r="J7085" s="8" t="s">
        <v>4117</v>
      </c>
      <c r="K7085" s="6" t="str">
        <f>"11.250,00"</f>
        <v>11.250,00</v>
      </c>
      <c r="L7085" s="6" t="str">
        <f>"2.812,50"</f>
        <v>2.812,50</v>
      </c>
      <c r="M7085" s="6" t="str">
        <f>"14.062,50"</f>
        <v>14.062,50</v>
      </c>
      <c r="N7085" s="8" t="s">
        <v>124</v>
      </c>
      <c r="O7085" s="7"/>
      <c r="P7085" s="2" t="s">
        <v>5614</v>
      </c>
      <c r="Q7085" s="7"/>
      <c r="R7085" s="1"/>
      <c r="S7085" s="1" t="str">
        <f>"J-UN-2018-3108"</f>
        <v>J-UN-2018-3108</v>
      </c>
      <c r="T7085" s="1" t="s">
        <v>32</v>
      </c>
    </row>
    <row r="7086" spans="1:20" ht="51" x14ac:dyDescent="0.25">
      <c r="A7086" s="6">
        <v>7057</v>
      </c>
      <c r="B7086" s="1" t="str">
        <f>"2018-1572"</f>
        <v>2018-1572</v>
      </c>
      <c r="C7086" s="1" t="s">
        <v>3068</v>
      </c>
      <c r="D7086" s="1" t="s">
        <v>3069</v>
      </c>
      <c r="E7086" s="1" t="str">
        <f>""</f>
        <v/>
      </c>
      <c r="F7086" s="1" t="s">
        <v>1860</v>
      </c>
      <c r="G7086" s="1" t="str">
        <f>CONCATENATE(" RV77 VL. RANKO VUČINIĆ,"," RADNIČKI DOL 1,"," 10000 ZAGREB,"," OIB: 61152043202")</f>
        <v xml:space="preserve"> RV77 VL. RANKO VUČINIĆ, RADNIČKI DOL 1, 10000 ZAGREB, OIB: 61152043202</v>
      </c>
      <c r="H7086" s="7"/>
      <c r="I7086" s="8" t="s">
        <v>3983</v>
      </c>
      <c r="J7086" s="8" t="s">
        <v>5386</v>
      </c>
      <c r="K7086" s="6" t="str">
        <f>"79.219,60"</f>
        <v>79.219,60</v>
      </c>
      <c r="L7086" s="6" t="str">
        <f>"19.804,90"</f>
        <v>19.804,90</v>
      </c>
      <c r="M7086" s="6" t="str">
        <f>"99.024,50"</f>
        <v>99.024,50</v>
      </c>
      <c r="N7086" s="8" t="s">
        <v>124</v>
      </c>
      <c r="O7086" s="7"/>
      <c r="P7086" s="2" t="s">
        <v>5614</v>
      </c>
      <c r="Q7086" s="7"/>
      <c r="R7086" s="1"/>
      <c r="S7086" s="1" t="str">
        <f>"J-UN-2018-3113"</f>
        <v>J-UN-2018-3113</v>
      </c>
      <c r="T7086" s="1" t="s">
        <v>32</v>
      </c>
    </row>
    <row r="7087" spans="1:20" ht="51" x14ac:dyDescent="0.25">
      <c r="A7087" s="6">
        <v>7058</v>
      </c>
      <c r="B7087" s="1" t="str">
        <f>"2019-12"</f>
        <v>2019-12</v>
      </c>
      <c r="C7087" s="1" t="s">
        <v>2711</v>
      </c>
      <c r="D7087" s="1" t="s">
        <v>1914</v>
      </c>
      <c r="E7087" s="1" t="str">
        <f>""</f>
        <v/>
      </c>
      <c r="F7087" s="1" t="s">
        <v>1860</v>
      </c>
      <c r="G7087" s="1" t="str">
        <f>CONCATENATE(" JADRAN-IMPEX D.O.O.,"," ,"," OIB: 87545147669")</f>
        <v xml:space="preserve"> JADRAN-IMPEX D.O.O., , OIB: 87545147669</v>
      </c>
      <c r="H7087" s="7"/>
      <c r="I7087" s="8" t="s">
        <v>5387</v>
      </c>
      <c r="J7087" s="8" t="s">
        <v>4441</v>
      </c>
      <c r="K7087" s="6" t="str">
        <f>"5.776,10"</f>
        <v>5.776,10</v>
      </c>
      <c r="L7087" s="6" t="str">
        <f>"1.444,02"</f>
        <v>1.444,02</v>
      </c>
      <c r="M7087" s="6" t="str">
        <f>"7.220,12"</f>
        <v>7.220,12</v>
      </c>
      <c r="N7087" s="8" t="s">
        <v>5295</v>
      </c>
      <c r="O7087" s="7"/>
      <c r="P7087" s="2" t="s">
        <v>9013</v>
      </c>
      <c r="Q7087" s="1"/>
      <c r="R7087" s="1"/>
      <c r="S7087" s="1" t="str">
        <f>"J-UN-2019-3135"</f>
        <v>J-UN-2019-3135</v>
      </c>
      <c r="T7087" s="1" t="s">
        <v>32</v>
      </c>
    </row>
    <row r="7088" spans="1:20" ht="51" x14ac:dyDescent="0.25">
      <c r="A7088" s="6">
        <v>7059</v>
      </c>
      <c r="B7088" s="1" t="str">
        <f>"2019-2468"</f>
        <v>2019-2468</v>
      </c>
      <c r="C7088" s="1" t="s">
        <v>5388</v>
      </c>
      <c r="D7088" s="1" t="s">
        <v>5389</v>
      </c>
      <c r="E7088" s="1" t="str">
        <f>""</f>
        <v/>
      </c>
      <c r="F7088" s="1" t="s">
        <v>1860</v>
      </c>
      <c r="G7088" s="1" t="str">
        <f>CONCATENATE(" AGM D.O.O.,"," MIHANOVIĆEVA 28,"," 10000 ZAGREB,"," OIB: 37620818018")</f>
        <v xml:space="preserve"> AGM D.O.O., MIHANOVIĆEVA 28, 10000 ZAGREB, OIB: 37620818018</v>
      </c>
      <c r="H7088" s="7"/>
      <c r="I7088" s="8" t="s">
        <v>4164</v>
      </c>
      <c r="J7088" s="8" t="s">
        <v>4164</v>
      </c>
      <c r="K7088" s="6" t="str">
        <f>"190.926,18"</f>
        <v>190.926,18</v>
      </c>
      <c r="L7088" s="6" t="str">
        <f>"47.731,54"</f>
        <v>47.731,54</v>
      </c>
      <c r="M7088" s="6" t="str">
        <f>"238.657,72"</f>
        <v>238.657,72</v>
      </c>
      <c r="N7088" s="8" t="s">
        <v>124</v>
      </c>
      <c r="O7088" s="7"/>
      <c r="P7088" s="2" t="s">
        <v>5614</v>
      </c>
      <c r="Q7088" s="7"/>
      <c r="R7088" s="1"/>
      <c r="S7088" s="1" t="str">
        <f>"J-UN-2019-3142"</f>
        <v>J-UN-2019-3142</v>
      </c>
      <c r="T7088" s="1" t="s">
        <v>32</v>
      </c>
    </row>
    <row r="7089" spans="1:20" ht="51" x14ac:dyDescent="0.25">
      <c r="A7089" s="6">
        <v>7060</v>
      </c>
      <c r="B7089" s="1" t="str">
        <f>"2019-783"</f>
        <v>2019-783</v>
      </c>
      <c r="C7089" s="1" t="s">
        <v>5182</v>
      </c>
      <c r="D7089" s="1" t="s">
        <v>2631</v>
      </c>
      <c r="E7089" s="1" t="str">
        <f>""</f>
        <v/>
      </c>
      <c r="F7089" s="1" t="s">
        <v>1860</v>
      </c>
      <c r="G7089" s="1" t="str">
        <f>CONCATENATE(" LIDER MEDIA D.O.O.,"," SAVSKA CESTA 41,"," 10000 ZAGREB,"," OIB: 75374786952")</f>
        <v xml:space="preserve"> LIDER MEDIA D.O.O., SAVSKA CESTA 41, 10000 ZAGREB, OIB: 75374786952</v>
      </c>
      <c r="H7089" s="7"/>
      <c r="I7089" s="8" t="s">
        <v>4167</v>
      </c>
      <c r="J7089" s="8" t="s">
        <v>1977</v>
      </c>
      <c r="K7089" s="6" t="str">
        <f>"7.000,00"</f>
        <v>7.000,00</v>
      </c>
      <c r="L7089" s="6" t="str">
        <f>"1.750,00"</f>
        <v>1.750,00</v>
      </c>
      <c r="M7089" s="6" t="str">
        <f>"8.750,00"</f>
        <v>8.750,00</v>
      </c>
      <c r="N7089" s="8" t="s">
        <v>124</v>
      </c>
      <c r="O7089" s="7"/>
      <c r="P7089" s="2" t="s">
        <v>5614</v>
      </c>
      <c r="Q7089" s="7"/>
      <c r="R7089" s="1"/>
      <c r="S7089" s="1" t="str">
        <f>"J-UN-2019-3175"</f>
        <v>J-UN-2019-3175</v>
      </c>
      <c r="T7089" s="1" t="s">
        <v>32</v>
      </c>
    </row>
    <row r="7090" spans="1:20" ht="51" x14ac:dyDescent="0.25">
      <c r="A7090" s="6">
        <v>7061</v>
      </c>
      <c r="B7090" s="1" t="str">
        <f>"2019-2109"</f>
        <v>2019-2109</v>
      </c>
      <c r="C7090" s="1" t="s">
        <v>2674</v>
      </c>
      <c r="D7090" s="1" t="s">
        <v>1637</v>
      </c>
      <c r="E7090" s="1" t="str">
        <f>""</f>
        <v/>
      </c>
      <c r="F7090" s="1" t="s">
        <v>1860</v>
      </c>
      <c r="G7090" s="1" t="str">
        <f>CONCATENATE(" KURIJA SUVENIRI D.O.O.,"," MIHANOVIĆEVA 4,"," 47000 KARLOVAC,"," OIB: 10384365453")</f>
        <v xml:space="preserve"> KURIJA SUVENIRI D.O.O., MIHANOVIĆEVA 4, 47000 KARLOVAC, OIB: 10384365453</v>
      </c>
      <c r="H7090" s="7"/>
      <c r="I7090" s="8" t="s">
        <v>464</v>
      </c>
      <c r="J7090" s="8" t="s">
        <v>4208</v>
      </c>
      <c r="K7090" s="6" t="str">
        <f>"36.000,00"</f>
        <v>36.000,00</v>
      </c>
      <c r="L7090" s="6" t="str">
        <f>"9.000,00"</f>
        <v>9.000,00</v>
      </c>
      <c r="M7090" s="6" t="str">
        <f>"45.000,00"</f>
        <v>45.000,00</v>
      </c>
      <c r="N7090" s="8" t="s">
        <v>3562</v>
      </c>
      <c r="O7090" s="7"/>
      <c r="P7090" s="2" t="s">
        <v>5901</v>
      </c>
      <c r="Q7090" s="7"/>
      <c r="R7090" s="1"/>
      <c r="S7090" s="1" t="str">
        <f>"J-UN-2019-3284"</f>
        <v>J-UN-2019-3284</v>
      </c>
      <c r="T7090" s="1" t="s">
        <v>32</v>
      </c>
    </row>
    <row r="7091" spans="1:20" ht="63.75" x14ac:dyDescent="0.25">
      <c r="A7091" s="6">
        <v>7062</v>
      </c>
      <c r="B7091" s="1" t="str">
        <f>"2019-363"</f>
        <v>2019-363</v>
      </c>
      <c r="C7091" s="1" t="s">
        <v>5390</v>
      </c>
      <c r="D7091" s="1" t="s">
        <v>5391</v>
      </c>
      <c r="E7091" s="1" t="str">
        <f>""</f>
        <v/>
      </c>
      <c r="F7091" s="1" t="s">
        <v>1860</v>
      </c>
      <c r="G7091" s="1" t="str">
        <f>CONCATENATE(" NOVA GENERACIJA UDRUGA U KULTURI,"," SIGET 20C,"," 10020 ZAGREB,"," OIB: 39241124166")</f>
        <v xml:space="preserve"> NOVA GENERACIJA UDRUGA U KULTURI, SIGET 20C, 10020 ZAGREB, OIB: 39241124166</v>
      </c>
      <c r="H7091" s="7"/>
      <c r="I7091" s="8" t="s">
        <v>5392</v>
      </c>
      <c r="J7091" s="8" t="s">
        <v>3882</v>
      </c>
      <c r="K7091" s="6" t="str">
        <f>"16.500,00"</f>
        <v>16.500,00</v>
      </c>
      <c r="L7091" s="6" t="str">
        <f>"4.125,00"</f>
        <v>4.125,00</v>
      </c>
      <c r="M7091" s="6" t="str">
        <f>"20.625,00"</f>
        <v>20.625,00</v>
      </c>
      <c r="N7091" s="8" t="s">
        <v>124</v>
      </c>
      <c r="O7091" s="7"/>
      <c r="P7091" s="2" t="s">
        <v>5614</v>
      </c>
      <c r="Q7091" s="7"/>
      <c r="R7091" s="1"/>
      <c r="S7091" s="1" t="str">
        <f>"J-UN-2019-3362"</f>
        <v>J-UN-2019-3362</v>
      </c>
      <c r="T7091" s="1" t="s">
        <v>32</v>
      </c>
    </row>
    <row r="7092" spans="1:20" ht="63.75" x14ac:dyDescent="0.25">
      <c r="A7092" s="6">
        <v>7063</v>
      </c>
      <c r="B7092" s="1" t="str">
        <f>"2019-1089"</f>
        <v>2019-1089</v>
      </c>
      <c r="C7092" s="1" t="s">
        <v>3230</v>
      </c>
      <c r="D7092" s="1" t="s">
        <v>3231</v>
      </c>
      <c r="E7092" s="1" t="str">
        <f>""</f>
        <v/>
      </c>
      <c r="F7092" s="1" t="s">
        <v>1860</v>
      </c>
      <c r="G7092" s="1" t="str">
        <f>CONCATENATE(" PRIMAT-LOGISTIKA D.O.O.,"," ZASTAVNICE 11,"," 10251 HRVATSKI LESKOVAC,"," OIB: 64645054565")</f>
        <v xml:space="preserve"> PRIMAT-LOGISTIKA D.O.O., ZASTAVNICE 11, 10251 HRVATSKI LESKOVAC, OIB: 64645054565</v>
      </c>
      <c r="H7092" s="7"/>
      <c r="I7092" s="8" t="s">
        <v>5393</v>
      </c>
      <c r="J7092" s="8" t="s">
        <v>4130</v>
      </c>
      <c r="K7092" s="6" t="str">
        <f>"7.370,00"</f>
        <v>7.370,00</v>
      </c>
      <c r="L7092" s="6" t="str">
        <f>"1.842,50"</f>
        <v>1.842,50</v>
      </c>
      <c r="M7092" s="6" t="str">
        <f>"9.212,50"</f>
        <v>9.212,50</v>
      </c>
      <c r="N7092" s="8" t="s">
        <v>4926</v>
      </c>
      <c r="O7092" s="7"/>
      <c r="P7092" s="2" t="s">
        <v>9014</v>
      </c>
      <c r="Q7092" s="7"/>
      <c r="R7092" s="1"/>
      <c r="S7092" s="1" t="str">
        <f>"J-UN-2019-3368"</f>
        <v>J-UN-2019-3368</v>
      </c>
      <c r="T7092" s="1" t="s">
        <v>32</v>
      </c>
    </row>
    <row r="7093" spans="1:20" ht="89.25" x14ac:dyDescent="0.25">
      <c r="A7093" s="6">
        <v>7064</v>
      </c>
      <c r="B7093" s="1" t="str">
        <f>"2019-1169"</f>
        <v>2019-1169</v>
      </c>
      <c r="C7093" s="1" t="s">
        <v>5287</v>
      </c>
      <c r="D7093" s="1" t="s">
        <v>5288</v>
      </c>
      <c r="E7093" s="1" t="str">
        <f>""</f>
        <v/>
      </c>
      <c r="F7093" s="1" t="s">
        <v>1860</v>
      </c>
      <c r="G7093" s="1" t="str">
        <f>CONCATENATE(" RASADNIK UKRASNOG BILJA ĐURO JOVANOVAC VL.SINIŠA JOVANOVAC,"," MATIJE GUPCA 33,"," 32273 GRADIŠTE,"," OIB: 63533508033")</f>
        <v xml:space="preserve"> RASADNIK UKRASNOG BILJA ĐURO JOVANOVAC VL.SINIŠA JOVANOVAC, MATIJE GUPCA 33, 32273 GRADIŠTE, OIB: 63533508033</v>
      </c>
      <c r="H7093" s="7"/>
      <c r="I7093" s="8" t="s">
        <v>5393</v>
      </c>
      <c r="J7093" s="8" t="s">
        <v>4130</v>
      </c>
      <c r="K7093" s="6" t="str">
        <f>"76.000,00"</f>
        <v>76.000,00</v>
      </c>
      <c r="L7093" s="6" t="str">
        <f>"19.000,00"</f>
        <v>19.000,00</v>
      </c>
      <c r="M7093" s="6" t="str">
        <f>"95.000,00"</f>
        <v>95.000,00</v>
      </c>
      <c r="N7093" s="8" t="s">
        <v>584</v>
      </c>
      <c r="O7093" s="7"/>
      <c r="P7093" s="2" t="s">
        <v>9015</v>
      </c>
      <c r="Q7093" s="7"/>
      <c r="R7093" s="1"/>
      <c r="S7093" s="1" t="str">
        <f>"J-UN-2019-3372"</f>
        <v>J-UN-2019-3372</v>
      </c>
      <c r="T7093" s="1" t="s">
        <v>32</v>
      </c>
    </row>
    <row r="7094" spans="1:20" ht="51" x14ac:dyDescent="0.25">
      <c r="A7094" s="6">
        <v>7065</v>
      </c>
      <c r="B7094" s="1" t="str">
        <f>"2019-246"</f>
        <v>2019-246</v>
      </c>
      <c r="C7094" s="1" t="s">
        <v>5034</v>
      </c>
      <c r="D7094" s="1" t="s">
        <v>2801</v>
      </c>
      <c r="E7094" s="1" t="str">
        <f>""</f>
        <v/>
      </c>
      <c r="F7094" s="1" t="s">
        <v>1860</v>
      </c>
      <c r="G7094" s="1" t="str">
        <f>CONCATENATE(" HAURATON HRVATSKA D.O.O.,"," ZELINSKA 7,"," 10000 ZAGREB,"," OIB: 05560556658")</f>
        <v xml:space="preserve"> HAURATON HRVATSKA D.O.O., ZELINSKA 7, 10000 ZAGREB, OIB: 05560556658</v>
      </c>
      <c r="H7094" s="7"/>
      <c r="I7094" s="8" t="s">
        <v>4233</v>
      </c>
      <c r="J7094" s="8" t="s">
        <v>4589</v>
      </c>
      <c r="K7094" s="6" t="str">
        <f>"109.996,00"</f>
        <v>109.996,00</v>
      </c>
      <c r="L7094" s="6" t="str">
        <f>"27.499,00"</f>
        <v>27.499,00</v>
      </c>
      <c r="M7094" s="6" t="str">
        <f>"137.495,00"</f>
        <v>137.495,00</v>
      </c>
      <c r="N7094" s="8" t="s">
        <v>4368</v>
      </c>
      <c r="O7094" s="7"/>
      <c r="P7094" s="2" t="s">
        <v>9016</v>
      </c>
      <c r="Q7094" s="7"/>
      <c r="R7094" s="1"/>
      <c r="S7094" s="1" t="str">
        <f>"J-UN-2019-3375"</f>
        <v>J-UN-2019-3375</v>
      </c>
      <c r="T7094" s="1" t="s">
        <v>32</v>
      </c>
    </row>
    <row r="7095" spans="1:20" ht="63.75" x14ac:dyDescent="0.25">
      <c r="A7095" s="6">
        <v>7066</v>
      </c>
      <c r="B7095" s="1" t="str">
        <f>"2019-2229"</f>
        <v>2019-2229</v>
      </c>
      <c r="C7095" s="1" t="s">
        <v>2405</v>
      </c>
      <c r="D7095" s="1" t="s">
        <v>880</v>
      </c>
      <c r="E7095" s="1" t="str">
        <f>""</f>
        <v/>
      </c>
      <c r="F7095" s="1" t="s">
        <v>1860</v>
      </c>
      <c r="G7095" s="1" t="str">
        <f>CONCATENATE(" AGRAM LIFE OSIGURANJE D.D,"," TRNJANSKA CESTA 108,"," 10000 ZAGREB,"," OIB: 18742666873")</f>
        <v xml:space="preserve"> AGRAM LIFE OSIGURANJE D.D, TRNJANSKA CESTA 108, 10000 ZAGREB, OIB: 18742666873</v>
      </c>
      <c r="H7095" s="7"/>
      <c r="I7095" s="8" t="s">
        <v>3882</v>
      </c>
      <c r="J7095" s="8" t="s">
        <v>4586</v>
      </c>
      <c r="K7095" s="6" t="str">
        <f>"3.040,00"</f>
        <v>3.040,00</v>
      </c>
      <c r="L7095" s="6" t="str">
        <f>"760,00"</f>
        <v>760,00</v>
      </c>
      <c r="M7095" s="6" t="str">
        <f>"3.800,00"</f>
        <v>3.800,00</v>
      </c>
      <c r="N7095" s="8" t="s">
        <v>124</v>
      </c>
      <c r="O7095" s="7"/>
      <c r="P7095" s="2" t="s">
        <v>5614</v>
      </c>
      <c r="Q7095" s="7"/>
      <c r="R7095" s="1"/>
      <c r="S7095" s="1" t="str">
        <f>"J-UN-2019-3381"</f>
        <v>J-UN-2019-3381</v>
      </c>
      <c r="T7095" s="1" t="s">
        <v>32</v>
      </c>
    </row>
    <row r="7096" spans="1:20" ht="63.75" x14ac:dyDescent="0.25">
      <c r="A7096" s="6">
        <v>7067</v>
      </c>
      <c r="B7096" s="1" t="str">
        <f>"2019-2278"</f>
        <v>2019-2278</v>
      </c>
      <c r="C7096" s="1" t="s">
        <v>2866</v>
      </c>
      <c r="D7096" s="1" t="s">
        <v>2867</v>
      </c>
      <c r="E7096" s="1" t="str">
        <f>""</f>
        <v/>
      </c>
      <c r="F7096" s="1" t="s">
        <v>1860</v>
      </c>
      <c r="G7096" s="1" t="str">
        <f>CONCATENATE(" AGROTUROPOLJE D.O.O.,"," VELIKOGORIČKA 43,"," 10415 NOVO ČIČE,"," OIB: 66493270332")</f>
        <v xml:space="preserve"> AGROTUROPOLJE D.O.O., VELIKOGORIČKA 43, 10415 NOVO ČIČE, OIB: 66493270332</v>
      </c>
      <c r="H7096" s="7"/>
      <c r="I7096" s="8" t="s">
        <v>4130</v>
      </c>
      <c r="J7096" s="8" t="s">
        <v>4233</v>
      </c>
      <c r="K7096" s="6" t="str">
        <f>"168.760,00"</f>
        <v>168.760,00</v>
      </c>
      <c r="L7096" s="6" t="str">
        <f>"42.190,00"</f>
        <v>42.190,00</v>
      </c>
      <c r="M7096" s="6" t="str">
        <f>"210.950,00"</f>
        <v>210.950,00</v>
      </c>
      <c r="N7096" s="8" t="s">
        <v>2011</v>
      </c>
      <c r="O7096" s="7"/>
      <c r="P7096" s="2" t="s">
        <v>9017</v>
      </c>
      <c r="Q7096" s="7"/>
      <c r="R7096" s="1"/>
      <c r="S7096" s="1" t="str">
        <f>"J-UN-2019-3383"</f>
        <v>J-UN-2019-3383</v>
      </c>
      <c r="T7096" s="1" t="s">
        <v>32</v>
      </c>
    </row>
    <row r="7097" spans="1:20" ht="63.75" x14ac:dyDescent="0.25">
      <c r="A7097" s="6">
        <v>7068</v>
      </c>
      <c r="B7097" s="1" t="str">
        <f>"2019-2305"</f>
        <v>2019-2305</v>
      </c>
      <c r="C7097" s="1" t="s">
        <v>2991</v>
      </c>
      <c r="D7097" s="1" t="s">
        <v>2992</v>
      </c>
      <c r="E7097" s="1" t="str">
        <f>""</f>
        <v/>
      </c>
      <c r="F7097" s="1" t="s">
        <v>1860</v>
      </c>
      <c r="G7097" s="1" t="str">
        <f t="shared" ref="G7097:G7102" si="248">CONCATENATE(" LANIŠTE D.O.O.,"," ALEXANDERA VON HUMBOLDTA 4B,"," 10000 ZAGREB,"," OIB: 3755384865")</f>
        <v xml:space="preserve"> LANIŠTE D.O.O., ALEXANDERA VON HUMBOLDTA 4B, 10000 ZAGREB, OIB: 3755384865</v>
      </c>
      <c r="H7097" s="7"/>
      <c r="I7097" s="8" t="s">
        <v>4586</v>
      </c>
      <c r="J7097" s="8" t="s">
        <v>4228</v>
      </c>
      <c r="K7097" s="6" t="str">
        <f>"5.836,00"</f>
        <v>5.836,00</v>
      </c>
      <c r="L7097" s="6" t="str">
        <f>"1.459,00"</f>
        <v>1.459,00</v>
      </c>
      <c r="M7097" s="6" t="str">
        <f>"7.295,00"</f>
        <v>7.295,00</v>
      </c>
      <c r="N7097" s="8" t="s">
        <v>5394</v>
      </c>
      <c r="O7097" s="7"/>
      <c r="P7097" s="2" t="s">
        <v>7917</v>
      </c>
      <c r="Q7097" s="7"/>
      <c r="R7097" s="1"/>
      <c r="S7097" s="1" t="str">
        <f>"J-UN-2019-3389"</f>
        <v>J-UN-2019-3389</v>
      </c>
      <c r="T7097" s="1" t="s">
        <v>32</v>
      </c>
    </row>
    <row r="7098" spans="1:20" ht="63.75" x14ac:dyDescent="0.25">
      <c r="A7098" s="6">
        <v>7069</v>
      </c>
      <c r="B7098" s="1" t="str">
        <f>"2019-2151"</f>
        <v>2019-2151</v>
      </c>
      <c r="C7098" s="1" t="s">
        <v>2984</v>
      </c>
      <c r="D7098" s="1" t="s">
        <v>2985</v>
      </c>
      <c r="E7098" s="1" t="str">
        <f>""</f>
        <v/>
      </c>
      <c r="F7098" s="1" t="s">
        <v>1860</v>
      </c>
      <c r="G7098" s="1" t="str">
        <f t="shared" si="248"/>
        <v xml:space="preserve"> LANIŠTE D.O.O., ALEXANDERA VON HUMBOLDTA 4B, 10000 ZAGREB, OIB: 3755384865</v>
      </c>
      <c r="H7098" s="7"/>
      <c r="I7098" s="8" t="s">
        <v>4586</v>
      </c>
      <c r="J7098" s="8" t="s">
        <v>4228</v>
      </c>
      <c r="K7098" s="6" t="str">
        <f>"6.232,00"</f>
        <v>6.232,00</v>
      </c>
      <c r="L7098" s="6" t="str">
        <f>"1.558,00"</f>
        <v>1.558,00</v>
      </c>
      <c r="M7098" s="6" t="str">
        <f>"7.790,00"</f>
        <v>7.790,00</v>
      </c>
      <c r="N7098" s="8" t="s">
        <v>5394</v>
      </c>
      <c r="O7098" s="7"/>
      <c r="P7098" s="2" t="s">
        <v>7919</v>
      </c>
      <c r="Q7098" s="7"/>
      <c r="R7098" s="1"/>
      <c r="S7098" s="1" t="str">
        <f>"J-UN-2019-3390"</f>
        <v>J-UN-2019-3390</v>
      </c>
      <c r="T7098" s="1" t="s">
        <v>32</v>
      </c>
    </row>
    <row r="7099" spans="1:20" ht="63.75" x14ac:dyDescent="0.25">
      <c r="A7099" s="6">
        <v>7070</v>
      </c>
      <c r="B7099" s="1" t="str">
        <f>"2019-600"</f>
        <v>2019-600</v>
      </c>
      <c r="C7099" s="1" t="s">
        <v>2986</v>
      </c>
      <c r="D7099" s="1" t="s">
        <v>2985</v>
      </c>
      <c r="E7099" s="1" t="str">
        <f>""</f>
        <v/>
      </c>
      <c r="F7099" s="1" t="s">
        <v>1860</v>
      </c>
      <c r="G7099" s="1" t="str">
        <f t="shared" si="248"/>
        <v xml:space="preserve"> LANIŠTE D.O.O., ALEXANDERA VON HUMBOLDTA 4B, 10000 ZAGREB, OIB: 3755384865</v>
      </c>
      <c r="H7099" s="7"/>
      <c r="I7099" s="8" t="s">
        <v>4586</v>
      </c>
      <c r="J7099" s="8" t="s">
        <v>4228</v>
      </c>
      <c r="K7099" s="6" t="str">
        <f>"6.032,00"</f>
        <v>6.032,00</v>
      </c>
      <c r="L7099" s="6" t="str">
        <f>"1.508,00"</f>
        <v>1.508,00</v>
      </c>
      <c r="M7099" s="6" t="str">
        <f>"7.540,00"</f>
        <v>7.540,00</v>
      </c>
      <c r="N7099" s="8" t="s">
        <v>5394</v>
      </c>
      <c r="O7099" s="7"/>
      <c r="P7099" s="2" t="s">
        <v>7919</v>
      </c>
      <c r="Q7099" s="7"/>
      <c r="R7099" s="1"/>
      <c r="S7099" s="1" t="str">
        <f>"J-UN-2019-3391"</f>
        <v>J-UN-2019-3391</v>
      </c>
      <c r="T7099" s="1" t="s">
        <v>32</v>
      </c>
    </row>
    <row r="7100" spans="1:20" ht="63.75" x14ac:dyDescent="0.25">
      <c r="A7100" s="6">
        <v>7071</v>
      </c>
      <c r="B7100" s="1" t="str">
        <f>"2019-1229"</f>
        <v>2019-1229</v>
      </c>
      <c r="C7100" s="1" t="s">
        <v>2987</v>
      </c>
      <c r="D7100" s="1" t="s">
        <v>2988</v>
      </c>
      <c r="E7100" s="1" t="str">
        <f>""</f>
        <v/>
      </c>
      <c r="F7100" s="1" t="s">
        <v>1860</v>
      </c>
      <c r="G7100" s="1" t="str">
        <f t="shared" si="248"/>
        <v xml:space="preserve"> LANIŠTE D.O.O., ALEXANDERA VON HUMBOLDTA 4B, 10000 ZAGREB, OIB: 3755384865</v>
      </c>
      <c r="H7100" s="7"/>
      <c r="I7100" s="8" t="s">
        <v>4586</v>
      </c>
      <c r="J7100" s="8" t="s">
        <v>4228</v>
      </c>
      <c r="K7100" s="6" t="str">
        <f>"6.332,00"</f>
        <v>6.332,00</v>
      </c>
      <c r="L7100" s="6" t="str">
        <f>"1.583,00"</f>
        <v>1.583,00</v>
      </c>
      <c r="M7100" s="6" t="str">
        <f>"7.915,00"</f>
        <v>7.915,00</v>
      </c>
      <c r="N7100" s="8" t="s">
        <v>5394</v>
      </c>
      <c r="O7100" s="7"/>
      <c r="P7100" s="2" t="s">
        <v>7919</v>
      </c>
      <c r="Q7100" s="7"/>
      <c r="R7100" s="1"/>
      <c r="S7100" s="1" t="str">
        <f>"J-UN-2019-3392"</f>
        <v>J-UN-2019-3392</v>
      </c>
      <c r="T7100" s="1" t="s">
        <v>32</v>
      </c>
    </row>
    <row r="7101" spans="1:20" ht="63.75" x14ac:dyDescent="0.25">
      <c r="A7101" s="6">
        <v>7072</v>
      </c>
      <c r="B7101" s="1" t="str">
        <f>"2019-1694"</f>
        <v>2019-1694</v>
      </c>
      <c r="C7101" s="1" t="s">
        <v>2993</v>
      </c>
      <c r="D7101" s="1" t="s">
        <v>2994</v>
      </c>
      <c r="E7101" s="1" t="str">
        <f>""</f>
        <v/>
      </c>
      <c r="F7101" s="1" t="s">
        <v>1860</v>
      </c>
      <c r="G7101" s="1" t="str">
        <f t="shared" si="248"/>
        <v xml:space="preserve"> LANIŠTE D.O.O., ALEXANDERA VON HUMBOLDTA 4B, 10000 ZAGREB, OIB: 3755384865</v>
      </c>
      <c r="H7101" s="7"/>
      <c r="I7101" s="8" t="s">
        <v>4228</v>
      </c>
      <c r="J7101" s="8" t="s">
        <v>5395</v>
      </c>
      <c r="K7101" s="6" t="str">
        <f>"5.932,00"</f>
        <v>5.932,00</v>
      </c>
      <c r="L7101" s="6" t="str">
        <f>"1.483,00"</f>
        <v>1.483,00</v>
      </c>
      <c r="M7101" s="6" t="str">
        <f>"7.415,00"</f>
        <v>7.415,00</v>
      </c>
      <c r="N7101" s="8" t="s">
        <v>5394</v>
      </c>
      <c r="O7101" s="7"/>
      <c r="P7101" s="2" t="s">
        <v>7918</v>
      </c>
      <c r="Q7101" s="7"/>
      <c r="R7101" s="1"/>
      <c r="S7101" s="1" t="str">
        <f>"J-UN-2019-3393"</f>
        <v>J-UN-2019-3393</v>
      </c>
      <c r="T7101" s="1" t="s">
        <v>32</v>
      </c>
    </row>
    <row r="7102" spans="1:20" ht="63.75" x14ac:dyDescent="0.25">
      <c r="A7102" s="6">
        <v>7073</v>
      </c>
      <c r="B7102" s="1" t="str">
        <f>"2019-1083"</f>
        <v>2019-1083</v>
      </c>
      <c r="C7102" s="1" t="s">
        <v>2989</v>
      </c>
      <c r="D7102" s="1" t="s">
        <v>2990</v>
      </c>
      <c r="E7102" s="1" t="str">
        <f>""</f>
        <v/>
      </c>
      <c r="F7102" s="1" t="s">
        <v>1860</v>
      </c>
      <c r="G7102" s="1" t="str">
        <f t="shared" si="248"/>
        <v xml:space="preserve"> LANIŠTE D.O.O., ALEXANDERA VON HUMBOLDTA 4B, 10000 ZAGREB, OIB: 3755384865</v>
      </c>
      <c r="H7102" s="7"/>
      <c r="I7102" s="8" t="s">
        <v>4228</v>
      </c>
      <c r="J7102" s="8" t="s">
        <v>5395</v>
      </c>
      <c r="K7102" s="6" t="str">
        <f>"5.636,00"</f>
        <v>5.636,00</v>
      </c>
      <c r="L7102" s="6" t="str">
        <f>"1.409,00"</f>
        <v>1.409,00</v>
      </c>
      <c r="M7102" s="6" t="str">
        <f>"7.045,00"</f>
        <v>7.045,00</v>
      </c>
      <c r="N7102" s="8" t="s">
        <v>5394</v>
      </c>
      <c r="O7102" s="7"/>
      <c r="P7102" s="2" t="s">
        <v>7917</v>
      </c>
      <c r="Q7102" s="7"/>
      <c r="R7102" s="1"/>
      <c r="S7102" s="1" t="str">
        <f>"J-UN-2019-3394"</f>
        <v>J-UN-2019-3394</v>
      </c>
      <c r="T7102" s="1" t="s">
        <v>32</v>
      </c>
    </row>
    <row r="7103" spans="1:20" ht="51" x14ac:dyDescent="0.25">
      <c r="A7103" s="6">
        <v>7074</v>
      </c>
      <c r="B7103" s="1" t="str">
        <f>"2019-2112"</f>
        <v>2019-2112</v>
      </c>
      <c r="C7103" s="1" t="s">
        <v>2642</v>
      </c>
      <c r="D7103" s="1" t="s">
        <v>1236</v>
      </c>
      <c r="E7103" s="1" t="str">
        <f>""</f>
        <v/>
      </c>
      <c r="F7103" s="1" t="s">
        <v>1860</v>
      </c>
      <c r="G7103" s="1" t="str">
        <f>CONCATENATE(" EUROMONT INTRO D.O.O.,"," KANALSKI PUT 20,"," 10000 ZAGREB,"," OIB: 46289034988")</f>
        <v xml:space="preserve"> EUROMONT INTRO D.O.O., KANALSKI PUT 20, 10000 ZAGREB, OIB: 46289034988</v>
      </c>
      <c r="H7103" s="7"/>
      <c r="I7103" s="8" t="s">
        <v>4228</v>
      </c>
      <c r="J7103" s="8" t="s">
        <v>5395</v>
      </c>
      <c r="K7103" s="6" t="str">
        <f>"5.350,00"</f>
        <v>5.350,00</v>
      </c>
      <c r="L7103" s="6" t="str">
        <f>"1.337,50"</f>
        <v>1.337,50</v>
      </c>
      <c r="M7103" s="6" t="str">
        <f>"6.687,50"</f>
        <v>6.687,50</v>
      </c>
      <c r="N7103" s="8" t="s">
        <v>124</v>
      </c>
      <c r="O7103" s="7"/>
      <c r="P7103" s="2" t="s">
        <v>5614</v>
      </c>
      <c r="Q7103" s="7"/>
      <c r="R7103" s="1"/>
      <c r="S7103" s="1" t="str">
        <f>"J-UN-2019-3443"</f>
        <v>J-UN-2019-3443</v>
      </c>
      <c r="T7103" s="1" t="s">
        <v>32</v>
      </c>
    </row>
    <row r="7104" spans="1:20" ht="63.75" x14ac:dyDescent="0.25">
      <c r="A7104" s="6">
        <v>7075</v>
      </c>
      <c r="B7104" s="1" t="str">
        <f>"2019-2151"</f>
        <v>2019-2151</v>
      </c>
      <c r="C7104" s="1" t="s">
        <v>2984</v>
      </c>
      <c r="D7104" s="1" t="s">
        <v>2985</v>
      </c>
      <c r="E7104" s="1" t="str">
        <f>""</f>
        <v/>
      </c>
      <c r="F7104" s="1" t="s">
        <v>1860</v>
      </c>
      <c r="G7104" s="1" t="str">
        <f>CONCATENATE(" LANIŠTE D.O.O.,"," ALEXANDERA VON HUMBOLDTA 4B,"," 10000 ZAGREB,"," OIB: 3755384865")</f>
        <v xml:space="preserve"> LANIŠTE D.O.O., ALEXANDERA VON HUMBOLDTA 4B, 10000 ZAGREB, OIB: 3755384865</v>
      </c>
      <c r="H7104" s="7"/>
      <c r="I7104" s="8" t="s">
        <v>4228</v>
      </c>
      <c r="J7104" s="8" t="s">
        <v>5395</v>
      </c>
      <c r="K7104" s="6" t="str">
        <f>"4.032,00"</f>
        <v>4.032,00</v>
      </c>
      <c r="L7104" s="6" t="str">
        <f>"1.008,00"</f>
        <v>1.008,00</v>
      </c>
      <c r="M7104" s="6" t="str">
        <f>"5.040,00"</f>
        <v>5.040,00</v>
      </c>
      <c r="N7104" s="8" t="s">
        <v>3719</v>
      </c>
      <c r="O7104" s="7"/>
      <c r="P7104" s="2" t="s">
        <v>7918</v>
      </c>
      <c r="Q7104" s="7"/>
      <c r="R7104" s="1"/>
      <c r="S7104" s="1" t="str">
        <f>"J-UN-2019-3463"</f>
        <v>J-UN-2019-3463</v>
      </c>
      <c r="T7104" s="1" t="s">
        <v>32</v>
      </c>
    </row>
    <row r="7105" spans="1:20" ht="51" x14ac:dyDescent="0.25">
      <c r="A7105" s="6">
        <v>7076</v>
      </c>
      <c r="B7105" s="1" t="str">
        <f>"2019-13"</f>
        <v>2019-13</v>
      </c>
      <c r="C7105" s="1" t="s">
        <v>2761</v>
      </c>
      <c r="D7105" s="1" t="s">
        <v>2762</v>
      </c>
      <c r="E7105" s="1" t="str">
        <f>""</f>
        <v/>
      </c>
      <c r="F7105" s="1" t="s">
        <v>1860</v>
      </c>
      <c r="G7105" s="1" t="str">
        <f>CONCATENATE(" ADRIALIFT D.O.O.,"," BRAĆE BAĆIĆA 36,"," 51000 RIJEKA,"," OIB: 36856415212")</f>
        <v xml:space="preserve"> ADRIALIFT D.O.O., BRAĆE BAĆIĆA 36, 51000 RIJEKA, OIB: 36856415212</v>
      </c>
      <c r="H7105" s="7"/>
      <c r="I7105" s="8" t="s">
        <v>4637</v>
      </c>
      <c r="J7105" s="8" t="s">
        <v>5393</v>
      </c>
      <c r="K7105" s="6" t="str">
        <f>"1.250,00"</f>
        <v>1.250,00</v>
      </c>
      <c r="L7105" s="6" t="str">
        <f>"312,50"</f>
        <v>312,50</v>
      </c>
      <c r="M7105" s="6" t="str">
        <f>"1.562,50"</f>
        <v>1.562,50</v>
      </c>
      <c r="N7105" s="8" t="s">
        <v>4258</v>
      </c>
      <c r="O7105" s="7"/>
      <c r="P7105" s="2" t="s">
        <v>6841</v>
      </c>
      <c r="Q7105" s="7"/>
      <c r="R7105" s="1"/>
      <c r="S7105" s="1" t="str">
        <f>"J-UN-2019-3492"</f>
        <v>J-UN-2019-3492</v>
      </c>
      <c r="T7105" s="1" t="s">
        <v>32</v>
      </c>
    </row>
    <row r="7106" spans="1:20" ht="51" x14ac:dyDescent="0.25">
      <c r="A7106" s="6">
        <v>7077</v>
      </c>
      <c r="B7106" s="1" t="str">
        <f>"2019-1558"</f>
        <v>2019-1558</v>
      </c>
      <c r="C7106" s="1" t="s">
        <v>2722</v>
      </c>
      <c r="D7106" s="1" t="s">
        <v>1428</v>
      </c>
      <c r="E7106" s="1" t="str">
        <f>""</f>
        <v/>
      </c>
      <c r="F7106" s="1" t="s">
        <v>1860</v>
      </c>
      <c r="G7106" s="1" t="str">
        <f>CONCATENATE(" TOP TEAM PLUS D.O.O.,"," HRASTOVIČKA 19,"," 10250 LUČKO,"," OIB: 39314954298")</f>
        <v xml:space="preserve"> TOP TEAM PLUS D.O.O., HRASTOVIČKA 19, 10250 LUČKO, OIB: 39314954298</v>
      </c>
      <c r="H7106" s="7"/>
      <c r="I7106" s="8" t="s">
        <v>511</v>
      </c>
      <c r="J7106" s="8" t="s">
        <v>5089</v>
      </c>
      <c r="K7106" s="6" t="str">
        <f>"8.100,00"</f>
        <v>8.100,00</v>
      </c>
      <c r="L7106" s="6" t="str">
        <f>"2.025,00"</f>
        <v>2.025,00</v>
      </c>
      <c r="M7106" s="6" t="str">
        <f>"10.125,00"</f>
        <v>10.125,00</v>
      </c>
      <c r="N7106" s="8" t="s">
        <v>484</v>
      </c>
      <c r="O7106" s="7"/>
      <c r="P7106" s="2" t="s">
        <v>9018</v>
      </c>
      <c r="Q7106" s="7"/>
      <c r="R7106" s="1"/>
      <c r="S7106" s="1" t="str">
        <f>"J-UN-2019-3499"</f>
        <v>J-UN-2019-3499</v>
      </c>
      <c r="T7106" s="1" t="s">
        <v>32</v>
      </c>
    </row>
    <row r="7107" spans="1:20" ht="76.5" x14ac:dyDescent="0.25">
      <c r="A7107" s="6">
        <v>7078</v>
      </c>
      <c r="B7107" s="1" t="str">
        <f>"2019-177"</f>
        <v>2019-177</v>
      </c>
      <c r="C7107" s="1" t="s">
        <v>2877</v>
      </c>
      <c r="D7107" s="1" t="s">
        <v>794</v>
      </c>
      <c r="E7107" s="1" t="str">
        <f>""</f>
        <v/>
      </c>
      <c r="F7107" s="1" t="s">
        <v>1860</v>
      </c>
      <c r="G7107" s="1" t="str">
        <f>CONCATENATE(" MAN IMPORTER HRVATSKA D.O.O.,"," ZASTAVNICE 25C,"," 10251 HRVATSKI LESKOVAC,"," OIB: 07719493783")</f>
        <v xml:space="preserve"> MAN IMPORTER HRVATSKA D.O.O., ZASTAVNICE 25C, 10251 HRVATSKI LESKOVAC, OIB: 07719493783</v>
      </c>
      <c r="H7107" s="7"/>
      <c r="I7107" s="8" t="s">
        <v>4637</v>
      </c>
      <c r="J7107" s="8" t="s">
        <v>5393</v>
      </c>
      <c r="K7107" s="6" t="str">
        <f>"15.100,00"</f>
        <v>15.100,00</v>
      </c>
      <c r="L7107" s="6" t="str">
        <f>"3.775,00"</f>
        <v>3.775,00</v>
      </c>
      <c r="M7107" s="6" t="str">
        <f>"18.875,00"</f>
        <v>18.875,00</v>
      </c>
      <c r="N7107" s="8" t="s">
        <v>5396</v>
      </c>
      <c r="O7107" s="7"/>
      <c r="P7107" s="2" t="s">
        <v>9019</v>
      </c>
      <c r="Q7107" s="7"/>
      <c r="R7107" s="1"/>
      <c r="S7107" s="1" t="str">
        <f>"J-UN-2019-3507"</f>
        <v>J-UN-2019-3507</v>
      </c>
      <c r="T7107" s="1" t="s">
        <v>32</v>
      </c>
    </row>
    <row r="7108" spans="1:20" ht="51" x14ac:dyDescent="0.25">
      <c r="A7108" s="6">
        <v>7079</v>
      </c>
      <c r="B7108" s="1" t="str">
        <f>"2019-2699"</f>
        <v>2019-2699</v>
      </c>
      <c r="C7108" s="1" t="s">
        <v>5397</v>
      </c>
      <c r="D7108" s="1" t="s">
        <v>1865</v>
      </c>
      <c r="E7108" s="1" t="str">
        <f>""</f>
        <v/>
      </c>
      <c r="F7108" s="1" t="s">
        <v>1860</v>
      </c>
      <c r="G7108" s="1" t="str">
        <f>CONCATENATE(" VEČERNJI LIST D.O.O.,"," OREŠKOVIĆEVA 6H1,"," 10000 ZAGREB,"," OIB: 92276133102")</f>
        <v xml:space="preserve"> VEČERNJI LIST D.O.O., OREŠKOVIĆEVA 6H1, 10000 ZAGREB, OIB: 92276133102</v>
      </c>
      <c r="H7108" s="7"/>
      <c r="I7108" s="8" t="s">
        <v>4637</v>
      </c>
      <c r="J7108" s="8" t="s">
        <v>5393</v>
      </c>
      <c r="K7108" s="6" t="str">
        <f>"100.000,00"</f>
        <v>100.000,00</v>
      </c>
      <c r="L7108" s="6" t="str">
        <f>"25.000,00"</f>
        <v>25.000,00</v>
      </c>
      <c r="M7108" s="6" t="str">
        <f>"125.000,00"</f>
        <v>125.000,00</v>
      </c>
      <c r="N7108" s="8" t="s">
        <v>124</v>
      </c>
      <c r="O7108" s="7"/>
      <c r="P7108" s="2" t="s">
        <v>5614</v>
      </c>
      <c r="Q7108" s="7"/>
      <c r="R7108" s="1"/>
      <c r="S7108" s="1" t="str">
        <f>"J-UN-2019-3522"</f>
        <v>J-UN-2019-3522</v>
      </c>
      <c r="T7108" s="1" t="s">
        <v>32</v>
      </c>
    </row>
    <row r="7109" spans="1:20" ht="76.5" x14ac:dyDescent="0.25">
      <c r="A7109" s="6">
        <v>7080</v>
      </c>
      <c r="B7109" s="1" t="str">
        <f>"2019-2675"</f>
        <v>2019-2675</v>
      </c>
      <c r="C7109" s="1" t="s">
        <v>5398</v>
      </c>
      <c r="D7109" s="1" t="s">
        <v>5341</v>
      </c>
      <c r="E7109" s="1" t="str">
        <f>""</f>
        <v/>
      </c>
      <c r="F7109" s="1" t="s">
        <v>1860</v>
      </c>
      <c r="G7109" s="1" t="str">
        <f>CONCATENATE(" PASTOR - TVA - D.D.,"," RAKITJE,"," NOVAČKA 2,"," 10437 BESTOVJE,"," OIB: 17140959007")</f>
        <v xml:space="preserve"> PASTOR - TVA - D.D., RAKITJE, NOVAČKA 2, 10437 BESTOVJE, OIB: 17140959007</v>
      </c>
      <c r="H7109" s="7"/>
      <c r="I7109" s="8" t="s">
        <v>4589</v>
      </c>
      <c r="J7109" s="8" t="s">
        <v>4117</v>
      </c>
      <c r="K7109" s="6" t="str">
        <f>"59.680,00"</f>
        <v>59.680,00</v>
      </c>
      <c r="L7109" s="6" t="str">
        <f>"14.920,00"</f>
        <v>14.920,00</v>
      </c>
      <c r="M7109" s="6" t="str">
        <f>"74.600,00"</f>
        <v>74.600,00</v>
      </c>
      <c r="N7109" s="8" t="s">
        <v>4429</v>
      </c>
      <c r="O7109" s="7"/>
      <c r="P7109" s="2" t="s">
        <v>9020</v>
      </c>
      <c r="Q7109" s="7"/>
      <c r="R7109" s="1"/>
      <c r="S7109" s="1" t="str">
        <f>"J-UN-2019-3548"</f>
        <v>J-UN-2019-3548</v>
      </c>
      <c r="T7109" s="1" t="s">
        <v>32</v>
      </c>
    </row>
    <row r="7110" spans="1:20" ht="63.75" x14ac:dyDescent="0.25">
      <c r="A7110" s="6">
        <v>7081</v>
      </c>
      <c r="B7110" s="1" t="str">
        <f>"2019-2186"</f>
        <v>2019-2186</v>
      </c>
      <c r="C7110" s="1" t="s">
        <v>2558</v>
      </c>
      <c r="D7110" s="1" t="s">
        <v>860</v>
      </c>
      <c r="E7110" s="1" t="str">
        <f>""</f>
        <v/>
      </c>
      <c r="F7110" s="1" t="s">
        <v>1860</v>
      </c>
      <c r="G7110" s="1" t="str">
        <f>CONCATENATE(" STROJOGRADNJA,"," VL. DORA PERŠI,"," RAKITJE,"," RADNIČKA 9,"," 10431 SVETA NEDJELJA,"," OIB: 72791562742")</f>
        <v xml:space="preserve"> STROJOGRADNJA, VL. DORA PERŠI, RAKITJE, RADNIČKA 9, 10431 SVETA NEDJELJA, OIB: 72791562742</v>
      </c>
      <c r="H7110" s="7"/>
      <c r="I7110" s="8" t="s">
        <v>5089</v>
      </c>
      <c r="J7110" s="8" t="s">
        <v>3562</v>
      </c>
      <c r="K7110" s="6" t="str">
        <f>"4.320,00"</f>
        <v>4.320,00</v>
      </c>
      <c r="L7110" s="6" t="str">
        <f>"1.080,00"</f>
        <v>1.080,00</v>
      </c>
      <c r="M7110" s="6" t="str">
        <f>"5.400,00"</f>
        <v>5.400,00</v>
      </c>
      <c r="N7110" s="8" t="s">
        <v>124</v>
      </c>
      <c r="O7110" s="7"/>
      <c r="P7110" s="2" t="s">
        <v>5614</v>
      </c>
      <c r="Q7110" s="7"/>
      <c r="R7110" s="1"/>
      <c r="S7110" s="1" t="str">
        <f>"J-UN-2019-3597"</f>
        <v>J-UN-2019-3597</v>
      </c>
      <c r="T7110" s="1" t="s">
        <v>32</v>
      </c>
    </row>
    <row r="7111" spans="1:20" ht="63.75" x14ac:dyDescent="0.25">
      <c r="A7111" s="6">
        <v>7082</v>
      </c>
      <c r="B7111" s="1" t="str">
        <f>"2019-219"</f>
        <v>2019-219</v>
      </c>
      <c r="C7111" s="1" t="s">
        <v>3004</v>
      </c>
      <c r="D7111" s="1" t="s">
        <v>3005</v>
      </c>
      <c r="E7111" s="1" t="str">
        <f>""</f>
        <v/>
      </c>
      <c r="F7111" s="1" t="s">
        <v>1860</v>
      </c>
      <c r="G7111" s="1" t="str">
        <f>CONCATENATE(" VETERINARSKA STANICA SESVETE D.O.O.,"," JELKOVEČKA 2,"," 10360 SESVETE,"," OIB: 85969503819")</f>
        <v xml:space="preserve"> VETERINARSKA STANICA SESVETE D.O.O., JELKOVEČKA 2, 10360 SESVETE, OIB: 85969503819</v>
      </c>
      <c r="H7111" s="7"/>
      <c r="I7111" s="8" t="s">
        <v>5089</v>
      </c>
      <c r="J7111" s="8" t="s">
        <v>3806</v>
      </c>
      <c r="K7111" s="6" t="str">
        <f>"122.130,00"</f>
        <v>122.130,00</v>
      </c>
      <c r="L7111" s="6" t="str">
        <f>"30.532,50"</f>
        <v>30.532,50</v>
      </c>
      <c r="M7111" s="6" t="str">
        <f>"152.662,50"</f>
        <v>152.662,50</v>
      </c>
      <c r="N7111" s="8" t="s">
        <v>3806</v>
      </c>
      <c r="O7111" s="7"/>
      <c r="P7111" s="2" t="s">
        <v>9021</v>
      </c>
      <c r="Q7111" s="7"/>
      <c r="R7111" s="1"/>
      <c r="S7111" s="1" t="str">
        <f>"J-UN-2019-3601"</f>
        <v>J-UN-2019-3601</v>
      </c>
      <c r="T7111" s="1" t="s">
        <v>32</v>
      </c>
    </row>
    <row r="7112" spans="1:20" ht="76.5" x14ac:dyDescent="0.25">
      <c r="A7112" s="6">
        <v>7083</v>
      </c>
      <c r="B7112" s="1" t="str">
        <f>"2019-2675"</f>
        <v>2019-2675</v>
      </c>
      <c r="C7112" s="1" t="s">
        <v>5398</v>
      </c>
      <c r="D7112" s="1" t="s">
        <v>5341</v>
      </c>
      <c r="E7112" s="1" t="str">
        <f>""</f>
        <v/>
      </c>
      <c r="F7112" s="1" t="s">
        <v>1860</v>
      </c>
      <c r="G7112" s="1" t="str">
        <f>CONCATENATE(" PASTOR - TVA - D.D.,"," RAKITJE,"," NOVAČKA 2,"," 10437 BESTOVJE,"," OIB: 17140959007")</f>
        <v xml:space="preserve"> PASTOR - TVA - D.D., RAKITJE, NOVAČKA 2, 10437 BESTOVJE, OIB: 17140959007</v>
      </c>
      <c r="H7112" s="7"/>
      <c r="I7112" s="8" t="s">
        <v>4049</v>
      </c>
      <c r="J7112" s="8" t="s">
        <v>4591</v>
      </c>
      <c r="K7112" s="6" t="str">
        <f>"89.690,00"</f>
        <v>89.690,00</v>
      </c>
      <c r="L7112" s="6" t="str">
        <f>"22.422,50"</f>
        <v>22.422,50</v>
      </c>
      <c r="M7112" s="6" t="str">
        <f>"112.112,50"</f>
        <v>112.112,50</v>
      </c>
      <c r="N7112" s="8" t="s">
        <v>5399</v>
      </c>
      <c r="O7112" s="7"/>
      <c r="P7112" s="2" t="s">
        <v>9022</v>
      </c>
      <c r="Q7112" s="7"/>
      <c r="R7112" s="1"/>
      <c r="S7112" s="1" t="str">
        <f>"J-UN-2019-3633"</f>
        <v>J-UN-2019-3633</v>
      </c>
      <c r="T7112" s="1" t="s">
        <v>32</v>
      </c>
    </row>
    <row r="7113" spans="1:20" ht="76.5" x14ac:dyDescent="0.25">
      <c r="A7113" s="6">
        <v>7084</v>
      </c>
      <c r="B7113" s="1" t="str">
        <f>"2019-2675"</f>
        <v>2019-2675</v>
      </c>
      <c r="C7113" s="1" t="s">
        <v>5398</v>
      </c>
      <c r="D7113" s="1" t="s">
        <v>5341</v>
      </c>
      <c r="E7113" s="1" t="str">
        <f>""</f>
        <v/>
      </c>
      <c r="F7113" s="1" t="s">
        <v>1860</v>
      </c>
      <c r="G7113" s="1" t="str">
        <f>CONCATENATE(" PASTOR - TVA - D.D.,"," RAKITJE,"," NOVAČKA 2,"," 10437 BESTOVJE,"," OIB: 17140959007")</f>
        <v xml:space="preserve"> PASTOR - TVA - D.D., RAKITJE, NOVAČKA 2, 10437 BESTOVJE, OIB: 17140959007</v>
      </c>
      <c r="H7113" s="7"/>
      <c r="I7113" s="8" t="s">
        <v>5114</v>
      </c>
      <c r="J7113" s="8" t="s">
        <v>3875</v>
      </c>
      <c r="K7113" s="6" t="str">
        <f>"14.030,00"</f>
        <v>14.030,00</v>
      </c>
      <c r="L7113" s="6" t="str">
        <f>"3.507,50"</f>
        <v>3.507,50</v>
      </c>
      <c r="M7113" s="6" t="str">
        <f>"17.537,50"</f>
        <v>17.537,50</v>
      </c>
      <c r="N7113" s="8" t="s">
        <v>4197</v>
      </c>
      <c r="O7113" s="7"/>
      <c r="P7113" s="2" t="s">
        <v>9023</v>
      </c>
      <c r="Q7113" s="7"/>
      <c r="R7113" s="1"/>
      <c r="S7113" s="1" t="str">
        <f>"J-UN-2019-3634"</f>
        <v>J-UN-2019-3634</v>
      </c>
      <c r="T7113" s="1" t="s">
        <v>32</v>
      </c>
    </row>
    <row r="7114" spans="1:20" ht="114.75" x14ac:dyDescent="0.25">
      <c r="A7114" s="6">
        <v>7085</v>
      </c>
      <c r="B7114" s="1" t="str">
        <f>"2019-2676"</f>
        <v>2019-2676</v>
      </c>
      <c r="C7114" s="1" t="s">
        <v>5400</v>
      </c>
      <c r="D7114" s="1" t="s">
        <v>5341</v>
      </c>
      <c r="E7114" s="1" t="str">
        <f>""</f>
        <v/>
      </c>
      <c r="F7114" s="1" t="s">
        <v>1860</v>
      </c>
      <c r="G7114" s="1" t="str">
        <f>CONCATENATE(" PASTOR - TVA - D.D.,"," RAKITJE,"," NOVAČKA 2,"," 10437 BESTOVJE,"," OIB: 17140959007")</f>
        <v xml:space="preserve"> PASTOR - TVA - D.D., RAKITJE, NOVAČKA 2, 10437 BESTOVJE, OIB: 17140959007</v>
      </c>
      <c r="H7114" s="7"/>
      <c r="I7114" s="8" t="s">
        <v>5114</v>
      </c>
      <c r="J7114" s="8" t="s">
        <v>3875</v>
      </c>
      <c r="K7114" s="6" t="str">
        <f>"17.940,00"</f>
        <v>17.940,00</v>
      </c>
      <c r="L7114" s="6" t="str">
        <f>"4.485,00"</f>
        <v>4.485,00</v>
      </c>
      <c r="M7114" s="6" t="str">
        <f>"22.425,00"</f>
        <v>22.425,00</v>
      </c>
      <c r="N7114" s="8" t="s">
        <v>5399</v>
      </c>
      <c r="O7114" s="7"/>
      <c r="P7114" s="2" t="s">
        <v>9024</v>
      </c>
      <c r="Q7114" s="7"/>
      <c r="R7114" s="1"/>
      <c r="S7114" s="1" t="str">
        <f>"J-UN-2019-3638"</f>
        <v>J-UN-2019-3638</v>
      </c>
      <c r="T7114" s="1" t="s">
        <v>32</v>
      </c>
    </row>
    <row r="7115" spans="1:20" ht="63.75" x14ac:dyDescent="0.25">
      <c r="A7115" s="6">
        <v>7086</v>
      </c>
      <c r="B7115" s="1" t="str">
        <f>"2019-949"</f>
        <v>2019-949</v>
      </c>
      <c r="C7115" s="1" t="s">
        <v>2811</v>
      </c>
      <c r="D7115" s="1" t="s">
        <v>1859</v>
      </c>
      <c r="E7115" s="1" t="str">
        <f>""</f>
        <v/>
      </c>
      <c r="F7115" s="1" t="s">
        <v>1860</v>
      </c>
      <c r="G7115" s="1" t="str">
        <f>CONCATENATE(" ŠKOLA ZA CESTOVNI PROMET,"," TRG J.F. KENNEDYJA 8,"," 10000 ZAGREB,"," OIB: 63422210966")</f>
        <v xml:space="preserve"> ŠKOLA ZA CESTOVNI PROMET, TRG J.F. KENNEDYJA 8, 10000 ZAGREB, OIB: 63422210966</v>
      </c>
      <c r="H7115" s="7"/>
      <c r="I7115" s="8" t="s">
        <v>3482</v>
      </c>
      <c r="J7115" s="8" t="s">
        <v>2255</v>
      </c>
      <c r="K7115" s="6" t="str">
        <f>"600,00"</f>
        <v>600,00</v>
      </c>
      <c r="L7115" s="6" t="str">
        <f>"150,00"</f>
        <v>150,00</v>
      </c>
      <c r="M7115" s="6" t="str">
        <f>"750,00"</f>
        <v>750,00</v>
      </c>
      <c r="N7115" s="8" t="s">
        <v>124</v>
      </c>
      <c r="O7115" s="7"/>
      <c r="P7115" s="2" t="s">
        <v>5614</v>
      </c>
      <c r="Q7115" s="7"/>
      <c r="R7115" s="1"/>
      <c r="S7115" s="1" t="str">
        <f>"J-UN-2019-3641"</f>
        <v>J-UN-2019-3641</v>
      </c>
      <c r="T7115" s="1" t="s">
        <v>32</v>
      </c>
    </row>
    <row r="7116" spans="1:20" ht="76.5" x14ac:dyDescent="0.25">
      <c r="A7116" s="6">
        <v>7087</v>
      </c>
      <c r="B7116" s="1" t="str">
        <f>"2019-12"</f>
        <v>2019-12</v>
      </c>
      <c r="C7116" s="1" t="s">
        <v>2711</v>
      </c>
      <c r="D7116" s="1" t="s">
        <v>1914</v>
      </c>
      <c r="E7116" s="1" t="str">
        <f>""</f>
        <v/>
      </c>
      <c r="F7116" s="1" t="s">
        <v>1860</v>
      </c>
      <c r="G7116" s="1" t="str">
        <f>CONCATENATE(" BUTAN PLIN D.O.O.,"," ULICA RIJEKE DRAGONJE 23,"," 52466 NOVIGRAD (CITTANOVA),"," OIB: 80051835685")</f>
        <v xml:space="preserve"> BUTAN PLIN D.O.O., ULICA RIJEKE DRAGONJE 23, 52466 NOVIGRAD (CITTANOVA), OIB: 80051835685</v>
      </c>
      <c r="H7116" s="7"/>
      <c r="I7116" s="8" t="s">
        <v>3482</v>
      </c>
      <c r="J7116" s="8" t="s">
        <v>2255</v>
      </c>
      <c r="K7116" s="6" t="str">
        <f>"5.775,00"</f>
        <v>5.775,00</v>
      </c>
      <c r="L7116" s="6" t="str">
        <f>"1.443,75"</f>
        <v>1.443,75</v>
      </c>
      <c r="M7116" s="6" t="str">
        <f>"7.218,75"</f>
        <v>7.218,75</v>
      </c>
      <c r="N7116" s="8" t="s">
        <v>1984</v>
      </c>
      <c r="O7116" s="7"/>
      <c r="P7116" s="2" t="s">
        <v>9025</v>
      </c>
      <c r="Q7116" s="7"/>
      <c r="R7116" s="1"/>
      <c r="S7116" s="1" t="str">
        <f>"J-UN-2019-3642"</f>
        <v>J-UN-2019-3642</v>
      </c>
      <c r="T7116" s="1" t="s">
        <v>32</v>
      </c>
    </row>
    <row r="7117" spans="1:20" ht="51" x14ac:dyDescent="0.25">
      <c r="A7117" s="6">
        <v>7088</v>
      </c>
      <c r="B7117" s="1" t="str">
        <f>"2019-1793"</f>
        <v>2019-1793</v>
      </c>
      <c r="C7117" s="1" t="s">
        <v>5401</v>
      </c>
      <c r="D7117" s="1" t="s">
        <v>74</v>
      </c>
      <c r="E7117" s="1" t="str">
        <f>""</f>
        <v/>
      </c>
      <c r="F7117" s="1" t="s">
        <v>1860</v>
      </c>
      <c r="G7117" s="1" t="str">
        <f>CONCATENATE(" ECCOS-INŽENJERING D.O.O.,"," BANI 110,"," 10000 ZAGREB,"," OIB: 71629027685")</f>
        <v xml:space="preserve"> ECCOS-INŽENJERING D.O.O., BANI 110, 10000 ZAGREB, OIB: 71629027685</v>
      </c>
      <c r="H7117" s="7"/>
      <c r="I7117" s="8" t="s">
        <v>3482</v>
      </c>
      <c r="J7117" s="8" t="s">
        <v>2255</v>
      </c>
      <c r="K7117" s="6" t="str">
        <f>"760,00"</f>
        <v>760,00</v>
      </c>
      <c r="L7117" s="6" t="str">
        <f>"190,00"</f>
        <v>190,00</v>
      </c>
      <c r="M7117" s="6" t="str">
        <f>"950,00"</f>
        <v>950,00</v>
      </c>
      <c r="N7117" s="8" t="s">
        <v>516</v>
      </c>
      <c r="O7117" s="7"/>
      <c r="P7117" s="2" t="s">
        <v>7829</v>
      </c>
      <c r="Q7117" s="7"/>
      <c r="R7117" s="1"/>
      <c r="S7117" s="1" t="str">
        <f>"J-UN-2019-3651"</f>
        <v>J-UN-2019-3651</v>
      </c>
      <c r="T7117" s="1" t="s">
        <v>32</v>
      </c>
    </row>
    <row r="7118" spans="1:20" ht="51" x14ac:dyDescent="0.25">
      <c r="A7118" s="6">
        <v>7089</v>
      </c>
      <c r="B7118" s="1" t="str">
        <f>"2019-2708"</f>
        <v>2019-2708</v>
      </c>
      <c r="C7118" s="1" t="s">
        <v>5402</v>
      </c>
      <c r="D7118" s="1" t="s">
        <v>483</v>
      </c>
      <c r="E7118" s="1" t="str">
        <f>""</f>
        <v/>
      </c>
      <c r="F7118" s="1" t="s">
        <v>1860</v>
      </c>
      <c r="G7118" s="1" t="str">
        <f>CONCATENATE(" KOM-SAT D.O.O.,"," BUKOVAČKA CESTA 4/C,"," 10000 ZAGREB,"," OIB: 98544493572")</f>
        <v xml:space="preserve"> KOM-SAT D.O.O., BUKOVAČKA CESTA 4/C, 10000 ZAGREB, OIB: 98544493572</v>
      </c>
      <c r="H7118" s="7"/>
      <c r="I7118" s="8" t="s">
        <v>5403</v>
      </c>
      <c r="J7118" s="8" t="s">
        <v>5404</v>
      </c>
      <c r="K7118" s="6" t="str">
        <f>"284.533,38"</f>
        <v>284.533,38</v>
      </c>
      <c r="L7118" s="6" t="str">
        <f>"71.133,34"</f>
        <v>71.133,34</v>
      </c>
      <c r="M7118" s="6" t="str">
        <f>"355.666,72"</f>
        <v>355.666,72</v>
      </c>
      <c r="N7118" s="8" t="s">
        <v>3967</v>
      </c>
      <c r="O7118" s="7"/>
      <c r="P7118" s="2" t="s">
        <v>9026</v>
      </c>
      <c r="Q7118" s="7"/>
      <c r="R7118" s="1"/>
      <c r="S7118" s="1" t="str">
        <f>"J-UN-2019-3661"</f>
        <v>J-UN-2019-3661</v>
      </c>
      <c r="T7118" s="1" t="s">
        <v>32</v>
      </c>
    </row>
    <row r="7119" spans="1:20" ht="51" x14ac:dyDescent="0.25">
      <c r="A7119" s="6">
        <v>7090</v>
      </c>
      <c r="B7119" s="1" t="str">
        <f>"2019-254"</f>
        <v>2019-254</v>
      </c>
      <c r="C7119" s="1" t="s">
        <v>2996</v>
      </c>
      <c r="D7119" s="1" t="s">
        <v>74</v>
      </c>
      <c r="E7119" s="1" t="str">
        <f>""</f>
        <v/>
      </c>
      <c r="F7119" s="1" t="s">
        <v>1860</v>
      </c>
      <c r="G7119" s="1" t="str">
        <f>CONCATENATE(" PAKOM D. O. O.,"," WOLFFOVA ULICA 6,"," 52100 PULA,"," OIB: 67442775703")</f>
        <v xml:space="preserve"> PAKOM D. O. O., WOLFFOVA ULICA 6, 52100 PULA, OIB: 67442775703</v>
      </c>
      <c r="H7119" s="7"/>
      <c r="I7119" s="8" t="s">
        <v>3863</v>
      </c>
      <c r="J7119" s="8" t="s">
        <v>5403</v>
      </c>
      <c r="K7119" s="6" t="str">
        <f>"53.750,00"</f>
        <v>53.750,00</v>
      </c>
      <c r="L7119" s="6" t="str">
        <f>"13.437,50"</f>
        <v>13.437,50</v>
      </c>
      <c r="M7119" s="6" t="str">
        <f>"67.187,50"</f>
        <v>67.187,50</v>
      </c>
      <c r="N7119" s="8" t="s">
        <v>124</v>
      </c>
      <c r="O7119" s="7"/>
      <c r="P7119" s="2" t="s">
        <v>5614</v>
      </c>
      <c r="Q7119" s="7"/>
      <c r="R7119" s="1"/>
      <c r="S7119" s="1" t="str">
        <f>"J-UN-2019-3710"</f>
        <v>J-UN-2019-3710</v>
      </c>
      <c r="T7119" s="1" t="s">
        <v>32</v>
      </c>
    </row>
    <row r="7120" spans="1:20" ht="63.75" x14ac:dyDescent="0.25">
      <c r="A7120" s="6">
        <v>7091</v>
      </c>
      <c r="B7120" s="1" t="str">
        <f>"2019-13"</f>
        <v>2019-13</v>
      </c>
      <c r="C7120" s="1" t="s">
        <v>2761</v>
      </c>
      <c r="D7120" s="1" t="s">
        <v>2762</v>
      </c>
      <c r="E7120" s="1" t="str">
        <f>""</f>
        <v/>
      </c>
      <c r="F7120" s="1" t="s">
        <v>1860</v>
      </c>
      <c r="G7120" s="1" t="str">
        <f>CONCATENATE(" PEŠUT ELEKTRO CENTAR J.D.O.O.,"," VUKŠIĆ 121,"," 23422 STANKOVCI,"," OIB: 34108238923")</f>
        <v xml:space="preserve"> PEŠUT ELEKTRO CENTAR J.D.O.O., VUKŠIĆ 121, 23422 STANKOVCI, OIB: 34108238923</v>
      </c>
      <c r="H7120" s="7"/>
      <c r="I7120" s="8" t="s">
        <v>3863</v>
      </c>
      <c r="J7120" s="8" t="s">
        <v>5403</v>
      </c>
      <c r="K7120" s="6" t="str">
        <f>"8.800,00"</f>
        <v>8.800,00</v>
      </c>
      <c r="L7120" s="6" t="str">
        <f>"2.200,00"</f>
        <v>2.200,00</v>
      </c>
      <c r="M7120" s="6" t="str">
        <f>"11.000,00"</f>
        <v>11.000,00</v>
      </c>
      <c r="N7120" s="8" t="s">
        <v>124</v>
      </c>
      <c r="O7120" s="7"/>
      <c r="P7120" s="2" t="s">
        <v>5614</v>
      </c>
      <c r="Q7120" s="7"/>
      <c r="R7120" s="1"/>
      <c r="S7120" s="1" t="str">
        <f>"J-UN-2019-3711"</f>
        <v>J-UN-2019-3711</v>
      </c>
      <c r="T7120" s="1" t="s">
        <v>32</v>
      </c>
    </row>
    <row r="7121" spans="1:20" ht="63.75" x14ac:dyDescent="0.25">
      <c r="A7121" s="6">
        <v>7092</v>
      </c>
      <c r="B7121" s="1" t="str">
        <f>"2019-2633"</f>
        <v>2019-2633</v>
      </c>
      <c r="C7121" s="1" t="s">
        <v>5405</v>
      </c>
      <c r="D7121" s="1" t="s">
        <v>2729</v>
      </c>
      <c r="E7121" s="1" t="str">
        <f>""</f>
        <v/>
      </c>
      <c r="F7121" s="1" t="s">
        <v>1860</v>
      </c>
      <c r="G7121" s="1" t="str">
        <f>CONCATENATE(" ENERGO ENERGY EFFICIENCY ENGINEERING D.O.O.,"," KNEZA MILOŠA 53,"," 11000 BEOGRAD")</f>
        <v xml:space="preserve"> ENERGO ENERGY EFFICIENCY ENGINEERING D.O.O., KNEZA MILOŠA 53, 11000 BEOGRAD</v>
      </c>
      <c r="H7121" s="7"/>
      <c r="I7121" s="8" t="s">
        <v>3863</v>
      </c>
      <c r="J7121" s="8" t="s">
        <v>5403</v>
      </c>
      <c r="K7121" s="6" t="str">
        <f>"137.128,00"</f>
        <v>137.128,00</v>
      </c>
      <c r="L7121" s="6" t="str">
        <f>"34.282,00"</f>
        <v>34.282,00</v>
      </c>
      <c r="M7121" s="6" t="str">
        <f>"171.410,00"</f>
        <v>171.410,00</v>
      </c>
      <c r="N7121" s="8" t="s">
        <v>4608</v>
      </c>
      <c r="O7121" s="7"/>
      <c r="P7121" s="2" t="s">
        <v>9027</v>
      </c>
      <c r="Q7121" s="7"/>
      <c r="R7121" s="1"/>
      <c r="S7121" s="1" t="str">
        <f>"J-UN-2019-3712"</f>
        <v>J-UN-2019-3712</v>
      </c>
      <c r="T7121" s="1" t="s">
        <v>32</v>
      </c>
    </row>
    <row r="7122" spans="1:20" ht="51" x14ac:dyDescent="0.25">
      <c r="A7122" s="6">
        <v>7093</v>
      </c>
      <c r="B7122" s="1" t="str">
        <f>"2019-1896"</f>
        <v>2019-1896</v>
      </c>
      <c r="C7122" s="1" t="s">
        <v>2781</v>
      </c>
      <c r="D7122" s="1" t="s">
        <v>1458</v>
      </c>
      <c r="E7122" s="1" t="str">
        <f>""</f>
        <v/>
      </c>
      <c r="F7122" s="1" t="s">
        <v>1860</v>
      </c>
      <c r="G7122" s="1" t="str">
        <f>CONCATENATE(" DELTRON D.O.O.,"," VUKOVARSKA 148,"," 21000 SPLIT,"," OIB: 36118056137")</f>
        <v xml:space="preserve"> DELTRON D.O.O., VUKOVARSKA 148, 21000 SPLIT, OIB: 36118056137</v>
      </c>
      <c r="H7122" s="7"/>
      <c r="I7122" s="8" t="s">
        <v>484</v>
      </c>
      <c r="J7122" s="8" t="s">
        <v>3863</v>
      </c>
      <c r="K7122" s="6" t="str">
        <f>"14.970,00"</f>
        <v>14.970,00</v>
      </c>
      <c r="L7122" s="6" t="str">
        <f>"3.742,50"</f>
        <v>3.742,50</v>
      </c>
      <c r="M7122" s="6" t="str">
        <f>"18.712,50"</f>
        <v>18.712,50</v>
      </c>
      <c r="N7122" s="8" t="s">
        <v>5406</v>
      </c>
      <c r="O7122" s="7"/>
      <c r="P7122" s="2" t="s">
        <v>9028</v>
      </c>
      <c r="Q7122" s="7"/>
      <c r="R7122" s="1"/>
      <c r="S7122" s="1" t="str">
        <f>"J-UN-2019-3719"</f>
        <v>J-UN-2019-3719</v>
      </c>
      <c r="T7122" s="1" t="s">
        <v>32</v>
      </c>
    </row>
    <row r="7123" spans="1:20" ht="114.75" x14ac:dyDescent="0.25">
      <c r="A7123" s="6">
        <v>7094</v>
      </c>
      <c r="B7123" s="1" t="str">
        <f>"2019-2676"</f>
        <v>2019-2676</v>
      </c>
      <c r="C7123" s="1" t="s">
        <v>5400</v>
      </c>
      <c r="D7123" s="1" t="s">
        <v>5341</v>
      </c>
      <c r="E7123" s="1" t="str">
        <f>""</f>
        <v/>
      </c>
      <c r="F7123" s="1" t="s">
        <v>1860</v>
      </c>
      <c r="G7123" s="1" t="str">
        <f>CONCATENATE(" PASTOR - TVA - D.D.,"," RAKITJE,"," NOVAČKA 2,"," 10437 BESTOVJE,"," OIB: 17140959007")</f>
        <v xml:space="preserve"> PASTOR - TVA - D.D., RAKITJE, NOVAČKA 2, 10437 BESTOVJE, OIB: 17140959007</v>
      </c>
      <c r="H7123" s="7"/>
      <c r="I7123" s="8" t="s">
        <v>4049</v>
      </c>
      <c r="J7123" s="8" t="s">
        <v>4591</v>
      </c>
      <c r="K7123" s="6" t="str">
        <f>"1.000,00"</f>
        <v>1.000,00</v>
      </c>
      <c r="L7123" s="6" t="str">
        <f>"250,00"</f>
        <v>250,00</v>
      </c>
      <c r="M7123" s="6" t="str">
        <f>"1.250,00"</f>
        <v>1.250,00</v>
      </c>
      <c r="N7123" s="8" t="s">
        <v>4271</v>
      </c>
      <c r="O7123" s="7"/>
      <c r="P7123" s="2" t="s">
        <v>9029</v>
      </c>
      <c r="Q7123" s="7"/>
      <c r="R7123" s="1"/>
      <c r="S7123" s="1" t="str">
        <f>"J-UN-2019-3731"</f>
        <v>J-UN-2019-3731</v>
      </c>
      <c r="T7123" s="1" t="s">
        <v>32</v>
      </c>
    </row>
    <row r="7124" spans="1:20" ht="51" x14ac:dyDescent="0.25">
      <c r="A7124" s="6">
        <v>7095</v>
      </c>
      <c r="B7124" s="1" t="str">
        <f>"2019-1387"</f>
        <v>2019-1387</v>
      </c>
      <c r="C7124" s="1" t="s">
        <v>5149</v>
      </c>
      <c r="D7124" s="1" t="s">
        <v>2241</v>
      </c>
      <c r="E7124" s="1" t="str">
        <f>""</f>
        <v/>
      </c>
      <c r="F7124" s="1" t="s">
        <v>1860</v>
      </c>
      <c r="G7124" s="1" t="str">
        <f>CONCATENATE(" AUTO BENUSSI D.O.O.,"," INDUSTRIJSKA 2D,"," 52100 PULA,"," OIB: 96262119913")</f>
        <v xml:space="preserve"> AUTO BENUSSI D.O.O., INDUSTRIJSKA 2D, 52100 PULA, OIB: 96262119913</v>
      </c>
      <c r="H7124" s="7"/>
      <c r="I7124" s="8" t="s">
        <v>484</v>
      </c>
      <c r="J7124" s="8" t="s">
        <v>3863</v>
      </c>
      <c r="K7124" s="6" t="str">
        <f>"55.065,92"</f>
        <v>55.065,92</v>
      </c>
      <c r="L7124" s="6" t="str">
        <f>"13.766,48"</f>
        <v>13.766,48</v>
      </c>
      <c r="M7124" s="6" t="str">
        <f>"68.832,40"</f>
        <v>68.832,40</v>
      </c>
      <c r="N7124" s="8" t="s">
        <v>4126</v>
      </c>
      <c r="O7124" s="7"/>
      <c r="P7124" s="2" t="s">
        <v>9030</v>
      </c>
      <c r="Q7124" s="7"/>
      <c r="R7124" s="1"/>
      <c r="S7124" s="1" t="str">
        <f>"J-UN-2019-3732"</f>
        <v>J-UN-2019-3732</v>
      </c>
      <c r="T7124" s="1" t="s">
        <v>32</v>
      </c>
    </row>
    <row r="7125" spans="1:20" ht="51" x14ac:dyDescent="0.25">
      <c r="A7125" s="6">
        <v>7096</v>
      </c>
      <c r="B7125" s="1" t="str">
        <f>"2019-240"</f>
        <v>2019-240</v>
      </c>
      <c r="C7125" s="1" t="s">
        <v>5407</v>
      </c>
      <c r="D7125" s="1" t="s">
        <v>1619</v>
      </c>
      <c r="E7125" s="1" t="str">
        <f>""</f>
        <v/>
      </c>
      <c r="F7125" s="1" t="s">
        <v>1860</v>
      </c>
      <c r="G7125" s="1" t="str">
        <f>CONCATENATE(" GRAPAK D.O.O.,"," M. SCHLENGERA 5,"," 42204 TURČIN,"," OIB: 8387333034")</f>
        <v xml:space="preserve"> GRAPAK D.O.O., M. SCHLENGERA 5, 42204 TURČIN, OIB: 8387333034</v>
      </c>
      <c r="H7125" s="7"/>
      <c r="I7125" s="8" t="s">
        <v>5403</v>
      </c>
      <c r="J7125" s="8" t="s">
        <v>5404</v>
      </c>
      <c r="K7125" s="6" t="str">
        <f>"14.968,06"</f>
        <v>14.968,06</v>
      </c>
      <c r="L7125" s="6" t="str">
        <f>"3.742,02"</f>
        <v>3.742,02</v>
      </c>
      <c r="M7125" s="6" t="str">
        <f>"18.710,08"</f>
        <v>18.710,08</v>
      </c>
      <c r="N7125" s="8" t="s">
        <v>3920</v>
      </c>
      <c r="O7125" s="7"/>
      <c r="P7125" s="2" t="s">
        <v>9031</v>
      </c>
      <c r="Q7125" s="7"/>
      <c r="R7125" s="1"/>
      <c r="S7125" s="1" t="str">
        <f>"J-UN-2019-3734"</f>
        <v>J-UN-2019-3734</v>
      </c>
      <c r="T7125" s="1" t="s">
        <v>32</v>
      </c>
    </row>
    <row r="7126" spans="1:20" ht="114.75" x14ac:dyDescent="0.25">
      <c r="A7126" s="6">
        <v>7097</v>
      </c>
      <c r="B7126" s="1" t="str">
        <f>"2019-2676"</f>
        <v>2019-2676</v>
      </c>
      <c r="C7126" s="1" t="s">
        <v>5400</v>
      </c>
      <c r="D7126" s="1" t="s">
        <v>5341</v>
      </c>
      <c r="E7126" s="1" t="str">
        <f>""</f>
        <v/>
      </c>
      <c r="F7126" s="1" t="s">
        <v>1860</v>
      </c>
      <c r="G7126" s="1" t="str">
        <f>CONCATENATE(" PASTOR - TVA - D.D.,"," RAKITJE,"," NOVAČKA 2,"," 10437 BESTOVJE,"," OIB: 17140959007")</f>
        <v xml:space="preserve"> PASTOR - TVA - D.D., RAKITJE, NOVAČKA 2, 10437 BESTOVJE, OIB: 17140959007</v>
      </c>
      <c r="H7126" s="7"/>
      <c r="I7126" s="8" t="s">
        <v>4049</v>
      </c>
      <c r="J7126" s="8" t="s">
        <v>4117</v>
      </c>
      <c r="K7126" s="6" t="str">
        <f>"24.995,00"</f>
        <v>24.995,00</v>
      </c>
      <c r="L7126" s="6" t="str">
        <f>"6.248,75"</f>
        <v>6.248,75</v>
      </c>
      <c r="M7126" s="6" t="str">
        <f>"31.243,75"</f>
        <v>31.243,75</v>
      </c>
      <c r="N7126" s="8" t="s">
        <v>5399</v>
      </c>
      <c r="O7126" s="7"/>
      <c r="P7126" s="2" t="s">
        <v>9032</v>
      </c>
      <c r="Q7126" s="7"/>
      <c r="R7126" s="1"/>
      <c r="S7126" s="1" t="str">
        <f>"J-UN-2019-3740"</f>
        <v>J-UN-2019-3740</v>
      </c>
      <c r="T7126" s="1" t="s">
        <v>32</v>
      </c>
    </row>
    <row r="7127" spans="1:20" ht="51" x14ac:dyDescent="0.25">
      <c r="A7127" s="6">
        <v>7098</v>
      </c>
      <c r="B7127" s="1" t="str">
        <f>"2019-1868"</f>
        <v>2019-1868</v>
      </c>
      <c r="C7127" s="1" t="s">
        <v>5408</v>
      </c>
      <c r="D7127" s="1" t="s">
        <v>5409</v>
      </c>
      <c r="E7127" s="1" t="str">
        <f>""</f>
        <v/>
      </c>
      <c r="F7127" s="1" t="s">
        <v>1860</v>
      </c>
      <c r="G7127" s="1" t="str">
        <f>CONCATENATE(" BRIŠAR SERVIS D.O.O.,"," PRELČEVA 21D,"," 10360 SESVETE,"," OIB: 58933898865")</f>
        <v xml:space="preserve"> BRIŠAR SERVIS D.O.O., PRELČEVA 21D, 10360 SESVETE, OIB: 58933898865</v>
      </c>
      <c r="H7127" s="7"/>
      <c r="I7127" s="8" t="s">
        <v>4049</v>
      </c>
      <c r="J7127" s="8" t="s">
        <v>4591</v>
      </c>
      <c r="K7127" s="6" t="str">
        <f>"43.800,00"</f>
        <v>43.800,00</v>
      </c>
      <c r="L7127" s="6" t="str">
        <f>"10.950,00"</f>
        <v>10.950,00</v>
      </c>
      <c r="M7127" s="6" t="str">
        <f>"54.750,00"</f>
        <v>54.750,00</v>
      </c>
      <c r="N7127" s="7"/>
      <c r="O7127" s="9">
        <v>43650</v>
      </c>
      <c r="P7127" s="2" t="s">
        <v>5614</v>
      </c>
      <c r="Q7127" s="7"/>
      <c r="R7127" s="1"/>
      <c r="S7127" s="1" t="str">
        <f>"J-UN-2019-3741"</f>
        <v>J-UN-2019-3741</v>
      </c>
      <c r="T7127" s="1" t="s">
        <v>32</v>
      </c>
    </row>
    <row r="7128" spans="1:20" ht="51" x14ac:dyDescent="0.25">
      <c r="A7128" s="6">
        <v>7099</v>
      </c>
      <c r="B7128" s="1" t="str">
        <f>"2019-850"</f>
        <v>2019-850</v>
      </c>
      <c r="C7128" s="1" t="s">
        <v>2844</v>
      </c>
      <c r="D7128" s="1" t="s">
        <v>2716</v>
      </c>
      <c r="E7128" s="1" t="str">
        <f>""</f>
        <v/>
      </c>
      <c r="F7128" s="1" t="s">
        <v>1860</v>
      </c>
      <c r="G7128" s="1" t="str">
        <f>CONCATENATE(" LAGER BAŠIĆ D.O.O.,"," TRGOVAČKA 3,"," 10255 DONJI STUPNIK,"," OIB: 49617677906")</f>
        <v xml:space="preserve"> LAGER BAŠIĆ D.O.O., TRGOVAČKA 3, 10255 DONJI STUPNIK, OIB: 49617677906</v>
      </c>
      <c r="H7128" s="7"/>
      <c r="I7128" s="8" t="s">
        <v>5403</v>
      </c>
      <c r="J7128" s="8" t="s">
        <v>5404</v>
      </c>
      <c r="K7128" s="6" t="str">
        <f>"3.578,00"</f>
        <v>3.578,00</v>
      </c>
      <c r="L7128" s="6" t="str">
        <f>"894,50"</f>
        <v>894,50</v>
      </c>
      <c r="M7128" s="6" t="str">
        <f>"4.472,50"</f>
        <v>4.472,50</v>
      </c>
      <c r="N7128" s="8" t="s">
        <v>4271</v>
      </c>
      <c r="O7128" s="7"/>
      <c r="P7128" s="2" t="s">
        <v>9033</v>
      </c>
      <c r="Q7128" s="7"/>
      <c r="R7128" s="1"/>
      <c r="S7128" s="1" t="str">
        <f>"J-UN-2019-3743"</f>
        <v>J-UN-2019-3743</v>
      </c>
      <c r="T7128" s="1" t="s">
        <v>32</v>
      </c>
    </row>
    <row r="7129" spans="1:20" ht="51" x14ac:dyDescent="0.25">
      <c r="A7129" s="6">
        <v>7100</v>
      </c>
      <c r="B7129" s="1" t="str">
        <f>"2019-364"</f>
        <v>2019-364</v>
      </c>
      <c r="C7129" s="1" t="s">
        <v>2572</v>
      </c>
      <c r="D7129" s="1" t="s">
        <v>2573</v>
      </c>
      <c r="E7129" s="1" t="str">
        <f>""</f>
        <v/>
      </c>
      <c r="F7129" s="1" t="s">
        <v>1860</v>
      </c>
      <c r="G7129" s="1" t="str">
        <f>CONCATENATE(" ECCOS-INŽENJERING D.O.O.,"," BANI 110,"," 10000 ZAGREB,"," OIB: 71629027685")</f>
        <v xml:space="preserve"> ECCOS-INŽENJERING D.O.O., BANI 110, 10000 ZAGREB, OIB: 71629027685</v>
      </c>
      <c r="H7129" s="7"/>
      <c r="I7129" s="8" t="s">
        <v>5403</v>
      </c>
      <c r="J7129" s="8" t="s">
        <v>5404</v>
      </c>
      <c r="K7129" s="6" t="str">
        <f>"10.245,00"</f>
        <v>10.245,00</v>
      </c>
      <c r="L7129" s="6" t="str">
        <f>"2.561,25"</f>
        <v>2.561,25</v>
      </c>
      <c r="M7129" s="6" t="str">
        <f>"12.806,25"</f>
        <v>12.806,25</v>
      </c>
      <c r="N7129" s="8" t="s">
        <v>124</v>
      </c>
      <c r="O7129" s="7"/>
      <c r="P7129" s="2" t="s">
        <v>5614</v>
      </c>
      <c r="Q7129" s="7"/>
      <c r="R7129" s="1"/>
      <c r="S7129" s="1" t="str">
        <f>"J-UN-2019-3751"</f>
        <v>J-UN-2019-3751</v>
      </c>
      <c r="T7129" s="1" t="s">
        <v>32</v>
      </c>
    </row>
    <row r="7130" spans="1:20" ht="76.5" x14ac:dyDescent="0.25">
      <c r="A7130" s="6">
        <v>7101</v>
      </c>
      <c r="B7130" s="1" t="str">
        <f>"2019-2625"</f>
        <v>2019-2625</v>
      </c>
      <c r="C7130" s="1" t="s">
        <v>1041</v>
      </c>
      <c r="D7130" s="1" t="s">
        <v>515</v>
      </c>
      <c r="E7130" s="1" t="str">
        <f>""</f>
        <v/>
      </c>
      <c r="F7130" s="1" t="s">
        <v>1860</v>
      </c>
      <c r="G7130" s="1" t="str">
        <f>CONCATENATE(" NASTAVNI ZAVOD ZA JAVNO ZDRAVSTVO DR. ANDRIJA ŠTAMPAR,"," MIROGOJSKA CESTA 16,"," 10000 ZAGREB,"," OIB: 3339200596")</f>
        <v xml:space="preserve"> NASTAVNI ZAVOD ZA JAVNO ZDRAVSTVO DR. ANDRIJA ŠTAMPAR, MIROGOJSKA CESTA 16, 10000 ZAGREB, OIB: 3339200596</v>
      </c>
      <c r="H7130" s="7"/>
      <c r="I7130" s="8" t="s">
        <v>4591</v>
      </c>
      <c r="J7130" s="8" t="s">
        <v>4052</v>
      </c>
      <c r="K7130" s="6" t="str">
        <f>"14.423,00"</f>
        <v>14.423,00</v>
      </c>
      <c r="L7130" s="6" t="str">
        <f>"3.605,75"</f>
        <v>3.605,75</v>
      </c>
      <c r="M7130" s="6" t="str">
        <f>"18.028,75"</f>
        <v>18.028,75</v>
      </c>
      <c r="N7130" s="8" t="s">
        <v>4434</v>
      </c>
      <c r="O7130" s="7"/>
      <c r="P7130" s="2" t="s">
        <v>9034</v>
      </c>
      <c r="Q7130" s="7"/>
      <c r="R7130" s="1"/>
      <c r="S7130" s="1" t="str">
        <f>"J-UN-2019-3760"</f>
        <v>J-UN-2019-3760</v>
      </c>
      <c r="T7130" s="1" t="s">
        <v>32</v>
      </c>
    </row>
    <row r="7131" spans="1:20" ht="63.75" x14ac:dyDescent="0.25">
      <c r="A7131" s="6">
        <v>7102</v>
      </c>
      <c r="B7131" s="1" t="str">
        <f>"2019-899"</f>
        <v>2019-899</v>
      </c>
      <c r="C7131" s="1" t="s">
        <v>2706</v>
      </c>
      <c r="D7131" s="1" t="s">
        <v>1334</v>
      </c>
      <c r="E7131" s="1" t="str">
        <f>""</f>
        <v/>
      </c>
      <c r="F7131" s="1" t="s">
        <v>1860</v>
      </c>
      <c r="G7131" s="1" t="str">
        <f>CONCATENATE(" ELEKTRO-KOMUNIKACIJE D.O.O.,"," 14. PODBREŽJE 4,"," 10000 ZAGREB,"," OIB: 76412373309")</f>
        <v xml:space="preserve"> ELEKTRO-KOMUNIKACIJE D.O.O., 14. PODBREŽJE 4, 10000 ZAGREB, OIB: 76412373309</v>
      </c>
      <c r="H7131" s="7"/>
      <c r="I7131" s="8" t="s">
        <v>4597</v>
      </c>
      <c r="J7131" s="8" t="s">
        <v>4242</v>
      </c>
      <c r="K7131" s="6" t="str">
        <f>"5.982,80"</f>
        <v>5.982,80</v>
      </c>
      <c r="L7131" s="6" t="str">
        <f>"1.495,70"</f>
        <v>1.495,70</v>
      </c>
      <c r="M7131" s="6" t="str">
        <f>"7.478,50"</f>
        <v>7.478,50</v>
      </c>
      <c r="N7131" s="8" t="s">
        <v>4059</v>
      </c>
      <c r="O7131" s="7"/>
      <c r="P7131" s="2" t="s">
        <v>9035</v>
      </c>
      <c r="Q7131" s="7"/>
      <c r="R7131" s="1"/>
      <c r="S7131" s="1" t="str">
        <f>"J-UN-2019-3776"</f>
        <v>J-UN-2019-3776</v>
      </c>
      <c r="T7131" s="1" t="s">
        <v>32</v>
      </c>
    </row>
    <row r="7132" spans="1:20" ht="63.75" x14ac:dyDescent="0.25">
      <c r="A7132" s="6">
        <v>7103</v>
      </c>
      <c r="B7132" s="1" t="str">
        <f>"2019-1918"</f>
        <v>2019-1918</v>
      </c>
      <c r="C7132" s="1" t="s">
        <v>2738</v>
      </c>
      <c r="D7132" s="1" t="s">
        <v>2739</v>
      </c>
      <c r="E7132" s="1" t="str">
        <f>""</f>
        <v/>
      </c>
      <c r="F7132" s="1" t="s">
        <v>1860</v>
      </c>
      <c r="G7132" s="1" t="str">
        <f>CONCATENATE(" ELEKTRO-KOMUNIKACIJE D.O.O.,"," 14. PODBREŽJE 4,"," 10000 ZAGREB,"," OIB: 76412373309")</f>
        <v xml:space="preserve"> ELEKTRO-KOMUNIKACIJE D.O.O., 14. PODBREŽJE 4, 10000 ZAGREB, OIB: 76412373309</v>
      </c>
      <c r="H7132" s="7"/>
      <c r="I7132" s="8" t="s">
        <v>4597</v>
      </c>
      <c r="J7132" s="8" t="s">
        <v>4242</v>
      </c>
      <c r="K7132" s="6" t="str">
        <f>"2.129,50"</f>
        <v>2.129,50</v>
      </c>
      <c r="L7132" s="6" t="str">
        <f>"532,38"</f>
        <v>532,38</v>
      </c>
      <c r="M7132" s="6" t="str">
        <f>"2.661,88"</f>
        <v>2.661,88</v>
      </c>
      <c r="N7132" s="8" t="s">
        <v>4059</v>
      </c>
      <c r="O7132" s="7"/>
      <c r="P7132" s="2" t="s">
        <v>9036</v>
      </c>
      <c r="Q7132" s="7"/>
      <c r="R7132" s="1"/>
      <c r="S7132" s="1" t="str">
        <f>"J-UN-2019-3777"</f>
        <v>J-UN-2019-3777</v>
      </c>
      <c r="T7132" s="1" t="s">
        <v>32</v>
      </c>
    </row>
    <row r="7133" spans="1:20" ht="51" x14ac:dyDescent="0.25">
      <c r="A7133" s="6">
        <v>7104</v>
      </c>
      <c r="B7133" s="1" t="str">
        <f>"2019-850"</f>
        <v>2019-850</v>
      </c>
      <c r="C7133" s="1" t="s">
        <v>2844</v>
      </c>
      <c r="D7133" s="1" t="s">
        <v>2716</v>
      </c>
      <c r="E7133" s="1" t="str">
        <f>""</f>
        <v/>
      </c>
      <c r="F7133" s="1" t="s">
        <v>1860</v>
      </c>
      <c r="G7133" s="1" t="str">
        <f>CONCATENATE(" AUTO ARBANAS D.O.O.,"," SISAČKA 45,"," 10410 VELIKA GORICA,"," OIB: 98352441242")</f>
        <v xml:space="preserve"> AUTO ARBANAS D.O.O., SISAČKA 45, 10410 VELIKA GORICA, OIB: 98352441242</v>
      </c>
      <c r="H7133" s="7"/>
      <c r="I7133" s="8" t="s">
        <v>5114</v>
      </c>
      <c r="J7133" s="8" t="s">
        <v>3875</v>
      </c>
      <c r="K7133" s="6" t="str">
        <f>"2.657,92"</f>
        <v>2.657,92</v>
      </c>
      <c r="L7133" s="6" t="str">
        <f>"664,48"</f>
        <v>664,48</v>
      </c>
      <c r="M7133" s="6" t="str">
        <f>"3.322,40"</f>
        <v>3.322,40</v>
      </c>
      <c r="N7133" s="8" t="s">
        <v>5410</v>
      </c>
      <c r="O7133" s="7"/>
      <c r="P7133" s="2" t="s">
        <v>9037</v>
      </c>
      <c r="Q7133" s="7"/>
      <c r="R7133" s="1"/>
      <c r="S7133" s="1" t="str">
        <f>"J-UN-2019-3781"</f>
        <v>J-UN-2019-3781</v>
      </c>
      <c r="T7133" s="1" t="s">
        <v>32</v>
      </c>
    </row>
    <row r="7134" spans="1:20" ht="63.75" x14ac:dyDescent="0.25">
      <c r="A7134" s="6">
        <v>7105</v>
      </c>
      <c r="B7134" s="1" t="str">
        <f>"2019-2735"</f>
        <v>2019-2735</v>
      </c>
      <c r="C7134" s="1" t="s">
        <v>5411</v>
      </c>
      <c r="D7134" s="1" t="s">
        <v>602</v>
      </c>
      <c r="E7134" s="1" t="str">
        <f>""</f>
        <v/>
      </c>
      <c r="F7134" s="1" t="s">
        <v>1860</v>
      </c>
      <c r="G7134" s="1" t="str">
        <f>CONCATENATE(" PRESEČKI GRUPA D.O.O.,"," FRANA GALOVIĆA 15,"," 49000 KRAPINA,"," OIB: 85843181422")</f>
        <v xml:space="preserve"> PRESEČKI GRUPA D.O.O., FRANA GALOVIĆA 15, 49000 KRAPINA, OIB: 85843181422</v>
      </c>
      <c r="H7134" s="7"/>
      <c r="I7134" s="8" t="s">
        <v>3488</v>
      </c>
      <c r="J7134" s="8" t="s">
        <v>4117</v>
      </c>
      <c r="K7134" s="6" t="str">
        <f>"199.000,00"</f>
        <v>199.000,00</v>
      </c>
      <c r="L7134" s="6" t="str">
        <f>"49.750,00"</f>
        <v>49.750,00</v>
      </c>
      <c r="M7134" s="6" t="str">
        <f>"248.750,00"</f>
        <v>248.750,00</v>
      </c>
      <c r="N7134" s="8" t="s">
        <v>5412</v>
      </c>
      <c r="O7134" s="7"/>
      <c r="P7134" s="2" t="s">
        <v>9038</v>
      </c>
      <c r="Q7134" s="7"/>
      <c r="R7134" s="1"/>
      <c r="S7134" s="1" t="str">
        <f>"J-UN-2019-3836"</f>
        <v>J-UN-2019-3836</v>
      </c>
      <c r="T7134" s="1" t="s">
        <v>32</v>
      </c>
    </row>
    <row r="7135" spans="1:20" ht="63.75" x14ac:dyDescent="0.25">
      <c r="A7135" s="6">
        <v>7106</v>
      </c>
      <c r="B7135" s="1" t="str">
        <f>"2019-2733"</f>
        <v>2019-2733</v>
      </c>
      <c r="C7135" s="1" t="s">
        <v>5413</v>
      </c>
      <c r="D7135" s="1" t="s">
        <v>602</v>
      </c>
      <c r="E7135" s="1" t="str">
        <f>""</f>
        <v/>
      </c>
      <c r="F7135" s="1" t="s">
        <v>1860</v>
      </c>
      <c r="G7135" s="1" t="str">
        <f>CONCATENATE(" PRESEČKI GRUPA D.O.O.,"," FRANA GALOVIĆA 15,"," 49000 KRAPINA,"," OIB: 85843181422")</f>
        <v xml:space="preserve"> PRESEČKI GRUPA D.O.O., FRANA GALOVIĆA 15, 49000 KRAPINA, OIB: 85843181422</v>
      </c>
      <c r="H7135" s="7"/>
      <c r="I7135" s="8" t="s">
        <v>5414</v>
      </c>
      <c r="J7135" s="8" t="s">
        <v>4117</v>
      </c>
      <c r="K7135" s="6" t="str">
        <f>"197.400,00"</f>
        <v>197.400,00</v>
      </c>
      <c r="L7135" s="6" t="str">
        <f>"49.350,00"</f>
        <v>49.350,00</v>
      </c>
      <c r="M7135" s="6" t="str">
        <f>"246.750,00"</f>
        <v>246.750,00</v>
      </c>
      <c r="N7135" s="8" t="s">
        <v>4303</v>
      </c>
      <c r="O7135" s="7"/>
      <c r="P7135" s="2" t="s">
        <v>5994</v>
      </c>
      <c r="Q7135" s="7"/>
      <c r="R7135" s="1"/>
      <c r="S7135" s="1" t="str">
        <f>"J-UN-2019-3837"</f>
        <v>J-UN-2019-3837</v>
      </c>
      <c r="T7135" s="1" t="s">
        <v>32</v>
      </c>
    </row>
    <row r="7136" spans="1:20" ht="25.5" x14ac:dyDescent="0.25">
      <c r="A7136" s="6">
        <v>7107</v>
      </c>
      <c r="B7136" s="1" t="str">
        <f>"2019-2202"</f>
        <v>2019-2202</v>
      </c>
      <c r="C7136" s="1" t="s">
        <v>3130</v>
      </c>
      <c r="D7136" s="1" t="s">
        <v>2631</v>
      </c>
      <c r="E7136" s="1" t="str">
        <f>""</f>
        <v/>
      </c>
      <c r="F7136" s="1" t="s">
        <v>1860</v>
      </c>
      <c r="G7136" s="1" t="str">
        <f>CONCATENATE(" MEDIA VAL D.O.O.,"," ,"," OIB: 81877196963")</f>
        <v xml:space="preserve"> MEDIA VAL D.O.O., , OIB: 81877196963</v>
      </c>
      <c r="H7136" s="7"/>
      <c r="I7136" s="8" t="s">
        <v>4591</v>
      </c>
      <c r="J7136" s="8" t="s">
        <v>4597</v>
      </c>
      <c r="K7136" s="6" t="str">
        <f>"20.000,00"</f>
        <v>20.000,00</v>
      </c>
      <c r="L7136" s="6" t="str">
        <f>"5.000,00"</f>
        <v>5.000,00</v>
      </c>
      <c r="M7136" s="6" t="str">
        <f>"25.000,00"</f>
        <v>25.000,00</v>
      </c>
      <c r="N7136" s="8" t="s">
        <v>124</v>
      </c>
      <c r="O7136" s="7"/>
      <c r="P7136" s="2" t="s">
        <v>5614</v>
      </c>
      <c r="Q7136" s="7"/>
      <c r="R7136" s="1"/>
      <c r="S7136" s="1" t="str">
        <f>"J-UN-2019-3861"</f>
        <v>J-UN-2019-3861</v>
      </c>
      <c r="T7136" s="1" t="s">
        <v>32</v>
      </c>
    </row>
    <row r="7137" spans="1:20" ht="51" x14ac:dyDescent="0.25">
      <c r="A7137" s="6">
        <v>7108</v>
      </c>
      <c r="B7137" s="1" t="str">
        <f>"2019-2213"</f>
        <v>2019-2213</v>
      </c>
      <c r="C7137" s="1" t="s">
        <v>2786</v>
      </c>
      <c r="D7137" s="1" t="s">
        <v>476</v>
      </c>
      <c r="E7137" s="1" t="str">
        <f>""</f>
        <v/>
      </c>
      <c r="F7137" s="1" t="s">
        <v>1860</v>
      </c>
      <c r="G7137" s="1" t="str">
        <f>CONCATENATE(" KING ICT D.O.O.,"," BUZINSKI PRILAZ 10,"," 10010 ZAGREB,"," OIB: 67001695549")</f>
        <v xml:space="preserve"> KING ICT D.O.O., BUZINSKI PRILAZ 10, 10010 ZAGREB, OIB: 67001695549</v>
      </c>
      <c r="H7137" s="7"/>
      <c r="I7137" s="8" t="s">
        <v>4597</v>
      </c>
      <c r="J7137" s="8" t="s">
        <v>4242</v>
      </c>
      <c r="K7137" s="6" t="str">
        <f>"900,00"</f>
        <v>900,00</v>
      </c>
      <c r="L7137" s="6" t="str">
        <f>"225,00"</f>
        <v>225,00</v>
      </c>
      <c r="M7137" s="6" t="str">
        <f>"1.125,00"</f>
        <v>1.125,00</v>
      </c>
      <c r="N7137" s="8" t="s">
        <v>124</v>
      </c>
      <c r="O7137" s="7"/>
      <c r="P7137" s="2" t="s">
        <v>5614</v>
      </c>
      <c r="Q7137" s="7"/>
      <c r="R7137" s="1"/>
      <c r="S7137" s="1" t="str">
        <f>"J-UN-2019-3896"</f>
        <v>J-UN-2019-3896</v>
      </c>
      <c r="T7137" s="1" t="s">
        <v>32</v>
      </c>
    </row>
    <row r="7138" spans="1:20" ht="51" x14ac:dyDescent="0.25">
      <c r="A7138" s="6">
        <v>7109</v>
      </c>
      <c r="B7138" s="1" t="str">
        <f>"2019-1766"</f>
        <v>2019-1766</v>
      </c>
      <c r="C7138" s="1" t="s">
        <v>2371</v>
      </c>
      <c r="D7138" s="1" t="s">
        <v>2372</v>
      </c>
      <c r="E7138" s="1" t="str">
        <f>""</f>
        <v/>
      </c>
      <c r="F7138" s="1" t="s">
        <v>1860</v>
      </c>
      <c r="G7138" s="1" t="str">
        <f>CONCATENATE(" MAXIMA USLUGE D.O.O.,"," SAMOBORSKA 222,"," 10000 ZAGREB,"," OIB: 69133421958")</f>
        <v xml:space="preserve"> MAXIMA USLUGE D.O.O., SAMOBORSKA 222, 10000 ZAGREB, OIB: 69133421958</v>
      </c>
      <c r="H7138" s="7"/>
      <c r="I7138" s="8" t="s">
        <v>4597</v>
      </c>
      <c r="J7138" s="8" t="s">
        <v>4242</v>
      </c>
      <c r="K7138" s="6" t="str">
        <f>"877,50"</f>
        <v>877,50</v>
      </c>
      <c r="L7138" s="6" t="str">
        <f>"219,38"</f>
        <v>219,38</v>
      </c>
      <c r="M7138" s="6" t="str">
        <f>"1.096,88"</f>
        <v>1.096,88</v>
      </c>
      <c r="N7138" s="8" t="s">
        <v>124</v>
      </c>
      <c r="O7138" s="7"/>
      <c r="P7138" s="2" t="s">
        <v>5614</v>
      </c>
      <c r="Q7138" s="7"/>
      <c r="R7138" s="1"/>
      <c r="S7138" s="1" t="str">
        <f>"J-UN-2019-3900"</f>
        <v>J-UN-2019-3900</v>
      </c>
      <c r="T7138" s="1" t="s">
        <v>32</v>
      </c>
    </row>
    <row r="7139" spans="1:20" ht="114.75" x14ac:dyDescent="0.25">
      <c r="A7139" s="6">
        <v>7110</v>
      </c>
      <c r="B7139" s="1" t="str">
        <f>"2019-2676"</f>
        <v>2019-2676</v>
      </c>
      <c r="C7139" s="1" t="s">
        <v>5400</v>
      </c>
      <c r="D7139" s="1" t="s">
        <v>5341</v>
      </c>
      <c r="E7139" s="1" t="str">
        <f>""</f>
        <v/>
      </c>
      <c r="F7139" s="1" t="s">
        <v>1860</v>
      </c>
      <c r="G7139" s="1" t="str">
        <f>CONCATENATE(" PASTOR - TVA - D.D.,"," RAKITJE,"," NOVAČKA 2,"," 10437 BESTOVJE,"," OIB: 17140959007")</f>
        <v xml:space="preserve"> PASTOR - TVA - D.D., RAKITJE, NOVAČKA 2, 10437 BESTOVJE, OIB: 17140959007</v>
      </c>
      <c r="H7139" s="7"/>
      <c r="I7139" s="8" t="s">
        <v>2273</v>
      </c>
      <c r="J7139" s="8" t="s">
        <v>4117</v>
      </c>
      <c r="K7139" s="6" t="str">
        <f>"49.995,00"</f>
        <v>49.995,00</v>
      </c>
      <c r="L7139" s="6" t="str">
        <f>"12.498,75"</f>
        <v>12.498,75</v>
      </c>
      <c r="M7139" s="6" t="str">
        <f>"62.493,75"</f>
        <v>62.493,75</v>
      </c>
      <c r="N7139" s="8" t="s">
        <v>124</v>
      </c>
      <c r="O7139" s="7"/>
      <c r="P7139" s="2" t="s">
        <v>5614</v>
      </c>
      <c r="Q7139" s="7"/>
      <c r="R7139" s="1"/>
      <c r="S7139" s="1" t="str">
        <f>"J-UN-2019-3918"</f>
        <v>J-UN-2019-3918</v>
      </c>
      <c r="T7139" s="1" t="s">
        <v>32</v>
      </c>
    </row>
    <row r="7140" spans="1:20" ht="89.25" x14ac:dyDescent="0.25">
      <c r="A7140" s="6">
        <v>7111</v>
      </c>
      <c r="B7140" s="1" t="str">
        <f>"2019-553"</f>
        <v>2019-553</v>
      </c>
      <c r="C7140" s="1" t="s">
        <v>5173</v>
      </c>
      <c r="D7140" s="1" t="s">
        <v>2331</v>
      </c>
      <c r="E7140" s="1" t="str">
        <f>""</f>
        <v/>
      </c>
      <c r="F7140" s="1" t="s">
        <v>1860</v>
      </c>
      <c r="G7140" s="1" t="str">
        <f>CONCATENATE(" 30 STUPNJEVA OBLIKOVANJE INFORMACIJA,"," OBRT VL. BRANIMIR KLARIĆ,"," STENJEVEČKA 38,"," 10000 ZAGREB,"," OIB: 43128008459")</f>
        <v xml:space="preserve"> 30 STUPNJEVA OBLIKOVANJE INFORMACIJA, OBRT VL. BRANIMIR KLARIĆ, STENJEVEČKA 38, 10000 ZAGREB, OIB: 43128008459</v>
      </c>
      <c r="H7140" s="7"/>
      <c r="I7140" s="8" t="s">
        <v>5415</v>
      </c>
      <c r="J7140" s="8" t="s">
        <v>4665</v>
      </c>
      <c r="K7140" s="6" t="str">
        <f>"14.500,00"</f>
        <v>14.500,00</v>
      </c>
      <c r="L7140" s="6" t="str">
        <f>"3.625,00"</f>
        <v>3.625,00</v>
      </c>
      <c r="M7140" s="6" t="str">
        <f>"18.125,00"</f>
        <v>18.125,00</v>
      </c>
      <c r="N7140" s="8" t="s">
        <v>124</v>
      </c>
      <c r="O7140" s="7"/>
      <c r="P7140" s="2" t="s">
        <v>5614</v>
      </c>
      <c r="Q7140" s="7"/>
      <c r="R7140" s="1"/>
      <c r="S7140" s="1" t="str">
        <f>"J-UN-2019-3941"</f>
        <v>J-UN-2019-3941</v>
      </c>
      <c r="T7140" s="1" t="s">
        <v>32</v>
      </c>
    </row>
    <row r="7141" spans="1:20" ht="63.75" x14ac:dyDescent="0.25">
      <c r="A7141" s="6">
        <v>7112</v>
      </c>
      <c r="B7141" s="1" t="str">
        <f>"2019-2736"</f>
        <v>2019-2736</v>
      </c>
      <c r="C7141" s="1" t="s">
        <v>5416</v>
      </c>
      <c r="D7141" s="1" t="s">
        <v>602</v>
      </c>
      <c r="E7141" s="1" t="str">
        <f>""</f>
        <v/>
      </c>
      <c r="F7141" s="1" t="s">
        <v>1860</v>
      </c>
      <c r="G7141" s="1" t="str">
        <f>CONCATENATE(" ČAZMATRANS - NOVA D.O.O.,"," MILANA NOVAČIĆA 10,"," 43240 ČAZMA,"," OIB: 04767584912")</f>
        <v xml:space="preserve"> ČAZMATRANS - NOVA D.O.O., MILANA NOVAČIĆA 10, 43240 ČAZMA, OIB: 04767584912</v>
      </c>
      <c r="H7141" s="7"/>
      <c r="I7141" s="8" t="s">
        <v>4526</v>
      </c>
      <c r="J7141" s="8" t="s">
        <v>5415</v>
      </c>
      <c r="K7141" s="6" t="str">
        <f>"147.080,00"</f>
        <v>147.080,00</v>
      </c>
      <c r="L7141" s="6" t="str">
        <f>"36.770,00"</f>
        <v>36.770,00</v>
      </c>
      <c r="M7141" s="6" t="str">
        <f>"183.850,00"</f>
        <v>183.850,00</v>
      </c>
      <c r="N7141" s="8" t="s">
        <v>4641</v>
      </c>
      <c r="O7141" s="7"/>
      <c r="P7141" s="2" t="s">
        <v>9039</v>
      </c>
      <c r="Q7141" s="7"/>
      <c r="R7141" s="1"/>
      <c r="S7141" s="1" t="str">
        <f>"J-UN-2019-3949"</f>
        <v>J-UN-2019-3949</v>
      </c>
      <c r="T7141" s="1" t="s">
        <v>32</v>
      </c>
    </row>
    <row r="7142" spans="1:20" ht="38.25" x14ac:dyDescent="0.25">
      <c r="A7142" s="6">
        <v>7113</v>
      </c>
      <c r="B7142" s="1" t="str">
        <f>"2019-1238"</f>
        <v>2019-1238</v>
      </c>
      <c r="C7142" s="1" t="s">
        <v>2412</v>
      </c>
      <c r="D7142" s="1" t="s">
        <v>2413</v>
      </c>
      <c r="E7142" s="1" t="str">
        <f>""</f>
        <v/>
      </c>
      <c r="F7142" s="1" t="s">
        <v>1860</v>
      </c>
      <c r="G7142" s="1" t="str">
        <f>CONCATENATE(" HP D.D.,"," JURIŠIĆEVA 13,"," 10000 ZAGREB,"," OIB: 87311810356")</f>
        <v xml:space="preserve"> HP D.D., JURIŠIĆEVA 13, 10000 ZAGREB, OIB: 87311810356</v>
      </c>
      <c r="H7142" s="7"/>
      <c r="I7142" s="8" t="s">
        <v>5415</v>
      </c>
      <c r="J7142" s="8" t="s">
        <v>5417</v>
      </c>
      <c r="K7142" s="6" t="str">
        <f>"4.500,00"</f>
        <v>4.500,00</v>
      </c>
      <c r="L7142" s="6" t="str">
        <f>"1.125,00"</f>
        <v>1.125,00</v>
      </c>
      <c r="M7142" s="6" t="str">
        <f>"5.625,00"</f>
        <v>5.625,00</v>
      </c>
      <c r="N7142" s="8" t="s">
        <v>3479</v>
      </c>
      <c r="O7142" s="7"/>
      <c r="P7142" s="2" t="s">
        <v>9040</v>
      </c>
      <c r="Q7142" s="1" t="s">
        <v>481</v>
      </c>
      <c r="R7142" s="1"/>
      <c r="S7142" s="1" t="str">
        <f>"J-UN-2019-3953"</f>
        <v>J-UN-2019-3953</v>
      </c>
      <c r="T7142" s="1" t="s">
        <v>32</v>
      </c>
    </row>
    <row r="7143" spans="1:20" ht="51" x14ac:dyDescent="0.25">
      <c r="A7143" s="6">
        <v>7114</v>
      </c>
      <c r="B7143" s="1" t="str">
        <f>"2019-2758"</f>
        <v>2019-2758</v>
      </c>
      <c r="C7143" s="1" t="s">
        <v>5418</v>
      </c>
      <c r="D7143" s="1" t="s">
        <v>1109</v>
      </c>
      <c r="E7143" s="1" t="str">
        <f>""</f>
        <v/>
      </c>
      <c r="F7143" s="1" t="s">
        <v>1860</v>
      </c>
      <c r="G7143" s="1" t="str">
        <f>CONCATENATE(" KOM-EKO D.O.O.,"," RADNIČKA CESTA 228,"," 10000 ZAGREB,"," OIB: 27859052647")</f>
        <v xml:space="preserve"> KOM-EKO D.O.O., RADNIČKA CESTA 228, 10000 ZAGREB, OIB: 27859052647</v>
      </c>
      <c r="H7143" s="7"/>
      <c r="I7143" s="8" t="s">
        <v>5419</v>
      </c>
      <c r="J7143" s="8" t="s">
        <v>4081</v>
      </c>
      <c r="K7143" s="6" t="str">
        <f>"482.100,00"</f>
        <v>482.100,00</v>
      </c>
      <c r="L7143" s="6" t="str">
        <f>"120.525,00"</f>
        <v>120.525,00</v>
      </c>
      <c r="M7143" s="6" t="str">
        <f>"602.625,00"</f>
        <v>602.625,00</v>
      </c>
      <c r="N7143" s="8" t="s">
        <v>2623</v>
      </c>
      <c r="O7143" s="7"/>
      <c r="P7143" s="2" t="s">
        <v>9041</v>
      </c>
      <c r="Q7143" s="1"/>
      <c r="R7143" s="1"/>
      <c r="S7143" s="1" t="str">
        <f>"J-UN-2019-3954"</f>
        <v>J-UN-2019-3954</v>
      </c>
      <c r="T7143" s="1" t="s">
        <v>32</v>
      </c>
    </row>
    <row r="7144" spans="1:20" ht="63.75" x14ac:dyDescent="0.25">
      <c r="A7144" s="6">
        <v>7115</v>
      </c>
      <c r="B7144" s="1" t="str">
        <f>"2019-2125"</f>
        <v>2019-2125</v>
      </c>
      <c r="C7144" s="1" t="s">
        <v>2756</v>
      </c>
      <c r="D7144" s="1" t="s">
        <v>860</v>
      </c>
      <c r="E7144" s="1" t="str">
        <f>""</f>
        <v/>
      </c>
      <c r="F7144" s="1" t="s">
        <v>1860</v>
      </c>
      <c r="G7144" s="1" t="str">
        <f>CONCATENATE(" SERVIS I TRGOVINA ŽIBRAT,"," VL. DARKO ŽIBRAT,"," I RESNIK 52,"," 10000 ZAGREB,"," OIB: 46603270345")</f>
        <v xml:space="preserve"> SERVIS I TRGOVINA ŽIBRAT, VL. DARKO ŽIBRAT, I RESNIK 52, 10000 ZAGREB, OIB: 46603270345</v>
      </c>
      <c r="H7144" s="7"/>
      <c r="I7144" s="8" t="s">
        <v>4526</v>
      </c>
      <c r="J7144" s="8" t="s">
        <v>5415</v>
      </c>
      <c r="K7144" s="6" t="str">
        <f>"650,10"</f>
        <v>650,10</v>
      </c>
      <c r="L7144" s="6" t="str">
        <f>"162,52"</f>
        <v>162,52</v>
      </c>
      <c r="M7144" s="6" t="str">
        <f>"812,62"</f>
        <v>812,62</v>
      </c>
      <c r="N7144" s="8" t="s">
        <v>124</v>
      </c>
      <c r="O7144" s="7"/>
      <c r="P7144" s="2" t="s">
        <v>5614</v>
      </c>
      <c r="Q7144" s="7"/>
      <c r="R7144" s="1"/>
      <c r="S7144" s="1" t="str">
        <f>"J-UN-2019-3972"</f>
        <v>J-UN-2019-3972</v>
      </c>
      <c r="T7144" s="1" t="s">
        <v>32</v>
      </c>
    </row>
    <row r="7145" spans="1:20" ht="51" x14ac:dyDescent="0.25">
      <c r="A7145" s="6">
        <v>7116</v>
      </c>
      <c r="B7145" s="1" t="str">
        <f>"2019-329"</f>
        <v>2019-329</v>
      </c>
      <c r="C7145" s="1" t="s">
        <v>5420</v>
      </c>
      <c r="D7145" s="1" t="s">
        <v>1322</v>
      </c>
      <c r="E7145" s="1" t="str">
        <f>""</f>
        <v/>
      </c>
      <c r="F7145" s="1" t="s">
        <v>1860</v>
      </c>
      <c r="G7145" s="1" t="str">
        <f>CONCATENATE(" ARBORI CULTURA D.O.O.,"," POKUPSKO 86,"," 10414 POKUPSKO,"," OIB: 16690651659")</f>
        <v xml:space="preserve"> ARBORI CULTURA D.O.O., POKUPSKO 86, 10414 POKUPSKO, OIB: 16690651659</v>
      </c>
      <c r="H7145" s="7"/>
      <c r="I7145" s="8" t="s">
        <v>4608</v>
      </c>
      <c r="J7145" s="8" t="s">
        <v>4600</v>
      </c>
      <c r="K7145" s="6" t="str">
        <f>"90.700,00"</f>
        <v>90.700,00</v>
      </c>
      <c r="L7145" s="6" t="str">
        <f>"22.675,00"</f>
        <v>22.675,00</v>
      </c>
      <c r="M7145" s="6" t="str">
        <f>"113.375,00"</f>
        <v>113.375,00</v>
      </c>
      <c r="N7145" s="8" t="s">
        <v>5421</v>
      </c>
      <c r="O7145" s="7"/>
      <c r="P7145" s="2" t="s">
        <v>9042</v>
      </c>
      <c r="Q7145" s="7"/>
      <c r="R7145" s="1"/>
      <c r="S7145" s="1" t="str">
        <f>"J-UN-2019-4001"</f>
        <v>J-UN-2019-4001</v>
      </c>
      <c r="T7145" s="1" t="s">
        <v>32</v>
      </c>
    </row>
    <row r="7146" spans="1:20" ht="51" x14ac:dyDescent="0.25">
      <c r="A7146" s="6">
        <v>7117</v>
      </c>
      <c r="B7146" s="1" t="str">
        <f>"2019-2737"</f>
        <v>2019-2737</v>
      </c>
      <c r="C7146" s="1" t="s">
        <v>5422</v>
      </c>
      <c r="D7146" s="1" t="s">
        <v>602</v>
      </c>
      <c r="E7146" s="1" t="str">
        <f>""</f>
        <v/>
      </c>
      <c r="F7146" s="1" t="s">
        <v>1860</v>
      </c>
      <c r="G7146" s="1" t="str">
        <f>CONCATENATE(" HERC TOURS D.O.O.,"," RIMSKI PUT 26,"," 10360 SESVETE,"," OIB: 9755291064")</f>
        <v xml:space="preserve"> HERC TOURS D.O.O., RIMSKI PUT 26, 10360 SESVETE, OIB: 9755291064</v>
      </c>
      <c r="H7146" s="7"/>
      <c r="I7146" s="8" t="s">
        <v>4600</v>
      </c>
      <c r="J7146" s="8" t="s">
        <v>4117</v>
      </c>
      <c r="K7146" s="6" t="str">
        <f>"94.500,00"</f>
        <v>94.500,00</v>
      </c>
      <c r="L7146" s="6" t="str">
        <f>"23.625,00"</f>
        <v>23.625,00</v>
      </c>
      <c r="M7146" s="6" t="str">
        <f>"118.125,00"</f>
        <v>118.125,00</v>
      </c>
      <c r="N7146" s="8" t="s">
        <v>5110</v>
      </c>
      <c r="O7146" s="7"/>
      <c r="P7146" s="2" t="s">
        <v>9043</v>
      </c>
      <c r="Q7146" s="7"/>
      <c r="R7146" s="1"/>
      <c r="S7146" s="1" t="str">
        <f>"J-UN-2019-4036"</f>
        <v>J-UN-2019-4036</v>
      </c>
      <c r="T7146" s="1" t="s">
        <v>32</v>
      </c>
    </row>
    <row r="7147" spans="1:20" ht="51" x14ac:dyDescent="0.25">
      <c r="A7147" s="6">
        <v>7118</v>
      </c>
      <c r="B7147" s="1" t="str">
        <f>"2019-782"</f>
        <v>2019-782</v>
      </c>
      <c r="C7147" s="1" t="s">
        <v>2753</v>
      </c>
      <c r="D7147" s="1" t="s">
        <v>2331</v>
      </c>
      <c r="E7147" s="1" t="str">
        <f>""</f>
        <v/>
      </c>
      <c r="F7147" s="1" t="s">
        <v>1860</v>
      </c>
      <c r="G7147" s="1" t="str">
        <f>CONCATENATE(" KADEI 360 D.O.O.,"," IVE MALLINA 30,"," 10000 ZAGREB,"," OIB: 7082163502")</f>
        <v xml:space="preserve"> KADEI 360 D.O.O., IVE MALLINA 30, 10000 ZAGREB, OIB: 7082163502</v>
      </c>
      <c r="H7147" s="7"/>
      <c r="I7147" s="8" t="s">
        <v>4665</v>
      </c>
      <c r="J7147" s="8" t="s">
        <v>4941</v>
      </c>
      <c r="K7147" s="6" t="str">
        <f>"10.000,00"</f>
        <v>10.000,00</v>
      </c>
      <c r="L7147" s="6" t="str">
        <f>"2.500,00"</f>
        <v>2.500,00</v>
      </c>
      <c r="M7147" s="6" t="str">
        <f>"12.500,00"</f>
        <v>12.500,00</v>
      </c>
      <c r="N7147" s="8" t="s">
        <v>124</v>
      </c>
      <c r="O7147" s="7"/>
      <c r="P7147" s="2" t="s">
        <v>5614</v>
      </c>
      <c r="Q7147" s="7"/>
      <c r="R7147" s="1"/>
      <c r="S7147" s="1" t="str">
        <f>"J-UN-2019-4037"</f>
        <v>J-UN-2019-4037</v>
      </c>
      <c r="T7147" s="1" t="s">
        <v>32</v>
      </c>
    </row>
    <row r="7148" spans="1:20" ht="51" x14ac:dyDescent="0.25">
      <c r="A7148" s="6">
        <v>7119</v>
      </c>
      <c r="B7148" s="1" t="str">
        <f>"2019-2741"</f>
        <v>2019-2741</v>
      </c>
      <c r="C7148" s="1" t="s">
        <v>5423</v>
      </c>
      <c r="D7148" s="1" t="s">
        <v>1641</v>
      </c>
      <c r="E7148" s="1" t="str">
        <f>""</f>
        <v/>
      </c>
      <c r="F7148" s="1" t="s">
        <v>1860</v>
      </c>
      <c r="G7148" s="1" t="str">
        <f>CONCATENATE(" APZ HIDRIA D.O.O.,"," ZAGREBAČKA 233,"," 10000 ZAGREB,"," OIB: 76901428643")</f>
        <v xml:space="preserve"> APZ HIDRIA D.O.O., ZAGREBAČKA 233, 10000 ZAGREB, OIB: 76901428643</v>
      </c>
      <c r="H7148" s="7"/>
      <c r="I7148" s="8" t="s">
        <v>4608</v>
      </c>
      <c r="J7148" s="8" t="s">
        <v>5424</v>
      </c>
      <c r="K7148" s="6" t="str">
        <f>"196.500,00"</f>
        <v>196.500,00</v>
      </c>
      <c r="L7148" s="6" t="str">
        <f>"49.125,00"</f>
        <v>49.125,00</v>
      </c>
      <c r="M7148" s="6" t="str">
        <f>"245.625,00"</f>
        <v>245.625,00</v>
      </c>
      <c r="N7148" s="8" t="s">
        <v>4332</v>
      </c>
      <c r="O7148" s="7"/>
      <c r="P7148" s="2" t="s">
        <v>9044</v>
      </c>
      <c r="Q7148" s="7"/>
      <c r="R7148" s="1"/>
      <c r="S7148" s="1" t="str">
        <f>"J-UN-2019-4038"</f>
        <v>J-UN-2019-4038</v>
      </c>
      <c r="T7148" s="1" t="s">
        <v>32</v>
      </c>
    </row>
    <row r="7149" spans="1:20" ht="76.5" x14ac:dyDescent="0.25">
      <c r="A7149" s="6">
        <v>7120</v>
      </c>
      <c r="B7149" s="1" t="str">
        <f>"2019-2724"</f>
        <v>2019-2724</v>
      </c>
      <c r="C7149" s="1" t="s">
        <v>5425</v>
      </c>
      <c r="D7149" s="1" t="s">
        <v>5426</v>
      </c>
      <c r="E7149" s="1" t="str">
        <f>""</f>
        <v/>
      </c>
      <c r="F7149" s="1" t="s">
        <v>1860</v>
      </c>
      <c r="G7149" s="1" t="str">
        <f>CONCATENATE(" KSU D.O.O.,"," DR. JURJA DOBRILE 50,"," 10410 VELIKA GORICA,"," OIB: 349769936")</f>
        <v xml:space="preserve"> KSU D.O.O., DR. JURJA DOBRILE 50, 10410 VELIKA GORICA, OIB: 349769936</v>
      </c>
      <c r="H7149" s="7"/>
      <c r="I7149" s="8" t="s">
        <v>4608</v>
      </c>
      <c r="J7149" s="8" t="s">
        <v>4117</v>
      </c>
      <c r="K7149" s="6" t="str">
        <f>"24.500,00"</f>
        <v>24.500,00</v>
      </c>
      <c r="L7149" s="6" t="str">
        <f>"6.125,00"</f>
        <v>6.125,00</v>
      </c>
      <c r="M7149" s="6" t="str">
        <f>"30.625,00"</f>
        <v>30.625,00</v>
      </c>
      <c r="N7149" s="8" t="s">
        <v>124</v>
      </c>
      <c r="O7149" s="7"/>
      <c r="P7149" s="2" t="s">
        <v>5614</v>
      </c>
      <c r="Q7149" s="7"/>
      <c r="R7149" s="1"/>
      <c r="S7149" s="1" t="str">
        <f>"J-UN-2019-4058"</f>
        <v>J-UN-2019-4058</v>
      </c>
      <c r="T7149" s="1" t="s">
        <v>32</v>
      </c>
    </row>
    <row r="7150" spans="1:20" ht="51" x14ac:dyDescent="0.25">
      <c r="A7150" s="6">
        <v>7121</v>
      </c>
      <c r="B7150" s="1" t="str">
        <f>"2019-846"</f>
        <v>2019-846</v>
      </c>
      <c r="C7150" s="1" t="s">
        <v>5212</v>
      </c>
      <c r="D7150" s="1" t="s">
        <v>2855</v>
      </c>
      <c r="E7150" s="1" t="str">
        <f>""</f>
        <v/>
      </c>
      <c r="F7150" s="1" t="s">
        <v>1860</v>
      </c>
      <c r="G7150" s="1" t="str">
        <f>CONCATENATE(" TEHNO-HIDRAULIK D.O.O.,"," SAVIŠĆE 2,"," 10000 ZAGREB,"," OIB: 09925328419")</f>
        <v xml:space="preserve"> TEHNO-HIDRAULIK D.O.O., SAVIŠĆE 2, 10000 ZAGREB, OIB: 09925328419</v>
      </c>
      <c r="H7150" s="7"/>
      <c r="I7150" s="8" t="s">
        <v>5419</v>
      </c>
      <c r="J7150" s="8" t="s">
        <v>4038</v>
      </c>
      <c r="K7150" s="6" t="str">
        <f>"9.811,65"</f>
        <v>9.811,65</v>
      </c>
      <c r="L7150" s="6" t="str">
        <f>"2.452,91"</f>
        <v>2.452,91</v>
      </c>
      <c r="M7150" s="6" t="str">
        <f>"12.264,56"</f>
        <v>12.264,56</v>
      </c>
      <c r="N7150" s="7"/>
      <c r="O7150" s="9">
        <v>43668</v>
      </c>
      <c r="P7150" s="2" t="s">
        <v>5614</v>
      </c>
      <c r="Q7150" s="7"/>
      <c r="R7150" s="1"/>
      <c r="S7150" s="1" t="str">
        <f>"J-UN-2019-4070"</f>
        <v>J-UN-2019-4070</v>
      </c>
      <c r="T7150" s="1" t="s">
        <v>32</v>
      </c>
    </row>
    <row r="7151" spans="1:20" ht="51" x14ac:dyDescent="0.25">
      <c r="A7151" s="6">
        <v>7122</v>
      </c>
      <c r="B7151" s="1" t="str">
        <f>"2019-684"</f>
        <v>2019-684</v>
      </c>
      <c r="C7151" s="1" t="s">
        <v>5427</v>
      </c>
      <c r="D7151" s="1" t="s">
        <v>1007</v>
      </c>
      <c r="E7151" s="1" t="str">
        <f>""</f>
        <v/>
      </c>
      <c r="F7151" s="1" t="s">
        <v>1860</v>
      </c>
      <c r="G7151" s="1" t="str">
        <f>CONCATENATE(" ZIK D.O.O.,"," LJUDEVITA GAJA 17/III,"," 10000 ZAGREB,"," OIB: 74121470605")</f>
        <v xml:space="preserve"> ZIK D.O.O., LJUDEVITA GAJA 17/III, 10000 ZAGREB, OIB: 74121470605</v>
      </c>
      <c r="H7151" s="7"/>
      <c r="I7151" s="8" t="s">
        <v>4051</v>
      </c>
      <c r="J7151" s="8" t="s">
        <v>516</v>
      </c>
      <c r="K7151" s="6" t="str">
        <f>"2.000,00"</f>
        <v>2.000,00</v>
      </c>
      <c r="L7151" s="6" t="str">
        <f>"500,00"</f>
        <v>500,00</v>
      </c>
      <c r="M7151" s="6" t="str">
        <f>"2.500,00"</f>
        <v>2.500,00</v>
      </c>
      <c r="N7151" s="7"/>
      <c r="O7151" s="9">
        <v>43665</v>
      </c>
      <c r="P7151" s="2" t="s">
        <v>5614</v>
      </c>
      <c r="Q7151" s="7"/>
      <c r="R7151" s="1"/>
      <c r="S7151" s="1" t="str">
        <f>"J-UN-2019-4073"</f>
        <v>J-UN-2019-4073</v>
      </c>
      <c r="T7151" s="1" t="s">
        <v>32</v>
      </c>
    </row>
    <row r="7152" spans="1:20" ht="76.5" x14ac:dyDescent="0.25">
      <c r="A7152" s="6">
        <v>7123</v>
      </c>
      <c r="B7152" s="1" t="str">
        <f>"2019-572"</f>
        <v>2019-572</v>
      </c>
      <c r="C7152" s="1" t="s">
        <v>2907</v>
      </c>
      <c r="D7152" s="1" t="s">
        <v>143</v>
      </c>
      <c r="E7152" s="1" t="str">
        <f>""</f>
        <v/>
      </c>
      <c r="F7152" s="1" t="s">
        <v>1860</v>
      </c>
      <c r="G7152" s="1" t="str">
        <f>CONCATENATE(" CROSPORT-VEZ VL. JAKOV MARKOVIĆ,"," KOTORVAROŠKA 7,"," 10020 ZAGREB-NOVI ZAGREB,"," OIB: 513403325")</f>
        <v xml:space="preserve"> CROSPORT-VEZ VL. JAKOV MARKOVIĆ, KOTORVAROŠKA 7, 10020 ZAGREB-NOVI ZAGREB, OIB: 513403325</v>
      </c>
      <c r="H7152" s="7"/>
      <c r="I7152" s="8" t="s">
        <v>5419</v>
      </c>
      <c r="J7152" s="8" t="s">
        <v>4038</v>
      </c>
      <c r="K7152" s="6" t="str">
        <f>"284,00"</f>
        <v>284,00</v>
      </c>
      <c r="L7152" s="6" t="str">
        <f>"71,00"</f>
        <v>71,00</v>
      </c>
      <c r="M7152" s="6" t="str">
        <f>"355,00"</f>
        <v>355,00</v>
      </c>
      <c r="N7152" s="8" t="s">
        <v>124</v>
      </c>
      <c r="O7152" s="7"/>
      <c r="P7152" s="2" t="s">
        <v>5614</v>
      </c>
      <c r="Q7152" s="7"/>
      <c r="R7152" s="1"/>
      <c r="S7152" s="1" t="str">
        <f>"J-UN-2019-4084"</f>
        <v>J-UN-2019-4084</v>
      </c>
      <c r="T7152" s="1" t="s">
        <v>32</v>
      </c>
    </row>
    <row r="7153" spans="1:20" ht="51" x14ac:dyDescent="0.25">
      <c r="A7153" s="6">
        <v>7124</v>
      </c>
      <c r="B7153" s="1" t="str">
        <f>"2019-1163"</f>
        <v>2019-1163</v>
      </c>
      <c r="C7153" s="1" t="s">
        <v>5428</v>
      </c>
      <c r="D7153" s="1" t="s">
        <v>1672</v>
      </c>
      <c r="E7153" s="1" t="str">
        <f>""</f>
        <v/>
      </c>
      <c r="F7153" s="1" t="s">
        <v>1860</v>
      </c>
      <c r="G7153" s="1" t="str">
        <f>CONCATENATE(" UNIVERZAL D.O.O.,"," CEHOVSKA 10,"," 42000 VARAŽDIN,"," OIB: 71843925886")</f>
        <v xml:space="preserve"> UNIVERZAL D.O.O., CEHOVSKA 10, 42000 VARAŽDIN, OIB: 71843925886</v>
      </c>
      <c r="H7153" s="7"/>
      <c r="I7153" s="8" t="s">
        <v>4608</v>
      </c>
      <c r="J7153" s="8" t="s">
        <v>4600</v>
      </c>
      <c r="K7153" s="6" t="str">
        <f>"195.600,00"</f>
        <v>195.600,00</v>
      </c>
      <c r="L7153" s="6" t="str">
        <f>"48.900,00"</f>
        <v>48.900,00</v>
      </c>
      <c r="M7153" s="6" t="str">
        <f>"244.500,00"</f>
        <v>244.500,00</v>
      </c>
      <c r="N7153" s="8" t="s">
        <v>569</v>
      </c>
      <c r="O7153" s="7"/>
      <c r="P7153" s="2" t="s">
        <v>8919</v>
      </c>
      <c r="Q7153" s="7"/>
      <c r="R7153" s="1"/>
      <c r="S7153" s="1" t="str">
        <f>"J-UN-2019-4086"</f>
        <v>J-UN-2019-4086</v>
      </c>
      <c r="T7153" s="1" t="s">
        <v>32</v>
      </c>
    </row>
    <row r="7154" spans="1:20" ht="51" x14ac:dyDescent="0.25">
      <c r="A7154" s="6">
        <v>7125</v>
      </c>
      <c r="B7154" s="1" t="str">
        <f>"2019-2842"</f>
        <v>2019-2842</v>
      </c>
      <c r="C7154" s="1" t="s">
        <v>5429</v>
      </c>
      <c r="D7154" s="1" t="s">
        <v>2057</v>
      </c>
      <c r="E7154" s="1" t="str">
        <f>""</f>
        <v/>
      </c>
      <c r="F7154" s="1" t="s">
        <v>1860</v>
      </c>
      <c r="G7154" s="1" t="str">
        <f>CONCATENATE(" UMIUM D.O.O.,"," ŠESTINSKA CESTA 11,"," 10000 ZAGREB,"," OIB: 3116021415")</f>
        <v xml:space="preserve"> UMIUM D.O.O., ŠESTINSKA CESTA 11, 10000 ZAGREB, OIB: 3116021415</v>
      </c>
      <c r="H7154" s="7"/>
      <c r="I7154" s="8" t="s">
        <v>4034</v>
      </c>
      <c r="J7154" s="8" t="s">
        <v>4211</v>
      </c>
      <c r="K7154" s="6" t="str">
        <f>"167.800,00"</f>
        <v>167.800,00</v>
      </c>
      <c r="L7154" s="6" t="str">
        <f>"41.950,00"</f>
        <v>41.950,00</v>
      </c>
      <c r="M7154" s="6" t="str">
        <f>"209.750,00"</f>
        <v>209.750,00</v>
      </c>
      <c r="N7154" s="8" t="s">
        <v>5430</v>
      </c>
      <c r="O7154" s="7"/>
      <c r="P7154" s="2" t="s">
        <v>9045</v>
      </c>
      <c r="Q7154" s="1" t="s">
        <v>481</v>
      </c>
      <c r="R7154" s="1"/>
      <c r="S7154" s="1" t="str">
        <f>"J-UN-2019-4088"</f>
        <v>J-UN-2019-4088</v>
      </c>
      <c r="T7154" s="1" t="s">
        <v>32</v>
      </c>
    </row>
    <row r="7155" spans="1:20" ht="63.75" x14ac:dyDescent="0.25">
      <c r="A7155" s="6">
        <v>7126</v>
      </c>
      <c r="B7155" s="1" t="str">
        <f>"2019-595"</f>
        <v>2019-595</v>
      </c>
      <c r="C7155" s="1" t="s">
        <v>2926</v>
      </c>
      <c r="D7155" s="1" t="s">
        <v>689</v>
      </c>
      <c r="E7155" s="1" t="str">
        <f>""</f>
        <v/>
      </c>
      <c r="F7155" s="1" t="s">
        <v>1860</v>
      </c>
      <c r="G7155" s="1" t="str">
        <f>CONCATENATE(" ROTOPLAST D.O.O.,"," PODUZETNIČKA 7,"," 10431 SVETA NEDJELJA - KERESTINEC,"," OIB: 3795557299")</f>
        <v xml:space="preserve"> ROTOPLAST D.O.O., PODUZETNIČKA 7, 10431 SVETA NEDJELJA - KERESTINEC, OIB: 3795557299</v>
      </c>
      <c r="H7155" s="7"/>
      <c r="I7155" s="8" t="s">
        <v>3492</v>
      </c>
      <c r="J7155" s="8" t="s">
        <v>4034</v>
      </c>
      <c r="K7155" s="6" t="str">
        <f>"196.630,00"</f>
        <v>196.630,00</v>
      </c>
      <c r="L7155" s="6" t="str">
        <f>"49.157,50"</f>
        <v>49.157,50</v>
      </c>
      <c r="M7155" s="6" t="str">
        <f>"245.787,50"</f>
        <v>245.787,50</v>
      </c>
      <c r="N7155" s="8" t="s">
        <v>5431</v>
      </c>
      <c r="O7155" s="7"/>
      <c r="P7155" s="2" t="s">
        <v>9046</v>
      </c>
      <c r="Q7155" s="7"/>
      <c r="R7155" s="1"/>
      <c r="S7155" s="1" t="str">
        <f>"J-UN-2019-4118"</f>
        <v>J-UN-2019-4118</v>
      </c>
      <c r="T7155" s="1" t="s">
        <v>32</v>
      </c>
    </row>
    <row r="7156" spans="1:20" ht="51" x14ac:dyDescent="0.25">
      <c r="A7156" s="6">
        <v>7127</v>
      </c>
      <c r="B7156" s="1" t="str">
        <f>"2019-2274"</f>
        <v>2019-2274</v>
      </c>
      <c r="C7156" s="1" t="s">
        <v>2626</v>
      </c>
      <c r="D7156" s="1" t="s">
        <v>2627</v>
      </c>
      <c r="E7156" s="1" t="str">
        <f>""</f>
        <v/>
      </c>
      <c r="F7156" s="1" t="s">
        <v>1860</v>
      </c>
      <c r="G7156" s="1" t="str">
        <f>CONCATENATE(" RIMOS D.O.O.,"," LAGINJINA 6C,"," 10000 ZAGREB,"," OIB: 14998834808")</f>
        <v xml:space="preserve"> RIMOS D.O.O., LAGINJINA 6C, 10000 ZAGREB, OIB: 14998834808</v>
      </c>
      <c r="H7156" s="7"/>
      <c r="I7156" s="8" t="s">
        <v>3492</v>
      </c>
      <c r="J7156" s="8" t="s">
        <v>4034</v>
      </c>
      <c r="K7156" s="6" t="str">
        <f>"6.420,00"</f>
        <v>6.420,00</v>
      </c>
      <c r="L7156" s="6" t="str">
        <f>"1.605,00"</f>
        <v>1.605,00</v>
      </c>
      <c r="M7156" s="6" t="str">
        <f>"8.025,00"</f>
        <v>8.025,00</v>
      </c>
      <c r="N7156" s="8" t="s">
        <v>124</v>
      </c>
      <c r="O7156" s="7"/>
      <c r="P7156" s="2" t="s">
        <v>5614</v>
      </c>
      <c r="Q7156" s="7"/>
      <c r="R7156" s="1"/>
      <c r="S7156" s="1" t="str">
        <f>"J-UN-2019-4119"</f>
        <v>J-UN-2019-4119</v>
      </c>
      <c r="T7156" s="1" t="s">
        <v>32</v>
      </c>
    </row>
    <row r="7157" spans="1:20" ht="63.75" x14ac:dyDescent="0.25">
      <c r="A7157" s="6">
        <v>7128</v>
      </c>
      <c r="B7157" s="1" t="str">
        <f>"2019-1319"</f>
        <v>2019-1319</v>
      </c>
      <c r="C7157" s="1" t="s">
        <v>2700</v>
      </c>
      <c r="D7157" s="1" t="s">
        <v>2701</v>
      </c>
      <c r="E7157" s="1" t="str">
        <f>""</f>
        <v/>
      </c>
      <c r="F7157" s="1" t="s">
        <v>1860</v>
      </c>
      <c r="G7157" s="1" t="str">
        <f>CONCATENATE(" POLJOOPSKRBA-TEHNO D.D.,"," SAMOBORSKA 96,"," 10000 ZAGREB,"," OIB: 5372167324")</f>
        <v xml:space="preserve"> POLJOOPSKRBA-TEHNO D.D., SAMOBORSKA 96, 10000 ZAGREB, OIB: 5372167324</v>
      </c>
      <c r="H7157" s="7"/>
      <c r="I7157" s="8" t="s">
        <v>5432</v>
      </c>
      <c r="J7157" s="8" t="s">
        <v>5291</v>
      </c>
      <c r="K7157" s="6" t="str">
        <f>"1.868,80"</f>
        <v>1.868,80</v>
      </c>
      <c r="L7157" s="6" t="str">
        <f>"467,20"</f>
        <v>467,20</v>
      </c>
      <c r="M7157" s="6" t="str">
        <f>"2.336,00"</f>
        <v>2.336,00</v>
      </c>
      <c r="N7157" s="8" t="s">
        <v>124</v>
      </c>
      <c r="O7157" s="7"/>
      <c r="P7157" s="2" t="s">
        <v>5614</v>
      </c>
      <c r="Q7157" s="7"/>
      <c r="R7157" s="1"/>
      <c r="S7157" s="1" t="str">
        <f>"J-UN-2019-4140"</f>
        <v>J-UN-2019-4140</v>
      </c>
      <c r="T7157" s="1" t="s">
        <v>32</v>
      </c>
    </row>
    <row r="7158" spans="1:20" ht="51" x14ac:dyDescent="0.25">
      <c r="A7158" s="6">
        <v>7129</v>
      </c>
      <c r="B7158" s="1" t="str">
        <f>"2019-1111"</f>
        <v>2019-1111</v>
      </c>
      <c r="C7158" s="1" t="s">
        <v>2712</v>
      </c>
      <c r="D7158" s="1" t="s">
        <v>2713</v>
      </c>
      <c r="E7158" s="1" t="str">
        <f>""</f>
        <v/>
      </c>
      <c r="F7158" s="1" t="s">
        <v>1860</v>
      </c>
      <c r="G7158" s="1" t="str">
        <f>CONCATENATE(" VODOSKOK D.D.,"," ČULINEČKA CESTA 221/C,"," 10040 ZAGREB,"," OIB: 34134218058")</f>
        <v xml:space="preserve"> VODOSKOK D.D., ČULINEČKA CESTA 221/C, 10040 ZAGREB, OIB: 34134218058</v>
      </c>
      <c r="H7158" s="7"/>
      <c r="I7158" s="8" t="s">
        <v>5432</v>
      </c>
      <c r="J7158" s="8" t="s">
        <v>5291</v>
      </c>
      <c r="K7158" s="6" t="str">
        <f>"10.290,00"</f>
        <v>10.290,00</v>
      </c>
      <c r="L7158" s="6" t="str">
        <f>"2.572,50"</f>
        <v>2.572,50</v>
      </c>
      <c r="M7158" s="6" t="str">
        <f>"12.862,50"</f>
        <v>12.862,50</v>
      </c>
      <c r="N7158" s="8" t="s">
        <v>4429</v>
      </c>
      <c r="O7158" s="7"/>
      <c r="P7158" s="2" t="s">
        <v>8018</v>
      </c>
      <c r="Q7158" s="7"/>
      <c r="R7158" s="1"/>
      <c r="S7158" s="1" t="str">
        <f>"J-UN-2019-4143"</f>
        <v>J-UN-2019-4143</v>
      </c>
      <c r="T7158" s="1" t="s">
        <v>32</v>
      </c>
    </row>
    <row r="7159" spans="1:20" ht="63.75" x14ac:dyDescent="0.25">
      <c r="A7159" s="6">
        <v>7130</v>
      </c>
      <c r="B7159" s="1" t="str">
        <f>"2019-2725"</f>
        <v>2019-2725</v>
      </c>
      <c r="C7159" s="1" t="s">
        <v>5433</v>
      </c>
      <c r="D7159" s="1" t="s">
        <v>5426</v>
      </c>
      <c r="E7159" s="1" t="str">
        <f>""</f>
        <v/>
      </c>
      <c r="F7159" s="1" t="s">
        <v>1860</v>
      </c>
      <c r="G7159" s="1" t="str">
        <f>CONCATENATE(" KSU D.O.O.,"," DR. JURJA DOBRILE 50,"," 10410 VELIKA GORICA,"," OIB: 349769936")</f>
        <v xml:space="preserve"> KSU D.O.O., DR. JURJA DOBRILE 50, 10410 VELIKA GORICA, OIB: 349769936</v>
      </c>
      <c r="H7159" s="7"/>
      <c r="I7159" s="8" t="s">
        <v>4670</v>
      </c>
      <c r="J7159" s="8" t="s">
        <v>4158</v>
      </c>
      <c r="K7159" s="6" t="str">
        <f>"14.970,00"</f>
        <v>14.970,00</v>
      </c>
      <c r="L7159" s="6" t="str">
        <f>"3.742,50"</f>
        <v>3.742,50</v>
      </c>
      <c r="M7159" s="6" t="str">
        <f>"18.712,50"</f>
        <v>18.712,50</v>
      </c>
      <c r="N7159" s="8" t="s">
        <v>2000</v>
      </c>
      <c r="O7159" s="7"/>
      <c r="P7159" s="2" t="s">
        <v>9047</v>
      </c>
      <c r="Q7159" s="1"/>
      <c r="R7159" s="1"/>
      <c r="S7159" s="1" t="str">
        <f>"J-UN-2019-4146"</f>
        <v>J-UN-2019-4146</v>
      </c>
      <c r="T7159" s="1" t="s">
        <v>32</v>
      </c>
    </row>
    <row r="7160" spans="1:20" ht="63.75" x14ac:dyDescent="0.25">
      <c r="A7160" s="6">
        <v>7131</v>
      </c>
      <c r="B7160" s="1" t="str">
        <f>"2019-2764"</f>
        <v>2019-2764</v>
      </c>
      <c r="C7160" s="1" t="s">
        <v>5434</v>
      </c>
      <c r="D7160" s="1" t="s">
        <v>2461</v>
      </c>
      <c r="E7160" s="1" t="str">
        <f>""</f>
        <v/>
      </c>
      <c r="F7160" s="1" t="s">
        <v>1860</v>
      </c>
      <c r="G7160" s="1" t="str">
        <f>CONCATENATE(" GRADNJAMONT D.O.O.,"," KUTNJAČKI PUT 2,"," 10000 ZAGREB,"," OIB: 89621078419")</f>
        <v xml:space="preserve"> GRADNJAMONT D.O.O., KUTNJAČKI PUT 2, 10000 ZAGREB, OIB: 89621078419</v>
      </c>
      <c r="H7160" s="7"/>
      <c r="I7160" s="8" t="s">
        <v>4051</v>
      </c>
      <c r="J7160" s="8" t="s">
        <v>516</v>
      </c>
      <c r="K7160" s="6" t="str">
        <f>"84.600,00"</f>
        <v>84.600,00</v>
      </c>
      <c r="L7160" s="6" t="str">
        <f>"21.150,00"</f>
        <v>21.150,00</v>
      </c>
      <c r="M7160" s="6" t="str">
        <f>"105.750,00"</f>
        <v>105.750,00</v>
      </c>
      <c r="N7160" s="8" t="s">
        <v>1000</v>
      </c>
      <c r="O7160" s="7"/>
      <c r="P7160" s="2" t="s">
        <v>9048</v>
      </c>
      <c r="Q7160" s="7"/>
      <c r="R7160" s="1"/>
      <c r="S7160" s="1" t="str">
        <f>"J-UN-2019-4158"</f>
        <v>J-UN-2019-4158</v>
      </c>
      <c r="T7160" s="1" t="s">
        <v>32</v>
      </c>
    </row>
    <row r="7161" spans="1:20" ht="51" x14ac:dyDescent="0.25">
      <c r="A7161" s="6">
        <v>7132</v>
      </c>
      <c r="B7161" s="1" t="str">
        <f>"2019-287"</f>
        <v>2019-287</v>
      </c>
      <c r="C7161" s="1" t="s">
        <v>2288</v>
      </c>
      <c r="D7161" s="1" t="s">
        <v>1007</v>
      </c>
      <c r="E7161" s="1" t="str">
        <f>""</f>
        <v/>
      </c>
      <c r="F7161" s="1" t="s">
        <v>1860</v>
      </c>
      <c r="G7161" s="1" t="str">
        <f>CONCATENATE(" CAMELOT SISTEMI D.O.O.,"," FRANKOPANSKA 22,"," 10000 ZAGREB,"," OIB: 79572418476")</f>
        <v xml:space="preserve"> CAMELOT SISTEMI D.O.O., FRANKOPANSKA 22, 10000 ZAGREB, OIB: 79572418476</v>
      </c>
      <c r="H7161" s="7"/>
      <c r="I7161" s="8" t="s">
        <v>4600</v>
      </c>
      <c r="J7161" s="8" t="s">
        <v>3492</v>
      </c>
      <c r="K7161" s="6" t="str">
        <f>"6.703,92"</f>
        <v>6.703,92</v>
      </c>
      <c r="L7161" s="6" t="str">
        <f>"1.675,98"</f>
        <v>1.675,98</v>
      </c>
      <c r="M7161" s="6" t="str">
        <f>"8.379,90"</f>
        <v>8.379,90</v>
      </c>
      <c r="N7161" s="8" t="s">
        <v>5379</v>
      </c>
      <c r="O7161" s="7"/>
      <c r="P7161" s="2" t="s">
        <v>9049</v>
      </c>
      <c r="Q7161" s="7"/>
      <c r="R7161" s="1"/>
      <c r="S7161" s="1" t="str">
        <f>"J-UN-2019-4159"</f>
        <v>J-UN-2019-4159</v>
      </c>
      <c r="T7161" s="1" t="s">
        <v>32</v>
      </c>
    </row>
    <row r="7162" spans="1:20" ht="63.75" x14ac:dyDescent="0.25">
      <c r="A7162" s="6">
        <v>7133</v>
      </c>
      <c r="B7162" s="1" t="str">
        <f>"2019-2235"</f>
        <v>2019-2235</v>
      </c>
      <c r="C7162" s="1" t="s">
        <v>2775</v>
      </c>
      <c r="D7162" s="1" t="s">
        <v>2776</v>
      </c>
      <c r="E7162" s="1" t="str">
        <f>""</f>
        <v/>
      </c>
      <c r="F7162" s="1" t="s">
        <v>1860</v>
      </c>
      <c r="G7162" s="1" t="str">
        <f>CONCATENATE(" PROBUS KONZALTING-INŽENJERING GRUPA D.O.O.,"," KUTINSKA 15,"," 44000 SISAK,"," OIB: 29092542455")</f>
        <v xml:space="preserve"> PROBUS KONZALTING-INŽENJERING GRUPA D.O.O., KUTINSKA 15, 44000 SISAK, OIB: 29092542455</v>
      </c>
      <c r="H7162" s="7"/>
      <c r="I7162" s="8" t="s">
        <v>3842</v>
      </c>
      <c r="J7162" s="8" t="s">
        <v>4429</v>
      </c>
      <c r="K7162" s="6" t="str">
        <f>"10.020,00"</f>
        <v>10.020,00</v>
      </c>
      <c r="L7162" s="6" t="str">
        <f>"2.505,00"</f>
        <v>2.505,00</v>
      </c>
      <c r="M7162" s="6" t="str">
        <f>"12.525,00"</f>
        <v>12.525,00</v>
      </c>
      <c r="N7162" s="8" t="s">
        <v>4059</v>
      </c>
      <c r="O7162" s="7"/>
      <c r="P7162" s="2" t="s">
        <v>9050</v>
      </c>
      <c r="Q7162" s="7"/>
      <c r="R7162" s="1"/>
      <c r="S7162" s="1" t="str">
        <f>"J-UN-2019-4173"</f>
        <v>J-UN-2019-4173</v>
      </c>
      <c r="T7162" s="1" t="s">
        <v>32</v>
      </c>
    </row>
    <row r="7163" spans="1:20" ht="102" x14ac:dyDescent="0.25">
      <c r="A7163" s="6">
        <v>7134</v>
      </c>
      <c r="B7163" s="1" t="str">
        <f>"2019-2715"</f>
        <v>2019-2715</v>
      </c>
      <c r="C7163" s="1" t="s">
        <v>5435</v>
      </c>
      <c r="D7163" s="1" t="s">
        <v>5426</v>
      </c>
      <c r="E7163" s="1" t="str">
        <f>""</f>
        <v/>
      </c>
      <c r="F7163" s="1" t="s">
        <v>1860</v>
      </c>
      <c r="G7163" s="1" t="str">
        <f>CONCATENATE(" KSU D.O.O.,"," DR. JURJA DOBRILE 50,"," 10410 VELIKA GORICA,"," OIB: 349769936")</f>
        <v xml:space="preserve"> KSU D.O.O., DR. JURJA DOBRILE 50, 10410 VELIKA GORICA, OIB: 349769936</v>
      </c>
      <c r="H7163" s="7"/>
      <c r="I7163" s="8" t="s">
        <v>4429</v>
      </c>
      <c r="J7163" s="8" t="s">
        <v>5291</v>
      </c>
      <c r="K7163" s="6" t="str">
        <f>"69.980,00"</f>
        <v>69.980,00</v>
      </c>
      <c r="L7163" s="6" t="str">
        <f>"17.495,00"</f>
        <v>17.495,00</v>
      </c>
      <c r="M7163" s="6" t="str">
        <f>"87.475,00"</f>
        <v>87.475,00</v>
      </c>
      <c r="N7163" s="8" t="s">
        <v>4227</v>
      </c>
      <c r="O7163" s="7"/>
      <c r="P7163" s="2" t="s">
        <v>9051</v>
      </c>
      <c r="Q7163" s="7"/>
      <c r="R7163" s="1"/>
      <c r="S7163" s="1" t="str">
        <f>"J-UN-2019-4212"</f>
        <v>J-UN-2019-4212</v>
      </c>
      <c r="T7163" s="1" t="s">
        <v>32</v>
      </c>
    </row>
    <row r="7164" spans="1:20" ht="51" x14ac:dyDescent="0.25">
      <c r="A7164" s="6">
        <v>7135</v>
      </c>
      <c r="B7164" s="1" t="str">
        <f>"2019-2213"</f>
        <v>2019-2213</v>
      </c>
      <c r="C7164" s="1" t="s">
        <v>2786</v>
      </c>
      <c r="D7164" s="1" t="s">
        <v>476</v>
      </c>
      <c r="E7164" s="1" t="str">
        <f>""</f>
        <v/>
      </c>
      <c r="F7164" s="1" t="s">
        <v>1860</v>
      </c>
      <c r="G7164" s="1" t="str">
        <f>CONCATENATE(" KING ICT D.O.O.,"," BUZINSKI PRILAZ 10,"," 10010 ZAGREB,"," OIB: 67001695549")</f>
        <v xml:space="preserve"> KING ICT D.O.O., BUZINSKI PRILAZ 10, 10010 ZAGREB, OIB: 67001695549</v>
      </c>
      <c r="H7164" s="7"/>
      <c r="I7164" s="8" t="s">
        <v>4670</v>
      </c>
      <c r="J7164" s="8" t="s">
        <v>529</v>
      </c>
      <c r="K7164" s="6" t="str">
        <f>"4.143,64"</f>
        <v>4.143,64</v>
      </c>
      <c r="L7164" s="6" t="str">
        <f>"1.035,91"</f>
        <v>1.035,91</v>
      </c>
      <c r="M7164" s="6" t="str">
        <f>"5.179,55"</f>
        <v>5.179,55</v>
      </c>
      <c r="N7164" s="8" t="s">
        <v>5436</v>
      </c>
      <c r="O7164" s="7"/>
      <c r="P7164" s="2" t="s">
        <v>9052</v>
      </c>
      <c r="Q7164" s="7"/>
      <c r="R7164" s="1"/>
      <c r="S7164" s="1" t="str">
        <f>"J-UN-2019-4240"</f>
        <v>J-UN-2019-4240</v>
      </c>
      <c r="T7164" s="1" t="s">
        <v>32</v>
      </c>
    </row>
    <row r="7165" spans="1:20" ht="76.5" x14ac:dyDescent="0.25">
      <c r="A7165" s="6">
        <v>7136</v>
      </c>
      <c r="B7165" s="1" t="str">
        <f>"2019-2724"</f>
        <v>2019-2724</v>
      </c>
      <c r="C7165" s="1" t="s">
        <v>5425</v>
      </c>
      <c r="D7165" s="1" t="s">
        <v>5426</v>
      </c>
      <c r="E7165" s="1" t="str">
        <f>""</f>
        <v/>
      </c>
      <c r="F7165" s="1" t="s">
        <v>1860</v>
      </c>
      <c r="G7165" s="1" t="str">
        <f>CONCATENATE(" KSU D.O.O.,"," DR. JURJA DOBRILE 50,"," 10410 VELIKA GORICA,"," OIB: 349769936")</f>
        <v xml:space="preserve"> KSU D.O.O., DR. JURJA DOBRILE 50, 10410 VELIKA GORICA, OIB: 349769936</v>
      </c>
      <c r="H7165" s="7"/>
      <c r="I7165" s="8" t="s">
        <v>4271</v>
      </c>
      <c r="J7165" s="8" t="s">
        <v>5437</v>
      </c>
      <c r="K7165" s="6" t="str">
        <f>"5.400,00"</f>
        <v>5.400,00</v>
      </c>
      <c r="L7165" s="6" t="str">
        <f>"1.350,00"</f>
        <v>1.350,00</v>
      </c>
      <c r="M7165" s="6" t="str">
        <f>"6.750,00"</f>
        <v>6.750,00</v>
      </c>
      <c r="N7165" s="8" t="s">
        <v>4324</v>
      </c>
      <c r="O7165" s="7"/>
      <c r="P7165" s="2" t="s">
        <v>9053</v>
      </c>
      <c r="Q7165" s="7"/>
      <c r="R7165" s="1"/>
      <c r="S7165" s="1" t="str">
        <f>"J-UN-2019-4258"</f>
        <v>J-UN-2019-4258</v>
      </c>
      <c r="T7165" s="1" t="s">
        <v>32</v>
      </c>
    </row>
    <row r="7166" spans="1:20" ht="51" x14ac:dyDescent="0.25">
      <c r="A7166" s="6">
        <v>7137</v>
      </c>
      <c r="B7166" s="1" t="str">
        <f>"2019-2298"</f>
        <v>2019-2298</v>
      </c>
      <c r="C7166" s="1" t="s">
        <v>3136</v>
      </c>
      <c r="D7166" s="1" t="s">
        <v>21</v>
      </c>
      <c r="E7166" s="1" t="str">
        <f>""</f>
        <v/>
      </c>
      <c r="F7166" s="1" t="s">
        <v>1860</v>
      </c>
      <c r="G7166" s="1" t="str">
        <f>CONCATENATE(" VAR D.O.O.,"," IVANA KELEKA 18A,"," 10360 SESVETE,"," OIB: 66402309304")</f>
        <v xml:space="preserve"> VAR D.O.O., IVANA KELEKA 18A, 10360 SESVETE, OIB: 66402309304</v>
      </c>
      <c r="H7166" s="7"/>
      <c r="I7166" s="8" t="s">
        <v>4670</v>
      </c>
      <c r="J7166" s="8" t="s">
        <v>529</v>
      </c>
      <c r="K7166" s="6" t="str">
        <f>"1.106,80"</f>
        <v>1.106,80</v>
      </c>
      <c r="L7166" s="6" t="str">
        <f>"276,70"</f>
        <v>276,70</v>
      </c>
      <c r="M7166" s="6" t="str">
        <f>"1.383,50"</f>
        <v>1.383,50</v>
      </c>
      <c r="N7166" s="8" t="s">
        <v>124</v>
      </c>
      <c r="O7166" s="7"/>
      <c r="P7166" s="2" t="s">
        <v>5614</v>
      </c>
      <c r="Q7166" s="7"/>
      <c r="R7166" s="1"/>
      <c r="S7166" s="1" t="str">
        <f>"J-UN-2019-4259"</f>
        <v>J-UN-2019-4259</v>
      </c>
      <c r="T7166" s="1" t="s">
        <v>32</v>
      </c>
    </row>
    <row r="7167" spans="1:20" ht="51" x14ac:dyDescent="0.25">
      <c r="A7167" s="6">
        <v>7138</v>
      </c>
      <c r="B7167" s="1" t="str">
        <f>"2019-659"</f>
        <v>2019-659</v>
      </c>
      <c r="C7167" s="1" t="s">
        <v>2543</v>
      </c>
      <c r="D7167" s="1" t="s">
        <v>2544</v>
      </c>
      <c r="E7167" s="1" t="str">
        <f>""</f>
        <v/>
      </c>
      <c r="F7167" s="1" t="s">
        <v>1860</v>
      </c>
      <c r="G7167" s="1" t="str">
        <f>CONCATENATE(" TRIGLAV OSIGURANJE D. D.,"," ANTUNA HEINZA 4,"," 10000 ZAGREB,"," OIB: 29743547503")</f>
        <v xml:space="preserve"> TRIGLAV OSIGURANJE D. D., ANTUNA HEINZA 4, 10000 ZAGREB, OIB: 29743547503</v>
      </c>
      <c r="H7167" s="7"/>
      <c r="I7167" s="8" t="s">
        <v>5438</v>
      </c>
      <c r="J7167" s="8" t="s">
        <v>5439</v>
      </c>
      <c r="K7167" s="6" t="str">
        <f>"176.064,16"</f>
        <v>176.064,16</v>
      </c>
      <c r="L7167" s="6" t="str">
        <f>"44.016,04"</f>
        <v>44.016,04</v>
      </c>
      <c r="M7167" s="6" t="str">
        <f>"220.080,20"</f>
        <v>220.080,20</v>
      </c>
      <c r="N7167" s="8" t="s">
        <v>124</v>
      </c>
      <c r="O7167" s="7"/>
      <c r="P7167" s="2" t="s">
        <v>5614</v>
      </c>
      <c r="Q7167" s="7"/>
      <c r="R7167" s="1"/>
      <c r="S7167" s="1" t="str">
        <f>"J-UN-2019-4275"</f>
        <v>J-UN-2019-4275</v>
      </c>
      <c r="T7167" s="1" t="s">
        <v>32</v>
      </c>
    </row>
    <row r="7168" spans="1:20" ht="63.75" x14ac:dyDescent="0.25">
      <c r="A7168" s="6">
        <v>7139</v>
      </c>
      <c r="B7168" s="1" t="str">
        <f>"2019-494"</f>
        <v>2019-494</v>
      </c>
      <c r="C7168" s="1" t="s">
        <v>3057</v>
      </c>
      <c r="D7168" s="1" t="s">
        <v>486</v>
      </c>
      <c r="E7168" s="1" t="str">
        <f>""</f>
        <v/>
      </c>
      <c r="F7168" s="1" t="s">
        <v>1860</v>
      </c>
      <c r="G7168" s="1" t="str">
        <f>CONCATENATE(" GRADSKA PLINARA ZAGREB d.o.o.,"," RADNIČKA CESTA 1,"," 10000 ZAGREB,"," OIB: 20985255037")</f>
        <v xml:space="preserve"> GRADSKA PLINARA ZAGREB d.o.o., RADNIČKA CESTA 1, 10000 ZAGREB, OIB: 20985255037</v>
      </c>
      <c r="H7168" s="7"/>
      <c r="I7168" s="8" t="s">
        <v>5438</v>
      </c>
      <c r="J7168" s="8" t="s">
        <v>5440</v>
      </c>
      <c r="K7168" s="6" t="str">
        <f>"9.533,36"</f>
        <v>9.533,36</v>
      </c>
      <c r="L7168" s="6" t="str">
        <f>"2.383,34"</f>
        <v>2.383,34</v>
      </c>
      <c r="M7168" s="6" t="str">
        <f>"11.916,70"</f>
        <v>11.916,70</v>
      </c>
      <c r="N7168" s="8" t="s">
        <v>4108</v>
      </c>
      <c r="O7168" s="7"/>
      <c r="P7168" s="2" t="s">
        <v>9054</v>
      </c>
      <c r="Q7168" s="7"/>
      <c r="R7168" s="1"/>
      <c r="S7168" s="1" t="str">
        <f>"J-UN-2019-4301"</f>
        <v>J-UN-2019-4301</v>
      </c>
      <c r="T7168" s="1" t="s">
        <v>32</v>
      </c>
    </row>
    <row r="7169" spans="1:20" ht="51" x14ac:dyDescent="0.25">
      <c r="A7169" s="6">
        <v>7140</v>
      </c>
      <c r="B7169" s="1" t="str">
        <f>"2019-1316"</f>
        <v>2019-1316</v>
      </c>
      <c r="C7169" s="1" t="s">
        <v>2771</v>
      </c>
      <c r="D7169" s="1" t="s">
        <v>2772</v>
      </c>
      <c r="E7169" s="1" t="str">
        <f>""</f>
        <v/>
      </c>
      <c r="F7169" s="1" t="s">
        <v>1860</v>
      </c>
      <c r="G7169" s="1" t="str">
        <f>CONCATENATE(" O-REL D.O.O.,"," POLJANA JOSIPA BRUNŠMIDA 2,"," 10000 ZAGREB,"," OIB: 71438240165")</f>
        <v xml:space="preserve"> O-REL D.O.O., POLJANA JOSIPA BRUNŠMIDA 2, 10000 ZAGREB, OIB: 71438240165</v>
      </c>
      <c r="H7169" s="7"/>
      <c r="I7169" s="8" t="s">
        <v>5438</v>
      </c>
      <c r="J7169" s="8" t="s">
        <v>5440</v>
      </c>
      <c r="K7169" s="6" t="str">
        <f>"44.264,00"</f>
        <v>44.264,00</v>
      </c>
      <c r="L7169" s="6" t="str">
        <f>"11.066,00"</f>
        <v>11.066,00</v>
      </c>
      <c r="M7169" s="6" t="str">
        <f>"55.330,00"</f>
        <v>55.330,00</v>
      </c>
      <c r="N7169" s="8" t="s">
        <v>4045</v>
      </c>
      <c r="O7169" s="7"/>
      <c r="P7169" s="2" t="s">
        <v>9055</v>
      </c>
      <c r="Q7169" s="7"/>
      <c r="R7169" s="1"/>
      <c r="S7169" s="1" t="str">
        <f>"J-UN-2019-4311"</f>
        <v>J-UN-2019-4311</v>
      </c>
      <c r="T7169" s="1" t="s">
        <v>32</v>
      </c>
    </row>
    <row r="7170" spans="1:20" ht="51" x14ac:dyDescent="0.25">
      <c r="A7170" s="6">
        <v>7141</v>
      </c>
      <c r="B7170" s="1" t="str">
        <f>"2019-482"</f>
        <v>2019-482</v>
      </c>
      <c r="C7170" s="1" t="s">
        <v>2618</v>
      </c>
      <c r="D7170" s="1" t="s">
        <v>2619</v>
      </c>
      <c r="E7170" s="1" t="str">
        <f>""</f>
        <v/>
      </c>
      <c r="F7170" s="1" t="s">
        <v>1860</v>
      </c>
      <c r="G7170" s="1" t="str">
        <f>CONCATENATE(" TRA-MONT D.O.O.,"," MILIVOJA MATOŠECA 5,"," 10000 ZAGREB,"," OIB: 05336208843")</f>
        <v xml:space="preserve"> TRA-MONT D.O.O., MILIVOJA MATOŠECA 5, 10000 ZAGREB, OIB: 05336208843</v>
      </c>
      <c r="H7170" s="7"/>
      <c r="I7170" s="8" t="s">
        <v>4271</v>
      </c>
      <c r="J7170" s="8" t="s">
        <v>4271</v>
      </c>
      <c r="K7170" s="6" t="str">
        <f>"680,00"</f>
        <v>680,00</v>
      </c>
      <c r="L7170" s="6" t="str">
        <f>"170,00"</f>
        <v>170,00</v>
      </c>
      <c r="M7170" s="6" t="str">
        <f>"850,00"</f>
        <v>850,00</v>
      </c>
      <c r="N7170" s="8" t="s">
        <v>3543</v>
      </c>
      <c r="O7170" s="7"/>
      <c r="P7170" s="2" t="s">
        <v>7133</v>
      </c>
      <c r="Q7170" s="7"/>
      <c r="R7170" s="1"/>
      <c r="S7170" s="1" t="str">
        <f>"J-UN-2019-4320"</f>
        <v>J-UN-2019-4320</v>
      </c>
      <c r="T7170" s="1" t="s">
        <v>32</v>
      </c>
    </row>
    <row r="7171" spans="1:20" ht="63.75" x14ac:dyDescent="0.25">
      <c r="A7171" s="6">
        <v>7142</v>
      </c>
      <c r="B7171" s="1" t="str">
        <f>"2019-2640"</f>
        <v>2019-2640</v>
      </c>
      <c r="C7171" s="1" t="s">
        <v>3018</v>
      </c>
      <c r="D7171" s="1" t="s">
        <v>2729</v>
      </c>
      <c r="E7171" s="1" t="str">
        <f>""</f>
        <v/>
      </c>
      <c r="F7171" s="1" t="s">
        <v>1860</v>
      </c>
      <c r="G7171" s="1" t="str">
        <f>CONCATENATE(" DEKRA CROATIA D.O.O.,"," BETINSKA 1,"," 100010 ZAGREB,"," OIB: 7714160214")</f>
        <v xml:space="preserve"> DEKRA CROATIA D.O.O., BETINSKA 1, 100010 ZAGREB, OIB: 7714160214</v>
      </c>
      <c r="H7171" s="7"/>
      <c r="I7171" s="8" t="s">
        <v>4271</v>
      </c>
      <c r="J7171" s="8" t="s">
        <v>4056</v>
      </c>
      <c r="K7171" s="6" t="str">
        <f>"17.250,00"</f>
        <v>17.250,00</v>
      </c>
      <c r="L7171" s="6" t="str">
        <f>"4.312,50"</f>
        <v>4.312,50</v>
      </c>
      <c r="M7171" s="6" t="str">
        <f>"21.562,50"</f>
        <v>21.562,50</v>
      </c>
      <c r="N7171" s="8" t="s">
        <v>124</v>
      </c>
      <c r="O7171" s="7"/>
      <c r="P7171" s="2" t="s">
        <v>5614</v>
      </c>
      <c r="Q7171" s="7"/>
      <c r="R7171" s="1"/>
      <c r="S7171" s="1" t="str">
        <f>"J-UN-2019-4327"</f>
        <v>J-UN-2019-4327</v>
      </c>
      <c r="T7171" s="1" t="s">
        <v>32</v>
      </c>
    </row>
    <row r="7172" spans="1:20" ht="38.25" x14ac:dyDescent="0.25">
      <c r="A7172" s="6">
        <v>7143</v>
      </c>
      <c r="B7172" s="1" t="str">
        <f>"2019-622"</f>
        <v>2019-622</v>
      </c>
      <c r="C7172" s="1" t="s">
        <v>2289</v>
      </c>
      <c r="D7172" s="1" t="s">
        <v>2290</v>
      </c>
      <c r="E7172" s="1" t="str">
        <f>""</f>
        <v/>
      </c>
      <c r="F7172" s="1" t="s">
        <v>1860</v>
      </c>
      <c r="G7172" s="1" t="str">
        <f>CONCATENATE(" O-K-TEH d.o.o.,"," VUČAK 16A,"," 10000 ZAGREB,"," OIB: 37322381288")</f>
        <v xml:space="preserve"> O-K-TEH d.o.o., VUČAK 16A, 10000 ZAGREB, OIB: 37322381288</v>
      </c>
      <c r="H7172" s="7"/>
      <c r="I7172" s="8" t="s">
        <v>3543</v>
      </c>
      <c r="J7172" s="8" t="s">
        <v>5438</v>
      </c>
      <c r="K7172" s="6" t="str">
        <f>"1.774,00"</f>
        <v>1.774,00</v>
      </c>
      <c r="L7172" s="6" t="str">
        <f>"443,50"</f>
        <v>443,50</v>
      </c>
      <c r="M7172" s="6" t="str">
        <f>"2.217,50"</f>
        <v>2.217,50</v>
      </c>
      <c r="N7172" s="8" t="s">
        <v>124</v>
      </c>
      <c r="O7172" s="7"/>
      <c r="P7172" s="2" t="s">
        <v>5614</v>
      </c>
      <c r="Q7172" s="7"/>
      <c r="R7172" s="1"/>
      <c r="S7172" s="1" t="str">
        <f>"J-UN-2019-4361"</f>
        <v>J-UN-2019-4361</v>
      </c>
      <c r="T7172" s="1" t="s">
        <v>32</v>
      </c>
    </row>
    <row r="7173" spans="1:20" ht="51" x14ac:dyDescent="0.25">
      <c r="A7173" s="6">
        <v>7144</v>
      </c>
      <c r="B7173" s="1" t="str">
        <f>"2019-482"</f>
        <v>2019-482</v>
      </c>
      <c r="C7173" s="1" t="s">
        <v>2618</v>
      </c>
      <c r="D7173" s="1" t="s">
        <v>2619</v>
      </c>
      <c r="E7173" s="1" t="str">
        <f>""</f>
        <v/>
      </c>
      <c r="F7173" s="1" t="s">
        <v>1860</v>
      </c>
      <c r="G7173" s="1" t="str">
        <f>CONCATENATE(" TRA-MONT D.O.O.,"," MILIVOJA MATOŠECA 5,"," 10000 ZAGREB,"," OIB: 05336208843")</f>
        <v xml:space="preserve"> TRA-MONT D.O.O., MILIVOJA MATOŠECA 5, 10000 ZAGREB, OIB: 05336208843</v>
      </c>
      <c r="H7173" s="7"/>
      <c r="I7173" s="8" t="s">
        <v>4059</v>
      </c>
      <c r="J7173" s="8" t="s">
        <v>4088</v>
      </c>
      <c r="K7173" s="6" t="str">
        <f>"854,00"</f>
        <v>854,00</v>
      </c>
      <c r="L7173" s="6" t="str">
        <f>"213,50"</f>
        <v>213,50</v>
      </c>
      <c r="M7173" s="6" t="str">
        <f>"1.067,50"</f>
        <v>1.067,50</v>
      </c>
      <c r="N7173" s="8" t="s">
        <v>5441</v>
      </c>
      <c r="O7173" s="7"/>
      <c r="P7173" s="2" t="s">
        <v>9056</v>
      </c>
      <c r="Q7173" s="7"/>
      <c r="R7173" s="1"/>
      <c r="S7173" s="1" t="str">
        <f>"J-UN-2019-4397"</f>
        <v>J-UN-2019-4397</v>
      </c>
      <c r="T7173" s="1" t="s">
        <v>32</v>
      </c>
    </row>
    <row r="7174" spans="1:20" ht="51" x14ac:dyDescent="0.25">
      <c r="A7174" s="6">
        <v>7145</v>
      </c>
      <c r="B7174" s="1" t="str">
        <f>"2019-13"</f>
        <v>2019-13</v>
      </c>
      <c r="C7174" s="1" t="s">
        <v>2761</v>
      </c>
      <c r="D7174" s="1" t="s">
        <v>2762</v>
      </c>
      <c r="E7174" s="1" t="str">
        <f>""</f>
        <v/>
      </c>
      <c r="F7174" s="1" t="s">
        <v>1860</v>
      </c>
      <c r="G7174" s="1" t="str">
        <f>CONCATENATE(" DIOXA D.O.O.,"," RUŽIĆEVA 1,"," 51000 RIJEKA,"," OIB: 50589305017")</f>
        <v xml:space="preserve"> DIOXA D.O.O., RUŽIĆEVA 1, 51000 RIJEKA, OIB: 50589305017</v>
      </c>
      <c r="H7174" s="7"/>
      <c r="I7174" s="8" t="s">
        <v>4059</v>
      </c>
      <c r="J7174" s="8" t="s">
        <v>4088</v>
      </c>
      <c r="K7174" s="6" t="str">
        <f>"1.163,99"</f>
        <v>1.163,99</v>
      </c>
      <c r="L7174" s="6" t="str">
        <f>"291,00"</f>
        <v>291,00</v>
      </c>
      <c r="M7174" s="6" t="str">
        <f>"1.454,99"</f>
        <v>1.454,99</v>
      </c>
      <c r="N7174" s="8" t="s">
        <v>124</v>
      </c>
      <c r="O7174" s="7"/>
      <c r="P7174" s="2" t="s">
        <v>5614</v>
      </c>
      <c r="Q7174" s="7"/>
      <c r="R7174" s="1"/>
      <c r="S7174" s="1" t="str">
        <f>"J-UN-2019-4398"</f>
        <v>J-UN-2019-4398</v>
      </c>
      <c r="T7174" s="1" t="s">
        <v>32</v>
      </c>
    </row>
    <row r="7175" spans="1:20" ht="63.75" x14ac:dyDescent="0.25">
      <c r="A7175" s="6">
        <v>7146</v>
      </c>
      <c r="B7175" s="1" t="str">
        <f>"2019-494"</f>
        <v>2019-494</v>
      </c>
      <c r="C7175" s="1" t="s">
        <v>3057</v>
      </c>
      <c r="D7175" s="1" t="s">
        <v>486</v>
      </c>
      <c r="E7175" s="1" t="str">
        <f>""</f>
        <v/>
      </c>
      <c r="F7175" s="1" t="s">
        <v>1860</v>
      </c>
      <c r="G7175" s="1" t="str">
        <f>CONCATENATE(" GRADSKA PLINARA ZAGREB d.o.o.,"," RADNIČKA CESTA 1,"," 10000 ZAGREB,"," OIB: 20985255037")</f>
        <v xml:space="preserve"> GRADSKA PLINARA ZAGREB d.o.o., RADNIČKA CESTA 1, 10000 ZAGREB, OIB: 20985255037</v>
      </c>
      <c r="H7175" s="7"/>
      <c r="I7175" s="8" t="s">
        <v>5442</v>
      </c>
      <c r="J7175" s="8" t="s">
        <v>4442</v>
      </c>
      <c r="K7175" s="6" t="str">
        <f>"7.672,69"</f>
        <v>7.672,69</v>
      </c>
      <c r="L7175" s="6" t="str">
        <f>"1.918,17"</f>
        <v>1.918,17</v>
      </c>
      <c r="M7175" s="6" t="str">
        <f>"9.590,86"</f>
        <v>9.590,86</v>
      </c>
      <c r="N7175" s="8" t="s">
        <v>4444</v>
      </c>
      <c r="O7175" s="7"/>
      <c r="P7175" s="2" t="s">
        <v>9057</v>
      </c>
      <c r="Q7175" s="7"/>
      <c r="R7175" s="1"/>
      <c r="S7175" s="1" t="str">
        <f>"J-UN-2019-4432"</f>
        <v>J-UN-2019-4432</v>
      </c>
      <c r="T7175" s="1" t="s">
        <v>32</v>
      </c>
    </row>
    <row r="7176" spans="1:20" ht="51" x14ac:dyDescent="0.25">
      <c r="A7176" s="6">
        <v>7147</v>
      </c>
      <c r="B7176" s="1" t="str">
        <f>"2019-281"</f>
        <v>2019-281</v>
      </c>
      <c r="C7176" s="1" t="s">
        <v>5058</v>
      </c>
      <c r="D7176" s="1" t="s">
        <v>1600</v>
      </c>
      <c r="E7176" s="1" t="str">
        <f>""</f>
        <v/>
      </c>
      <c r="F7176" s="1" t="s">
        <v>1860</v>
      </c>
      <c r="G7176" s="1" t="str">
        <f>CONCATENATE(" NERING D.O.O.,"," LIVADARSKI PUT 24,"," 10360 SESVETE,"," OIB: 85965934616")</f>
        <v xml:space="preserve"> NERING D.O.O., LIVADARSKI PUT 24, 10360 SESVETE, OIB: 85965934616</v>
      </c>
      <c r="H7176" s="7"/>
      <c r="I7176" s="8" t="s">
        <v>5443</v>
      </c>
      <c r="J7176" s="8" t="s">
        <v>4258</v>
      </c>
      <c r="K7176" s="6" t="str">
        <f>"192.810,00"</f>
        <v>192.810,00</v>
      </c>
      <c r="L7176" s="6" t="str">
        <f>"48.202,50"</f>
        <v>48.202,50</v>
      </c>
      <c r="M7176" s="6" t="str">
        <f>"241.012,50"</f>
        <v>241.012,50</v>
      </c>
      <c r="N7176" s="8" t="s">
        <v>4258</v>
      </c>
      <c r="O7176" s="7"/>
      <c r="P7176" s="2" t="s">
        <v>9058</v>
      </c>
      <c r="Q7176" s="7"/>
      <c r="R7176" s="1"/>
      <c r="S7176" s="1" t="str">
        <f>"J-UN-2019-4441"</f>
        <v>J-UN-2019-4441</v>
      </c>
      <c r="T7176" s="1" t="s">
        <v>32</v>
      </c>
    </row>
    <row r="7177" spans="1:20" ht="51" x14ac:dyDescent="0.25">
      <c r="A7177" s="6">
        <v>7148</v>
      </c>
      <c r="B7177" s="1" t="str">
        <f>"2019-2274"</f>
        <v>2019-2274</v>
      </c>
      <c r="C7177" s="1" t="s">
        <v>2626</v>
      </c>
      <c r="D7177" s="1" t="s">
        <v>2627</v>
      </c>
      <c r="E7177" s="1" t="str">
        <f>""</f>
        <v/>
      </c>
      <c r="F7177" s="1" t="s">
        <v>1860</v>
      </c>
      <c r="G7177" s="1" t="str">
        <f>CONCATENATE(" RIMOS D.O.O.,"," LAGINJINA 6C,"," 10000 ZAGREB,"," OIB: 14998834808")</f>
        <v xml:space="preserve"> RIMOS D.O.O., LAGINJINA 6C, 10000 ZAGREB, OIB: 14998834808</v>
      </c>
      <c r="H7177" s="7"/>
      <c r="I7177" s="8" t="s">
        <v>5441</v>
      </c>
      <c r="J7177" s="8" t="s">
        <v>5375</v>
      </c>
      <c r="K7177" s="6" t="str">
        <f>"5.910,00"</f>
        <v>5.910,00</v>
      </c>
      <c r="L7177" s="6" t="str">
        <f>"1.477,50"</f>
        <v>1.477,50</v>
      </c>
      <c r="M7177" s="6" t="str">
        <f>"7.387,50"</f>
        <v>7.387,50</v>
      </c>
      <c r="N7177" s="8" t="s">
        <v>124</v>
      </c>
      <c r="O7177" s="7"/>
      <c r="P7177" s="2" t="s">
        <v>5614</v>
      </c>
      <c r="Q7177" s="7"/>
      <c r="R7177" s="1"/>
      <c r="S7177" s="1" t="str">
        <f>"J-UN-2019-4462"</f>
        <v>J-UN-2019-4462</v>
      </c>
      <c r="T7177" s="1" t="s">
        <v>32</v>
      </c>
    </row>
    <row r="7178" spans="1:20" ht="63.75" x14ac:dyDescent="0.25">
      <c r="A7178" s="6">
        <v>7149</v>
      </c>
      <c r="B7178" s="1" t="str">
        <f>"2019-1650"</f>
        <v>2019-1650</v>
      </c>
      <c r="C7178" s="1" t="s">
        <v>2863</v>
      </c>
      <c r="D7178" s="1" t="s">
        <v>1209</v>
      </c>
      <c r="E7178" s="1" t="str">
        <f>""</f>
        <v/>
      </c>
      <c r="F7178" s="1" t="s">
        <v>1860</v>
      </c>
      <c r="G7178" s="1" t="str">
        <f>CONCATENATE(" DRÄGER SAFETY D.O.O.,"," AVENIJA VEĆESLAVA HOLJEVCA 40,"," 10010 ZAGREB,"," OIB: 32874587842")</f>
        <v xml:space="preserve"> DRÄGER SAFETY D.O.O., AVENIJA VEĆESLAVA HOLJEVCA 40, 10010 ZAGREB, OIB: 32874587842</v>
      </c>
      <c r="H7178" s="7"/>
      <c r="I7178" s="8" t="s">
        <v>5443</v>
      </c>
      <c r="J7178" s="8" t="s">
        <v>4063</v>
      </c>
      <c r="K7178" s="6" t="str">
        <f>"1.582,18"</f>
        <v>1.582,18</v>
      </c>
      <c r="L7178" s="6" t="str">
        <f>"395,54"</f>
        <v>395,54</v>
      </c>
      <c r="M7178" s="6" t="str">
        <f>"1.977,72"</f>
        <v>1.977,72</v>
      </c>
      <c r="N7178" s="8" t="s">
        <v>4444</v>
      </c>
      <c r="O7178" s="7"/>
      <c r="P7178" s="2" t="s">
        <v>9059</v>
      </c>
      <c r="Q7178" s="7"/>
      <c r="R7178" s="1"/>
      <c r="S7178" s="1" t="str">
        <f>"J-UN-2019-4472"</f>
        <v>J-UN-2019-4472</v>
      </c>
      <c r="T7178" s="1" t="s">
        <v>32</v>
      </c>
    </row>
    <row r="7179" spans="1:20" ht="51" x14ac:dyDescent="0.25">
      <c r="A7179" s="6">
        <v>7150</v>
      </c>
      <c r="B7179" s="1" t="str">
        <f>"2019-12"</f>
        <v>2019-12</v>
      </c>
      <c r="C7179" s="1" t="s">
        <v>2711</v>
      </c>
      <c r="D7179" s="1" t="s">
        <v>1914</v>
      </c>
      <c r="E7179" s="1" t="str">
        <f>""</f>
        <v/>
      </c>
      <c r="F7179" s="1" t="s">
        <v>1860</v>
      </c>
      <c r="G7179" s="1" t="str">
        <f>CONCATENATE(" TERA D.O.O.,"," VINOGRADSKA 17,"," 52470 UMAG,"," OIB: 13824554156")</f>
        <v xml:space="preserve"> TERA D.O.O., VINOGRADSKA 17, 52470 UMAG, OIB: 13824554156</v>
      </c>
      <c r="H7179" s="7"/>
      <c r="I7179" s="8" t="s">
        <v>4675</v>
      </c>
      <c r="J7179" s="8" t="s">
        <v>3916</v>
      </c>
      <c r="K7179" s="6" t="str">
        <f>"1.143,19"</f>
        <v>1.143,19</v>
      </c>
      <c r="L7179" s="6" t="str">
        <f>"285,80"</f>
        <v>285,80</v>
      </c>
      <c r="M7179" s="6" t="str">
        <f>"1.428,99"</f>
        <v>1.428,99</v>
      </c>
      <c r="N7179" s="8" t="s">
        <v>124</v>
      </c>
      <c r="O7179" s="7"/>
      <c r="P7179" s="2" t="s">
        <v>5614</v>
      </c>
      <c r="Q7179" s="7"/>
      <c r="R7179" s="1"/>
      <c r="S7179" s="1" t="str">
        <f>"J-UN-2019-4501"</f>
        <v>J-UN-2019-4501</v>
      </c>
      <c r="T7179" s="1" t="s">
        <v>32</v>
      </c>
    </row>
    <row r="7180" spans="1:20" ht="51" x14ac:dyDescent="0.25">
      <c r="A7180" s="6">
        <v>7151</v>
      </c>
      <c r="B7180" s="1" t="str">
        <f>"2019-808"</f>
        <v>2019-808</v>
      </c>
      <c r="C7180" s="1" t="s">
        <v>5444</v>
      </c>
      <c r="D7180" s="1" t="s">
        <v>5445</v>
      </c>
      <c r="E7180" s="1" t="str">
        <f>""</f>
        <v/>
      </c>
      <c r="F7180" s="1" t="s">
        <v>1860</v>
      </c>
      <c r="G7180" s="1" t="str">
        <f>CONCATENATE(" DRAVA-PROMET D.O.O.,"," ALEJA RUŽA 2/B,"," 10000 ZAGREB,"," OIB: 38668338725")</f>
        <v xml:space="preserve"> DRAVA-PROMET D.O.O., ALEJA RUŽA 2/B, 10000 ZAGREB, OIB: 38668338725</v>
      </c>
      <c r="H7180" s="7"/>
      <c r="I7180" s="8" t="s">
        <v>4272</v>
      </c>
      <c r="J7180" s="8" t="s">
        <v>4672</v>
      </c>
      <c r="K7180" s="6" t="str">
        <f>"24.000,00"</f>
        <v>24.000,00</v>
      </c>
      <c r="L7180" s="6" t="str">
        <f>"6.000,00"</f>
        <v>6.000,00</v>
      </c>
      <c r="M7180" s="6" t="str">
        <f>"30.000,00"</f>
        <v>30.000,00</v>
      </c>
      <c r="N7180" s="8" t="s">
        <v>124</v>
      </c>
      <c r="O7180" s="7"/>
      <c r="P7180" s="2" t="s">
        <v>5614</v>
      </c>
      <c r="Q7180" s="7"/>
      <c r="R7180" s="1"/>
      <c r="S7180" s="1" t="str">
        <f>"J-UN-2019-4521"</f>
        <v>J-UN-2019-4521</v>
      </c>
      <c r="T7180" s="1" t="s">
        <v>32</v>
      </c>
    </row>
    <row r="7181" spans="1:20" ht="51" x14ac:dyDescent="0.25">
      <c r="A7181" s="6">
        <v>7152</v>
      </c>
      <c r="B7181" s="1" t="str">
        <f>"2019-497"</f>
        <v>2019-497</v>
      </c>
      <c r="C7181" s="1" t="s">
        <v>5232</v>
      </c>
      <c r="D7181" s="1" t="s">
        <v>1619</v>
      </c>
      <c r="E7181" s="1" t="str">
        <f>""</f>
        <v/>
      </c>
      <c r="F7181" s="1" t="s">
        <v>1860</v>
      </c>
      <c r="G7181" s="1" t="str">
        <f>CONCATENATE(" HONGOLDONIA D.O.O.,"," RUJANSKA 4,"," 10000 ZAGREB,"," OIB: 7925585026")</f>
        <v xml:space="preserve"> HONGOLDONIA D.O.O., RUJANSKA 4, 10000 ZAGREB, OIB: 7925585026</v>
      </c>
      <c r="H7181" s="7"/>
      <c r="I7181" s="8" t="s">
        <v>4672</v>
      </c>
      <c r="J7181" s="8" t="s">
        <v>5446</v>
      </c>
      <c r="K7181" s="6" t="str">
        <f>"4.278,00"</f>
        <v>4.278,00</v>
      </c>
      <c r="L7181" s="6" t="str">
        <f>"1.069,50"</f>
        <v>1.069,50</v>
      </c>
      <c r="M7181" s="6" t="str">
        <f>"5.347,50"</f>
        <v>5.347,50</v>
      </c>
      <c r="N7181" s="8" t="s">
        <v>3916</v>
      </c>
      <c r="O7181" s="7"/>
      <c r="P7181" s="2" t="s">
        <v>8960</v>
      </c>
      <c r="Q7181" s="7"/>
      <c r="R7181" s="1"/>
      <c r="S7181" s="1" t="str">
        <f>"J-UN-2019-4532"</f>
        <v>J-UN-2019-4532</v>
      </c>
      <c r="T7181" s="1" t="s">
        <v>32</v>
      </c>
    </row>
    <row r="7182" spans="1:20" ht="51" x14ac:dyDescent="0.25">
      <c r="A7182" s="6">
        <v>7153</v>
      </c>
      <c r="B7182" s="1" t="str">
        <f>"2019-482"</f>
        <v>2019-482</v>
      </c>
      <c r="C7182" s="1" t="s">
        <v>2618</v>
      </c>
      <c r="D7182" s="1" t="s">
        <v>2619</v>
      </c>
      <c r="E7182" s="1" t="str">
        <f>""</f>
        <v/>
      </c>
      <c r="F7182" s="1" t="s">
        <v>1860</v>
      </c>
      <c r="G7182" s="1" t="str">
        <f>CONCATENATE(" TRA-MONT D.O.O.,"," MILIVOJA MATOŠECA 5,"," 10000 ZAGREB,"," OIB: 05336208843")</f>
        <v xml:space="preserve"> TRA-MONT D.O.O., MILIVOJA MATOŠECA 5, 10000 ZAGREB, OIB: 05336208843</v>
      </c>
      <c r="H7182" s="7"/>
      <c r="I7182" s="8" t="s">
        <v>4680</v>
      </c>
      <c r="J7182" s="8" t="s">
        <v>4444</v>
      </c>
      <c r="K7182" s="6" t="str">
        <f>"2.378,00"</f>
        <v>2.378,00</v>
      </c>
      <c r="L7182" s="6" t="str">
        <f>"594,50"</f>
        <v>594,50</v>
      </c>
      <c r="M7182" s="6" t="str">
        <f>"2.972,50"</f>
        <v>2.972,50</v>
      </c>
      <c r="N7182" s="8" t="s">
        <v>4074</v>
      </c>
      <c r="O7182" s="7"/>
      <c r="P7182" s="2" t="s">
        <v>9060</v>
      </c>
      <c r="Q7182" s="7"/>
      <c r="R7182" s="1"/>
      <c r="S7182" s="1" t="str">
        <f>"J-UN-2019-4536"</f>
        <v>J-UN-2019-4536</v>
      </c>
      <c r="T7182" s="1" t="s">
        <v>32</v>
      </c>
    </row>
    <row r="7183" spans="1:20" ht="51" x14ac:dyDescent="0.25">
      <c r="A7183" s="6">
        <v>7154</v>
      </c>
      <c r="B7183" s="1" t="str">
        <f>"2019-497"</f>
        <v>2019-497</v>
      </c>
      <c r="C7183" s="1" t="s">
        <v>5232</v>
      </c>
      <c r="D7183" s="1" t="s">
        <v>1619</v>
      </c>
      <c r="E7183" s="1" t="str">
        <f>""</f>
        <v/>
      </c>
      <c r="F7183" s="1" t="s">
        <v>1860</v>
      </c>
      <c r="G7183" s="1" t="str">
        <f>CONCATENATE(" MESSIS D.O.O.,"," FROUDEOVA 7,"," 10000 ZAGREB,"," OIB: 32087382809")</f>
        <v xml:space="preserve"> MESSIS D.O.O., FROUDEOVA 7, 10000 ZAGREB, OIB: 32087382809</v>
      </c>
      <c r="H7183" s="7"/>
      <c r="I7183" s="8" t="s">
        <v>4077</v>
      </c>
      <c r="J7183" s="8" t="s">
        <v>4027</v>
      </c>
      <c r="K7183" s="6" t="str">
        <f>"2.072,00"</f>
        <v>2.072,00</v>
      </c>
      <c r="L7183" s="6" t="str">
        <f>"518,00"</f>
        <v>518,00</v>
      </c>
      <c r="M7183" s="6" t="str">
        <f>"2.590,00"</f>
        <v>2.590,00</v>
      </c>
      <c r="N7183" s="8" t="s">
        <v>124</v>
      </c>
      <c r="O7183" s="7"/>
      <c r="P7183" s="2" t="s">
        <v>5614</v>
      </c>
      <c r="Q7183" s="7"/>
      <c r="R7183" s="1"/>
      <c r="S7183" s="1" t="str">
        <f>"J-UN-2019-4592"</f>
        <v>J-UN-2019-4592</v>
      </c>
      <c r="T7183" s="1" t="s">
        <v>32</v>
      </c>
    </row>
    <row r="7184" spans="1:20" ht="76.5" x14ac:dyDescent="0.25">
      <c r="A7184" s="6">
        <v>7155</v>
      </c>
      <c r="B7184" s="1" t="str">
        <f>"2019-13"</f>
        <v>2019-13</v>
      </c>
      <c r="C7184" s="1" t="s">
        <v>2761</v>
      </c>
      <c r="D7184" s="1" t="s">
        <v>2762</v>
      </c>
      <c r="E7184" s="1" t="str">
        <f>""</f>
        <v/>
      </c>
      <c r="F7184" s="1" t="s">
        <v>1860</v>
      </c>
      <c r="G7184" s="1" t="str">
        <f>CONCATENATE(" JOSIP LIMARSKI OBRT,"," VL. JOSIP JERNEIĆ,"," LOŠINSKIH BRODOGRADITELJA 35,"," 51550 MALI LOŠINJ,"," OIB: 49639500946")</f>
        <v xml:space="preserve"> JOSIP LIMARSKI OBRT, VL. JOSIP JERNEIĆ, LOŠINSKIH BRODOGRADITELJA 35, 51550 MALI LOŠINJ, OIB: 49639500946</v>
      </c>
      <c r="H7184" s="7"/>
      <c r="I7184" s="8" t="s">
        <v>4672</v>
      </c>
      <c r="J7184" s="8" t="s">
        <v>5446</v>
      </c>
      <c r="K7184" s="6" t="str">
        <f>"12.600,00"</f>
        <v>12.600,00</v>
      </c>
      <c r="L7184" s="6" t="str">
        <f>"3.150,00"</f>
        <v>3.150,00</v>
      </c>
      <c r="M7184" s="6" t="str">
        <f>"15.750,00"</f>
        <v>15.750,00</v>
      </c>
      <c r="N7184" s="8" t="s">
        <v>124</v>
      </c>
      <c r="O7184" s="7"/>
      <c r="P7184" s="2" t="s">
        <v>5614</v>
      </c>
      <c r="Q7184" s="7"/>
      <c r="R7184" s="1"/>
      <c r="S7184" s="1" t="str">
        <f>"J-UN-2019-4623"</f>
        <v>J-UN-2019-4623</v>
      </c>
      <c r="T7184" s="1" t="s">
        <v>32</v>
      </c>
    </row>
    <row r="7185" spans="1:20" ht="51" x14ac:dyDescent="0.25">
      <c r="A7185" s="6">
        <v>7156</v>
      </c>
      <c r="B7185" s="1" t="str">
        <f>"2019-1923"</f>
        <v>2019-1923</v>
      </c>
      <c r="C7185" s="1" t="s">
        <v>2492</v>
      </c>
      <c r="D7185" s="1" t="s">
        <v>2493</v>
      </c>
      <c r="E7185" s="1" t="str">
        <f>""</f>
        <v/>
      </c>
      <c r="F7185" s="1" t="s">
        <v>1860</v>
      </c>
      <c r="G7185" s="1" t="str">
        <f>CONCATENATE(" TPZ D.O.O.,"," NOVOSELSKA 25,"," 10000 ZAGREB,"," OIB: 68119083236")</f>
        <v xml:space="preserve"> TPZ D.O.O., NOVOSELSKA 25, 10000 ZAGREB, OIB: 68119083236</v>
      </c>
      <c r="H7185" s="7"/>
      <c r="I7185" s="8" t="s">
        <v>5446</v>
      </c>
      <c r="J7185" s="8" t="s">
        <v>4185</v>
      </c>
      <c r="K7185" s="6" t="str">
        <f>"21.418,76"</f>
        <v>21.418,76</v>
      </c>
      <c r="L7185" s="6" t="str">
        <f>"5.354,69"</f>
        <v>5.354,69</v>
      </c>
      <c r="M7185" s="6" t="str">
        <f>"26.773,45"</f>
        <v>26.773,45</v>
      </c>
      <c r="N7185" s="8" t="s">
        <v>124</v>
      </c>
      <c r="O7185" s="7"/>
      <c r="P7185" s="2" t="s">
        <v>5614</v>
      </c>
      <c r="Q7185" s="7"/>
      <c r="R7185" s="1"/>
      <c r="S7185" s="1" t="str">
        <f>"J-UN-2019-4638"</f>
        <v>J-UN-2019-4638</v>
      </c>
      <c r="T7185" s="1" t="s">
        <v>32</v>
      </c>
    </row>
    <row r="7186" spans="1:20" ht="76.5" x14ac:dyDescent="0.25">
      <c r="A7186" s="6">
        <v>7157</v>
      </c>
      <c r="B7186" s="1" t="str">
        <f>"2019-12"</f>
        <v>2019-12</v>
      </c>
      <c r="C7186" s="1" t="s">
        <v>2711</v>
      </c>
      <c r="D7186" s="1" t="s">
        <v>1914</v>
      </c>
      <c r="E7186" s="1" t="str">
        <f>""</f>
        <v/>
      </c>
      <c r="F7186" s="1" t="s">
        <v>1860</v>
      </c>
      <c r="G7186" s="1" t="str">
        <f>CONCATENATE(" BUTAN PLIN D.O.O.,"," ULICA RIJEKE DRAGONJE 23,"," 52466 NOVIGRAD (CITTANOVA),"," OIB: 80051835685")</f>
        <v xml:space="preserve"> BUTAN PLIN D.O.O., ULICA RIJEKE DRAGONJE 23, 52466 NOVIGRAD (CITTANOVA), OIB: 80051835685</v>
      </c>
      <c r="H7186" s="7"/>
      <c r="I7186" s="8" t="s">
        <v>5446</v>
      </c>
      <c r="J7186" s="8" t="s">
        <v>4185</v>
      </c>
      <c r="K7186" s="6" t="str">
        <f>"2.323,20"</f>
        <v>2.323,20</v>
      </c>
      <c r="L7186" s="6" t="str">
        <f>"580,80"</f>
        <v>580,80</v>
      </c>
      <c r="M7186" s="6" t="str">
        <f>"2.904,00"</f>
        <v>2.904,00</v>
      </c>
      <c r="N7186" s="8" t="s">
        <v>124</v>
      </c>
      <c r="O7186" s="7"/>
      <c r="P7186" s="2" t="s">
        <v>5614</v>
      </c>
      <c r="Q7186" s="7"/>
      <c r="R7186" s="1"/>
      <c r="S7186" s="1" t="str">
        <f>"J-UN-2019-4660"</f>
        <v>J-UN-2019-4660</v>
      </c>
      <c r="T7186" s="1" t="s">
        <v>32</v>
      </c>
    </row>
    <row r="7187" spans="1:20" ht="51" x14ac:dyDescent="0.25">
      <c r="A7187" s="6">
        <v>7158</v>
      </c>
      <c r="B7187" s="1" t="str">
        <f>"2019-224"</f>
        <v>2019-224</v>
      </c>
      <c r="C7187" s="1" t="s">
        <v>5447</v>
      </c>
      <c r="D7187" s="1" t="s">
        <v>2043</v>
      </c>
      <c r="E7187" s="1" t="str">
        <f>""</f>
        <v/>
      </c>
      <c r="F7187" s="1" t="s">
        <v>1860</v>
      </c>
      <c r="G7187" s="1" t="str">
        <f>CONCATENATE(" ECCOS-INŽENJERING D.O.O.,"," BANI 110,"," 10000 ZAGREB,"," OIB: 71629027685")</f>
        <v xml:space="preserve"> ECCOS-INŽENJERING D.O.O., BANI 110, 10000 ZAGREB, OIB: 71629027685</v>
      </c>
      <c r="H7187" s="7"/>
      <c r="I7187" s="8" t="s">
        <v>4077</v>
      </c>
      <c r="J7187" s="8" t="s">
        <v>4027</v>
      </c>
      <c r="K7187" s="6" t="str">
        <f>"38.799,00"</f>
        <v>38.799,00</v>
      </c>
      <c r="L7187" s="6" t="str">
        <f>"9.699,75"</f>
        <v>9.699,75</v>
      </c>
      <c r="M7187" s="6" t="str">
        <f>"48.498,75"</f>
        <v>48.498,75</v>
      </c>
      <c r="N7187" s="8" t="s">
        <v>124</v>
      </c>
      <c r="O7187" s="7"/>
      <c r="P7187" s="2" t="s">
        <v>5614</v>
      </c>
      <c r="Q7187" s="7"/>
      <c r="R7187" s="1"/>
      <c r="S7187" s="1" t="str">
        <f>"J-UN-2019-4669"</f>
        <v>J-UN-2019-4669</v>
      </c>
      <c r="T7187" s="1" t="s">
        <v>32</v>
      </c>
    </row>
    <row r="7188" spans="1:20" ht="76.5" x14ac:dyDescent="0.25">
      <c r="A7188" s="6">
        <v>7159</v>
      </c>
      <c r="B7188" s="1" t="str">
        <f>"2019-2229"</f>
        <v>2019-2229</v>
      </c>
      <c r="C7188" s="1" t="s">
        <v>2405</v>
      </c>
      <c r="D7188" s="1" t="s">
        <v>880</v>
      </c>
      <c r="E7188" s="1" t="str">
        <f>""</f>
        <v/>
      </c>
      <c r="F7188" s="1" t="s">
        <v>1860</v>
      </c>
      <c r="G7188" s="1" t="str">
        <f>CONCATENATE(" NASTAVNI ZAVOD ZA JAVNO ZDRAVSTVO DR. ANDRIJA ŠTAMPAR,"," MIROGOJSKA CESTA 16,"," 10000 ZAGREB,"," OIB: 3339200596")</f>
        <v xml:space="preserve"> NASTAVNI ZAVOD ZA JAVNO ZDRAVSTVO DR. ANDRIJA ŠTAMPAR, MIROGOJSKA CESTA 16, 10000 ZAGREB, OIB: 3339200596</v>
      </c>
      <c r="H7188" s="7"/>
      <c r="I7188" s="8" t="s">
        <v>4249</v>
      </c>
      <c r="J7188" s="8" t="s">
        <v>4117</v>
      </c>
      <c r="K7188" s="6" t="str">
        <f>"21.360,00"</f>
        <v>21.360,00</v>
      </c>
      <c r="L7188" s="6" t="str">
        <f>"5.340,00"</f>
        <v>5.340,00</v>
      </c>
      <c r="M7188" s="6" t="str">
        <f>"26.700,00"</f>
        <v>26.700,00</v>
      </c>
      <c r="N7188" s="8" t="s">
        <v>705</v>
      </c>
      <c r="O7188" s="7"/>
      <c r="P7188" s="2" t="s">
        <v>9061</v>
      </c>
      <c r="Q7188" s="1"/>
      <c r="R7188" s="1"/>
      <c r="S7188" s="1" t="str">
        <f>"J-UN-2019-4671"</f>
        <v>J-UN-2019-4671</v>
      </c>
      <c r="T7188" s="1" t="s">
        <v>32</v>
      </c>
    </row>
    <row r="7189" spans="1:20" ht="51" x14ac:dyDescent="0.25">
      <c r="A7189" s="6">
        <v>7160</v>
      </c>
      <c r="B7189" s="1" t="str">
        <f>"2019-84"</f>
        <v>2019-84</v>
      </c>
      <c r="C7189" s="1" t="s">
        <v>2876</v>
      </c>
      <c r="D7189" s="1" t="s">
        <v>794</v>
      </c>
      <c r="E7189" s="1" t="str">
        <f>""</f>
        <v/>
      </c>
      <c r="F7189" s="1" t="s">
        <v>1860</v>
      </c>
      <c r="G7189" s="1" t="str">
        <f>CONCATENATE(" STAR IMPORT D.O.O.,"," KOVINSKA 5,"," 10090 ZAGREB-SUSEDGRAD,"," OIB: 783122799")</f>
        <v xml:space="preserve"> STAR IMPORT D.O.O., KOVINSKA 5, 10090 ZAGREB-SUSEDGRAD, OIB: 783122799</v>
      </c>
      <c r="H7189" s="7"/>
      <c r="I7189" s="8" t="s">
        <v>4077</v>
      </c>
      <c r="J7189" s="8" t="s">
        <v>4027</v>
      </c>
      <c r="K7189" s="6" t="str">
        <f>"1.098,00"</f>
        <v>1.098,00</v>
      </c>
      <c r="L7189" s="6" t="str">
        <f>"274,50"</f>
        <v>274,50</v>
      </c>
      <c r="M7189" s="6" t="str">
        <f>"1.372,50"</f>
        <v>1.372,50</v>
      </c>
      <c r="N7189" s="8" t="s">
        <v>124</v>
      </c>
      <c r="O7189" s="7"/>
      <c r="P7189" s="2" t="s">
        <v>5614</v>
      </c>
      <c r="Q7189" s="7"/>
      <c r="R7189" s="1"/>
      <c r="S7189" s="1" t="str">
        <f>"J-UN-2019-4684"</f>
        <v>J-UN-2019-4684</v>
      </c>
      <c r="T7189" s="1" t="s">
        <v>32</v>
      </c>
    </row>
    <row r="7190" spans="1:20" ht="63.75" x14ac:dyDescent="0.25">
      <c r="A7190" s="6">
        <v>7161</v>
      </c>
      <c r="B7190" s="1" t="str">
        <f>"2019-116"</f>
        <v>2019-116</v>
      </c>
      <c r="C7190" s="1" t="s">
        <v>5448</v>
      </c>
      <c r="D7190" s="1" t="s">
        <v>815</v>
      </c>
      <c r="E7190" s="1" t="str">
        <f>""</f>
        <v/>
      </c>
      <c r="F7190" s="1" t="s">
        <v>1860</v>
      </c>
      <c r="G7190" s="1" t="str">
        <f>CONCATENATE(" TOKIĆ D.O.O.,"," ULICA 144. BRIGADE HRVATSKE VOJSKE 1A,"," 10360 SESVETE,"," OIB: 7486748762")</f>
        <v xml:space="preserve"> TOKIĆ D.O.O., ULICA 144. BRIGADE HRVATSKE VOJSKE 1A, 10360 SESVETE, OIB: 7486748762</v>
      </c>
      <c r="H7190" s="7"/>
      <c r="I7190" s="8" t="s">
        <v>4285</v>
      </c>
      <c r="J7190" s="8" t="s">
        <v>548</v>
      </c>
      <c r="K7190" s="6" t="str">
        <f>"190,00"</f>
        <v>190,00</v>
      </c>
      <c r="L7190" s="6" t="str">
        <f>"47,50"</f>
        <v>47,50</v>
      </c>
      <c r="M7190" s="6" t="str">
        <f>"237,50"</f>
        <v>237,50</v>
      </c>
      <c r="N7190" s="8" t="s">
        <v>124</v>
      </c>
      <c r="O7190" s="7"/>
      <c r="P7190" s="2" t="s">
        <v>5614</v>
      </c>
      <c r="Q7190" s="7"/>
      <c r="R7190" s="1"/>
      <c r="S7190" s="1" t="str">
        <f>"J-UN-2019-4694"</f>
        <v>J-UN-2019-4694</v>
      </c>
      <c r="T7190" s="1" t="s">
        <v>32</v>
      </c>
    </row>
    <row r="7191" spans="1:20" ht="63.75" x14ac:dyDescent="0.25">
      <c r="A7191" s="6">
        <v>7162</v>
      </c>
      <c r="B7191" s="1" t="str">
        <f>"2019-2044"</f>
        <v>2019-2044</v>
      </c>
      <c r="C7191" s="1" t="s">
        <v>2795</v>
      </c>
      <c r="D7191" s="1" t="s">
        <v>1619</v>
      </c>
      <c r="E7191" s="1" t="str">
        <f>""</f>
        <v/>
      </c>
      <c r="F7191" s="1" t="s">
        <v>1860</v>
      </c>
      <c r="G7191" s="1" t="str">
        <f>CONCATENATE(" GRA-PO D.O.O.,"," GOSPODARSKA 5B,"," 10255 ZAGREB - STUPNIK,"," OIB: 05364995085")</f>
        <v xml:space="preserve"> GRA-PO D.O.O., GOSPODARSKA 5B, 10255 ZAGREB - STUPNIK, OIB: 05364995085</v>
      </c>
      <c r="H7191" s="7"/>
      <c r="I7191" s="8" t="s">
        <v>4077</v>
      </c>
      <c r="J7191" s="8" t="s">
        <v>4027</v>
      </c>
      <c r="K7191" s="6" t="str">
        <f>"34.312,20"</f>
        <v>34.312,20</v>
      </c>
      <c r="L7191" s="6" t="str">
        <f>"8.578,05"</f>
        <v>8.578,05</v>
      </c>
      <c r="M7191" s="6" t="str">
        <f>"42.890,25"</f>
        <v>42.890,25</v>
      </c>
      <c r="N7191" s="8" t="s">
        <v>548</v>
      </c>
      <c r="O7191" s="7"/>
      <c r="P7191" s="2" t="s">
        <v>9062</v>
      </c>
      <c r="Q7191" s="7"/>
      <c r="R7191" s="1"/>
      <c r="S7191" s="1" t="str">
        <f>"J-UN-2019-4698"</f>
        <v>J-UN-2019-4698</v>
      </c>
      <c r="T7191" s="1" t="s">
        <v>32</v>
      </c>
    </row>
    <row r="7192" spans="1:20" ht="63.75" x14ac:dyDescent="0.25">
      <c r="A7192" s="6">
        <v>7163</v>
      </c>
      <c r="B7192" s="1" t="str">
        <f>"2019-1650"</f>
        <v>2019-1650</v>
      </c>
      <c r="C7192" s="1" t="s">
        <v>2863</v>
      </c>
      <c r="D7192" s="1" t="s">
        <v>1209</v>
      </c>
      <c r="E7192" s="1" t="str">
        <f>""</f>
        <v/>
      </c>
      <c r="F7192" s="1" t="s">
        <v>1860</v>
      </c>
      <c r="G7192" s="1" t="str">
        <f>CONCATENATE(" DRÄGER SAFETY D.O.O.,"," AVENIJA VEĆESLAVA HOLJEVCA 40,"," 10010 ZAGREB,"," OIB: 32874587842")</f>
        <v xml:space="preserve"> DRÄGER SAFETY D.O.O., AVENIJA VEĆESLAVA HOLJEVCA 40, 10010 ZAGREB, OIB: 32874587842</v>
      </c>
      <c r="H7192" s="7"/>
      <c r="I7192" s="8" t="s">
        <v>4081</v>
      </c>
      <c r="J7192" s="8" t="s">
        <v>4249</v>
      </c>
      <c r="K7192" s="6" t="str">
        <f>"1.582,18"</f>
        <v>1.582,18</v>
      </c>
      <c r="L7192" s="6" t="str">
        <f>"395,54"</f>
        <v>395,54</v>
      </c>
      <c r="M7192" s="6" t="str">
        <f>"1.977,72"</f>
        <v>1.977,72</v>
      </c>
      <c r="N7192" s="8" t="s">
        <v>124</v>
      </c>
      <c r="O7192" s="7"/>
      <c r="P7192" s="2" t="s">
        <v>5614</v>
      </c>
      <c r="Q7192" s="7"/>
      <c r="R7192" s="1"/>
      <c r="S7192" s="1" t="str">
        <f>"J-UN-2019-4736"</f>
        <v>J-UN-2019-4736</v>
      </c>
      <c r="T7192" s="1" t="s">
        <v>32</v>
      </c>
    </row>
    <row r="7193" spans="1:20" ht="51" x14ac:dyDescent="0.25">
      <c r="A7193" s="6">
        <v>7164</v>
      </c>
      <c r="B7193" s="1" t="str">
        <f>"2019-2153"</f>
        <v>2019-2153</v>
      </c>
      <c r="C7193" s="1" t="s">
        <v>2703</v>
      </c>
      <c r="D7193" s="1" t="s">
        <v>2704</v>
      </c>
      <c r="E7193" s="1" t="str">
        <f>""</f>
        <v/>
      </c>
      <c r="F7193" s="1" t="s">
        <v>1860</v>
      </c>
      <c r="G7193" s="1" t="str">
        <f>CONCATENATE(" STROJOPROMET D.O.O.,"," ZAGREBAČKA 6,"," 10292 ŠENKOVEC,"," OIB: 97994010225")</f>
        <v xml:space="preserve"> STROJOPROMET D.O.O., ZAGREBAČKA 6, 10292 ŠENKOVEC, OIB: 97994010225</v>
      </c>
      <c r="H7193" s="7"/>
      <c r="I7193" s="8" t="s">
        <v>4087</v>
      </c>
      <c r="J7193" s="8" t="s">
        <v>5449</v>
      </c>
      <c r="K7193" s="6" t="str">
        <f>"10.563,90"</f>
        <v>10.563,90</v>
      </c>
      <c r="L7193" s="6" t="str">
        <f>"2.640,98"</f>
        <v>2.640,98</v>
      </c>
      <c r="M7193" s="6" t="str">
        <f>"13.204,88"</f>
        <v>13.204,88</v>
      </c>
      <c r="N7193" s="8" t="s">
        <v>5103</v>
      </c>
      <c r="O7193" s="7"/>
      <c r="P7193" s="2" t="s">
        <v>9063</v>
      </c>
      <c r="Q7193" s="7"/>
      <c r="R7193" s="1"/>
      <c r="S7193" s="1" t="str">
        <f>"J-UN-2019-4749"</f>
        <v>J-UN-2019-4749</v>
      </c>
      <c r="T7193" s="1" t="s">
        <v>32</v>
      </c>
    </row>
    <row r="7194" spans="1:20" ht="51" x14ac:dyDescent="0.25">
      <c r="A7194" s="6">
        <v>7165</v>
      </c>
      <c r="B7194" s="1" t="str">
        <f>"2019-1872"</f>
        <v>2019-1872</v>
      </c>
      <c r="C7194" s="1" t="s">
        <v>5159</v>
      </c>
      <c r="D7194" s="1" t="s">
        <v>2577</v>
      </c>
      <c r="E7194" s="1" t="str">
        <f>""</f>
        <v/>
      </c>
      <c r="F7194" s="1" t="s">
        <v>1860</v>
      </c>
      <c r="G7194" s="1" t="str">
        <f>CONCATENATE(" TPZ D.O.O.,"," NOVOSELSKA 25,"," 10000 ZAGREB,"," OIB: 68119083236")</f>
        <v xml:space="preserve"> TPZ D.O.O., NOVOSELSKA 25, 10000 ZAGREB, OIB: 68119083236</v>
      </c>
      <c r="H7194" s="7"/>
      <c r="I7194" s="8" t="s">
        <v>548</v>
      </c>
      <c r="J7194" s="8" t="s">
        <v>558</v>
      </c>
      <c r="K7194" s="6" t="str">
        <f>"20.036,06"</f>
        <v>20.036,06</v>
      </c>
      <c r="L7194" s="6" t="str">
        <f>"5.009,02"</f>
        <v>5.009,02</v>
      </c>
      <c r="M7194" s="6" t="str">
        <f>"25.045,08"</f>
        <v>25.045,08</v>
      </c>
      <c r="N7194" s="8" t="s">
        <v>4227</v>
      </c>
      <c r="O7194" s="7"/>
      <c r="P7194" s="2" t="s">
        <v>9064</v>
      </c>
      <c r="Q7194" s="7"/>
      <c r="R7194" s="1"/>
      <c r="S7194" s="1" t="str">
        <f>"J-UN-2019-4753"</f>
        <v>J-UN-2019-4753</v>
      </c>
      <c r="T7194" s="1" t="s">
        <v>32</v>
      </c>
    </row>
    <row r="7195" spans="1:20" ht="51" x14ac:dyDescent="0.25">
      <c r="A7195" s="6">
        <v>7166</v>
      </c>
      <c r="B7195" s="1" t="str">
        <f>"2019-1386"</f>
        <v>2019-1386</v>
      </c>
      <c r="C7195" s="1" t="s">
        <v>3770</v>
      </c>
      <c r="D7195" s="1" t="s">
        <v>2357</v>
      </c>
      <c r="E7195" s="1" t="str">
        <f>""</f>
        <v/>
      </c>
      <c r="F7195" s="1" t="s">
        <v>1860</v>
      </c>
      <c r="G7195" s="1" t="str">
        <f>CONCATENATE(" SVIJET MEDIJA D.O.O.,"," TRG DRAGE IBLERA 10,"," 10000 ZAGREB,"," OIB: 08622180689")</f>
        <v xml:space="preserve"> SVIJET MEDIJA D.O.O., TRG DRAGE IBLERA 10, 10000 ZAGREB, OIB: 08622180689</v>
      </c>
      <c r="H7195" s="7"/>
      <c r="I7195" s="8" t="s">
        <v>4087</v>
      </c>
      <c r="J7195" s="8" t="s">
        <v>5410</v>
      </c>
      <c r="K7195" s="6" t="str">
        <f>"28.440,00"</f>
        <v>28.440,00</v>
      </c>
      <c r="L7195" s="6" t="str">
        <f>"7.110,00"</f>
        <v>7.110,00</v>
      </c>
      <c r="M7195" s="6" t="str">
        <f>"35.550,00"</f>
        <v>35.550,00</v>
      </c>
      <c r="N7195" s="8" t="s">
        <v>3846</v>
      </c>
      <c r="O7195" s="7"/>
      <c r="P7195" s="2" t="s">
        <v>9065</v>
      </c>
      <c r="Q7195" s="7"/>
      <c r="R7195" s="1"/>
      <c r="S7195" s="1" t="str">
        <f>"J-UN-2019-4761"</f>
        <v>J-UN-2019-4761</v>
      </c>
      <c r="T7195" s="1" t="s">
        <v>32</v>
      </c>
    </row>
    <row r="7196" spans="1:20" ht="51" x14ac:dyDescent="0.25">
      <c r="A7196" s="6">
        <v>7167</v>
      </c>
      <c r="B7196" s="1" t="str">
        <f>"2019-262"</f>
        <v>2019-262</v>
      </c>
      <c r="C7196" s="1" t="s">
        <v>3131</v>
      </c>
      <c r="D7196" s="1" t="s">
        <v>1859</v>
      </c>
      <c r="E7196" s="1" t="str">
        <f>""</f>
        <v/>
      </c>
      <c r="F7196" s="1" t="s">
        <v>1860</v>
      </c>
      <c r="G7196" s="1" t="str">
        <f>CONCATENATE(" INFO PULS D.O.O.,"," JOSIPA PUPAČIĆA 1,"," 10000 ZAGREB,"," OIB: 43150843424")</f>
        <v xml:space="preserve"> INFO PULS D.O.O., JOSIPA PUPAČIĆA 1, 10000 ZAGREB, OIB: 43150843424</v>
      </c>
      <c r="H7196" s="7"/>
      <c r="I7196" s="8" t="s">
        <v>4285</v>
      </c>
      <c r="J7196" s="8" t="s">
        <v>558</v>
      </c>
      <c r="K7196" s="6" t="str">
        <f>"2.565,00"</f>
        <v>2.565,00</v>
      </c>
      <c r="L7196" s="6" t="str">
        <f>"641,25"</f>
        <v>641,25</v>
      </c>
      <c r="M7196" s="6" t="str">
        <f>"3.206,25"</f>
        <v>3.206,25</v>
      </c>
      <c r="N7196" s="8" t="s">
        <v>124</v>
      </c>
      <c r="O7196" s="7"/>
      <c r="P7196" s="2" t="s">
        <v>5614</v>
      </c>
      <c r="Q7196" s="7"/>
      <c r="R7196" s="1"/>
      <c r="S7196" s="1" t="str">
        <f>"J-UN-2019-4770"</f>
        <v>J-UN-2019-4770</v>
      </c>
      <c r="T7196" s="1" t="s">
        <v>32</v>
      </c>
    </row>
    <row r="7197" spans="1:20" ht="63.75" x14ac:dyDescent="0.25">
      <c r="A7197" s="6">
        <v>7168</v>
      </c>
      <c r="B7197" s="1" t="str">
        <f>"2019-1587"</f>
        <v>2019-1587</v>
      </c>
      <c r="C7197" s="1" t="s">
        <v>5257</v>
      </c>
      <c r="D7197" s="1" t="s">
        <v>1888</v>
      </c>
      <c r="E7197" s="1" t="str">
        <f>""</f>
        <v/>
      </c>
      <c r="F7197" s="1" t="s">
        <v>1860</v>
      </c>
      <c r="G7197" s="1" t="str">
        <f>CONCATENATE(" STAHLGRUBER D.O.O.,"," KERESTINEC,"," PROSINAČKA 14,"," 10431 SVETA NEDELJA,"," OIB: 49935301915")</f>
        <v xml:space="preserve"> STAHLGRUBER D.O.O., KERESTINEC, PROSINAČKA 14, 10431 SVETA NEDELJA, OIB: 49935301915</v>
      </c>
      <c r="H7197" s="7"/>
      <c r="I7197" s="8" t="s">
        <v>5410</v>
      </c>
      <c r="J7197" s="8" t="s">
        <v>5449</v>
      </c>
      <c r="K7197" s="6" t="str">
        <f>"3.960,00"</f>
        <v>3.960,00</v>
      </c>
      <c r="L7197" s="6" t="str">
        <f>"990,00"</f>
        <v>990,00</v>
      </c>
      <c r="M7197" s="6" t="str">
        <f>"4.950,00"</f>
        <v>4.950,00</v>
      </c>
      <c r="N7197" s="8" t="s">
        <v>124</v>
      </c>
      <c r="O7197" s="7"/>
      <c r="P7197" s="2" t="s">
        <v>5614</v>
      </c>
      <c r="Q7197" s="7"/>
      <c r="R7197" s="1"/>
      <c r="S7197" s="1" t="str">
        <f>"J-UN-2019-4808"</f>
        <v>J-UN-2019-4808</v>
      </c>
      <c r="T7197" s="1" t="s">
        <v>32</v>
      </c>
    </row>
    <row r="7198" spans="1:20" ht="63.75" x14ac:dyDescent="0.25">
      <c r="A7198" s="6">
        <v>7169</v>
      </c>
      <c r="B7198" s="1" t="str">
        <f>"2019-2151"</f>
        <v>2019-2151</v>
      </c>
      <c r="C7198" s="1" t="s">
        <v>2984</v>
      </c>
      <c r="D7198" s="1" t="s">
        <v>2985</v>
      </c>
      <c r="E7198" s="1" t="str">
        <f>""</f>
        <v/>
      </c>
      <c r="F7198" s="1" t="s">
        <v>1860</v>
      </c>
      <c r="G7198" s="1" t="str">
        <f>CONCATENATE(" LANIŠTE D.O.O.,"," ALEXANDERA VON HUMBOLDTA 4B,"," 10000 ZAGREB,"," OIB: 3755384865")</f>
        <v xml:space="preserve"> LANIŠTE D.O.O., ALEXANDERA VON HUMBOLDTA 4B, 10000 ZAGREB, OIB: 3755384865</v>
      </c>
      <c r="H7198" s="7"/>
      <c r="I7198" s="8" t="s">
        <v>4618</v>
      </c>
      <c r="J7198" s="8" t="s">
        <v>569</v>
      </c>
      <c r="K7198" s="6" t="str">
        <f>"4.032,00"</f>
        <v>4.032,00</v>
      </c>
      <c r="L7198" s="6" t="str">
        <f>"1.008,00"</f>
        <v>1.008,00</v>
      </c>
      <c r="M7198" s="6" t="str">
        <f>"5.040,00"</f>
        <v>5.040,00</v>
      </c>
      <c r="N7198" s="8" t="s">
        <v>4285</v>
      </c>
      <c r="O7198" s="7"/>
      <c r="P7198" s="2" t="s">
        <v>7918</v>
      </c>
      <c r="Q7198" s="7"/>
      <c r="R7198" s="1"/>
      <c r="S7198" s="1" t="str">
        <f>"J-UN-2019-4813"</f>
        <v>J-UN-2019-4813</v>
      </c>
      <c r="T7198" s="1" t="s">
        <v>32</v>
      </c>
    </row>
    <row r="7199" spans="1:20" ht="63.75" x14ac:dyDescent="0.25">
      <c r="A7199" s="6">
        <v>7170</v>
      </c>
      <c r="B7199" s="1" t="str">
        <f>"2019-2151"</f>
        <v>2019-2151</v>
      </c>
      <c r="C7199" s="1" t="s">
        <v>2984</v>
      </c>
      <c r="D7199" s="1" t="s">
        <v>2985</v>
      </c>
      <c r="E7199" s="1" t="str">
        <f>""</f>
        <v/>
      </c>
      <c r="F7199" s="1" t="s">
        <v>1860</v>
      </c>
      <c r="G7199" s="1" t="str">
        <f>CONCATENATE(" LANIŠTE D.O.O.,"," ALEXANDERA VON HUMBOLDTA 4B,"," 10000 ZAGREB,"," OIB: 3755384865")</f>
        <v xml:space="preserve"> LANIŠTE D.O.O., ALEXANDERA VON HUMBOLDTA 4B, 10000 ZAGREB, OIB: 3755384865</v>
      </c>
      <c r="H7199" s="7"/>
      <c r="I7199" s="8" t="s">
        <v>4618</v>
      </c>
      <c r="J7199" s="8" t="s">
        <v>569</v>
      </c>
      <c r="K7199" s="6" t="str">
        <f>"4.032,00"</f>
        <v>4.032,00</v>
      </c>
      <c r="L7199" s="6" t="str">
        <f>"1.008,00"</f>
        <v>1.008,00</v>
      </c>
      <c r="M7199" s="6" t="str">
        <f>"5.040,00"</f>
        <v>5.040,00</v>
      </c>
      <c r="N7199" s="8" t="s">
        <v>4285</v>
      </c>
      <c r="O7199" s="7"/>
      <c r="P7199" s="2" t="s">
        <v>7918</v>
      </c>
      <c r="Q7199" s="7"/>
      <c r="R7199" s="1"/>
      <c r="S7199" s="1" t="str">
        <f>"J-UN-2019-4819"</f>
        <v>J-UN-2019-4819</v>
      </c>
      <c r="T7199" s="1" t="s">
        <v>32</v>
      </c>
    </row>
    <row r="7200" spans="1:20" ht="89.25" x14ac:dyDescent="0.25">
      <c r="A7200" s="6">
        <v>7171</v>
      </c>
      <c r="B7200" s="1" t="str">
        <f>"2019-1369"</f>
        <v>2019-1369</v>
      </c>
      <c r="C7200" s="1" t="s">
        <v>5354</v>
      </c>
      <c r="D7200" s="1" t="s">
        <v>515</v>
      </c>
      <c r="E7200" s="1" t="str">
        <f>""</f>
        <v/>
      </c>
      <c r="F7200" s="1" t="s">
        <v>1860</v>
      </c>
      <c r="G7200" s="1" t="str">
        <f>CONCATENATE(" SVEUČILIŠTE U ZAGREBU - AGRONOMSKI FAKULTET,"," SVETOŠIMUNSKA CESTA 25,"," 10000 ZAGREB,"," OIB: 76023745044")</f>
        <v xml:space="preserve"> SVEUČILIŠTE U ZAGREBU - AGRONOMSKI FAKULTET, SVETOŠIMUNSKA CESTA 25, 10000 ZAGREB, OIB: 76023745044</v>
      </c>
      <c r="H7200" s="7"/>
      <c r="I7200" s="8" t="s">
        <v>558</v>
      </c>
      <c r="J7200" s="8" t="s">
        <v>4618</v>
      </c>
      <c r="K7200" s="6" t="str">
        <f>"41.002,00"</f>
        <v>41.002,00</v>
      </c>
      <c r="L7200" s="6" t="str">
        <f>"10.250,50"</f>
        <v>10.250,50</v>
      </c>
      <c r="M7200" s="6" t="str">
        <f>"51.252,50"</f>
        <v>51.252,50</v>
      </c>
      <c r="N7200" s="8" t="s">
        <v>4247</v>
      </c>
      <c r="O7200" s="7"/>
      <c r="P7200" s="2" t="s">
        <v>9066</v>
      </c>
      <c r="Q7200" s="7"/>
      <c r="R7200" s="1"/>
      <c r="S7200" s="1" t="str">
        <f>"J-UN-2019-4822"</f>
        <v>J-UN-2019-4822</v>
      </c>
      <c r="T7200" s="1" t="s">
        <v>32</v>
      </c>
    </row>
    <row r="7201" spans="1:20" ht="51" x14ac:dyDescent="0.25">
      <c r="A7201" s="6">
        <v>7172</v>
      </c>
      <c r="B7201" s="1" t="str">
        <f>"2019-894"</f>
        <v>2019-894</v>
      </c>
      <c r="C7201" s="1" t="s">
        <v>1161</v>
      </c>
      <c r="D7201" s="1" t="s">
        <v>74</v>
      </c>
      <c r="E7201" s="1" t="str">
        <f>""</f>
        <v/>
      </c>
      <c r="F7201" s="1" t="s">
        <v>1860</v>
      </c>
      <c r="G7201" s="1" t="str">
        <f>CONCATENATE(" DOL D.O.O.,"," FRANJE ČANDEKA 23/B,"," 51000 RIJEKA,"," OIB: 61043480879")</f>
        <v xml:space="preserve"> DOL D.O.O., FRANJE ČANDEKA 23/B, 51000 RIJEKA, OIB: 61043480879</v>
      </c>
      <c r="H7201" s="7"/>
      <c r="I7201" s="8" t="s">
        <v>5450</v>
      </c>
      <c r="J7201" s="8" t="s">
        <v>4258</v>
      </c>
      <c r="K7201" s="6" t="str">
        <f>"180.000,00"</f>
        <v>180.000,00</v>
      </c>
      <c r="L7201" s="6" t="str">
        <f>"45.000,00"</f>
        <v>45.000,00</v>
      </c>
      <c r="M7201" s="6" t="str">
        <f>"225.000,00"</f>
        <v>225.000,00</v>
      </c>
      <c r="N7201" s="8" t="s">
        <v>4117</v>
      </c>
      <c r="O7201" s="7"/>
      <c r="P7201" s="2" t="s">
        <v>9067</v>
      </c>
      <c r="Q7201" s="7"/>
      <c r="R7201" s="1"/>
      <c r="S7201" s="1" t="str">
        <f>"J-UN-2019-4830"</f>
        <v>J-UN-2019-4830</v>
      </c>
      <c r="T7201" s="1" t="s">
        <v>32</v>
      </c>
    </row>
    <row r="7202" spans="1:20" ht="51" x14ac:dyDescent="0.25">
      <c r="A7202" s="6">
        <v>7173</v>
      </c>
      <c r="B7202" s="1" t="str">
        <f>"2019-240"</f>
        <v>2019-240</v>
      </c>
      <c r="C7202" s="1" t="s">
        <v>5407</v>
      </c>
      <c r="D7202" s="1" t="s">
        <v>1619</v>
      </c>
      <c r="E7202" s="1" t="str">
        <f>""</f>
        <v/>
      </c>
      <c r="F7202" s="1" t="s">
        <v>1860</v>
      </c>
      <c r="G7202" s="1" t="str">
        <f>CONCATENATE(" GRAPAK D.O.O.,"," M. SCHLENGERA 5,"," 42204 TURČIN,"," OIB: 8387333034")</f>
        <v xml:space="preserve"> GRAPAK D.O.O., M. SCHLENGERA 5, 42204 TURČIN, OIB: 8387333034</v>
      </c>
      <c r="H7202" s="7"/>
      <c r="I7202" s="8" t="s">
        <v>4087</v>
      </c>
      <c r="J7202" s="8" t="s">
        <v>5410</v>
      </c>
      <c r="K7202" s="6" t="str">
        <f>"21.118,85"</f>
        <v>21.118,85</v>
      </c>
      <c r="L7202" s="6" t="str">
        <f>"5.279,71"</f>
        <v>5.279,71</v>
      </c>
      <c r="M7202" s="6" t="str">
        <f>"26.398,56"</f>
        <v>26.398,56</v>
      </c>
      <c r="N7202" s="8" t="s">
        <v>124</v>
      </c>
      <c r="O7202" s="7"/>
      <c r="P7202" s="2" t="s">
        <v>5614</v>
      </c>
      <c r="Q7202" s="7"/>
      <c r="R7202" s="1"/>
      <c r="S7202" s="1" t="str">
        <f>"J-UN-2019-4874"</f>
        <v>J-UN-2019-4874</v>
      </c>
      <c r="T7202" s="1" t="s">
        <v>32</v>
      </c>
    </row>
    <row r="7203" spans="1:20" ht="51" x14ac:dyDescent="0.25">
      <c r="A7203" s="6">
        <v>7174</v>
      </c>
      <c r="B7203" s="1" t="str">
        <f>"2019-262"</f>
        <v>2019-262</v>
      </c>
      <c r="C7203" s="1" t="s">
        <v>3131</v>
      </c>
      <c r="D7203" s="1" t="s">
        <v>1859</v>
      </c>
      <c r="E7203" s="1" t="str">
        <f>""</f>
        <v/>
      </c>
      <c r="F7203" s="1" t="s">
        <v>1860</v>
      </c>
      <c r="G7203" s="1" t="str">
        <f>CONCATENATE(" INFO PULS D.O.O.,"," JOSIPA PUPAČIĆA 1,"," 10000 ZAGREB,"," OIB: 43150843424")</f>
        <v xml:space="preserve"> INFO PULS D.O.O., JOSIPA PUPAČIĆA 1, 10000 ZAGREB, OIB: 43150843424</v>
      </c>
      <c r="H7203" s="7"/>
      <c r="I7203" s="8" t="s">
        <v>4087</v>
      </c>
      <c r="J7203" s="8" t="s">
        <v>5410</v>
      </c>
      <c r="K7203" s="6" t="str">
        <f>"2.565,00"</f>
        <v>2.565,00</v>
      </c>
      <c r="L7203" s="6" t="str">
        <f>"641,25"</f>
        <v>641,25</v>
      </c>
      <c r="M7203" s="6" t="str">
        <f>"3.206,25"</f>
        <v>3.206,25</v>
      </c>
      <c r="N7203" s="8" t="s">
        <v>124</v>
      </c>
      <c r="O7203" s="7"/>
      <c r="P7203" s="2" t="s">
        <v>5614</v>
      </c>
      <c r="Q7203" s="7"/>
      <c r="R7203" s="1"/>
      <c r="S7203" s="1" t="str">
        <f>"J-UN-2019-4875"</f>
        <v>J-UN-2019-4875</v>
      </c>
      <c r="T7203" s="1" t="s">
        <v>32</v>
      </c>
    </row>
    <row r="7204" spans="1:20" ht="51" x14ac:dyDescent="0.25">
      <c r="A7204" s="6">
        <v>7175</v>
      </c>
      <c r="B7204" s="1" t="str">
        <f>"2019-1587"</f>
        <v>2019-1587</v>
      </c>
      <c r="C7204" s="1" t="s">
        <v>5257</v>
      </c>
      <c r="D7204" s="1" t="s">
        <v>1888</v>
      </c>
      <c r="E7204" s="1" t="str">
        <f>""</f>
        <v/>
      </c>
      <c r="F7204" s="1" t="s">
        <v>1860</v>
      </c>
      <c r="G7204" s="1" t="str">
        <f>CONCATENATE(" AGRO-HONOR D.O.O.,"," KRALJA TOMISLAVA 82,"," 31300 BELI MANASTIR,"," OIB: 82775399135")</f>
        <v xml:space="preserve"> AGRO-HONOR D.O.O., KRALJA TOMISLAVA 82, 31300 BELI MANASTIR, OIB: 82775399135</v>
      </c>
      <c r="H7204" s="7"/>
      <c r="I7204" s="8" t="s">
        <v>5451</v>
      </c>
      <c r="J7204" s="8" t="s">
        <v>5452</v>
      </c>
      <c r="K7204" s="6" t="str">
        <f>"4.399,00"</f>
        <v>4.399,00</v>
      </c>
      <c r="L7204" s="6" t="str">
        <f>"1.099,75"</f>
        <v>1.099,75</v>
      </c>
      <c r="M7204" s="6" t="str">
        <f>"5.498,75"</f>
        <v>5.498,75</v>
      </c>
      <c r="N7204" s="8" t="s">
        <v>124</v>
      </c>
      <c r="O7204" s="7"/>
      <c r="P7204" s="2" t="s">
        <v>5614</v>
      </c>
      <c r="Q7204" s="7"/>
      <c r="R7204" s="1"/>
      <c r="S7204" s="1" t="str">
        <f>"J-UN-2019-4876"</f>
        <v>J-UN-2019-4876</v>
      </c>
      <c r="T7204" s="1" t="s">
        <v>32</v>
      </c>
    </row>
    <row r="7205" spans="1:20" ht="63.75" x14ac:dyDescent="0.25">
      <c r="A7205" s="6">
        <v>7176</v>
      </c>
      <c r="B7205" s="1" t="str">
        <f>"2019-2208"</f>
        <v>2019-2208</v>
      </c>
      <c r="C7205" s="1" t="s">
        <v>2714</v>
      </c>
      <c r="D7205" s="1" t="s">
        <v>619</v>
      </c>
      <c r="E7205" s="1" t="str">
        <f>""</f>
        <v/>
      </c>
      <c r="F7205" s="1" t="s">
        <v>1860</v>
      </c>
      <c r="G7205" s="1" t="str">
        <f>CONCATENATE(" POLJOOPSKRBA-TEHNO D.D.,"," SAMOBORSKA 96,"," 10000 ZAGREB,"," OIB: 5372167324")</f>
        <v xml:space="preserve"> POLJOOPSKRBA-TEHNO D.D., SAMOBORSKA 96, 10000 ZAGREB, OIB: 5372167324</v>
      </c>
      <c r="H7205" s="7"/>
      <c r="I7205" s="8" t="s">
        <v>5449</v>
      </c>
      <c r="J7205" s="8" t="s">
        <v>4258</v>
      </c>
      <c r="K7205" s="6" t="str">
        <f>"1.482,00"</f>
        <v>1.482,00</v>
      </c>
      <c r="L7205" s="6" t="str">
        <f>"370,50"</f>
        <v>370,50</v>
      </c>
      <c r="M7205" s="6" t="str">
        <f>"1.852,50"</f>
        <v>1.852,50</v>
      </c>
      <c r="N7205" s="8" t="s">
        <v>124</v>
      </c>
      <c r="O7205" s="7"/>
      <c r="P7205" s="2" t="s">
        <v>5614</v>
      </c>
      <c r="Q7205" s="7"/>
      <c r="R7205" s="1"/>
      <c r="S7205" s="1" t="str">
        <f>"J-UN-2019-4890"</f>
        <v>J-UN-2019-4890</v>
      </c>
      <c r="T7205" s="1" t="s">
        <v>32</v>
      </c>
    </row>
    <row r="7206" spans="1:20" ht="63.75" x14ac:dyDescent="0.25">
      <c r="A7206" s="6">
        <v>7177</v>
      </c>
      <c r="B7206" s="1" t="str">
        <f>"2019-2044"</f>
        <v>2019-2044</v>
      </c>
      <c r="C7206" s="1" t="s">
        <v>2795</v>
      </c>
      <c r="D7206" s="1" t="s">
        <v>1619</v>
      </c>
      <c r="E7206" s="1" t="str">
        <f>""</f>
        <v/>
      </c>
      <c r="F7206" s="1" t="s">
        <v>1860</v>
      </c>
      <c r="G7206" s="1" t="str">
        <f>CONCATENATE(" HIDROMEHANIKA D.O.O.,"," SLAVONSKA AVENIJA 26/10,"," 10000 ZAGREB,"," OIB: 9178029895")</f>
        <v xml:space="preserve"> HIDROMEHANIKA D.O.O., SLAVONSKA AVENIJA 26/10, 10000 ZAGREB, OIB: 9178029895</v>
      </c>
      <c r="H7206" s="7"/>
      <c r="I7206" s="8" t="s">
        <v>5410</v>
      </c>
      <c r="J7206" s="8" t="s">
        <v>5449</v>
      </c>
      <c r="K7206" s="6" t="str">
        <f>"2.385,20"</f>
        <v>2.385,20</v>
      </c>
      <c r="L7206" s="6" t="str">
        <f>"596,30"</f>
        <v>596,30</v>
      </c>
      <c r="M7206" s="6" t="str">
        <f>"2.981,50"</f>
        <v>2.981,50</v>
      </c>
      <c r="N7206" s="8" t="s">
        <v>124</v>
      </c>
      <c r="O7206" s="7"/>
      <c r="P7206" s="2" t="s">
        <v>5614</v>
      </c>
      <c r="Q7206" s="7"/>
      <c r="R7206" s="1"/>
      <c r="S7206" s="1" t="str">
        <f>"J-UN-2019-4895"</f>
        <v>J-UN-2019-4895</v>
      </c>
      <c r="T7206" s="1" t="s">
        <v>32</v>
      </c>
    </row>
    <row r="7207" spans="1:20" ht="51" x14ac:dyDescent="0.25">
      <c r="A7207" s="6">
        <v>7178</v>
      </c>
      <c r="B7207" s="1" t="str">
        <f>"2019-759"</f>
        <v>2019-759</v>
      </c>
      <c r="C7207" s="1" t="s">
        <v>2641</v>
      </c>
      <c r="D7207" s="1" t="s">
        <v>515</v>
      </c>
      <c r="E7207" s="1" t="str">
        <f>""</f>
        <v/>
      </c>
      <c r="F7207" s="1" t="s">
        <v>1860</v>
      </c>
      <c r="G7207" s="1" t="str">
        <f>CONCATENATE(" INSTITUT IGH D.D.,"," JANKA RAKUŠE 1,"," 10000 ZAGREB,"," OIB: 79766124714")</f>
        <v xml:space="preserve"> INSTITUT IGH D.D., JANKA RAKUŠE 1, 10000 ZAGREB, OIB: 79766124714</v>
      </c>
      <c r="H7207" s="7"/>
      <c r="I7207" s="8" t="s">
        <v>5453</v>
      </c>
      <c r="J7207" s="8" t="s">
        <v>5449</v>
      </c>
      <c r="K7207" s="6" t="str">
        <f>"17.704,00"</f>
        <v>17.704,00</v>
      </c>
      <c r="L7207" s="6" t="str">
        <f>"4.426,00"</f>
        <v>4.426,00</v>
      </c>
      <c r="M7207" s="6" t="str">
        <f>"22.130,00"</f>
        <v>22.130,00</v>
      </c>
      <c r="N7207" s="8" t="s">
        <v>4664</v>
      </c>
      <c r="O7207" s="7"/>
      <c r="P7207" s="2" t="s">
        <v>9068</v>
      </c>
      <c r="Q7207" s="7"/>
      <c r="R7207" s="1"/>
      <c r="S7207" s="1" t="str">
        <f>"J-UN-2019-4898"</f>
        <v>J-UN-2019-4898</v>
      </c>
      <c r="T7207" s="1" t="s">
        <v>32</v>
      </c>
    </row>
    <row r="7208" spans="1:20" ht="51" x14ac:dyDescent="0.25">
      <c r="A7208" s="6">
        <v>7179</v>
      </c>
      <c r="B7208" s="1" t="str">
        <f>"2019-1920"</f>
        <v>2019-1920</v>
      </c>
      <c r="C7208" s="1" t="s">
        <v>2483</v>
      </c>
      <c r="D7208" s="1" t="s">
        <v>2484</v>
      </c>
      <c r="E7208" s="1" t="str">
        <f>""</f>
        <v/>
      </c>
      <c r="F7208" s="1" t="s">
        <v>1860</v>
      </c>
      <c r="G7208" s="1" t="str">
        <f>CONCATENATE(" PRESSCUT D.O.O.,"," DOMAGOJEVA 2,"," 10000 ZAGREB,"," OIB: 34672089688")</f>
        <v xml:space="preserve"> PRESSCUT D.O.O., DOMAGOJEVA 2, 10000 ZAGREB, OIB: 34672089688</v>
      </c>
      <c r="H7208" s="7"/>
      <c r="I7208" s="8" t="s">
        <v>4087</v>
      </c>
      <c r="J7208" s="8" t="s">
        <v>4288</v>
      </c>
      <c r="K7208" s="6" t="str">
        <f>"49.825,44"</f>
        <v>49.825,44</v>
      </c>
      <c r="L7208" s="6" t="str">
        <f>"12.456,36"</f>
        <v>12.456,36</v>
      </c>
      <c r="M7208" s="6" t="str">
        <f>"62.281,80"</f>
        <v>62.281,80</v>
      </c>
      <c r="N7208" s="8" t="s">
        <v>4281</v>
      </c>
      <c r="O7208" s="7"/>
      <c r="P7208" s="2" t="s">
        <v>9069</v>
      </c>
      <c r="Q7208" s="7"/>
      <c r="R7208" s="1"/>
      <c r="S7208" s="1" t="str">
        <f>"J-UN-2019-4901"</f>
        <v>J-UN-2019-4901</v>
      </c>
      <c r="T7208" s="1" t="s">
        <v>32</v>
      </c>
    </row>
    <row r="7209" spans="1:20" ht="63.75" x14ac:dyDescent="0.25">
      <c r="A7209" s="6">
        <v>7180</v>
      </c>
      <c r="B7209" s="1" t="str">
        <f>"2019-2306"</f>
        <v>2019-2306</v>
      </c>
      <c r="C7209" s="1" t="s">
        <v>3128</v>
      </c>
      <c r="D7209" s="1" t="s">
        <v>3129</v>
      </c>
      <c r="E7209" s="1" t="str">
        <f>""</f>
        <v/>
      </c>
      <c r="F7209" s="1" t="s">
        <v>1860</v>
      </c>
      <c r="G7209" s="1" t="str">
        <f>CONCATENATE(" GAŠO 11,"," D.O.O.,"," PAVLA TUKECA;CERJE 1,"," 10361 SESVETE-KRALJEVEC,"," OIB: 83896126737")</f>
        <v xml:space="preserve"> GAŠO 11, D.O.O., PAVLA TUKECA;CERJE 1, 10361 SESVETE-KRALJEVEC, OIB: 83896126737</v>
      </c>
      <c r="H7209" s="7"/>
      <c r="I7209" s="8" t="s">
        <v>4087</v>
      </c>
      <c r="J7209" s="8" t="s">
        <v>5410</v>
      </c>
      <c r="K7209" s="6" t="str">
        <f>"77.000,00"</f>
        <v>77.000,00</v>
      </c>
      <c r="L7209" s="6" t="str">
        <f>"19.250,00"</f>
        <v>19.250,00</v>
      </c>
      <c r="M7209" s="6" t="str">
        <f>"96.250,00"</f>
        <v>96.250,00</v>
      </c>
      <c r="N7209" s="8" t="s">
        <v>124</v>
      </c>
      <c r="O7209" s="7"/>
      <c r="P7209" s="2" t="s">
        <v>5614</v>
      </c>
      <c r="Q7209" s="7"/>
      <c r="R7209" s="1"/>
      <c r="S7209" s="1" t="str">
        <f>"J-UN-2019-4902"</f>
        <v>J-UN-2019-4902</v>
      </c>
      <c r="T7209" s="1" t="s">
        <v>32</v>
      </c>
    </row>
    <row r="7210" spans="1:20" ht="51" x14ac:dyDescent="0.25">
      <c r="A7210" s="6">
        <v>7181</v>
      </c>
      <c r="B7210" s="1" t="str">
        <f>"2019-1304"</f>
        <v>2019-1304</v>
      </c>
      <c r="C7210" s="1" t="s">
        <v>2923</v>
      </c>
      <c r="D7210" s="1" t="s">
        <v>2924</v>
      </c>
      <c r="E7210" s="1" t="str">
        <f>""</f>
        <v/>
      </c>
      <c r="F7210" s="1" t="s">
        <v>1860</v>
      </c>
      <c r="G7210" s="1" t="str">
        <f>CONCATENATE(" ECOINA D.O.O.,"," SR NJEMAČKE 10,"," 10000 ZAGREB,"," OIB: 98219968247")</f>
        <v xml:space="preserve"> ECOINA D.O.O., SR NJEMAČKE 10, 10000 ZAGREB, OIB: 98219968247</v>
      </c>
      <c r="H7210" s="7"/>
      <c r="I7210" s="8" t="s">
        <v>5454</v>
      </c>
      <c r="J7210" s="8" t="s">
        <v>5455</v>
      </c>
      <c r="K7210" s="6" t="str">
        <f>"124.800,00"</f>
        <v>124.800,00</v>
      </c>
      <c r="L7210" s="6" t="str">
        <f>"31.200,00"</f>
        <v>31.200,00</v>
      </c>
      <c r="M7210" s="6" t="str">
        <f>"156.000,00"</f>
        <v>156.000,00</v>
      </c>
      <c r="N7210" s="8" t="s">
        <v>5456</v>
      </c>
      <c r="O7210" s="7"/>
      <c r="P7210" s="2" t="s">
        <v>9070</v>
      </c>
      <c r="Q7210" s="7"/>
      <c r="R7210" s="1"/>
      <c r="S7210" s="1" t="str">
        <f>"J-UN-2019-4914"</f>
        <v>J-UN-2019-4914</v>
      </c>
      <c r="T7210" s="1" t="s">
        <v>32</v>
      </c>
    </row>
    <row r="7211" spans="1:20" ht="51" x14ac:dyDescent="0.25">
      <c r="A7211" s="6">
        <v>7182</v>
      </c>
      <c r="B7211" s="1" t="str">
        <f>"2019-850"</f>
        <v>2019-850</v>
      </c>
      <c r="C7211" s="1" t="s">
        <v>2844</v>
      </c>
      <c r="D7211" s="1" t="s">
        <v>2716</v>
      </c>
      <c r="E7211" s="1" t="str">
        <f>""</f>
        <v/>
      </c>
      <c r="F7211" s="1" t="s">
        <v>1860</v>
      </c>
      <c r="G7211" s="1" t="str">
        <f>CONCATENATE(" LAGER BAŠIĆ D.O.O.,"," TRGOVAČKA 3,"," 10255 DONJI STUPNIK,"," OIB: 49617677906")</f>
        <v xml:space="preserve"> LAGER BAŠIĆ D.O.O., TRGOVAČKA 3, 10255 DONJI STUPNIK, OIB: 49617677906</v>
      </c>
      <c r="H7211" s="7"/>
      <c r="I7211" s="8" t="s">
        <v>5449</v>
      </c>
      <c r="J7211" s="8" t="s">
        <v>4258</v>
      </c>
      <c r="K7211" s="6" t="str">
        <f>"6.973,00"</f>
        <v>6.973,00</v>
      </c>
      <c r="L7211" s="6" t="str">
        <f>"1.743,25"</f>
        <v>1.743,25</v>
      </c>
      <c r="M7211" s="6" t="str">
        <f>"8.716,25"</f>
        <v>8.716,25</v>
      </c>
      <c r="N7211" s="8" t="s">
        <v>3871</v>
      </c>
      <c r="O7211" s="7"/>
      <c r="P7211" s="2" t="s">
        <v>6519</v>
      </c>
      <c r="Q7211" s="7"/>
      <c r="R7211" s="1"/>
      <c r="S7211" s="1" t="str">
        <f>"J-UN-2019-4915"</f>
        <v>J-UN-2019-4915</v>
      </c>
      <c r="T7211" s="1" t="s">
        <v>32</v>
      </c>
    </row>
    <row r="7212" spans="1:20" ht="102" x14ac:dyDescent="0.25">
      <c r="A7212" s="6">
        <v>7183</v>
      </c>
      <c r="B7212" s="1" t="str">
        <f>"2019-2715"</f>
        <v>2019-2715</v>
      </c>
      <c r="C7212" s="1" t="s">
        <v>5435</v>
      </c>
      <c r="D7212" s="1" t="s">
        <v>5426</v>
      </c>
      <c r="E7212" s="1" t="str">
        <f>""</f>
        <v/>
      </c>
      <c r="F7212" s="1" t="s">
        <v>1860</v>
      </c>
      <c r="G7212" s="1" t="str">
        <f>CONCATENATE(" KSU D.O.O.,"," DR. JURJA DOBRILE 50,"," 10410 VELIKA GORICA,"," OIB: 349769936")</f>
        <v xml:space="preserve"> KSU D.O.O., DR. JURJA DOBRILE 50, 10410 VELIKA GORICA, OIB: 349769936</v>
      </c>
      <c r="H7212" s="7"/>
      <c r="I7212" s="8" t="s">
        <v>5454</v>
      </c>
      <c r="J7212" s="8" t="s">
        <v>705</v>
      </c>
      <c r="K7212" s="6" t="str">
        <f>"11.500,00"</f>
        <v>11.500,00</v>
      </c>
      <c r="L7212" s="6" t="str">
        <f>"2.875,00"</f>
        <v>2.875,00</v>
      </c>
      <c r="M7212" s="6" t="str">
        <f>"14.375,00"</f>
        <v>14.375,00</v>
      </c>
      <c r="N7212" s="8" t="s">
        <v>4915</v>
      </c>
      <c r="O7212" s="7"/>
      <c r="P7212" s="2" t="s">
        <v>9071</v>
      </c>
      <c r="Q7212" s="7"/>
      <c r="R7212" s="1"/>
      <c r="S7212" s="1" t="str">
        <f>"J-UN-2019-4917"</f>
        <v>J-UN-2019-4917</v>
      </c>
      <c r="T7212" s="1" t="s">
        <v>32</v>
      </c>
    </row>
    <row r="7213" spans="1:20" ht="51" x14ac:dyDescent="0.25">
      <c r="A7213" s="6">
        <v>7184</v>
      </c>
      <c r="B7213" s="1" t="str">
        <f>"2019-850"</f>
        <v>2019-850</v>
      </c>
      <c r="C7213" s="1" t="s">
        <v>2844</v>
      </c>
      <c r="D7213" s="1" t="s">
        <v>2716</v>
      </c>
      <c r="E7213" s="1" t="str">
        <f>""</f>
        <v/>
      </c>
      <c r="F7213" s="1" t="s">
        <v>1860</v>
      </c>
      <c r="G7213" s="1" t="str">
        <f>CONCATENATE(" AUTO ARBANAS D.O.O.,"," SISAČKA 45,"," 10410 VELIKA GORICA,"," OIB: 98352441242")</f>
        <v xml:space="preserve"> AUTO ARBANAS D.O.O., SISAČKA 45, 10410 VELIKA GORICA, OIB: 98352441242</v>
      </c>
      <c r="H7213" s="7"/>
      <c r="I7213" s="8" t="s">
        <v>5450</v>
      </c>
      <c r="J7213" s="8" t="s">
        <v>4258</v>
      </c>
      <c r="K7213" s="6" t="str">
        <f>"5.728,01"</f>
        <v>5.728,01</v>
      </c>
      <c r="L7213" s="6" t="str">
        <f>"1.432,00"</f>
        <v>1.432,00</v>
      </c>
      <c r="M7213" s="6" t="str">
        <f>"7.160,01"</f>
        <v>7.160,01</v>
      </c>
      <c r="N7213" s="8" t="s">
        <v>4045</v>
      </c>
      <c r="O7213" s="7"/>
      <c r="P7213" s="2" t="s">
        <v>9072</v>
      </c>
      <c r="Q7213" s="7"/>
      <c r="R7213" s="1"/>
      <c r="S7213" s="1" t="str">
        <f>"J-UN-2019-4918"</f>
        <v>J-UN-2019-4918</v>
      </c>
      <c r="T7213" s="1" t="s">
        <v>32</v>
      </c>
    </row>
    <row r="7214" spans="1:20" ht="63.75" x14ac:dyDescent="0.25">
      <c r="A7214" s="6">
        <v>7185</v>
      </c>
      <c r="B7214" s="1" t="str">
        <f>"2019-2020"</f>
        <v>2019-2020</v>
      </c>
      <c r="C7214" s="1" t="s">
        <v>2790</v>
      </c>
      <c r="D7214" s="1" t="s">
        <v>2791</v>
      </c>
      <c r="E7214" s="1" t="str">
        <f>""</f>
        <v/>
      </c>
      <c r="F7214" s="1" t="s">
        <v>1860</v>
      </c>
      <c r="G7214" s="1" t="str">
        <f>CONCATENATE(" ELEKTRO-KOMUNIKACIJE D.O.O.,"," 14. PODBREŽJE 4,"," 10000 ZAGREB,"," OIB: 76412373309")</f>
        <v xml:space="preserve"> ELEKTRO-KOMUNIKACIJE D.O.O., 14. PODBREŽJE 4, 10000 ZAGREB, OIB: 76412373309</v>
      </c>
      <c r="H7214" s="7"/>
      <c r="I7214" s="8" t="s">
        <v>591</v>
      </c>
      <c r="J7214" s="8" t="s">
        <v>5457</v>
      </c>
      <c r="K7214" s="6" t="str">
        <f>"890,00"</f>
        <v>890,00</v>
      </c>
      <c r="L7214" s="6" t="str">
        <f>"222,50"</f>
        <v>222,50</v>
      </c>
      <c r="M7214" s="6" t="str">
        <f>"1.112,50"</f>
        <v>1.112,50</v>
      </c>
      <c r="N7214" s="8" t="s">
        <v>4120</v>
      </c>
      <c r="O7214" s="7"/>
      <c r="P7214" s="2" t="s">
        <v>9073</v>
      </c>
      <c r="Q7214" s="7"/>
      <c r="R7214" s="1"/>
      <c r="S7214" s="1" t="str">
        <f>"J-UN-2019-4945"</f>
        <v>J-UN-2019-4945</v>
      </c>
      <c r="T7214" s="1" t="s">
        <v>32</v>
      </c>
    </row>
    <row r="7215" spans="1:20" ht="51" x14ac:dyDescent="0.25">
      <c r="A7215" s="6">
        <v>7186</v>
      </c>
      <c r="B7215" s="1" t="str">
        <f>"2019-757"</f>
        <v>2019-757</v>
      </c>
      <c r="C7215" s="1" t="s">
        <v>3085</v>
      </c>
      <c r="D7215" s="1" t="s">
        <v>2549</v>
      </c>
      <c r="E7215" s="1" t="str">
        <f>""</f>
        <v/>
      </c>
      <c r="F7215" s="1" t="s">
        <v>1860</v>
      </c>
      <c r="G7215" s="1" t="str">
        <f>CONCATENATE(" AD HOC-CENTAR D.O.O.,"," DRAŠKOVIĆEVA 4A,"," 10000 ZAGREB,"," OIB: 75132412279")</f>
        <v xml:space="preserve"> AD HOC-CENTAR D.O.O., DRAŠKOVIĆEVA 4A, 10000 ZAGREB, OIB: 75132412279</v>
      </c>
      <c r="H7215" s="7"/>
      <c r="I7215" s="8" t="s">
        <v>5450</v>
      </c>
      <c r="J7215" s="8" t="s">
        <v>4258</v>
      </c>
      <c r="K7215" s="6" t="str">
        <f>"4.420,00"</f>
        <v>4.420,00</v>
      </c>
      <c r="L7215" s="6" t="str">
        <f>"1.105,00"</f>
        <v>1.105,00</v>
      </c>
      <c r="M7215" s="6" t="str">
        <f>"5.525,00"</f>
        <v>5.525,00</v>
      </c>
      <c r="N7215" s="8" t="s">
        <v>1990</v>
      </c>
      <c r="O7215" s="7"/>
      <c r="P7215" s="2" t="s">
        <v>9074</v>
      </c>
      <c r="Q7215" s="7"/>
      <c r="R7215" s="1"/>
      <c r="S7215" s="1" t="str">
        <f>"J-UN-2019-4951"</f>
        <v>J-UN-2019-4951</v>
      </c>
      <c r="T7215" s="1" t="s">
        <v>32</v>
      </c>
    </row>
    <row r="7216" spans="1:20" ht="63.75" x14ac:dyDescent="0.25">
      <c r="A7216" s="6">
        <v>7187</v>
      </c>
      <c r="B7216" s="1" t="str">
        <f>"2019-2253"</f>
        <v>2019-2253</v>
      </c>
      <c r="C7216" s="1" t="s">
        <v>5236</v>
      </c>
      <c r="D7216" s="1" t="s">
        <v>1859</v>
      </c>
      <c r="E7216" s="1" t="str">
        <f>""</f>
        <v/>
      </c>
      <c r="F7216" s="1" t="s">
        <v>1860</v>
      </c>
      <c r="G7216" s="1" t="str">
        <f>CONCATENATE(" PROJEKT JEDNAKO RAZVOJ D.O.O.,"," PETROVARADINSKA 1,"," 10000 ZAGREB,"," OIB: 0957509993")</f>
        <v xml:space="preserve"> PROJEKT JEDNAKO RAZVOJ D.O.O., PETROVARADINSKA 1, 10000 ZAGREB, OIB: 0957509993</v>
      </c>
      <c r="H7216" s="7"/>
      <c r="I7216" s="8" t="s">
        <v>4290</v>
      </c>
      <c r="J7216" s="8" t="s">
        <v>5436</v>
      </c>
      <c r="K7216" s="6" t="str">
        <f>"3.840,00"</f>
        <v>3.840,00</v>
      </c>
      <c r="L7216" s="6" t="str">
        <f>"960,00"</f>
        <v>960,00</v>
      </c>
      <c r="M7216" s="6" t="str">
        <f>"4.800,00"</f>
        <v>4.800,00</v>
      </c>
      <c r="N7216" s="8" t="s">
        <v>124</v>
      </c>
      <c r="O7216" s="7"/>
      <c r="P7216" s="2" t="s">
        <v>5614</v>
      </c>
      <c r="Q7216" s="7"/>
      <c r="R7216" s="1"/>
      <c r="S7216" s="1" t="str">
        <f>"J-UN-2019-4963"</f>
        <v>J-UN-2019-4963</v>
      </c>
      <c r="T7216" s="1" t="s">
        <v>32</v>
      </c>
    </row>
    <row r="7217" spans="1:20" ht="63.75" x14ac:dyDescent="0.25">
      <c r="A7217" s="6">
        <v>7188</v>
      </c>
      <c r="B7217" s="1" t="str">
        <f>"2019-2604"</f>
        <v>2019-2604</v>
      </c>
      <c r="C7217" s="1" t="s">
        <v>266</v>
      </c>
      <c r="D7217" s="1" t="s">
        <v>267</v>
      </c>
      <c r="E7217" s="1" t="str">
        <f>""</f>
        <v/>
      </c>
      <c r="F7217" s="1" t="s">
        <v>1860</v>
      </c>
      <c r="G7217" s="1" t="str">
        <f>CONCATENATE(" OTIS DIZALA D.O.O.,"," PRILAZ VLADISLAVA BRAJKOVIĆA 15,"," 10000 ZAGREB,"," OIB: 76080865307")</f>
        <v xml:space="preserve"> OTIS DIZALA D.O.O., PRILAZ VLADISLAVA BRAJKOVIĆA 15, 10000 ZAGREB, OIB: 76080865307</v>
      </c>
      <c r="H7217" s="7"/>
      <c r="I7217" s="8" t="s">
        <v>5457</v>
      </c>
      <c r="J7217" s="8" t="s">
        <v>1990</v>
      </c>
      <c r="K7217" s="6" t="str">
        <f>"3.600,00"</f>
        <v>3.600,00</v>
      </c>
      <c r="L7217" s="6" t="str">
        <f>"900,00"</f>
        <v>900,00</v>
      </c>
      <c r="M7217" s="6" t="str">
        <f>"4.500,00"</f>
        <v>4.500,00</v>
      </c>
      <c r="N7217" s="8" t="s">
        <v>124</v>
      </c>
      <c r="O7217" s="7"/>
      <c r="P7217" s="2" t="s">
        <v>5614</v>
      </c>
      <c r="Q7217" s="7"/>
      <c r="R7217" s="1"/>
      <c r="S7217" s="1" t="str">
        <f>"J-UN-2019-4985"</f>
        <v>J-UN-2019-4985</v>
      </c>
      <c r="T7217" s="1" t="s">
        <v>32</v>
      </c>
    </row>
    <row r="7218" spans="1:20" ht="63.75" x14ac:dyDescent="0.25">
      <c r="A7218" s="6">
        <v>7189</v>
      </c>
      <c r="B7218" s="1" t="str">
        <f>"2019-1340"</f>
        <v>2019-1340</v>
      </c>
      <c r="C7218" s="1" t="s">
        <v>2702</v>
      </c>
      <c r="D7218" s="1" t="s">
        <v>1209</v>
      </c>
      <c r="E7218" s="1" t="str">
        <f>""</f>
        <v/>
      </c>
      <c r="F7218" s="1" t="s">
        <v>1860</v>
      </c>
      <c r="G7218" s="1" t="str">
        <f>CONCATENATE(" DRÄGER SAFETY D.O.O.,"," AVENIJA VEĆESLAVA HOLJEVCA 40,"," 10010 ZAGREB,"," OIB: 32874587842")</f>
        <v xml:space="preserve"> DRÄGER SAFETY D.O.O., AVENIJA VEĆESLAVA HOLJEVCA 40, 10010 ZAGREB, OIB: 32874587842</v>
      </c>
      <c r="H7218" s="7"/>
      <c r="I7218" s="8" t="s">
        <v>4290</v>
      </c>
      <c r="J7218" s="8" t="s">
        <v>5436</v>
      </c>
      <c r="K7218" s="6" t="str">
        <f>"1.102,50"</f>
        <v>1.102,50</v>
      </c>
      <c r="L7218" s="6" t="str">
        <f>"275,62"</f>
        <v>275,62</v>
      </c>
      <c r="M7218" s="6" t="str">
        <f>"1.378,12"</f>
        <v>1.378,12</v>
      </c>
      <c r="N7218" s="8" t="s">
        <v>124</v>
      </c>
      <c r="O7218" s="7"/>
      <c r="P7218" s="2" t="s">
        <v>5614</v>
      </c>
      <c r="Q7218" s="7"/>
      <c r="R7218" s="1"/>
      <c r="S7218" s="1" t="str">
        <f>"J-UN-2019-4986"</f>
        <v>J-UN-2019-4986</v>
      </c>
      <c r="T7218" s="1" t="s">
        <v>32</v>
      </c>
    </row>
    <row r="7219" spans="1:20" ht="63.75" x14ac:dyDescent="0.25">
      <c r="A7219" s="6">
        <v>7190</v>
      </c>
      <c r="B7219" s="1" t="str">
        <f>"2019-358"</f>
        <v>2019-358</v>
      </c>
      <c r="C7219" s="1" t="s">
        <v>2677</v>
      </c>
      <c r="D7219" s="1" t="s">
        <v>2678</v>
      </c>
      <c r="E7219" s="1" t="str">
        <f>""</f>
        <v/>
      </c>
      <c r="F7219" s="1" t="s">
        <v>1860</v>
      </c>
      <c r="G7219" s="1" t="str">
        <f>CONCATENATE(" GRADSKA LJEKARNA ZAGREB,"," KRALJA DRŽISLAVA 6,"," 10000 ZAGREB,"," OIB: 37268254106")</f>
        <v xml:space="preserve"> GRADSKA LJEKARNA ZAGREB, KRALJA DRŽISLAVA 6, 10000 ZAGREB, OIB: 37268254106</v>
      </c>
      <c r="H7219" s="7"/>
      <c r="I7219" s="8" t="s">
        <v>5457</v>
      </c>
      <c r="J7219" s="8" t="s">
        <v>1990</v>
      </c>
      <c r="K7219" s="6" t="str">
        <f>"3.908,40"</f>
        <v>3.908,40</v>
      </c>
      <c r="L7219" s="6" t="str">
        <f>"977,10"</f>
        <v>977,10</v>
      </c>
      <c r="M7219" s="6" t="str">
        <f>"4.885,50"</f>
        <v>4.885,50</v>
      </c>
      <c r="N7219" s="8" t="s">
        <v>4098</v>
      </c>
      <c r="O7219" s="7"/>
      <c r="P7219" s="2" t="s">
        <v>9075</v>
      </c>
      <c r="Q7219" s="7"/>
      <c r="R7219" s="1"/>
      <c r="S7219" s="1" t="str">
        <f>"J-UN-2019-4989"</f>
        <v>J-UN-2019-4989</v>
      </c>
      <c r="T7219" s="1" t="s">
        <v>32</v>
      </c>
    </row>
    <row r="7220" spans="1:20" ht="51" x14ac:dyDescent="0.25">
      <c r="A7220" s="6">
        <v>7191</v>
      </c>
      <c r="B7220" s="1" t="str">
        <f>"2019-497"</f>
        <v>2019-497</v>
      </c>
      <c r="C7220" s="1" t="s">
        <v>5232</v>
      </c>
      <c r="D7220" s="1" t="s">
        <v>1619</v>
      </c>
      <c r="E7220" s="1" t="str">
        <f>""</f>
        <v/>
      </c>
      <c r="F7220" s="1" t="s">
        <v>1860</v>
      </c>
      <c r="G7220" s="1" t="str">
        <f>CONCATENATE(" MESSIS D.O.O.,"," FROUDEOVA 7,"," 10000 ZAGREB,"," OIB: 32087382809")</f>
        <v xml:space="preserve"> MESSIS D.O.O., FROUDEOVA 7, 10000 ZAGREB, OIB: 32087382809</v>
      </c>
      <c r="H7220" s="7"/>
      <c r="I7220" s="8" t="s">
        <v>1990</v>
      </c>
      <c r="J7220" s="8" t="s">
        <v>4303</v>
      </c>
      <c r="K7220" s="6" t="str">
        <f>"1.831,75"</f>
        <v>1.831,75</v>
      </c>
      <c r="L7220" s="6" t="str">
        <f>"457,94"</f>
        <v>457,94</v>
      </c>
      <c r="M7220" s="6" t="str">
        <f>"2.289,69"</f>
        <v>2.289,69</v>
      </c>
      <c r="N7220" s="8" t="s">
        <v>5107</v>
      </c>
      <c r="O7220" s="7"/>
      <c r="P7220" s="2" t="s">
        <v>9076</v>
      </c>
      <c r="Q7220" s="7"/>
      <c r="R7220" s="1"/>
      <c r="S7220" s="1" t="str">
        <f>"J-UN-2019-5057"</f>
        <v>J-UN-2019-5057</v>
      </c>
      <c r="T7220" s="1" t="s">
        <v>32</v>
      </c>
    </row>
    <row r="7221" spans="1:20" ht="63.75" x14ac:dyDescent="0.25">
      <c r="A7221" s="6">
        <v>7192</v>
      </c>
      <c r="B7221" s="1" t="str">
        <f>"2019-2313"</f>
        <v>2019-2313</v>
      </c>
      <c r="C7221" s="1" t="s">
        <v>2699</v>
      </c>
      <c r="D7221" s="1" t="s">
        <v>1888</v>
      </c>
      <c r="E7221" s="1" t="str">
        <f>""</f>
        <v/>
      </c>
      <c r="F7221" s="1" t="s">
        <v>1860</v>
      </c>
      <c r="G7221" s="1" t="str">
        <f>CONCATENATE(" STAHLGRUBER D.O.O.,"," KERESTINEC,"," PROSINAČKA 14,"," 10431 SVETA NEDELJA,"," OIB: 49935301915")</f>
        <v xml:space="preserve"> STAHLGRUBER D.O.O., KERESTINEC, PROSINAČKA 14, 10431 SVETA NEDELJA, OIB: 49935301915</v>
      </c>
      <c r="H7221" s="7"/>
      <c r="I7221" s="8" t="s">
        <v>4298</v>
      </c>
      <c r="J7221" s="8" t="s">
        <v>5454</v>
      </c>
      <c r="K7221" s="6" t="str">
        <f>"1.895,77"</f>
        <v>1.895,77</v>
      </c>
      <c r="L7221" s="6" t="str">
        <f>"473,94"</f>
        <v>473,94</v>
      </c>
      <c r="M7221" s="6" t="str">
        <f>"2.369,71"</f>
        <v>2.369,71</v>
      </c>
      <c r="N7221" s="8" t="s">
        <v>124</v>
      </c>
      <c r="O7221" s="7"/>
      <c r="P7221" s="2" t="s">
        <v>5614</v>
      </c>
      <c r="Q7221" s="7"/>
      <c r="R7221" s="1"/>
      <c r="S7221" s="1" t="str">
        <f>"J-UN-2019-5058"</f>
        <v>J-UN-2019-5058</v>
      </c>
      <c r="T7221" s="1" t="s">
        <v>32</v>
      </c>
    </row>
    <row r="7222" spans="1:20" ht="51" x14ac:dyDescent="0.25">
      <c r="A7222" s="6">
        <v>7193</v>
      </c>
      <c r="B7222" s="1" t="str">
        <f>"2019-12"</f>
        <v>2019-12</v>
      </c>
      <c r="C7222" s="1" t="s">
        <v>2711</v>
      </c>
      <c r="D7222" s="1" t="s">
        <v>1914</v>
      </c>
      <c r="E7222" s="1" t="str">
        <f>""</f>
        <v/>
      </c>
      <c r="F7222" s="1" t="s">
        <v>1860</v>
      </c>
      <c r="G7222" s="1" t="str">
        <f>CONCATENATE(" KEDO D.O.O.,"," ZAGREBAČKA 134,"," 10000 ZAGREB,"," OIB: 31707617036")</f>
        <v xml:space="preserve"> KEDO D.O.O., ZAGREBAČKA 134, 10000 ZAGREB, OIB: 31707617036</v>
      </c>
      <c r="H7222" s="7"/>
      <c r="I7222" s="8" t="s">
        <v>576</v>
      </c>
      <c r="J7222" s="8" t="s">
        <v>5458</v>
      </c>
      <c r="K7222" s="6" t="str">
        <f>"255,56"</f>
        <v>255,56</v>
      </c>
      <c r="L7222" s="6" t="str">
        <f>"63,89"</f>
        <v>63,89</v>
      </c>
      <c r="M7222" s="6" t="str">
        <f>"319,45"</f>
        <v>319,45</v>
      </c>
      <c r="N7222" s="8" t="s">
        <v>591</v>
      </c>
      <c r="O7222" s="7"/>
      <c r="P7222" s="2" t="s">
        <v>9077</v>
      </c>
      <c r="Q7222" s="7"/>
      <c r="R7222" s="1"/>
      <c r="S7222" s="1" t="str">
        <f>"J-UN-2019-5083"</f>
        <v>J-UN-2019-5083</v>
      </c>
      <c r="T7222" s="1" t="s">
        <v>32</v>
      </c>
    </row>
    <row r="7223" spans="1:20" ht="51" x14ac:dyDescent="0.25">
      <c r="A7223" s="6">
        <v>7194</v>
      </c>
      <c r="B7223" s="1" t="str">
        <f>"2019-2727"</f>
        <v>2019-2727</v>
      </c>
      <c r="C7223" s="1" t="s">
        <v>2858</v>
      </c>
      <c r="D7223" s="1" t="s">
        <v>1863</v>
      </c>
      <c r="E7223" s="1" t="str">
        <f>""</f>
        <v/>
      </c>
      <c r="F7223" s="1" t="s">
        <v>1860</v>
      </c>
      <c r="G7223" s="1" t="str">
        <f>CONCATENATE(" DOMEL D.O.O.,"," AVENIJA DUBROVNIK 15,"," 10020 ZAGREB,"," OIB: 642488577")</f>
        <v xml:space="preserve"> DOMEL D.O.O., AVENIJA DUBROVNIK 15, 10020 ZAGREB, OIB: 642488577</v>
      </c>
      <c r="H7223" s="7"/>
      <c r="I7223" s="8" t="s">
        <v>4294</v>
      </c>
      <c r="J7223" s="8" t="s">
        <v>4098</v>
      </c>
      <c r="K7223" s="6" t="str">
        <f>"69.970,00"</f>
        <v>69.970,00</v>
      </c>
      <c r="L7223" s="6" t="str">
        <f>"17.492,50"</f>
        <v>17.492,50</v>
      </c>
      <c r="M7223" s="6" t="str">
        <f>"87.462,50"</f>
        <v>87.462,50</v>
      </c>
      <c r="N7223" s="8" t="s">
        <v>666</v>
      </c>
      <c r="O7223" s="7"/>
      <c r="P7223" s="2" t="s">
        <v>9078</v>
      </c>
      <c r="Q7223" s="7"/>
      <c r="R7223" s="1"/>
      <c r="S7223" s="1" t="str">
        <f>"J-UN-2019-5088"</f>
        <v>J-UN-2019-5088</v>
      </c>
      <c r="T7223" s="1" t="s">
        <v>32</v>
      </c>
    </row>
    <row r="7224" spans="1:20" ht="76.5" x14ac:dyDescent="0.25">
      <c r="A7224" s="6">
        <v>7195</v>
      </c>
      <c r="B7224" s="1" t="str">
        <f>"2019-2229"</f>
        <v>2019-2229</v>
      </c>
      <c r="C7224" s="1" t="s">
        <v>2405</v>
      </c>
      <c r="D7224" s="1" t="s">
        <v>880</v>
      </c>
      <c r="E7224" s="1" t="str">
        <f>""</f>
        <v/>
      </c>
      <c r="F7224" s="1" t="s">
        <v>1860</v>
      </c>
      <c r="G7224" s="1" t="str">
        <f>CONCATENATE(" NASTAVNI ZAVOD ZA JAVNO ZDRAVSTVO DR. ANDRIJA ŠTAMPAR,"," MIROGOJSKA CESTA 16,"," 10000 ZAGREB,"," OIB: 3339200596")</f>
        <v xml:space="preserve"> NASTAVNI ZAVOD ZA JAVNO ZDRAVSTVO DR. ANDRIJA ŠTAMPAR, MIROGOJSKA CESTA 16, 10000 ZAGREB, OIB: 3339200596</v>
      </c>
      <c r="H7224" s="7"/>
      <c r="I7224" s="8" t="s">
        <v>576</v>
      </c>
      <c r="J7224" s="8" t="s">
        <v>5458</v>
      </c>
      <c r="K7224" s="6" t="str">
        <f>"11.580,00"</f>
        <v>11.580,00</v>
      </c>
      <c r="L7224" s="6" t="str">
        <f>"2.895,00"</f>
        <v>2.895,00</v>
      </c>
      <c r="M7224" s="6" t="str">
        <f>"14.475,00"</f>
        <v>14.475,00</v>
      </c>
      <c r="N7224" s="8" t="s">
        <v>4152</v>
      </c>
      <c r="O7224" s="7"/>
      <c r="P7224" s="2" t="s">
        <v>9079</v>
      </c>
      <c r="Q7224" s="7"/>
      <c r="R7224" s="1"/>
      <c r="S7224" s="1" t="str">
        <f>"J-UN-2019-5104"</f>
        <v>J-UN-2019-5104</v>
      </c>
      <c r="T7224" s="1" t="s">
        <v>32</v>
      </c>
    </row>
    <row r="7225" spans="1:20" ht="63.75" x14ac:dyDescent="0.25">
      <c r="A7225" s="6">
        <v>7196</v>
      </c>
      <c r="B7225" s="1" t="str">
        <f>"2019-1083"</f>
        <v>2019-1083</v>
      </c>
      <c r="C7225" s="1" t="s">
        <v>2989</v>
      </c>
      <c r="D7225" s="1" t="s">
        <v>2990</v>
      </c>
      <c r="E7225" s="1" t="str">
        <f>""</f>
        <v/>
      </c>
      <c r="F7225" s="1" t="s">
        <v>1860</v>
      </c>
      <c r="G7225" s="1" t="str">
        <f>CONCATENATE(" LANIŠTE D.O.O.,"," ALEXANDERA VON HUMBOLDTA 4B,"," 10000 ZAGREB,"," OIB: 3755384865")</f>
        <v xml:space="preserve"> LANIŠTE D.O.O., ALEXANDERA VON HUMBOLDTA 4B, 10000 ZAGREB, OIB: 3755384865</v>
      </c>
      <c r="H7225" s="7"/>
      <c r="I7225" s="8" t="s">
        <v>1990</v>
      </c>
      <c r="J7225" s="8" t="s">
        <v>4303</v>
      </c>
      <c r="K7225" s="6" t="str">
        <f>"3.636,00"</f>
        <v>3.636,00</v>
      </c>
      <c r="L7225" s="6" t="str">
        <f>"909,00"</f>
        <v>909,00</v>
      </c>
      <c r="M7225" s="6" t="str">
        <f>"4.545,00"</f>
        <v>4.545,00</v>
      </c>
      <c r="N7225" s="8" t="s">
        <v>5454</v>
      </c>
      <c r="O7225" s="7"/>
      <c r="P7225" s="2" t="s">
        <v>7918</v>
      </c>
      <c r="Q7225" s="7"/>
      <c r="R7225" s="1"/>
      <c r="S7225" s="1" t="str">
        <f>"J-UN-2019-5116"</f>
        <v>J-UN-2019-5116</v>
      </c>
      <c r="T7225" s="1" t="s">
        <v>32</v>
      </c>
    </row>
    <row r="7226" spans="1:20" ht="63.75" x14ac:dyDescent="0.25">
      <c r="A7226" s="6">
        <v>7197</v>
      </c>
      <c r="B7226" s="1" t="str">
        <f>"2019-1229"</f>
        <v>2019-1229</v>
      </c>
      <c r="C7226" s="1" t="s">
        <v>2987</v>
      </c>
      <c r="D7226" s="1" t="s">
        <v>2988</v>
      </c>
      <c r="E7226" s="1" t="str">
        <f>""</f>
        <v/>
      </c>
      <c r="F7226" s="1" t="s">
        <v>1860</v>
      </c>
      <c r="G7226" s="1" t="str">
        <f>CONCATENATE(" LANIŠTE D.O.O.,"," ALEXANDERA VON HUMBOLDTA 4B,"," 10000 ZAGREB,"," OIB: 3755384865")</f>
        <v xml:space="preserve"> LANIŠTE D.O.O., ALEXANDERA VON HUMBOLDTA 4B, 10000 ZAGREB, OIB: 3755384865</v>
      </c>
      <c r="H7226" s="7"/>
      <c r="I7226" s="8" t="s">
        <v>1990</v>
      </c>
      <c r="J7226" s="8" t="s">
        <v>4303</v>
      </c>
      <c r="K7226" s="6" t="str">
        <f>"4.032,00"</f>
        <v>4.032,00</v>
      </c>
      <c r="L7226" s="6" t="str">
        <f>"1.008,00"</f>
        <v>1.008,00</v>
      </c>
      <c r="M7226" s="6" t="str">
        <f>"5.040,00"</f>
        <v>5.040,00</v>
      </c>
      <c r="N7226" s="8" t="s">
        <v>5454</v>
      </c>
      <c r="O7226" s="7"/>
      <c r="P7226" s="2" t="s">
        <v>7917</v>
      </c>
      <c r="Q7226" s="7"/>
      <c r="R7226" s="1"/>
      <c r="S7226" s="1" t="str">
        <f>"J-UN-2019-5117"</f>
        <v>J-UN-2019-5117</v>
      </c>
      <c r="T7226" s="1" t="s">
        <v>32</v>
      </c>
    </row>
    <row r="7227" spans="1:20" ht="51" x14ac:dyDescent="0.25">
      <c r="A7227" s="6">
        <v>7198</v>
      </c>
      <c r="B7227" s="1" t="str">
        <f>"2019-12"</f>
        <v>2019-12</v>
      </c>
      <c r="C7227" s="1" t="s">
        <v>2711</v>
      </c>
      <c r="D7227" s="1" t="s">
        <v>1914</v>
      </c>
      <c r="E7227" s="1" t="str">
        <f>""</f>
        <v/>
      </c>
      <c r="F7227" s="1" t="s">
        <v>1860</v>
      </c>
      <c r="G7227" s="1" t="str">
        <f>CONCATENATE(" KEDO D.O.O.,"," ZAGREBAČKA 134,"," 10000 ZAGREB,"," OIB: 31707617036")</f>
        <v xml:space="preserve"> KEDO D.O.O., ZAGREBAČKA 134, 10000 ZAGREB, OIB: 31707617036</v>
      </c>
      <c r="H7227" s="7"/>
      <c r="I7227" s="8" t="s">
        <v>1990</v>
      </c>
      <c r="J7227" s="8" t="s">
        <v>4303</v>
      </c>
      <c r="K7227" s="6" t="str">
        <f>"503,68"</f>
        <v>503,68</v>
      </c>
      <c r="L7227" s="6" t="str">
        <f>"125,92"</f>
        <v>125,92</v>
      </c>
      <c r="M7227" s="6" t="str">
        <f>"629,60"</f>
        <v>629,60</v>
      </c>
      <c r="N7227" s="8" t="s">
        <v>591</v>
      </c>
      <c r="O7227" s="7"/>
      <c r="P7227" s="2" t="s">
        <v>9077</v>
      </c>
      <c r="Q7227" s="7"/>
      <c r="R7227" s="1"/>
      <c r="S7227" s="1" t="str">
        <f>"J-UN-2019-5126"</f>
        <v>J-UN-2019-5126</v>
      </c>
      <c r="T7227" s="1" t="s">
        <v>32</v>
      </c>
    </row>
    <row r="7228" spans="1:20" ht="63.75" x14ac:dyDescent="0.25">
      <c r="A7228" s="6">
        <v>7199</v>
      </c>
      <c r="B7228" s="1" t="str">
        <f>"2019-12"</f>
        <v>2019-12</v>
      </c>
      <c r="C7228" s="1" t="s">
        <v>2711</v>
      </c>
      <c r="D7228" s="1" t="s">
        <v>1914</v>
      </c>
      <c r="E7228" s="1" t="str">
        <f>""</f>
        <v/>
      </c>
      <c r="F7228" s="1" t="s">
        <v>1860</v>
      </c>
      <c r="G7228" s="1" t="str">
        <f>CONCATENATE(" VELEKEM D.D.,"," UL.KNEZA LJUDEVITA POSAVSKOG 13,"," 10360 SESVETE,"," OIB: 62347407589")</f>
        <v xml:space="preserve"> VELEKEM D.D., UL.KNEZA LJUDEVITA POSAVSKOG 13, 10360 SESVETE, OIB: 62347407589</v>
      </c>
      <c r="H7228" s="7"/>
      <c r="I7228" s="8" t="s">
        <v>1990</v>
      </c>
      <c r="J7228" s="8" t="s">
        <v>4303</v>
      </c>
      <c r="K7228" s="6" t="str">
        <f>"5.784,20"</f>
        <v>5.784,20</v>
      </c>
      <c r="L7228" s="6" t="str">
        <f>"1.446,05"</f>
        <v>1.446,05</v>
      </c>
      <c r="M7228" s="6" t="str">
        <f>"7.230,25"</f>
        <v>7.230,25</v>
      </c>
      <c r="N7228" s="8" t="s">
        <v>124</v>
      </c>
      <c r="O7228" s="7"/>
      <c r="P7228" s="2" t="s">
        <v>5614</v>
      </c>
      <c r="Q7228" s="7"/>
      <c r="R7228" s="1"/>
      <c r="S7228" s="1" t="str">
        <f>"J-UN-2019-5127"</f>
        <v>J-UN-2019-5127</v>
      </c>
      <c r="T7228" s="1" t="s">
        <v>32</v>
      </c>
    </row>
    <row r="7229" spans="1:20" ht="51" x14ac:dyDescent="0.25">
      <c r="A7229" s="6">
        <v>7200</v>
      </c>
      <c r="B7229" s="1" t="str">
        <f>"2019-2778"</f>
        <v>2019-2778</v>
      </c>
      <c r="C7229" s="1" t="s">
        <v>5459</v>
      </c>
      <c r="D7229" s="1" t="s">
        <v>2362</v>
      </c>
      <c r="E7229" s="1" t="str">
        <f>""</f>
        <v/>
      </c>
      <c r="F7229" s="1" t="s">
        <v>1860</v>
      </c>
      <c r="G7229" s="1" t="str">
        <f>CONCATENATE(" KLIMA EXPERT D.O.O.,"," KARLOVAČKA CESTA 203A,"," 10250 LUČKO,"," OIB: 49766965594")</f>
        <v xml:space="preserve"> KLIMA EXPERT D.O.O., KARLOVAČKA CESTA 203A, 10250 LUČKO, OIB: 49766965594</v>
      </c>
      <c r="H7229" s="7"/>
      <c r="I7229" s="8" t="s">
        <v>4098</v>
      </c>
      <c r="J7229" s="8" t="s">
        <v>4628</v>
      </c>
      <c r="K7229" s="6" t="str">
        <f>"77.967,00"</f>
        <v>77.967,00</v>
      </c>
      <c r="L7229" s="6" t="str">
        <f>"19.491,75"</f>
        <v>19.491,75</v>
      </c>
      <c r="M7229" s="6" t="str">
        <f>"97.458,75"</f>
        <v>97.458,75</v>
      </c>
      <c r="N7229" s="8" t="s">
        <v>4052</v>
      </c>
      <c r="O7229" s="7"/>
      <c r="P7229" s="2" t="s">
        <v>9080</v>
      </c>
      <c r="Q7229" s="7"/>
      <c r="R7229" s="1"/>
      <c r="S7229" s="1" t="str">
        <f>"J-UN-2019-5144"</f>
        <v>J-UN-2019-5144</v>
      </c>
      <c r="T7229" s="1" t="s">
        <v>32</v>
      </c>
    </row>
    <row r="7230" spans="1:20" ht="63.75" x14ac:dyDescent="0.25">
      <c r="A7230" s="6">
        <v>7201</v>
      </c>
      <c r="B7230" s="1" t="str">
        <f>"2019-1897"</f>
        <v>2019-1897</v>
      </c>
      <c r="C7230" s="1" t="s">
        <v>5460</v>
      </c>
      <c r="D7230" s="1" t="s">
        <v>1150</v>
      </c>
      <c r="E7230" s="1" t="str">
        <f>""</f>
        <v/>
      </c>
      <c r="F7230" s="1" t="s">
        <v>1860</v>
      </c>
      <c r="G7230" s="1" t="str">
        <f>CONCATENATE(" VODOOPSKRBA I ODVODNJA D.O.O.,"," FOLNEGOVIĆEVA 1B,"," 10000 ZAGREB,"," OIB: 83416546499")</f>
        <v xml:space="preserve"> VODOOPSKRBA I ODVODNJA D.O.O., FOLNEGOVIĆEVA 1B, 10000 ZAGREB, OIB: 83416546499</v>
      </c>
      <c r="H7230" s="7"/>
      <c r="I7230" s="8" t="s">
        <v>4303</v>
      </c>
      <c r="J7230" s="8" t="s">
        <v>4295</v>
      </c>
      <c r="K7230" s="6" t="str">
        <f>"48.000,00"</f>
        <v>48.000,00</v>
      </c>
      <c r="L7230" s="6" t="str">
        <f>"12.000,00"</f>
        <v>12.000,00</v>
      </c>
      <c r="M7230" s="6" t="str">
        <f>"60.000,00"</f>
        <v>60.000,00</v>
      </c>
      <c r="N7230" s="8" t="s">
        <v>124</v>
      </c>
      <c r="O7230" s="7"/>
      <c r="P7230" s="2" t="s">
        <v>5614</v>
      </c>
      <c r="Q7230" s="7"/>
      <c r="R7230" s="1"/>
      <c r="S7230" s="1" t="str">
        <f>"J-UN-2019-5166"</f>
        <v>J-UN-2019-5166</v>
      </c>
      <c r="T7230" s="1" t="s">
        <v>32</v>
      </c>
    </row>
    <row r="7231" spans="1:20" ht="63.75" x14ac:dyDescent="0.25">
      <c r="A7231" s="6">
        <v>7202</v>
      </c>
      <c r="B7231" s="1" t="str">
        <f>"2019-1771"</f>
        <v>2019-1771</v>
      </c>
      <c r="C7231" s="1" t="s">
        <v>3010</v>
      </c>
      <c r="D7231" s="1" t="s">
        <v>74</v>
      </c>
      <c r="E7231" s="1" t="str">
        <f>""</f>
        <v/>
      </c>
      <c r="F7231" s="1" t="s">
        <v>1860</v>
      </c>
      <c r="G7231" s="1" t="str">
        <f>CONCATENATE(" CONSCIUS D.O.O.,"," KUTNJAČKI PUT 9,"," 10000 ZAGREB,"," OIB: 33925981016")</f>
        <v xml:space="preserve"> CONSCIUS D.O.O., KUTNJAČKI PUT 9, 10000 ZAGREB, OIB: 33925981016</v>
      </c>
      <c r="H7231" s="7"/>
      <c r="I7231" s="8" t="s">
        <v>5461</v>
      </c>
      <c r="J7231" s="8" t="s">
        <v>576</v>
      </c>
      <c r="K7231" s="6" t="str">
        <f>"106.500,00"</f>
        <v>106.500,00</v>
      </c>
      <c r="L7231" s="6" t="str">
        <f>"26.625,00"</f>
        <v>26.625,00</v>
      </c>
      <c r="M7231" s="6" t="str">
        <f>"133.125,00"</f>
        <v>133.125,00</v>
      </c>
      <c r="N7231" s="8" t="s">
        <v>124</v>
      </c>
      <c r="O7231" s="7"/>
      <c r="P7231" s="2" t="s">
        <v>5614</v>
      </c>
      <c r="Q7231" s="7"/>
      <c r="R7231" s="1"/>
      <c r="S7231" s="1" t="str">
        <f>"J-UN-2019-5184"</f>
        <v>J-UN-2019-5184</v>
      </c>
      <c r="T7231" s="1" t="s">
        <v>32</v>
      </c>
    </row>
    <row r="7232" spans="1:20" ht="51" x14ac:dyDescent="0.25">
      <c r="A7232" s="6">
        <v>7203</v>
      </c>
      <c r="B7232" s="1" t="str">
        <f>"2019-2650"</f>
        <v>2019-2650</v>
      </c>
      <c r="C7232" s="1" t="s">
        <v>5462</v>
      </c>
      <c r="D7232" s="1" t="s">
        <v>4020</v>
      </c>
      <c r="E7232" s="1" t="str">
        <f>""</f>
        <v/>
      </c>
      <c r="F7232" s="1" t="s">
        <v>1860</v>
      </c>
      <c r="G7232" s="1" t="str">
        <f>CONCATENATE(" ENERGO GG D.O.O.,"," GRADIŠĆANSKA ULICA 36,"," 10000 ZAGREB,"," OIB: 37140767907")</f>
        <v xml:space="preserve"> ENERGO GG D.O.O., GRADIŠĆANSKA ULICA 36, 10000 ZAGREB, OIB: 37140767907</v>
      </c>
      <c r="H7232" s="7"/>
      <c r="I7232" s="8" t="s">
        <v>4628</v>
      </c>
      <c r="J7232" s="8" t="s">
        <v>5463</v>
      </c>
      <c r="K7232" s="6" t="str">
        <f>"119.451,00"</f>
        <v>119.451,00</v>
      </c>
      <c r="L7232" s="6" t="str">
        <f>"29.862,75"</f>
        <v>29.862,75</v>
      </c>
      <c r="M7232" s="6" t="str">
        <f>"149.313,75"</f>
        <v>149.313,75</v>
      </c>
      <c r="N7232" s="8" t="s">
        <v>584</v>
      </c>
      <c r="O7232" s="7"/>
      <c r="P7232" s="2" t="s">
        <v>9081</v>
      </c>
      <c r="Q7232" s="7"/>
      <c r="R7232" s="1"/>
      <c r="S7232" s="1" t="str">
        <f>"J-UN-2019-5186"</f>
        <v>J-UN-2019-5186</v>
      </c>
      <c r="T7232" s="1" t="s">
        <v>32</v>
      </c>
    </row>
    <row r="7233" spans="1:20" ht="63.75" x14ac:dyDescent="0.25">
      <c r="A7233" s="6">
        <v>7204</v>
      </c>
      <c r="B7233" s="1" t="str">
        <f>"2019-2151"</f>
        <v>2019-2151</v>
      </c>
      <c r="C7233" s="1" t="s">
        <v>2984</v>
      </c>
      <c r="D7233" s="1" t="s">
        <v>2985</v>
      </c>
      <c r="E7233" s="1" t="str">
        <f>""</f>
        <v/>
      </c>
      <c r="F7233" s="1" t="s">
        <v>1860</v>
      </c>
      <c r="G7233" s="1" t="str">
        <f>CONCATENATE(" LANIŠTE D.O.O.,"," ALEXANDERA VON HUMBOLDTA 4B,"," 10000 ZAGREB,"," OIB: 3755384865")</f>
        <v xml:space="preserve"> LANIŠTE D.O.O., ALEXANDERA VON HUMBOLDTA 4B, 10000 ZAGREB, OIB: 3755384865</v>
      </c>
      <c r="H7233" s="7"/>
      <c r="I7233" s="8" t="s">
        <v>576</v>
      </c>
      <c r="J7233" s="8" t="s">
        <v>4294</v>
      </c>
      <c r="K7233" s="6" t="str">
        <f>"4.032,00"</f>
        <v>4.032,00</v>
      </c>
      <c r="L7233" s="6" t="str">
        <f>"1.008,00"</f>
        <v>1.008,00</v>
      </c>
      <c r="M7233" s="6" t="str">
        <f>"5.040,00"</f>
        <v>5.040,00</v>
      </c>
      <c r="N7233" s="8" t="s">
        <v>4294</v>
      </c>
      <c r="O7233" s="7"/>
      <c r="P7233" s="2" t="s">
        <v>7918</v>
      </c>
      <c r="Q7233" s="7"/>
      <c r="R7233" s="1"/>
      <c r="S7233" s="1" t="str">
        <f>"J-UN-2019-5202"</f>
        <v>J-UN-2019-5202</v>
      </c>
      <c r="T7233" s="1" t="s">
        <v>32</v>
      </c>
    </row>
    <row r="7234" spans="1:20" ht="63.75" x14ac:dyDescent="0.25">
      <c r="A7234" s="6">
        <v>7205</v>
      </c>
      <c r="B7234" s="1" t="str">
        <f>"2019-1405"</f>
        <v>2019-1405</v>
      </c>
      <c r="C7234" s="1" t="s">
        <v>2592</v>
      </c>
      <c r="D7234" s="1" t="s">
        <v>1865</v>
      </c>
      <c r="E7234" s="1" t="str">
        <f>""</f>
        <v/>
      </c>
      <c r="F7234" s="1" t="s">
        <v>1860</v>
      </c>
      <c r="G7234" s="1" t="str">
        <f>CONCATENATE(" MEDIA POLIS D.O.O.,"," ULICA GRADA VUKOVARA 284,"," 10000 ZAGREB,"," OIB: 00436315186")</f>
        <v xml:space="preserve"> MEDIA POLIS D.O.O., ULICA GRADA VUKOVARA 284, 10000 ZAGREB, OIB: 00436315186</v>
      </c>
      <c r="H7234" s="7"/>
      <c r="I7234" s="8" t="s">
        <v>5452</v>
      </c>
      <c r="J7234" s="8" t="s">
        <v>3871</v>
      </c>
      <c r="K7234" s="6" t="str">
        <f>"8.000,00"</f>
        <v>8.000,00</v>
      </c>
      <c r="L7234" s="6" t="str">
        <f>"2.000,00"</f>
        <v>2.000,00</v>
      </c>
      <c r="M7234" s="6" t="str">
        <f>"10.000,00"</f>
        <v>10.000,00</v>
      </c>
      <c r="N7234" s="8" t="s">
        <v>5110</v>
      </c>
      <c r="O7234" s="7"/>
      <c r="P7234" s="2" t="s">
        <v>9082</v>
      </c>
      <c r="Q7234" s="7"/>
      <c r="R7234" s="1"/>
      <c r="S7234" s="1" t="str">
        <f>"J-UN-2019-5216"</f>
        <v>J-UN-2019-5216</v>
      </c>
      <c r="T7234" s="1" t="s">
        <v>32</v>
      </c>
    </row>
    <row r="7235" spans="1:20" ht="51" x14ac:dyDescent="0.25">
      <c r="A7235" s="6">
        <v>7206</v>
      </c>
      <c r="B7235" s="1" t="str">
        <f>"2019-2000"</f>
        <v>2019-2000</v>
      </c>
      <c r="C7235" s="1" t="s">
        <v>5464</v>
      </c>
      <c r="D7235" s="1" t="s">
        <v>5465</v>
      </c>
      <c r="E7235" s="1" t="str">
        <f>""</f>
        <v/>
      </c>
      <c r="F7235" s="1" t="s">
        <v>1860</v>
      </c>
      <c r="G7235" s="1" t="str">
        <f>CONCATENATE(" KARDIAN D.O.O.,"," HONDLOVA 2/9,"," 10000 ZAGREB,"," OIB: 17406113186")</f>
        <v xml:space="preserve"> KARDIAN D.O.O., HONDLOVA 2/9, 10000 ZAGREB, OIB: 17406113186</v>
      </c>
      <c r="H7235" s="7"/>
      <c r="I7235" s="8" t="s">
        <v>5451</v>
      </c>
      <c r="J7235" s="8" t="s">
        <v>5463</v>
      </c>
      <c r="K7235" s="6" t="str">
        <f>"21.923,00"</f>
        <v>21.923,00</v>
      </c>
      <c r="L7235" s="6" t="str">
        <f>"5.480,75"</f>
        <v>5.480,75</v>
      </c>
      <c r="M7235" s="6" t="str">
        <f>"27.403,75"</f>
        <v>27.403,75</v>
      </c>
      <c r="N7235" s="8" t="s">
        <v>124</v>
      </c>
      <c r="O7235" s="7"/>
      <c r="P7235" s="2" t="s">
        <v>5614</v>
      </c>
      <c r="Q7235" s="7"/>
      <c r="R7235" s="1"/>
      <c r="S7235" s="1" t="str">
        <f>"J-UN-2019-5224"</f>
        <v>J-UN-2019-5224</v>
      </c>
      <c r="T7235" s="1" t="s">
        <v>32</v>
      </c>
    </row>
    <row r="7236" spans="1:20" ht="51" x14ac:dyDescent="0.25">
      <c r="A7236" s="6">
        <v>7207</v>
      </c>
      <c r="B7236" s="1" t="str">
        <f>"2019-687"</f>
        <v>2019-687</v>
      </c>
      <c r="C7236" s="1" t="s">
        <v>2788</v>
      </c>
      <c r="D7236" s="1" t="s">
        <v>2789</v>
      </c>
      <c r="E7236" s="1" t="str">
        <f>""</f>
        <v/>
      </c>
      <c r="F7236" s="1" t="s">
        <v>1860</v>
      </c>
      <c r="G7236" s="1" t="str">
        <f>CONCATENATE(" ARBORI CULTURA D.O.O.,"," POKUPSKO 86,"," 10414 POKUPSKO,"," OIB: 16690651659")</f>
        <v xml:space="preserve"> ARBORI CULTURA D.O.O., POKUPSKO 86, 10414 POKUPSKO, OIB: 16690651659</v>
      </c>
      <c r="H7236" s="7"/>
      <c r="I7236" s="8" t="s">
        <v>5452</v>
      </c>
      <c r="J7236" s="8" t="s">
        <v>3871</v>
      </c>
      <c r="K7236" s="6" t="str">
        <f>"9.750,00"</f>
        <v>9.750,00</v>
      </c>
      <c r="L7236" s="6" t="str">
        <f>"2.437,50"</f>
        <v>2.437,50</v>
      </c>
      <c r="M7236" s="6" t="str">
        <f>"12.187,50"</f>
        <v>12.187,50</v>
      </c>
      <c r="N7236" s="8" t="s">
        <v>3818</v>
      </c>
      <c r="O7236" s="7"/>
      <c r="P7236" s="2" t="s">
        <v>9083</v>
      </c>
      <c r="Q7236" s="7"/>
      <c r="R7236" s="1"/>
      <c r="S7236" s="1" t="str">
        <f>"J-UN-2019-5236"</f>
        <v>J-UN-2019-5236</v>
      </c>
      <c r="T7236" s="1" t="s">
        <v>32</v>
      </c>
    </row>
    <row r="7237" spans="1:20" ht="51" x14ac:dyDescent="0.25">
      <c r="A7237" s="6">
        <v>7208</v>
      </c>
      <c r="B7237" s="1" t="str">
        <f>"2019-2020"</f>
        <v>2019-2020</v>
      </c>
      <c r="C7237" s="1" t="s">
        <v>2790</v>
      </c>
      <c r="D7237" s="1" t="s">
        <v>2791</v>
      </c>
      <c r="E7237" s="1" t="str">
        <f>""</f>
        <v/>
      </c>
      <c r="F7237" s="1" t="s">
        <v>1860</v>
      </c>
      <c r="G7237" s="1" t="str">
        <f>CONCATENATE(" ARBORI CULTURA D.O.O.,"," POKUPSKO 86,"," 10414 POKUPSKO,"," OIB: 16690651659")</f>
        <v xml:space="preserve"> ARBORI CULTURA D.O.O., POKUPSKO 86, 10414 POKUPSKO, OIB: 16690651659</v>
      </c>
      <c r="H7237" s="7"/>
      <c r="I7237" s="8" t="s">
        <v>5463</v>
      </c>
      <c r="J7237" s="8" t="s">
        <v>5452</v>
      </c>
      <c r="K7237" s="6" t="str">
        <f>"95.550,00"</f>
        <v>95.550,00</v>
      </c>
      <c r="L7237" s="6" t="str">
        <f>"23.887,50"</f>
        <v>23.887,50</v>
      </c>
      <c r="M7237" s="6" t="str">
        <f>"119.437,50"</f>
        <v>119.437,50</v>
      </c>
      <c r="N7237" s="8" t="s">
        <v>4254</v>
      </c>
      <c r="O7237" s="7"/>
      <c r="P7237" s="2" t="s">
        <v>9084</v>
      </c>
      <c r="Q7237" s="7"/>
      <c r="R7237" s="1"/>
      <c r="S7237" s="1" t="str">
        <f>"J-UN-2019-5240"</f>
        <v>J-UN-2019-5240</v>
      </c>
      <c r="T7237" s="1" t="s">
        <v>32</v>
      </c>
    </row>
    <row r="7238" spans="1:20" ht="76.5" x14ac:dyDescent="0.25">
      <c r="A7238" s="6">
        <v>7209</v>
      </c>
      <c r="B7238" s="1" t="str">
        <f>"2019-2925"</f>
        <v>2019-2925</v>
      </c>
      <c r="C7238" s="1" t="s">
        <v>2800</v>
      </c>
      <c r="D7238" s="1" t="s">
        <v>2801</v>
      </c>
      <c r="E7238" s="1" t="str">
        <f>""</f>
        <v/>
      </c>
      <c r="F7238" s="1" t="s">
        <v>1860</v>
      </c>
      <c r="G7238" s="1" t="str">
        <f>CONCATENATE(" SMIT-COMMERCE D.O.O.,"," GORNJOSTUPNIČKA 9B,"," 10255 GORNJI STUPNIK,"," OIB: 9524348214")</f>
        <v xml:space="preserve"> SMIT-COMMERCE D.O.O., GORNJOSTUPNIČKA 9B, 10255 GORNJI STUPNIK, OIB: 9524348214</v>
      </c>
      <c r="H7238" s="7"/>
      <c r="I7238" s="8" t="s">
        <v>5463</v>
      </c>
      <c r="J7238" s="8" t="s">
        <v>5452</v>
      </c>
      <c r="K7238" s="6" t="str">
        <f>"67.900,00"</f>
        <v>67.900,00</v>
      </c>
      <c r="L7238" s="6" t="str">
        <f>"16.975,00"</f>
        <v>16.975,00</v>
      </c>
      <c r="M7238" s="6" t="str">
        <f>"84.875,00"</f>
        <v>84.875,00</v>
      </c>
      <c r="N7238" s="8" t="s">
        <v>5105</v>
      </c>
      <c r="O7238" s="7"/>
      <c r="P7238" s="2" t="s">
        <v>9085</v>
      </c>
      <c r="Q7238" s="7"/>
      <c r="R7238" s="1"/>
      <c r="S7238" s="1" t="str">
        <f>"J-UN-2019-5241"</f>
        <v>J-UN-2019-5241</v>
      </c>
      <c r="T7238" s="1" t="s">
        <v>32</v>
      </c>
    </row>
    <row r="7239" spans="1:20" ht="76.5" x14ac:dyDescent="0.25">
      <c r="A7239" s="6">
        <v>7210</v>
      </c>
      <c r="B7239" s="1" t="str">
        <f>"2019-879"</f>
        <v>2019-879</v>
      </c>
      <c r="C7239" s="1" t="s">
        <v>2305</v>
      </c>
      <c r="D7239" s="1" t="s">
        <v>2306</v>
      </c>
      <c r="E7239" s="1" t="str">
        <f>""</f>
        <v/>
      </c>
      <c r="F7239" s="1" t="s">
        <v>1860</v>
      </c>
      <c r="G7239" s="1" t="str">
        <f>CONCATENATE(" ZGOMBIĆ - DRUŠTVO ZA POREZNO SAVJETOVANJE D.O.O.,"," PAVLA HATZA 4,"," 10000 ZAGREB,"," OIB: 06559614903")</f>
        <v xml:space="preserve"> ZGOMBIĆ - DRUŠTVO ZA POREZNO SAVJETOVANJE D.O.O., PAVLA HATZA 4, 10000 ZAGREB, OIB: 06559614903</v>
      </c>
      <c r="H7239" s="7"/>
      <c r="I7239" s="8" t="s">
        <v>5463</v>
      </c>
      <c r="J7239" s="8" t="s">
        <v>5452</v>
      </c>
      <c r="K7239" s="6" t="str">
        <f>"80.000,00"</f>
        <v>80.000,00</v>
      </c>
      <c r="L7239" s="6" t="str">
        <f>"20.000,00"</f>
        <v>20.000,00</v>
      </c>
      <c r="M7239" s="6" t="str">
        <f>"100.000,00"</f>
        <v>100.000,00</v>
      </c>
      <c r="N7239" s="8" t="s">
        <v>124</v>
      </c>
      <c r="O7239" s="7"/>
      <c r="P7239" s="2" t="s">
        <v>5614</v>
      </c>
      <c r="Q7239" s="7"/>
      <c r="R7239" s="1"/>
      <c r="S7239" s="1" t="str">
        <f>"J-UN-2019-5245"</f>
        <v>J-UN-2019-5245</v>
      </c>
      <c r="T7239" s="1" t="s">
        <v>32</v>
      </c>
    </row>
    <row r="7240" spans="1:20" ht="51" x14ac:dyDescent="0.25">
      <c r="A7240" s="6">
        <v>7211</v>
      </c>
      <c r="B7240" s="1" t="str">
        <f>"2019-1698"</f>
        <v>2019-1698</v>
      </c>
      <c r="C7240" s="1" t="s">
        <v>5385</v>
      </c>
      <c r="D7240" s="1" t="s">
        <v>2331</v>
      </c>
      <c r="E7240" s="1" t="str">
        <f>""</f>
        <v/>
      </c>
      <c r="F7240" s="1" t="s">
        <v>1860</v>
      </c>
      <c r="G7240" s="1" t="str">
        <f>CONCATENATE(" LEONARDO MEDIA D.O.O.,"," GJURE SZABA 4/2,"," 10000 ZAGREB,"," OIB: 90240160025")</f>
        <v xml:space="preserve"> LEONARDO MEDIA D.O.O., GJURE SZABA 4/2, 10000 ZAGREB, OIB: 90240160025</v>
      </c>
      <c r="H7240" s="7"/>
      <c r="I7240" s="8" t="s">
        <v>4628</v>
      </c>
      <c r="J7240" s="8" t="s">
        <v>5463</v>
      </c>
      <c r="K7240" s="6" t="str">
        <f>"7.117,00"</f>
        <v>7.117,00</v>
      </c>
      <c r="L7240" s="6" t="str">
        <f>"1.779,25"</f>
        <v>1.779,25</v>
      </c>
      <c r="M7240" s="6" t="str">
        <f>"8.896,25"</f>
        <v>8.896,25</v>
      </c>
      <c r="N7240" s="8" t="s">
        <v>124</v>
      </c>
      <c r="O7240" s="7"/>
      <c r="P7240" s="2" t="s">
        <v>5614</v>
      </c>
      <c r="Q7240" s="7"/>
      <c r="R7240" s="1"/>
      <c r="S7240" s="1" t="str">
        <f>"J-UN-2019-5283"</f>
        <v>J-UN-2019-5283</v>
      </c>
      <c r="T7240" s="1" t="s">
        <v>32</v>
      </c>
    </row>
    <row r="7241" spans="1:20" ht="63.75" x14ac:dyDescent="0.25">
      <c r="A7241" s="6">
        <v>7212</v>
      </c>
      <c r="B7241" s="1" t="str">
        <f>"2019-2029"</f>
        <v>2019-2029</v>
      </c>
      <c r="C7241" s="1" t="s">
        <v>2873</v>
      </c>
      <c r="D7241" s="1" t="s">
        <v>689</v>
      </c>
      <c r="E7241" s="1" t="str">
        <f>""</f>
        <v/>
      </c>
      <c r="F7241" s="1" t="s">
        <v>1860</v>
      </c>
      <c r="G7241" s="1" t="str">
        <f>CONCATENATE(" URIHO - ZAGREB,"," AVENIJA MARINA DRŽIĆA 1,"," 10000 ZAGREB,"," OIB: 77931216562")</f>
        <v xml:space="preserve"> URIHO - ZAGREB, AVENIJA MARINA DRŽIĆA 1, 10000 ZAGREB, OIB: 77931216562</v>
      </c>
      <c r="H7241" s="7"/>
      <c r="I7241" s="8" t="s">
        <v>4310</v>
      </c>
      <c r="J7241" s="8" t="s">
        <v>4312</v>
      </c>
      <c r="K7241" s="6" t="str">
        <f>"1.152,00"</f>
        <v>1.152,00</v>
      </c>
      <c r="L7241" s="6" t="str">
        <f>"288,00"</f>
        <v>288,00</v>
      </c>
      <c r="M7241" s="6" t="str">
        <f>"1.440,00"</f>
        <v>1.440,00</v>
      </c>
      <c r="N7241" s="8" t="s">
        <v>124</v>
      </c>
      <c r="O7241" s="7"/>
      <c r="P7241" s="2" t="s">
        <v>5614</v>
      </c>
      <c r="Q7241" s="7"/>
      <c r="R7241" s="1"/>
      <c r="S7241" s="1" t="str">
        <f>"J-UN-2019-5291"</f>
        <v>J-UN-2019-5291</v>
      </c>
      <c r="T7241" s="1" t="s">
        <v>32</v>
      </c>
    </row>
    <row r="7242" spans="1:20" ht="76.5" x14ac:dyDescent="0.25">
      <c r="A7242" s="6">
        <v>7213</v>
      </c>
      <c r="B7242" s="1" t="str">
        <f>"2019-687"</f>
        <v>2019-687</v>
      </c>
      <c r="C7242" s="1" t="s">
        <v>2788</v>
      </c>
      <c r="D7242" s="1" t="s">
        <v>2789</v>
      </c>
      <c r="E7242" s="1" t="str">
        <f>""</f>
        <v/>
      </c>
      <c r="F7242" s="1" t="s">
        <v>1860</v>
      </c>
      <c r="G7242" s="1" t="str">
        <f>CONCATENATE(" SMIT-COMMERCE D.O.O.,"," GORNJOSTUPNIČKA 9B,"," 10255 GORNJI STUPNIK,"," OIB: 9524348214")</f>
        <v xml:space="preserve"> SMIT-COMMERCE D.O.O., GORNJOSTUPNIČKA 9B, 10255 GORNJI STUPNIK, OIB: 9524348214</v>
      </c>
      <c r="H7242" s="7"/>
      <c r="I7242" s="8" t="s">
        <v>4310</v>
      </c>
      <c r="J7242" s="8" t="s">
        <v>4312</v>
      </c>
      <c r="K7242" s="6" t="str">
        <f>"762,00"</f>
        <v>762,00</v>
      </c>
      <c r="L7242" s="6" t="str">
        <f>"190,50"</f>
        <v>190,50</v>
      </c>
      <c r="M7242" s="6" t="str">
        <f>"952,50"</f>
        <v>952,50</v>
      </c>
      <c r="N7242" s="8" t="s">
        <v>124</v>
      </c>
      <c r="O7242" s="7"/>
      <c r="P7242" s="2" t="s">
        <v>5614</v>
      </c>
      <c r="Q7242" s="7"/>
      <c r="R7242" s="1"/>
      <c r="S7242" s="1" t="str">
        <f>"J-UN-2019-5299"</f>
        <v>J-UN-2019-5299</v>
      </c>
      <c r="T7242" s="1" t="s">
        <v>32</v>
      </c>
    </row>
    <row r="7243" spans="1:20" ht="25.5" x14ac:dyDescent="0.25">
      <c r="A7243" s="6">
        <v>7214</v>
      </c>
      <c r="B7243" s="1" t="str">
        <f>"2019-2998"</f>
        <v>2019-2998</v>
      </c>
      <c r="C7243" s="1" t="s">
        <v>5466</v>
      </c>
      <c r="D7243" s="1" t="s">
        <v>1261</v>
      </c>
      <c r="E7243" s="1" t="str">
        <f>""</f>
        <v/>
      </c>
      <c r="F7243" s="1" t="s">
        <v>1860</v>
      </c>
      <c r="G7243" s="1" t="str">
        <f>CONCATENATE(" PRENOR KFT,"," ")</f>
        <v xml:space="preserve"> PRENOR KFT, </v>
      </c>
      <c r="H7243" s="7"/>
      <c r="I7243" s="8" t="s">
        <v>4445</v>
      </c>
      <c r="J7243" s="8" t="s">
        <v>4846</v>
      </c>
      <c r="K7243" s="6" t="str">
        <f>"132.580,80"</f>
        <v>132.580,80</v>
      </c>
      <c r="L7243" s="6" t="str">
        <f>"33.145,20"</f>
        <v>33.145,20</v>
      </c>
      <c r="M7243" s="6" t="str">
        <f>"165.726,00"</f>
        <v>165.726,00</v>
      </c>
      <c r="N7243" s="8" t="s">
        <v>124</v>
      </c>
      <c r="O7243" s="7"/>
      <c r="P7243" s="2" t="s">
        <v>5614</v>
      </c>
      <c r="Q7243" s="7"/>
      <c r="R7243" s="1"/>
      <c r="S7243" s="1" t="str">
        <f>"J-UN-2019-5329"</f>
        <v>J-UN-2019-5329</v>
      </c>
      <c r="T7243" s="1" t="s">
        <v>32</v>
      </c>
    </row>
    <row r="7244" spans="1:20" ht="51" x14ac:dyDescent="0.25">
      <c r="A7244" s="6">
        <v>7215</v>
      </c>
      <c r="B7244" s="1" t="str">
        <f>"2019-850"</f>
        <v>2019-850</v>
      </c>
      <c r="C7244" s="1" t="s">
        <v>2844</v>
      </c>
      <c r="D7244" s="1" t="s">
        <v>2716</v>
      </c>
      <c r="E7244" s="1" t="str">
        <f>""</f>
        <v/>
      </c>
      <c r="F7244" s="1" t="s">
        <v>1860</v>
      </c>
      <c r="G7244" s="1" t="str">
        <f>CONCATENATE(" LAGER BAŠIĆ D.O.O.,"," TRGOVAČKA 3,"," 10255 DONJI STUPNIK,"," OIB: 49617677906")</f>
        <v xml:space="preserve"> LAGER BAŠIĆ D.O.O., TRGOVAČKA 3, 10255 DONJI STUPNIK, OIB: 49617677906</v>
      </c>
      <c r="H7244" s="7"/>
      <c r="I7244" s="8" t="s">
        <v>4664</v>
      </c>
      <c r="J7244" s="8" t="s">
        <v>4310</v>
      </c>
      <c r="K7244" s="6" t="str">
        <f>"4.280,26"</f>
        <v>4.280,26</v>
      </c>
      <c r="L7244" s="6" t="str">
        <f>"1.070,06"</f>
        <v>1.070,06</v>
      </c>
      <c r="M7244" s="6" t="str">
        <f>"5.350,32"</f>
        <v>5.350,32</v>
      </c>
      <c r="N7244" s="8" t="s">
        <v>124</v>
      </c>
      <c r="O7244" s="7"/>
      <c r="P7244" s="2" t="s">
        <v>5614</v>
      </c>
      <c r="Q7244" s="7"/>
      <c r="R7244" s="1"/>
      <c r="S7244" s="1" t="str">
        <f>"J-UN-2019-5358"</f>
        <v>J-UN-2019-5358</v>
      </c>
      <c r="T7244" s="1" t="s">
        <v>32</v>
      </c>
    </row>
    <row r="7245" spans="1:20" ht="51" x14ac:dyDescent="0.25">
      <c r="A7245" s="6">
        <v>7216</v>
      </c>
      <c r="B7245" s="1" t="str">
        <f>"2019-1650"</f>
        <v>2019-1650</v>
      </c>
      <c r="C7245" s="1" t="s">
        <v>2863</v>
      </c>
      <c r="D7245" s="1" t="s">
        <v>1209</v>
      </c>
      <c r="E7245" s="1" t="str">
        <f>""</f>
        <v/>
      </c>
      <c r="F7245" s="1" t="s">
        <v>1860</v>
      </c>
      <c r="G7245" s="1" t="str">
        <f>CONCATENATE(" MI-STAR D.O.O.,"," NOVSKA 24,"," 10000 ZAGREB,"," OIB: 44816778493")</f>
        <v xml:space="preserve"> MI-STAR D.O.O., NOVSKA 24, 10000 ZAGREB, OIB: 44816778493</v>
      </c>
      <c r="H7245" s="7"/>
      <c r="I7245" s="8" t="s">
        <v>4308</v>
      </c>
      <c r="J7245" s="8" t="s">
        <v>4664</v>
      </c>
      <c r="K7245" s="6" t="str">
        <f>"500,00"</f>
        <v>500,00</v>
      </c>
      <c r="L7245" s="6" t="str">
        <f>"125,00"</f>
        <v>125,00</v>
      </c>
      <c r="M7245" s="6" t="str">
        <f>"625,00"</f>
        <v>625,00</v>
      </c>
      <c r="N7245" s="8" t="s">
        <v>124</v>
      </c>
      <c r="O7245" s="7"/>
      <c r="P7245" s="2" t="s">
        <v>5614</v>
      </c>
      <c r="Q7245" s="7"/>
      <c r="R7245" s="1"/>
      <c r="S7245" s="1" t="str">
        <f>"J-UN-2019-5369"</f>
        <v>J-UN-2019-5369</v>
      </c>
      <c r="T7245" s="1" t="s">
        <v>32</v>
      </c>
    </row>
    <row r="7246" spans="1:20" ht="63.75" x14ac:dyDescent="0.25">
      <c r="A7246" s="6">
        <v>7217</v>
      </c>
      <c r="B7246" s="1" t="str">
        <f>"2019-377"</f>
        <v>2019-377</v>
      </c>
      <c r="C7246" s="1" t="s">
        <v>3037</v>
      </c>
      <c r="D7246" s="1" t="s">
        <v>3038</v>
      </c>
      <c r="E7246" s="1" t="str">
        <f>""</f>
        <v/>
      </c>
      <c r="F7246" s="1" t="s">
        <v>1860</v>
      </c>
      <c r="G7246" s="1" t="str">
        <f>CONCATENATE(" POLJOOPSKRBA-TEHNO D.D.,"," SAMOBORSKA 96,"," 10000 ZAGREB,"," OIB: 5372167324")</f>
        <v xml:space="preserve"> POLJOOPSKRBA-TEHNO D.D., SAMOBORSKA 96, 10000 ZAGREB, OIB: 5372167324</v>
      </c>
      <c r="H7246" s="7"/>
      <c r="I7246" s="8" t="s">
        <v>3818</v>
      </c>
      <c r="J7246" s="8" t="s">
        <v>4120</v>
      </c>
      <c r="K7246" s="6" t="str">
        <f>"59.740,00"</f>
        <v>59.740,00</v>
      </c>
      <c r="L7246" s="6" t="str">
        <f>"14.935,00"</f>
        <v>14.935,00</v>
      </c>
      <c r="M7246" s="6" t="str">
        <f>"74.675,00"</f>
        <v>74.675,00</v>
      </c>
      <c r="N7246" s="8" t="s">
        <v>584</v>
      </c>
      <c r="O7246" s="7"/>
      <c r="P7246" s="2" t="s">
        <v>9086</v>
      </c>
      <c r="Q7246" s="7"/>
      <c r="R7246" s="1"/>
      <c r="S7246" s="1" t="str">
        <f>"J-UN-2019-5380"</f>
        <v>J-UN-2019-5380</v>
      </c>
      <c r="T7246" s="1" t="s">
        <v>32</v>
      </c>
    </row>
    <row r="7247" spans="1:20" ht="76.5" x14ac:dyDescent="0.25">
      <c r="A7247" s="6">
        <v>7218</v>
      </c>
      <c r="B7247" s="1" t="str">
        <f>"2019-2625"</f>
        <v>2019-2625</v>
      </c>
      <c r="C7247" s="1" t="s">
        <v>1041</v>
      </c>
      <c r="D7247" s="1" t="s">
        <v>515</v>
      </c>
      <c r="E7247" s="1" t="str">
        <f>""</f>
        <v/>
      </c>
      <c r="F7247" s="1" t="s">
        <v>1860</v>
      </c>
      <c r="G7247" s="1" t="str">
        <f>CONCATENATE(" NASTAVNI ZAVOD ZA JAVNO ZDRAVSTVO DR. ANDRIJA ŠTAMPAR,"," MIROGOJSKA CESTA 16,"," 10000 ZAGREB,"," OIB: 3339200596")</f>
        <v xml:space="preserve"> NASTAVNI ZAVOD ZA JAVNO ZDRAVSTVO DR. ANDRIJA ŠTAMPAR, MIROGOJSKA CESTA 16, 10000 ZAGREB, OIB: 3339200596</v>
      </c>
      <c r="H7247" s="7"/>
      <c r="I7247" s="8" t="s">
        <v>3818</v>
      </c>
      <c r="J7247" s="8" t="s">
        <v>4120</v>
      </c>
      <c r="K7247" s="6" t="str">
        <f>"3.950,50"</f>
        <v>3.950,50</v>
      </c>
      <c r="L7247" s="6" t="str">
        <f>"987,62"</f>
        <v>987,62</v>
      </c>
      <c r="M7247" s="6" t="str">
        <f>"4.938,12"</f>
        <v>4.938,12</v>
      </c>
      <c r="N7247" s="8" t="s">
        <v>5467</v>
      </c>
      <c r="O7247" s="7"/>
      <c r="P7247" s="2" t="s">
        <v>9087</v>
      </c>
      <c r="Q7247" s="7"/>
      <c r="R7247" s="1"/>
      <c r="S7247" s="1" t="str">
        <f>"J-UN-2019-5430"</f>
        <v>J-UN-2019-5430</v>
      </c>
      <c r="T7247" s="1" t="s">
        <v>32</v>
      </c>
    </row>
    <row r="7248" spans="1:20" ht="63.75" x14ac:dyDescent="0.25">
      <c r="A7248" s="6">
        <v>7219</v>
      </c>
      <c r="B7248" s="1" t="str">
        <f>"2019-2994"</f>
        <v>2019-2994</v>
      </c>
      <c r="C7248" s="1" t="s">
        <v>5468</v>
      </c>
      <c r="D7248" s="1" t="s">
        <v>1641</v>
      </c>
      <c r="E7248" s="1" t="str">
        <f>""</f>
        <v/>
      </c>
      <c r="F7248" s="1" t="s">
        <v>1860</v>
      </c>
      <c r="G7248" s="1" t="str">
        <f>CONCATENATE(" VODOOPSKRBA I ODVODNJA D.O.O.,"," FOLNEGOVIĆEVA 1B,"," 10000 ZAGREB,"," OIB: 83416546499")</f>
        <v xml:space="preserve"> VODOOPSKRBA I ODVODNJA D.O.O., FOLNEGOVIĆEVA 1B, 10000 ZAGREB, OIB: 83416546499</v>
      </c>
      <c r="H7248" s="7"/>
      <c r="I7248" s="8" t="s">
        <v>3818</v>
      </c>
      <c r="J7248" s="8" t="s">
        <v>4120</v>
      </c>
      <c r="K7248" s="6" t="str">
        <f>"51.660,00"</f>
        <v>51.660,00</v>
      </c>
      <c r="L7248" s="6" t="str">
        <f>"12.915,00"</f>
        <v>12.915,00</v>
      </c>
      <c r="M7248" s="6" t="str">
        <f>"64.575,00"</f>
        <v>64.575,00</v>
      </c>
      <c r="N7248" s="8" t="s">
        <v>124</v>
      </c>
      <c r="O7248" s="7"/>
      <c r="P7248" s="2" t="s">
        <v>5614</v>
      </c>
      <c r="Q7248" s="7"/>
      <c r="R7248" s="1"/>
      <c r="S7248" s="1" t="str">
        <f>"J-UN-2019-5438"</f>
        <v>J-UN-2019-5438</v>
      </c>
      <c r="T7248" s="1" t="s">
        <v>32</v>
      </c>
    </row>
    <row r="7249" spans="1:20" ht="51" x14ac:dyDescent="0.25">
      <c r="A7249" s="6">
        <v>7220</v>
      </c>
      <c r="B7249" s="1" t="str">
        <f>"2019-482"</f>
        <v>2019-482</v>
      </c>
      <c r="C7249" s="1" t="s">
        <v>2618</v>
      </c>
      <c r="D7249" s="1" t="s">
        <v>2619</v>
      </c>
      <c r="E7249" s="1" t="str">
        <f>""</f>
        <v/>
      </c>
      <c r="F7249" s="1" t="s">
        <v>1860</v>
      </c>
      <c r="G7249" s="1" t="str">
        <f>CONCATENATE(" TRA-MONT D.O.O.,"," MILIVOJA MATOŠECA 5,"," 10000 ZAGREB,"," OIB: 05336208843")</f>
        <v xml:space="preserve"> TRA-MONT D.O.O., MILIVOJA MATOŠECA 5, 10000 ZAGREB, OIB: 05336208843</v>
      </c>
      <c r="H7249" s="7"/>
      <c r="I7249" s="8" t="s">
        <v>4312</v>
      </c>
      <c r="J7249" s="8" t="s">
        <v>4120</v>
      </c>
      <c r="K7249" s="6" t="str">
        <f>"4.050,00"</f>
        <v>4.050,00</v>
      </c>
      <c r="L7249" s="6" t="str">
        <f>"1.012,50"</f>
        <v>1.012,50</v>
      </c>
      <c r="M7249" s="6" t="str">
        <f>"5.062,50"</f>
        <v>5.062,50</v>
      </c>
      <c r="N7249" s="8" t="s">
        <v>124</v>
      </c>
      <c r="O7249" s="7"/>
      <c r="P7249" s="2" t="s">
        <v>5614</v>
      </c>
      <c r="Q7249" s="7"/>
      <c r="R7249" s="1"/>
      <c r="S7249" s="1" t="str">
        <f>"J-UN-2019-5454"</f>
        <v>J-UN-2019-5454</v>
      </c>
      <c r="T7249" s="1" t="s">
        <v>32</v>
      </c>
    </row>
    <row r="7250" spans="1:20" ht="51" x14ac:dyDescent="0.25">
      <c r="A7250" s="6">
        <v>7221</v>
      </c>
      <c r="B7250" s="1" t="str">
        <f>"2019-1032"</f>
        <v>2019-1032</v>
      </c>
      <c r="C7250" s="1" t="s">
        <v>2643</v>
      </c>
      <c r="D7250" s="1" t="s">
        <v>1859</v>
      </c>
      <c r="E7250" s="1" t="str">
        <f>""</f>
        <v/>
      </c>
      <c r="F7250" s="1" t="s">
        <v>1860</v>
      </c>
      <c r="G7250" s="1" t="str">
        <f>CONCATENATE(" SAVEZ ENERGETIČARA HRVATSKE,"," ILICA 34/1,"," 10000 ZAGREB,"," OIB: 56822948795")</f>
        <v xml:space="preserve"> SAVEZ ENERGETIČARA HRVATSKE, ILICA 34/1, 10000 ZAGREB, OIB: 56822948795</v>
      </c>
      <c r="H7250" s="7"/>
      <c r="I7250" s="8" t="s">
        <v>4678</v>
      </c>
      <c r="J7250" s="8" t="s">
        <v>3818</v>
      </c>
      <c r="K7250" s="6" t="str">
        <f>"3.700,00"</f>
        <v>3.700,00</v>
      </c>
      <c r="L7250" s="6" t="str">
        <f>"925,00"</f>
        <v>925,00</v>
      </c>
      <c r="M7250" s="6" t="str">
        <f>"4.625,00"</f>
        <v>4.625,00</v>
      </c>
      <c r="N7250" s="8" t="s">
        <v>4303</v>
      </c>
      <c r="O7250" s="7"/>
      <c r="P7250" s="2" t="s">
        <v>6216</v>
      </c>
      <c r="Q7250" s="7"/>
      <c r="R7250" s="1"/>
      <c r="S7250" s="1" t="str">
        <f>"J-UN-2019-5472"</f>
        <v>J-UN-2019-5472</v>
      </c>
      <c r="T7250" s="1" t="s">
        <v>32</v>
      </c>
    </row>
    <row r="7251" spans="1:20" ht="51" x14ac:dyDescent="0.25">
      <c r="A7251" s="6">
        <v>7222</v>
      </c>
      <c r="B7251" s="1" t="str">
        <f>"2019-749"</f>
        <v>2019-749</v>
      </c>
      <c r="C7251" s="1" t="s">
        <v>2685</v>
      </c>
      <c r="D7251" s="1" t="s">
        <v>2686</v>
      </c>
      <c r="E7251" s="1" t="str">
        <f>""</f>
        <v/>
      </c>
      <c r="F7251" s="1" t="s">
        <v>1860</v>
      </c>
      <c r="G7251" s="1" t="str">
        <f>CONCATENATE(" ARBORI CULTURA D.O.O.,"," POKUPSKO 86,"," 10414 POKUPSKO,"," OIB: 16690651659")</f>
        <v xml:space="preserve"> ARBORI CULTURA D.O.O., POKUPSKO 86, 10414 POKUPSKO, OIB: 16690651659</v>
      </c>
      <c r="H7251" s="7"/>
      <c r="I7251" s="8" t="s">
        <v>4227</v>
      </c>
      <c r="J7251" s="8" t="s">
        <v>5469</v>
      </c>
      <c r="K7251" s="6" t="str">
        <f>"7.200,00"</f>
        <v>7.200,00</v>
      </c>
      <c r="L7251" s="6" t="str">
        <f>"1.800,00"</f>
        <v>1.800,00</v>
      </c>
      <c r="M7251" s="6" t="str">
        <f>"9.000,00"</f>
        <v>9.000,00</v>
      </c>
      <c r="N7251" s="8" t="s">
        <v>4368</v>
      </c>
      <c r="O7251" s="7"/>
      <c r="P7251" s="2" t="s">
        <v>9088</v>
      </c>
      <c r="Q7251" s="7"/>
      <c r="R7251" s="1"/>
      <c r="S7251" s="1" t="str">
        <f>"J-UN-2019-5489"</f>
        <v>J-UN-2019-5489</v>
      </c>
      <c r="T7251" s="1" t="s">
        <v>32</v>
      </c>
    </row>
    <row r="7252" spans="1:20" ht="63.75" x14ac:dyDescent="0.25">
      <c r="A7252" s="6">
        <v>7223</v>
      </c>
      <c r="B7252" s="1" t="str">
        <f>"2019-2244"</f>
        <v>2019-2244</v>
      </c>
      <c r="C7252" s="1" t="s">
        <v>2954</v>
      </c>
      <c r="D7252" s="1" t="s">
        <v>2955</v>
      </c>
      <c r="E7252" s="1" t="str">
        <f>""</f>
        <v/>
      </c>
      <c r="F7252" s="1" t="s">
        <v>1860</v>
      </c>
      <c r="G7252" s="1" t="str">
        <f>CONCATENATE(" DRŽAVNI HIDROMETEOROLOŠKI ZAVOD - DHMZ,"," GRIČ 3,"," 10000 ZAGREB,"," OIB: 74660437164")</f>
        <v xml:space="preserve"> DRŽAVNI HIDROMETEOROLOŠKI ZAVOD - DHMZ, GRIČ 3, 10000 ZAGREB, OIB: 74660437164</v>
      </c>
      <c r="H7252" s="7"/>
      <c r="I7252" s="8" t="s">
        <v>3818</v>
      </c>
      <c r="J7252" s="8" t="s">
        <v>4120</v>
      </c>
      <c r="K7252" s="6" t="str">
        <f>"69.740,00"</f>
        <v>69.740,00</v>
      </c>
      <c r="L7252" s="6" t="str">
        <f>"17.435,00"</f>
        <v>17.435,00</v>
      </c>
      <c r="M7252" s="6" t="str">
        <f>"87.175,00"</f>
        <v>87.175,00</v>
      </c>
      <c r="N7252" s="8" t="s">
        <v>4267</v>
      </c>
      <c r="O7252" s="7"/>
      <c r="P7252" s="2" t="s">
        <v>9089</v>
      </c>
      <c r="Q7252" s="7"/>
      <c r="R7252" s="1"/>
      <c r="S7252" s="1" t="str">
        <f>"J-UN-2019-5494"</f>
        <v>J-UN-2019-5494</v>
      </c>
      <c r="T7252" s="1" t="s">
        <v>32</v>
      </c>
    </row>
    <row r="7253" spans="1:20" ht="51" x14ac:dyDescent="0.25">
      <c r="A7253" s="6">
        <v>7224</v>
      </c>
      <c r="B7253" s="1" t="str">
        <f>"2019-1857"</f>
        <v>2019-1857</v>
      </c>
      <c r="C7253" s="1" t="s">
        <v>5470</v>
      </c>
      <c r="D7253" s="1" t="s">
        <v>3030</v>
      </c>
      <c r="E7253" s="1" t="str">
        <f>""</f>
        <v/>
      </c>
      <c r="F7253" s="1" t="s">
        <v>1860</v>
      </c>
      <c r="G7253" s="1" t="str">
        <f>CONCATENATE(" ELEKTROMETAL NOVA D.O.O.,"," FERDE RUSANA 21,"," 43000 BJELOVAR,"," OIB: 02542413872")</f>
        <v xml:space="preserve"> ELEKTROMETAL NOVA D.O.O., FERDE RUSANA 21, 43000 BJELOVAR, OIB: 02542413872</v>
      </c>
      <c r="H7253" s="7"/>
      <c r="I7253" s="8" t="s">
        <v>5469</v>
      </c>
      <c r="J7253" s="8" t="s">
        <v>4439</v>
      </c>
      <c r="K7253" s="6" t="str">
        <f>"59.670,00"</f>
        <v>59.670,00</v>
      </c>
      <c r="L7253" s="6" t="str">
        <f>"14.917,50"</f>
        <v>14.917,50</v>
      </c>
      <c r="M7253" s="6" t="str">
        <f>"74.587,50"</f>
        <v>74.587,50</v>
      </c>
      <c r="N7253" s="8" t="s">
        <v>742</v>
      </c>
      <c r="O7253" s="7"/>
      <c r="P7253" s="2" t="s">
        <v>9090</v>
      </c>
      <c r="Q7253" s="7"/>
      <c r="R7253" s="1"/>
      <c r="S7253" s="1" t="str">
        <f>"J-UN-2019-5496"</f>
        <v>J-UN-2019-5496</v>
      </c>
      <c r="T7253" s="1" t="s">
        <v>32</v>
      </c>
    </row>
    <row r="7254" spans="1:20" ht="63.75" x14ac:dyDescent="0.25">
      <c r="A7254" s="6">
        <v>7225</v>
      </c>
      <c r="B7254" s="1" t="str">
        <f>"2019-841"</f>
        <v>2019-841</v>
      </c>
      <c r="C7254" s="1" t="s">
        <v>2794</v>
      </c>
      <c r="D7254" s="1" t="s">
        <v>2716</v>
      </c>
      <c r="E7254" s="1" t="str">
        <f>""</f>
        <v/>
      </c>
      <c r="F7254" s="1" t="s">
        <v>1860</v>
      </c>
      <c r="G7254" s="1" t="str">
        <f>CONCATENATE(" GRA-PO D.O.O.,"," GOSPODARSKA 5B,"," 10255 ZAGREB - STUPNIK,"," OIB: 05364995085")</f>
        <v xml:space="preserve"> GRA-PO D.O.O., GOSPODARSKA 5B, 10255 ZAGREB - STUPNIK, OIB: 05364995085</v>
      </c>
      <c r="H7254" s="7"/>
      <c r="I7254" s="8" t="s">
        <v>4314</v>
      </c>
      <c r="J7254" s="8" t="s">
        <v>4633</v>
      </c>
      <c r="K7254" s="6" t="str">
        <f>"1.788,00"</f>
        <v>1.788,00</v>
      </c>
      <c r="L7254" s="6" t="str">
        <f>"447,00"</f>
        <v>447,00</v>
      </c>
      <c r="M7254" s="6" t="str">
        <f>"2.235,00"</f>
        <v>2.235,00</v>
      </c>
      <c r="N7254" s="8" t="s">
        <v>5110</v>
      </c>
      <c r="O7254" s="7"/>
      <c r="P7254" s="2" t="s">
        <v>8032</v>
      </c>
      <c r="Q7254" s="7"/>
      <c r="R7254" s="1"/>
      <c r="S7254" s="1" t="str">
        <f>"J-UN-2019-5519"</f>
        <v>J-UN-2019-5519</v>
      </c>
      <c r="T7254" s="1" t="s">
        <v>32</v>
      </c>
    </row>
    <row r="7255" spans="1:20" ht="63.75" x14ac:dyDescent="0.25">
      <c r="A7255" s="6">
        <v>7226</v>
      </c>
      <c r="B7255" s="1" t="str">
        <f>"2019-2090"</f>
        <v>2019-2090</v>
      </c>
      <c r="C7255" s="1" t="s">
        <v>2829</v>
      </c>
      <c r="D7255" s="1" t="s">
        <v>2830</v>
      </c>
      <c r="E7255" s="1" t="str">
        <f>""</f>
        <v/>
      </c>
      <c r="F7255" s="1" t="s">
        <v>1860</v>
      </c>
      <c r="G7255" s="1" t="str">
        <f>CONCATENATE(" GUMIIMPEX - GRP D.O.O.,"," PAVLEKA MIŠKINE 64C,"," 42000 VARAŽDIN,"," OIB: 8229856262")</f>
        <v xml:space="preserve"> GUMIIMPEX - GRP D.O.O., PAVLEKA MIŠKINE 64C, 42000 VARAŽDIN, OIB: 8229856262</v>
      </c>
      <c r="H7255" s="7"/>
      <c r="I7255" s="8" t="s">
        <v>4633</v>
      </c>
      <c r="J7255" s="8" t="s">
        <v>5469</v>
      </c>
      <c r="K7255" s="6" t="str">
        <f>"6.590,95"</f>
        <v>6.590,95</v>
      </c>
      <c r="L7255" s="6" t="str">
        <f>"1.647,74"</f>
        <v>1.647,74</v>
      </c>
      <c r="M7255" s="6" t="str">
        <f>"8.238,69"</f>
        <v>8.238,69</v>
      </c>
      <c r="N7255" s="8" t="s">
        <v>124</v>
      </c>
      <c r="O7255" s="7"/>
      <c r="P7255" s="2" t="s">
        <v>5614</v>
      </c>
      <c r="Q7255" s="7"/>
      <c r="R7255" s="1"/>
      <c r="S7255" s="1" t="str">
        <f>"J-UN-2019-5525"</f>
        <v>J-UN-2019-5525</v>
      </c>
      <c r="T7255" s="1" t="s">
        <v>32</v>
      </c>
    </row>
    <row r="7256" spans="1:20" ht="51" x14ac:dyDescent="0.25">
      <c r="A7256" s="6">
        <v>7227</v>
      </c>
      <c r="B7256" s="1" t="str">
        <f>"2019-2651"</f>
        <v>2019-2651</v>
      </c>
      <c r="C7256" s="1" t="s">
        <v>5471</v>
      </c>
      <c r="D7256" s="1" t="s">
        <v>3442</v>
      </c>
      <c r="E7256" s="1" t="str">
        <f>""</f>
        <v/>
      </c>
      <c r="F7256" s="1" t="s">
        <v>1860</v>
      </c>
      <c r="G7256" s="1" t="str">
        <f>CONCATENATE(" ENERGO GG D.O.O.,"," GRADIŠĆANSKA ULICA 36,"," 10000 ZAGREB,"," OIB: 37140767907")</f>
        <v xml:space="preserve"> ENERGO GG D.O.O., GRADIŠĆANSKA ULICA 36, 10000 ZAGREB, OIB: 37140767907</v>
      </c>
      <c r="H7256" s="7"/>
      <c r="I7256" s="8" t="s">
        <v>5105</v>
      </c>
      <c r="J7256" s="8" t="s">
        <v>5399</v>
      </c>
      <c r="K7256" s="6" t="str">
        <f>"139.338,00"</f>
        <v>139.338,00</v>
      </c>
      <c r="L7256" s="6" t="str">
        <f>"34.834,50"</f>
        <v>34.834,50</v>
      </c>
      <c r="M7256" s="6" t="str">
        <f>"174.172,50"</f>
        <v>174.172,50</v>
      </c>
      <c r="N7256" s="8" t="s">
        <v>4337</v>
      </c>
      <c r="O7256" s="7"/>
      <c r="P7256" s="2" t="s">
        <v>9091</v>
      </c>
      <c r="Q7256" s="7"/>
      <c r="R7256" s="1"/>
      <c r="S7256" s="1" t="str">
        <f>"J-UN-2019-5580"</f>
        <v>J-UN-2019-5580</v>
      </c>
      <c r="T7256" s="1" t="s">
        <v>32</v>
      </c>
    </row>
    <row r="7257" spans="1:20" ht="76.5" x14ac:dyDescent="0.25">
      <c r="A7257" s="6">
        <v>7228</v>
      </c>
      <c r="B7257" s="1" t="str">
        <f>"2019-2982"</f>
        <v>2019-2982</v>
      </c>
      <c r="C7257" s="1" t="s">
        <v>2651</v>
      </c>
      <c r="D7257" s="1" t="s">
        <v>2652</v>
      </c>
      <c r="E7257" s="1" t="str">
        <f>""</f>
        <v/>
      </c>
      <c r="F7257" s="1" t="s">
        <v>1860</v>
      </c>
      <c r="G7257" s="1" t="str">
        <f>CONCATENATE(" SMIT-COMMERCE D.O.O.,"," GORNJOSTUPNIČKA 9B,"," 10255 GORNJI STUPNIK,"," OIB: 9524348214")</f>
        <v xml:space="preserve"> SMIT-COMMERCE D.O.O., GORNJOSTUPNIČKA 9B, 10255 GORNJI STUPNIK, OIB: 9524348214</v>
      </c>
      <c r="H7257" s="7"/>
      <c r="I7257" s="8" t="s">
        <v>4636</v>
      </c>
      <c r="J7257" s="8" t="s">
        <v>3977</v>
      </c>
      <c r="K7257" s="6" t="str">
        <f>"781,60"</f>
        <v>781,60</v>
      </c>
      <c r="L7257" s="6" t="str">
        <f>"195,40"</f>
        <v>195,40</v>
      </c>
      <c r="M7257" s="6" t="str">
        <f>"977,00"</f>
        <v>977,00</v>
      </c>
      <c r="N7257" s="8" t="s">
        <v>3525</v>
      </c>
      <c r="O7257" s="7"/>
      <c r="P7257" s="2" t="s">
        <v>9092</v>
      </c>
      <c r="Q7257" s="7"/>
      <c r="R7257" s="1"/>
      <c r="S7257" s="1" t="str">
        <f>"J-UN-2019-5598"</f>
        <v>J-UN-2019-5598</v>
      </c>
      <c r="T7257" s="1" t="s">
        <v>32</v>
      </c>
    </row>
    <row r="7258" spans="1:20" ht="51" x14ac:dyDescent="0.25">
      <c r="A7258" s="6">
        <v>7229</v>
      </c>
      <c r="B7258" s="1" t="str">
        <f>"2019-12"</f>
        <v>2019-12</v>
      </c>
      <c r="C7258" s="1" t="s">
        <v>2711</v>
      </c>
      <c r="D7258" s="1" t="s">
        <v>1914</v>
      </c>
      <c r="E7258" s="1" t="str">
        <f>""</f>
        <v/>
      </c>
      <c r="F7258" s="1" t="s">
        <v>1860</v>
      </c>
      <c r="G7258" s="1" t="str">
        <f>CONCATENATE(" JADRAN-IMPEX D.O.O.,"," DUBROVA BB,"," 51250 NOVI VINODOLSKI,"," OIB: 87545147669")</f>
        <v xml:space="preserve"> JADRAN-IMPEX D.O.O., DUBROVA BB, 51250 NOVI VINODOLSKI, OIB: 87545147669</v>
      </c>
      <c r="H7258" s="7"/>
      <c r="I7258" s="8" t="s">
        <v>5469</v>
      </c>
      <c r="J7258" s="8" t="s">
        <v>4439</v>
      </c>
      <c r="K7258" s="6" t="str">
        <f>"12.875,40"</f>
        <v>12.875,40</v>
      </c>
      <c r="L7258" s="6" t="str">
        <f>"3.218,85"</f>
        <v>3.218,85</v>
      </c>
      <c r="M7258" s="6" t="str">
        <f>"16.094,25"</f>
        <v>16.094,25</v>
      </c>
      <c r="N7258" s="8" t="s">
        <v>124</v>
      </c>
      <c r="O7258" s="7"/>
      <c r="P7258" s="2" t="s">
        <v>5614</v>
      </c>
      <c r="Q7258" s="7"/>
      <c r="R7258" s="1"/>
      <c r="S7258" s="1" t="str">
        <f>"J-UN-2019-5626"</f>
        <v>J-UN-2019-5626</v>
      </c>
      <c r="T7258" s="1" t="s">
        <v>32</v>
      </c>
    </row>
    <row r="7259" spans="1:20" ht="51" x14ac:dyDescent="0.25">
      <c r="A7259" s="6">
        <v>7230</v>
      </c>
      <c r="B7259" s="1" t="str">
        <f>"2019-12"</f>
        <v>2019-12</v>
      </c>
      <c r="C7259" s="1" t="s">
        <v>2711</v>
      </c>
      <c r="D7259" s="1" t="s">
        <v>1914</v>
      </c>
      <c r="E7259" s="1" t="str">
        <f>""</f>
        <v/>
      </c>
      <c r="F7259" s="1" t="s">
        <v>1860</v>
      </c>
      <c r="G7259" s="1" t="str">
        <f>CONCATENATE(" JADRAN-IMPEX D.O.O.,"," DUBROVA BB,"," 51250 NOVI VINODOLSKI,"," OIB: 87545147669")</f>
        <v xml:space="preserve"> JADRAN-IMPEX D.O.O., DUBROVA BB, 51250 NOVI VINODOLSKI, OIB: 87545147669</v>
      </c>
      <c r="H7259" s="7"/>
      <c r="I7259" s="8" t="s">
        <v>5472</v>
      </c>
      <c r="J7259" s="8" t="s">
        <v>5103</v>
      </c>
      <c r="K7259" s="6" t="str">
        <f>"3.236,60"</f>
        <v>3.236,60</v>
      </c>
      <c r="L7259" s="6" t="str">
        <f>"809,15"</f>
        <v>809,15</v>
      </c>
      <c r="M7259" s="6" t="str">
        <f>"4.045,75"</f>
        <v>4.045,75</v>
      </c>
      <c r="N7259" s="8" t="s">
        <v>124</v>
      </c>
      <c r="O7259" s="7"/>
      <c r="P7259" s="2" t="s">
        <v>5614</v>
      </c>
      <c r="Q7259" s="7"/>
      <c r="R7259" s="1"/>
      <c r="S7259" s="1" t="str">
        <f>"J-UN-2019-5627"</f>
        <v>J-UN-2019-5627</v>
      </c>
      <c r="T7259" s="1" t="s">
        <v>32</v>
      </c>
    </row>
    <row r="7260" spans="1:20" ht="51" x14ac:dyDescent="0.25">
      <c r="A7260" s="6">
        <v>7231</v>
      </c>
      <c r="B7260" s="1" t="str">
        <f>"2019-3055"</f>
        <v>2019-3055</v>
      </c>
      <c r="C7260" s="1" t="s">
        <v>5473</v>
      </c>
      <c r="D7260" s="1" t="s">
        <v>3152</v>
      </c>
      <c r="E7260" s="1" t="str">
        <f>""</f>
        <v/>
      </c>
      <c r="F7260" s="1" t="s">
        <v>1860</v>
      </c>
      <c r="G7260" s="1" t="str">
        <f>CONCATENATE(" SELMONT D.O.O.,"," LJUDEVITA POSAVSKOG 26,"," 10360 SESVETE,"," OIB: 0137098129")</f>
        <v xml:space="preserve"> SELMONT D.O.O., LJUDEVITA POSAVSKOG 26, 10360 SESVETE, OIB: 0137098129</v>
      </c>
      <c r="H7260" s="7"/>
      <c r="I7260" s="8" t="s">
        <v>584</v>
      </c>
      <c r="J7260" s="8" t="s">
        <v>3977</v>
      </c>
      <c r="K7260" s="6" t="str">
        <f>"44.825,40"</f>
        <v>44.825,40</v>
      </c>
      <c r="L7260" s="6" t="str">
        <f>"11.206,35"</f>
        <v>11.206,35</v>
      </c>
      <c r="M7260" s="6" t="str">
        <f>"56.031,75"</f>
        <v>56.031,75</v>
      </c>
      <c r="N7260" s="8" t="s">
        <v>4339</v>
      </c>
      <c r="O7260" s="7"/>
      <c r="P7260" s="2" t="s">
        <v>9093</v>
      </c>
      <c r="Q7260" s="7"/>
      <c r="R7260" s="1"/>
      <c r="S7260" s="1" t="str">
        <f>"J-UN-2019-5628"</f>
        <v>J-UN-2019-5628</v>
      </c>
      <c r="T7260" s="1" t="s">
        <v>32</v>
      </c>
    </row>
    <row r="7261" spans="1:20" ht="63.75" x14ac:dyDescent="0.25">
      <c r="A7261" s="6">
        <v>7232</v>
      </c>
      <c r="B7261" s="1" t="str">
        <f>"2019-3058"</f>
        <v>2019-3058</v>
      </c>
      <c r="C7261" s="1" t="s">
        <v>2584</v>
      </c>
      <c r="D7261" s="1" t="s">
        <v>945</v>
      </c>
      <c r="E7261" s="1" t="str">
        <f>""</f>
        <v/>
      </c>
      <c r="F7261" s="1" t="s">
        <v>1860</v>
      </c>
      <c r="G7261" s="1" t="str">
        <f>CONCATENATE(" SAUBERMACHER-EKP D.O.O.,"," 4. GARDIJSKE BRIGADE 32,"," 21000 SPLIT,"," OIB: 16933460117")</f>
        <v xml:space="preserve"> SAUBERMACHER-EKP D.O.O., 4. GARDIJSKE BRIGADE 32, 21000 SPLIT, OIB: 16933460117</v>
      </c>
      <c r="H7261" s="7"/>
      <c r="I7261" s="8" t="s">
        <v>5103</v>
      </c>
      <c r="J7261" s="8" t="s">
        <v>4636</v>
      </c>
      <c r="K7261" s="6" t="str">
        <f>"158.200,00"</f>
        <v>158.200,00</v>
      </c>
      <c r="L7261" s="6" t="str">
        <f>"39.550,00"</f>
        <v>39.550,00</v>
      </c>
      <c r="M7261" s="6" t="str">
        <f>"197.750,00"</f>
        <v>197.750,00</v>
      </c>
      <c r="N7261" s="8" t="s">
        <v>5110</v>
      </c>
      <c r="O7261" s="7"/>
      <c r="P7261" s="2" t="s">
        <v>9094</v>
      </c>
      <c r="Q7261" s="7"/>
      <c r="R7261" s="1"/>
      <c r="S7261" s="1" t="str">
        <f>"J-UN-2019-5634"</f>
        <v>J-UN-2019-5634</v>
      </c>
      <c r="T7261" s="1" t="s">
        <v>32</v>
      </c>
    </row>
    <row r="7262" spans="1:20" ht="51" x14ac:dyDescent="0.25">
      <c r="A7262" s="6">
        <v>7233</v>
      </c>
      <c r="B7262" s="1" t="str">
        <f>"2019-757"</f>
        <v>2019-757</v>
      </c>
      <c r="C7262" s="1" t="s">
        <v>3085</v>
      </c>
      <c r="D7262" s="1" t="s">
        <v>2549</v>
      </c>
      <c r="E7262" s="1" t="str">
        <f>""</f>
        <v/>
      </c>
      <c r="F7262" s="1" t="s">
        <v>1860</v>
      </c>
      <c r="G7262" s="1" t="str">
        <f>CONCATENATE(" AD HOC-CENTAR D.O.O.,"," DRAŠKOVIĆEVA 4A,"," 10000 ZAGREB,"," OIB: 75132412279")</f>
        <v xml:space="preserve"> AD HOC-CENTAR D.O.O., DRAŠKOVIĆEVA 4A, 10000 ZAGREB, OIB: 75132412279</v>
      </c>
      <c r="H7262" s="7"/>
      <c r="I7262" s="8" t="s">
        <v>4439</v>
      </c>
      <c r="J7262" s="8" t="s">
        <v>4636</v>
      </c>
      <c r="K7262" s="6" t="str">
        <f>"2.550,00"</f>
        <v>2.550,00</v>
      </c>
      <c r="L7262" s="6" t="str">
        <f>"637,50"</f>
        <v>637,50</v>
      </c>
      <c r="M7262" s="6" t="str">
        <f>"3.187,50"</f>
        <v>3.187,50</v>
      </c>
      <c r="N7262" s="8" t="s">
        <v>4658</v>
      </c>
      <c r="O7262" s="7"/>
      <c r="P7262" s="2" t="s">
        <v>9095</v>
      </c>
      <c r="Q7262" s="7"/>
      <c r="R7262" s="1"/>
      <c r="S7262" s="1" t="str">
        <f>"J-UN-2019-5647"</f>
        <v>J-UN-2019-5647</v>
      </c>
      <c r="T7262" s="1" t="s">
        <v>32</v>
      </c>
    </row>
    <row r="7263" spans="1:20" ht="51" x14ac:dyDescent="0.25">
      <c r="A7263" s="6">
        <v>7234</v>
      </c>
      <c r="B7263" s="1" t="str">
        <f>"2019-2958"</f>
        <v>2019-2958</v>
      </c>
      <c r="C7263" s="1" t="s">
        <v>5474</v>
      </c>
      <c r="D7263" s="1" t="s">
        <v>2107</v>
      </c>
      <c r="E7263" s="1" t="str">
        <f>""</f>
        <v/>
      </c>
      <c r="F7263" s="1" t="s">
        <v>1860</v>
      </c>
      <c r="G7263" s="1" t="str">
        <f>CONCATENATE(" 3 E PROJEKTI D.O.O.,"," JOSIPOVIĆEVA 60,"," 10410 VELIKA GORICA,"," OIB: 16185960876")</f>
        <v xml:space="preserve"> 3 E PROJEKTI D.O.O., JOSIPOVIĆEVA 60, 10410 VELIKA GORICA, OIB: 16185960876</v>
      </c>
      <c r="H7263" s="7"/>
      <c r="I7263" s="8" t="s">
        <v>5105</v>
      </c>
      <c r="J7263" s="8" t="s">
        <v>5399</v>
      </c>
      <c r="K7263" s="6" t="str">
        <f>"128.800,00"</f>
        <v>128.800,00</v>
      </c>
      <c r="L7263" s="6" t="str">
        <f>"32.200,00"</f>
        <v>32.200,00</v>
      </c>
      <c r="M7263" s="6" t="str">
        <f>"161.000,00"</f>
        <v>161.000,00</v>
      </c>
      <c r="N7263" s="8" t="s">
        <v>1013</v>
      </c>
      <c r="O7263" s="7"/>
      <c r="P7263" s="2" t="s">
        <v>9096</v>
      </c>
      <c r="Q7263" s="7"/>
      <c r="R7263" s="1"/>
      <c r="S7263" s="1" t="str">
        <f>"J-UN-2019-5648"</f>
        <v>J-UN-2019-5648</v>
      </c>
      <c r="T7263" s="1" t="s">
        <v>32</v>
      </c>
    </row>
    <row r="7264" spans="1:20" ht="63.75" x14ac:dyDescent="0.25">
      <c r="A7264" s="6">
        <v>7235</v>
      </c>
      <c r="B7264" s="1" t="str">
        <f>"2019-1587"</f>
        <v>2019-1587</v>
      </c>
      <c r="C7264" s="1" t="s">
        <v>5257</v>
      </c>
      <c r="D7264" s="1" t="s">
        <v>1888</v>
      </c>
      <c r="E7264" s="1" t="str">
        <f>""</f>
        <v/>
      </c>
      <c r="F7264" s="1" t="s">
        <v>1860</v>
      </c>
      <c r="G7264" s="1" t="str">
        <f>CONCATENATE(" STAHLGRUBER D.O.O.,"," KERESTINEC,"," PROSINAČKA 14,"," 10431 SVETA NEDELJA,"," OIB: 49935301915")</f>
        <v xml:space="preserve"> STAHLGRUBER D.O.O., KERESTINEC, PROSINAČKA 14, 10431 SVETA NEDELJA, OIB: 49935301915</v>
      </c>
      <c r="H7264" s="7"/>
      <c r="I7264" s="8" t="s">
        <v>4110</v>
      </c>
      <c r="J7264" s="8" t="s">
        <v>3910</v>
      </c>
      <c r="K7264" s="6" t="str">
        <f>"18.653,34"</f>
        <v>18.653,34</v>
      </c>
      <c r="L7264" s="6" t="str">
        <f>"4.663,34"</f>
        <v>4.663,34</v>
      </c>
      <c r="M7264" s="6" t="str">
        <f>"23.316,68"</f>
        <v>23.316,68</v>
      </c>
      <c r="N7264" s="8" t="s">
        <v>124</v>
      </c>
      <c r="O7264" s="7"/>
      <c r="P7264" s="2" t="s">
        <v>5614</v>
      </c>
      <c r="Q7264" s="7"/>
      <c r="R7264" s="1"/>
      <c r="S7264" s="1" t="str">
        <f>"J-UN-2019-5659"</f>
        <v>J-UN-2019-5659</v>
      </c>
      <c r="T7264" s="1" t="s">
        <v>32</v>
      </c>
    </row>
    <row r="7265" spans="1:20" ht="51" x14ac:dyDescent="0.25">
      <c r="A7265" s="6">
        <v>7236</v>
      </c>
      <c r="B7265" s="1" t="str">
        <f>"2019-475"</f>
        <v>2019-475</v>
      </c>
      <c r="C7265" s="1" t="s">
        <v>2733</v>
      </c>
      <c r="D7265" s="1" t="s">
        <v>914</v>
      </c>
      <c r="E7265" s="1" t="str">
        <f>""</f>
        <v/>
      </c>
      <c r="F7265" s="1" t="s">
        <v>1860</v>
      </c>
      <c r="G7265" s="1" t="str">
        <f>CONCATENATE(" TPZ D.O.O.,"," NOVOSELSKA 25,"," 10000 ZAGREB,"," OIB: 68119083236")</f>
        <v xml:space="preserve"> TPZ D.O.O., NOVOSELSKA 25, 10000 ZAGREB, OIB: 68119083236</v>
      </c>
      <c r="H7265" s="7"/>
      <c r="I7265" s="8" t="s">
        <v>4636</v>
      </c>
      <c r="J7265" s="8" t="s">
        <v>584</v>
      </c>
      <c r="K7265" s="6" t="str">
        <f>"15.319,77"</f>
        <v>15.319,77</v>
      </c>
      <c r="L7265" s="6" t="str">
        <f>"3.829,94"</f>
        <v>3.829,94</v>
      </c>
      <c r="M7265" s="6" t="str">
        <f>"19.149,71"</f>
        <v>19.149,71</v>
      </c>
      <c r="N7265" s="8" t="s">
        <v>4110</v>
      </c>
      <c r="O7265" s="7"/>
      <c r="P7265" s="2" t="s">
        <v>9097</v>
      </c>
      <c r="Q7265" s="7"/>
      <c r="R7265" s="1"/>
      <c r="S7265" s="1" t="str">
        <f>"J-UN-2019-5707"</f>
        <v>J-UN-2019-5707</v>
      </c>
      <c r="T7265" s="1" t="s">
        <v>32</v>
      </c>
    </row>
    <row r="7266" spans="1:20" ht="51" x14ac:dyDescent="0.25">
      <c r="A7266" s="6">
        <v>7237</v>
      </c>
      <c r="B7266" s="1" t="str">
        <f>"2019-2982"</f>
        <v>2019-2982</v>
      </c>
      <c r="C7266" s="1" t="s">
        <v>2651</v>
      </c>
      <c r="D7266" s="1" t="s">
        <v>2652</v>
      </c>
      <c r="E7266" s="1" t="str">
        <f>""</f>
        <v/>
      </c>
      <c r="F7266" s="1" t="s">
        <v>1860</v>
      </c>
      <c r="G7266" s="1" t="str">
        <f>CONCATENATE(" VODOSKOK D.D.,"," ČULINEČKA CESTA 221/C,"," 10040 ZAGREB,"," OIB: 34134218058")</f>
        <v xml:space="preserve"> VODOSKOK D.D., ČULINEČKA CESTA 221/C, 10040 ZAGREB, OIB: 34134218058</v>
      </c>
      <c r="H7266" s="7"/>
      <c r="I7266" s="8" t="s">
        <v>4321</v>
      </c>
      <c r="J7266" s="8" t="s">
        <v>5107</v>
      </c>
      <c r="K7266" s="6" t="str">
        <f>"21.386,00"</f>
        <v>21.386,00</v>
      </c>
      <c r="L7266" s="6" t="str">
        <f>"5.346,50"</f>
        <v>5.346,50</v>
      </c>
      <c r="M7266" s="6" t="str">
        <f>"26.732,50"</f>
        <v>26.732,50</v>
      </c>
      <c r="N7266" s="8" t="s">
        <v>4658</v>
      </c>
      <c r="O7266" s="7"/>
      <c r="P7266" s="2" t="s">
        <v>9098</v>
      </c>
      <c r="Q7266" s="7"/>
      <c r="R7266" s="1"/>
      <c r="S7266" s="1" t="str">
        <f>"J-UN-2019-5712"</f>
        <v>J-UN-2019-5712</v>
      </c>
      <c r="T7266" s="1" t="s">
        <v>32</v>
      </c>
    </row>
    <row r="7267" spans="1:20" ht="51" x14ac:dyDescent="0.25">
      <c r="A7267" s="6">
        <v>7238</v>
      </c>
      <c r="B7267" s="1" t="str">
        <f>"2019-669"</f>
        <v>2019-669</v>
      </c>
      <c r="C7267" s="1" t="s">
        <v>2798</v>
      </c>
      <c r="D7267" s="1" t="s">
        <v>914</v>
      </c>
      <c r="E7267" s="1" t="str">
        <f>""</f>
        <v/>
      </c>
      <c r="F7267" s="1" t="s">
        <v>1860</v>
      </c>
      <c r="G7267" s="1" t="str">
        <f>CONCATENATE(" D.R. AUTO D.O.O.,"," SELSKA CESTA 34,"," 10000 ZAGREB,"," OIB: 07523847158")</f>
        <v xml:space="preserve"> D.R. AUTO D.O.O., SELSKA CESTA 34, 10000 ZAGREB, OIB: 07523847158</v>
      </c>
      <c r="H7267" s="7"/>
      <c r="I7267" s="8" t="s">
        <v>4636</v>
      </c>
      <c r="J7267" s="8" t="s">
        <v>584</v>
      </c>
      <c r="K7267" s="6" t="str">
        <f>"9.848,60"</f>
        <v>9.848,60</v>
      </c>
      <c r="L7267" s="6" t="str">
        <f>"2.462,15"</f>
        <v>2.462,15</v>
      </c>
      <c r="M7267" s="6" t="str">
        <f>"12.310,75"</f>
        <v>12.310,75</v>
      </c>
      <c r="N7267" s="8" t="s">
        <v>4636</v>
      </c>
      <c r="O7267" s="7"/>
      <c r="P7267" s="2" t="s">
        <v>9099</v>
      </c>
      <c r="Q7267" s="7"/>
      <c r="R7267" s="1"/>
      <c r="S7267" s="1" t="str">
        <f>"J-UN-2019-5715"</f>
        <v>J-UN-2019-5715</v>
      </c>
      <c r="T7267" s="1" t="s">
        <v>32</v>
      </c>
    </row>
    <row r="7268" spans="1:20" ht="51" x14ac:dyDescent="0.25">
      <c r="A7268" s="6">
        <v>7239</v>
      </c>
      <c r="B7268" s="1" t="str">
        <f>"2019-2959"</f>
        <v>2019-2959</v>
      </c>
      <c r="C7268" s="1" t="s">
        <v>5475</v>
      </c>
      <c r="D7268" s="1" t="s">
        <v>2107</v>
      </c>
      <c r="E7268" s="1" t="str">
        <f>""</f>
        <v/>
      </c>
      <c r="F7268" s="1" t="s">
        <v>1860</v>
      </c>
      <c r="G7268" s="1" t="str">
        <f>CONCATENATE(" 3 E PROJEKTI D.O.O.,"," JOSIPOVIĆEVA 60,"," 10410 VELIKA GORICA,"," OIB: 16185960876")</f>
        <v xml:space="preserve"> 3 E PROJEKTI D.O.O., JOSIPOVIĆEVA 60, 10410 VELIKA GORICA, OIB: 16185960876</v>
      </c>
      <c r="H7268" s="7"/>
      <c r="I7268" s="8" t="s">
        <v>3910</v>
      </c>
      <c r="J7268" s="8" t="s">
        <v>4321</v>
      </c>
      <c r="K7268" s="6" t="str">
        <f>"88.000,00"</f>
        <v>88.000,00</v>
      </c>
      <c r="L7268" s="6" t="str">
        <f>"22.000,00"</f>
        <v>22.000,00</v>
      </c>
      <c r="M7268" s="6" t="str">
        <f>"110.000,00"</f>
        <v>110.000,00</v>
      </c>
      <c r="N7268" s="8" t="s">
        <v>4286</v>
      </c>
      <c r="O7268" s="7"/>
      <c r="P7268" s="2" t="s">
        <v>9100</v>
      </c>
      <c r="Q7268" s="7"/>
      <c r="R7268" s="1"/>
      <c r="S7268" s="1" t="str">
        <f>"J-UN-2019-5751"</f>
        <v>J-UN-2019-5751</v>
      </c>
      <c r="T7268" s="1" t="s">
        <v>32</v>
      </c>
    </row>
    <row r="7269" spans="1:20" ht="63.75" x14ac:dyDescent="0.25">
      <c r="A7269" s="6">
        <v>7240</v>
      </c>
      <c r="B7269" s="1" t="str">
        <f>"2019-942"</f>
        <v>2019-942</v>
      </c>
      <c r="C7269" s="1" t="s">
        <v>2672</v>
      </c>
      <c r="D7269" s="1" t="s">
        <v>2673</v>
      </c>
      <c r="E7269" s="1" t="str">
        <f>""</f>
        <v/>
      </c>
      <c r="F7269" s="1" t="s">
        <v>1860</v>
      </c>
      <c r="G7269" s="1" t="str">
        <f>CONCATENATE(" ENERGETIKA MARKETING D.O.O.,"," SOKOLSKA 25,"," 10000 ZAGREB,"," OIB: 04687731207")</f>
        <v xml:space="preserve"> ENERGETIKA MARKETING D.O.O., SOKOLSKA 25, 10000 ZAGREB, OIB: 04687731207</v>
      </c>
      <c r="H7269" s="7"/>
      <c r="I7269" s="8" t="s">
        <v>5399</v>
      </c>
      <c r="J7269" s="8" t="s">
        <v>4110</v>
      </c>
      <c r="K7269" s="6" t="str">
        <f>"353,98"</f>
        <v>353,98</v>
      </c>
      <c r="L7269" s="6" t="str">
        <f>"88,50"</f>
        <v>88,50</v>
      </c>
      <c r="M7269" s="6" t="str">
        <f>"442,48"</f>
        <v>442,48</v>
      </c>
      <c r="N7269" s="8" t="s">
        <v>124</v>
      </c>
      <c r="O7269" s="7"/>
      <c r="P7269" s="2" t="s">
        <v>5614</v>
      </c>
      <c r="Q7269" s="7"/>
      <c r="R7269" s="1"/>
      <c r="S7269" s="1" t="str">
        <f>"J-UN-2019-5786"</f>
        <v>J-UN-2019-5786</v>
      </c>
      <c r="T7269" s="1" t="s">
        <v>32</v>
      </c>
    </row>
    <row r="7270" spans="1:20" ht="63.75" x14ac:dyDescent="0.25">
      <c r="A7270" s="6">
        <v>7241</v>
      </c>
      <c r="B7270" s="1" t="str">
        <f>"2019-358"</f>
        <v>2019-358</v>
      </c>
      <c r="C7270" s="1" t="s">
        <v>2677</v>
      </c>
      <c r="D7270" s="1" t="s">
        <v>2678</v>
      </c>
      <c r="E7270" s="1" t="str">
        <f>""</f>
        <v/>
      </c>
      <c r="F7270" s="1" t="s">
        <v>1860</v>
      </c>
      <c r="G7270" s="1" t="str">
        <f>CONCATENATE(" GRADSKA LJEKARNA ZAGREB,"," KRALJA DRŽISLAVA 6,"," 10000 ZAGREB,"," OIB: 37268254106")</f>
        <v xml:space="preserve"> GRADSKA LJEKARNA ZAGREB, KRALJA DRŽISLAVA 6, 10000 ZAGREB, OIB: 37268254106</v>
      </c>
      <c r="H7270" s="7"/>
      <c r="I7270" s="8" t="s">
        <v>5122</v>
      </c>
      <c r="J7270" s="8" t="s">
        <v>4324</v>
      </c>
      <c r="K7270" s="6" t="str">
        <f>"646,88"</f>
        <v>646,88</v>
      </c>
      <c r="L7270" s="6" t="str">
        <f>"161,72"</f>
        <v>161,72</v>
      </c>
      <c r="M7270" s="6" t="str">
        <f>"808,60"</f>
        <v>808,60</v>
      </c>
      <c r="N7270" s="8" t="s">
        <v>4273</v>
      </c>
      <c r="O7270" s="7"/>
      <c r="P7270" s="2" t="s">
        <v>9101</v>
      </c>
      <c r="Q7270" s="7"/>
      <c r="R7270" s="1"/>
      <c r="S7270" s="1" t="str">
        <f>"J-UN-2019-5788"</f>
        <v>J-UN-2019-5788</v>
      </c>
      <c r="T7270" s="1" t="s">
        <v>32</v>
      </c>
    </row>
    <row r="7271" spans="1:20" ht="76.5" x14ac:dyDescent="0.25">
      <c r="A7271" s="6">
        <v>7242</v>
      </c>
      <c r="B7271" s="1" t="str">
        <f>"2019-1207"</f>
        <v>2019-1207</v>
      </c>
      <c r="C7271" s="1" t="s">
        <v>3228</v>
      </c>
      <c r="D7271" s="1" t="s">
        <v>3229</v>
      </c>
      <c r="E7271" s="1" t="str">
        <f>""</f>
        <v/>
      </c>
      <c r="F7271" s="1" t="s">
        <v>1860</v>
      </c>
      <c r="G7271" s="1" t="str">
        <f>CONCATENATE(" HRVATSKI CRVENI KRIŽ,"," GRADSKO DRUŠTVO CRVENOG KRIŽA ZAGREB,"," ILICA 223,"," 10000 ZAGREB,"," OIB: 07292798848")</f>
        <v xml:space="preserve"> HRVATSKI CRVENI KRIŽ, GRADSKO DRUŠTVO CRVENOG KRIŽA ZAGREB, ILICA 223, 10000 ZAGREB, OIB: 07292798848</v>
      </c>
      <c r="H7271" s="7"/>
      <c r="I7271" s="8" t="s">
        <v>4324</v>
      </c>
      <c r="J7271" s="8" t="s">
        <v>4658</v>
      </c>
      <c r="K7271" s="6" t="str">
        <f>"8.400,00"</f>
        <v>8.400,00</v>
      </c>
      <c r="L7271" s="6" t="str">
        <f>"2.100,00"</f>
        <v>2.100,00</v>
      </c>
      <c r="M7271" s="6" t="str">
        <f>"10.500,00"</f>
        <v>10.500,00</v>
      </c>
      <c r="N7271" s="8" t="s">
        <v>4273</v>
      </c>
      <c r="O7271" s="7"/>
      <c r="P7271" s="2" t="s">
        <v>9102</v>
      </c>
      <c r="Q7271" s="7"/>
      <c r="R7271" s="1"/>
      <c r="S7271" s="1" t="str">
        <f>"J-UN-2019-5858"</f>
        <v>J-UN-2019-5858</v>
      </c>
      <c r="T7271" s="1" t="s">
        <v>32</v>
      </c>
    </row>
    <row r="7272" spans="1:20" ht="25.5" x14ac:dyDescent="0.25">
      <c r="A7272" s="6">
        <v>7243</v>
      </c>
      <c r="B7272" s="1" t="str">
        <f>"2019-2286"</f>
        <v>2019-2286</v>
      </c>
      <c r="C7272" s="1" t="s">
        <v>4653</v>
      </c>
      <c r="D7272" s="1" t="s">
        <v>1209</v>
      </c>
      <c r="E7272" s="1" t="str">
        <f>""</f>
        <v/>
      </c>
      <c r="F7272" s="1" t="s">
        <v>1860</v>
      </c>
      <c r="G7272" s="1" t="str">
        <f>CONCATENATE(" MACK-M.K. D.O.O.,"," ,"," OIB: 88145820908")</f>
        <v xml:space="preserve"> MACK-M.K. D.O.O., , OIB: 88145820908</v>
      </c>
      <c r="H7272" s="7"/>
      <c r="I7272" s="8" t="s">
        <v>3846</v>
      </c>
      <c r="J7272" s="8" t="s">
        <v>5122</v>
      </c>
      <c r="K7272" s="6" t="str">
        <f>"630,00"</f>
        <v>630,00</v>
      </c>
      <c r="L7272" s="6" t="str">
        <f>"157,50"</f>
        <v>157,50</v>
      </c>
      <c r="M7272" s="6" t="str">
        <f>"787,50"</f>
        <v>787,50</v>
      </c>
      <c r="N7272" s="8" t="s">
        <v>124</v>
      </c>
      <c r="O7272" s="7"/>
      <c r="P7272" s="2" t="s">
        <v>5614</v>
      </c>
      <c r="Q7272" s="7"/>
      <c r="R7272" s="1"/>
      <c r="S7272" s="1" t="str">
        <f>"J-UN-2019-5859"</f>
        <v>J-UN-2019-5859</v>
      </c>
      <c r="T7272" s="1" t="s">
        <v>32</v>
      </c>
    </row>
    <row r="7273" spans="1:20" ht="63.75" x14ac:dyDescent="0.25">
      <c r="A7273" s="6">
        <v>7244</v>
      </c>
      <c r="B7273" s="1" t="str">
        <f>"2019-12"</f>
        <v>2019-12</v>
      </c>
      <c r="C7273" s="1" t="s">
        <v>2711</v>
      </c>
      <c r="D7273" s="1" t="s">
        <v>1914</v>
      </c>
      <c r="E7273" s="1" t="str">
        <f>""</f>
        <v/>
      </c>
      <c r="F7273" s="1" t="s">
        <v>1860</v>
      </c>
      <c r="G7273" s="1" t="str">
        <f>CONCATENATE(" S - CO D.O.O.,"," ŠĆAVONIJA 44/E,"," 52470 UMAG (UMAGO),"," OIB: 88126633655")</f>
        <v xml:space="preserve"> S - CO D.O.O., ŠĆAVONIJA 44/E, 52470 UMAG (UMAGO), OIB: 88126633655</v>
      </c>
      <c r="H7273" s="7"/>
      <c r="I7273" s="8" t="s">
        <v>3846</v>
      </c>
      <c r="J7273" s="8" t="s">
        <v>5122</v>
      </c>
      <c r="K7273" s="6" t="str">
        <f>"11.257,17"</f>
        <v>11.257,17</v>
      </c>
      <c r="L7273" s="6" t="str">
        <f>"2.814,29"</f>
        <v>2.814,29</v>
      </c>
      <c r="M7273" s="6" t="str">
        <f>"14.071,46"</f>
        <v>14.071,46</v>
      </c>
      <c r="N7273" s="8" t="s">
        <v>124</v>
      </c>
      <c r="O7273" s="7"/>
      <c r="P7273" s="2" t="s">
        <v>5614</v>
      </c>
      <c r="Q7273" s="7"/>
      <c r="R7273" s="1"/>
      <c r="S7273" s="1" t="str">
        <f>"J-UN-2019-5860"</f>
        <v>J-UN-2019-5860</v>
      </c>
      <c r="T7273" s="1" t="s">
        <v>32</v>
      </c>
    </row>
    <row r="7274" spans="1:20" ht="63.75" x14ac:dyDescent="0.25">
      <c r="A7274" s="6">
        <v>7245</v>
      </c>
      <c r="B7274" s="1" t="str">
        <f>"2019-2252"</f>
        <v>2019-2252</v>
      </c>
      <c r="C7274" s="1" t="s">
        <v>3012</v>
      </c>
      <c r="D7274" s="1" t="s">
        <v>2673</v>
      </c>
      <c r="E7274" s="1" t="str">
        <f>""</f>
        <v/>
      </c>
      <c r="F7274" s="1" t="s">
        <v>1860</v>
      </c>
      <c r="G7274" s="1" t="str">
        <f>CONCATENATE(" STYRIA MEDIJSKI SERVISI D.O.O.,"," OREŠKOVIĆEVA 6H/1,"," 10010 ZAGREB,"," OIB: 29005509482")</f>
        <v xml:space="preserve"> STYRIA MEDIJSKI SERVISI D.O.O., OREŠKOVIĆEVA 6H/1, 10010 ZAGREB, OIB: 29005509482</v>
      </c>
      <c r="H7274" s="7"/>
      <c r="I7274" s="8" t="s">
        <v>3846</v>
      </c>
      <c r="J7274" s="8" t="s">
        <v>5122</v>
      </c>
      <c r="K7274" s="6" t="str">
        <f>"2.877,60"</f>
        <v>2.877,60</v>
      </c>
      <c r="L7274" s="6" t="str">
        <f>"719,40"</f>
        <v>719,40</v>
      </c>
      <c r="M7274" s="6" t="str">
        <f>"3.597,00"</f>
        <v>3.597,00</v>
      </c>
      <c r="N7274" s="8" t="s">
        <v>124</v>
      </c>
      <c r="O7274" s="7"/>
      <c r="P7274" s="2" t="s">
        <v>5614</v>
      </c>
      <c r="Q7274" s="7"/>
      <c r="R7274" s="1"/>
      <c r="S7274" s="1" t="str">
        <f>"J-UN-2019-5865"</f>
        <v>J-UN-2019-5865</v>
      </c>
      <c r="T7274" s="1" t="s">
        <v>32</v>
      </c>
    </row>
    <row r="7275" spans="1:20" ht="51" x14ac:dyDescent="0.25">
      <c r="A7275" s="6">
        <v>7246</v>
      </c>
      <c r="B7275" s="1" t="str">
        <f>"2019-2046"</f>
        <v>2019-2046</v>
      </c>
      <c r="C7275" s="1" t="s">
        <v>5476</v>
      </c>
      <c r="D7275" s="1" t="s">
        <v>1373</v>
      </c>
      <c r="E7275" s="1" t="str">
        <f>""</f>
        <v/>
      </c>
      <c r="F7275" s="1" t="s">
        <v>1860</v>
      </c>
      <c r="G7275" s="1" t="str">
        <f>CONCATENATE(" ELEKTROMETAL NOVA D.O.O.,"," FERDE RUSANA 21,"," 43000 BJELOVAR,"," OIB: 02542413872")</f>
        <v xml:space="preserve"> ELEKTROMETAL NOVA D.O.O., FERDE RUSANA 21, 43000 BJELOVAR, OIB: 02542413872</v>
      </c>
      <c r="H7275" s="7"/>
      <c r="I7275" s="8" t="s">
        <v>3528</v>
      </c>
      <c r="J7275" s="8" t="s">
        <v>4045</v>
      </c>
      <c r="K7275" s="6" t="str">
        <f>"74.598,00"</f>
        <v>74.598,00</v>
      </c>
      <c r="L7275" s="6" t="str">
        <f>"18.649,50"</f>
        <v>18.649,50</v>
      </c>
      <c r="M7275" s="6" t="str">
        <f>"93.247,50"</f>
        <v>93.247,50</v>
      </c>
      <c r="N7275" s="8" t="s">
        <v>3691</v>
      </c>
      <c r="O7275" s="7"/>
      <c r="P7275" s="2" t="s">
        <v>9103</v>
      </c>
      <c r="Q7275" s="7"/>
      <c r="R7275" s="1"/>
      <c r="S7275" s="1" t="str">
        <f>"J-UN-2019-5869"</f>
        <v>J-UN-2019-5869</v>
      </c>
      <c r="T7275" s="1" t="s">
        <v>32</v>
      </c>
    </row>
    <row r="7276" spans="1:20" ht="51" x14ac:dyDescent="0.25">
      <c r="A7276" s="6">
        <v>7247</v>
      </c>
      <c r="B7276" s="1" t="str">
        <f>"2019-944"</f>
        <v>2019-944</v>
      </c>
      <c r="C7276" s="1" t="s">
        <v>3268</v>
      </c>
      <c r="D7276" s="1" t="s">
        <v>381</v>
      </c>
      <c r="E7276" s="1" t="str">
        <f>""</f>
        <v/>
      </c>
      <c r="F7276" s="1" t="s">
        <v>1860</v>
      </c>
      <c r="G7276" s="1" t="str">
        <f>CONCATENATE(" INSPEKT D.O.O.,"," AVENIJA DUBROVNIK 15,"," 10020 ZAGREB,"," OIB: 24609583524")</f>
        <v xml:space="preserve"> INSPEKT D.O.O., AVENIJA DUBROVNIK 15, 10020 ZAGREB, OIB: 24609583524</v>
      </c>
      <c r="H7276" s="7"/>
      <c r="I7276" s="8" t="s">
        <v>4641</v>
      </c>
      <c r="J7276" s="8" t="s">
        <v>4045</v>
      </c>
      <c r="K7276" s="6" t="str">
        <f>"19.565,00"</f>
        <v>19.565,00</v>
      </c>
      <c r="L7276" s="6" t="str">
        <f>"4.891,25"</f>
        <v>4.891,25</v>
      </c>
      <c r="M7276" s="6" t="str">
        <f>"24.456,25"</f>
        <v>24.456,25</v>
      </c>
      <c r="N7276" s="8" t="s">
        <v>695</v>
      </c>
      <c r="O7276" s="7"/>
      <c r="P7276" s="2" t="s">
        <v>9104</v>
      </c>
      <c r="Q7276" s="7"/>
      <c r="R7276" s="1"/>
      <c r="S7276" s="1" t="str">
        <f>"J-UN-2019-5877"</f>
        <v>J-UN-2019-5877</v>
      </c>
      <c r="T7276" s="1" t="s">
        <v>32</v>
      </c>
    </row>
    <row r="7277" spans="1:20" ht="114.75" x14ac:dyDescent="0.25">
      <c r="A7277" s="6">
        <v>7248</v>
      </c>
      <c r="B7277" s="1" t="str">
        <f>"2019-2676"</f>
        <v>2019-2676</v>
      </c>
      <c r="C7277" s="1" t="s">
        <v>5400</v>
      </c>
      <c r="D7277" s="1" t="s">
        <v>5341</v>
      </c>
      <c r="E7277" s="1" t="str">
        <f>""</f>
        <v/>
      </c>
      <c r="F7277" s="1" t="s">
        <v>1860</v>
      </c>
      <c r="G7277" s="1" t="str">
        <f>CONCATENATE(" ELEX D.O.O.,"," SVIBJE,"," SAVSKA 70,"," 10361 SESVETSKI KRALJEVEC,"," OIB: 34421776805")</f>
        <v xml:space="preserve"> ELEX D.O.O., SVIBJE, SAVSKA 70, 10361 SESVETSKI KRALJEVEC, OIB: 34421776805</v>
      </c>
      <c r="H7277" s="7"/>
      <c r="I7277" s="8" t="s">
        <v>4337</v>
      </c>
      <c r="J7277" s="8" t="s">
        <v>4445</v>
      </c>
      <c r="K7277" s="6" t="str">
        <f>"10.760,00"</f>
        <v>10.760,00</v>
      </c>
      <c r="L7277" s="6" t="str">
        <f>"2.690,00"</f>
        <v>2.690,00</v>
      </c>
      <c r="M7277" s="6" t="str">
        <f>"13.450,00"</f>
        <v>13.450,00</v>
      </c>
      <c r="N7277" s="8" t="s">
        <v>5477</v>
      </c>
      <c r="O7277" s="7"/>
      <c r="P7277" s="2" t="s">
        <v>9105</v>
      </c>
      <c r="Q7277" s="7"/>
      <c r="R7277" s="1"/>
      <c r="S7277" s="1" t="str">
        <f>"J-UN-2019-5885"</f>
        <v>J-UN-2019-5885</v>
      </c>
      <c r="T7277" s="1" t="s">
        <v>32</v>
      </c>
    </row>
    <row r="7278" spans="1:20" ht="63.75" x14ac:dyDescent="0.25">
      <c r="A7278" s="6">
        <v>7249</v>
      </c>
      <c r="B7278" s="1" t="str">
        <f>"2019-1340"</f>
        <v>2019-1340</v>
      </c>
      <c r="C7278" s="1" t="s">
        <v>2702</v>
      </c>
      <c r="D7278" s="1" t="s">
        <v>1209</v>
      </c>
      <c r="E7278" s="1" t="str">
        <f>""</f>
        <v/>
      </c>
      <c r="F7278" s="1" t="s">
        <v>1860</v>
      </c>
      <c r="G7278" s="1" t="str">
        <f>CONCATENATE(" DRÄGER SAFETY D.O.O.,"," AVENIJA VEĆESLAVA HOLJEVCA 40,"," 10010 ZAGREB,"," OIB: 32874587842")</f>
        <v xml:space="preserve"> DRÄGER SAFETY D.O.O., AVENIJA VEĆESLAVA HOLJEVCA 40, 10010 ZAGREB, OIB: 32874587842</v>
      </c>
      <c r="H7278" s="7"/>
      <c r="I7278" s="8" t="s">
        <v>4658</v>
      </c>
      <c r="J7278" s="8" t="s">
        <v>4337</v>
      </c>
      <c r="K7278" s="6" t="str">
        <f>"1.102,50"</f>
        <v>1.102,50</v>
      </c>
      <c r="L7278" s="6" t="str">
        <f>"275,62"</f>
        <v>275,62</v>
      </c>
      <c r="M7278" s="6" t="str">
        <f>"1.378,12"</f>
        <v>1.378,12</v>
      </c>
      <c r="N7278" s="8" t="s">
        <v>3691</v>
      </c>
      <c r="O7278" s="7"/>
      <c r="P7278" s="2" t="s">
        <v>9106</v>
      </c>
      <c r="Q7278" s="7"/>
      <c r="R7278" s="1"/>
      <c r="S7278" s="1" t="str">
        <f>"J-UN-2019-5903"</f>
        <v>J-UN-2019-5903</v>
      </c>
      <c r="T7278" s="1" t="s">
        <v>32</v>
      </c>
    </row>
    <row r="7279" spans="1:20" ht="63.75" x14ac:dyDescent="0.25">
      <c r="A7279" s="6">
        <v>7250</v>
      </c>
      <c r="B7279" s="1" t="str">
        <f>"2019-2252"</f>
        <v>2019-2252</v>
      </c>
      <c r="C7279" s="1" t="s">
        <v>3012</v>
      </c>
      <c r="D7279" s="1" t="s">
        <v>2673</v>
      </c>
      <c r="E7279" s="1" t="str">
        <f>""</f>
        <v/>
      </c>
      <c r="F7279" s="1" t="s">
        <v>1860</v>
      </c>
      <c r="G7279" s="1" t="str">
        <f>CONCATENATE(" NARODNE NOVINE D.D.,"," SAVSKI GAJ XIII. PUT br. 6,"," 10000 ZAGREB,"," OIB: 64546066176")</f>
        <v xml:space="preserve"> NARODNE NOVINE D.D., SAVSKI GAJ XIII. PUT br. 6, 10000 ZAGREB, OIB: 64546066176</v>
      </c>
      <c r="H7279" s="7"/>
      <c r="I7279" s="8" t="s">
        <v>5107</v>
      </c>
      <c r="J7279" s="8" t="s">
        <v>5122</v>
      </c>
      <c r="K7279" s="6" t="str">
        <f>"309,60"</f>
        <v>309,60</v>
      </c>
      <c r="L7279" s="6" t="str">
        <f>"77,40"</f>
        <v>77,40</v>
      </c>
      <c r="M7279" s="6" t="str">
        <f>"387,00"</f>
        <v>387,00</v>
      </c>
      <c r="N7279" s="8" t="s">
        <v>124</v>
      </c>
      <c r="O7279" s="7"/>
      <c r="P7279" s="2" t="s">
        <v>5614</v>
      </c>
      <c r="Q7279" s="7"/>
      <c r="R7279" s="1"/>
      <c r="S7279" s="1" t="str">
        <f>"J-UN-2019-5910"</f>
        <v>J-UN-2019-5910</v>
      </c>
      <c r="T7279" s="1" t="s">
        <v>32</v>
      </c>
    </row>
    <row r="7280" spans="1:20" ht="51" x14ac:dyDescent="0.25">
      <c r="A7280" s="6">
        <v>7251</v>
      </c>
      <c r="B7280" s="1" t="str">
        <f>"2019-475"</f>
        <v>2019-475</v>
      </c>
      <c r="C7280" s="1" t="s">
        <v>2733</v>
      </c>
      <c r="D7280" s="1" t="s">
        <v>914</v>
      </c>
      <c r="E7280" s="1" t="str">
        <f>""</f>
        <v/>
      </c>
      <c r="F7280" s="1" t="s">
        <v>1860</v>
      </c>
      <c r="G7280" s="1" t="str">
        <f>CONCATENATE(" TPZ D.O.O.,"," NOVOSELSKA 25,"," 10000 ZAGREB,"," OIB: 68119083236")</f>
        <v xml:space="preserve"> TPZ D.O.O., NOVOSELSKA 25, 10000 ZAGREB, OIB: 68119083236</v>
      </c>
      <c r="H7280" s="7"/>
      <c r="I7280" s="8" t="s">
        <v>3846</v>
      </c>
      <c r="J7280" s="8" t="s">
        <v>3525</v>
      </c>
      <c r="K7280" s="6" t="str">
        <f>"16.792,55"</f>
        <v>16.792,55</v>
      </c>
      <c r="L7280" s="6" t="str">
        <f>"4.198,14"</f>
        <v>4.198,14</v>
      </c>
      <c r="M7280" s="6" t="str">
        <f>"20.990,69"</f>
        <v>20.990,69</v>
      </c>
      <c r="N7280" s="8" t="s">
        <v>124</v>
      </c>
      <c r="O7280" s="7"/>
      <c r="P7280" s="2" t="s">
        <v>5614</v>
      </c>
      <c r="Q7280" s="7"/>
      <c r="R7280" s="1"/>
      <c r="S7280" s="1" t="str">
        <f>"J-UN-2019-5917"</f>
        <v>J-UN-2019-5917</v>
      </c>
      <c r="T7280" s="1" t="s">
        <v>32</v>
      </c>
    </row>
    <row r="7281" spans="1:20" ht="63.75" x14ac:dyDescent="0.25">
      <c r="A7281" s="6">
        <v>7252</v>
      </c>
      <c r="B7281" s="1" t="str">
        <f>"2019-3092"</f>
        <v>2019-3092</v>
      </c>
      <c r="C7281" s="1" t="s">
        <v>5478</v>
      </c>
      <c r="D7281" s="1" t="s">
        <v>4047</v>
      </c>
      <c r="E7281" s="1" t="str">
        <f>""</f>
        <v/>
      </c>
      <c r="F7281" s="1" t="s">
        <v>1860</v>
      </c>
      <c r="G7281" s="1" t="str">
        <f>CONCATENATE(" STUDIO ARHING D.O.O,"," ĆIRE TRUHELKE 49,"," 10000 ZAGREB,"," OIB: 17870151363")</f>
        <v xml:space="preserve"> STUDIO ARHING D.O.O, ĆIRE TRUHELKE 49, 10000 ZAGREB, OIB: 17870151363</v>
      </c>
      <c r="H7281" s="7"/>
      <c r="I7281" s="8" t="s">
        <v>3846</v>
      </c>
      <c r="J7281" s="8" t="s">
        <v>3525</v>
      </c>
      <c r="K7281" s="6" t="str">
        <f>"190.000,00"</f>
        <v>190.000,00</v>
      </c>
      <c r="L7281" s="6" t="str">
        <f>"47.500,00"</f>
        <v>47.500,00</v>
      </c>
      <c r="M7281" s="6" t="str">
        <f>"237.500,00"</f>
        <v>237.500,00</v>
      </c>
      <c r="N7281" s="8" t="s">
        <v>3815</v>
      </c>
      <c r="O7281" s="7"/>
      <c r="P7281" s="2" t="s">
        <v>7053</v>
      </c>
      <c r="Q7281" s="1"/>
      <c r="R7281" s="1"/>
      <c r="S7281" s="1" t="str">
        <f>"J-UN-2019-5927"</f>
        <v>J-UN-2019-5927</v>
      </c>
      <c r="T7281" s="1" t="s">
        <v>32</v>
      </c>
    </row>
    <row r="7282" spans="1:20" ht="76.5" x14ac:dyDescent="0.25">
      <c r="A7282" s="6">
        <v>7253</v>
      </c>
      <c r="B7282" s="1" t="str">
        <f>"2019-2982"</f>
        <v>2019-2982</v>
      </c>
      <c r="C7282" s="1" t="s">
        <v>2651</v>
      </c>
      <c r="D7282" s="1" t="s">
        <v>2652</v>
      </c>
      <c r="E7282" s="1" t="str">
        <f>""</f>
        <v/>
      </c>
      <c r="F7282" s="1" t="s">
        <v>1860</v>
      </c>
      <c r="G7282" s="1" t="str">
        <f>CONCATENATE(" SMIT-COMMERCE D.O.O.,"," GORNJOSTUPNIČKA 9B,"," 10255 GORNJI STUPNIK,"," OIB: 9524348214")</f>
        <v xml:space="preserve"> SMIT-COMMERCE D.O.O., GORNJOSTUPNIČKA 9B, 10255 GORNJI STUPNIK, OIB: 9524348214</v>
      </c>
      <c r="H7282" s="7"/>
      <c r="I7282" s="8" t="s">
        <v>4641</v>
      </c>
      <c r="J7282" s="8" t="s">
        <v>4052</v>
      </c>
      <c r="K7282" s="6" t="str">
        <f>"10.000,00"</f>
        <v>10.000,00</v>
      </c>
      <c r="L7282" s="6" t="str">
        <f>"2.500,00"</f>
        <v>2.500,00</v>
      </c>
      <c r="M7282" s="6" t="str">
        <f>"12.500,00"</f>
        <v>12.500,00</v>
      </c>
      <c r="N7282" s="8" t="s">
        <v>4363</v>
      </c>
      <c r="O7282" s="7"/>
      <c r="P7282" s="2" t="s">
        <v>9107</v>
      </c>
      <c r="Q7282" s="7"/>
      <c r="R7282" s="1"/>
      <c r="S7282" s="1" t="str">
        <f>"J-UN-2019-5931"</f>
        <v>J-UN-2019-5931</v>
      </c>
      <c r="T7282" s="1" t="s">
        <v>32</v>
      </c>
    </row>
    <row r="7283" spans="1:20" ht="63.75" x14ac:dyDescent="0.25">
      <c r="A7283" s="6">
        <v>7254</v>
      </c>
      <c r="B7283" s="1" t="str">
        <f>"2019-1602"</f>
        <v>2019-1602</v>
      </c>
      <c r="C7283" s="1" t="s">
        <v>2675</v>
      </c>
      <c r="D7283" s="1" t="s">
        <v>2676</v>
      </c>
      <c r="E7283" s="1" t="str">
        <f>""</f>
        <v/>
      </c>
      <c r="F7283" s="1" t="s">
        <v>1860</v>
      </c>
      <c r="G7283" s="1" t="str">
        <f>CONCATENATE(" EMIL FREY AUTO CENTAR D.O.O.,"," KOVINSKA 5,"," 10000 ZAGREB,"," OIB: 01930677284")</f>
        <v xml:space="preserve"> EMIL FREY AUTO CENTAR D.O.O., KOVINSKA 5, 10000 ZAGREB, OIB: 01930677284</v>
      </c>
      <c r="H7283" s="7"/>
      <c r="I7283" s="8" t="s">
        <v>5122</v>
      </c>
      <c r="J7283" s="8" t="s">
        <v>3525</v>
      </c>
      <c r="K7283" s="6" t="str">
        <f>"1.511,35"</f>
        <v>1.511,35</v>
      </c>
      <c r="L7283" s="6" t="str">
        <f>"377,84"</f>
        <v>377,84</v>
      </c>
      <c r="M7283" s="6" t="str">
        <f>"1.889,19"</f>
        <v>1.889,19</v>
      </c>
      <c r="N7283" s="8" t="s">
        <v>4431</v>
      </c>
      <c r="O7283" s="7"/>
      <c r="P7283" s="2" t="s">
        <v>9108</v>
      </c>
      <c r="Q7283" s="7"/>
      <c r="R7283" s="1"/>
      <c r="S7283" s="1" t="str">
        <f>"J-UN-2019-5936"</f>
        <v>J-UN-2019-5936</v>
      </c>
      <c r="T7283" s="1" t="s">
        <v>32</v>
      </c>
    </row>
    <row r="7284" spans="1:20" ht="38.25" x14ac:dyDescent="0.25">
      <c r="A7284" s="6">
        <v>7255</v>
      </c>
      <c r="B7284" s="1" t="str">
        <f>"2019-680"</f>
        <v>2019-680</v>
      </c>
      <c r="C7284" s="1" t="s">
        <v>2808</v>
      </c>
      <c r="D7284" s="1" t="s">
        <v>2809</v>
      </c>
      <c r="E7284" s="1" t="str">
        <f>""</f>
        <v/>
      </c>
      <c r="F7284" s="1" t="s">
        <v>1860</v>
      </c>
      <c r="G7284" s="1" t="str">
        <f>CONCATENATE(" BBB  D.O.O.,"," SOPNIČKA 93A,"," 10360 SESVETE,"," OIB: 46219067545")</f>
        <v xml:space="preserve"> BBB  D.O.O., SOPNIČKA 93A, 10360 SESVETE, OIB: 46219067545</v>
      </c>
      <c r="H7284" s="7"/>
      <c r="I7284" s="8" t="s">
        <v>3525</v>
      </c>
      <c r="J7284" s="8" t="s">
        <v>4324</v>
      </c>
      <c r="K7284" s="6" t="str">
        <f>"15.000,00"</f>
        <v>15.000,00</v>
      </c>
      <c r="L7284" s="6" t="str">
        <f>"3.750,00"</f>
        <v>3.750,00</v>
      </c>
      <c r="M7284" s="6" t="str">
        <f>"18.750,00"</f>
        <v>18.750,00</v>
      </c>
      <c r="N7284" s="8" t="s">
        <v>124</v>
      </c>
      <c r="O7284" s="7"/>
      <c r="P7284" s="2" t="s">
        <v>5614</v>
      </c>
      <c r="Q7284" s="7"/>
      <c r="R7284" s="1"/>
      <c r="S7284" s="1" t="str">
        <f>"J-UN-2019-5939"</f>
        <v>J-UN-2019-5939</v>
      </c>
      <c r="T7284" s="1" t="s">
        <v>32</v>
      </c>
    </row>
    <row r="7285" spans="1:20" ht="51" x14ac:dyDescent="0.25">
      <c r="A7285" s="6">
        <v>7256</v>
      </c>
      <c r="B7285" s="1" t="str">
        <f>"2019-2340"</f>
        <v>2019-2340</v>
      </c>
      <c r="C7285" s="1" t="s">
        <v>2737</v>
      </c>
      <c r="D7285" s="1" t="s">
        <v>689</v>
      </c>
      <c r="E7285" s="1" t="str">
        <f>""</f>
        <v/>
      </c>
      <c r="F7285" s="1" t="s">
        <v>1860</v>
      </c>
      <c r="G7285" s="1" t="str">
        <f>CONCATENATE(" SCHEDA D.O.O.,"," LJUDEVITA POSAVSKOG 29,"," 10360 SESVETE,"," OIB: 76219817247")</f>
        <v xml:space="preserve"> SCHEDA D.O.O., LJUDEVITA POSAVSKOG 29, 10360 SESVETE, OIB: 76219817247</v>
      </c>
      <c r="H7285" s="7"/>
      <c r="I7285" s="8" t="s">
        <v>4445</v>
      </c>
      <c r="J7285" s="8" t="s">
        <v>3528</v>
      </c>
      <c r="K7285" s="6" t="str">
        <f>"16.800,00"</f>
        <v>16.800,00</v>
      </c>
      <c r="L7285" s="6" t="str">
        <f>"4.200,00"</f>
        <v>4.200,00</v>
      </c>
      <c r="M7285" s="6" t="str">
        <f>"21.000,00"</f>
        <v>21.000,00</v>
      </c>
      <c r="N7285" s="8" t="s">
        <v>124</v>
      </c>
      <c r="O7285" s="7"/>
      <c r="P7285" s="2" t="s">
        <v>5614</v>
      </c>
      <c r="Q7285" s="7"/>
      <c r="R7285" s="1"/>
      <c r="S7285" s="1" t="str">
        <f>"J-UN-2019-5944"</f>
        <v>J-UN-2019-5944</v>
      </c>
      <c r="T7285" s="1" t="s">
        <v>32</v>
      </c>
    </row>
    <row r="7286" spans="1:20" ht="76.5" x14ac:dyDescent="0.25">
      <c r="A7286" s="6">
        <v>7257</v>
      </c>
      <c r="B7286" s="1" t="str">
        <f>"2019-261"</f>
        <v>2019-261</v>
      </c>
      <c r="C7286" s="1" t="s">
        <v>5369</v>
      </c>
      <c r="D7286" s="1" t="s">
        <v>1007</v>
      </c>
      <c r="E7286" s="1" t="str">
        <f>""</f>
        <v/>
      </c>
      <c r="F7286" s="1" t="s">
        <v>1860</v>
      </c>
      <c r="G7286" s="1" t="str">
        <f>CONCATENATE(" BILIĆ-ERIĆ D.O.O.,"," TRGOVAČKI CENTAR MILLENNIJUM,"," LJUDEVITA POSAVSKOG 3,"," 10360 SESVETE,"," OIB: 685801282")</f>
        <v xml:space="preserve"> BILIĆ-ERIĆ D.O.O., TRGOVAČKI CENTAR MILLENNIJUM, LJUDEVITA POSAVSKOG 3, 10360 SESVETE, OIB: 685801282</v>
      </c>
      <c r="H7286" s="7"/>
      <c r="I7286" s="8" t="s">
        <v>3525</v>
      </c>
      <c r="J7286" s="8" t="s">
        <v>5327</v>
      </c>
      <c r="K7286" s="6" t="str">
        <f>"5.220,00"</f>
        <v>5.220,00</v>
      </c>
      <c r="L7286" s="6" t="str">
        <f>"1.305,00"</f>
        <v>1.305,00</v>
      </c>
      <c r="M7286" s="6" t="str">
        <f>"6.525,00"</f>
        <v>6.525,00</v>
      </c>
      <c r="N7286" s="8" t="s">
        <v>124</v>
      </c>
      <c r="O7286" s="7"/>
      <c r="P7286" s="2" t="s">
        <v>5614</v>
      </c>
      <c r="Q7286" s="7"/>
      <c r="R7286" s="1"/>
      <c r="S7286" s="1" t="str">
        <f>"J-UN-2019-5979"</f>
        <v>J-UN-2019-5979</v>
      </c>
      <c r="T7286" s="1" t="s">
        <v>32</v>
      </c>
    </row>
    <row r="7287" spans="1:20" ht="51" x14ac:dyDescent="0.25">
      <c r="A7287" s="6">
        <v>7258</v>
      </c>
      <c r="B7287" s="1" t="str">
        <f>"2019-2186"</f>
        <v>2019-2186</v>
      </c>
      <c r="C7287" s="1" t="s">
        <v>2558</v>
      </c>
      <c r="D7287" s="1" t="s">
        <v>860</v>
      </c>
      <c r="E7287" s="1" t="str">
        <f>""</f>
        <v/>
      </c>
      <c r="F7287" s="1" t="s">
        <v>1860</v>
      </c>
      <c r="G7287" s="1" t="str">
        <f>CONCATENATE(" LUMAKO TIM D.O.O.,"," KIRINŠČAK 25,"," 10000 ZAGREB,"," OIB: 42244128744")</f>
        <v xml:space="preserve"> LUMAKO TIM D.O.O., KIRINŠČAK 25, 10000 ZAGREB, OIB: 42244128744</v>
      </c>
      <c r="H7287" s="7"/>
      <c r="I7287" s="8" t="s">
        <v>3528</v>
      </c>
      <c r="J7287" s="8" t="s">
        <v>4045</v>
      </c>
      <c r="K7287" s="6" t="str">
        <f>"3.420,00"</f>
        <v>3.420,00</v>
      </c>
      <c r="L7287" s="6" t="str">
        <f>"855,00"</f>
        <v>855,00</v>
      </c>
      <c r="M7287" s="6" t="str">
        <f>"4.275,00"</f>
        <v>4.275,00</v>
      </c>
      <c r="N7287" s="8" t="s">
        <v>124</v>
      </c>
      <c r="O7287" s="7"/>
      <c r="P7287" s="2" t="s">
        <v>5614</v>
      </c>
      <c r="Q7287" s="7"/>
      <c r="R7287" s="1"/>
      <c r="S7287" s="1" t="str">
        <f>"J-UN-2019-5989"</f>
        <v>J-UN-2019-5989</v>
      </c>
      <c r="T7287" s="1" t="s">
        <v>32</v>
      </c>
    </row>
    <row r="7288" spans="1:20" ht="51" x14ac:dyDescent="0.25">
      <c r="A7288" s="6">
        <v>7259</v>
      </c>
      <c r="B7288" s="1" t="str">
        <f>"2019-1481"</f>
        <v>2019-1481</v>
      </c>
      <c r="C7288" s="1" t="s">
        <v>1289</v>
      </c>
      <c r="D7288" s="1" t="s">
        <v>1290</v>
      </c>
      <c r="E7288" s="1" t="str">
        <f>""</f>
        <v/>
      </c>
      <c r="F7288" s="1" t="s">
        <v>1860</v>
      </c>
      <c r="G7288" s="1" t="str">
        <f>CONCATENATE(" TORBARINA D.O.O.,"," NOVA CESTA 3,"," 10412 DONJA LOMNICA,"," OIB: 02603292627")</f>
        <v xml:space="preserve"> TORBARINA D.O.O., NOVA CESTA 3, 10412 DONJA LOMNICA, OIB: 02603292627</v>
      </c>
      <c r="H7288" s="7"/>
      <c r="I7288" s="8" t="s">
        <v>3528</v>
      </c>
      <c r="J7288" s="8" t="s">
        <v>4641</v>
      </c>
      <c r="K7288" s="6" t="str">
        <f>"3.860,00"</f>
        <v>3.860,00</v>
      </c>
      <c r="L7288" s="6" t="str">
        <f>"965,00"</f>
        <v>965,00</v>
      </c>
      <c r="M7288" s="6" t="str">
        <f>"4.825,00"</f>
        <v>4.825,00</v>
      </c>
      <c r="N7288" s="8" t="s">
        <v>124</v>
      </c>
      <c r="O7288" s="7"/>
      <c r="P7288" s="2" t="s">
        <v>5614</v>
      </c>
      <c r="Q7288" s="7"/>
      <c r="R7288" s="1"/>
      <c r="S7288" s="1" t="str">
        <f>"J-UN-2019-5996"</f>
        <v>J-UN-2019-5996</v>
      </c>
      <c r="T7288" s="1" t="s">
        <v>32</v>
      </c>
    </row>
    <row r="7289" spans="1:20" ht="63.75" x14ac:dyDescent="0.25">
      <c r="A7289" s="6">
        <v>7260</v>
      </c>
      <c r="B7289" s="1" t="str">
        <f>"2019-1619"</f>
        <v>2019-1619</v>
      </c>
      <c r="C7289" s="1" t="s">
        <v>2937</v>
      </c>
      <c r="D7289" s="1" t="s">
        <v>2938</v>
      </c>
      <c r="E7289" s="1" t="str">
        <f>""</f>
        <v/>
      </c>
      <c r="F7289" s="1" t="s">
        <v>1860</v>
      </c>
      <c r="G7289" s="1" t="str">
        <f>CONCATENATE(" POLJOOPSKRBA-TEHNO D.D.,"," SAMOBORSKA 96,"," 10000 ZAGREB,"," OIB: 5372167324")</f>
        <v xml:space="preserve"> POLJOOPSKRBA-TEHNO D.D., SAMOBORSKA 96, 10000 ZAGREB, OIB: 5372167324</v>
      </c>
      <c r="H7289" s="7"/>
      <c r="I7289" s="8" t="s">
        <v>3528</v>
      </c>
      <c r="J7289" s="8" t="s">
        <v>4045</v>
      </c>
      <c r="K7289" s="6" t="str">
        <f>"17.286,40"</f>
        <v>17.286,40</v>
      </c>
      <c r="L7289" s="6" t="str">
        <f>"4.321,60"</f>
        <v>4.321,60</v>
      </c>
      <c r="M7289" s="6" t="str">
        <f>"21.608,00"</f>
        <v>21.608,00</v>
      </c>
      <c r="N7289" s="8" t="s">
        <v>124</v>
      </c>
      <c r="O7289" s="7"/>
      <c r="P7289" s="2" t="s">
        <v>5614</v>
      </c>
      <c r="Q7289" s="7"/>
      <c r="R7289" s="1"/>
      <c r="S7289" s="1" t="str">
        <f>"J-UN-2019-5997"</f>
        <v>J-UN-2019-5997</v>
      </c>
      <c r="T7289" s="1" t="s">
        <v>32</v>
      </c>
    </row>
    <row r="7290" spans="1:20" ht="51" x14ac:dyDescent="0.25">
      <c r="A7290" s="6">
        <v>7261</v>
      </c>
      <c r="B7290" s="1" t="str">
        <f>"2019-1619"</f>
        <v>2019-1619</v>
      </c>
      <c r="C7290" s="1" t="s">
        <v>2937</v>
      </c>
      <c r="D7290" s="1" t="s">
        <v>2938</v>
      </c>
      <c r="E7290" s="1" t="str">
        <f>""</f>
        <v/>
      </c>
      <c r="F7290" s="1" t="s">
        <v>1860</v>
      </c>
      <c r="G7290" s="1" t="str">
        <f>CONCATENATE(" VERTIKO D.O.O.,"," GOSPODARSKA 10a,"," 10255 DONJI STUPNIK,"," OIB: 82801177366")</f>
        <v xml:space="preserve"> VERTIKO D.O.O., GOSPODARSKA 10a, 10255 DONJI STUPNIK, OIB: 82801177366</v>
      </c>
      <c r="H7290" s="7"/>
      <c r="I7290" s="8" t="s">
        <v>3528</v>
      </c>
      <c r="J7290" s="8" t="s">
        <v>4045</v>
      </c>
      <c r="K7290" s="6" t="str">
        <f>"19.774,42"</f>
        <v>19.774,42</v>
      </c>
      <c r="L7290" s="6" t="str">
        <f>"4.943,60"</f>
        <v>4.943,60</v>
      </c>
      <c r="M7290" s="6" t="str">
        <f>"24.718,02"</f>
        <v>24.718,02</v>
      </c>
      <c r="N7290" s="8" t="s">
        <v>4279</v>
      </c>
      <c r="O7290" s="7"/>
      <c r="P7290" s="2" t="s">
        <v>9109</v>
      </c>
      <c r="Q7290" s="7"/>
      <c r="R7290" s="1"/>
      <c r="S7290" s="1" t="str">
        <f>"J-UN-2019-5998"</f>
        <v>J-UN-2019-5998</v>
      </c>
      <c r="T7290" s="1" t="s">
        <v>32</v>
      </c>
    </row>
    <row r="7291" spans="1:20" ht="63.75" x14ac:dyDescent="0.25">
      <c r="A7291" s="6">
        <v>7262</v>
      </c>
      <c r="B7291" s="1" t="str">
        <f>"2019-2044"</f>
        <v>2019-2044</v>
      </c>
      <c r="C7291" s="1" t="s">
        <v>2795</v>
      </c>
      <c r="D7291" s="1" t="s">
        <v>1619</v>
      </c>
      <c r="E7291" s="1" t="str">
        <f>""</f>
        <v/>
      </c>
      <c r="F7291" s="1" t="s">
        <v>1860</v>
      </c>
      <c r="G7291" s="1" t="str">
        <f>CONCATENATE(" GRA-PO D.O.O.,"," GOSPODARSKA 5B,"," 10255 ZAGREB - STUPNIK,"," OIB: 05364995085")</f>
        <v xml:space="preserve"> GRA-PO D.O.O., GOSPODARSKA 5B, 10255 ZAGREB - STUPNIK, OIB: 05364995085</v>
      </c>
      <c r="H7291" s="7"/>
      <c r="I7291" s="8" t="s">
        <v>4846</v>
      </c>
      <c r="J7291" s="8" t="s">
        <v>4641</v>
      </c>
      <c r="K7291" s="6" t="str">
        <f>"13.360,70"</f>
        <v>13.360,70</v>
      </c>
      <c r="L7291" s="6" t="str">
        <f>"3.340,18"</f>
        <v>3.340,18</v>
      </c>
      <c r="M7291" s="6" t="str">
        <f>"16.700,88"</f>
        <v>16.700,88</v>
      </c>
      <c r="N7291" s="8" t="s">
        <v>124</v>
      </c>
      <c r="O7291" s="7"/>
      <c r="P7291" s="2" t="s">
        <v>5614</v>
      </c>
      <c r="Q7291" s="7"/>
      <c r="R7291" s="1"/>
      <c r="S7291" s="1" t="str">
        <f>"J-UN-2019-6000"</f>
        <v>J-UN-2019-6000</v>
      </c>
      <c r="T7291" s="1" t="s">
        <v>32</v>
      </c>
    </row>
    <row r="7292" spans="1:20" ht="63.75" x14ac:dyDescent="0.25">
      <c r="A7292" s="6">
        <v>7263</v>
      </c>
      <c r="B7292" s="1" t="str">
        <f>"2019-2151"</f>
        <v>2019-2151</v>
      </c>
      <c r="C7292" s="1" t="s">
        <v>2984</v>
      </c>
      <c r="D7292" s="1" t="s">
        <v>2985</v>
      </c>
      <c r="E7292" s="1" t="str">
        <f>""</f>
        <v/>
      </c>
      <c r="F7292" s="1" t="s">
        <v>1860</v>
      </c>
      <c r="G7292" s="1" t="str">
        <f>CONCATENATE(" LANIŠTE D.O.O.,"," ALEXANDERA VON HUMBOLDTA 4B,"," 10000 ZAGREB,"," OIB: 3755384865")</f>
        <v xml:space="preserve"> LANIŠTE D.O.O., ALEXANDERA VON HUMBOLDTA 4B, 10000 ZAGREB, OIB: 3755384865</v>
      </c>
      <c r="H7292" s="7"/>
      <c r="I7292" s="8" t="s">
        <v>4846</v>
      </c>
      <c r="J7292" s="8" t="s">
        <v>4641</v>
      </c>
      <c r="K7292" s="6" t="str">
        <f>"4.032,00"</f>
        <v>4.032,00</v>
      </c>
      <c r="L7292" s="6" t="str">
        <f>"1.008,00"</f>
        <v>1.008,00</v>
      </c>
      <c r="M7292" s="6" t="str">
        <f>"5.040,00"</f>
        <v>5.040,00</v>
      </c>
      <c r="N7292" s="8" t="s">
        <v>2257</v>
      </c>
      <c r="O7292" s="7"/>
      <c r="P7292" s="2" t="s">
        <v>7918</v>
      </c>
      <c r="Q7292" s="7"/>
      <c r="R7292" s="1"/>
      <c r="S7292" s="1" t="str">
        <f>"J-UN-2019-6014"</f>
        <v>J-UN-2019-6014</v>
      </c>
      <c r="T7292" s="1" t="s">
        <v>32</v>
      </c>
    </row>
    <row r="7293" spans="1:20" ht="63.75" x14ac:dyDescent="0.25">
      <c r="A7293" s="6">
        <v>7264</v>
      </c>
      <c r="B7293" s="1" t="str">
        <f>"2019-2151"</f>
        <v>2019-2151</v>
      </c>
      <c r="C7293" s="1" t="s">
        <v>2984</v>
      </c>
      <c r="D7293" s="1" t="s">
        <v>2985</v>
      </c>
      <c r="E7293" s="1" t="str">
        <f>""</f>
        <v/>
      </c>
      <c r="F7293" s="1" t="s">
        <v>1860</v>
      </c>
      <c r="G7293" s="1" t="str">
        <f>CONCATENATE(" LANIŠTE D.O.O.,"," ALEXANDERA VON HUMBOLDTA 4B,"," 10000 ZAGREB,"," OIB: 3755384865")</f>
        <v xml:space="preserve"> LANIŠTE D.O.O., ALEXANDERA VON HUMBOLDTA 4B, 10000 ZAGREB, OIB: 3755384865</v>
      </c>
      <c r="H7293" s="7"/>
      <c r="I7293" s="8" t="s">
        <v>4846</v>
      </c>
      <c r="J7293" s="8" t="s">
        <v>4641</v>
      </c>
      <c r="K7293" s="6" t="str">
        <f>"4.032,00"</f>
        <v>4.032,00</v>
      </c>
      <c r="L7293" s="6" t="str">
        <f>"1.008,00"</f>
        <v>1.008,00</v>
      </c>
      <c r="M7293" s="6" t="str">
        <f>"5.040,00"</f>
        <v>5.040,00</v>
      </c>
      <c r="N7293" s="8" t="s">
        <v>4846</v>
      </c>
      <c r="O7293" s="7"/>
      <c r="P7293" s="2" t="s">
        <v>7918</v>
      </c>
      <c r="Q7293" s="7"/>
      <c r="R7293" s="1"/>
      <c r="S7293" s="1" t="str">
        <f>"J-UN-2019-6020"</f>
        <v>J-UN-2019-6020</v>
      </c>
      <c r="T7293" s="1" t="s">
        <v>32</v>
      </c>
    </row>
    <row r="7294" spans="1:20" ht="51" x14ac:dyDescent="0.25">
      <c r="A7294" s="6">
        <v>7265</v>
      </c>
      <c r="B7294" s="1" t="str">
        <f>"2019-1920"</f>
        <v>2019-1920</v>
      </c>
      <c r="C7294" s="1" t="s">
        <v>2483</v>
      </c>
      <c r="D7294" s="1" t="s">
        <v>2484</v>
      </c>
      <c r="E7294" s="1" t="str">
        <f>""</f>
        <v/>
      </c>
      <c r="F7294" s="1" t="s">
        <v>1860</v>
      </c>
      <c r="G7294" s="1" t="str">
        <f>CONCATENATE(" MEDIATOOLKIT D.O.O.,"," VUKASOVIĆEVA 1,"," 10000 ZAGREB,"," OIB: 78206544075")</f>
        <v xml:space="preserve"> MEDIATOOLKIT D.O.O., VUKASOVIĆEVA 1, 10000 ZAGREB, OIB: 78206544075</v>
      </c>
      <c r="H7294" s="7"/>
      <c r="I7294" s="8" t="s">
        <v>3846</v>
      </c>
      <c r="J7294" s="8" t="s">
        <v>3525</v>
      </c>
      <c r="K7294" s="6" t="str">
        <f>"73.979,08"</f>
        <v>73.979,08</v>
      </c>
      <c r="L7294" s="6" t="str">
        <f>"18.494,77"</f>
        <v>18.494,77</v>
      </c>
      <c r="M7294" s="6" t="str">
        <f>"92.473,85"</f>
        <v>92.473,85</v>
      </c>
      <c r="N7294" s="8" t="s">
        <v>124</v>
      </c>
      <c r="O7294" s="7"/>
      <c r="P7294" s="2" t="s">
        <v>5614</v>
      </c>
      <c r="Q7294" s="7"/>
      <c r="R7294" s="1"/>
      <c r="S7294" s="1" t="str">
        <f>"J-UN-2019-6033"</f>
        <v>J-UN-2019-6033</v>
      </c>
      <c r="T7294" s="1" t="s">
        <v>32</v>
      </c>
    </row>
    <row r="7295" spans="1:20" ht="51" x14ac:dyDescent="0.25">
      <c r="A7295" s="6">
        <v>7266</v>
      </c>
      <c r="B7295" s="1" t="str">
        <f>"2019-2253"</f>
        <v>2019-2253</v>
      </c>
      <c r="C7295" s="1" t="s">
        <v>5236</v>
      </c>
      <c r="D7295" s="1" t="s">
        <v>1859</v>
      </c>
      <c r="E7295" s="1" t="str">
        <f>""</f>
        <v/>
      </c>
      <c r="F7295" s="1" t="s">
        <v>1860</v>
      </c>
      <c r="G7295" s="1" t="str">
        <f>CONCATENATE(" INFO PULS D.O.O.,"," JOSIPA PUPAČIĆA 1,"," 10000 ZAGREB,"," OIB: 43150843424")</f>
        <v xml:space="preserve"> INFO PULS D.O.O., JOSIPA PUPAČIĆA 1, 10000 ZAGREB, OIB: 43150843424</v>
      </c>
      <c r="H7295" s="7"/>
      <c r="I7295" s="8" t="s">
        <v>5122</v>
      </c>
      <c r="J7295" s="8" t="s">
        <v>3525</v>
      </c>
      <c r="K7295" s="6" t="str">
        <f>"1.710,00"</f>
        <v>1.710,00</v>
      </c>
      <c r="L7295" s="6" t="str">
        <f>"427,50"</f>
        <v>427,50</v>
      </c>
      <c r="M7295" s="6" t="str">
        <f>"2.137,50"</f>
        <v>2.137,50</v>
      </c>
      <c r="N7295" s="8" t="s">
        <v>124</v>
      </c>
      <c r="O7295" s="7"/>
      <c r="P7295" s="2" t="s">
        <v>5614</v>
      </c>
      <c r="Q7295" s="7"/>
      <c r="R7295" s="1"/>
      <c r="S7295" s="1" t="str">
        <f>"J-UN-2019-6051"</f>
        <v>J-UN-2019-6051</v>
      </c>
      <c r="T7295" s="1" t="s">
        <v>32</v>
      </c>
    </row>
    <row r="7296" spans="1:20" ht="63.75" x14ac:dyDescent="0.25">
      <c r="A7296" s="6">
        <v>7267</v>
      </c>
      <c r="B7296" s="1" t="str">
        <f>"2019-2253"</f>
        <v>2019-2253</v>
      </c>
      <c r="C7296" s="1" t="s">
        <v>5236</v>
      </c>
      <c r="D7296" s="1" t="s">
        <v>1859</v>
      </c>
      <c r="E7296" s="1" t="str">
        <f>""</f>
        <v/>
      </c>
      <c r="F7296" s="1" t="s">
        <v>1860</v>
      </c>
      <c r="G7296" s="1" t="str">
        <f>CONCATENATE(" TEMPORIS SAVJETOVANJE D.O.O.,"," LOPATINEČKA ULICA 4,"," 10000 ZAGREB,"," OIB: 80885983918")</f>
        <v xml:space="preserve"> TEMPORIS SAVJETOVANJE D.O.O., LOPATINEČKA ULICA 4, 10000 ZAGREB, OIB: 80885983918</v>
      </c>
      <c r="H7296" s="7"/>
      <c r="I7296" s="8" t="s">
        <v>5122</v>
      </c>
      <c r="J7296" s="8" t="s">
        <v>4324</v>
      </c>
      <c r="K7296" s="6" t="str">
        <f>"1.800,00"</f>
        <v>1.800,00</v>
      </c>
      <c r="L7296" s="6" t="str">
        <f>"450,00"</f>
        <v>450,00</v>
      </c>
      <c r="M7296" s="6" t="str">
        <f>"2.250,00"</f>
        <v>2.250,00</v>
      </c>
      <c r="N7296" s="8" t="s">
        <v>124</v>
      </c>
      <c r="O7296" s="7"/>
      <c r="P7296" s="2" t="s">
        <v>5614</v>
      </c>
      <c r="Q7296" s="7"/>
      <c r="R7296" s="1"/>
      <c r="S7296" s="1" t="str">
        <f>"J-UN-2019-6052"</f>
        <v>J-UN-2019-6052</v>
      </c>
      <c r="T7296" s="1" t="s">
        <v>32</v>
      </c>
    </row>
    <row r="7297" spans="1:20" ht="51" x14ac:dyDescent="0.25">
      <c r="A7297" s="6">
        <v>7268</v>
      </c>
      <c r="B7297" s="1" t="str">
        <f>"2019-2253"</f>
        <v>2019-2253</v>
      </c>
      <c r="C7297" s="1" t="s">
        <v>5236</v>
      </c>
      <c r="D7297" s="1" t="s">
        <v>1859</v>
      </c>
      <c r="E7297" s="1" t="str">
        <f>""</f>
        <v/>
      </c>
      <c r="F7297" s="1" t="s">
        <v>1860</v>
      </c>
      <c r="G7297" s="1" t="str">
        <f>CONCATENATE(" LEXPERA D.O.O.,"," TUŠKANOVA 37,"," 10000 ZAGREB,"," OIB: 79506290597")</f>
        <v xml:space="preserve"> LEXPERA D.O.O., TUŠKANOVA 37, 10000 ZAGREB, OIB: 79506290597</v>
      </c>
      <c r="H7297" s="7"/>
      <c r="I7297" s="8" t="s">
        <v>5122</v>
      </c>
      <c r="J7297" s="8" t="s">
        <v>4324</v>
      </c>
      <c r="K7297" s="6" t="str">
        <f>"1.400,00"</f>
        <v>1.400,00</v>
      </c>
      <c r="L7297" s="6" t="str">
        <f>"350,00"</f>
        <v>350,00</v>
      </c>
      <c r="M7297" s="6" t="str">
        <f>"1.750,00"</f>
        <v>1.750,00</v>
      </c>
      <c r="N7297" s="8" t="s">
        <v>124</v>
      </c>
      <c r="O7297" s="7"/>
      <c r="P7297" s="2" t="s">
        <v>5614</v>
      </c>
      <c r="Q7297" s="7"/>
      <c r="R7297" s="1"/>
      <c r="S7297" s="1" t="str">
        <f>"J-UN-2019-6053"</f>
        <v>J-UN-2019-6053</v>
      </c>
      <c r="T7297" s="1" t="s">
        <v>32</v>
      </c>
    </row>
    <row r="7298" spans="1:20" ht="51" x14ac:dyDescent="0.25">
      <c r="A7298" s="6">
        <v>7269</v>
      </c>
      <c r="B7298" s="1" t="str">
        <f>"2019-782"</f>
        <v>2019-782</v>
      </c>
      <c r="C7298" s="1" t="s">
        <v>2753</v>
      </c>
      <c r="D7298" s="1" t="s">
        <v>2331</v>
      </c>
      <c r="E7298" s="1" t="str">
        <f>""</f>
        <v/>
      </c>
      <c r="F7298" s="1" t="s">
        <v>1860</v>
      </c>
      <c r="G7298" s="1" t="str">
        <f>CONCATENATE(" LEONARDO MEDIA D.O.O.,"," GJURE SZABA 4/2,"," 10000 ZAGREB,"," OIB: 90240160025")</f>
        <v xml:space="preserve"> LEONARDO MEDIA D.O.O., GJURE SZABA 4/2, 10000 ZAGREB, OIB: 90240160025</v>
      </c>
      <c r="H7298" s="7"/>
      <c r="I7298" s="8" t="s">
        <v>5122</v>
      </c>
      <c r="J7298" s="8" t="s">
        <v>4324</v>
      </c>
      <c r="K7298" s="6" t="str">
        <f>"45.600,00"</f>
        <v>45.600,00</v>
      </c>
      <c r="L7298" s="6" t="str">
        <f>"11.400,00"</f>
        <v>11.400,00</v>
      </c>
      <c r="M7298" s="6" t="str">
        <f>"57.000,00"</f>
        <v>57.000,00</v>
      </c>
      <c r="N7298" s="8" t="s">
        <v>124</v>
      </c>
      <c r="O7298" s="7"/>
      <c r="P7298" s="2" t="s">
        <v>5614</v>
      </c>
      <c r="Q7298" s="7"/>
      <c r="R7298" s="1"/>
      <c r="S7298" s="1" t="str">
        <f>"J-UN-2019-6054"</f>
        <v>J-UN-2019-6054</v>
      </c>
      <c r="T7298" s="1" t="s">
        <v>32</v>
      </c>
    </row>
    <row r="7299" spans="1:20" ht="51" x14ac:dyDescent="0.25">
      <c r="A7299" s="6">
        <v>7270</v>
      </c>
      <c r="B7299" s="1" t="str">
        <f>"2019-2928"</f>
        <v>2019-2928</v>
      </c>
      <c r="C7299" s="1" t="s">
        <v>5479</v>
      </c>
      <c r="D7299" s="1" t="s">
        <v>2055</v>
      </c>
      <c r="E7299" s="1" t="str">
        <f>""</f>
        <v/>
      </c>
      <c r="F7299" s="1" t="s">
        <v>1860</v>
      </c>
      <c r="G7299" s="1" t="str">
        <f>CONCATENATE(" PROTEKTA D.O.O.,"," IVANA ŠIBLA 9,"," 10000 ZAGREB,"," OIB: 25210761537")</f>
        <v xml:space="preserve"> PROTEKTA D.O.O., IVANA ŠIBLA 9, 10000 ZAGREB, OIB: 25210761537</v>
      </c>
      <c r="H7299" s="7"/>
      <c r="I7299" s="8" t="s">
        <v>4337</v>
      </c>
      <c r="J7299" s="8" t="s">
        <v>4445</v>
      </c>
      <c r="K7299" s="6" t="str">
        <f>"20.814,00"</f>
        <v>20.814,00</v>
      </c>
      <c r="L7299" s="6" t="str">
        <f>"5.203,50"</f>
        <v>5.203,50</v>
      </c>
      <c r="M7299" s="6" t="str">
        <f>"26.017,50"</f>
        <v>26.017,50</v>
      </c>
      <c r="N7299" s="8" t="s">
        <v>124</v>
      </c>
      <c r="O7299" s="7"/>
      <c r="P7299" s="2" t="s">
        <v>5614</v>
      </c>
      <c r="Q7299" s="7"/>
      <c r="R7299" s="1"/>
      <c r="S7299" s="1" t="str">
        <f>"J-UN-2019-6055"</f>
        <v>J-UN-2019-6055</v>
      </c>
      <c r="T7299" s="1" t="s">
        <v>32</v>
      </c>
    </row>
    <row r="7300" spans="1:20" ht="51" x14ac:dyDescent="0.25">
      <c r="A7300" s="6">
        <v>7271</v>
      </c>
      <c r="B7300" s="1" t="str">
        <f>"2019-2928"</f>
        <v>2019-2928</v>
      </c>
      <c r="C7300" s="1" t="s">
        <v>5479</v>
      </c>
      <c r="D7300" s="1" t="s">
        <v>2055</v>
      </c>
      <c r="E7300" s="1" t="str">
        <f>""</f>
        <v/>
      </c>
      <c r="F7300" s="1" t="s">
        <v>1860</v>
      </c>
      <c r="G7300" s="1" t="str">
        <f>CONCATENATE(" PROTEKTA D.O.O.,"," IVANA ŠIBLA 9,"," 10000 ZAGREB,"," OIB: 25210761537")</f>
        <v xml:space="preserve"> PROTEKTA D.O.O., IVANA ŠIBLA 9, 10000 ZAGREB, OIB: 25210761537</v>
      </c>
      <c r="H7300" s="7"/>
      <c r="I7300" s="8" t="s">
        <v>4337</v>
      </c>
      <c r="J7300" s="8" t="s">
        <v>4445</v>
      </c>
      <c r="K7300" s="6" t="str">
        <f>"44.986,00"</f>
        <v>44.986,00</v>
      </c>
      <c r="L7300" s="6" t="str">
        <f>"11.246,50"</f>
        <v>11.246,50</v>
      </c>
      <c r="M7300" s="6" t="str">
        <f>"56.232,50"</f>
        <v>56.232,50</v>
      </c>
      <c r="N7300" s="8" t="s">
        <v>124</v>
      </c>
      <c r="O7300" s="7"/>
      <c r="P7300" s="2" t="s">
        <v>5614</v>
      </c>
      <c r="Q7300" s="7"/>
      <c r="R7300" s="1"/>
      <c r="S7300" s="1" t="str">
        <f>"J-UN-2019-6056"</f>
        <v>J-UN-2019-6056</v>
      </c>
      <c r="T7300" s="1" t="s">
        <v>32</v>
      </c>
    </row>
    <row r="7301" spans="1:20" ht="51" x14ac:dyDescent="0.25">
      <c r="A7301" s="6">
        <v>7272</v>
      </c>
      <c r="B7301" s="1" t="str">
        <f>"2019-2053"</f>
        <v>2019-2053</v>
      </c>
      <c r="C7301" s="1" t="s">
        <v>3040</v>
      </c>
      <c r="D7301" s="1" t="s">
        <v>1865</v>
      </c>
      <c r="E7301" s="1" t="str">
        <f>""</f>
        <v/>
      </c>
      <c r="F7301" s="1" t="s">
        <v>1860</v>
      </c>
      <c r="G7301" s="1" t="str">
        <f>CONCATENATE(" HANZA MEDIA D.O.O.,"," KORANSKA 2,"," 10000 ZAGREB,"," OIB: 79517545745")</f>
        <v xml:space="preserve"> HANZA MEDIA D.O.O., KORANSKA 2, 10000 ZAGREB, OIB: 79517545745</v>
      </c>
      <c r="H7301" s="7"/>
      <c r="I7301" s="8" t="s">
        <v>5122</v>
      </c>
      <c r="J7301" s="8" t="s">
        <v>4324</v>
      </c>
      <c r="K7301" s="6" t="str">
        <f>"80.000,00"</f>
        <v>80.000,00</v>
      </c>
      <c r="L7301" s="6" t="str">
        <f>"20.000,00"</f>
        <v>20.000,00</v>
      </c>
      <c r="M7301" s="6" t="str">
        <f>"100.000,00"</f>
        <v>100.000,00</v>
      </c>
      <c r="N7301" s="8" t="s">
        <v>124</v>
      </c>
      <c r="O7301" s="7"/>
      <c r="P7301" s="2" t="s">
        <v>5614</v>
      </c>
      <c r="Q7301" s="7"/>
      <c r="R7301" s="1"/>
      <c r="S7301" s="1" t="str">
        <f>"J-UN-2019-6058"</f>
        <v>J-UN-2019-6058</v>
      </c>
      <c r="T7301" s="1" t="s">
        <v>32</v>
      </c>
    </row>
    <row r="7302" spans="1:20" ht="63.75" x14ac:dyDescent="0.25">
      <c r="A7302" s="6">
        <v>7273</v>
      </c>
      <c r="B7302" s="1" t="str">
        <f>"2019-981"</f>
        <v>2019-981</v>
      </c>
      <c r="C7302" s="1" t="s">
        <v>3126</v>
      </c>
      <c r="D7302" s="1" t="s">
        <v>2871</v>
      </c>
      <c r="E7302" s="1" t="str">
        <f>""</f>
        <v/>
      </c>
      <c r="F7302" s="1" t="s">
        <v>1860</v>
      </c>
      <c r="G7302" s="1" t="str">
        <f>CONCATENATE(" GUMIIMPEX - GRP D.O.O.,"," PAVLEKA MIŠKINE 64C,"," 42000 VARAŽDIN,"," OIB: 8229856262")</f>
        <v xml:space="preserve"> GUMIIMPEX - GRP D.O.O., PAVLEKA MIŠKINE 64C, 42000 VARAŽDIN, OIB: 8229856262</v>
      </c>
      <c r="H7302" s="7"/>
      <c r="I7302" s="8" t="s">
        <v>4337</v>
      </c>
      <c r="J7302" s="8" t="s">
        <v>4445</v>
      </c>
      <c r="K7302" s="6" t="str">
        <f>"19.718,45"</f>
        <v>19.718,45</v>
      </c>
      <c r="L7302" s="6" t="str">
        <f>"4.929,61"</f>
        <v>4.929,61</v>
      </c>
      <c r="M7302" s="6" t="str">
        <f>"24.648,06"</f>
        <v>24.648,06</v>
      </c>
      <c r="N7302" s="8" t="s">
        <v>4355</v>
      </c>
      <c r="O7302" s="7"/>
      <c r="P7302" s="2" t="s">
        <v>9110</v>
      </c>
      <c r="Q7302" s="7"/>
      <c r="R7302" s="1"/>
      <c r="S7302" s="1" t="str">
        <f>"J-UN-2019-6088"</f>
        <v>J-UN-2019-6088</v>
      </c>
      <c r="T7302" s="1" t="s">
        <v>32</v>
      </c>
    </row>
    <row r="7303" spans="1:20" ht="89.25" x14ac:dyDescent="0.25">
      <c r="A7303" s="6">
        <v>7274</v>
      </c>
      <c r="B7303" s="1" t="str">
        <f>"2019-2029"</f>
        <v>2019-2029</v>
      </c>
      <c r="C7303" s="1" t="s">
        <v>2873</v>
      </c>
      <c r="D7303" s="1" t="s">
        <v>689</v>
      </c>
      <c r="E7303" s="1" t="str">
        <f>""</f>
        <v/>
      </c>
      <c r="F7303" s="1" t="s">
        <v>1860</v>
      </c>
      <c r="G7303" s="1" t="str">
        <f>CONCATENATE(" ZAVOD ZA ISTRAŽIVANJE I RAZVOJ SIGURNOSTI D.O.O.,"," ULICA GRADA VUKOVARA 68,"," 10000 ZAGREB,"," OIB: 05494093403")</f>
        <v xml:space="preserve"> ZAVOD ZA ISTRAŽIVANJE I RAZVOJ SIGURNOSTI D.O.O., ULICA GRADA VUKOVARA 68, 10000 ZAGREB, OIB: 05494093403</v>
      </c>
      <c r="H7303" s="7"/>
      <c r="I7303" s="8" t="s">
        <v>4658</v>
      </c>
      <c r="J7303" s="8" t="s">
        <v>4445</v>
      </c>
      <c r="K7303" s="6" t="str">
        <f>"8.752,50"</f>
        <v>8.752,50</v>
      </c>
      <c r="L7303" s="6" t="str">
        <f>"2.188,12"</f>
        <v>2.188,12</v>
      </c>
      <c r="M7303" s="6" t="str">
        <f>"10.940,62"</f>
        <v>10.940,62</v>
      </c>
      <c r="N7303" s="8" t="s">
        <v>124</v>
      </c>
      <c r="O7303" s="7"/>
      <c r="P7303" s="2" t="s">
        <v>5614</v>
      </c>
      <c r="Q7303" s="7"/>
      <c r="R7303" s="1"/>
      <c r="S7303" s="1" t="str">
        <f>"J-UN-2019-6112"</f>
        <v>J-UN-2019-6112</v>
      </c>
      <c r="T7303" s="1" t="s">
        <v>32</v>
      </c>
    </row>
    <row r="7304" spans="1:20" ht="51" x14ac:dyDescent="0.25">
      <c r="A7304" s="6">
        <v>7275</v>
      </c>
      <c r="B7304" s="1" t="str">
        <f>"2019-3077"</f>
        <v>2019-3077</v>
      </c>
      <c r="C7304" s="1" t="s">
        <v>3090</v>
      </c>
      <c r="D7304" s="1" t="s">
        <v>3091</v>
      </c>
      <c r="E7304" s="1" t="str">
        <f>""</f>
        <v/>
      </c>
      <c r="F7304" s="1" t="s">
        <v>1860</v>
      </c>
      <c r="G7304" s="1" t="str">
        <f>CONCATENATE(" ECCOS-INŽENJERING D.O.O.,"," BANI 110,"," 10000 ZAGREB,"," OIB: 71629027685")</f>
        <v xml:space="preserve"> ECCOS-INŽENJERING D.O.O., BANI 110, 10000 ZAGREB, OIB: 71629027685</v>
      </c>
      <c r="H7304" s="7"/>
      <c r="I7304" s="8" t="s">
        <v>4658</v>
      </c>
      <c r="J7304" s="8" t="s">
        <v>4445</v>
      </c>
      <c r="K7304" s="6" t="str">
        <f>"7.300,00"</f>
        <v>7.300,00</v>
      </c>
      <c r="L7304" s="6" t="str">
        <f>"1.825,00"</f>
        <v>1.825,00</v>
      </c>
      <c r="M7304" s="6" t="str">
        <f>"9.125,00"</f>
        <v>9.125,00</v>
      </c>
      <c r="N7304" s="8" t="s">
        <v>124</v>
      </c>
      <c r="O7304" s="7"/>
      <c r="P7304" s="2" t="s">
        <v>5614</v>
      </c>
      <c r="Q7304" s="7"/>
      <c r="R7304" s="1"/>
      <c r="S7304" s="1" t="str">
        <f>"J-UN-2019-6113"</f>
        <v>J-UN-2019-6113</v>
      </c>
      <c r="T7304" s="1" t="s">
        <v>32</v>
      </c>
    </row>
    <row r="7305" spans="1:20" ht="51" x14ac:dyDescent="0.25">
      <c r="A7305" s="6">
        <v>7276</v>
      </c>
      <c r="B7305" s="1" t="str">
        <f>"2019-926"</f>
        <v>2019-926</v>
      </c>
      <c r="C7305" s="1" t="s">
        <v>2595</v>
      </c>
      <c r="D7305" s="1" t="s">
        <v>2596</v>
      </c>
      <c r="E7305" s="1" t="str">
        <f>""</f>
        <v/>
      </c>
      <c r="F7305" s="1" t="s">
        <v>1860</v>
      </c>
      <c r="G7305" s="1" t="str">
        <f>CONCATENATE(" MIVA D.O.O.,"," ULICA GRADA VUKOVARA 56A,"," 10000 ZAGREB,"," OIB: 57236952892")</f>
        <v xml:space="preserve"> MIVA D.O.O., ULICA GRADA VUKOVARA 56A, 10000 ZAGREB, OIB: 57236952892</v>
      </c>
      <c r="H7305" s="7"/>
      <c r="I7305" s="8" t="s">
        <v>4337</v>
      </c>
      <c r="J7305" s="8" t="s">
        <v>4445</v>
      </c>
      <c r="K7305" s="6" t="str">
        <f>"9.741,00"</f>
        <v>9.741,00</v>
      </c>
      <c r="L7305" s="6" t="str">
        <f>"2.435,25"</f>
        <v>2.435,25</v>
      </c>
      <c r="M7305" s="6" t="str">
        <f>"12.176,25"</f>
        <v>12.176,25</v>
      </c>
      <c r="N7305" s="8" t="s">
        <v>124</v>
      </c>
      <c r="O7305" s="7"/>
      <c r="P7305" s="2" t="s">
        <v>5614</v>
      </c>
      <c r="Q7305" s="7"/>
      <c r="R7305" s="1"/>
      <c r="S7305" s="1" t="str">
        <f>"J-UN-2019-6130"</f>
        <v>J-UN-2019-6130</v>
      </c>
      <c r="T7305" s="1" t="s">
        <v>32</v>
      </c>
    </row>
    <row r="7306" spans="1:20" ht="51" x14ac:dyDescent="0.25">
      <c r="A7306" s="6">
        <v>7277</v>
      </c>
      <c r="B7306" s="1" t="str">
        <f>"2019-926"</f>
        <v>2019-926</v>
      </c>
      <c r="C7306" s="1" t="s">
        <v>2595</v>
      </c>
      <c r="D7306" s="1" t="s">
        <v>2596</v>
      </c>
      <c r="E7306" s="1" t="str">
        <f>""</f>
        <v/>
      </c>
      <c r="F7306" s="1" t="s">
        <v>1860</v>
      </c>
      <c r="G7306" s="1" t="str">
        <f>CONCATENATE(" LEONARDO MEDIA D.O.O.,"," GJURE SZABA 4/2,"," 10000 ZAGREB,"," OIB: 90240160025")</f>
        <v xml:space="preserve"> LEONARDO MEDIA D.O.O., GJURE SZABA 4/2, 10000 ZAGREB, OIB: 90240160025</v>
      </c>
      <c r="H7306" s="7"/>
      <c r="I7306" s="8" t="s">
        <v>4445</v>
      </c>
      <c r="J7306" s="8" t="s">
        <v>4846</v>
      </c>
      <c r="K7306" s="6" t="str">
        <f>"87.850,00"</f>
        <v>87.850,00</v>
      </c>
      <c r="L7306" s="6" t="str">
        <f>"21.962,50"</f>
        <v>21.962,50</v>
      </c>
      <c r="M7306" s="6" t="str">
        <f>"109.812,50"</f>
        <v>109.812,50</v>
      </c>
      <c r="N7306" s="8" t="s">
        <v>124</v>
      </c>
      <c r="O7306" s="7"/>
      <c r="P7306" s="2" t="s">
        <v>5614</v>
      </c>
      <c r="Q7306" s="7"/>
      <c r="R7306" s="1"/>
      <c r="S7306" s="1" t="str">
        <f>"J-UN-2019-6132"</f>
        <v>J-UN-2019-6132</v>
      </c>
      <c r="T7306" s="1" t="s">
        <v>32</v>
      </c>
    </row>
    <row r="7307" spans="1:20" ht="51" x14ac:dyDescent="0.25">
      <c r="A7307" s="6">
        <v>7278</v>
      </c>
      <c r="B7307" s="1" t="str">
        <f>"2019-1387"</f>
        <v>2019-1387</v>
      </c>
      <c r="C7307" s="1" t="s">
        <v>5149</v>
      </c>
      <c r="D7307" s="1" t="s">
        <v>2241</v>
      </c>
      <c r="E7307" s="1" t="str">
        <f>""</f>
        <v/>
      </c>
      <c r="F7307" s="1" t="s">
        <v>1860</v>
      </c>
      <c r="G7307" s="1" t="str">
        <f>CONCATENATE(" AUTO BENUSSI D.O.O.,"," INDUSTRIJSKA 2D,"," 52100 PULA,"," OIB: 96262119913")</f>
        <v xml:space="preserve"> AUTO BENUSSI D.O.O., INDUSTRIJSKA 2D, 52100 PULA, OIB: 96262119913</v>
      </c>
      <c r="H7307" s="7"/>
      <c r="I7307" s="8" t="s">
        <v>4337</v>
      </c>
      <c r="J7307" s="8" t="s">
        <v>4846</v>
      </c>
      <c r="K7307" s="6" t="str">
        <f>"40.848,08"</f>
        <v>40.848,08</v>
      </c>
      <c r="L7307" s="6" t="str">
        <f>"10.212,02"</f>
        <v>10.212,02</v>
      </c>
      <c r="M7307" s="6" t="str">
        <f>"51.060,10"</f>
        <v>51.060,10</v>
      </c>
      <c r="N7307" s="8" t="s">
        <v>5480</v>
      </c>
      <c r="O7307" s="7"/>
      <c r="P7307" s="2" t="s">
        <v>9111</v>
      </c>
      <c r="Q7307" s="7"/>
      <c r="R7307" s="1"/>
      <c r="S7307" s="1" t="str">
        <f>"J-UN-2019-6136"</f>
        <v>J-UN-2019-6136</v>
      </c>
      <c r="T7307" s="1" t="s">
        <v>32</v>
      </c>
    </row>
    <row r="7308" spans="1:20" ht="63.75" x14ac:dyDescent="0.25">
      <c r="A7308" s="6">
        <v>7279</v>
      </c>
      <c r="B7308" s="1" t="str">
        <f>"2019-2202"</f>
        <v>2019-2202</v>
      </c>
      <c r="C7308" s="1" t="s">
        <v>3130</v>
      </c>
      <c r="D7308" s="1" t="s">
        <v>2631</v>
      </c>
      <c r="E7308" s="1" t="str">
        <f>""</f>
        <v/>
      </c>
      <c r="F7308" s="1" t="s">
        <v>1860</v>
      </c>
      <c r="G7308" s="1" t="str">
        <f>CONCATENATE(" NACIONAL NEWS CORPORATION D.O.O.,"," MAKSIMIRSKA 120,"," 10000 ZAGREB,"," OIB: 76663423558")</f>
        <v xml:space="preserve"> NACIONAL NEWS CORPORATION D.O.O., MAKSIMIRSKA 120, 10000 ZAGREB, OIB: 76663423558</v>
      </c>
      <c r="H7308" s="7"/>
      <c r="I7308" s="8" t="s">
        <v>4658</v>
      </c>
      <c r="J7308" s="8" t="s">
        <v>4445</v>
      </c>
      <c r="K7308" s="6" t="str">
        <f>"10.010,00"</f>
        <v>10.010,00</v>
      </c>
      <c r="L7308" s="6" t="str">
        <f>"2.502,50"</f>
        <v>2.502,50</v>
      </c>
      <c r="M7308" s="6" t="str">
        <f>"12.512,50"</f>
        <v>12.512,50</v>
      </c>
      <c r="N7308" s="8" t="s">
        <v>124</v>
      </c>
      <c r="O7308" s="7"/>
      <c r="P7308" s="2" t="s">
        <v>5614</v>
      </c>
      <c r="Q7308" s="7"/>
      <c r="R7308" s="1"/>
      <c r="S7308" s="1" t="str">
        <f>"J-UN-2019-6138"</f>
        <v>J-UN-2019-6138</v>
      </c>
      <c r="T7308" s="1" t="s">
        <v>32</v>
      </c>
    </row>
    <row r="7309" spans="1:20" ht="63.75" x14ac:dyDescent="0.25">
      <c r="A7309" s="6">
        <v>7280</v>
      </c>
      <c r="B7309" s="1" t="str">
        <f>"2019-388"</f>
        <v>2019-388</v>
      </c>
      <c r="C7309" s="1" t="s">
        <v>2799</v>
      </c>
      <c r="D7309" s="1" t="s">
        <v>794</v>
      </c>
      <c r="E7309" s="1" t="str">
        <f>""</f>
        <v/>
      </c>
      <c r="F7309" s="1" t="s">
        <v>1860</v>
      </c>
      <c r="G7309" s="1" t="str">
        <f>CONCATENATE(" KONTROLING KOGNOSKO D.O.O.,"," JARUŠČICA 1E,"," 10000 ZAGREB,"," OIB: 21353746909")</f>
        <v xml:space="preserve"> KONTROLING KOGNOSKO D.O.O., JARUŠČICA 1E, 10000 ZAGREB, OIB: 21353746909</v>
      </c>
      <c r="H7309" s="7"/>
      <c r="I7309" s="8" t="s">
        <v>5327</v>
      </c>
      <c r="J7309" s="8" t="s">
        <v>4337</v>
      </c>
      <c r="K7309" s="6" t="str">
        <f>"3.582,00"</f>
        <v>3.582,00</v>
      </c>
      <c r="L7309" s="6" t="str">
        <f>"895,50"</f>
        <v>895,50</v>
      </c>
      <c r="M7309" s="6" t="str">
        <f>"4.477,50"</f>
        <v>4.477,50</v>
      </c>
      <c r="N7309" s="8" t="s">
        <v>124</v>
      </c>
      <c r="O7309" s="7"/>
      <c r="P7309" s="2" t="s">
        <v>5614</v>
      </c>
      <c r="Q7309" s="7"/>
      <c r="R7309" s="1"/>
      <c r="S7309" s="1" t="str">
        <f>"J-UN-2019-6148"</f>
        <v>J-UN-2019-6148</v>
      </c>
      <c r="T7309" s="1" t="s">
        <v>32</v>
      </c>
    </row>
    <row r="7310" spans="1:20" ht="76.5" x14ac:dyDescent="0.25">
      <c r="A7310" s="6">
        <v>7281</v>
      </c>
      <c r="B7310" s="1" t="str">
        <f>"2019-2724"</f>
        <v>2019-2724</v>
      </c>
      <c r="C7310" s="1" t="s">
        <v>5425</v>
      </c>
      <c r="D7310" s="1" t="s">
        <v>5426</v>
      </c>
      <c r="E7310" s="1" t="str">
        <f>""</f>
        <v/>
      </c>
      <c r="F7310" s="1" t="s">
        <v>1860</v>
      </c>
      <c r="G7310" s="1" t="str">
        <f>CONCATENATE(" TEHNIČAR-COPYSERVIS D.O.O.,"," KRANJČEVIĆEVA 25,"," 10000 ZAGREB,"," OIB: 5139094509")</f>
        <v xml:space="preserve"> TEHNIČAR-COPYSERVIS D.O.O., KRANJČEVIĆEVA 25, 10000 ZAGREB, OIB: 5139094509</v>
      </c>
      <c r="H7310" s="7"/>
      <c r="I7310" s="8" t="s">
        <v>4658</v>
      </c>
      <c r="J7310" s="8" t="s">
        <v>4337</v>
      </c>
      <c r="K7310" s="6" t="str">
        <f>"21.614,45"</f>
        <v>21.614,45</v>
      </c>
      <c r="L7310" s="6" t="str">
        <f>"5.403,61"</f>
        <v>5.403,61</v>
      </c>
      <c r="M7310" s="6" t="str">
        <f>"27.018,06"</f>
        <v>27.018,06</v>
      </c>
      <c r="N7310" s="8" t="s">
        <v>124</v>
      </c>
      <c r="O7310" s="7"/>
      <c r="P7310" s="2" t="s">
        <v>5614</v>
      </c>
      <c r="Q7310" s="7"/>
      <c r="R7310" s="1"/>
      <c r="S7310" s="1" t="str">
        <f>"J-UN-2019-6149"</f>
        <v>J-UN-2019-6149</v>
      </c>
      <c r="T7310" s="1" t="s">
        <v>32</v>
      </c>
    </row>
    <row r="7311" spans="1:20" ht="76.5" x14ac:dyDescent="0.25">
      <c r="A7311" s="6">
        <v>7282</v>
      </c>
      <c r="B7311" s="1" t="str">
        <f>"2019-2724"</f>
        <v>2019-2724</v>
      </c>
      <c r="C7311" s="1" t="s">
        <v>5425</v>
      </c>
      <c r="D7311" s="1" t="s">
        <v>5426</v>
      </c>
      <c r="E7311" s="1" t="str">
        <f>""</f>
        <v/>
      </c>
      <c r="F7311" s="1" t="s">
        <v>1860</v>
      </c>
      <c r="G7311" s="1" t="str">
        <f>CONCATENATE(" TEHNIČAR-COPYSERVIS D.O.O.,"," KRANJČEVIĆEVA 25,"," 10000 ZAGREB,"," OIB: 5139094509")</f>
        <v xml:space="preserve"> TEHNIČAR-COPYSERVIS D.O.O., KRANJČEVIĆEVA 25, 10000 ZAGREB, OIB: 5139094509</v>
      </c>
      <c r="H7311" s="7"/>
      <c r="I7311" s="8" t="s">
        <v>4117</v>
      </c>
      <c r="J7311" s="8" t="s">
        <v>5481</v>
      </c>
      <c r="K7311" s="6" t="str">
        <f>"15.038,34"</f>
        <v>15.038,34</v>
      </c>
      <c r="L7311" s="6" t="str">
        <f>"3.759,58"</f>
        <v>3.759,58</v>
      </c>
      <c r="M7311" s="6" t="str">
        <f>"18.797,92"</f>
        <v>18.797,92</v>
      </c>
      <c r="N7311" s="8" t="s">
        <v>124</v>
      </c>
      <c r="O7311" s="7"/>
      <c r="P7311" s="2" t="s">
        <v>5614</v>
      </c>
      <c r="Q7311" s="7"/>
      <c r="R7311" s="1"/>
      <c r="S7311" s="1" t="str">
        <f>"J-UN-2019-6165-A"</f>
        <v>J-UN-2019-6165-A</v>
      </c>
      <c r="T7311" s="1" t="s">
        <v>32</v>
      </c>
    </row>
    <row r="7312" spans="1:20" ht="63.75" x14ac:dyDescent="0.25">
      <c r="A7312" s="6">
        <v>7283</v>
      </c>
      <c r="B7312" s="1" t="str">
        <f>"2019-730"</f>
        <v>2019-730</v>
      </c>
      <c r="C7312" s="1" t="s">
        <v>5482</v>
      </c>
      <c r="D7312" s="1" t="s">
        <v>694</v>
      </c>
      <c r="E7312" s="1" t="str">
        <f>""</f>
        <v/>
      </c>
      <c r="F7312" s="1" t="s">
        <v>1860</v>
      </c>
      <c r="G7312" s="1" t="str">
        <f>CONCATENATE(" TELUR D.O.O.,"," DUBRAVKIN TRG 5,"," 10000 ZAGREB,"," OIB: 647202123")</f>
        <v xml:space="preserve"> TELUR D.O.O., DUBRAVKIN TRG 5, 10000 ZAGREB, OIB: 647202123</v>
      </c>
      <c r="H7312" s="7"/>
      <c r="I7312" s="8" t="s">
        <v>620</v>
      </c>
      <c r="J7312" s="8" t="s">
        <v>4117</v>
      </c>
      <c r="K7312" s="6" t="str">
        <f>"148.938,82"</f>
        <v>148.938,82</v>
      </c>
      <c r="L7312" s="6" t="str">
        <f>"37.234,70"</f>
        <v>37.234,70</v>
      </c>
      <c r="M7312" s="6" t="str">
        <f>"186.173,52"</f>
        <v>186.173,52</v>
      </c>
      <c r="N7312" s="8" t="s">
        <v>124</v>
      </c>
      <c r="O7312" s="7"/>
      <c r="P7312" s="2" t="s">
        <v>5614</v>
      </c>
      <c r="Q7312" s="7"/>
      <c r="R7312" s="1"/>
      <c r="S7312" s="1" t="str">
        <f>"J-UN-2019-6178"</f>
        <v>J-UN-2019-6178</v>
      </c>
      <c r="T7312" s="1" t="s">
        <v>32</v>
      </c>
    </row>
    <row r="7313" spans="1:20" ht="76.5" x14ac:dyDescent="0.25">
      <c r="A7313" s="6">
        <v>7284</v>
      </c>
      <c r="B7313" s="1" t="str">
        <f>"2019-2724"</f>
        <v>2019-2724</v>
      </c>
      <c r="C7313" s="1" t="s">
        <v>5425</v>
      </c>
      <c r="D7313" s="1" t="s">
        <v>5426</v>
      </c>
      <c r="E7313" s="1" t="str">
        <f>""</f>
        <v/>
      </c>
      <c r="F7313" s="1" t="s">
        <v>1860</v>
      </c>
      <c r="G7313" s="1" t="str">
        <f>CONCATENATE(" KSU D.O.O.,"," DR. JURJA DOBRILE 50,"," 10410 VELIKA GORICA,"," OIB: 349769936")</f>
        <v xml:space="preserve"> KSU D.O.O., DR. JURJA DOBRILE 50, 10410 VELIKA GORICA, OIB: 349769936</v>
      </c>
      <c r="H7313" s="7"/>
      <c r="I7313" s="8" t="s">
        <v>4641</v>
      </c>
      <c r="J7313" s="8" t="s">
        <v>4052</v>
      </c>
      <c r="K7313" s="6" t="str">
        <f>"2.599,92"</f>
        <v>2.599,92</v>
      </c>
      <c r="L7313" s="6" t="str">
        <f>"649,98"</f>
        <v>649,98</v>
      </c>
      <c r="M7313" s="6" t="str">
        <f>"3.249,90"</f>
        <v>3.249,90</v>
      </c>
      <c r="N7313" s="8" t="s">
        <v>5107</v>
      </c>
      <c r="O7313" s="7"/>
      <c r="P7313" s="2" t="s">
        <v>9112</v>
      </c>
      <c r="Q7313" s="7"/>
      <c r="R7313" s="1"/>
      <c r="S7313" s="1" t="str">
        <f>"J-UN-2019-6182"</f>
        <v>J-UN-2019-6182</v>
      </c>
      <c r="T7313" s="1" t="s">
        <v>32</v>
      </c>
    </row>
    <row r="7314" spans="1:20" ht="51" x14ac:dyDescent="0.25">
      <c r="A7314" s="6">
        <v>7285</v>
      </c>
      <c r="B7314" s="1" t="str">
        <f>"2019-757"</f>
        <v>2019-757</v>
      </c>
      <c r="C7314" s="1" t="s">
        <v>3085</v>
      </c>
      <c r="D7314" s="1" t="s">
        <v>2549</v>
      </c>
      <c r="E7314" s="1" t="str">
        <f>""</f>
        <v/>
      </c>
      <c r="F7314" s="1" t="s">
        <v>1860</v>
      </c>
      <c r="G7314" s="1" t="str">
        <f>CONCATENATE(" AD HOC-CENTAR D.O.O.,"," DRAŠKOVIĆEVA 4A,"," 10000 ZAGREB,"," OIB: 75132412279")</f>
        <v xml:space="preserve"> AD HOC-CENTAR D.O.O., DRAŠKOVIĆEVA 4A, 10000 ZAGREB, OIB: 75132412279</v>
      </c>
      <c r="H7314" s="7"/>
      <c r="I7314" s="8" t="s">
        <v>3528</v>
      </c>
      <c r="J7314" s="8" t="s">
        <v>4045</v>
      </c>
      <c r="K7314" s="6" t="str">
        <f>"23.800,00"</f>
        <v>23.800,00</v>
      </c>
      <c r="L7314" s="6" t="str">
        <f>"5.950,00"</f>
        <v>5.950,00</v>
      </c>
      <c r="M7314" s="6" t="str">
        <f>"29.750,00"</f>
        <v>29.750,00</v>
      </c>
      <c r="N7314" s="8" t="s">
        <v>4466</v>
      </c>
      <c r="O7314" s="7"/>
      <c r="P7314" s="2" t="s">
        <v>9113</v>
      </c>
      <c r="Q7314" s="7"/>
      <c r="R7314" s="1"/>
      <c r="S7314" s="1" t="str">
        <f>"J-UN-2019-6183"</f>
        <v>J-UN-2019-6183</v>
      </c>
      <c r="T7314" s="1" t="s">
        <v>32</v>
      </c>
    </row>
    <row r="7315" spans="1:20" ht="63.75" x14ac:dyDescent="0.25">
      <c r="A7315" s="6">
        <v>7286</v>
      </c>
      <c r="B7315" s="1" t="str">
        <f>"2019-3123"</f>
        <v>2019-3123</v>
      </c>
      <c r="C7315" s="1" t="s">
        <v>5483</v>
      </c>
      <c r="D7315" s="1" t="s">
        <v>945</v>
      </c>
      <c r="E7315" s="1" t="str">
        <f>""</f>
        <v/>
      </c>
      <c r="F7315" s="1" t="s">
        <v>1860</v>
      </c>
      <c r="G7315" s="1" t="str">
        <f>CONCATENATE(" SAUBERMACHER-EKP D.O.O.,"," 4. GARDIJSKE BRIGADE 32,"," 21000 SPLIT,"," OIB: 16933460117")</f>
        <v xml:space="preserve"> SAUBERMACHER-EKP D.O.O., 4. GARDIJSKE BRIGADE 32, 21000 SPLIT, OIB: 16933460117</v>
      </c>
      <c r="H7315" s="7"/>
      <c r="I7315" s="8" t="s">
        <v>4431</v>
      </c>
      <c r="J7315" s="8" t="s">
        <v>4430</v>
      </c>
      <c r="K7315" s="6" t="str">
        <f>"198.000,00"</f>
        <v>198.000,00</v>
      </c>
      <c r="L7315" s="6" t="str">
        <f>"49.500,00"</f>
        <v>49.500,00</v>
      </c>
      <c r="M7315" s="6" t="str">
        <f>"247.500,00"</f>
        <v>247.500,00</v>
      </c>
      <c r="N7315" s="8" t="s">
        <v>4117</v>
      </c>
      <c r="O7315" s="7"/>
      <c r="P7315" s="2" t="s">
        <v>9114</v>
      </c>
      <c r="Q7315" s="7"/>
      <c r="R7315" s="1"/>
      <c r="S7315" s="1" t="str">
        <f>"J-UN-2019-6209"</f>
        <v>J-UN-2019-6209</v>
      </c>
      <c r="T7315" s="1" t="s">
        <v>32</v>
      </c>
    </row>
    <row r="7316" spans="1:20" ht="63.75" x14ac:dyDescent="0.25">
      <c r="A7316" s="6">
        <v>7287</v>
      </c>
      <c r="B7316" s="1" t="str">
        <f>"2019-3087"</f>
        <v>2019-3087</v>
      </c>
      <c r="C7316" s="1" t="s">
        <v>5484</v>
      </c>
      <c r="D7316" s="1" t="s">
        <v>4047</v>
      </c>
      <c r="E7316" s="1" t="str">
        <f>""</f>
        <v/>
      </c>
      <c r="F7316" s="1" t="s">
        <v>1860</v>
      </c>
      <c r="G7316" s="1" t="str">
        <f>CONCATENATE(" I-PROGRAM D.O.O.,"," ZAGREBAČKA CESTA 255,"," 10000 ZAGREB,"," OIB: 6210173392")</f>
        <v xml:space="preserve"> I-PROGRAM D.O.O., ZAGREBAČKA CESTA 255, 10000 ZAGREB, OIB: 6210173392</v>
      </c>
      <c r="H7316" s="7"/>
      <c r="I7316" s="8" t="s">
        <v>4431</v>
      </c>
      <c r="J7316" s="8" t="s">
        <v>4430</v>
      </c>
      <c r="K7316" s="6" t="str">
        <f>"60.000,00"</f>
        <v>60.000,00</v>
      </c>
      <c r="L7316" s="6" t="str">
        <f>"15.000,00"</f>
        <v>15.000,00</v>
      </c>
      <c r="M7316" s="6" t="str">
        <f>"75.000,00"</f>
        <v>75.000,00</v>
      </c>
      <c r="N7316" s="8" t="s">
        <v>5485</v>
      </c>
      <c r="O7316" s="7"/>
      <c r="P7316" s="2" t="s">
        <v>9115</v>
      </c>
      <c r="Q7316" s="1"/>
      <c r="R7316" s="1"/>
      <c r="S7316" s="1" t="str">
        <f>"J-UN-2019-6212"</f>
        <v>J-UN-2019-6212</v>
      </c>
      <c r="T7316" s="1" t="s">
        <v>32</v>
      </c>
    </row>
    <row r="7317" spans="1:20" ht="76.5" x14ac:dyDescent="0.25">
      <c r="A7317" s="6">
        <v>7288</v>
      </c>
      <c r="B7317" s="1" t="str">
        <f>"2019-261"</f>
        <v>2019-261</v>
      </c>
      <c r="C7317" s="1" t="s">
        <v>5369</v>
      </c>
      <c r="D7317" s="1" t="s">
        <v>1007</v>
      </c>
      <c r="E7317" s="1" t="str">
        <f>""</f>
        <v/>
      </c>
      <c r="F7317" s="1" t="s">
        <v>1860</v>
      </c>
      <c r="G7317" s="1" t="str">
        <f>CONCATENATE(" BILIĆ-ERIĆ D.O.O.,"," TRGOVAČKI CENTAR MILLENNIJUM,"," LJUDEVITA POSAVSKOG 3,"," 10360 SESVETE,"," OIB: 685801282")</f>
        <v xml:space="preserve"> BILIĆ-ERIĆ D.O.O., TRGOVAČKI CENTAR MILLENNIJUM, LJUDEVITA POSAVSKOG 3, 10360 SESVETE, OIB: 685801282</v>
      </c>
      <c r="H7317" s="7"/>
      <c r="I7317" s="8" t="s">
        <v>4045</v>
      </c>
      <c r="J7317" s="8" t="s">
        <v>4431</v>
      </c>
      <c r="K7317" s="6" t="str">
        <f>"1.704,00"</f>
        <v>1.704,00</v>
      </c>
      <c r="L7317" s="6" t="str">
        <f>"426,00"</f>
        <v>426,00</v>
      </c>
      <c r="M7317" s="6" t="str">
        <f>"2.130,00"</f>
        <v>2.130,00</v>
      </c>
      <c r="N7317" s="8" t="s">
        <v>2257</v>
      </c>
      <c r="O7317" s="7"/>
      <c r="P7317" s="2" t="s">
        <v>9116</v>
      </c>
      <c r="Q7317" s="7"/>
      <c r="R7317" s="1"/>
      <c r="S7317" s="1" t="str">
        <f>"J-UN-2019-6213"</f>
        <v>J-UN-2019-6213</v>
      </c>
      <c r="T7317" s="1" t="s">
        <v>32</v>
      </c>
    </row>
    <row r="7318" spans="1:20" ht="76.5" x14ac:dyDescent="0.25">
      <c r="A7318" s="6">
        <v>7289</v>
      </c>
      <c r="B7318" s="1" t="str">
        <f>"2019-2724"</f>
        <v>2019-2724</v>
      </c>
      <c r="C7318" s="1" t="s">
        <v>5425</v>
      </c>
      <c r="D7318" s="1" t="s">
        <v>5426</v>
      </c>
      <c r="E7318" s="1" t="str">
        <f>""</f>
        <v/>
      </c>
      <c r="F7318" s="1" t="s">
        <v>1860</v>
      </c>
      <c r="G7318" s="1" t="str">
        <f>CONCATENATE(" TEHNIČAR-COPYSERVIS D.O.O.,"," KRANJČEVIĆEVA 25,"," 10000 ZAGREB,"," OIB: 5139094509")</f>
        <v xml:space="preserve"> TEHNIČAR-COPYSERVIS D.O.O., KRANJČEVIĆEVA 25, 10000 ZAGREB, OIB: 5139094509</v>
      </c>
      <c r="H7318" s="7"/>
      <c r="I7318" s="8" t="s">
        <v>4045</v>
      </c>
      <c r="J7318" s="8" t="s">
        <v>4431</v>
      </c>
      <c r="K7318" s="6" t="str">
        <f>"17.245,26"</f>
        <v>17.245,26</v>
      </c>
      <c r="L7318" s="6" t="str">
        <f>"4.311,32"</f>
        <v>4.311,32</v>
      </c>
      <c r="M7318" s="6" t="str">
        <f>"21.556,58"</f>
        <v>21.556,58</v>
      </c>
      <c r="N7318" s="8" t="s">
        <v>124</v>
      </c>
      <c r="O7318" s="7"/>
      <c r="P7318" s="2" t="s">
        <v>5614</v>
      </c>
      <c r="Q7318" s="7"/>
      <c r="R7318" s="1"/>
      <c r="S7318" s="1" t="str">
        <f>"J-UN-2019-6224"</f>
        <v>J-UN-2019-6224</v>
      </c>
      <c r="T7318" s="1" t="s">
        <v>32</v>
      </c>
    </row>
    <row r="7319" spans="1:20" ht="51" x14ac:dyDescent="0.25">
      <c r="A7319" s="6">
        <v>7290</v>
      </c>
      <c r="B7319" s="1" t="str">
        <f>"2019-2053"</f>
        <v>2019-2053</v>
      </c>
      <c r="C7319" s="1" t="s">
        <v>3040</v>
      </c>
      <c r="D7319" s="1" t="s">
        <v>1865</v>
      </c>
      <c r="E7319" s="1" t="str">
        <f>""</f>
        <v/>
      </c>
      <c r="F7319" s="1" t="s">
        <v>1860</v>
      </c>
      <c r="G7319" s="1" t="str">
        <f>CONCATENATE(" INDUX MEDIA D.O.O.,"," PROKLJANSKA 1,"," 10000 ZAGREB,"," OIB: 40434173119")</f>
        <v xml:space="preserve"> INDUX MEDIA D.O.O., PROKLJANSKA 1, 10000 ZAGREB, OIB: 40434173119</v>
      </c>
      <c r="H7319" s="7"/>
      <c r="I7319" s="8" t="s">
        <v>4052</v>
      </c>
      <c r="J7319" s="8" t="s">
        <v>4431</v>
      </c>
      <c r="K7319" s="6" t="str">
        <f>"4.500,00"</f>
        <v>4.500,00</v>
      </c>
      <c r="L7319" s="6" t="str">
        <f>"1.125,00"</f>
        <v>1.125,00</v>
      </c>
      <c r="M7319" s="6" t="str">
        <f>"5.625,00"</f>
        <v>5.625,00</v>
      </c>
      <c r="N7319" s="8" t="s">
        <v>124</v>
      </c>
      <c r="O7319" s="7"/>
      <c r="P7319" s="2" t="s">
        <v>5614</v>
      </c>
      <c r="Q7319" s="7"/>
      <c r="R7319" s="1"/>
      <c r="S7319" s="1" t="str">
        <f>"J-UN-2019-6243"</f>
        <v>J-UN-2019-6243</v>
      </c>
      <c r="T7319" s="1" t="s">
        <v>32</v>
      </c>
    </row>
    <row r="7320" spans="1:20" ht="51" x14ac:dyDescent="0.25">
      <c r="A7320" s="6">
        <v>7291</v>
      </c>
      <c r="B7320" s="1" t="str">
        <f>"2019-1207"</f>
        <v>2019-1207</v>
      </c>
      <c r="C7320" s="1" t="s">
        <v>3228</v>
      </c>
      <c r="D7320" s="1" t="s">
        <v>3229</v>
      </c>
      <c r="E7320" s="1" t="str">
        <f>""</f>
        <v/>
      </c>
      <c r="F7320" s="1" t="s">
        <v>1860</v>
      </c>
      <c r="G7320" s="1" t="str">
        <f>CONCATENATE(" INSPEKT D.O.O.,"," AVENIJA DUBROVNIK 15,"," 10020 ZAGREB,"," OIB: 24609583524")</f>
        <v xml:space="preserve"> INSPEKT D.O.O., AVENIJA DUBROVNIK 15, 10020 ZAGREB, OIB: 24609583524</v>
      </c>
      <c r="H7320" s="7"/>
      <c r="I7320" s="8" t="s">
        <v>4431</v>
      </c>
      <c r="J7320" s="8" t="s">
        <v>4430</v>
      </c>
      <c r="K7320" s="6" t="str">
        <f>"840,00"</f>
        <v>840,00</v>
      </c>
      <c r="L7320" s="6" t="str">
        <f>"210,00"</f>
        <v>210,00</v>
      </c>
      <c r="M7320" s="6" t="str">
        <f>"1.050,00"</f>
        <v>1.050,00</v>
      </c>
      <c r="N7320" s="8" t="s">
        <v>124</v>
      </c>
      <c r="O7320" s="7"/>
      <c r="P7320" s="2" t="s">
        <v>5614</v>
      </c>
      <c r="Q7320" s="7"/>
      <c r="R7320" s="1"/>
      <c r="S7320" s="1" t="str">
        <f>"J-UN-2019-6255"</f>
        <v>J-UN-2019-6255</v>
      </c>
      <c r="T7320" s="1" t="s">
        <v>32</v>
      </c>
    </row>
    <row r="7321" spans="1:20" ht="51" x14ac:dyDescent="0.25">
      <c r="A7321" s="6">
        <v>7292</v>
      </c>
      <c r="B7321" s="1" t="str">
        <f>"2019-364"</f>
        <v>2019-364</v>
      </c>
      <c r="C7321" s="1" t="s">
        <v>2572</v>
      </c>
      <c r="D7321" s="1" t="s">
        <v>2573</v>
      </c>
      <c r="E7321" s="1" t="str">
        <f>""</f>
        <v/>
      </c>
      <c r="F7321" s="1" t="s">
        <v>1860</v>
      </c>
      <c r="G7321" s="1" t="str">
        <f>CONCATENATE(" KING ICT D.O.O.,"," BUZINSKI PRILAZ 10,"," 10010 ZAGREB,"," OIB: 67001695549")</f>
        <v xml:space="preserve"> KING ICT D.O.O., BUZINSKI PRILAZ 10, 10010 ZAGREB, OIB: 67001695549</v>
      </c>
      <c r="H7321" s="7"/>
      <c r="I7321" s="8" t="s">
        <v>4431</v>
      </c>
      <c r="J7321" s="8" t="s">
        <v>4430</v>
      </c>
      <c r="K7321" s="6" t="str">
        <f>"6.638,62"</f>
        <v>6.638,62</v>
      </c>
      <c r="L7321" s="6" t="str">
        <f>"1.659,66"</f>
        <v>1.659,66</v>
      </c>
      <c r="M7321" s="6" t="str">
        <f>"8.298,28"</f>
        <v>8.298,28</v>
      </c>
      <c r="N7321" s="8" t="s">
        <v>124</v>
      </c>
      <c r="O7321" s="7"/>
      <c r="P7321" s="2" t="s">
        <v>5614</v>
      </c>
      <c r="Q7321" s="7"/>
      <c r="R7321" s="1"/>
      <c r="S7321" s="1" t="str">
        <f>"J-UN-2019-6256"</f>
        <v>J-UN-2019-6256</v>
      </c>
      <c r="T7321" s="1" t="s">
        <v>32</v>
      </c>
    </row>
    <row r="7322" spans="1:20" ht="51" x14ac:dyDescent="0.25">
      <c r="A7322" s="6">
        <v>7293</v>
      </c>
      <c r="B7322" s="1" t="str">
        <f>"2019-2082"</f>
        <v>2019-2082</v>
      </c>
      <c r="C7322" s="1" t="s">
        <v>3099</v>
      </c>
      <c r="D7322" s="1" t="s">
        <v>2596</v>
      </c>
      <c r="E7322" s="1" t="str">
        <f>""</f>
        <v/>
      </c>
      <c r="F7322" s="1" t="s">
        <v>1860</v>
      </c>
      <c r="G7322" s="1" t="str">
        <f>CONCATENATE(" ACROBAT D&amp;M D.O.O.,"," BOŽIDARA ADŽIJE 22/1,"," 10000 ZAGREB,"," OIB: 58517646273")</f>
        <v xml:space="preserve"> ACROBAT D&amp;M D.O.O., BOŽIDARA ADŽIJE 22/1, 10000 ZAGREB, OIB: 58517646273</v>
      </c>
      <c r="H7322" s="7"/>
      <c r="I7322" s="8" t="s">
        <v>620</v>
      </c>
      <c r="J7322" s="8" t="s">
        <v>4117</v>
      </c>
      <c r="K7322" s="6" t="str">
        <f>"108.190,00"</f>
        <v>108.190,00</v>
      </c>
      <c r="L7322" s="6" t="str">
        <f>"27.047,50"</f>
        <v>27.047,50</v>
      </c>
      <c r="M7322" s="6" t="str">
        <f>"135.237,50"</f>
        <v>135.237,50</v>
      </c>
      <c r="N7322" s="8" t="s">
        <v>124</v>
      </c>
      <c r="O7322" s="7"/>
      <c r="P7322" s="2" t="s">
        <v>5614</v>
      </c>
      <c r="Q7322" s="7"/>
      <c r="R7322" s="1"/>
      <c r="S7322" s="1" t="str">
        <f>"J-UN-2019-6277"</f>
        <v>J-UN-2019-6277</v>
      </c>
      <c r="T7322" s="1" t="s">
        <v>32</v>
      </c>
    </row>
    <row r="7323" spans="1:20" ht="63.75" x14ac:dyDescent="0.25">
      <c r="A7323" s="6">
        <v>7294</v>
      </c>
      <c r="B7323" s="1" t="str">
        <f>"2019-153"</f>
        <v>2019-153</v>
      </c>
      <c r="C7323" s="1" t="s">
        <v>5486</v>
      </c>
      <c r="D7323" s="1" t="s">
        <v>1865</v>
      </c>
      <c r="E7323" s="1" t="str">
        <f>""</f>
        <v/>
      </c>
      <c r="F7323" s="1" t="s">
        <v>1860</v>
      </c>
      <c r="G7323" s="1" t="str">
        <f>CONCATENATE(" MEDIA POLIS D.O.O.,"," ULICA GRADA VUKOVARA 284,"," 10000 ZAGREB,"," OIB: 00436315186")</f>
        <v xml:space="preserve"> MEDIA POLIS D.O.O., ULICA GRADA VUKOVARA 284, 10000 ZAGREB, OIB: 00436315186</v>
      </c>
      <c r="H7323" s="7"/>
      <c r="I7323" s="8" t="s">
        <v>4126</v>
      </c>
      <c r="J7323" s="8" t="s">
        <v>4446</v>
      </c>
      <c r="K7323" s="6" t="str">
        <f>"49.890,00"</f>
        <v>49.890,00</v>
      </c>
      <c r="L7323" s="6" t="str">
        <f>"12.472,50"</f>
        <v>12.472,50</v>
      </c>
      <c r="M7323" s="6" t="str">
        <f>"62.362,50"</f>
        <v>62.362,50</v>
      </c>
      <c r="N7323" s="8" t="s">
        <v>4691</v>
      </c>
      <c r="O7323" s="7"/>
      <c r="P7323" s="2" t="s">
        <v>9117</v>
      </c>
      <c r="Q7323" s="7"/>
      <c r="R7323" s="1"/>
      <c r="S7323" s="1" t="str">
        <f>"J-UN-2019-6293"</f>
        <v>J-UN-2019-6293</v>
      </c>
      <c r="T7323" s="1" t="s">
        <v>32</v>
      </c>
    </row>
    <row r="7324" spans="1:20" ht="63.75" x14ac:dyDescent="0.25">
      <c r="A7324" s="6">
        <v>7295</v>
      </c>
      <c r="B7324" s="1" t="str">
        <f>"2019-2202"</f>
        <v>2019-2202</v>
      </c>
      <c r="C7324" s="1" t="s">
        <v>3130</v>
      </c>
      <c r="D7324" s="1" t="s">
        <v>2631</v>
      </c>
      <c r="E7324" s="1" t="str">
        <f>""</f>
        <v/>
      </c>
      <c r="F7324" s="1" t="s">
        <v>1860</v>
      </c>
      <c r="G7324" s="1" t="str">
        <f>CONCATENATE(" NACIONAL NEWS CORPORATION D.O.O.,"," MAKSIMIRSKA 120,"," 10000 ZAGREB,"," OIB: 76663423558")</f>
        <v xml:space="preserve"> NACIONAL NEWS CORPORATION D.O.O., MAKSIMIRSKA 120, 10000 ZAGREB, OIB: 76663423558</v>
      </c>
      <c r="H7324" s="7"/>
      <c r="I7324" s="8" t="s">
        <v>3910</v>
      </c>
      <c r="J7324" s="8" t="s">
        <v>5487</v>
      </c>
      <c r="K7324" s="6" t="str">
        <f>"10.010,00"</f>
        <v>10.010,00</v>
      </c>
      <c r="L7324" s="6" t="str">
        <f>"2.502,50"</f>
        <v>2.502,50</v>
      </c>
      <c r="M7324" s="6" t="str">
        <f>"12.512,50"</f>
        <v>12.512,50</v>
      </c>
      <c r="N7324" s="8" t="s">
        <v>124</v>
      </c>
      <c r="O7324" s="7"/>
      <c r="P7324" s="2" t="s">
        <v>5614</v>
      </c>
      <c r="Q7324" s="7"/>
      <c r="R7324" s="1"/>
      <c r="S7324" s="1" t="str">
        <f>"J-UN-2019-6305"</f>
        <v>J-UN-2019-6305</v>
      </c>
      <c r="T7324" s="1" t="s">
        <v>32</v>
      </c>
    </row>
    <row r="7325" spans="1:20" ht="63.75" x14ac:dyDescent="0.25">
      <c r="A7325" s="6">
        <v>7296</v>
      </c>
      <c r="B7325" s="1" t="str">
        <f>"2019-2053"</f>
        <v>2019-2053</v>
      </c>
      <c r="C7325" s="1" t="s">
        <v>3040</v>
      </c>
      <c r="D7325" s="1" t="s">
        <v>1865</v>
      </c>
      <c r="E7325" s="1" t="str">
        <f>""</f>
        <v/>
      </c>
      <c r="F7325" s="1" t="s">
        <v>1860</v>
      </c>
      <c r="G7325" s="1" t="str">
        <f>CONCATENATE(" KADRA BIZ VL.KATARINA BUGARIN,"," KALINOVICA 6,"," 10000 ZAGREB,"," OIB: 67977741737")</f>
        <v xml:space="preserve"> KADRA BIZ VL.KATARINA BUGARIN, KALINOVICA 6, 10000 ZAGREB, OIB: 67977741737</v>
      </c>
      <c r="H7325" s="7"/>
      <c r="I7325" s="8" t="s">
        <v>4446</v>
      </c>
      <c r="J7325" s="8" t="s">
        <v>4341</v>
      </c>
      <c r="K7325" s="6" t="str">
        <f>"5.600,00"</f>
        <v>5.600,00</v>
      </c>
      <c r="L7325" s="6" t="str">
        <f>"1.400,00"</f>
        <v>1.400,00</v>
      </c>
      <c r="M7325" s="6" t="str">
        <f>"7.000,00"</f>
        <v>7.000,00</v>
      </c>
      <c r="N7325" s="8" t="s">
        <v>124</v>
      </c>
      <c r="O7325" s="7"/>
      <c r="P7325" s="2" t="s">
        <v>5614</v>
      </c>
      <c r="Q7325" s="7"/>
      <c r="R7325" s="1"/>
      <c r="S7325" s="1" t="str">
        <f>"J-UN-2020-13"</f>
        <v>J-UN-2020-13</v>
      </c>
      <c r="T7325" s="1" t="s">
        <v>32</v>
      </c>
    </row>
    <row r="7326" spans="1:20" ht="51" x14ac:dyDescent="0.25">
      <c r="A7326" s="6">
        <v>7297</v>
      </c>
      <c r="B7326" s="1" t="str">
        <f>"2019-3049"</f>
        <v>2019-3049</v>
      </c>
      <c r="C7326" s="1" t="s">
        <v>5488</v>
      </c>
      <c r="D7326" s="1" t="s">
        <v>2331</v>
      </c>
      <c r="E7326" s="1" t="str">
        <f>""</f>
        <v/>
      </c>
      <c r="F7326" s="1" t="s">
        <v>1860</v>
      </c>
      <c r="G7326" s="1" t="str">
        <f>CONCATENATE(" LEONARDO MEDIA D.O.O.,"," GJURE SZABA 4/2,"," 10000 ZAGREB,"," OIB: 90240160025")</f>
        <v xml:space="preserve"> LEONARDO MEDIA D.O.O., GJURE SZABA 4/2, 10000 ZAGREB, OIB: 90240160025</v>
      </c>
      <c r="H7326" s="7"/>
      <c r="I7326" s="8" t="s">
        <v>4446</v>
      </c>
      <c r="J7326" s="8" t="s">
        <v>1247</v>
      </c>
      <c r="K7326" s="6" t="str">
        <f>"59.950,00"</f>
        <v>59.950,00</v>
      </c>
      <c r="L7326" s="6" t="str">
        <f>"14.987,50"</f>
        <v>14.987,50</v>
      </c>
      <c r="M7326" s="6" t="str">
        <f>"74.937,50"</f>
        <v>74.937,50</v>
      </c>
      <c r="N7326" s="8" t="s">
        <v>4330</v>
      </c>
      <c r="O7326" s="7"/>
      <c r="P7326" s="2" t="s">
        <v>6834</v>
      </c>
      <c r="Q7326" s="7"/>
      <c r="R7326" s="1"/>
      <c r="S7326" s="1" t="str">
        <f>"J-UN-2020-14"</f>
        <v>J-UN-2020-14</v>
      </c>
      <c r="T7326" s="1" t="s">
        <v>32</v>
      </c>
    </row>
    <row r="7327" spans="1:20" ht="63.75" x14ac:dyDescent="0.25">
      <c r="A7327" s="6">
        <v>7298</v>
      </c>
      <c r="B7327" s="1" t="str">
        <f>"2019-279"</f>
        <v>2019-279</v>
      </c>
      <c r="C7327" s="1" t="s">
        <v>2634</v>
      </c>
      <c r="D7327" s="1" t="s">
        <v>2331</v>
      </c>
      <c r="E7327" s="1" t="str">
        <f>""</f>
        <v/>
      </c>
      <c r="F7327" s="1" t="s">
        <v>1860</v>
      </c>
      <c r="G7327" s="1" t="str">
        <f>CONCATENATE(" HENDRIH FELDBAUER D.O.O.,"," ANTUNA BAUERA 2,"," 10000 ZAGREB,"," OIB: 22564207533")</f>
        <v xml:space="preserve"> HENDRIH FELDBAUER D.O.O., ANTUNA BAUERA 2, 10000 ZAGREB, OIB: 22564207533</v>
      </c>
      <c r="H7327" s="7"/>
      <c r="I7327" s="8" t="s">
        <v>4341</v>
      </c>
      <c r="J7327" s="8" t="s">
        <v>5489</v>
      </c>
      <c r="K7327" s="6" t="str">
        <f>"44.450,00"</f>
        <v>44.450,00</v>
      </c>
      <c r="L7327" s="6" t="str">
        <f>"11.112,50"</f>
        <v>11.112,50</v>
      </c>
      <c r="M7327" s="6" t="str">
        <f>"55.562,50"</f>
        <v>55.562,50</v>
      </c>
      <c r="N7327" s="8" t="s">
        <v>124</v>
      </c>
      <c r="O7327" s="7"/>
      <c r="P7327" s="2" t="s">
        <v>5614</v>
      </c>
      <c r="Q7327" s="7"/>
      <c r="R7327" s="1"/>
      <c r="S7327" s="1" t="str">
        <f>"J-UN-2020-15"</f>
        <v>J-UN-2020-15</v>
      </c>
      <c r="T7327" s="1" t="s">
        <v>32</v>
      </c>
    </row>
    <row r="7328" spans="1:20" ht="51" x14ac:dyDescent="0.25">
      <c r="A7328" s="6">
        <v>7299</v>
      </c>
      <c r="B7328" s="1" t="str">
        <f>"2020-7"</f>
        <v>2020-7</v>
      </c>
      <c r="C7328" s="1" t="s">
        <v>5490</v>
      </c>
      <c r="D7328" s="1" t="s">
        <v>2241</v>
      </c>
      <c r="E7328" s="1" t="str">
        <f>""</f>
        <v/>
      </c>
      <c r="F7328" s="1" t="s">
        <v>1860</v>
      </c>
      <c r="G7328" s="1" t="str">
        <f>CONCATENATE(" VIATOR D.O.O.,"," KRALJA DRŽISLAVA 6,"," 21000 SPLIT,"," OIB: 6473171712")</f>
        <v xml:space="preserve"> VIATOR D.O.O., KRALJA DRŽISLAVA 6, 21000 SPLIT, OIB: 6473171712</v>
      </c>
      <c r="H7328" s="7"/>
      <c r="I7328" s="8" t="s">
        <v>4423</v>
      </c>
      <c r="J7328" s="8" t="s">
        <v>4146</v>
      </c>
      <c r="K7328" s="6" t="str">
        <f>"183.480,00"</f>
        <v>183.480,00</v>
      </c>
      <c r="L7328" s="6" t="str">
        <f>"45.870,00"</f>
        <v>45.870,00</v>
      </c>
      <c r="M7328" s="6" t="str">
        <f>"229.350,00"</f>
        <v>229.350,00</v>
      </c>
      <c r="N7328" s="8" t="s">
        <v>4179</v>
      </c>
      <c r="O7328" s="7"/>
      <c r="P7328" s="2" t="s">
        <v>9118</v>
      </c>
      <c r="Q7328" s="7"/>
      <c r="R7328" s="1"/>
      <c r="S7328" s="1" t="str">
        <f>"J-UN-2020-65"</f>
        <v>J-UN-2020-65</v>
      </c>
      <c r="T7328" s="1" t="s">
        <v>32</v>
      </c>
    </row>
    <row r="7329" spans="1:20" ht="51" x14ac:dyDescent="0.25">
      <c r="A7329" s="6">
        <v>7300</v>
      </c>
      <c r="B7329" s="1" t="str">
        <f>"2020-960"</f>
        <v>2020-960</v>
      </c>
      <c r="C7329" s="1" t="s">
        <v>3085</v>
      </c>
      <c r="D7329" s="1" t="s">
        <v>2549</v>
      </c>
      <c r="E7329" s="1" t="str">
        <f>""</f>
        <v/>
      </c>
      <c r="F7329" s="1" t="s">
        <v>1860</v>
      </c>
      <c r="G7329" s="1" t="str">
        <f>CONCATENATE(" AD HOC-CENTAR D.O.O.,"," DRAŠKOVIĆEVA 4A,"," 10000 ZAGREB,"," OIB: 75132412279")</f>
        <v xml:space="preserve"> AD HOC-CENTAR D.O.O., DRAŠKOVIĆEVA 4A, 10000 ZAGREB, OIB: 75132412279</v>
      </c>
      <c r="H7329" s="7"/>
      <c r="I7329" s="8" t="s">
        <v>695</v>
      </c>
      <c r="J7329" s="8" t="s">
        <v>705</v>
      </c>
      <c r="K7329" s="6" t="str">
        <f>"19.921,50"</f>
        <v>19.921,50</v>
      </c>
      <c r="L7329" s="6" t="str">
        <f>"4.980,38"</f>
        <v>4.980,38</v>
      </c>
      <c r="M7329" s="6" t="str">
        <f>"24.901,88"</f>
        <v>24.901,88</v>
      </c>
      <c r="N7329" s="8" t="s">
        <v>725</v>
      </c>
      <c r="O7329" s="7"/>
      <c r="P7329" s="2" t="s">
        <v>9119</v>
      </c>
      <c r="Q7329" s="7"/>
      <c r="R7329" s="1"/>
      <c r="S7329" s="1" t="str">
        <f>"J-UN-2020-76"</f>
        <v>J-UN-2020-76</v>
      </c>
      <c r="T7329" s="1" t="s">
        <v>32</v>
      </c>
    </row>
    <row r="7330" spans="1:20" ht="63.75" x14ac:dyDescent="0.25">
      <c r="A7330" s="6">
        <v>7301</v>
      </c>
      <c r="B7330" s="1" t="str">
        <f>"2020-2102"</f>
        <v>2020-2102</v>
      </c>
      <c r="C7330" s="1" t="s">
        <v>2313</v>
      </c>
      <c r="D7330" s="1" t="s">
        <v>2211</v>
      </c>
      <c r="E7330" s="1" t="str">
        <f>""</f>
        <v/>
      </c>
      <c r="F7330" s="1" t="s">
        <v>1860</v>
      </c>
      <c r="G7330" s="1" t="str">
        <f>CONCATENATE(" KPMG CROATIA D.O.O.,"," EUROTOWER,"," 17. KAT - IVANA LUČIĆA 2A,"," 10000 ZAGREB,"," OIB: 20963249418")</f>
        <v xml:space="preserve"> KPMG CROATIA D.O.O., EUROTOWER, 17. KAT - IVANA LUČIĆA 2A, 10000 ZAGREB, OIB: 20963249418</v>
      </c>
      <c r="H7330" s="7"/>
      <c r="I7330" s="8" t="s">
        <v>742</v>
      </c>
      <c r="J7330" s="8" t="s">
        <v>739</v>
      </c>
      <c r="K7330" s="6" t="str">
        <f>"20.500,00"</f>
        <v>20.500,00</v>
      </c>
      <c r="L7330" s="6" t="str">
        <f>"5.125,00"</f>
        <v>5.125,00</v>
      </c>
      <c r="M7330" s="6" t="str">
        <f>"25.625,00"</f>
        <v>25.625,00</v>
      </c>
      <c r="N7330" s="8" t="s">
        <v>124</v>
      </c>
      <c r="O7330" s="7"/>
      <c r="P7330" s="2" t="s">
        <v>5614</v>
      </c>
      <c r="Q7330" s="7"/>
      <c r="R7330" s="1"/>
      <c r="S7330" s="1" t="str">
        <f>"J-UN-2020-77"</f>
        <v>J-UN-2020-77</v>
      </c>
      <c r="T7330" s="1" t="s">
        <v>32</v>
      </c>
    </row>
    <row r="7331" spans="1:20" ht="51" x14ac:dyDescent="0.25">
      <c r="A7331" s="6">
        <v>7302</v>
      </c>
      <c r="B7331" s="1" t="str">
        <f>"2020-2395"</f>
        <v>2020-2395</v>
      </c>
      <c r="C7331" s="1" t="s">
        <v>2469</v>
      </c>
      <c r="D7331" s="1" t="s">
        <v>2287</v>
      </c>
      <c r="E7331" s="1" t="str">
        <f>""</f>
        <v/>
      </c>
      <c r="F7331" s="1" t="s">
        <v>1860</v>
      </c>
      <c r="G7331" s="1" t="str">
        <f>CONCATENATE(" Z - EL D.O.O.,"," INDUSTRIJSKA CESTA 28,"," 10360 SESVETE,"," OIB: 11374156664")</f>
        <v xml:space="preserve"> Z - EL D.O.O., INDUSTRIJSKA CESTA 28, 10360 SESVETE, OIB: 11374156664</v>
      </c>
      <c r="H7331" s="7"/>
      <c r="I7331" s="8" t="s">
        <v>778</v>
      </c>
      <c r="J7331" s="8" t="s">
        <v>742</v>
      </c>
      <c r="K7331" s="6" t="str">
        <f>"464,40"</f>
        <v>464,40</v>
      </c>
      <c r="L7331" s="6" t="str">
        <f>"116,10"</f>
        <v>116,10</v>
      </c>
      <c r="M7331" s="6" t="str">
        <f>"580,50"</f>
        <v>580,50</v>
      </c>
      <c r="N7331" s="8" t="s">
        <v>124</v>
      </c>
      <c r="O7331" s="7"/>
      <c r="P7331" s="2" t="s">
        <v>5614</v>
      </c>
      <c r="Q7331" s="7"/>
      <c r="R7331" s="1"/>
      <c r="S7331" s="1" t="str">
        <f>"J-UN-2020-79"</f>
        <v>J-UN-2020-79</v>
      </c>
      <c r="T7331" s="1" t="s">
        <v>32</v>
      </c>
    </row>
    <row r="7332" spans="1:20" ht="51" x14ac:dyDescent="0.25">
      <c r="A7332" s="6">
        <v>7303</v>
      </c>
      <c r="B7332" s="1" t="str">
        <f>"2020-2395"</f>
        <v>2020-2395</v>
      </c>
      <c r="C7332" s="1" t="s">
        <v>2469</v>
      </c>
      <c r="D7332" s="1" t="s">
        <v>2287</v>
      </c>
      <c r="E7332" s="1" t="str">
        <f>""</f>
        <v/>
      </c>
      <c r="F7332" s="1" t="s">
        <v>1860</v>
      </c>
      <c r="G7332" s="1" t="str">
        <f>CONCATENATE(" PROTEKTA D.O.O.,"," IVANA ŠIBLA 9,"," 10000 ZAGREB,"," OIB: 25210761537")</f>
        <v xml:space="preserve"> PROTEKTA D.O.O., IVANA ŠIBLA 9, 10000 ZAGREB, OIB: 25210761537</v>
      </c>
      <c r="H7332" s="7"/>
      <c r="I7332" s="8" t="s">
        <v>778</v>
      </c>
      <c r="J7332" s="8" t="s">
        <v>742</v>
      </c>
      <c r="K7332" s="6" t="str">
        <f>"1.775,00"</f>
        <v>1.775,00</v>
      </c>
      <c r="L7332" s="6" t="str">
        <f>"443,75"</f>
        <v>443,75</v>
      </c>
      <c r="M7332" s="6" t="str">
        <f>"2.218,75"</f>
        <v>2.218,75</v>
      </c>
      <c r="N7332" s="8" t="s">
        <v>124</v>
      </c>
      <c r="O7332" s="7"/>
      <c r="P7332" s="2" t="s">
        <v>5614</v>
      </c>
      <c r="Q7332" s="7"/>
      <c r="R7332" s="1"/>
      <c r="S7332" s="1" t="str">
        <f>"J-UN-2020-80"</f>
        <v>J-UN-2020-80</v>
      </c>
      <c r="T7332" s="1" t="s">
        <v>32</v>
      </c>
    </row>
    <row r="7333" spans="1:20" ht="63.75" x14ac:dyDescent="0.25">
      <c r="A7333" s="6">
        <v>7304</v>
      </c>
      <c r="B7333" s="1" t="str">
        <f>"2020-2395"</f>
        <v>2020-2395</v>
      </c>
      <c r="C7333" s="1" t="s">
        <v>2469</v>
      </c>
      <c r="D7333" s="1" t="s">
        <v>2287</v>
      </c>
      <c r="E7333" s="1" t="str">
        <f>""</f>
        <v/>
      </c>
      <c r="F7333" s="1" t="s">
        <v>1860</v>
      </c>
      <c r="G7333" s="1" t="str">
        <f>CONCATENATE(" LESNINA H. D.O.O.,"," SLAVONSKA AVENIJA 106,"," 10373 IVANJA REKA,"," OIB: 36998794856")</f>
        <v xml:space="preserve"> LESNINA H. D.O.O., SLAVONSKA AVENIJA 106, 10373 IVANJA REKA, OIB: 36998794856</v>
      </c>
      <c r="H7333" s="7"/>
      <c r="I7333" s="8" t="s">
        <v>5491</v>
      </c>
      <c r="J7333" s="8" t="s">
        <v>742</v>
      </c>
      <c r="K7333" s="6" t="str">
        <f>"349,60"</f>
        <v>349,60</v>
      </c>
      <c r="L7333" s="6" t="str">
        <f>"87,40"</f>
        <v>87,40</v>
      </c>
      <c r="M7333" s="6" t="str">
        <f>"437,00"</f>
        <v>437,00</v>
      </c>
      <c r="N7333" s="8" t="s">
        <v>124</v>
      </c>
      <c r="O7333" s="7"/>
      <c r="P7333" s="2" t="s">
        <v>5614</v>
      </c>
      <c r="Q7333" s="7"/>
      <c r="R7333" s="1"/>
      <c r="S7333" s="1" t="str">
        <f>"J-UN-2020-82"</f>
        <v>J-UN-2020-82</v>
      </c>
      <c r="T7333" s="1" t="s">
        <v>32</v>
      </c>
    </row>
    <row r="7334" spans="1:20" ht="63.75" x14ac:dyDescent="0.25">
      <c r="A7334" s="6">
        <v>7305</v>
      </c>
      <c r="B7334" s="1" t="str">
        <f>"2020-520"</f>
        <v>2020-520</v>
      </c>
      <c r="C7334" s="1" t="s">
        <v>2677</v>
      </c>
      <c r="D7334" s="1" t="s">
        <v>2678</v>
      </c>
      <c r="E7334" s="1" t="str">
        <f>""</f>
        <v/>
      </c>
      <c r="F7334" s="1" t="s">
        <v>1860</v>
      </c>
      <c r="G7334" s="1" t="str">
        <f>CONCATENATE(" GRADSKA LJEKARNA ZAGREB,"," KRALJA DRŽISLAVA 6,"," 10000 ZAGREB,"," OIB: 37268254106")</f>
        <v xml:space="preserve"> GRADSKA LJEKARNA ZAGREB, KRALJA DRŽISLAVA 6, 10000 ZAGREB, OIB: 37268254106</v>
      </c>
      <c r="H7334" s="7"/>
      <c r="I7334" s="8" t="s">
        <v>739</v>
      </c>
      <c r="J7334" s="8" t="s">
        <v>4363</v>
      </c>
      <c r="K7334" s="6" t="str">
        <f>"66.885,00"</f>
        <v>66.885,00</v>
      </c>
      <c r="L7334" s="6" t="str">
        <f>"16.721,25"</f>
        <v>16.721,25</v>
      </c>
      <c r="M7334" s="6" t="str">
        <f>"83.606,25"</f>
        <v>83.606,25</v>
      </c>
      <c r="N7334" s="8" t="s">
        <v>124</v>
      </c>
      <c r="O7334" s="7"/>
      <c r="P7334" s="2" t="s">
        <v>5614</v>
      </c>
      <c r="Q7334" s="7"/>
      <c r="R7334" s="1"/>
      <c r="S7334" s="1" t="str">
        <f>"J-UN-2020-83"</f>
        <v>J-UN-2020-83</v>
      </c>
      <c r="T7334" s="1" t="s">
        <v>32</v>
      </c>
    </row>
    <row r="7335" spans="1:20" ht="89.25" x14ac:dyDescent="0.25">
      <c r="A7335" s="6">
        <v>7306</v>
      </c>
      <c r="B7335" s="1" t="str">
        <f>"2020-398"</f>
        <v>2020-398</v>
      </c>
      <c r="C7335" s="1" t="s">
        <v>2302</v>
      </c>
      <c r="D7335" s="1" t="s">
        <v>689</v>
      </c>
      <c r="E7335" s="1" t="str">
        <f>""</f>
        <v/>
      </c>
      <c r="F7335" s="1" t="s">
        <v>1860</v>
      </c>
      <c r="G7335" s="1" t="str">
        <f>CONCATENATE(" ZAVOD ZA ISTRAŽIVANJE I RAZVOJ SIGURNOSTI D.O.O.,"," ULICA GRADA VUKOVARA 68,"," 10000 ZAGREB,"," OIB: 05494093403")</f>
        <v xml:space="preserve"> ZAVOD ZA ISTRAŽIVANJE I RAZVOJ SIGURNOSTI D.O.O., ULICA GRADA VUKOVARA 68, 10000 ZAGREB, OIB: 05494093403</v>
      </c>
      <c r="H7335" s="7"/>
      <c r="I7335" s="8" t="s">
        <v>4363</v>
      </c>
      <c r="J7335" s="8" t="s">
        <v>4914</v>
      </c>
      <c r="K7335" s="6" t="str">
        <f>"1.000,00"</f>
        <v>1.000,00</v>
      </c>
      <c r="L7335" s="6" t="str">
        <f>"250,00"</f>
        <v>250,00</v>
      </c>
      <c r="M7335" s="6" t="str">
        <f>"1.250,00"</f>
        <v>1.250,00</v>
      </c>
      <c r="N7335" s="8" t="s">
        <v>124</v>
      </c>
      <c r="O7335" s="7"/>
      <c r="P7335" s="2" t="s">
        <v>5614</v>
      </c>
      <c r="Q7335" s="7"/>
      <c r="R7335" s="1"/>
      <c r="S7335" s="1" t="str">
        <f>"J-UN-2020-87"</f>
        <v>J-UN-2020-87</v>
      </c>
      <c r="T7335" s="1" t="s">
        <v>32</v>
      </c>
    </row>
    <row r="7336" spans="1:20" ht="38.25" x14ac:dyDescent="0.25">
      <c r="A7336" s="6">
        <v>7307</v>
      </c>
      <c r="B7336" s="1" t="str">
        <f>"2020-1982"</f>
        <v>2020-1982</v>
      </c>
      <c r="C7336" s="1" t="s">
        <v>5492</v>
      </c>
      <c r="D7336" s="1" t="s">
        <v>2607</v>
      </c>
      <c r="E7336" s="1" t="str">
        <f>""</f>
        <v/>
      </c>
      <c r="F7336" s="1" t="s">
        <v>1860</v>
      </c>
      <c r="G7336" s="1" t="str">
        <f>CONCATENATE(" PREMIUM D.O.O.,"," ,"," OIB: 9905063644")</f>
        <v xml:space="preserve"> PREMIUM D.O.O., , OIB: 9905063644</v>
      </c>
      <c r="H7336" s="7"/>
      <c r="I7336" s="8" t="s">
        <v>5493</v>
      </c>
      <c r="J7336" s="8" t="s">
        <v>1994</v>
      </c>
      <c r="K7336" s="6" t="str">
        <f>"57.384,90"</f>
        <v>57.384,90</v>
      </c>
      <c r="L7336" s="6" t="str">
        <f>"14.346,22"</f>
        <v>14.346,22</v>
      </c>
      <c r="M7336" s="6" t="str">
        <f>"71.731,12"</f>
        <v>71.731,12</v>
      </c>
      <c r="N7336" s="8" t="s">
        <v>124</v>
      </c>
      <c r="O7336" s="7"/>
      <c r="P7336" s="2" t="s">
        <v>5614</v>
      </c>
      <c r="Q7336" s="7"/>
      <c r="R7336" s="1"/>
      <c r="S7336" s="1" t="str">
        <f>"J-UN-2020-88"</f>
        <v>J-UN-2020-88</v>
      </c>
      <c r="T7336" s="1" t="s">
        <v>32</v>
      </c>
    </row>
    <row r="7337" spans="1:20" ht="51" x14ac:dyDescent="0.25">
      <c r="A7337" s="6">
        <v>7308</v>
      </c>
      <c r="B7337" s="1" t="str">
        <f>"2020-2798"</f>
        <v>2020-2798</v>
      </c>
      <c r="C7337" s="1" t="s">
        <v>5494</v>
      </c>
      <c r="D7337" s="1" t="s">
        <v>689</v>
      </c>
      <c r="E7337" s="1" t="str">
        <f>""</f>
        <v/>
      </c>
      <c r="F7337" s="1" t="s">
        <v>1860</v>
      </c>
      <c r="G7337" s="1" t="str">
        <f>CONCATENATE(" ECO COMFORT D.O.O.,"," KAŠTEL,"," JUKI 158,"," 52460 BUJE,"," OIB: 4663958259")</f>
        <v xml:space="preserve"> ECO COMFORT D.O.O., KAŠTEL, JUKI 158, 52460 BUJE, OIB: 4663958259</v>
      </c>
      <c r="H7337" s="7"/>
      <c r="I7337" s="8" t="s">
        <v>5493</v>
      </c>
      <c r="J7337" s="8" t="s">
        <v>1994</v>
      </c>
      <c r="K7337" s="6" t="str">
        <f>"8.556,86"</f>
        <v>8.556,86</v>
      </c>
      <c r="L7337" s="6" t="str">
        <f>"2.139,22"</f>
        <v>2.139,22</v>
      </c>
      <c r="M7337" s="6" t="str">
        <f>"10.696,08"</f>
        <v>10.696,08</v>
      </c>
      <c r="N7337" s="8" t="s">
        <v>5493</v>
      </c>
      <c r="O7337" s="7"/>
      <c r="P7337" s="2" t="s">
        <v>9120</v>
      </c>
      <c r="Q7337" s="7"/>
      <c r="R7337" s="1"/>
      <c r="S7337" s="1" t="str">
        <f>"J-UN-2020-90"</f>
        <v>J-UN-2020-90</v>
      </c>
      <c r="T7337" s="1" t="s">
        <v>32</v>
      </c>
    </row>
    <row r="7338" spans="1:20" ht="76.5" x14ac:dyDescent="0.25">
      <c r="A7338" s="6">
        <v>7309</v>
      </c>
      <c r="B7338" s="1" t="str">
        <f>"2020-99"</f>
        <v>2020-99</v>
      </c>
      <c r="C7338" s="1" t="s">
        <v>5495</v>
      </c>
      <c r="D7338" s="1" t="s">
        <v>2682</v>
      </c>
      <c r="E7338" s="1" t="str">
        <f>""</f>
        <v/>
      </c>
      <c r="F7338" s="1" t="s">
        <v>1860</v>
      </c>
      <c r="G7338" s="1" t="str">
        <f>CONCATENATE(" REMONDIS MEDISON D.O.O.,"," DRAGANIĆ 13a,"," 47 201 DRAGANIĆI,"," OIB: 5885206008")</f>
        <v xml:space="preserve"> REMONDIS MEDISON D.O.O., DRAGANIĆ 13a, 47 201 DRAGANIĆI, OIB: 5885206008</v>
      </c>
      <c r="H7338" s="7"/>
      <c r="I7338" s="8" t="s">
        <v>4118</v>
      </c>
      <c r="J7338" s="8" t="s">
        <v>4435</v>
      </c>
      <c r="K7338" s="6" t="str">
        <f>"22.300,00"</f>
        <v>22.300,00</v>
      </c>
      <c r="L7338" s="6" t="str">
        <f>"5.575,00"</f>
        <v>5.575,00</v>
      </c>
      <c r="M7338" s="6" t="str">
        <f>"27.875,00"</f>
        <v>27.875,00</v>
      </c>
      <c r="N7338" s="8" t="s">
        <v>4067</v>
      </c>
      <c r="O7338" s="7"/>
      <c r="P7338" s="2" t="s">
        <v>9121</v>
      </c>
      <c r="Q7338" s="7"/>
      <c r="R7338" s="1"/>
      <c r="S7338" s="1" t="str">
        <f>"J-UN-2020-94"</f>
        <v>J-UN-2020-94</v>
      </c>
      <c r="T7338" s="1" t="s">
        <v>32</v>
      </c>
    </row>
    <row r="7339" spans="1:20" ht="63.75" x14ac:dyDescent="0.25">
      <c r="A7339" s="6">
        <v>7310</v>
      </c>
      <c r="B7339" s="1" t="str">
        <f>"2020-2799"</f>
        <v>2020-2799</v>
      </c>
      <c r="C7339" s="1" t="s">
        <v>5496</v>
      </c>
      <c r="D7339" s="1" t="s">
        <v>2938</v>
      </c>
      <c r="E7339" s="1" t="str">
        <f>""</f>
        <v/>
      </c>
      <c r="F7339" s="1" t="s">
        <v>1860</v>
      </c>
      <c r="G7339" s="1" t="str">
        <f>CONCATENATE(" HOSPITALIJA MALOPRODAJA D.O.O.,"," ILICA 48,"," 10000 ZAGREB,"," OIB: 53450815674")</f>
        <v xml:space="preserve"> HOSPITALIJA MALOPRODAJA D.O.O., ILICA 48, 10000 ZAGREB, OIB: 53450815674</v>
      </c>
      <c r="H7339" s="7"/>
      <c r="I7339" s="8" t="s">
        <v>4118</v>
      </c>
      <c r="J7339" s="8" t="s">
        <v>4152</v>
      </c>
      <c r="K7339" s="6" t="str">
        <f>"1.880,00"</f>
        <v>1.880,00</v>
      </c>
      <c r="L7339" s="6" t="str">
        <f>"470,00"</f>
        <v>470,00</v>
      </c>
      <c r="M7339" s="6" t="str">
        <f>"2.350,00"</f>
        <v>2.350,00</v>
      </c>
      <c r="N7339" s="8" t="s">
        <v>124</v>
      </c>
      <c r="O7339" s="7"/>
      <c r="P7339" s="2" t="s">
        <v>5614</v>
      </c>
      <c r="Q7339" s="7"/>
      <c r="R7339" s="1"/>
      <c r="S7339" s="1" t="str">
        <f>"J-UN-2020-95"</f>
        <v>J-UN-2020-95</v>
      </c>
      <c r="T7339" s="1" t="s">
        <v>32</v>
      </c>
    </row>
    <row r="7340" spans="1:20" ht="76.5" x14ac:dyDescent="0.25">
      <c r="A7340" s="6">
        <v>7311</v>
      </c>
      <c r="B7340" s="1" t="str">
        <f>"2020-713"</f>
        <v>2020-713</v>
      </c>
      <c r="C7340" s="1" t="s">
        <v>2778</v>
      </c>
      <c r="D7340" s="1" t="s">
        <v>1833</v>
      </c>
      <c r="E7340" s="1" t="str">
        <f>""</f>
        <v/>
      </c>
      <c r="F7340" s="1" t="s">
        <v>1860</v>
      </c>
      <c r="G7340" s="1" t="str">
        <f>CONCATENATE(" WAWA D.O.O.,"," ODVOJAK INDUSTRIJSKE ULICE,"," NOVAKI 3,"," 10431 SVETA NEDJELJA,"," OIB: 59785180614")</f>
        <v xml:space="preserve"> WAWA D.O.O., ODVOJAK INDUSTRIJSKE ULICE, NOVAKI 3, 10431 SVETA NEDJELJA, OIB: 59785180614</v>
      </c>
      <c r="H7340" s="7"/>
      <c r="I7340" s="8" t="s">
        <v>751</v>
      </c>
      <c r="J7340" s="8" t="s">
        <v>4358</v>
      </c>
      <c r="K7340" s="6" t="str">
        <f>"33.862,50"</f>
        <v>33.862,50</v>
      </c>
      <c r="L7340" s="6" t="str">
        <f>"8.465,62"</f>
        <v>8.465,62</v>
      </c>
      <c r="M7340" s="6" t="str">
        <f>"42.328,12"</f>
        <v>42.328,12</v>
      </c>
      <c r="N7340" s="8" t="s">
        <v>4172</v>
      </c>
      <c r="O7340" s="7"/>
      <c r="P7340" s="2" t="s">
        <v>9122</v>
      </c>
      <c r="Q7340" s="7"/>
      <c r="R7340" s="1"/>
      <c r="S7340" s="1" t="str">
        <f>"J-UN-2020-121"</f>
        <v>J-UN-2020-121</v>
      </c>
      <c r="T7340" s="1" t="s">
        <v>32</v>
      </c>
    </row>
    <row r="7341" spans="1:20" ht="63.75" x14ac:dyDescent="0.25">
      <c r="A7341" s="6">
        <v>7312</v>
      </c>
      <c r="B7341" s="1" t="str">
        <f>"2020-520"</f>
        <v>2020-520</v>
      </c>
      <c r="C7341" s="1" t="s">
        <v>2677</v>
      </c>
      <c r="D7341" s="1" t="s">
        <v>2678</v>
      </c>
      <c r="E7341" s="1" t="str">
        <f>""</f>
        <v/>
      </c>
      <c r="F7341" s="1" t="s">
        <v>1860</v>
      </c>
      <c r="G7341" s="1" t="str">
        <f>CONCATENATE(" GRADSKA LJEKARNA ZAGREB,"," KRALJA DRŽISLAVA 6,"," 10000 ZAGREB,"," OIB: 37268254106")</f>
        <v xml:space="preserve"> GRADSKA LJEKARNA ZAGREB, KRALJA DRŽISLAVA 6, 10000 ZAGREB, OIB: 37268254106</v>
      </c>
      <c r="H7341" s="7"/>
      <c r="I7341" s="8" t="s">
        <v>751</v>
      </c>
      <c r="J7341" s="8" t="s">
        <v>4462</v>
      </c>
      <c r="K7341" s="6" t="str">
        <f>"392,00"</f>
        <v>392,00</v>
      </c>
      <c r="L7341" s="6" t="str">
        <f>"98,00"</f>
        <v>98,00</v>
      </c>
      <c r="M7341" s="6" t="str">
        <f>"490,00"</f>
        <v>490,00</v>
      </c>
      <c r="N7341" s="8" t="s">
        <v>124</v>
      </c>
      <c r="O7341" s="7"/>
      <c r="P7341" s="2" t="s">
        <v>5614</v>
      </c>
      <c r="Q7341" s="7"/>
      <c r="R7341" s="1"/>
      <c r="S7341" s="1" t="str">
        <f>"J-UN-2020-122"</f>
        <v>J-UN-2020-122</v>
      </c>
      <c r="T7341" s="1" t="s">
        <v>32</v>
      </c>
    </row>
    <row r="7342" spans="1:20" ht="102" x14ac:dyDescent="0.25">
      <c r="A7342" s="6">
        <v>7313</v>
      </c>
      <c r="B7342" s="1" t="str">
        <f>"2020-1861"</f>
        <v>2020-1861</v>
      </c>
      <c r="C7342" s="1" t="s">
        <v>5497</v>
      </c>
      <c r="D7342" s="1" t="s">
        <v>5426</v>
      </c>
      <c r="E7342" s="1" t="str">
        <f>""</f>
        <v/>
      </c>
      <c r="F7342" s="1" t="s">
        <v>1860</v>
      </c>
      <c r="G7342" s="1" t="str">
        <f>CONCATENATE(" TEHNIČAR-COPYSERVIS D.O.O.,"," KRANJČEVIĆEVA 25,"," 10000 ZAGREB,"," OIB: 5139094509")</f>
        <v xml:space="preserve"> TEHNIČAR-COPYSERVIS D.O.O., KRANJČEVIĆEVA 25, 10000 ZAGREB, OIB: 5139094509</v>
      </c>
      <c r="H7342" s="7"/>
      <c r="I7342" s="8" t="s">
        <v>5485</v>
      </c>
      <c r="J7342" s="8" t="s">
        <v>822</v>
      </c>
      <c r="K7342" s="6" t="str">
        <f>"15.804,77"</f>
        <v>15.804,77</v>
      </c>
      <c r="L7342" s="6" t="str">
        <f>"3.951,19"</f>
        <v>3.951,19</v>
      </c>
      <c r="M7342" s="6" t="str">
        <f>"19.755,96"</f>
        <v>19.755,96</v>
      </c>
      <c r="N7342" s="8" t="s">
        <v>124</v>
      </c>
      <c r="O7342" s="7"/>
      <c r="P7342" s="2" t="s">
        <v>5614</v>
      </c>
      <c r="Q7342" s="7"/>
      <c r="R7342" s="1"/>
      <c r="S7342" s="1" t="str">
        <f>"J-UN-2020-133"</f>
        <v>J-UN-2020-133</v>
      </c>
      <c r="T7342" s="1" t="s">
        <v>32</v>
      </c>
    </row>
    <row r="7343" spans="1:20" ht="102" x14ac:dyDescent="0.25">
      <c r="A7343" s="6">
        <v>7314</v>
      </c>
      <c r="B7343" s="1" t="str">
        <f>"2020-1861"</f>
        <v>2020-1861</v>
      </c>
      <c r="C7343" s="1" t="s">
        <v>5497</v>
      </c>
      <c r="D7343" s="1" t="s">
        <v>5426</v>
      </c>
      <c r="E7343" s="1" t="str">
        <f>""</f>
        <v/>
      </c>
      <c r="F7343" s="1" t="s">
        <v>1860</v>
      </c>
      <c r="G7343" s="1" t="str">
        <f>CONCATENATE(" TEHNIČAR-COPYSERVIS D.O.O.,"," KRANJČEVIĆEVA 25,"," 10000 ZAGREB,"," OIB: 5139094509")</f>
        <v xml:space="preserve"> TEHNIČAR-COPYSERVIS D.O.O., KRANJČEVIĆEVA 25, 10000 ZAGREB, OIB: 5139094509</v>
      </c>
      <c r="H7343" s="7"/>
      <c r="I7343" s="8" t="s">
        <v>5485</v>
      </c>
      <c r="J7343" s="8" t="s">
        <v>822</v>
      </c>
      <c r="K7343" s="6" t="str">
        <f>"12.282,03"</f>
        <v>12.282,03</v>
      </c>
      <c r="L7343" s="6" t="str">
        <f>"3.070,51"</f>
        <v>3.070,51</v>
      </c>
      <c r="M7343" s="6" t="str">
        <f>"15.352,54"</f>
        <v>15.352,54</v>
      </c>
      <c r="N7343" s="8" t="s">
        <v>124</v>
      </c>
      <c r="O7343" s="7"/>
      <c r="P7343" s="2" t="s">
        <v>5614</v>
      </c>
      <c r="Q7343" s="7"/>
      <c r="R7343" s="1"/>
      <c r="S7343" s="1" t="str">
        <f>"J-UN-2020-134"</f>
        <v>J-UN-2020-134</v>
      </c>
      <c r="T7343" s="1" t="s">
        <v>32</v>
      </c>
    </row>
    <row r="7344" spans="1:20" ht="76.5" x14ac:dyDescent="0.25">
      <c r="A7344" s="6">
        <v>7315</v>
      </c>
      <c r="B7344" s="1" t="str">
        <f>"2020-2094"</f>
        <v>2020-2094</v>
      </c>
      <c r="C7344" s="1" t="s">
        <v>5498</v>
      </c>
      <c r="D7344" s="1" t="s">
        <v>5426</v>
      </c>
      <c r="E7344" s="1" t="str">
        <f>""</f>
        <v/>
      </c>
      <c r="F7344" s="1" t="s">
        <v>1860</v>
      </c>
      <c r="G7344" s="1" t="str">
        <f>CONCATENATE(" KSU D.O.O.,"," DR. JURJA DOBRILE 50,"," 10410 VELIKA GORICA,"," OIB: 349769936")</f>
        <v xml:space="preserve"> KSU D.O.O., DR. JURJA DOBRILE 50, 10410 VELIKA GORICA, OIB: 349769936</v>
      </c>
      <c r="H7344" s="7"/>
      <c r="I7344" s="8" t="s">
        <v>826</v>
      </c>
      <c r="J7344" s="8" t="s">
        <v>4405</v>
      </c>
      <c r="K7344" s="6" t="str">
        <f>"59.998,00"</f>
        <v>59.998,00</v>
      </c>
      <c r="L7344" s="6" t="str">
        <f>"14.999,50"</f>
        <v>14.999,50</v>
      </c>
      <c r="M7344" s="6" t="str">
        <f>"74.997,50"</f>
        <v>74.997,50</v>
      </c>
      <c r="N7344" s="8" t="s">
        <v>4244</v>
      </c>
      <c r="O7344" s="7"/>
      <c r="P7344" s="2" t="s">
        <v>9123</v>
      </c>
      <c r="Q7344" s="1"/>
      <c r="R7344" s="1"/>
      <c r="S7344" s="1" t="str">
        <f>"J-UN-2020-137"</f>
        <v>J-UN-2020-137</v>
      </c>
      <c r="T7344" s="1" t="s">
        <v>32</v>
      </c>
    </row>
    <row r="7345" spans="1:20" ht="102" x14ac:dyDescent="0.25">
      <c r="A7345" s="6">
        <v>7316</v>
      </c>
      <c r="B7345" s="1" t="str">
        <f>"2020-1861"</f>
        <v>2020-1861</v>
      </c>
      <c r="C7345" s="1" t="s">
        <v>5497</v>
      </c>
      <c r="D7345" s="1" t="s">
        <v>5426</v>
      </c>
      <c r="E7345" s="1" t="str">
        <f>""</f>
        <v/>
      </c>
      <c r="F7345" s="1" t="s">
        <v>1860</v>
      </c>
      <c r="G7345" s="1" t="str">
        <f>CONCATENATE(" KSU D.O.O.,"," DR. JURJA DOBRILE 50,"," 10410 VELIKA GORICA,"," OIB: 349769936")</f>
        <v xml:space="preserve"> KSU D.O.O., DR. JURJA DOBRILE 50, 10410 VELIKA GORICA, OIB: 349769936</v>
      </c>
      <c r="H7345" s="7"/>
      <c r="I7345" s="8" t="s">
        <v>826</v>
      </c>
      <c r="J7345" s="8" t="s">
        <v>816</v>
      </c>
      <c r="K7345" s="6" t="str">
        <f>"5.180,00"</f>
        <v>5.180,00</v>
      </c>
      <c r="L7345" s="6" t="str">
        <f>"1.295,00"</f>
        <v>1.295,00</v>
      </c>
      <c r="M7345" s="6" t="str">
        <f>"6.475,00"</f>
        <v>6.475,00</v>
      </c>
      <c r="N7345" s="8" t="s">
        <v>5499</v>
      </c>
      <c r="O7345" s="7"/>
      <c r="P7345" s="2" t="s">
        <v>9124</v>
      </c>
      <c r="Q7345" s="7"/>
      <c r="R7345" s="1"/>
      <c r="S7345" s="1" t="str">
        <f>"J-UN-2020-146"</f>
        <v>J-UN-2020-146</v>
      </c>
      <c r="T7345" s="1" t="s">
        <v>32</v>
      </c>
    </row>
    <row r="7346" spans="1:20" ht="102" x14ac:dyDescent="0.25">
      <c r="A7346" s="6">
        <v>7317</v>
      </c>
      <c r="B7346" s="1" t="str">
        <f>"2020-1861"</f>
        <v>2020-1861</v>
      </c>
      <c r="C7346" s="1" t="s">
        <v>5497</v>
      </c>
      <c r="D7346" s="1" t="s">
        <v>5426</v>
      </c>
      <c r="E7346" s="1" t="str">
        <f>""</f>
        <v/>
      </c>
      <c r="F7346" s="1" t="s">
        <v>1860</v>
      </c>
      <c r="G7346" s="1" t="str">
        <f>CONCATENATE(" KSU D.O.O.,"," DR. JURJA DOBRILE 50,"," 10410 VELIKA GORICA,"," OIB: 349769936")</f>
        <v xml:space="preserve"> KSU D.O.O., DR. JURJA DOBRILE 50, 10410 VELIKA GORICA, OIB: 349769936</v>
      </c>
      <c r="H7346" s="7"/>
      <c r="I7346" s="8" t="s">
        <v>795</v>
      </c>
      <c r="J7346" s="8" t="s">
        <v>4267</v>
      </c>
      <c r="K7346" s="6" t="str">
        <f>"15.899,50"</f>
        <v>15.899,50</v>
      </c>
      <c r="L7346" s="6" t="str">
        <f>"3.974,88"</f>
        <v>3.974,88</v>
      </c>
      <c r="M7346" s="6" t="str">
        <f>"19.874,38"</f>
        <v>19.874,38</v>
      </c>
      <c r="N7346" s="8" t="s">
        <v>4260</v>
      </c>
      <c r="O7346" s="7"/>
      <c r="P7346" s="2" t="s">
        <v>9125</v>
      </c>
      <c r="Q7346" s="7"/>
      <c r="R7346" s="1"/>
      <c r="S7346" s="1" t="str">
        <f>"J-UN-2020-151"</f>
        <v>J-UN-2020-151</v>
      </c>
      <c r="T7346" s="1" t="s">
        <v>32</v>
      </c>
    </row>
    <row r="7347" spans="1:20" ht="76.5" x14ac:dyDescent="0.25">
      <c r="A7347" s="6">
        <v>7318</v>
      </c>
      <c r="B7347" s="1" t="str">
        <f>"2020-2094"</f>
        <v>2020-2094</v>
      </c>
      <c r="C7347" s="1" t="s">
        <v>5498</v>
      </c>
      <c r="D7347" s="1" t="s">
        <v>5426</v>
      </c>
      <c r="E7347" s="1" t="str">
        <f>""</f>
        <v/>
      </c>
      <c r="F7347" s="1" t="s">
        <v>1860</v>
      </c>
      <c r="G7347" s="1" t="str">
        <f>CONCATENATE(" TEHNIČAR-COPYSERVIS D.O.O.,"," KRANJČEVIĆEVA 25,"," 10000 ZAGREB,"," OIB: 5139094509")</f>
        <v xml:space="preserve"> TEHNIČAR-COPYSERVIS D.O.O., KRANJČEVIĆEVA 25, 10000 ZAGREB, OIB: 5139094509</v>
      </c>
      <c r="H7347" s="7"/>
      <c r="I7347" s="8" t="s">
        <v>795</v>
      </c>
      <c r="J7347" s="8" t="s">
        <v>4434</v>
      </c>
      <c r="K7347" s="6" t="str">
        <f>"29.200,00"</f>
        <v>29.200,00</v>
      </c>
      <c r="L7347" s="6" t="str">
        <f>"7.300,00"</f>
        <v>7.300,00</v>
      </c>
      <c r="M7347" s="6" t="str">
        <f>"36.500,00"</f>
        <v>36.500,00</v>
      </c>
      <c r="N7347" s="8" t="s">
        <v>4927</v>
      </c>
      <c r="O7347" s="7"/>
      <c r="P7347" s="2" t="s">
        <v>9126</v>
      </c>
      <c r="Q7347" s="7"/>
      <c r="R7347" s="1"/>
      <c r="S7347" s="1" t="str">
        <f>"J-UN-2020-153"</f>
        <v>J-UN-2020-153</v>
      </c>
      <c r="T7347" s="1" t="s">
        <v>32</v>
      </c>
    </row>
    <row r="7348" spans="1:20" ht="102" x14ac:dyDescent="0.25">
      <c r="A7348" s="6">
        <v>7319</v>
      </c>
      <c r="B7348" s="1" t="str">
        <f>"2020-1861"</f>
        <v>2020-1861</v>
      </c>
      <c r="C7348" s="1" t="s">
        <v>5497</v>
      </c>
      <c r="D7348" s="1" t="s">
        <v>5426</v>
      </c>
      <c r="E7348" s="1" t="str">
        <f>""</f>
        <v/>
      </c>
      <c r="F7348" s="1" t="s">
        <v>1860</v>
      </c>
      <c r="G7348" s="1" t="str">
        <f>CONCATENATE(" TEHNIČAR-COPYSERVIS D.O.O.,"," KRANJČEVIĆEVA 25,"," 10000 ZAGREB,"," OIB: 5139094509")</f>
        <v xml:space="preserve"> TEHNIČAR-COPYSERVIS D.O.O., KRANJČEVIĆEVA 25, 10000 ZAGREB, OIB: 5139094509</v>
      </c>
      <c r="H7348" s="7"/>
      <c r="I7348" s="8" t="s">
        <v>4184</v>
      </c>
      <c r="J7348" s="8" t="s">
        <v>826</v>
      </c>
      <c r="K7348" s="6" t="str">
        <f>"12.829,67"</f>
        <v>12.829,67</v>
      </c>
      <c r="L7348" s="6" t="str">
        <f>"3.207,42"</f>
        <v>3.207,42</v>
      </c>
      <c r="M7348" s="6" t="str">
        <f>"16.037,09"</f>
        <v>16.037,09</v>
      </c>
      <c r="N7348" s="8" t="s">
        <v>124</v>
      </c>
      <c r="O7348" s="7"/>
      <c r="P7348" s="2" t="s">
        <v>5614</v>
      </c>
      <c r="Q7348" s="7"/>
      <c r="R7348" s="1"/>
      <c r="S7348" s="1" t="str">
        <f>"J-UN-2020-159"</f>
        <v>J-UN-2020-159</v>
      </c>
      <c r="T7348" s="1" t="s">
        <v>32</v>
      </c>
    </row>
    <row r="7349" spans="1:20" ht="76.5" x14ac:dyDescent="0.25">
      <c r="A7349" s="6">
        <v>7320</v>
      </c>
      <c r="B7349" s="1" t="str">
        <f>"2020-2094"</f>
        <v>2020-2094</v>
      </c>
      <c r="C7349" s="1" t="s">
        <v>5498</v>
      </c>
      <c r="D7349" s="1" t="s">
        <v>5426</v>
      </c>
      <c r="E7349" s="1" t="str">
        <f>""</f>
        <v/>
      </c>
      <c r="F7349" s="1" t="s">
        <v>1860</v>
      </c>
      <c r="G7349" s="1" t="str">
        <f>CONCATENATE(" KSU D.O.O.,"," DR. JURJA DOBRILE 50,"," 10410 VELIKA GORICA,"," OIB: 349769936")</f>
        <v xml:space="preserve"> KSU D.O.O., DR. JURJA DOBRILE 50, 10410 VELIKA GORICA, OIB: 349769936</v>
      </c>
      <c r="H7349" s="7"/>
      <c r="I7349" s="8" t="s">
        <v>5396</v>
      </c>
      <c r="J7349" s="8" t="s">
        <v>5500</v>
      </c>
      <c r="K7349" s="6" t="str">
        <f>"11.500,00"</f>
        <v>11.500,00</v>
      </c>
      <c r="L7349" s="6" t="str">
        <f>"2.875,00"</f>
        <v>2.875,00</v>
      </c>
      <c r="M7349" s="6" t="str">
        <f>"14.375,00"</f>
        <v>14.375,00</v>
      </c>
      <c r="N7349" s="8" t="s">
        <v>124</v>
      </c>
      <c r="O7349" s="7"/>
      <c r="P7349" s="2" t="s">
        <v>5614</v>
      </c>
      <c r="Q7349" s="7"/>
      <c r="R7349" s="1"/>
      <c r="S7349" s="1" t="str">
        <f>"J-UN-2020-162"</f>
        <v>J-UN-2020-162</v>
      </c>
      <c r="T7349" s="1" t="s">
        <v>32</v>
      </c>
    </row>
    <row r="7350" spans="1:20" ht="63.75" x14ac:dyDescent="0.25">
      <c r="A7350" s="6">
        <v>7321</v>
      </c>
      <c r="B7350" s="1" t="str">
        <f>"2020-1148"</f>
        <v>2020-1148</v>
      </c>
      <c r="C7350" s="1" t="s">
        <v>2672</v>
      </c>
      <c r="D7350" s="1" t="s">
        <v>2673</v>
      </c>
      <c r="E7350" s="1" t="str">
        <f>""</f>
        <v/>
      </c>
      <c r="F7350" s="1" t="s">
        <v>1860</v>
      </c>
      <c r="G7350" s="1" t="str">
        <f>CONCATENATE(" NACIONAL NEWS CORPORATION D.O.O.,"," MAKSIMIRSKA 120,"," 10000 ZAGREB,"," OIB: 76663423558")</f>
        <v xml:space="preserve"> NACIONAL NEWS CORPORATION D.O.O., MAKSIMIRSKA 120, 10000 ZAGREB, OIB: 76663423558</v>
      </c>
      <c r="H7350" s="7"/>
      <c r="I7350" s="8" t="s">
        <v>4196</v>
      </c>
      <c r="J7350" s="8" t="s">
        <v>3520</v>
      </c>
      <c r="K7350" s="6" t="str">
        <f>"644,25"</f>
        <v>644,25</v>
      </c>
      <c r="L7350" s="6" t="str">
        <f>"161,06"</f>
        <v>161,06</v>
      </c>
      <c r="M7350" s="6" t="str">
        <f>"805,31"</f>
        <v>805,31</v>
      </c>
      <c r="N7350" s="8" t="s">
        <v>124</v>
      </c>
      <c r="O7350" s="7"/>
      <c r="P7350" s="2" t="s">
        <v>5614</v>
      </c>
      <c r="Q7350" s="7"/>
      <c r="R7350" s="1"/>
      <c r="S7350" s="1" t="str">
        <f>"J-UN-2020-171"</f>
        <v>J-UN-2020-171</v>
      </c>
      <c r="T7350" s="1" t="s">
        <v>32</v>
      </c>
    </row>
    <row r="7351" spans="1:20" ht="51" x14ac:dyDescent="0.25">
      <c r="A7351" s="6">
        <v>7322</v>
      </c>
      <c r="B7351" s="1" t="str">
        <f>"2020-2804"</f>
        <v>2020-2804</v>
      </c>
      <c r="C7351" s="1" t="s">
        <v>5501</v>
      </c>
      <c r="D7351" s="1" t="s">
        <v>5502</v>
      </c>
      <c r="E7351" s="1" t="str">
        <f>""</f>
        <v/>
      </c>
      <c r="F7351" s="1" t="s">
        <v>1860</v>
      </c>
      <c r="G7351" s="1" t="str">
        <f>CONCATENATE(" ALTER MEDIA D.O.O.,"," KRASICA 302A,"," 51222 BAKAR,"," OIB: 94887535632")</f>
        <v xml:space="preserve"> ALTER MEDIA D.O.O., KRASICA 302A, 51222 BAKAR, OIB: 94887535632</v>
      </c>
      <c r="H7351" s="7"/>
      <c r="I7351" s="8" t="s">
        <v>4196</v>
      </c>
      <c r="J7351" s="8" t="s">
        <v>3520</v>
      </c>
      <c r="K7351" s="6" t="str">
        <f>"80.000,00"</f>
        <v>80.000,00</v>
      </c>
      <c r="L7351" s="6" t="str">
        <f>"20.000,00"</f>
        <v>20.000,00</v>
      </c>
      <c r="M7351" s="6" t="str">
        <f>"100.000,00"</f>
        <v>100.000,00</v>
      </c>
      <c r="N7351" s="8" t="s">
        <v>124</v>
      </c>
      <c r="O7351" s="7"/>
      <c r="P7351" s="2" t="s">
        <v>5614</v>
      </c>
      <c r="Q7351" s="7"/>
      <c r="R7351" s="1"/>
      <c r="S7351" s="1" t="str">
        <f>"J-UN-2020-181"</f>
        <v>J-UN-2020-181</v>
      </c>
      <c r="T7351" s="1" t="s">
        <v>32</v>
      </c>
    </row>
    <row r="7352" spans="1:20" ht="51" x14ac:dyDescent="0.25">
      <c r="A7352" s="6">
        <v>7323</v>
      </c>
      <c r="B7352" s="1" t="str">
        <f>"2020-2833"</f>
        <v>2020-2833</v>
      </c>
      <c r="C7352" s="1" t="s">
        <v>5503</v>
      </c>
      <c r="D7352" s="1" t="s">
        <v>5504</v>
      </c>
      <c r="E7352" s="1" t="str">
        <f>""</f>
        <v/>
      </c>
      <c r="F7352" s="1" t="s">
        <v>1860</v>
      </c>
      <c r="G7352" s="1" t="str">
        <f>CONCATENATE(" TED D.O.O.,"," VRHOVČEV VIJENAC 84,"," 10000 ZAGREB,"," OIB: 22740118957")</f>
        <v xml:space="preserve"> TED D.O.O., VRHOVČEV VIJENAC 84, 10000 ZAGREB, OIB: 22740118957</v>
      </c>
      <c r="H7352" s="7"/>
      <c r="I7352" s="8" t="s">
        <v>4196</v>
      </c>
      <c r="J7352" s="8" t="s">
        <v>3520</v>
      </c>
      <c r="K7352" s="6" t="str">
        <f>"42.000,00"</f>
        <v>42.000,00</v>
      </c>
      <c r="L7352" s="6" t="str">
        <f>"10.500,00"</f>
        <v>10.500,00</v>
      </c>
      <c r="M7352" s="6" t="str">
        <f>"52.500,00"</f>
        <v>52.500,00</v>
      </c>
      <c r="N7352" s="8" t="s">
        <v>124</v>
      </c>
      <c r="O7352" s="7"/>
      <c r="P7352" s="2" t="s">
        <v>5614</v>
      </c>
      <c r="Q7352" s="7"/>
      <c r="R7352" s="1"/>
      <c r="S7352" s="1" t="str">
        <f>"J-UN-2020-184"</f>
        <v>J-UN-2020-184</v>
      </c>
      <c r="T7352" s="1" t="s">
        <v>32</v>
      </c>
    </row>
    <row r="7353" spans="1:20" ht="51" x14ac:dyDescent="0.25">
      <c r="A7353" s="6">
        <v>7324</v>
      </c>
      <c r="B7353" s="1" t="str">
        <f>"2020-2826"</f>
        <v>2020-2826</v>
      </c>
      <c r="C7353" s="1" t="s">
        <v>5505</v>
      </c>
      <c r="D7353" s="1" t="s">
        <v>5506</v>
      </c>
      <c r="E7353" s="1" t="str">
        <f>""</f>
        <v/>
      </c>
      <c r="F7353" s="1" t="s">
        <v>1860</v>
      </c>
      <c r="G7353" s="1" t="str">
        <f>CONCATENATE(" TED D.O.O.,"," VRHOVČEV VIJENAC 84,"," 10000 ZAGREB,"," OIB: 22740118957")</f>
        <v xml:space="preserve"> TED D.O.O., VRHOVČEV VIJENAC 84, 10000 ZAGREB, OIB: 22740118957</v>
      </c>
      <c r="H7353" s="7"/>
      <c r="I7353" s="8" t="s">
        <v>4196</v>
      </c>
      <c r="J7353" s="8" t="s">
        <v>3520</v>
      </c>
      <c r="K7353" s="6" t="str">
        <f>"12.300,00"</f>
        <v>12.300,00</v>
      </c>
      <c r="L7353" s="6" t="str">
        <f>"3.075,00"</f>
        <v>3.075,00</v>
      </c>
      <c r="M7353" s="6" t="str">
        <f>"15.375,00"</f>
        <v>15.375,00</v>
      </c>
      <c r="N7353" s="8" t="s">
        <v>124</v>
      </c>
      <c r="O7353" s="7"/>
      <c r="P7353" s="2" t="s">
        <v>5614</v>
      </c>
      <c r="Q7353" s="7"/>
      <c r="R7353" s="1"/>
      <c r="S7353" s="1" t="str">
        <f>"J-UN-2020-185"</f>
        <v>J-UN-2020-185</v>
      </c>
      <c r="T7353" s="1" t="s">
        <v>32</v>
      </c>
    </row>
    <row r="7354" spans="1:20" ht="51" x14ac:dyDescent="0.25">
      <c r="A7354" s="6">
        <v>7325</v>
      </c>
      <c r="B7354" s="1" t="str">
        <f>"2020-2826"</f>
        <v>2020-2826</v>
      </c>
      <c r="C7354" s="1" t="s">
        <v>5505</v>
      </c>
      <c r="D7354" s="1" t="s">
        <v>5506</v>
      </c>
      <c r="E7354" s="1" t="str">
        <f>""</f>
        <v/>
      </c>
      <c r="F7354" s="1" t="s">
        <v>1860</v>
      </c>
      <c r="G7354" s="1" t="str">
        <f>CONCATENATE(" TED D.O.O.,"," VRHOVČEV VIJENAC 84,"," 10000 ZAGREB,"," OIB: 22740118957")</f>
        <v xml:space="preserve"> TED D.O.O., VRHOVČEV VIJENAC 84, 10000 ZAGREB, OIB: 22740118957</v>
      </c>
      <c r="H7354" s="7"/>
      <c r="I7354" s="8" t="s">
        <v>4196</v>
      </c>
      <c r="J7354" s="8" t="s">
        <v>3520</v>
      </c>
      <c r="K7354" s="6" t="str">
        <f>"25.280,00"</f>
        <v>25.280,00</v>
      </c>
      <c r="L7354" s="6" t="str">
        <f>"6.320,00"</f>
        <v>6.320,00</v>
      </c>
      <c r="M7354" s="6" t="str">
        <f>"31.600,00"</f>
        <v>31.600,00</v>
      </c>
      <c r="N7354" s="8" t="s">
        <v>124</v>
      </c>
      <c r="O7354" s="7"/>
      <c r="P7354" s="2" t="s">
        <v>5614</v>
      </c>
      <c r="Q7354" s="7"/>
      <c r="R7354" s="1"/>
      <c r="S7354" s="1" t="str">
        <f>"J-UN-2020-186"</f>
        <v>J-UN-2020-186</v>
      </c>
      <c r="T7354" s="1" t="s">
        <v>32</v>
      </c>
    </row>
    <row r="7355" spans="1:20" ht="51" x14ac:dyDescent="0.25">
      <c r="A7355" s="6">
        <v>7326</v>
      </c>
      <c r="B7355" s="1" t="str">
        <f>"2020-2826"</f>
        <v>2020-2826</v>
      </c>
      <c r="C7355" s="1" t="s">
        <v>5505</v>
      </c>
      <c r="D7355" s="1" t="s">
        <v>5506</v>
      </c>
      <c r="E7355" s="1" t="str">
        <f>""</f>
        <v/>
      </c>
      <c r="F7355" s="1" t="s">
        <v>1860</v>
      </c>
      <c r="G7355" s="1" t="str">
        <f>CONCATENATE(" TED D.O.O.,"," VRHOVČEV VIJENAC 84,"," 10000 ZAGREB,"," OIB: 22740118957")</f>
        <v xml:space="preserve"> TED D.O.O., VRHOVČEV VIJENAC 84, 10000 ZAGREB, OIB: 22740118957</v>
      </c>
      <c r="H7355" s="7"/>
      <c r="I7355" s="8" t="s">
        <v>4196</v>
      </c>
      <c r="J7355" s="8" t="s">
        <v>3520</v>
      </c>
      <c r="K7355" s="6" t="str">
        <f>"4.288,00"</f>
        <v>4.288,00</v>
      </c>
      <c r="L7355" s="6" t="str">
        <f>"1.072,00"</f>
        <v>1.072,00</v>
      </c>
      <c r="M7355" s="6" t="str">
        <f>"5.360,00"</f>
        <v>5.360,00</v>
      </c>
      <c r="N7355" s="8" t="s">
        <v>124</v>
      </c>
      <c r="O7355" s="7"/>
      <c r="P7355" s="2" t="s">
        <v>5614</v>
      </c>
      <c r="Q7355" s="7"/>
      <c r="R7355" s="1"/>
      <c r="S7355" s="1" t="str">
        <f>"J-UN-2020-187"</f>
        <v>J-UN-2020-187</v>
      </c>
      <c r="T7355" s="1" t="s">
        <v>32</v>
      </c>
    </row>
    <row r="7356" spans="1:20" ht="51" x14ac:dyDescent="0.25">
      <c r="A7356" s="6">
        <v>7327</v>
      </c>
      <c r="B7356" s="1" t="str">
        <f>"2020-2814"</f>
        <v>2020-2814</v>
      </c>
      <c r="C7356" s="1" t="s">
        <v>5507</v>
      </c>
      <c r="D7356" s="1" t="s">
        <v>3437</v>
      </c>
      <c r="E7356" s="1" t="str">
        <f>""</f>
        <v/>
      </c>
      <c r="F7356" s="1" t="s">
        <v>1860</v>
      </c>
      <c r="G7356" s="1" t="str">
        <f>CONCATENATE(" TED D.O.O.,"," VRHOVČEV VIJENAC 84,"," 10000 ZAGREB,"," OIB: 22740118957")</f>
        <v xml:space="preserve"> TED D.O.O., VRHOVČEV VIJENAC 84, 10000 ZAGREB, OIB: 22740118957</v>
      </c>
      <c r="H7356" s="7"/>
      <c r="I7356" s="8" t="s">
        <v>3520</v>
      </c>
      <c r="J7356" s="8" t="s">
        <v>5396</v>
      </c>
      <c r="K7356" s="6" t="str">
        <f>"78.000,00"</f>
        <v>78.000,00</v>
      </c>
      <c r="L7356" s="6" t="str">
        <f>"19.500,00"</f>
        <v>19.500,00</v>
      </c>
      <c r="M7356" s="6" t="str">
        <f>"97.500,00"</f>
        <v>97.500,00</v>
      </c>
      <c r="N7356" s="8" t="s">
        <v>124</v>
      </c>
      <c r="O7356" s="7"/>
      <c r="P7356" s="2" t="s">
        <v>5614</v>
      </c>
      <c r="Q7356" s="7"/>
      <c r="R7356" s="1"/>
      <c r="S7356" s="1" t="str">
        <f>"J-UN-2020-188"</f>
        <v>J-UN-2020-188</v>
      </c>
      <c r="T7356" s="1" t="s">
        <v>32</v>
      </c>
    </row>
    <row r="7357" spans="1:20" ht="63.75" x14ac:dyDescent="0.25">
      <c r="A7357" s="6">
        <v>7328</v>
      </c>
      <c r="B7357" s="1" t="str">
        <f>"2020-2814"</f>
        <v>2020-2814</v>
      </c>
      <c r="C7357" s="1" t="s">
        <v>5507</v>
      </c>
      <c r="D7357" s="1" t="s">
        <v>3437</v>
      </c>
      <c r="E7357" s="1" t="str">
        <f>""</f>
        <v/>
      </c>
      <c r="F7357" s="1" t="s">
        <v>1860</v>
      </c>
      <c r="G7357" s="1" t="str">
        <f>CONCATENATE(" URIHO - ZAGREB,"," AVENIJA MARINA DRŽIĆA 1,"," 10000 ZAGREB,"," OIB: 77931216562")</f>
        <v xml:space="preserve"> URIHO - ZAGREB, AVENIJA MARINA DRŽIĆA 1, 10000 ZAGREB, OIB: 77931216562</v>
      </c>
      <c r="H7357" s="7"/>
      <c r="I7357" s="8" t="s">
        <v>3520</v>
      </c>
      <c r="J7357" s="8" t="s">
        <v>5396</v>
      </c>
      <c r="K7357" s="6" t="str">
        <f>"9.000,00"</f>
        <v>9.000,00</v>
      </c>
      <c r="L7357" s="6" t="str">
        <f>"2.250,00"</f>
        <v>2.250,00</v>
      </c>
      <c r="M7357" s="6" t="str">
        <f>"11.250,00"</f>
        <v>11.250,00</v>
      </c>
      <c r="N7357" s="8" t="s">
        <v>124</v>
      </c>
      <c r="O7357" s="7"/>
      <c r="P7357" s="2" t="s">
        <v>5614</v>
      </c>
      <c r="Q7357" s="7"/>
      <c r="R7357" s="1"/>
      <c r="S7357" s="1" t="str">
        <f>"J-UN-2020-189"</f>
        <v>J-UN-2020-189</v>
      </c>
      <c r="T7357" s="1" t="s">
        <v>32</v>
      </c>
    </row>
    <row r="7358" spans="1:20" ht="63.75" x14ac:dyDescent="0.25">
      <c r="A7358" s="6">
        <v>7329</v>
      </c>
      <c r="B7358" s="1" t="str">
        <f>"2020-2804"</f>
        <v>2020-2804</v>
      </c>
      <c r="C7358" s="1" t="s">
        <v>5501</v>
      </c>
      <c r="D7358" s="1" t="s">
        <v>5502</v>
      </c>
      <c r="E7358" s="1" t="str">
        <f>""</f>
        <v/>
      </c>
      <c r="F7358" s="1" t="s">
        <v>1860</v>
      </c>
      <c r="G7358" s="1" t="str">
        <f>CONCATENATE(" GRADSKA LJEKARNA ZAGREB,"," KRALJA DRŽISLAVA 6,"," 10000 ZAGREB,"," OIB: 37268254106")</f>
        <v xml:space="preserve"> GRADSKA LJEKARNA ZAGREB, KRALJA DRŽISLAVA 6, 10000 ZAGREB, OIB: 37268254106</v>
      </c>
      <c r="H7358" s="7"/>
      <c r="I7358" s="8" t="s">
        <v>3520</v>
      </c>
      <c r="J7358" s="8" t="s">
        <v>5396</v>
      </c>
      <c r="K7358" s="6" t="str">
        <f>"21.058,88"</f>
        <v>21.058,88</v>
      </c>
      <c r="L7358" s="6" t="str">
        <f>"5.264,72"</f>
        <v>5.264,72</v>
      </c>
      <c r="M7358" s="6" t="str">
        <f>"26.323,60"</f>
        <v>26.323,60</v>
      </c>
      <c r="N7358" s="8" t="s">
        <v>124</v>
      </c>
      <c r="O7358" s="7"/>
      <c r="P7358" s="2" t="s">
        <v>5614</v>
      </c>
      <c r="Q7358" s="7"/>
      <c r="R7358" s="1"/>
      <c r="S7358" s="1" t="str">
        <f>"J-UN-2020-191"</f>
        <v>J-UN-2020-191</v>
      </c>
      <c r="T7358" s="1" t="s">
        <v>32</v>
      </c>
    </row>
    <row r="7359" spans="1:20" ht="63.75" x14ac:dyDescent="0.25">
      <c r="A7359" s="6">
        <v>7330</v>
      </c>
      <c r="B7359" s="1" t="str">
        <f>"2020-2804"</f>
        <v>2020-2804</v>
      </c>
      <c r="C7359" s="1" t="s">
        <v>5501</v>
      </c>
      <c r="D7359" s="1" t="s">
        <v>5502</v>
      </c>
      <c r="E7359" s="1" t="str">
        <f>""</f>
        <v/>
      </c>
      <c r="F7359" s="1" t="s">
        <v>1860</v>
      </c>
      <c r="G7359" s="1" t="str">
        <f>CONCATENATE(" GRADSKA LJEKARNA ZAGREB,"," KRALJA DRŽISLAVA 6,"," 10000 ZAGREB,"," OIB: 37268254106")</f>
        <v xml:space="preserve"> GRADSKA LJEKARNA ZAGREB, KRALJA DRŽISLAVA 6, 10000 ZAGREB, OIB: 37268254106</v>
      </c>
      <c r="H7359" s="7"/>
      <c r="I7359" s="8" t="s">
        <v>3520</v>
      </c>
      <c r="J7359" s="8" t="s">
        <v>5396</v>
      </c>
      <c r="K7359" s="6" t="str">
        <f>"55.058,40"</f>
        <v>55.058,40</v>
      </c>
      <c r="L7359" s="6" t="str">
        <f>"13.764,60"</f>
        <v>13.764,60</v>
      </c>
      <c r="M7359" s="6" t="str">
        <f>"68.823,00"</f>
        <v>68.823,00</v>
      </c>
      <c r="N7359" s="8" t="s">
        <v>124</v>
      </c>
      <c r="O7359" s="7"/>
      <c r="P7359" s="2" t="s">
        <v>5614</v>
      </c>
      <c r="Q7359" s="7"/>
      <c r="R7359" s="1"/>
      <c r="S7359" s="1" t="str">
        <f>"J-UN-2020-192"</f>
        <v>J-UN-2020-192</v>
      </c>
      <c r="T7359" s="1" t="s">
        <v>32</v>
      </c>
    </row>
    <row r="7360" spans="1:20" ht="51" x14ac:dyDescent="0.25">
      <c r="A7360" s="6">
        <v>7331</v>
      </c>
      <c r="B7360" s="1" t="str">
        <f>"2020-2827"</f>
        <v>2020-2827</v>
      </c>
      <c r="C7360" s="1" t="s">
        <v>5508</v>
      </c>
      <c r="D7360" s="1" t="s">
        <v>3437</v>
      </c>
      <c r="E7360" s="1" t="str">
        <f>""</f>
        <v/>
      </c>
      <c r="F7360" s="1" t="s">
        <v>1860</v>
      </c>
      <c r="G7360" s="1" t="str">
        <f>CONCATENATE(" VELJAŠ D.O.O.,"," HEINZELOVA 47,"," 10000 ZAGREB,"," OIB: 07193657714")</f>
        <v xml:space="preserve"> VELJAŠ D.O.O., HEINZELOVA 47, 10000 ZAGREB, OIB: 07193657714</v>
      </c>
      <c r="H7360" s="7"/>
      <c r="I7360" s="8" t="s">
        <v>5396</v>
      </c>
      <c r="J7360" s="8" t="s">
        <v>1970</v>
      </c>
      <c r="K7360" s="6" t="str">
        <f>"69.000,00"</f>
        <v>69.000,00</v>
      </c>
      <c r="L7360" s="6" t="str">
        <f>"17.250,00"</f>
        <v>17.250,00</v>
      </c>
      <c r="M7360" s="6" t="str">
        <f>"86.250,00"</f>
        <v>86.250,00</v>
      </c>
      <c r="N7360" s="8" t="s">
        <v>124</v>
      </c>
      <c r="O7360" s="7"/>
      <c r="P7360" s="2" t="s">
        <v>5614</v>
      </c>
      <c r="Q7360" s="7"/>
      <c r="R7360" s="1"/>
      <c r="S7360" s="1" t="str">
        <f>"J-UN-2020-204"</f>
        <v>J-UN-2020-204</v>
      </c>
      <c r="T7360" s="1" t="s">
        <v>32</v>
      </c>
    </row>
    <row r="7361" spans="1:20" ht="51" x14ac:dyDescent="0.25">
      <c r="A7361" s="6">
        <v>7332</v>
      </c>
      <c r="B7361" s="1" t="str">
        <f>"2020-2828"</f>
        <v>2020-2828</v>
      </c>
      <c r="C7361" s="1" t="s">
        <v>5509</v>
      </c>
      <c r="D7361" s="1" t="s">
        <v>3437</v>
      </c>
      <c r="E7361" s="1" t="str">
        <f>""</f>
        <v/>
      </c>
      <c r="F7361" s="1" t="s">
        <v>1860</v>
      </c>
      <c r="G7361" s="1" t="str">
        <f>CONCATENATE(" VELJAŠ D.O.O.,"," HEINZELOVA 47,"," 10000 ZAGREB,"," OIB: 07193657714")</f>
        <v xml:space="preserve"> VELJAŠ D.O.O., HEINZELOVA 47, 10000 ZAGREB, OIB: 07193657714</v>
      </c>
      <c r="H7361" s="7"/>
      <c r="I7361" s="8" t="s">
        <v>5396</v>
      </c>
      <c r="J7361" s="8" t="s">
        <v>1970</v>
      </c>
      <c r="K7361" s="6" t="str">
        <f>"69.000,00"</f>
        <v>69.000,00</v>
      </c>
      <c r="L7361" s="6" t="str">
        <f>"17.250,00"</f>
        <v>17.250,00</v>
      </c>
      <c r="M7361" s="6" t="str">
        <f>"86.250,00"</f>
        <v>86.250,00</v>
      </c>
      <c r="N7361" s="8" t="s">
        <v>124</v>
      </c>
      <c r="O7361" s="7"/>
      <c r="P7361" s="2" t="s">
        <v>5614</v>
      </c>
      <c r="Q7361" s="7"/>
      <c r="R7361" s="1"/>
      <c r="S7361" s="1" t="str">
        <f>"J-UN-2020-205"</f>
        <v>J-UN-2020-205</v>
      </c>
      <c r="T7361" s="1" t="s">
        <v>32</v>
      </c>
    </row>
    <row r="7362" spans="1:20" ht="102" x14ac:dyDescent="0.25">
      <c r="A7362" s="6">
        <v>7333</v>
      </c>
      <c r="B7362" s="1" t="str">
        <f>"2020-1861"</f>
        <v>2020-1861</v>
      </c>
      <c r="C7362" s="1" t="s">
        <v>5497</v>
      </c>
      <c r="D7362" s="1" t="s">
        <v>5426</v>
      </c>
      <c r="E7362" s="1" t="str">
        <f>""</f>
        <v/>
      </c>
      <c r="F7362" s="1" t="s">
        <v>1860</v>
      </c>
      <c r="G7362" s="1" t="str">
        <f>CONCATENATE(" TEHNIČAR-COPYSERVIS D.O.O.,"," KRANJČEVIĆEVA 25,"," 10000 ZAGREB,"," OIB: 5139094509")</f>
        <v xml:space="preserve"> TEHNIČAR-COPYSERVIS D.O.O., KRANJČEVIĆEVA 25, 10000 ZAGREB, OIB: 5139094509</v>
      </c>
      <c r="H7362" s="7"/>
      <c r="I7362" s="8" t="s">
        <v>1970</v>
      </c>
      <c r="J7362" s="8" t="s">
        <v>4200</v>
      </c>
      <c r="K7362" s="6" t="str">
        <f>"10.780,00"</f>
        <v>10.780,00</v>
      </c>
      <c r="L7362" s="6" t="str">
        <f>"2.695,00"</f>
        <v>2.695,00</v>
      </c>
      <c r="M7362" s="6" t="str">
        <f>"13.475,00"</f>
        <v>13.475,00</v>
      </c>
      <c r="N7362" s="8" t="s">
        <v>822</v>
      </c>
      <c r="O7362" s="7"/>
      <c r="P7362" s="2" t="s">
        <v>9127</v>
      </c>
      <c r="Q7362" s="7"/>
      <c r="R7362" s="1"/>
      <c r="S7362" s="1" t="str">
        <f>"J-UN-2020-206"</f>
        <v>J-UN-2020-206</v>
      </c>
      <c r="T7362" s="1" t="s">
        <v>32</v>
      </c>
    </row>
    <row r="7363" spans="1:20" ht="51" x14ac:dyDescent="0.25">
      <c r="A7363" s="6">
        <v>7334</v>
      </c>
      <c r="B7363" s="1" t="str">
        <f>"2020-858"</f>
        <v>2020-858</v>
      </c>
      <c r="C7363" s="1" t="s">
        <v>5510</v>
      </c>
      <c r="D7363" s="1" t="s">
        <v>1865</v>
      </c>
      <c r="E7363" s="1" t="str">
        <f>""</f>
        <v/>
      </c>
      <c r="F7363" s="1" t="s">
        <v>1860</v>
      </c>
      <c r="G7363" s="1" t="str">
        <f>CONCATENATE(" HANZA MEDIA D.O.O.,"," KORANSKA 2,"," 10000 ZAGREB,"," OIB: 79517545745")</f>
        <v xml:space="preserve"> HANZA MEDIA D.O.O., KORANSKA 2, 10000 ZAGREB, OIB: 79517545745</v>
      </c>
      <c r="H7363" s="7"/>
      <c r="I7363" s="8" t="s">
        <v>3520</v>
      </c>
      <c r="J7363" s="8" t="s">
        <v>5396</v>
      </c>
      <c r="K7363" s="6" t="str">
        <f>"35.000,00"</f>
        <v>35.000,00</v>
      </c>
      <c r="L7363" s="6" t="str">
        <f>"8.750,00"</f>
        <v>8.750,00</v>
      </c>
      <c r="M7363" s="6" t="str">
        <f>"43.750,00"</f>
        <v>43.750,00</v>
      </c>
      <c r="N7363" s="8" t="s">
        <v>124</v>
      </c>
      <c r="O7363" s="7"/>
      <c r="P7363" s="2" t="s">
        <v>5614</v>
      </c>
      <c r="Q7363" s="7"/>
      <c r="R7363" s="1"/>
      <c r="S7363" s="1" t="str">
        <f>"J-UN-2020-209"</f>
        <v>J-UN-2020-209</v>
      </c>
      <c r="T7363" s="1" t="s">
        <v>32</v>
      </c>
    </row>
    <row r="7364" spans="1:20" ht="76.5" x14ac:dyDescent="0.25">
      <c r="A7364" s="6">
        <v>7335</v>
      </c>
      <c r="B7364" s="1" t="str">
        <f>"2020-2484"</f>
        <v>2020-2484</v>
      </c>
      <c r="C7364" s="1" t="s">
        <v>2405</v>
      </c>
      <c r="D7364" s="1" t="s">
        <v>880</v>
      </c>
      <c r="E7364" s="1" t="str">
        <f>""</f>
        <v/>
      </c>
      <c r="F7364" s="1" t="s">
        <v>1860</v>
      </c>
      <c r="G7364" s="1" t="str">
        <f>CONCATENATE(" NASTAVNI ZAVOD ZA JAVNO ZDRAVSTVO DR. ANDRIJA ŠTAMPAR,"," MIROGOJSKA CESTA 16,"," 10000 ZAGREB,"," OIB: 3339200596")</f>
        <v xml:space="preserve"> NASTAVNI ZAVOD ZA JAVNO ZDRAVSTVO DR. ANDRIJA ŠTAMPAR, MIROGOJSKA CESTA 16, 10000 ZAGREB, OIB: 3339200596</v>
      </c>
      <c r="H7364" s="7"/>
      <c r="I7364" s="8" t="s">
        <v>5511</v>
      </c>
      <c r="J7364" s="8" t="s">
        <v>2373</v>
      </c>
      <c r="K7364" s="6" t="str">
        <f>"9.630,00"</f>
        <v>9.630,00</v>
      </c>
      <c r="L7364" s="6" t="str">
        <f>"2.407,50"</f>
        <v>2.407,50</v>
      </c>
      <c r="M7364" s="6" t="str">
        <f>"12.037,50"</f>
        <v>12.037,50</v>
      </c>
      <c r="N7364" s="8" t="s">
        <v>2038</v>
      </c>
      <c r="O7364" s="7"/>
      <c r="P7364" s="2" t="s">
        <v>9128</v>
      </c>
      <c r="Q7364" s="1"/>
      <c r="R7364" s="1"/>
      <c r="S7364" s="1" t="str">
        <f>"J-UN-2020-232"</f>
        <v>J-UN-2020-232</v>
      </c>
      <c r="T7364" s="1" t="s">
        <v>32</v>
      </c>
    </row>
    <row r="7365" spans="1:20" ht="76.5" x14ac:dyDescent="0.25">
      <c r="A7365" s="6">
        <v>7336</v>
      </c>
      <c r="B7365" s="1" t="str">
        <f>"2020-2690"</f>
        <v>2020-2690</v>
      </c>
      <c r="C7365" s="1" t="s">
        <v>1041</v>
      </c>
      <c r="D7365" s="1" t="s">
        <v>515</v>
      </c>
      <c r="E7365" s="1" t="str">
        <f>""</f>
        <v/>
      </c>
      <c r="F7365" s="1" t="s">
        <v>1860</v>
      </c>
      <c r="G7365" s="1" t="str">
        <f>CONCATENATE(" NASTAVNI ZAVOD ZA JAVNO ZDRAVSTVO DR. ANDRIJA ŠTAMPAR,"," MIROGOJSKA CESTA 16,"," 10000 ZAGREB,"," OIB: 3339200596")</f>
        <v xml:space="preserve"> NASTAVNI ZAVOD ZA JAVNO ZDRAVSTVO DR. ANDRIJA ŠTAMPAR, MIROGOJSKA CESTA 16, 10000 ZAGREB, OIB: 3339200596</v>
      </c>
      <c r="H7365" s="7"/>
      <c r="I7365" s="8" t="s">
        <v>5512</v>
      </c>
      <c r="J7365" s="8" t="s">
        <v>4206</v>
      </c>
      <c r="K7365" s="6" t="str">
        <f>"7.603,50"</f>
        <v>7.603,50</v>
      </c>
      <c r="L7365" s="6" t="str">
        <f>"1.900,88"</f>
        <v>1.900,88</v>
      </c>
      <c r="M7365" s="6" t="str">
        <f>"9.504,38"</f>
        <v>9.504,38</v>
      </c>
      <c r="N7365" s="8" t="s">
        <v>2611</v>
      </c>
      <c r="O7365" s="7"/>
      <c r="P7365" s="2" t="s">
        <v>9129</v>
      </c>
      <c r="Q7365" s="7"/>
      <c r="R7365" s="1"/>
      <c r="S7365" s="1" t="str">
        <f>"J-UN-2020-233"</f>
        <v>J-UN-2020-233</v>
      </c>
      <c r="T7365" s="1" t="s">
        <v>32</v>
      </c>
    </row>
    <row r="7366" spans="1:20" ht="51" x14ac:dyDescent="0.25">
      <c r="A7366" s="6">
        <v>7337</v>
      </c>
      <c r="B7366" s="1" t="str">
        <f>"2020-95"</f>
        <v>2020-95</v>
      </c>
      <c r="C7366" s="1" t="s">
        <v>2687</v>
      </c>
      <c r="D7366" s="1" t="s">
        <v>2688</v>
      </c>
      <c r="E7366" s="1" t="str">
        <f>""</f>
        <v/>
      </c>
      <c r="F7366" s="1" t="s">
        <v>1860</v>
      </c>
      <c r="G7366" s="1" t="str">
        <f>CONCATENATE(" VODOSKOK D.D.,"," ČULINEČKA CESTA 221/C,"," 10040 ZAGREB,"," OIB: 34134218058")</f>
        <v xml:space="preserve"> VODOSKOK D.D., ČULINEČKA CESTA 221/C, 10040 ZAGREB, OIB: 34134218058</v>
      </c>
      <c r="H7366" s="7"/>
      <c r="I7366" s="8" t="s">
        <v>5511</v>
      </c>
      <c r="J7366" s="8" t="s">
        <v>4267</v>
      </c>
      <c r="K7366" s="6" t="str">
        <f>"4.307,00"</f>
        <v>4.307,00</v>
      </c>
      <c r="L7366" s="6" t="str">
        <f>"1.076,75"</f>
        <v>1.076,75</v>
      </c>
      <c r="M7366" s="6" t="str">
        <f>"5.383,75"</f>
        <v>5.383,75</v>
      </c>
      <c r="N7366" s="8" t="s">
        <v>5499</v>
      </c>
      <c r="O7366" s="7"/>
      <c r="P7366" s="2" t="s">
        <v>9130</v>
      </c>
      <c r="Q7366" s="7"/>
      <c r="R7366" s="1"/>
      <c r="S7366" s="1" t="str">
        <f>"J-UN-2020-240"</f>
        <v>J-UN-2020-240</v>
      </c>
      <c r="T7366" s="1" t="s">
        <v>32</v>
      </c>
    </row>
    <row r="7367" spans="1:20" ht="63.75" x14ac:dyDescent="0.25">
      <c r="A7367" s="6">
        <v>7338</v>
      </c>
      <c r="B7367" s="1" t="str">
        <f>"2020-2167"</f>
        <v>2020-2167</v>
      </c>
      <c r="C7367" s="1" t="s">
        <v>2769</v>
      </c>
      <c r="D7367" s="1" t="s">
        <v>381</v>
      </c>
      <c r="E7367" s="1" t="str">
        <f>""</f>
        <v/>
      </c>
      <c r="F7367" s="1" t="s">
        <v>1860</v>
      </c>
      <c r="G7367" s="1" t="str">
        <f>CONCATENATE(" KONTROL BIRO D.O.O.,"," SAVSKI GAJ IV PUT 10,"," 10020 ZAGREB-NOVI ZAGREB,"," OIB: 80916616067")</f>
        <v xml:space="preserve"> KONTROL BIRO D.O.O., SAVSKI GAJ IV PUT 10, 10020 ZAGREB-NOVI ZAGREB, OIB: 80916616067</v>
      </c>
      <c r="H7367" s="7"/>
      <c r="I7367" s="8" t="s">
        <v>4267</v>
      </c>
      <c r="J7367" s="8" t="s">
        <v>5480</v>
      </c>
      <c r="K7367" s="6" t="str">
        <f>"3.780,00"</f>
        <v>3.780,00</v>
      </c>
      <c r="L7367" s="6" t="str">
        <f>"945,00"</f>
        <v>945,00</v>
      </c>
      <c r="M7367" s="6" t="str">
        <f>"4.725,00"</f>
        <v>4.725,00</v>
      </c>
      <c r="N7367" s="8" t="s">
        <v>4397</v>
      </c>
      <c r="O7367" s="7"/>
      <c r="P7367" s="2" t="s">
        <v>6318</v>
      </c>
      <c r="Q7367" s="7"/>
      <c r="R7367" s="1"/>
      <c r="S7367" s="1" t="str">
        <f>"J-UN-2020-258"</f>
        <v>J-UN-2020-258</v>
      </c>
      <c r="T7367" s="1" t="s">
        <v>32</v>
      </c>
    </row>
    <row r="7368" spans="1:20" ht="76.5" x14ac:dyDescent="0.25">
      <c r="A7368" s="6">
        <v>7339</v>
      </c>
      <c r="B7368" s="1" t="str">
        <f>"2020-108"</f>
        <v>2020-108</v>
      </c>
      <c r="C7368" s="1" t="s">
        <v>5398</v>
      </c>
      <c r="D7368" s="1" t="s">
        <v>5341</v>
      </c>
      <c r="E7368" s="1" t="str">
        <f>""</f>
        <v/>
      </c>
      <c r="F7368" s="1" t="s">
        <v>1860</v>
      </c>
      <c r="G7368" s="1" t="str">
        <f>CONCATENATE(" VATROZAŠTITA,"," VL. ŽELJKO FRUK,"," PRILAZ DR. FRANJE TUĐMANA 7B,"," 49210 ZABOK,"," OIB: 26087715358")</f>
        <v xml:space="preserve"> VATROZAŠTITA, VL. ŽELJKO FRUK, PRILAZ DR. FRANJE TUĐMANA 7B, 49210 ZABOK, OIB: 26087715358</v>
      </c>
      <c r="H7368" s="7"/>
      <c r="I7368" s="8" t="s">
        <v>5511</v>
      </c>
      <c r="J7368" s="8" t="s">
        <v>4267</v>
      </c>
      <c r="K7368" s="6" t="str">
        <f>"53.490,00"</f>
        <v>53.490,00</v>
      </c>
      <c r="L7368" s="6" t="str">
        <f>"13.372,50"</f>
        <v>13.372,50</v>
      </c>
      <c r="M7368" s="6" t="str">
        <f>"66.862,50"</f>
        <v>66.862,50</v>
      </c>
      <c r="N7368" s="8" t="s">
        <v>4397</v>
      </c>
      <c r="O7368" s="7"/>
      <c r="P7368" s="2" t="s">
        <v>9131</v>
      </c>
      <c r="Q7368" s="7"/>
      <c r="R7368" s="1"/>
      <c r="S7368" s="1" t="str">
        <f>"J-UN-2020-269"</f>
        <v>J-UN-2020-269</v>
      </c>
      <c r="T7368" s="1" t="s">
        <v>32</v>
      </c>
    </row>
    <row r="7369" spans="1:20" ht="51" x14ac:dyDescent="0.25">
      <c r="A7369" s="6">
        <v>7340</v>
      </c>
      <c r="B7369" s="1" t="str">
        <f>"2020-2433"</f>
        <v>2020-2433</v>
      </c>
      <c r="C7369" s="1" t="s">
        <v>2703</v>
      </c>
      <c r="D7369" s="1" t="s">
        <v>2704</v>
      </c>
      <c r="E7369" s="1" t="str">
        <f>""</f>
        <v/>
      </c>
      <c r="F7369" s="1" t="s">
        <v>1860</v>
      </c>
      <c r="G7369" s="1" t="str">
        <f>CONCATENATE(" STROJOPROMET D.O.O.,"," ZAGREBAČKA 6,"," 10292 ŠENKOVEC,"," OIB: 97994010225")</f>
        <v xml:space="preserve"> STROJOPROMET D.O.O., ZAGREBAČKA 6, 10292 ŠENKOVEC, OIB: 97994010225</v>
      </c>
      <c r="H7369" s="7"/>
      <c r="I7369" s="8" t="s">
        <v>2000</v>
      </c>
      <c r="J7369" s="8" t="s">
        <v>4468</v>
      </c>
      <c r="K7369" s="6" t="str">
        <f>"4.845,00"</f>
        <v>4.845,00</v>
      </c>
      <c r="L7369" s="6" t="str">
        <f>"1.211,25"</f>
        <v>1.211,25</v>
      </c>
      <c r="M7369" s="6" t="str">
        <f>"6.056,25"</f>
        <v>6.056,25</v>
      </c>
      <c r="N7369" s="8" t="s">
        <v>816</v>
      </c>
      <c r="O7369" s="7"/>
      <c r="P7369" s="2" t="s">
        <v>9132</v>
      </c>
      <c r="Q7369" s="7"/>
      <c r="R7369" s="1"/>
      <c r="S7369" s="1" t="str">
        <f>"J-UN-2020-279"</f>
        <v>J-UN-2020-279</v>
      </c>
      <c r="T7369" s="1" t="s">
        <v>32</v>
      </c>
    </row>
    <row r="7370" spans="1:20" ht="63.75" x14ac:dyDescent="0.25">
      <c r="A7370" s="6">
        <v>7341</v>
      </c>
      <c r="B7370" s="1" t="str">
        <f>"2020-2747"</f>
        <v>2020-2747</v>
      </c>
      <c r="C7370" s="1" t="s">
        <v>5513</v>
      </c>
      <c r="D7370" s="1" t="s">
        <v>2122</v>
      </c>
      <c r="E7370" s="1" t="str">
        <f>""</f>
        <v/>
      </c>
      <c r="F7370" s="1" t="s">
        <v>1860</v>
      </c>
      <c r="G7370" s="1" t="str">
        <f>CONCATENATE(" ELEKTROKEM D.O.O.,"," VUGROVEC,"," AUGUSTA ŠENOE 69,"," 10360 SESVETE,"," OIB: 38411868043")</f>
        <v xml:space="preserve"> ELEKTROKEM D.O.O., VUGROVEC, AUGUSTA ŠENOE 69, 10360 SESVETE, OIB: 38411868043</v>
      </c>
      <c r="H7370" s="7"/>
      <c r="I7370" s="8" t="s">
        <v>2000</v>
      </c>
      <c r="J7370" s="8" t="s">
        <v>2003</v>
      </c>
      <c r="K7370" s="6" t="str">
        <f>"46.350,09"</f>
        <v>46.350,09</v>
      </c>
      <c r="L7370" s="6" t="str">
        <f>"11.587,52"</f>
        <v>11.587,52</v>
      </c>
      <c r="M7370" s="6" t="str">
        <f>"57.937,61"</f>
        <v>57.937,61</v>
      </c>
      <c r="N7370" s="8" t="s">
        <v>4346</v>
      </c>
      <c r="O7370" s="7"/>
      <c r="P7370" s="2" t="s">
        <v>9133</v>
      </c>
      <c r="Q7370" s="7"/>
      <c r="R7370" s="1"/>
      <c r="S7370" s="1" t="str">
        <f>"J-UN-2020-287"</f>
        <v>J-UN-2020-287</v>
      </c>
      <c r="T7370" s="1" t="s">
        <v>32</v>
      </c>
    </row>
    <row r="7371" spans="1:20" ht="76.5" x14ac:dyDescent="0.25">
      <c r="A7371" s="6">
        <v>7342</v>
      </c>
      <c r="B7371" s="1" t="str">
        <f>"2020-2652"</f>
        <v>2020-2652</v>
      </c>
      <c r="C7371" s="1" t="s">
        <v>2651</v>
      </c>
      <c r="D7371" s="1" t="s">
        <v>2652</v>
      </c>
      <c r="E7371" s="1" t="str">
        <f>""</f>
        <v/>
      </c>
      <c r="F7371" s="1" t="s">
        <v>1860</v>
      </c>
      <c r="G7371" s="1" t="str">
        <f>CONCATENATE(" SMIT-COMMERCE D.O.O.,"," GORNJOSTUPNIČKA 9B,"," 10255 GORNJI STUPNIK,"," OIB: 9524348214")</f>
        <v xml:space="preserve"> SMIT-COMMERCE D.O.O., GORNJOSTUPNIČKA 9B, 10255 GORNJI STUPNIK, OIB: 9524348214</v>
      </c>
      <c r="H7371" s="7"/>
      <c r="I7371" s="8" t="s">
        <v>4468</v>
      </c>
      <c r="J7371" s="8" t="s">
        <v>2003</v>
      </c>
      <c r="K7371" s="6" t="str">
        <f>"3.391,40"</f>
        <v>3.391,40</v>
      </c>
      <c r="L7371" s="6" t="str">
        <f>"847,85"</f>
        <v>847,85</v>
      </c>
      <c r="M7371" s="6" t="str">
        <f>"4.239,25"</f>
        <v>4.239,25</v>
      </c>
      <c r="N7371" s="8" t="s">
        <v>4226</v>
      </c>
      <c r="O7371" s="7"/>
      <c r="P7371" s="2" t="s">
        <v>9134</v>
      </c>
      <c r="Q7371" s="7"/>
      <c r="R7371" s="1"/>
      <c r="S7371" s="1" t="str">
        <f>"J-UN-2020-295"</f>
        <v>J-UN-2020-295</v>
      </c>
      <c r="T7371" s="1" t="s">
        <v>32</v>
      </c>
    </row>
    <row r="7372" spans="1:20" ht="63.75" x14ac:dyDescent="0.25">
      <c r="A7372" s="6">
        <v>7343</v>
      </c>
      <c r="B7372" s="1" t="str">
        <f>"2020-2804"</f>
        <v>2020-2804</v>
      </c>
      <c r="C7372" s="1" t="s">
        <v>5501</v>
      </c>
      <c r="D7372" s="1" t="s">
        <v>5502</v>
      </c>
      <c r="E7372" s="1" t="str">
        <f>""</f>
        <v/>
      </c>
      <c r="F7372" s="1" t="s">
        <v>1860</v>
      </c>
      <c r="G7372" s="1" t="str">
        <f>CONCATENATE(" GRADSKA LJEKARNA ZAGREB,"," KRALJA DRŽISLAVA 6,"," 10000 ZAGREB,"," OIB: 37268254106")</f>
        <v xml:space="preserve"> GRADSKA LJEKARNA ZAGREB, KRALJA DRŽISLAVA 6, 10000 ZAGREB, OIB: 37268254106</v>
      </c>
      <c r="H7372" s="7"/>
      <c r="I7372" s="8" t="s">
        <v>4267</v>
      </c>
      <c r="J7372" s="8" t="s">
        <v>5480</v>
      </c>
      <c r="K7372" s="6" t="str">
        <f>"18.120,00"</f>
        <v>18.120,00</v>
      </c>
      <c r="L7372" s="6" t="str">
        <f>"4.530,00"</f>
        <v>4.530,00</v>
      </c>
      <c r="M7372" s="6" t="str">
        <f>"22.650,00"</f>
        <v>22.650,00</v>
      </c>
      <c r="N7372" s="8" t="s">
        <v>124</v>
      </c>
      <c r="O7372" s="7"/>
      <c r="P7372" s="2" t="s">
        <v>5614</v>
      </c>
      <c r="Q7372" s="7"/>
      <c r="R7372" s="1"/>
      <c r="S7372" s="1" t="str">
        <f>"J-UN-2020-320"</f>
        <v>J-UN-2020-320</v>
      </c>
      <c r="T7372" s="1" t="s">
        <v>32</v>
      </c>
    </row>
    <row r="7373" spans="1:20" ht="51" x14ac:dyDescent="0.25">
      <c r="A7373" s="6">
        <v>7344</v>
      </c>
      <c r="B7373" s="1" t="str">
        <f>"2020-2804"</f>
        <v>2020-2804</v>
      </c>
      <c r="C7373" s="1" t="s">
        <v>5501</v>
      </c>
      <c r="D7373" s="1" t="s">
        <v>5502</v>
      </c>
      <c r="E7373" s="1" t="str">
        <f>""</f>
        <v/>
      </c>
      <c r="F7373" s="1" t="s">
        <v>1860</v>
      </c>
      <c r="G7373" s="1" t="str">
        <f>CONCATENATE(" SAPONIA D.D.,"," MATIJE GUPCA 2,"," 31000 OSIJEK,"," OIB: 37879152548")</f>
        <v xml:space="preserve"> SAPONIA D.D., MATIJE GUPCA 2, 31000 OSIJEK, OIB: 37879152548</v>
      </c>
      <c r="H7373" s="7"/>
      <c r="I7373" s="8" t="s">
        <v>4267</v>
      </c>
      <c r="J7373" s="8" t="s">
        <v>4468</v>
      </c>
      <c r="K7373" s="6" t="str">
        <f>"260,00"</f>
        <v>260,00</v>
      </c>
      <c r="L7373" s="6" t="str">
        <f>"65,00"</f>
        <v>65,00</v>
      </c>
      <c r="M7373" s="6" t="str">
        <f>"325,00"</f>
        <v>325,00</v>
      </c>
      <c r="N7373" s="8" t="s">
        <v>124</v>
      </c>
      <c r="O7373" s="7"/>
      <c r="P7373" s="2" t="s">
        <v>5614</v>
      </c>
      <c r="Q7373" s="7"/>
      <c r="R7373" s="1"/>
      <c r="S7373" s="1" t="str">
        <f>"J-UN-2020-324"</f>
        <v>J-UN-2020-324</v>
      </c>
      <c r="T7373" s="1" t="s">
        <v>32</v>
      </c>
    </row>
    <row r="7374" spans="1:20" ht="76.5" x14ac:dyDescent="0.25">
      <c r="A7374" s="6">
        <v>7345</v>
      </c>
      <c r="B7374" s="1" t="str">
        <f>"2020-2846"</f>
        <v>2020-2846</v>
      </c>
      <c r="C7374" s="1" t="s">
        <v>5514</v>
      </c>
      <c r="D7374" s="1" t="s">
        <v>1304</v>
      </c>
      <c r="E7374" s="1" t="str">
        <f>""</f>
        <v/>
      </c>
      <c r="F7374" s="1" t="s">
        <v>1860</v>
      </c>
      <c r="G7374" s="1" t="str">
        <f>CONCATENATE(" SMIT-COMMERCE D.O.O.,"," GORNJOSTUPNIČKA 9B,"," 10255 GORNJI STUPNIK,"," OIB: 9524348214")</f>
        <v xml:space="preserve"> SMIT-COMMERCE D.O.O., GORNJOSTUPNIČKA 9B, 10255 GORNJI STUPNIK, OIB: 9524348214</v>
      </c>
      <c r="H7374" s="7"/>
      <c r="I7374" s="8" t="s">
        <v>4267</v>
      </c>
      <c r="J7374" s="8" t="s">
        <v>4468</v>
      </c>
      <c r="K7374" s="6" t="str">
        <f>"162.136,00"</f>
        <v>162.136,00</v>
      </c>
      <c r="L7374" s="6" t="str">
        <f>"40.534,00"</f>
        <v>40.534,00</v>
      </c>
      <c r="M7374" s="6" t="str">
        <f>"202.670,00"</f>
        <v>202.670,00</v>
      </c>
      <c r="N7374" s="8" t="s">
        <v>3967</v>
      </c>
      <c r="O7374" s="7"/>
      <c r="P7374" s="2" t="s">
        <v>9135</v>
      </c>
      <c r="Q7374" s="7"/>
      <c r="R7374" s="1"/>
      <c r="S7374" s="1" t="str">
        <f>"J-UN-2020-325"</f>
        <v>J-UN-2020-325</v>
      </c>
      <c r="T7374" s="1" t="s">
        <v>32</v>
      </c>
    </row>
    <row r="7375" spans="1:20" ht="51" x14ac:dyDescent="0.25">
      <c r="A7375" s="6">
        <v>7346</v>
      </c>
      <c r="B7375" s="1" t="str">
        <f>"2020-2845"</f>
        <v>2020-2845</v>
      </c>
      <c r="C7375" s="1" t="s">
        <v>5515</v>
      </c>
      <c r="D7375" s="1" t="s">
        <v>2682</v>
      </c>
      <c r="E7375" s="1" t="str">
        <f>""</f>
        <v/>
      </c>
      <c r="F7375" s="1" t="s">
        <v>1860</v>
      </c>
      <c r="G7375" s="1" t="str">
        <f>CONCATENATE(" KEMOKOP D.O.O.,"," INDUSTRIJSKA ULICA 10,"," 10370 DUGO SELO,"," OIB: 1291670373")</f>
        <v xml:space="preserve"> KEMOKOP D.O.O., INDUSTRIJSKA ULICA 10, 10370 DUGO SELO, OIB: 1291670373</v>
      </c>
      <c r="H7375" s="7"/>
      <c r="I7375" s="8" t="s">
        <v>4226</v>
      </c>
      <c r="J7375" s="8" t="s">
        <v>4203</v>
      </c>
      <c r="K7375" s="6" t="str">
        <f>"159.000,00"</f>
        <v>159.000,00</v>
      </c>
      <c r="L7375" s="6" t="str">
        <f>"39.750,00"</f>
        <v>39.750,00</v>
      </c>
      <c r="M7375" s="6" t="str">
        <f>"198.750,00"</f>
        <v>198.750,00</v>
      </c>
      <c r="N7375" s="8" t="s">
        <v>4281</v>
      </c>
      <c r="O7375" s="7"/>
      <c r="P7375" s="2" t="s">
        <v>9136</v>
      </c>
      <c r="Q7375" s="7"/>
      <c r="R7375" s="1"/>
      <c r="S7375" s="1" t="str">
        <f>"J-UN-2020-357"</f>
        <v>J-UN-2020-357</v>
      </c>
      <c r="T7375" s="1" t="s">
        <v>32</v>
      </c>
    </row>
    <row r="7376" spans="1:20" ht="38.25" x14ac:dyDescent="0.25">
      <c r="A7376" s="6">
        <v>7347</v>
      </c>
      <c r="B7376" s="1" t="str">
        <f>"2020-947"</f>
        <v>2020-947</v>
      </c>
      <c r="C7376" s="1" t="s">
        <v>2305</v>
      </c>
      <c r="D7376" s="1" t="s">
        <v>2306</v>
      </c>
      <c r="E7376" s="1" t="str">
        <f>""</f>
        <v/>
      </c>
      <c r="F7376" s="1" t="s">
        <v>1860</v>
      </c>
      <c r="G7376" s="1" t="str">
        <f>CONCATENATE(" IVAN ČEVIZOVIĆ J.T.D.,"," ČIKOŠEVA ULICA 5,"," 5 5,"," OIB: 31134973534")</f>
        <v xml:space="preserve"> IVAN ČEVIZOVIĆ J.T.D., ČIKOŠEVA ULICA 5, 5 5, OIB: 31134973534</v>
      </c>
      <c r="H7376" s="7"/>
      <c r="I7376" s="8" t="s">
        <v>2000</v>
      </c>
      <c r="J7376" s="8" t="s">
        <v>4468</v>
      </c>
      <c r="K7376" s="6" t="str">
        <f>"8.000,00"</f>
        <v>8.000,00</v>
      </c>
      <c r="L7376" s="6" t="str">
        <f>"2.000,00"</f>
        <v>2.000,00</v>
      </c>
      <c r="M7376" s="6" t="str">
        <f>"10.000,00"</f>
        <v>10.000,00</v>
      </c>
      <c r="N7376" s="8" t="s">
        <v>124</v>
      </c>
      <c r="O7376" s="7"/>
      <c r="P7376" s="2" t="s">
        <v>5614</v>
      </c>
      <c r="Q7376" s="7"/>
      <c r="R7376" s="1"/>
      <c r="S7376" s="1" t="str">
        <f>"J-UN-2020-358"</f>
        <v>J-UN-2020-358</v>
      </c>
      <c r="T7376" s="1" t="s">
        <v>32</v>
      </c>
    </row>
    <row r="7377" spans="1:20" ht="51" x14ac:dyDescent="0.25">
      <c r="A7377" s="6">
        <v>7348</v>
      </c>
      <c r="B7377" s="1" t="str">
        <f>"2020-2830"</f>
        <v>2020-2830</v>
      </c>
      <c r="C7377" s="1" t="s">
        <v>5516</v>
      </c>
      <c r="D7377" s="1" t="s">
        <v>1326</v>
      </c>
      <c r="E7377" s="1" t="str">
        <f>""</f>
        <v/>
      </c>
      <c r="F7377" s="1" t="s">
        <v>1860</v>
      </c>
      <c r="G7377" s="1" t="str">
        <f>CONCATENATE(" ID EKO D.O.O.,"," POREČKA 11,"," 10000 ZAGREB,"," OIB: 72667678548")</f>
        <v xml:space="preserve"> ID EKO D.O.O., POREČKA 11, 10000 ZAGREB, OIB: 72667678548</v>
      </c>
      <c r="H7377" s="7"/>
      <c r="I7377" s="8" t="s">
        <v>4468</v>
      </c>
      <c r="J7377" s="8" t="s">
        <v>2003</v>
      </c>
      <c r="K7377" s="6" t="str">
        <f>"15.465,00"</f>
        <v>15.465,00</v>
      </c>
      <c r="L7377" s="6" t="str">
        <f>"3.866,25"</f>
        <v>3.866,25</v>
      </c>
      <c r="M7377" s="6" t="str">
        <f>"19.331,25"</f>
        <v>19.331,25</v>
      </c>
      <c r="N7377" s="8" t="s">
        <v>124</v>
      </c>
      <c r="O7377" s="7"/>
      <c r="P7377" s="2" t="s">
        <v>5614</v>
      </c>
      <c r="Q7377" s="7"/>
      <c r="R7377" s="1"/>
      <c r="S7377" s="1" t="str">
        <f>"J-UN-2020-379"</f>
        <v>J-UN-2020-379</v>
      </c>
      <c r="T7377" s="1" t="s">
        <v>32</v>
      </c>
    </row>
    <row r="7378" spans="1:20" ht="63.75" x14ac:dyDescent="0.25">
      <c r="A7378" s="6">
        <v>7349</v>
      </c>
      <c r="B7378" s="1" t="str">
        <f>"2020-2803"</f>
        <v>2020-2803</v>
      </c>
      <c r="C7378" s="1" t="s">
        <v>5517</v>
      </c>
      <c r="D7378" s="1" t="s">
        <v>5502</v>
      </c>
      <c r="E7378" s="1" t="str">
        <f>""</f>
        <v/>
      </c>
      <c r="F7378" s="1" t="s">
        <v>1860</v>
      </c>
      <c r="G7378" s="1" t="str">
        <f>CONCATENATE(" GRADSKA LJEKARNA ZAGREB,"," KRALJA DRŽISLAVA 6,"," 10000 ZAGREB,"," OIB: 37268254106")</f>
        <v xml:space="preserve"> GRADSKA LJEKARNA ZAGREB, KRALJA DRŽISLAVA 6, 10000 ZAGREB, OIB: 37268254106</v>
      </c>
      <c r="H7378" s="7"/>
      <c r="I7378" s="8" t="s">
        <v>4468</v>
      </c>
      <c r="J7378" s="8" t="s">
        <v>2003</v>
      </c>
      <c r="K7378" s="6" t="str">
        <f>"61.176,00"</f>
        <v>61.176,00</v>
      </c>
      <c r="L7378" s="6" t="str">
        <f>"15.294,00"</f>
        <v>15.294,00</v>
      </c>
      <c r="M7378" s="6" t="str">
        <f>"76.470,00"</f>
        <v>76.470,00</v>
      </c>
      <c r="N7378" s="8" t="s">
        <v>124</v>
      </c>
      <c r="O7378" s="7"/>
      <c r="P7378" s="2" t="s">
        <v>5614</v>
      </c>
      <c r="Q7378" s="7"/>
      <c r="R7378" s="1"/>
      <c r="S7378" s="1" t="str">
        <f>"J-UN-2020-385"</f>
        <v>J-UN-2020-385</v>
      </c>
      <c r="T7378" s="1" t="s">
        <v>32</v>
      </c>
    </row>
    <row r="7379" spans="1:20" ht="51" x14ac:dyDescent="0.25">
      <c r="A7379" s="6">
        <v>7350</v>
      </c>
      <c r="B7379" s="1" t="str">
        <f>"2020-1316"</f>
        <v>2020-1316</v>
      </c>
      <c r="C7379" s="1" t="s">
        <v>3107</v>
      </c>
      <c r="D7379" s="1" t="s">
        <v>3108</v>
      </c>
      <c r="E7379" s="1" t="str">
        <f>""</f>
        <v/>
      </c>
      <c r="F7379" s="1" t="s">
        <v>1860</v>
      </c>
      <c r="G7379" s="1" t="str">
        <f>CONCATENATE(" ESCAPE D.O.O.,"," KRAPINSKO NASELJE 18,"," 31000 OSIJEK,"," OIB: 59259168949")</f>
        <v xml:space="preserve"> ESCAPE D.O.O., KRAPINSKO NASELJE 18, 31000 OSIJEK, OIB: 59259168949</v>
      </c>
      <c r="H7379" s="7"/>
      <c r="I7379" s="8" t="s">
        <v>807</v>
      </c>
      <c r="J7379" s="8" t="s">
        <v>5518</v>
      </c>
      <c r="K7379" s="6" t="str">
        <f>"20.000,00"</f>
        <v>20.000,00</v>
      </c>
      <c r="L7379" s="6" t="str">
        <f>"5.000,00"</f>
        <v>5.000,00</v>
      </c>
      <c r="M7379" s="6" t="str">
        <f>"25.000,00"</f>
        <v>25.000,00</v>
      </c>
      <c r="N7379" s="8" t="s">
        <v>124</v>
      </c>
      <c r="O7379" s="7"/>
      <c r="P7379" s="2" t="s">
        <v>5614</v>
      </c>
      <c r="Q7379" s="7"/>
      <c r="R7379" s="1"/>
      <c r="S7379" s="1" t="str">
        <f>"J-UN-2020-417"</f>
        <v>J-UN-2020-417</v>
      </c>
      <c r="T7379" s="1" t="s">
        <v>32</v>
      </c>
    </row>
    <row r="7380" spans="1:20" ht="63.75" x14ac:dyDescent="0.25">
      <c r="A7380" s="6">
        <v>7351</v>
      </c>
      <c r="B7380" s="1" t="str">
        <f>"2020-2471"</f>
        <v>2020-2471</v>
      </c>
      <c r="C7380" s="1" t="s">
        <v>2991</v>
      </c>
      <c r="D7380" s="1" t="s">
        <v>2992</v>
      </c>
      <c r="E7380" s="1" t="str">
        <f>""</f>
        <v/>
      </c>
      <c r="F7380" s="1" t="s">
        <v>1860</v>
      </c>
      <c r="G7380" s="1" t="str">
        <f t="shared" ref="G7380:G7386" si="249">CONCATENATE(" LANIŠTE D.O.O.,"," ALEXANDERA VON HUMBOLDTA 4B,"," 10000 ZAGREB,"," OIB: 3755384865")</f>
        <v xml:space="preserve"> LANIŠTE D.O.O., ALEXANDERA VON HUMBOLDTA 4B, 10000 ZAGREB, OIB: 3755384865</v>
      </c>
      <c r="H7380" s="7"/>
      <c r="I7380" s="8" t="s">
        <v>4203</v>
      </c>
      <c r="J7380" s="8" t="s">
        <v>4469</v>
      </c>
      <c r="K7380" s="6" t="str">
        <f>"2.636,00"</f>
        <v>2.636,00</v>
      </c>
      <c r="L7380" s="6" t="str">
        <f>"659,00"</f>
        <v>659,00</v>
      </c>
      <c r="M7380" s="6" t="str">
        <f>"3.295,00"</f>
        <v>3.295,00</v>
      </c>
      <c r="N7380" s="8" t="s">
        <v>124</v>
      </c>
      <c r="O7380" s="7"/>
      <c r="P7380" s="2" t="s">
        <v>5614</v>
      </c>
      <c r="Q7380" s="7"/>
      <c r="R7380" s="1"/>
      <c r="S7380" s="1" t="str">
        <f>"J-UN-2020-434"</f>
        <v>J-UN-2020-434</v>
      </c>
      <c r="T7380" s="1" t="s">
        <v>32</v>
      </c>
    </row>
    <row r="7381" spans="1:20" ht="63.75" x14ac:dyDescent="0.25">
      <c r="A7381" s="6">
        <v>7352</v>
      </c>
      <c r="B7381" s="1" t="str">
        <f>"2020-983"</f>
        <v>2020-983</v>
      </c>
      <c r="C7381" s="1" t="s">
        <v>2986</v>
      </c>
      <c r="D7381" s="1" t="s">
        <v>2985</v>
      </c>
      <c r="E7381" s="1" t="str">
        <f>""</f>
        <v/>
      </c>
      <c r="F7381" s="1" t="s">
        <v>1860</v>
      </c>
      <c r="G7381" s="1" t="str">
        <f t="shared" si="249"/>
        <v xml:space="preserve"> LANIŠTE D.O.O., ALEXANDERA VON HUMBOLDTA 4B, 10000 ZAGREB, OIB: 3755384865</v>
      </c>
      <c r="H7381" s="7"/>
      <c r="I7381" s="8" t="s">
        <v>4203</v>
      </c>
      <c r="J7381" s="8" t="s">
        <v>4469</v>
      </c>
      <c r="K7381" s="6" t="str">
        <f>"2.032,00"</f>
        <v>2.032,00</v>
      </c>
      <c r="L7381" s="6" t="str">
        <f>"508,00"</f>
        <v>508,00</v>
      </c>
      <c r="M7381" s="6" t="str">
        <f>"2.540,00"</f>
        <v>2.540,00</v>
      </c>
      <c r="N7381" s="8" t="s">
        <v>124</v>
      </c>
      <c r="O7381" s="7"/>
      <c r="P7381" s="2" t="s">
        <v>5614</v>
      </c>
      <c r="Q7381" s="7"/>
      <c r="R7381" s="1"/>
      <c r="S7381" s="1" t="str">
        <f>"J-UN-2020-435"</f>
        <v>J-UN-2020-435</v>
      </c>
      <c r="T7381" s="1" t="s">
        <v>32</v>
      </c>
    </row>
    <row r="7382" spans="1:20" ht="63.75" x14ac:dyDescent="0.25">
      <c r="A7382" s="6">
        <v>7353</v>
      </c>
      <c r="B7382" s="1" t="str">
        <f>"2020-2411"</f>
        <v>2020-2411</v>
      </c>
      <c r="C7382" s="1" t="s">
        <v>2984</v>
      </c>
      <c r="D7382" s="1" t="s">
        <v>2985</v>
      </c>
      <c r="E7382" s="1" t="str">
        <f>""</f>
        <v/>
      </c>
      <c r="F7382" s="1" t="s">
        <v>1860</v>
      </c>
      <c r="G7382" s="1" t="str">
        <f t="shared" si="249"/>
        <v xml:space="preserve"> LANIŠTE D.O.O., ALEXANDERA VON HUMBOLDTA 4B, 10000 ZAGREB, OIB: 3755384865</v>
      </c>
      <c r="H7382" s="7"/>
      <c r="I7382" s="8" t="s">
        <v>4203</v>
      </c>
      <c r="J7382" s="8" t="s">
        <v>4469</v>
      </c>
      <c r="K7382" s="6" t="str">
        <f>"2.032,00"</f>
        <v>2.032,00</v>
      </c>
      <c r="L7382" s="6" t="str">
        <f>"508,00"</f>
        <v>508,00</v>
      </c>
      <c r="M7382" s="6" t="str">
        <f>"2.540,00"</f>
        <v>2.540,00</v>
      </c>
      <c r="N7382" s="8" t="s">
        <v>124</v>
      </c>
      <c r="O7382" s="7"/>
      <c r="P7382" s="2" t="s">
        <v>5614</v>
      </c>
      <c r="Q7382" s="7"/>
      <c r="R7382" s="1"/>
      <c r="S7382" s="1" t="str">
        <f>"J-UN-2020-436"</f>
        <v>J-UN-2020-436</v>
      </c>
      <c r="T7382" s="1" t="s">
        <v>32</v>
      </c>
    </row>
    <row r="7383" spans="1:20" ht="63.75" x14ac:dyDescent="0.25">
      <c r="A7383" s="6">
        <v>7354</v>
      </c>
      <c r="B7383" s="1" t="str">
        <f>"2020-1631"</f>
        <v>2020-1631</v>
      </c>
      <c r="C7383" s="1" t="s">
        <v>2987</v>
      </c>
      <c r="D7383" s="1" t="s">
        <v>2988</v>
      </c>
      <c r="E7383" s="1" t="str">
        <f>""</f>
        <v/>
      </c>
      <c r="F7383" s="1" t="s">
        <v>1860</v>
      </c>
      <c r="G7383" s="1" t="str">
        <f t="shared" si="249"/>
        <v xml:space="preserve"> LANIŠTE D.O.O., ALEXANDERA VON HUMBOLDTA 4B, 10000 ZAGREB, OIB: 3755384865</v>
      </c>
      <c r="H7383" s="7"/>
      <c r="I7383" s="8" t="s">
        <v>4203</v>
      </c>
      <c r="J7383" s="8" t="s">
        <v>4469</v>
      </c>
      <c r="K7383" s="6" t="str">
        <f>"2.032,00"</f>
        <v>2.032,00</v>
      </c>
      <c r="L7383" s="6" t="str">
        <f>"508,00"</f>
        <v>508,00</v>
      </c>
      <c r="M7383" s="6" t="str">
        <f>"2.540,00"</f>
        <v>2.540,00</v>
      </c>
      <c r="N7383" s="8" t="s">
        <v>124</v>
      </c>
      <c r="O7383" s="7"/>
      <c r="P7383" s="2" t="s">
        <v>5614</v>
      </c>
      <c r="Q7383" s="7"/>
      <c r="R7383" s="1"/>
      <c r="S7383" s="1" t="str">
        <f>"J-UN-2020-437"</f>
        <v>J-UN-2020-437</v>
      </c>
      <c r="T7383" s="1" t="s">
        <v>32</v>
      </c>
    </row>
    <row r="7384" spans="1:20" ht="63.75" x14ac:dyDescent="0.25">
      <c r="A7384" s="6">
        <v>7355</v>
      </c>
      <c r="B7384" s="1" t="str">
        <f>"2020-1905"</f>
        <v>2020-1905</v>
      </c>
      <c r="C7384" s="1" t="s">
        <v>2993</v>
      </c>
      <c r="D7384" s="1" t="s">
        <v>2994</v>
      </c>
      <c r="E7384" s="1" t="str">
        <f>""</f>
        <v/>
      </c>
      <c r="F7384" s="1" t="s">
        <v>1860</v>
      </c>
      <c r="G7384" s="1" t="str">
        <f t="shared" si="249"/>
        <v xml:space="preserve"> LANIŠTE D.O.O., ALEXANDERA VON HUMBOLDTA 4B, 10000 ZAGREB, OIB: 3755384865</v>
      </c>
      <c r="H7384" s="7"/>
      <c r="I7384" s="8" t="s">
        <v>4203</v>
      </c>
      <c r="J7384" s="8" t="s">
        <v>4469</v>
      </c>
      <c r="K7384" s="6" t="str">
        <f>"1.632,00"</f>
        <v>1.632,00</v>
      </c>
      <c r="L7384" s="6" t="str">
        <f>"408,00"</f>
        <v>408,00</v>
      </c>
      <c r="M7384" s="6" t="str">
        <f>"2.040,00"</f>
        <v>2.040,00</v>
      </c>
      <c r="N7384" s="8" t="s">
        <v>124</v>
      </c>
      <c r="O7384" s="7"/>
      <c r="P7384" s="2" t="s">
        <v>5614</v>
      </c>
      <c r="Q7384" s="7"/>
      <c r="R7384" s="1"/>
      <c r="S7384" s="1" t="str">
        <f>"J-UN-2020-438"</f>
        <v>J-UN-2020-438</v>
      </c>
      <c r="T7384" s="1" t="s">
        <v>32</v>
      </c>
    </row>
    <row r="7385" spans="1:20" ht="63.75" x14ac:dyDescent="0.25">
      <c r="A7385" s="6">
        <v>7356</v>
      </c>
      <c r="B7385" s="1" t="str">
        <f>"2020-1298"</f>
        <v>2020-1298</v>
      </c>
      <c r="C7385" s="1" t="s">
        <v>2989</v>
      </c>
      <c r="D7385" s="1" t="s">
        <v>2990</v>
      </c>
      <c r="E7385" s="1" t="str">
        <f>""</f>
        <v/>
      </c>
      <c r="F7385" s="1" t="s">
        <v>1860</v>
      </c>
      <c r="G7385" s="1" t="str">
        <f t="shared" si="249"/>
        <v xml:space="preserve"> LANIŠTE D.O.O., ALEXANDERA VON HUMBOLDTA 4B, 10000 ZAGREB, OIB: 3755384865</v>
      </c>
      <c r="H7385" s="7"/>
      <c r="I7385" s="8" t="s">
        <v>4203</v>
      </c>
      <c r="J7385" s="8" t="s">
        <v>4469</v>
      </c>
      <c r="K7385" s="6" t="str">
        <f>"2.636,00"</f>
        <v>2.636,00</v>
      </c>
      <c r="L7385" s="6" t="str">
        <f>"659,00"</f>
        <v>659,00</v>
      </c>
      <c r="M7385" s="6" t="str">
        <f>"3.295,00"</f>
        <v>3.295,00</v>
      </c>
      <c r="N7385" s="8" t="s">
        <v>124</v>
      </c>
      <c r="O7385" s="7"/>
      <c r="P7385" s="2" t="s">
        <v>5614</v>
      </c>
      <c r="Q7385" s="7"/>
      <c r="R7385" s="1"/>
      <c r="S7385" s="1" t="str">
        <f>"J-UN-2020-439"</f>
        <v>J-UN-2020-439</v>
      </c>
      <c r="T7385" s="1" t="s">
        <v>32</v>
      </c>
    </row>
    <row r="7386" spans="1:20" ht="63.75" x14ac:dyDescent="0.25">
      <c r="A7386" s="6">
        <v>7357</v>
      </c>
      <c r="B7386" s="1" t="str">
        <f>"2020-1298"</f>
        <v>2020-1298</v>
      </c>
      <c r="C7386" s="1" t="s">
        <v>2989</v>
      </c>
      <c r="D7386" s="1" t="s">
        <v>2990</v>
      </c>
      <c r="E7386" s="1" t="str">
        <f>""</f>
        <v/>
      </c>
      <c r="F7386" s="1" t="s">
        <v>1860</v>
      </c>
      <c r="G7386" s="1" t="str">
        <f t="shared" si="249"/>
        <v xml:space="preserve"> LANIŠTE D.O.O., ALEXANDERA VON HUMBOLDTA 4B, 10000 ZAGREB, OIB: 3755384865</v>
      </c>
      <c r="H7386" s="7"/>
      <c r="I7386" s="8" t="s">
        <v>4203</v>
      </c>
      <c r="J7386" s="8" t="s">
        <v>4469</v>
      </c>
      <c r="K7386" s="6" t="str">
        <f>"3.636,00"</f>
        <v>3.636,00</v>
      </c>
      <c r="L7386" s="6" t="str">
        <f>"909,00"</f>
        <v>909,00</v>
      </c>
      <c r="M7386" s="6" t="str">
        <f>"4.545,00"</f>
        <v>4.545,00</v>
      </c>
      <c r="N7386" s="8" t="s">
        <v>680</v>
      </c>
      <c r="O7386" s="7"/>
      <c r="P7386" s="2" t="s">
        <v>7918</v>
      </c>
      <c r="Q7386" s="7"/>
      <c r="R7386" s="1"/>
      <c r="S7386" s="1" t="str">
        <f>"J-UN-2020-451"</f>
        <v>J-UN-2020-451</v>
      </c>
      <c r="T7386" s="1" t="s">
        <v>32</v>
      </c>
    </row>
    <row r="7387" spans="1:20" ht="63.75" x14ac:dyDescent="0.25">
      <c r="A7387" s="6">
        <v>7358</v>
      </c>
      <c r="B7387" s="1" t="str">
        <f>"2020-2167"</f>
        <v>2020-2167</v>
      </c>
      <c r="C7387" s="1" t="s">
        <v>2769</v>
      </c>
      <c r="D7387" s="1" t="s">
        <v>381</v>
      </c>
      <c r="E7387" s="1" t="str">
        <f>""</f>
        <v/>
      </c>
      <c r="F7387" s="1" t="s">
        <v>1860</v>
      </c>
      <c r="G7387" s="1" t="str">
        <f>CONCATENATE(" KONTROL BIRO D.O.O.,"," SAVSKI GAJ IV PUT 10,"," 10020 ZAGREB-NOVI ZAGREB,"," OIB: 80916616067")</f>
        <v xml:space="preserve"> KONTROL BIRO D.O.O., SAVSKI GAJ IV PUT 10, 10020 ZAGREB-NOVI ZAGREB, OIB: 80916616067</v>
      </c>
      <c r="H7387" s="7"/>
      <c r="I7387" s="8" t="s">
        <v>816</v>
      </c>
      <c r="J7387" s="8" t="s">
        <v>5519</v>
      </c>
      <c r="K7387" s="6" t="str">
        <f>"2.681,00"</f>
        <v>2.681,00</v>
      </c>
      <c r="L7387" s="6" t="str">
        <f>"670,25"</f>
        <v>670,25</v>
      </c>
      <c r="M7387" s="6" t="str">
        <f>"3.351,25"</f>
        <v>3.351,25</v>
      </c>
      <c r="N7387" s="8" t="s">
        <v>5520</v>
      </c>
      <c r="O7387" s="7"/>
      <c r="P7387" s="2" t="s">
        <v>9137</v>
      </c>
      <c r="Q7387" s="7"/>
      <c r="R7387" s="1"/>
      <c r="S7387" s="1" t="str">
        <f>"J-UN-2020-461"</f>
        <v>J-UN-2020-461</v>
      </c>
      <c r="T7387" s="1" t="s">
        <v>32</v>
      </c>
    </row>
    <row r="7388" spans="1:20" ht="51" x14ac:dyDescent="0.25">
      <c r="A7388" s="6">
        <v>7359</v>
      </c>
      <c r="B7388" s="1" t="str">
        <f>"2020-960"</f>
        <v>2020-960</v>
      </c>
      <c r="C7388" s="1" t="s">
        <v>3085</v>
      </c>
      <c r="D7388" s="1" t="s">
        <v>2549</v>
      </c>
      <c r="E7388" s="1" t="str">
        <f>""</f>
        <v/>
      </c>
      <c r="F7388" s="1" t="s">
        <v>1860</v>
      </c>
      <c r="G7388" s="1" t="str">
        <f>CONCATENATE(" AD HOC-CENTAR D.O.O.,"," DRAŠKOVIĆEVA 4A,"," 10000 ZAGREB,"," OIB: 75132412279")</f>
        <v xml:space="preserve"> AD HOC-CENTAR D.O.O., DRAŠKOVIĆEVA 4A, 10000 ZAGREB, OIB: 75132412279</v>
      </c>
      <c r="H7388" s="7"/>
      <c r="I7388" s="8" t="s">
        <v>4203</v>
      </c>
      <c r="J7388" s="8" t="s">
        <v>4469</v>
      </c>
      <c r="K7388" s="6" t="str">
        <f>"7.225,00"</f>
        <v>7.225,00</v>
      </c>
      <c r="L7388" s="6" t="str">
        <f>"1.806,25"</f>
        <v>1.806,25</v>
      </c>
      <c r="M7388" s="6" t="str">
        <f>"9.031,25"</f>
        <v>9.031,25</v>
      </c>
      <c r="N7388" s="8" t="s">
        <v>987</v>
      </c>
      <c r="O7388" s="7"/>
      <c r="P7388" s="2" t="s">
        <v>9079</v>
      </c>
      <c r="Q7388" s="7"/>
      <c r="R7388" s="1"/>
      <c r="S7388" s="1" t="str">
        <f>"J-UN-2020-464"</f>
        <v>J-UN-2020-464</v>
      </c>
      <c r="T7388" s="1" t="s">
        <v>32</v>
      </c>
    </row>
    <row r="7389" spans="1:20" ht="51" x14ac:dyDescent="0.25">
      <c r="A7389" s="6">
        <v>7360</v>
      </c>
      <c r="B7389" s="1" t="str">
        <f>"2020-2226"</f>
        <v>2020-2226</v>
      </c>
      <c r="C7389" s="1" t="s">
        <v>2689</v>
      </c>
      <c r="D7389" s="1" t="s">
        <v>2577</v>
      </c>
      <c r="E7389" s="1" t="str">
        <f>""</f>
        <v/>
      </c>
      <c r="F7389" s="1" t="s">
        <v>1860</v>
      </c>
      <c r="G7389" s="1" t="str">
        <f>CONCATENATE(" TPZ D.O.O.,"," NOVOSELSKA 25,"," 10000 ZAGREB,"," OIB: 68119083236")</f>
        <v xml:space="preserve"> TPZ D.O.O., NOVOSELSKA 25, 10000 ZAGREB, OIB: 68119083236</v>
      </c>
      <c r="H7389" s="7"/>
      <c r="I7389" s="8" t="s">
        <v>816</v>
      </c>
      <c r="J7389" s="8" t="s">
        <v>5519</v>
      </c>
      <c r="K7389" s="6" t="str">
        <f>"38.595,86"</f>
        <v>38.595,86</v>
      </c>
      <c r="L7389" s="6" t="str">
        <f>"9.648,96"</f>
        <v>9.648,96</v>
      </c>
      <c r="M7389" s="6" t="str">
        <f>"48.244,82"</f>
        <v>48.244,82</v>
      </c>
      <c r="N7389" s="8" t="s">
        <v>4257</v>
      </c>
      <c r="O7389" s="7"/>
      <c r="P7389" s="2" t="s">
        <v>9138</v>
      </c>
      <c r="Q7389" s="7"/>
      <c r="R7389" s="1"/>
      <c r="S7389" s="1" t="str">
        <f>"J-UN-2020-472"</f>
        <v>J-UN-2020-472</v>
      </c>
      <c r="T7389" s="1" t="s">
        <v>32</v>
      </c>
    </row>
    <row r="7390" spans="1:20" ht="76.5" x14ac:dyDescent="0.25">
      <c r="A7390" s="6">
        <v>7361</v>
      </c>
      <c r="B7390" s="1" t="str">
        <f>"2020-2690"</f>
        <v>2020-2690</v>
      </c>
      <c r="C7390" s="1" t="s">
        <v>1041</v>
      </c>
      <c r="D7390" s="1" t="s">
        <v>515</v>
      </c>
      <c r="E7390" s="1" t="str">
        <f>""</f>
        <v/>
      </c>
      <c r="F7390" s="1" t="s">
        <v>1860</v>
      </c>
      <c r="G7390" s="1" t="str">
        <f>CONCATENATE(" NASTAVNI ZAVOD ZA JAVNO ZDRAVSTVO DR. ANDRIJA ŠTAMPAR,"," MIROGOJSKA CESTA 16,"," 10000 ZAGREB,"," OIB: 3339200596")</f>
        <v xml:space="preserve"> NASTAVNI ZAVOD ZA JAVNO ZDRAVSTVO DR. ANDRIJA ŠTAMPAR, MIROGOJSKA CESTA 16, 10000 ZAGREB, OIB: 3339200596</v>
      </c>
      <c r="H7390" s="7"/>
      <c r="I7390" s="8" t="s">
        <v>4469</v>
      </c>
      <c r="J7390" s="8" t="s">
        <v>5521</v>
      </c>
      <c r="K7390" s="6" t="str">
        <f>"3.608,50"</f>
        <v>3.608,50</v>
      </c>
      <c r="L7390" s="6" t="str">
        <f>"902,12"</f>
        <v>902,12</v>
      </c>
      <c r="M7390" s="6" t="str">
        <f>"4.510,62"</f>
        <v>4.510,62</v>
      </c>
      <c r="N7390" s="8" t="s">
        <v>3815</v>
      </c>
      <c r="O7390" s="7"/>
      <c r="P7390" s="2" t="s">
        <v>9139</v>
      </c>
      <c r="Q7390" s="7"/>
      <c r="R7390" s="1"/>
      <c r="S7390" s="1" t="str">
        <f>"J-UN-2020-527"</f>
        <v>J-UN-2020-527</v>
      </c>
      <c r="T7390" s="1" t="s">
        <v>32</v>
      </c>
    </row>
    <row r="7391" spans="1:20" ht="76.5" x14ac:dyDescent="0.25">
      <c r="A7391" s="6">
        <v>7362</v>
      </c>
      <c r="B7391" s="1" t="str">
        <f>"2020-2690"</f>
        <v>2020-2690</v>
      </c>
      <c r="C7391" s="1" t="s">
        <v>1041</v>
      </c>
      <c r="D7391" s="1" t="s">
        <v>515</v>
      </c>
      <c r="E7391" s="1" t="str">
        <f>""</f>
        <v/>
      </c>
      <c r="F7391" s="1" t="s">
        <v>1860</v>
      </c>
      <c r="G7391" s="1" t="str">
        <f>CONCATENATE(" NASTAVNI ZAVOD ZA JAVNO ZDRAVSTVO DR. ANDRIJA ŠTAMPAR,"," MIROGOJSKA CESTA 16,"," 10000 ZAGREB,"," OIB: 3339200596")</f>
        <v xml:space="preserve"> NASTAVNI ZAVOD ZA JAVNO ZDRAVSTVO DR. ANDRIJA ŠTAMPAR, MIROGOJSKA CESTA 16, 10000 ZAGREB, OIB: 3339200596</v>
      </c>
      <c r="H7391" s="7"/>
      <c r="I7391" s="8" t="s">
        <v>4469</v>
      </c>
      <c r="J7391" s="8" t="s">
        <v>5521</v>
      </c>
      <c r="K7391" s="6" t="str">
        <f>"1.383,00"</f>
        <v>1.383,00</v>
      </c>
      <c r="L7391" s="6" t="str">
        <f>"345,75"</f>
        <v>345,75</v>
      </c>
      <c r="M7391" s="6" t="str">
        <f>"1.728,75"</f>
        <v>1.728,75</v>
      </c>
      <c r="N7391" s="8" t="s">
        <v>4319</v>
      </c>
      <c r="O7391" s="7"/>
      <c r="P7391" s="2" t="s">
        <v>9140</v>
      </c>
      <c r="Q7391" s="7"/>
      <c r="R7391" s="1"/>
      <c r="S7391" s="1" t="str">
        <f>"J-UN-2020-528"</f>
        <v>J-UN-2020-528</v>
      </c>
      <c r="T7391" s="1" t="s">
        <v>32</v>
      </c>
    </row>
    <row r="7392" spans="1:20" ht="63.75" x14ac:dyDescent="0.25">
      <c r="A7392" s="6">
        <v>7363</v>
      </c>
      <c r="B7392" s="1" t="str">
        <f>"2020-1420"</f>
        <v>2020-1420</v>
      </c>
      <c r="C7392" s="1" t="s">
        <v>2702</v>
      </c>
      <c r="D7392" s="1" t="s">
        <v>1209</v>
      </c>
      <c r="E7392" s="1" t="str">
        <f>""</f>
        <v/>
      </c>
      <c r="F7392" s="1" t="s">
        <v>1860</v>
      </c>
      <c r="G7392" s="1" t="str">
        <f>CONCATENATE(" DRÄGER SAFETY D.O.O.,"," AVENIJA VEĆESLAVA HOLJEVCA 40,"," 10010 ZAGREB,"," OIB: 32874587842")</f>
        <v xml:space="preserve"> DRÄGER SAFETY D.O.O., AVENIJA VEĆESLAVA HOLJEVCA 40, 10010 ZAGREB, OIB: 32874587842</v>
      </c>
      <c r="H7392" s="7"/>
      <c r="I7392" s="8" t="s">
        <v>4203</v>
      </c>
      <c r="J7392" s="8" t="s">
        <v>4469</v>
      </c>
      <c r="K7392" s="6" t="str">
        <f>"1.570,00"</f>
        <v>1.570,00</v>
      </c>
      <c r="L7392" s="6" t="str">
        <f>"392,50"</f>
        <v>392,50</v>
      </c>
      <c r="M7392" s="6" t="str">
        <f>"1.962,50"</f>
        <v>1.962,50</v>
      </c>
      <c r="N7392" s="8" t="s">
        <v>124</v>
      </c>
      <c r="O7392" s="7"/>
      <c r="P7392" s="2" t="s">
        <v>5614</v>
      </c>
      <c r="Q7392" s="7"/>
      <c r="R7392" s="1"/>
      <c r="S7392" s="1" t="str">
        <f>"J-UN-2020-536"</f>
        <v>J-UN-2020-536</v>
      </c>
      <c r="T7392" s="1" t="s">
        <v>32</v>
      </c>
    </row>
    <row r="7393" spans="1:20" ht="89.25" x14ac:dyDescent="0.25">
      <c r="A7393" s="6">
        <v>7364</v>
      </c>
      <c r="B7393" s="1" t="str">
        <f>"2020-1100"</f>
        <v>2020-1100</v>
      </c>
      <c r="C7393" s="1" t="s">
        <v>5287</v>
      </c>
      <c r="D7393" s="1" t="s">
        <v>5288</v>
      </c>
      <c r="E7393" s="1" t="str">
        <f>""</f>
        <v/>
      </c>
      <c r="F7393" s="1" t="s">
        <v>1860</v>
      </c>
      <c r="G7393" s="1" t="str">
        <f>CONCATENATE(" RASADNIK UKRASNOG BILJA ĐURO JOVANOVAC VL.SINIŠA JOVANOVAC,"," MATIJE GUPCA 33,"," 32273 GRADIŠTE,"," OIB: 63533508033")</f>
        <v xml:space="preserve"> RASADNIK UKRASNOG BILJA ĐURO JOVANOVAC VL.SINIŠA JOVANOVAC, MATIJE GUPCA 33, 32273 GRADIŠTE, OIB: 63533508033</v>
      </c>
      <c r="H7393" s="7"/>
      <c r="I7393" s="8" t="s">
        <v>5125</v>
      </c>
      <c r="J7393" s="8" t="s">
        <v>5522</v>
      </c>
      <c r="K7393" s="6" t="str">
        <f>"59.850,00"</f>
        <v>59.850,00</v>
      </c>
      <c r="L7393" s="6" t="str">
        <f>"14.962,50"</f>
        <v>14.962,50</v>
      </c>
      <c r="M7393" s="6" t="str">
        <f>"74.812,50"</f>
        <v>74.812,50</v>
      </c>
      <c r="N7393" s="8" t="s">
        <v>124</v>
      </c>
      <c r="O7393" s="7"/>
      <c r="P7393" s="2" t="s">
        <v>5614</v>
      </c>
      <c r="Q7393" s="7"/>
      <c r="R7393" s="1"/>
      <c r="S7393" s="1" t="str">
        <f>"J-UN-2020-547"</f>
        <v>J-UN-2020-547</v>
      </c>
      <c r="T7393" s="1" t="s">
        <v>32</v>
      </c>
    </row>
    <row r="7394" spans="1:20" ht="51" x14ac:dyDescent="0.25">
      <c r="A7394" s="6">
        <v>7365</v>
      </c>
      <c r="B7394" s="1" t="str">
        <f>"2020-2842"</f>
        <v>2020-2842</v>
      </c>
      <c r="C7394" s="1" t="s">
        <v>5523</v>
      </c>
      <c r="D7394" s="1" t="s">
        <v>2168</v>
      </c>
      <c r="E7394" s="1" t="str">
        <f>""</f>
        <v/>
      </c>
      <c r="F7394" s="1" t="s">
        <v>1860</v>
      </c>
      <c r="G7394" s="1" t="str">
        <f>CONCATENATE(" PRIGORAC-GRAĐENJE d.o.o.,"," JELKOVEČKA 4,"," 10360 SESVETE,"," OIB: 53456405017")</f>
        <v xml:space="preserve"> PRIGORAC-GRAĐENJE d.o.o., JELKOVEČKA 4, 10360 SESVETE, OIB: 53456405017</v>
      </c>
      <c r="H7394" s="7"/>
      <c r="I7394" s="8" t="s">
        <v>5519</v>
      </c>
      <c r="J7394" s="8" t="s">
        <v>4421</v>
      </c>
      <c r="K7394" s="6" t="str">
        <f>"497.484,22"</f>
        <v>497.484,22</v>
      </c>
      <c r="L7394" s="6" t="str">
        <f>"124.371,06"</f>
        <v>124.371,06</v>
      </c>
      <c r="M7394" s="6" t="str">
        <f>"621.855,28"</f>
        <v>621.855,28</v>
      </c>
      <c r="N7394" s="8" t="s">
        <v>4339</v>
      </c>
      <c r="O7394" s="7"/>
      <c r="P7394" s="2" t="s">
        <v>9141</v>
      </c>
      <c r="Q7394" s="1"/>
      <c r="R7394" s="1"/>
      <c r="S7394" s="1" t="str">
        <f>"J-UN-2020-562"</f>
        <v>J-UN-2020-562</v>
      </c>
      <c r="T7394" s="1" t="s">
        <v>32</v>
      </c>
    </row>
    <row r="7395" spans="1:20" ht="63.75" x14ac:dyDescent="0.25">
      <c r="A7395" s="6">
        <v>7366</v>
      </c>
      <c r="B7395" s="1" t="str">
        <f>"2020-2804"</f>
        <v>2020-2804</v>
      </c>
      <c r="C7395" s="1" t="s">
        <v>5501</v>
      </c>
      <c r="D7395" s="1" t="s">
        <v>5502</v>
      </c>
      <c r="E7395" s="1" t="str">
        <f>""</f>
        <v/>
      </c>
      <c r="F7395" s="1" t="s">
        <v>1860</v>
      </c>
      <c r="G7395" s="1" t="str">
        <f>CONCATENATE(" GRADSKA LJEKARNA ZAGREB,"," KRALJA DRŽISLAVA 6,"," 10000 ZAGREB,"," OIB: 37268254106")</f>
        <v xml:space="preserve"> GRADSKA LJEKARNA ZAGREB, KRALJA DRŽISLAVA 6, 10000 ZAGREB, OIB: 37268254106</v>
      </c>
      <c r="H7395" s="7"/>
      <c r="I7395" s="8" t="s">
        <v>816</v>
      </c>
      <c r="J7395" s="8" t="s">
        <v>5519</v>
      </c>
      <c r="K7395" s="6" t="str">
        <f>"18.120,00"</f>
        <v>18.120,00</v>
      </c>
      <c r="L7395" s="6" t="str">
        <f>"4.530,00"</f>
        <v>4.530,00</v>
      </c>
      <c r="M7395" s="6" t="str">
        <f>"22.650,00"</f>
        <v>22.650,00</v>
      </c>
      <c r="N7395" s="8" t="s">
        <v>124</v>
      </c>
      <c r="O7395" s="7"/>
      <c r="P7395" s="2" t="s">
        <v>5614</v>
      </c>
      <c r="Q7395" s="7"/>
      <c r="R7395" s="1"/>
      <c r="S7395" s="1" t="str">
        <f>"J-UN-2020-587"</f>
        <v>J-UN-2020-587</v>
      </c>
      <c r="T7395" s="1" t="s">
        <v>32</v>
      </c>
    </row>
    <row r="7396" spans="1:20" ht="51" x14ac:dyDescent="0.25">
      <c r="A7396" s="6">
        <v>7367</v>
      </c>
      <c r="B7396" s="1" t="str">
        <f>"2020-1750"</f>
        <v>2020-1750</v>
      </c>
      <c r="C7396" s="1" t="s">
        <v>2675</v>
      </c>
      <c r="D7396" s="1" t="s">
        <v>2676</v>
      </c>
      <c r="E7396" s="1" t="str">
        <f>""</f>
        <v/>
      </c>
      <c r="F7396" s="1" t="s">
        <v>1860</v>
      </c>
      <c r="G7396" s="1" t="str">
        <f>CONCATENATE(" AUTOBUS D.O.O.,"," I. RESNIK 178,"," 10040 ZAGREB,"," OIB: 77383886713")</f>
        <v xml:space="preserve"> AUTOBUS D.O.O., I. RESNIK 178, 10040 ZAGREB, OIB: 77383886713</v>
      </c>
      <c r="H7396" s="7"/>
      <c r="I7396" s="8" t="s">
        <v>5125</v>
      </c>
      <c r="J7396" s="8" t="s">
        <v>5522</v>
      </c>
      <c r="K7396" s="6" t="str">
        <f>"3.423,55"</f>
        <v>3.423,55</v>
      </c>
      <c r="L7396" s="6" t="str">
        <f>"855,89"</f>
        <v>855,89</v>
      </c>
      <c r="M7396" s="6" t="str">
        <f>"4.279,44"</f>
        <v>4.279,44</v>
      </c>
      <c r="N7396" s="8" t="s">
        <v>124</v>
      </c>
      <c r="O7396" s="7"/>
      <c r="P7396" s="2" t="s">
        <v>5614</v>
      </c>
      <c r="Q7396" s="7"/>
      <c r="R7396" s="1"/>
      <c r="S7396" s="1" t="str">
        <f>"J-UN-2020-605"</f>
        <v>J-UN-2020-605</v>
      </c>
      <c r="T7396" s="1" t="s">
        <v>32</v>
      </c>
    </row>
    <row r="7397" spans="1:20" ht="63.75" x14ac:dyDescent="0.25">
      <c r="A7397" s="6">
        <v>7368</v>
      </c>
      <c r="B7397" s="1" t="str">
        <f>"2020-2346"</f>
        <v>2020-2346</v>
      </c>
      <c r="C7397" s="1" t="s">
        <v>3130</v>
      </c>
      <c r="D7397" s="1" t="s">
        <v>2631</v>
      </c>
      <c r="E7397" s="1" t="str">
        <f>""</f>
        <v/>
      </c>
      <c r="F7397" s="1" t="s">
        <v>1860</v>
      </c>
      <c r="G7397" s="1" t="str">
        <f>CONCATENATE(" NACIONAL NEWS CORPORATION D.O.O.,"," MAKSIMIRSKA 120,"," 10000 ZAGREB,"," OIB: 76663423558")</f>
        <v xml:space="preserve"> NACIONAL NEWS CORPORATION D.O.O., MAKSIMIRSKA 120, 10000 ZAGREB, OIB: 76663423558</v>
      </c>
      <c r="H7397" s="7"/>
      <c r="I7397" s="8" t="s">
        <v>4421</v>
      </c>
      <c r="J7397" s="8" t="s">
        <v>5125</v>
      </c>
      <c r="K7397" s="6" t="str">
        <f>"15.000,00"</f>
        <v>15.000,00</v>
      </c>
      <c r="L7397" s="6" t="str">
        <f>"3.750,00"</f>
        <v>3.750,00</v>
      </c>
      <c r="M7397" s="6" t="str">
        <f>"18.750,00"</f>
        <v>18.750,00</v>
      </c>
      <c r="N7397" s="8" t="s">
        <v>124</v>
      </c>
      <c r="O7397" s="7"/>
      <c r="P7397" s="2" t="s">
        <v>5614</v>
      </c>
      <c r="Q7397" s="7"/>
      <c r="R7397" s="1"/>
      <c r="S7397" s="1" t="str">
        <f>"J-UN-2020-614"</f>
        <v>J-UN-2020-614</v>
      </c>
      <c r="T7397" s="1" t="s">
        <v>32</v>
      </c>
    </row>
    <row r="7398" spans="1:20" ht="63.75" x14ac:dyDescent="0.25">
      <c r="A7398" s="6">
        <v>7369</v>
      </c>
      <c r="B7398" s="1" t="str">
        <f>"2020-2803"</f>
        <v>2020-2803</v>
      </c>
      <c r="C7398" s="1" t="s">
        <v>5517</v>
      </c>
      <c r="D7398" s="1" t="s">
        <v>5502</v>
      </c>
      <c r="E7398" s="1" t="str">
        <f>""</f>
        <v/>
      </c>
      <c r="F7398" s="1" t="s">
        <v>1860</v>
      </c>
      <c r="G7398" s="1" t="str">
        <f>CONCATENATE(" GRADSKA LJEKARNA ZAGREB,"," KRALJA DRŽISLAVA 6,"," 10000 ZAGREB,"," OIB: 37268254106")</f>
        <v xml:space="preserve"> GRADSKA LJEKARNA ZAGREB, KRALJA DRŽISLAVA 6, 10000 ZAGREB, OIB: 37268254106</v>
      </c>
      <c r="H7398" s="7"/>
      <c r="I7398" s="8" t="s">
        <v>4421</v>
      </c>
      <c r="J7398" s="8" t="s">
        <v>5125</v>
      </c>
      <c r="K7398" s="6" t="str">
        <f>"55.058,40"</f>
        <v>55.058,40</v>
      </c>
      <c r="L7398" s="6" t="str">
        <f>"13.764,60"</f>
        <v>13.764,60</v>
      </c>
      <c r="M7398" s="6" t="str">
        <f>"68.823,00"</f>
        <v>68.823,00</v>
      </c>
      <c r="N7398" s="8" t="s">
        <v>124</v>
      </c>
      <c r="O7398" s="7"/>
      <c r="P7398" s="2" t="s">
        <v>5614</v>
      </c>
      <c r="Q7398" s="7"/>
      <c r="R7398" s="1"/>
      <c r="S7398" s="1" t="str">
        <f>"J-UN-2020-619"</f>
        <v>J-UN-2020-619</v>
      </c>
      <c r="T7398" s="1" t="s">
        <v>32</v>
      </c>
    </row>
    <row r="7399" spans="1:20" ht="51" x14ac:dyDescent="0.25">
      <c r="A7399" s="6">
        <v>7370</v>
      </c>
      <c r="B7399" s="1" t="str">
        <f>"2020-2846"</f>
        <v>2020-2846</v>
      </c>
      <c r="C7399" s="1" t="s">
        <v>5514</v>
      </c>
      <c r="D7399" s="1" t="s">
        <v>1304</v>
      </c>
      <c r="E7399" s="1" t="str">
        <f>""</f>
        <v/>
      </c>
      <c r="F7399" s="1" t="s">
        <v>1860</v>
      </c>
      <c r="G7399" s="1" t="str">
        <f>CONCATENATE(" PALACE D.O.O.,"," PLANINSKA 13A,"," 10000 ZAGREB,"," OIB: 71999757503")</f>
        <v xml:space="preserve"> PALACE D.O.O., PLANINSKA 13A, 10000 ZAGREB, OIB: 71999757503</v>
      </c>
      <c r="H7399" s="7"/>
      <c r="I7399" s="8" t="s">
        <v>4421</v>
      </c>
      <c r="J7399" s="8" t="s">
        <v>5125</v>
      </c>
      <c r="K7399" s="6" t="str">
        <f>"21.104,00"</f>
        <v>21.104,00</v>
      </c>
      <c r="L7399" s="6" t="str">
        <f>"5.276,00"</f>
        <v>5.276,00</v>
      </c>
      <c r="M7399" s="6" t="str">
        <f>"26.380,00"</f>
        <v>26.380,00</v>
      </c>
      <c r="N7399" s="8" t="s">
        <v>124</v>
      </c>
      <c r="O7399" s="7"/>
      <c r="P7399" s="2" t="s">
        <v>5614</v>
      </c>
      <c r="Q7399" s="7"/>
      <c r="R7399" s="1"/>
      <c r="S7399" s="1" t="str">
        <f>"J-UN-2020-643"</f>
        <v>J-UN-2020-643</v>
      </c>
      <c r="T7399" s="1" t="s">
        <v>32</v>
      </c>
    </row>
    <row r="7400" spans="1:20" ht="51" x14ac:dyDescent="0.25">
      <c r="A7400" s="6">
        <v>7371</v>
      </c>
      <c r="B7400" s="1" t="str">
        <f>"2020-2191"</f>
        <v>2020-2191</v>
      </c>
      <c r="C7400" s="1" t="s">
        <v>2795</v>
      </c>
      <c r="D7400" s="1" t="s">
        <v>1619</v>
      </c>
      <c r="E7400" s="1" t="str">
        <f>""</f>
        <v/>
      </c>
      <c r="F7400" s="1" t="s">
        <v>1860</v>
      </c>
      <c r="G7400" s="1" t="str">
        <f>CONCATENATE(" D.R. AUTO D.O.O.,"," SELSKA CESTA 34,"," 10000 ZAGREB,"," OIB: 07523847158")</f>
        <v xml:space="preserve"> D.R. AUTO D.O.O., SELSKA CESTA 34, 10000 ZAGREB, OIB: 07523847158</v>
      </c>
      <c r="H7400" s="7"/>
      <c r="I7400" s="8" t="s">
        <v>5522</v>
      </c>
      <c r="J7400" s="8" t="s">
        <v>4234</v>
      </c>
      <c r="K7400" s="6" t="str">
        <f>"5.720,00"</f>
        <v>5.720,00</v>
      </c>
      <c r="L7400" s="6" t="str">
        <f>"1.430,00"</f>
        <v>1.430,00</v>
      </c>
      <c r="M7400" s="6" t="str">
        <f>"7.150,00"</f>
        <v>7.150,00</v>
      </c>
      <c r="N7400" s="8" t="s">
        <v>124</v>
      </c>
      <c r="O7400" s="7"/>
      <c r="P7400" s="2" t="s">
        <v>5614</v>
      </c>
      <c r="Q7400" s="7"/>
      <c r="R7400" s="1"/>
      <c r="S7400" s="1" t="str">
        <f>"J-UN-2020-673"</f>
        <v>J-UN-2020-673</v>
      </c>
      <c r="T7400" s="1" t="s">
        <v>32</v>
      </c>
    </row>
    <row r="7401" spans="1:20" ht="51" x14ac:dyDescent="0.25">
      <c r="A7401" s="6">
        <v>7372</v>
      </c>
      <c r="B7401" s="1" t="str">
        <f>"2020-1783"</f>
        <v>2020-1783</v>
      </c>
      <c r="C7401" s="1" t="s">
        <v>2793</v>
      </c>
      <c r="D7401" s="1" t="s">
        <v>1619</v>
      </c>
      <c r="E7401" s="1" t="str">
        <f>""</f>
        <v/>
      </c>
      <c r="F7401" s="1" t="s">
        <v>1860</v>
      </c>
      <c r="G7401" s="1" t="str">
        <f>CONCATENATE(" D.R. AUTO D.O.O.,"," SELSKA CESTA 34,"," 10000 ZAGREB,"," OIB: 07523847158")</f>
        <v xml:space="preserve"> D.R. AUTO D.O.O., SELSKA CESTA 34, 10000 ZAGREB, OIB: 07523847158</v>
      </c>
      <c r="H7401" s="7"/>
      <c r="I7401" s="8" t="s">
        <v>5522</v>
      </c>
      <c r="J7401" s="8" t="s">
        <v>4234</v>
      </c>
      <c r="K7401" s="6" t="str">
        <f>"4.512,00"</f>
        <v>4.512,00</v>
      </c>
      <c r="L7401" s="6" t="str">
        <f>"1.128,00"</f>
        <v>1.128,00</v>
      </c>
      <c r="M7401" s="6" t="str">
        <f>"5.640,00"</f>
        <v>5.640,00</v>
      </c>
      <c r="N7401" s="8" t="s">
        <v>124</v>
      </c>
      <c r="O7401" s="7"/>
      <c r="P7401" s="2" t="s">
        <v>5614</v>
      </c>
      <c r="Q7401" s="7"/>
      <c r="R7401" s="1"/>
      <c r="S7401" s="1" t="str">
        <f>"J-UN-2020-675"</f>
        <v>J-UN-2020-675</v>
      </c>
      <c r="T7401" s="1" t="s">
        <v>32</v>
      </c>
    </row>
    <row r="7402" spans="1:20" ht="63.75" x14ac:dyDescent="0.25">
      <c r="A7402" s="6">
        <v>7373</v>
      </c>
      <c r="B7402" s="1" t="str">
        <f>"2020-756"</f>
        <v>2020-756</v>
      </c>
      <c r="C7402" s="1" t="s">
        <v>4671</v>
      </c>
      <c r="D7402" s="1" t="s">
        <v>2280</v>
      </c>
      <c r="E7402" s="1" t="str">
        <f>""</f>
        <v/>
      </c>
      <c r="F7402" s="1" t="s">
        <v>1860</v>
      </c>
      <c r="G7402" s="1" t="str">
        <f>CONCATENATE(" PISMORAD D.O.O.,"," INDUSTRIJSKA 5,"," 10431 SVETA NEDELJA-NOVAKI,"," OIB: 33260306505")</f>
        <v xml:space="preserve"> PISMORAD D.O.O., INDUSTRIJSKA 5, 10431 SVETA NEDELJA-NOVAKI, OIB: 33260306505</v>
      </c>
      <c r="H7402" s="7"/>
      <c r="I7402" s="8" t="s">
        <v>834</v>
      </c>
      <c r="J7402" s="8" t="s">
        <v>5524</v>
      </c>
      <c r="K7402" s="6" t="str">
        <f>"340.750,00"</f>
        <v>340.750,00</v>
      </c>
      <c r="L7402" s="6" t="str">
        <f>"85.187,50"</f>
        <v>85.187,50</v>
      </c>
      <c r="M7402" s="6" t="str">
        <f>"425.937,50"</f>
        <v>425.937,50</v>
      </c>
      <c r="N7402" s="8" t="s">
        <v>4935</v>
      </c>
      <c r="O7402" s="7"/>
      <c r="P7402" s="2" t="s">
        <v>9142</v>
      </c>
      <c r="Q7402" s="7"/>
      <c r="R7402" s="1"/>
      <c r="S7402" s="1" t="str">
        <f>"J-UN-2020-676"</f>
        <v>J-UN-2020-676</v>
      </c>
      <c r="T7402" s="1" t="s">
        <v>32</v>
      </c>
    </row>
    <row r="7403" spans="1:20" ht="51" x14ac:dyDescent="0.25">
      <c r="A7403" s="6">
        <v>7374</v>
      </c>
      <c r="B7403" s="1" t="str">
        <f>"2020-1648"</f>
        <v>2020-1648</v>
      </c>
      <c r="C7403" s="1" t="s">
        <v>5004</v>
      </c>
      <c r="D7403" s="1" t="s">
        <v>2549</v>
      </c>
      <c r="E7403" s="1" t="str">
        <f>""</f>
        <v/>
      </c>
      <c r="F7403" s="1" t="s">
        <v>1860</v>
      </c>
      <c r="G7403" s="1" t="str">
        <f>CONCATENATE(" TEHNIČAR-COPYSERVIS D.O.O.,"," KRANJČEVIĆEVA 25,"," 10000 ZAGREB,"," OIB: 5139094509")</f>
        <v xml:space="preserve"> TEHNIČAR-COPYSERVIS D.O.O., KRANJČEVIĆEVA 25, 10000 ZAGREB, OIB: 5139094509</v>
      </c>
      <c r="H7403" s="7"/>
      <c r="I7403" s="8" t="s">
        <v>4234</v>
      </c>
      <c r="J7403" s="8" t="s">
        <v>5421</v>
      </c>
      <c r="K7403" s="6" t="str">
        <f>"7.933,70"</f>
        <v>7.933,70</v>
      </c>
      <c r="L7403" s="6" t="str">
        <f>"1.983,42"</f>
        <v>1.983,42</v>
      </c>
      <c r="M7403" s="6" t="str">
        <f>"9.917,12"</f>
        <v>9.917,12</v>
      </c>
      <c r="N7403" s="8" t="s">
        <v>1459</v>
      </c>
      <c r="O7403" s="7"/>
      <c r="P7403" s="2" t="s">
        <v>9143</v>
      </c>
      <c r="Q7403" s="7"/>
      <c r="R7403" s="1"/>
      <c r="S7403" s="1" t="str">
        <f>"J-UN-2020-722"</f>
        <v>J-UN-2020-722</v>
      </c>
      <c r="T7403" s="1" t="s">
        <v>32</v>
      </c>
    </row>
    <row r="7404" spans="1:20" ht="51" x14ac:dyDescent="0.25">
      <c r="A7404" s="6">
        <v>7375</v>
      </c>
      <c r="B7404" s="1" t="str">
        <f>"2020-721"</f>
        <v>2020-721</v>
      </c>
      <c r="C7404" s="1" t="s">
        <v>2761</v>
      </c>
      <c r="D7404" s="1" t="s">
        <v>2762</v>
      </c>
      <c r="E7404" s="1" t="str">
        <f>""</f>
        <v/>
      </c>
      <c r="F7404" s="1" t="s">
        <v>1860</v>
      </c>
      <c r="G7404" s="1" t="str">
        <f>CONCATENATE(" ADRIALIFT D.O.O.,"," BRAĆE BAĆIĆA 36,"," 51000 RIJEKA,"," OIB: 36856415212")</f>
        <v xml:space="preserve"> ADRIALIFT D.O.O., BRAĆE BAĆIĆA 36, 51000 RIJEKA, OIB: 36856415212</v>
      </c>
      <c r="H7404" s="7"/>
      <c r="I7404" s="8" t="s">
        <v>834</v>
      </c>
      <c r="J7404" s="8" t="s">
        <v>5524</v>
      </c>
      <c r="K7404" s="6" t="str">
        <f>"1.250,00"</f>
        <v>1.250,00</v>
      </c>
      <c r="L7404" s="6" t="str">
        <f>"312,50"</f>
        <v>312,50</v>
      </c>
      <c r="M7404" s="6" t="str">
        <f>"1.562,50"</f>
        <v>1.562,50</v>
      </c>
      <c r="N7404" s="8" t="s">
        <v>4339</v>
      </c>
      <c r="O7404" s="7"/>
      <c r="P7404" s="2" t="s">
        <v>6841</v>
      </c>
      <c r="Q7404" s="7"/>
      <c r="R7404" s="1"/>
      <c r="S7404" s="1" t="str">
        <f>"J-UN-2020-736"</f>
        <v>J-UN-2020-736</v>
      </c>
      <c r="T7404" s="1" t="s">
        <v>32</v>
      </c>
    </row>
    <row r="7405" spans="1:20" ht="51" x14ac:dyDescent="0.25">
      <c r="A7405" s="6">
        <v>7376</v>
      </c>
      <c r="B7405" s="1" t="str">
        <f>"2020-851"</f>
        <v>2020-851</v>
      </c>
      <c r="C7405" s="1" t="s">
        <v>5525</v>
      </c>
      <c r="D7405" s="1" t="s">
        <v>483</v>
      </c>
      <c r="E7405" s="1" t="str">
        <f>""</f>
        <v/>
      </c>
      <c r="F7405" s="1" t="s">
        <v>1860</v>
      </c>
      <c r="G7405" s="1" t="str">
        <f>CONCATENATE(" ELEKTRO IMBER D.O.O.,"," NOVA CESTA 184,"," 10000 ZAGREB,"," OIB: 41188361058")</f>
        <v xml:space="preserve"> ELEKTRO IMBER D.O.O., NOVA CESTA 184, 10000 ZAGREB, OIB: 41188361058</v>
      </c>
      <c r="H7405" s="7"/>
      <c r="I7405" s="8" t="s">
        <v>4927</v>
      </c>
      <c r="J7405" s="8" t="s">
        <v>4394</v>
      </c>
      <c r="K7405" s="6" t="str">
        <f>"326.747,60"</f>
        <v>326.747,60</v>
      </c>
      <c r="L7405" s="6" t="str">
        <f>"81.686,90"</f>
        <v>81.686,90</v>
      </c>
      <c r="M7405" s="6" t="str">
        <f>"408.434,50"</f>
        <v>408.434,50</v>
      </c>
      <c r="N7405" s="8" t="s">
        <v>4594</v>
      </c>
      <c r="O7405" s="7"/>
      <c r="P7405" s="2" t="s">
        <v>9144</v>
      </c>
      <c r="Q7405" s="7"/>
      <c r="R7405" s="1"/>
      <c r="S7405" s="1" t="str">
        <f>"J-UN-2020-741"</f>
        <v>J-UN-2020-741</v>
      </c>
      <c r="T7405" s="1" t="s">
        <v>32</v>
      </c>
    </row>
    <row r="7406" spans="1:20" ht="51" x14ac:dyDescent="0.25">
      <c r="A7406" s="6">
        <v>7377</v>
      </c>
      <c r="B7406" s="1" t="str">
        <f>"2020-692"</f>
        <v>2020-692</v>
      </c>
      <c r="C7406" s="1" t="s">
        <v>2779</v>
      </c>
      <c r="D7406" s="1" t="s">
        <v>2780</v>
      </c>
      <c r="E7406" s="1" t="str">
        <f>""</f>
        <v/>
      </c>
      <c r="F7406" s="1" t="s">
        <v>1860</v>
      </c>
      <c r="G7406" s="1" t="str">
        <f>CONCATENATE(" LEXPERA D.O.O.,"," TUŠKANOVA 37,"," 10000 ZAGREB,"," OIB: 79506290597")</f>
        <v xml:space="preserve"> LEXPERA D.O.O., TUŠKANOVA 37, 10000 ZAGREB, OIB: 79506290597</v>
      </c>
      <c r="H7406" s="7"/>
      <c r="I7406" s="8" t="s">
        <v>5421</v>
      </c>
      <c r="J7406" s="8" t="s">
        <v>4257</v>
      </c>
      <c r="K7406" s="6" t="str">
        <f>"13.950,00"</f>
        <v>13.950,00</v>
      </c>
      <c r="L7406" s="6" t="str">
        <f>"3.487,50"</f>
        <v>3.487,50</v>
      </c>
      <c r="M7406" s="6" t="str">
        <f>"17.437,50"</f>
        <v>17.437,50</v>
      </c>
      <c r="N7406" s="8" t="s">
        <v>124</v>
      </c>
      <c r="O7406" s="7"/>
      <c r="P7406" s="2" t="s">
        <v>5614</v>
      </c>
      <c r="Q7406" s="7"/>
      <c r="R7406" s="1"/>
      <c r="S7406" s="1" t="str">
        <f>"J-UN-2020-742"</f>
        <v>J-UN-2020-742</v>
      </c>
      <c r="T7406" s="1" t="s">
        <v>32</v>
      </c>
    </row>
    <row r="7407" spans="1:20" ht="51" x14ac:dyDescent="0.25">
      <c r="A7407" s="6">
        <v>7378</v>
      </c>
      <c r="B7407" s="1" t="str">
        <f>"2020-2862"</f>
        <v>2020-2862</v>
      </c>
      <c r="C7407" s="1" t="s">
        <v>5526</v>
      </c>
      <c r="D7407" s="1" t="s">
        <v>914</v>
      </c>
      <c r="E7407" s="1" t="str">
        <f>""</f>
        <v/>
      </c>
      <c r="F7407" s="1" t="s">
        <v>1860</v>
      </c>
      <c r="G7407" s="1" t="str">
        <f>CONCATENATE(" AUTOMEHANIKA D.D.,"," KOVINSKA 4,"," 10000 ZAGREB,"," OIB: 5223317126")</f>
        <v xml:space="preserve"> AUTOMEHANIKA D.D., KOVINSKA 4, 10000 ZAGREB, OIB: 5223317126</v>
      </c>
      <c r="H7407" s="7"/>
      <c r="I7407" s="8" t="s">
        <v>4397</v>
      </c>
      <c r="J7407" s="8" t="s">
        <v>4391</v>
      </c>
      <c r="K7407" s="6" t="str">
        <f>"49.889,29"</f>
        <v>49.889,29</v>
      </c>
      <c r="L7407" s="6" t="str">
        <f>"12.472,32"</f>
        <v>12.472,32</v>
      </c>
      <c r="M7407" s="6" t="str">
        <f>"62.361,61"</f>
        <v>62.361,61</v>
      </c>
      <c r="N7407" s="8" t="s">
        <v>4274</v>
      </c>
      <c r="O7407" s="7"/>
      <c r="P7407" s="2" t="s">
        <v>9145</v>
      </c>
      <c r="Q7407" s="7"/>
      <c r="R7407" s="1"/>
      <c r="S7407" s="1" t="str">
        <f>"J-UN-2020-792"</f>
        <v>J-UN-2020-792</v>
      </c>
      <c r="T7407" s="1" t="s">
        <v>32</v>
      </c>
    </row>
    <row r="7408" spans="1:20" ht="102" x14ac:dyDescent="0.25">
      <c r="A7408" s="6">
        <v>7379</v>
      </c>
      <c r="B7408" s="1" t="str">
        <f>"2020-1861"</f>
        <v>2020-1861</v>
      </c>
      <c r="C7408" s="1" t="s">
        <v>5497</v>
      </c>
      <c r="D7408" s="1" t="s">
        <v>5426</v>
      </c>
      <c r="E7408" s="1" t="str">
        <f>""</f>
        <v/>
      </c>
      <c r="F7408" s="1" t="s">
        <v>1860</v>
      </c>
      <c r="G7408" s="1" t="str">
        <f>CONCATENATE(" TEHNIČAR-COPYSERVIS D.O.O.,"," KRANJČEVIĆEVA 25,"," 10000 ZAGREB,"," OIB: 5139094509")</f>
        <v xml:space="preserve"> TEHNIČAR-COPYSERVIS D.O.O., KRANJČEVIĆEVA 25, 10000 ZAGREB, OIB: 5139094509</v>
      </c>
      <c r="H7408" s="7"/>
      <c r="I7408" s="8" t="s">
        <v>4391</v>
      </c>
      <c r="J7408" s="8" t="s">
        <v>4260</v>
      </c>
      <c r="K7408" s="6" t="str">
        <f>"5.012,43"</f>
        <v>5.012,43</v>
      </c>
      <c r="L7408" s="6" t="str">
        <f>"1.253,11"</f>
        <v>1.253,11</v>
      </c>
      <c r="M7408" s="6" t="str">
        <f>"6.265,54"</f>
        <v>6.265,54</v>
      </c>
      <c r="N7408" s="8" t="s">
        <v>807</v>
      </c>
      <c r="O7408" s="7"/>
      <c r="P7408" s="2" t="s">
        <v>9146</v>
      </c>
      <c r="Q7408" s="7"/>
      <c r="R7408" s="1"/>
      <c r="S7408" s="1" t="str">
        <f>"J-UN-2020-819"</f>
        <v>J-UN-2020-819</v>
      </c>
      <c r="T7408" s="1" t="s">
        <v>32</v>
      </c>
    </row>
    <row r="7409" spans="1:20" ht="51" x14ac:dyDescent="0.25">
      <c r="A7409" s="6">
        <v>7380</v>
      </c>
      <c r="B7409" s="1" t="str">
        <f>"2020-812"</f>
        <v>2020-812</v>
      </c>
      <c r="C7409" s="1" t="s">
        <v>5527</v>
      </c>
      <c r="D7409" s="1" t="s">
        <v>1833</v>
      </c>
      <c r="E7409" s="1" t="str">
        <f>""</f>
        <v/>
      </c>
      <c r="F7409" s="1" t="s">
        <v>1860</v>
      </c>
      <c r="G7409" s="1" t="str">
        <f>CONCATENATE(" D.R. AUTO D.O.O.,"," SELSKA CESTA 34,"," 10000 ZAGREB,"," OIB: 07523847158")</f>
        <v xml:space="preserve"> D.R. AUTO D.O.O., SELSKA CESTA 34, 10000 ZAGREB, OIB: 07523847158</v>
      </c>
      <c r="H7409" s="7"/>
      <c r="I7409" s="8" t="s">
        <v>846</v>
      </c>
      <c r="J7409" s="8" t="s">
        <v>4397</v>
      </c>
      <c r="K7409" s="6" t="str">
        <f>"5.669,60"</f>
        <v>5.669,60</v>
      </c>
      <c r="L7409" s="6" t="str">
        <f>"1.417,40"</f>
        <v>1.417,40</v>
      </c>
      <c r="M7409" s="6" t="str">
        <f>"7.087,00"</f>
        <v>7.087,00</v>
      </c>
      <c r="N7409" s="8" t="s">
        <v>124</v>
      </c>
      <c r="O7409" s="7"/>
      <c r="P7409" s="2" t="s">
        <v>5614</v>
      </c>
      <c r="Q7409" s="7"/>
      <c r="R7409" s="1"/>
      <c r="S7409" s="1" t="str">
        <f>"J-UN-2020-822"</f>
        <v>J-UN-2020-822</v>
      </c>
      <c r="T7409" s="1" t="s">
        <v>32</v>
      </c>
    </row>
    <row r="7410" spans="1:20" ht="51" x14ac:dyDescent="0.25">
      <c r="A7410" s="6">
        <v>7381</v>
      </c>
      <c r="B7410" s="1" t="str">
        <f>"2020-915"</f>
        <v>2020-915</v>
      </c>
      <c r="C7410" s="1" t="s">
        <v>2798</v>
      </c>
      <c r="D7410" s="1" t="s">
        <v>914</v>
      </c>
      <c r="E7410" s="1" t="str">
        <f>""</f>
        <v/>
      </c>
      <c r="F7410" s="1" t="s">
        <v>1860</v>
      </c>
      <c r="G7410" s="1" t="str">
        <f>CONCATENATE(" D.R. AUTO D.O.O.,"," SELSKA CESTA 34,"," 10000 ZAGREB,"," OIB: 07523847158")</f>
        <v xml:space="preserve"> D.R. AUTO D.O.O., SELSKA CESTA 34, 10000 ZAGREB, OIB: 07523847158</v>
      </c>
      <c r="H7410" s="7"/>
      <c r="I7410" s="8" t="s">
        <v>846</v>
      </c>
      <c r="J7410" s="8" t="s">
        <v>4397</v>
      </c>
      <c r="K7410" s="6" t="str">
        <f>"2.583,20"</f>
        <v>2.583,20</v>
      </c>
      <c r="L7410" s="6" t="str">
        <f>"645,80"</f>
        <v>645,80</v>
      </c>
      <c r="M7410" s="6" t="str">
        <f>"3.229,00"</f>
        <v>3.229,00</v>
      </c>
      <c r="N7410" s="8" t="s">
        <v>124</v>
      </c>
      <c r="O7410" s="7"/>
      <c r="P7410" s="2" t="s">
        <v>5614</v>
      </c>
      <c r="Q7410" s="7"/>
      <c r="R7410" s="1"/>
      <c r="S7410" s="1" t="str">
        <f>"J-UN-2020-823"</f>
        <v>J-UN-2020-823</v>
      </c>
      <c r="T7410" s="1" t="s">
        <v>32</v>
      </c>
    </row>
    <row r="7411" spans="1:20" ht="63.75" x14ac:dyDescent="0.25">
      <c r="A7411" s="6">
        <v>7382</v>
      </c>
      <c r="B7411" s="1" t="str">
        <f>"2020-2346"</f>
        <v>2020-2346</v>
      </c>
      <c r="C7411" s="1" t="s">
        <v>3130</v>
      </c>
      <c r="D7411" s="1" t="s">
        <v>2631</v>
      </c>
      <c r="E7411" s="1" t="str">
        <f>""</f>
        <v/>
      </c>
      <c r="F7411" s="1" t="s">
        <v>1860</v>
      </c>
      <c r="G7411" s="1" t="str">
        <f>CONCATENATE(" NACIONAL NEWS CORPORATION D.O.O.,"," MAKSIMIRSKA 120,"," 10000 ZAGREB,"," OIB: 76663423558")</f>
        <v xml:space="preserve"> NACIONAL NEWS CORPORATION D.O.O., MAKSIMIRSKA 120, 10000 ZAGREB, OIB: 76663423558</v>
      </c>
      <c r="H7411" s="7"/>
      <c r="I7411" s="8" t="s">
        <v>846</v>
      </c>
      <c r="J7411" s="8" t="s">
        <v>4397</v>
      </c>
      <c r="K7411" s="6" t="str">
        <f>"15.000,00"</f>
        <v>15.000,00</v>
      </c>
      <c r="L7411" s="6" t="str">
        <f>"3.750,00"</f>
        <v>3.750,00</v>
      </c>
      <c r="M7411" s="6" t="str">
        <f>"18.750,00"</f>
        <v>18.750,00</v>
      </c>
      <c r="N7411" s="8" t="s">
        <v>124</v>
      </c>
      <c r="O7411" s="7"/>
      <c r="P7411" s="2" t="s">
        <v>5614</v>
      </c>
      <c r="Q7411" s="7"/>
      <c r="R7411" s="1"/>
      <c r="S7411" s="1" t="str">
        <f>"J-UN-2020-839"</f>
        <v>J-UN-2020-839</v>
      </c>
      <c r="T7411" s="1" t="s">
        <v>32</v>
      </c>
    </row>
    <row r="7412" spans="1:20" ht="63.75" x14ac:dyDescent="0.25">
      <c r="A7412" s="6">
        <v>7383</v>
      </c>
      <c r="B7412" s="1" t="str">
        <f>"2020-2346"</f>
        <v>2020-2346</v>
      </c>
      <c r="C7412" s="1" t="s">
        <v>3130</v>
      </c>
      <c r="D7412" s="1" t="s">
        <v>2631</v>
      </c>
      <c r="E7412" s="1" t="str">
        <f>""</f>
        <v/>
      </c>
      <c r="F7412" s="1" t="s">
        <v>1860</v>
      </c>
      <c r="G7412" s="1" t="str">
        <f>CONCATENATE(" NACIONAL NEWS CORPORATION D.O.O.,"," MAKSIMIRSKA 120,"," 10000 ZAGREB,"," OIB: 76663423558")</f>
        <v xml:space="preserve"> NACIONAL NEWS CORPORATION D.O.O., MAKSIMIRSKA 120, 10000 ZAGREB, OIB: 76663423558</v>
      </c>
      <c r="H7412" s="7"/>
      <c r="I7412" s="8" t="s">
        <v>846</v>
      </c>
      <c r="J7412" s="8" t="s">
        <v>4397</v>
      </c>
      <c r="K7412" s="6" t="str">
        <f>"15.000,00"</f>
        <v>15.000,00</v>
      </c>
      <c r="L7412" s="6" t="str">
        <f>"3.750,00"</f>
        <v>3.750,00</v>
      </c>
      <c r="M7412" s="6" t="str">
        <f>"18.750,00"</f>
        <v>18.750,00</v>
      </c>
      <c r="N7412" s="8" t="s">
        <v>124</v>
      </c>
      <c r="O7412" s="7"/>
      <c r="P7412" s="2" t="s">
        <v>5614</v>
      </c>
      <c r="Q7412" s="7"/>
      <c r="R7412" s="1"/>
      <c r="S7412" s="1" t="str">
        <f>"J-UN-2020-840"</f>
        <v>J-UN-2020-840</v>
      </c>
      <c r="T7412" s="1" t="s">
        <v>32</v>
      </c>
    </row>
    <row r="7413" spans="1:20" ht="63.75" x14ac:dyDescent="0.25">
      <c r="A7413" s="6">
        <v>7384</v>
      </c>
      <c r="B7413" s="1" t="str">
        <f>"2020-2346"</f>
        <v>2020-2346</v>
      </c>
      <c r="C7413" s="1" t="s">
        <v>3130</v>
      </c>
      <c r="D7413" s="1" t="s">
        <v>2631</v>
      </c>
      <c r="E7413" s="1" t="str">
        <f>""</f>
        <v/>
      </c>
      <c r="F7413" s="1" t="s">
        <v>1860</v>
      </c>
      <c r="G7413" s="1" t="str">
        <f>CONCATENATE(" NACIONAL NEWS CORPORATION D.O.O.,"," MAKSIMIRSKA 120,"," 10000 ZAGREB,"," OIB: 76663423558")</f>
        <v xml:space="preserve"> NACIONAL NEWS CORPORATION D.O.O., MAKSIMIRSKA 120, 10000 ZAGREB, OIB: 76663423558</v>
      </c>
      <c r="H7413" s="7"/>
      <c r="I7413" s="8" t="s">
        <v>846</v>
      </c>
      <c r="J7413" s="8" t="s">
        <v>4397</v>
      </c>
      <c r="K7413" s="6" t="str">
        <f>"15.000,00"</f>
        <v>15.000,00</v>
      </c>
      <c r="L7413" s="6" t="str">
        <f>"3.750,00"</f>
        <v>3.750,00</v>
      </c>
      <c r="M7413" s="6" t="str">
        <f>"18.750,00"</f>
        <v>18.750,00</v>
      </c>
      <c r="N7413" s="8" t="s">
        <v>124</v>
      </c>
      <c r="O7413" s="7"/>
      <c r="P7413" s="2" t="s">
        <v>5614</v>
      </c>
      <c r="Q7413" s="7"/>
      <c r="R7413" s="1"/>
      <c r="S7413" s="1" t="str">
        <f>"J-UN-2020-841"</f>
        <v>J-UN-2020-841</v>
      </c>
      <c r="T7413" s="1" t="s">
        <v>32</v>
      </c>
    </row>
    <row r="7414" spans="1:20" ht="51" x14ac:dyDescent="0.25">
      <c r="A7414" s="6">
        <v>7385</v>
      </c>
      <c r="B7414" s="1" t="str">
        <f>"2020-2395"</f>
        <v>2020-2395</v>
      </c>
      <c r="C7414" s="1" t="s">
        <v>2469</v>
      </c>
      <c r="D7414" s="1" t="s">
        <v>2287</v>
      </c>
      <c r="E7414" s="1" t="str">
        <f>""</f>
        <v/>
      </c>
      <c r="F7414" s="1" t="s">
        <v>1860</v>
      </c>
      <c r="G7414" s="1" t="str">
        <f>CONCATENATE(" PROTEKTA D.O.O.,"," IVANA ŠIBLA 9,"," 10000 ZAGREB,"," OIB: 25210761537")</f>
        <v xml:space="preserve"> PROTEKTA D.O.O., IVANA ŠIBLA 9, 10000 ZAGREB, OIB: 25210761537</v>
      </c>
      <c r="H7414" s="7"/>
      <c r="I7414" s="8" t="s">
        <v>846</v>
      </c>
      <c r="J7414" s="8" t="s">
        <v>4397</v>
      </c>
      <c r="K7414" s="6" t="str">
        <f>"280,00"</f>
        <v>280,00</v>
      </c>
      <c r="L7414" s="6" t="str">
        <f>"70,00"</f>
        <v>70,00</v>
      </c>
      <c r="M7414" s="6" t="str">
        <f>"350,00"</f>
        <v>350,00</v>
      </c>
      <c r="N7414" s="8" t="s">
        <v>124</v>
      </c>
      <c r="O7414" s="7"/>
      <c r="P7414" s="2" t="s">
        <v>5614</v>
      </c>
      <c r="Q7414" s="7"/>
      <c r="R7414" s="1"/>
      <c r="S7414" s="1" t="str">
        <f>"J-UN-2020-842"</f>
        <v>J-UN-2020-842</v>
      </c>
      <c r="T7414" s="1" t="s">
        <v>32</v>
      </c>
    </row>
    <row r="7415" spans="1:20" ht="51" x14ac:dyDescent="0.25">
      <c r="A7415" s="6">
        <v>7386</v>
      </c>
      <c r="B7415" s="1" t="str">
        <f>"2020-978"</f>
        <v>2020-978</v>
      </c>
      <c r="C7415" s="1" t="s">
        <v>2641</v>
      </c>
      <c r="D7415" s="1" t="s">
        <v>515</v>
      </c>
      <c r="E7415" s="1" t="str">
        <f>""</f>
        <v/>
      </c>
      <c r="F7415" s="1" t="s">
        <v>1860</v>
      </c>
      <c r="G7415" s="1" t="str">
        <f>CONCATENATE(" INSTITUT IGH D.D.,"," JANKA RAKUŠE 1,"," 10000 ZAGREB,"," OIB: 79766124714")</f>
        <v xml:space="preserve"> INSTITUT IGH D.D., JANKA RAKUŠE 1, 10000 ZAGREB, OIB: 79766124714</v>
      </c>
      <c r="H7415" s="7"/>
      <c r="I7415" s="8" t="s">
        <v>4391</v>
      </c>
      <c r="J7415" s="8" t="s">
        <v>4260</v>
      </c>
      <c r="K7415" s="6" t="str">
        <f>"25.120,00"</f>
        <v>25.120,00</v>
      </c>
      <c r="L7415" s="6" t="str">
        <f>"6.280,00"</f>
        <v>6.280,00</v>
      </c>
      <c r="M7415" s="6" t="str">
        <f>"31.400,00"</f>
        <v>31.400,00</v>
      </c>
      <c r="N7415" s="8" t="s">
        <v>1247</v>
      </c>
      <c r="O7415" s="7"/>
      <c r="P7415" s="2" t="s">
        <v>6727</v>
      </c>
      <c r="Q7415" s="7"/>
      <c r="R7415" s="1"/>
      <c r="S7415" s="1" t="str">
        <f>"J-UN-2020-849"</f>
        <v>J-UN-2020-849</v>
      </c>
      <c r="T7415" s="1" t="s">
        <v>32</v>
      </c>
    </row>
    <row r="7416" spans="1:20" ht="76.5" x14ac:dyDescent="0.25">
      <c r="A7416" s="6">
        <v>7387</v>
      </c>
      <c r="B7416" s="1" t="str">
        <f>"2020-399"</f>
        <v>2020-399</v>
      </c>
      <c r="C7416" s="1" t="s">
        <v>5528</v>
      </c>
      <c r="D7416" s="1" t="s">
        <v>5529</v>
      </c>
      <c r="E7416" s="1" t="str">
        <f>""</f>
        <v/>
      </c>
      <c r="F7416" s="1" t="s">
        <v>1860</v>
      </c>
      <c r="G7416" s="1" t="str">
        <f>CONCATENATE(" SMIT-COMMERCE D.O.O.,"," GORNJOSTUPNIČKA 9B,"," 10255 GORNJI STUPNIK,"," OIB: 9524348214")</f>
        <v xml:space="preserve"> SMIT-COMMERCE D.O.O., GORNJOSTUPNIČKA 9B, 10255 GORNJI STUPNIK, OIB: 9524348214</v>
      </c>
      <c r="H7416" s="7"/>
      <c r="I7416" s="8" t="s">
        <v>4454</v>
      </c>
      <c r="J7416" s="8" t="s">
        <v>3815</v>
      </c>
      <c r="K7416" s="6" t="str">
        <f>"2.894,28"</f>
        <v>2.894,28</v>
      </c>
      <c r="L7416" s="6" t="str">
        <f>"723,57"</f>
        <v>723,57</v>
      </c>
      <c r="M7416" s="6" t="str">
        <f>"3.617,85"</f>
        <v>3.617,85</v>
      </c>
      <c r="N7416" s="8" t="s">
        <v>124</v>
      </c>
      <c r="O7416" s="7"/>
      <c r="P7416" s="2" t="s">
        <v>5614</v>
      </c>
      <c r="Q7416" s="7"/>
      <c r="R7416" s="1"/>
      <c r="S7416" s="1" t="str">
        <f>"J-UN-2020-862"</f>
        <v>J-UN-2020-862</v>
      </c>
      <c r="T7416" s="1" t="s">
        <v>32</v>
      </c>
    </row>
    <row r="7417" spans="1:20" ht="51" x14ac:dyDescent="0.25">
      <c r="A7417" s="6">
        <v>7388</v>
      </c>
      <c r="B7417" s="1" t="str">
        <f>"2020-2350"</f>
        <v>2020-2350</v>
      </c>
      <c r="C7417" s="1" t="s">
        <v>2804</v>
      </c>
      <c r="D7417" s="1" t="s">
        <v>2805</v>
      </c>
      <c r="E7417" s="1" t="str">
        <f>""</f>
        <v/>
      </c>
      <c r="F7417" s="1" t="s">
        <v>1860</v>
      </c>
      <c r="G7417" s="1" t="str">
        <f>CONCATENATE(" RUNOGRAD D.O.O.,"," MIJE SILOBOD BOLŠIĆA 2,"," 10000 ZAGREB,"," OIB: 7831042879")</f>
        <v xml:space="preserve"> RUNOGRAD D.O.O., MIJE SILOBOD BOLŠIĆA 2, 10000 ZAGREB, OIB: 7831042879</v>
      </c>
      <c r="H7417" s="7"/>
      <c r="I7417" s="8" t="s">
        <v>5530</v>
      </c>
      <c r="J7417" s="8" t="s">
        <v>4274</v>
      </c>
      <c r="K7417" s="6" t="str">
        <f>"38.956,66"</f>
        <v>38.956,66</v>
      </c>
      <c r="L7417" s="6" t="str">
        <f>"9.739,16"</f>
        <v>9.739,16</v>
      </c>
      <c r="M7417" s="6" t="str">
        <f>"48.695,82"</f>
        <v>48.695,82</v>
      </c>
      <c r="N7417" s="8" t="s">
        <v>4398</v>
      </c>
      <c r="O7417" s="7"/>
      <c r="P7417" s="2" t="s">
        <v>9147</v>
      </c>
      <c r="Q7417" s="7"/>
      <c r="R7417" s="1"/>
      <c r="S7417" s="1" t="str">
        <f>"J-UN-2020-913"</f>
        <v>J-UN-2020-913</v>
      </c>
      <c r="T7417" s="1" t="s">
        <v>32</v>
      </c>
    </row>
    <row r="7418" spans="1:20" ht="76.5" x14ac:dyDescent="0.25">
      <c r="A7418" s="6">
        <v>7389</v>
      </c>
      <c r="B7418" s="1" t="str">
        <f>"2020-2652"</f>
        <v>2020-2652</v>
      </c>
      <c r="C7418" s="1" t="s">
        <v>2651</v>
      </c>
      <c r="D7418" s="1" t="s">
        <v>2652</v>
      </c>
      <c r="E7418" s="1" t="str">
        <f>""</f>
        <v/>
      </c>
      <c r="F7418" s="1" t="s">
        <v>1860</v>
      </c>
      <c r="G7418" s="1" t="str">
        <f>CONCATENATE(" SMIT-COMMERCE D.O.O.,"," GORNJOSTUPNIČKA 9B,"," 10255 GORNJI STUPNIK,"," OIB: 9524348214")</f>
        <v xml:space="preserve"> SMIT-COMMERCE D.O.O., GORNJOSTUPNIČKA 9B, 10255 GORNJI STUPNIK, OIB: 9524348214</v>
      </c>
      <c r="H7418" s="7"/>
      <c r="I7418" s="8" t="s">
        <v>3967</v>
      </c>
      <c r="J7418" s="8" t="s">
        <v>861</v>
      </c>
      <c r="K7418" s="6" t="str">
        <f>"1.849,80"</f>
        <v>1.849,80</v>
      </c>
      <c r="L7418" s="6" t="str">
        <f>"462,45"</f>
        <v>462,45</v>
      </c>
      <c r="M7418" s="6" t="str">
        <f>"2.312,25"</f>
        <v>2.312,25</v>
      </c>
      <c r="N7418" s="8" t="s">
        <v>3815</v>
      </c>
      <c r="O7418" s="7"/>
      <c r="P7418" s="2" t="s">
        <v>9148</v>
      </c>
      <c r="Q7418" s="7"/>
      <c r="R7418" s="1"/>
      <c r="S7418" s="1" t="str">
        <f>"J-UN-2020-919"</f>
        <v>J-UN-2020-919</v>
      </c>
      <c r="T7418" s="1" t="s">
        <v>32</v>
      </c>
    </row>
    <row r="7419" spans="1:20" ht="63.75" x14ac:dyDescent="0.25">
      <c r="A7419" s="6">
        <v>7390</v>
      </c>
      <c r="B7419" s="1" t="str">
        <f>"2020-954"</f>
        <v>2020-954</v>
      </c>
      <c r="C7419" s="1" t="s">
        <v>2788</v>
      </c>
      <c r="D7419" s="1" t="s">
        <v>2789</v>
      </c>
      <c r="E7419" s="1" t="str">
        <f>""</f>
        <v/>
      </c>
      <c r="F7419" s="1" t="s">
        <v>1860</v>
      </c>
      <c r="G7419" s="1" t="str">
        <f>CONCATENATE(" E PLUS D.O.O.,"," GOSPODARSKA 16/C,"," 10255 GORNJI STUPNIK,"," OIB: 93923226222")</f>
        <v xml:space="preserve"> E PLUS D.O.O., GOSPODARSKA 16/C, 10255 GORNJI STUPNIK, OIB: 93923226222</v>
      </c>
      <c r="H7419" s="7"/>
      <c r="I7419" s="8" t="s">
        <v>5126</v>
      </c>
      <c r="J7419" s="8" t="s">
        <v>4449</v>
      </c>
      <c r="K7419" s="6" t="str">
        <f>"743,20"</f>
        <v>743,20</v>
      </c>
      <c r="L7419" s="6" t="str">
        <f>"185,80"</f>
        <v>185,80</v>
      </c>
      <c r="M7419" s="6" t="str">
        <f>"929,00"</f>
        <v>929,00</v>
      </c>
      <c r="N7419" s="8" t="s">
        <v>124</v>
      </c>
      <c r="O7419" s="7"/>
      <c r="P7419" s="2" t="s">
        <v>5614</v>
      </c>
      <c r="Q7419" s="7"/>
      <c r="R7419" s="1"/>
      <c r="S7419" s="1" t="str">
        <f>"J-UN-2020-923"</f>
        <v>J-UN-2020-923</v>
      </c>
      <c r="T7419" s="1" t="s">
        <v>32</v>
      </c>
    </row>
    <row r="7420" spans="1:20" ht="63.75" x14ac:dyDescent="0.25">
      <c r="A7420" s="6">
        <v>7391</v>
      </c>
      <c r="B7420" s="1" t="str">
        <f>"2020-2656"</f>
        <v>2020-2656</v>
      </c>
      <c r="C7420" s="1" t="s">
        <v>2534</v>
      </c>
      <c r="D7420" s="1" t="s">
        <v>2535</v>
      </c>
      <c r="E7420" s="1" t="str">
        <f>""</f>
        <v/>
      </c>
      <c r="F7420" s="1" t="s">
        <v>1860</v>
      </c>
      <c r="G7420" s="1" t="str">
        <f>CONCATENATE(" JULIUS MEINL BONFANTI D.O.O.,"," LJUBLJANSKA ULICA 4,"," 10431 SVETA NEDELJA,"," OIB: 39546130894")</f>
        <v xml:space="preserve"> JULIUS MEINL BONFANTI D.O.O., LJUBLJANSKA ULICA 4, 10431 SVETA NEDELJA, OIB: 39546130894</v>
      </c>
      <c r="H7420" s="7"/>
      <c r="I7420" s="8" t="s">
        <v>5126</v>
      </c>
      <c r="J7420" s="8" t="s">
        <v>4449</v>
      </c>
      <c r="K7420" s="6" t="str">
        <f>"4.506,00"</f>
        <v>4.506,00</v>
      </c>
      <c r="L7420" s="6" t="str">
        <f>"1.126,50"</f>
        <v>1.126,50</v>
      </c>
      <c r="M7420" s="6" t="str">
        <f>"5.632,50"</f>
        <v>5.632,50</v>
      </c>
      <c r="N7420" s="8" t="s">
        <v>1247</v>
      </c>
      <c r="O7420" s="7"/>
      <c r="P7420" s="2" t="s">
        <v>9149</v>
      </c>
      <c r="Q7420" s="7"/>
      <c r="R7420" s="1"/>
      <c r="S7420" s="1" t="str">
        <f>"J-UN-2020-926"</f>
        <v>J-UN-2020-926</v>
      </c>
      <c r="T7420" s="1" t="s">
        <v>32</v>
      </c>
    </row>
    <row r="7421" spans="1:20" ht="63.75" x14ac:dyDescent="0.25">
      <c r="A7421" s="6">
        <v>7392</v>
      </c>
      <c r="B7421" s="1" t="str">
        <f>"2020-812"</f>
        <v>2020-812</v>
      </c>
      <c r="C7421" s="1" t="s">
        <v>5527</v>
      </c>
      <c r="D7421" s="1" t="s">
        <v>1833</v>
      </c>
      <c r="E7421" s="1" t="str">
        <f>""</f>
        <v/>
      </c>
      <c r="F7421" s="1" t="s">
        <v>1860</v>
      </c>
      <c r="G7421" s="1" t="str">
        <f>CONCATENATE(" HIDRAULIKA KURELJA D.O.O.,"," MATENAČKA CESTA 41,"," 49290 DONJA STUBICA,"," OIB: 3092900595")</f>
        <v xml:space="preserve"> HIDRAULIKA KURELJA D.O.O., MATENAČKA CESTA 41, 49290 DONJA STUBICA, OIB: 3092900595</v>
      </c>
      <c r="H7421" s="7"/>
      <c r="I7421" s="8" t="s">
        <v>4449</v>
      </c>
      <c r="J7421" s="8" t="s">
        <v>5531</v>
      </c>
      <c r="K7421" s="6" t="str">
        <f>"5.868,20"</f>
        <v>5.868,20</v>
      </c>
      <c r="L7421" s="6" t="str">
        <f>"1.467,05"</f>
        <v>1.467,05</v>
      </c>
      <c r="M7421" s="6" t="str">
        <f>"7.335,25"</f>
        <v>7.335,25</v>
      </c>
      <c r="N7421" s="8" t="s">
        <v>926</v>
      </c>
      <c r="O7421" s="7"/>
      <c r="P7421" s="2" t="s">
        <v>9150</v>
      </c>
      <c r="Q7421" s="7"/>
      <c r="R7421" s="1"/>
      <c r="S7421" s="1" t="str">
        <f>"J-UN-2020-929"</f>
        <v>J-UN-2020-929</v>
      </c>
      <c r="T7421" s="1" t="s">
        <v>32</v>
      </c>
    </row>
    <row r="7422" spans="1:20" ht="76.5" x14ac:dyDescent="0.25">
      <c r="A7422" s="6">
        <v>7393</v>
      </c>
      <c r="B7422" s="1" t="str">
        <f>"2020-2308"</f>
        <v>2020-2308</v>
      </c>
      <c r="C7422" s="1" t="s">
        <v>2711</v>
      </c>
      <c r="D7422" s="1" t="s">
        <v>1914</v>
      </c>
      <c r="E7422" s="1" t="str">
        <f>""</f>
        <v/>
      </c>
      <c r="F7422" s="1" t="s">
        <v>1860</v>
      </c>
      <c r="G7422" s="1" t="str">
        <f>CONCATENATE(" BUTAN PLIN D.O.O.,"," ULICA RIJEKE DRAGONJE 23,"," 52466 NOVIGRAD (CITTANOVA),"," OIB: 80051835685")</f>
        <v xml:space="preserve"> BUTAN PLIN D.O.O., ULICA RIJEKE DRAGONJE 23, 52466 NOVIGRAD (CITTANOVA), OIB: 80051835685</v>
      </c>
      <c r="H7422" s="7"/>
      <c r="I7422" s="8" t="s">
        <v>5126</v>
      </c>
      <c r="J7422" s="8" t="s">
        <v>4449</v>
      </c>
      <c r="K7422" s="6" t="str">
        <f>"4.222,40"</f>
        <v>4.222,40</v>
      </c>
      <c r="L7422" s="6" t="str">
        <f>"1.055,60"</f>
        <v>1.055,60</v>
      </c>
      <c r="M7422" s="6" t="str">
        <f>"5.278,00"</f>
        <v>5.278,00</v>
      </c>
      <c r="N7422" s="8" t="s">
        <v>124</v>
      </c>
      <c r="O7422" s="7"/>
      <c r="P7422" s="2" t="s">
        <v>5614</v>
      </c>
      <c r="Q7422" s="7"/>
      <c r="R7422" s="1"/>
      <c r="S7422" s="1" t="str">
        <f>"J-UN-2020-935"</f>
        <v>J-UN-2020-935</v>
      </c>
      <c r="T7422" s="1" t="s">
        <v>32</v>
      </c>
    </row>
    <row r="7423" spans="1:20" ht="63.75" x14ac:dyDescent="0.25">
      <c r="A7423" s="6">
        <v>7394</v>
      </c>
      <c r="B7423" s="1" t="str">
        <f>"2020-2512"</f>
        <v>2020-2512</v>
      </c>
      <c r="C7423" s="1" t="s">
        <v>5532</v>
      </c>
      <c r="D7423" s="1" t="s">
        <v>2493</v>
      </c>
      <c r="E7423" s="1" t="str">
        <f>""</f>
        <v/>
      </c>
      <c r="F7423" s="1" t="s">
        <v>1860</v>
      </c>
      <c r="G7423" s="1" t="str">
        <f>CONCATENATE(" HIDRAULIKA KURELJA D.O.O.,"," MATENAČKA CESTA 41,"," 49290 DONJA STUBICA,"," OIB: 3092900595")</f>
        <v xml:space="preserve"> HIDRAULIKA KURELJA D.O.O., MATENAČKA CESTA 41, 49290 DONJA STUBICA, OIB: 3092900595</v>
      </c>
      <c r="H7423" s="7"/>
      <c r="I7423" s="8" t="s">
        <v>5126</v>
      </c>
      <c r="J7423" s="8" t="s">
        <v>4449</v>
      </c>
      <c r="K7423" s="6" t="str">
        <f>"19.522,40"</f>
        <v>19.522,40</v>
      </c>
      <c r="L7423" s="6" t="str">
        <f>"4.880,60"</f>
        <v>4.880,60</v>
      </c>
      <c r="M7423" s="6" t="str">
        <f>"24.403,00"</f>
        <v>24.403,00</v>
      </c>
      <c r="N7423" s="8" t="s">
        <v>4409</v>
      </c>
      <c r="O7423" s="7"/>
      <c r="P7423" s="2" t="s">
        <v>9151</v>
      </c>
      <c r="Q7423" s="1"/>
      <c r="R7423" s="1"/>
      <c r="S7423" s="1" t="str">
        <f>"J-UN-2020-937"</f>
        <v>J-UN-2020-937</v>
      </c>
      <c r="T7423" s="1" t="s">
        <v>32</v>
      </c>
    </row>
    <row r="7424" spans="1:20" ht="51" x14ac:dyDescent="0.25">
      <c r="A7424" s="6">
        <v>7395</v>
      </c>
      <c r="B7424" s="1" t="str">
        <f>"2020-1033"</f>
        <v>2020-1033</v>
      </c>
      <c r="C7424" s="1" t="s">
        <v>2854</v>
      </c>
      <c r="D7424" s="1" t="s">
        <v>2855</v>
      </c>
      <c r="E7424" s="1" t="str">
        <f>""</f>
        <v/>
      </c>
      <c r="F7424" s="1" t="s">
        <v>1860</v>
      </c>
      <c r="G7424" s="1" t="str">
        <f>CONCATENATE(" TEHNO-HIDRAULIK D.O.O.,"," SAVIŠĆE 2,"," 10000 ZAGREB,"," OIB: 09925328419")</f>
        <v xml:space="preserve"> TEHNO-HIDRAULIK D.O.O., SAVIŠĆE 2, 10000 ZAGREB, OIB: 09925328419</v>
      </c>
      <c r="H7424" s="7"/>
      <c r="I7424" s="8" t="s">
        <v>3967</v>
      </c>
      <c r="J7424" s="8" t="s">
        <v>861</v>
      </c>
      <c r="K7424" s="6" t="str">
        <f>"10.566,72"</f>
        <v>10.566,72</v>
      </c>
      <c r="L7424" s="6" t="str">
        <f>"2.641,68"</f>
        <v>2.641,68</v>
      </c>
      <c r="M7424" s="6" t="str">
        <f>"13.208,40"</f>
        <v>13.208,40</v>
      </c>
      <c r="N7424" s="8" t="s">
        <v>124</v>
      </c>
      <c r="O7424" s="7"/>
      <c r="P7424" s="2" t="s">
        <v>5614</v>
      </c>
      <c r="Q7424" s="7"/>
      <c r="R7424" s="1"/>
      <c r="S7424" s="1" t="str">
        <f>"J-UN-2020-980"</f>
        <v>J-UN-2020-980</v>
      </c>
      <c r="T7424" s="1" t="s">
        <v>32</v>
      </c>
    </row>
    <row r="7425" spans="1:20" ht="51" x14ac:dyDescent="0.25">
      <c r="A7425" s="6">
        <v>7396</v>
      </c>
      <c r="B7425" s="1" t="str">
        <f>"2020-721"</f>
        <v>2020-721</v>
      </c>
      <c r="C7425" s="1" t="s">
        <v>2761</v>
      </c>
      <c r="D7425" s="1" t="s">
        <v>2762</v>
      </c>
      <c r="E7425" s="1" t="str">
        <f>""</f>
        <v/>
      </c>
      <c r="F7425" s="1" t="s">
        <v>1860</v>
      </c>
      <c r="G7425" s="1" t="str">
        <f>CONCATENATE(" RIEKO - LAB D.O.O.,"," JANKA POLIĆ KAMOVA 19,"," 51000 RIJEKA,"," OIB: 4990745395")</f>
        <v xml:space="preserve"> RIEKO - LAB D.O.O., JANKA POLIĆ KAMOVA 19, 51000 RIJEKA, OIB: 4990745395</v>
      </c>
      <c r="H7425" s="7"/>
      <c r="I7425" s="8" t="s">
        <v>3967</v>
      </c>
      <c r="J7425" s="8" t="s">
        <v>861</v>
      </c>
      <c r="K7425" s="6" t="str">
        <f>"1.080,00"</f>
        <v>1.080,00</v>
      </c>
      <c r="L7425" s="6" t="str">
        <f>"270,00"</f>
        <v>270,00</v>
      </c>
      <c r="M7425" s="6" t="str">
        <f>"1.350,00"</f>
        <v>1.350,00</v>
      </c>
      <c r="N7425" s="8" t="s">
        <v>124</v>
      </c>
      <c r="O7425" s="7"/>
      <c r="P7425" s="2" t="s">
        <v>5614</v>
      </c>
      <c r="Q7425" s="7"/>
      <c r="R7425" s="1"/>
      <c r="S7425" s="1" t="str">
        <f>"J-UN-2020-996"</f>
        <v>J-UN-2020-996</v>
      </c>
      <c r="T7425" s="1" t="s">
        <v>32</v>
      </c>
    </row>
    <row r="7426" spans="1:20" ht="76.5" x14ac:dyDescent="0.25">
      <c r="A7426" s="6">
        <v>7397</v>
      </c>
      <c r="B7426" s="1" t="str">
        <f>"2020-811"</f>
        <v>2020-811</v>
      </c>
      <c r="C7426" s="1" t="s">
        <v>2763</v>
      </c>
      <c r="D7426" s="1" t="s">
        <v>2764</v>
      </c>
      <c r="E7426" s="1" t="str">
        <f>""</f>
        <v/>
      </c>
      <c r="F7426" s="1" t="s">
        <v>1860</v>
      </c>
      <c r="G7426" s="1" t="str">
        <f>CONCATENATE(" SMIT-COMMERCE D.O.O.,"," GORNJOSTUPNIČKA 9B,"," 10255 GORNJI STUPNIK,"," OIB: 9524348214")</f>
        <v xml:space="preserve"> SMIT-COMMERCE D.O.O., GORNJOSTUPNIČKA 9B, 10255 GORNJI STUPNIK, OIB: 9524348214</v>
      </c>
      <c r="H7426" s="7"/>
      <c r="I7426" s="8" t="s">
        <v>4454</v>
      </c>
      <c r="J7426" s="8" t="s">
        <v>3815</v>
      </c>
      <c r="K7426" s="6" t="str">
        <f>"729,80"</f>
        <v>729,80</v>
      </c>
      <c r="L7426" s="6" t="str">
        <f>"182,45"</f>
        <v>182,45</v>
      </c>
      <c r="M7426" s="6" t="str">
        <f>"912,25"</f>
        <v>912,25</v>
      </c>
      <c r="N7426" s="8" t="s">
        <v>124</v>
      </c>
      <c r="O7426" s="7"/>
      <c r="P7426" s="2" t="s">
        <v>5614</v>
      </c>
      <c r="Q7426" s="7"/>
      <c r="R7426" s="1"/>
      <c r="S7426" s="1" t="str">
        <f>"J-UN-2020-997"</f>
        <v>J-UN-2020-997</v>
      </c>
      <c r="T7426" s="1" t="s">
        <v>32</v>
      </c>
    </row>
    <row r="7427" spans="1:20" ht="76.5" x14ac:dyDescent="0.25">
      <c r="A7427" s="6">
        <v>7398</v>
      </c>
      <c r="B7427" s="1" t="str">
        <f>"2020-807"</f>
        <v>2020-807</v>
      </c>
      <c r="C7427" s="1" t="s">
        <v>2726</v>
      </c>
      <c r="D7427" s="1" t="s">
        <v>689</v>
      </c>
      <c r="E7427" s="1" t="str">
        <f>""</f>
        <v/>
      </c>
      <c r="F7427" s="1" t="s">
        <v>1860</v>
      </c>
      <c r="G7427" s="1" t="str">
        <f>CONCATENATE(" SMIT-COMMERCE D.O.O.,"," GORNJOSTUPNIČKA 9B,"," 10255 GORNJI STUPNIK,"," OIB: 9524348214")</f>
        <v xml:space="preserve"> SMIT-COMMERCE D.O.O., GORNJOSTUPNIČKA 9B, 10255 GORNJI STUPNIK, OIB: 9524348214</v>
      </c>
      <c r="H7427" s="7"/>
      <c r="I7427" s="8" t="s">
        <v>4454</v>
      </c>
      <c r="J7427" s="8" t="s">
        <v>4274</v>
      </c>
      <c r="K7427" s="6" t="str">
        <f>"554,00"</f>
        <v>554,00</v>
      </c>
      <c r="L7427" s="6" t="str">
        <f>"138,50"</f>
        <v>138,50</v>
      </c>
      <c r="M7427" s="6" t="str">
        <f>"692,50"</f>
        <v>692,50</v>
      </c>
      <c r="N7427" s="8" t="s">
        <v>124</v>
      </c>
      <c r="O7427" s="7"/>
      <c r="P7427" s="2" t="s">
        <v>5614</v>
      </c>
      <c r="Q7427" s="7"/>
      <c r="R7427" s="1"/>
      <c r="S7427" s="1" t="str">
        <f>"J-UN-2020-1004"</f>
        <v>J-UN-2020-1004</v>
      </c>
      <c r="T7427" s="1" t="s">
        <v>32</v>
      </c>
    </row>
    <row r="7428" spans="1:20" ht="51" x14ac:dyDescent="0.25">
      <c r="A7428" s="6">
        <v>7399</v>
      </c>
      <c r="B7428" s="1" t="str">
        <f>"2020-1247"</f>
        <v>2020-1247</v>
      </c>
      <c r="C7428" s="1" t="s">
        <v>2811</v>
      </c>
      <c r="D7428" s="1" t="s">
        <v>1859</v>
      </c>
      <c r="E7428" s="1" t="str">
        <f>""</f>
        <v/>
      </c>
      <c r="F7428" s="1" t="s">
        <v>1860</v>
      </c>
      <c r="G7428" s="1" t="str">
        <f>CONCATENATE(" ZIRS UČILIŠTE,"," ULICA GRADA VUKOVARA 68,"," 10000 ZAGREB,"," OIB: 22228764473")</f>
        <v xml:space="preserve"> ZIRS UČILIŠTE, ULICA GRADA VUKOVARA 68, 10000 ZAGREB, OIB: 22228764473</v>
      </c>
      <c r="H7428" s="7"/>
      <c r="I7428" s="8" t="s">
        <v>4262</v>
      </c>
      <c r="J7428" s="8" t="s">
        <v>4424</v>
      </c>
      <c r="K7428" s="6" t="str">
        <f>"19.800,00"</f>
        <v>19.800,00</v>
      </c>
      <c r="L7428" s="6" t="str">
        <f>"4.950,00"</f>
        <v>4.950,00</v>
      </c>
      <c r="M7428" s="6" t="str">
        <f>"24.750,00"</f>
        <v>24.750,00</v>
      </c>
      <c r="N7428" s="8" t="s">
        <v>4067</v>
      </c>
      <c r="O7428" s="7"/>
      <c r="P7428" s="2" t="s">
        <v>9152</v>
      </c>
      <c r="Q7428" s="7"/>
      <c r="R7428" s="1"/>
      <c r="S7428" s="1" t="str">
        <f>"J-UN-2020-1016"</f>
        <v>J-UN-2020-1016</v>
      </c>
      <c r="T7428" s="1" t="s">
        <v>32</v>
      </c>
    </row>
    <row r="7429" spans="1:20" ht="51" x14ac:dyDescent="0.25">
      <c r="A7429" s="6">
        <v>7400</v>
      </c>
      <c r="B7429" s="1" t="str">
        <f>"2020-742"</f>
        <v>2020-742</v>
      </c>
      <c r="C7429" s="1" t="s">
        <v>5232</v>
      </c>
      <c r="D7429" s="1" t="s">
        <v>1619</v>
      </c>
      <c r="E7429" s="1" t="str">
        <f>""</f>
        <v/>
      </c>
      <c r="F7429" s="1" t="s">
        <v>1860</v>
      </c>
      <c r="G7429" s="1" t="str">
        <f>CONCATENATE(" VITIS D.O.O.,"," KUSTOŠIJSKI VENEC 48,"," 10090 ZAGREB,"," OIB: 96887244333")</f>
        <v xml:space="preserve"> VITIS D.O.O., KUSTOŠIJSKI VENEC 48, 10090 ZAGREB, OIB: 96887244333</v>
      </c>
      <c r="H7429" s="7"/>
      <c r="I7429" s="8" t="s">
        <v>861</v>
      </c>
      <c r="J7429" s="8" t="s">
        <v>4454</v>
      </c>
      <c r="K7429" s="6" t="str">
        <f>"25.641,20"</f>
        <v>25.641,20</v>
      </c>
      <c r="L7429" s="6" t="str">
        <f>"6.410,30"</f>
        <v>6.410,30</v>
      </c>
      <c r="M7429" s="6" t="str">
        <f>"32.051,50"</f>
        <v>32.051,50</v>
      </c>
      <c r="N7429" s="8" t="s">
        <v>124</v>
      </c>
      <c r="O7429" s="7"/>
      <c r="P7429" s="2" t="s">
        <v>5614</v>
      </c>
      <c r="Q7429" s="7"/>
      <c r="R7429" s="1"/>
      <c r="S7429" s="1" t="str">
        <f>"J-UN-2020-1018"</f>
        <v>J-UN-2020-1018</v>
      </c>
      <c r="T7429" s="1" t="s">
        <v>32</v>
      </c>
    </row>
    <row r="7430" spans="1:20" ht="76.5" x14ac:dyDescent="0.25">
      <c r="A7430" s="6">
        <v>7401</v>
      </c>
      <c r="B7430" s="1" t="str">
        <f>"2020-1174"</f>
        <v>2020-1174</v>
      </c>
      <c r="C7430" s="1" t="s">
        <v>2822</v>
      </c>
      <c r="D7430" s="1" t="s">
        <v>2823</v>
      </c>
      <c r="E7430" s="1" t="str">
        <f>""</f>
        <v/>
      </c>
      <c r="F7430" s="1" t="s">
        <v>1860</v>
      </c>
      <c r="G7430" s="1" t="str">
        <f>CONCATENATE(" SMIT-COMMERCE D.O.O.,"," GORNJOSTUPNIČKA 9B,"," 10255 GORNJI STUPNIK,"," OIB: 9524348214")</f>
        <v xml:space="preserve"> SMIT-COMMERCE D.O.O., GORNJOSTUPNIČKA 9B, 10255 GORNJI STUPNIK, OIB: 9524348214</v>
      </c>
      <c r="H7430" s="7"/>
      <c r="I7430" s="8" t="s">
        <v>3815</v>
      </c>
      <c r="J7430" s="8" t="s">
        <v>4262</v>
      </c>
      <c r="K7430" s="6" t="str">
        <f>"270,00"</f>
        <v>270,00</v>
      </c>
      <c r="L7430" s="6" t="str">
        <f>"67,50"</f>
        <v>67,50</v>
      </c>
      <c r="M7430" s="6" t="str">
        <f>"337,50"</f>
        <v>337,50</v>
      </c>
      <c r="N7430" s="8" t="s">
        <v>124</v>
      </c>
      <c r="O7430" s="7"/>
      <c r="P7430" s="2" t="s">
        <v>5614</v>
      </c>
      <c r="Q7430" s="7"/>
      <c r="R7430" s="1"/>
      <c r="S7430" s="1" t="str">
        <f>"J-UN-2020-1027"</f>
        <v>J-UN-2020-1027</v>
      </c>
      <c r="T7430" s="1" t="s">
        <v>32</v>
      </c>
    </row>
    <row r="7431" spans="1:20" ht="63.75" x14ac:dyDescent="0.25">
      <c r="A7431" s="6">
        <v>7402</v>
      </c>
      <c r="B7431" s="1" t="str">
        <f>"2020-2756"</f>
        <v>2020-2756</v>
      </c>
      <c r="C7431" s="1" t="s">
        <v>2516</v>
      </c>
      <c r="D7431" s="1" t="s">
        <v>537</v>
      </c>
      <c r="E7431" s="1" t="str">
        <f>""</f>
        <v/>
      </c>
      <c r="F7431" s="1" t="s">
        <v>1860</v>
      </c>
      <c r="G7431" s="1" t="str">
        <f>CONCATENATE(" FUČKAN D.O.O.,"," BLAŽEVDOL,"," FUČKANI 5,"," 10380 SVETI IVAN ZELINA,"," OIB: 63851106916")</f>
        <v xml:space="preserve"> FUČKAN D.O.O., BLAŽEVDOL, FUČKANI 5, 10380 SVETI IVAN ZELINA, OIB: 63851106916</v>
      </c>
      <c r="H7431" s="7"/>
      <c r="I7431" s="8" t="s">
        <v>4424</v>
      </c>
      <c r="J7431" s="8" t="s">
        <v>5533</v>
      </c>
      <c r="K7431" s="6" t="str">
        <f>"22.809,60"</f>
        <v>22.809,60</v>
      </c>
      <c r="L7431" s="6" t="str">
        <f>"5.702,40"</f>
        <v>5.702,40</v>
      </c>
      <c r="M7431" s="6" t="str">
        <f>"28.512,00"</f>
        <v>28.512,00</v>
      </c>
      <c r="N7431" s="8" t="s">
        <v>3815</v>
      </c>
      <c r="O7431" s="7"/>
      <c r="P7431" s="2" t="s">
        <v>9153</v>
      </c>
      <c r="Q7431" s="7"/>
      <c r="R7431" s="1"/>
      <c r="S7431" s="1" t="str">
        <f>"J-UN-2020-1028"</f>
        <v>J-UN-2020-1028</v>
      </c>
      <c r="T7431" s="1" t="s">
        <v>32</v>
      </c>
    </row>
    <row r="7432" spans="1:20" ht="51" x14ac:dyDescent="0.25">
      <c r="A7432" s="6">
        <v>7403</v>
      </c>
      <c r="B7432" s="1" t="str">
        <f>"2020-1412"</f>
        <v>2020-1412</v>
      </c>
      <c r="C7432" s="1" t="s">
        <v>2412</v>
      </c>
      <c r="D7432" s="1" t="s">
        <v>2413</v>
      </c>
      <c r="E7432" s="1" t="str">
        <f>""</f>
        <v/>
      </c>
      <c r="F7432" s="1" t="s">
        <v>1860</v>
      </c>
      <c r="G7432" s="1" t="str">
        <f>CONCATENATE(" FINA,"," ULICA GRADA VUKOVARA 70,"," 10000 ZAGREB,"," OIB: 85821130368")</f>
        <v xml:space="preserve"> FINA, ULICA GRADA VUKOVARA 70, 10000 ZAGREB, OIB: 85821130368</v>
      </c>
      <c r="H7432" s="7"/>
      <c r="I7432" s="8" t="s">
        <v>4274</v>
      </c>
      <c r="J7432" s="8" t="s">
        <v>3815</v>
      </c>
      <c r="K7432" s="6" t="str">
        <f>"58.000,00"</f>
        <v>58.000,00</v>
      </c>
      <c r="L7432" s="6" t="str">
        <f>"14.500,00"</f>
        <v>14.500,00</v>
      </c>
      <c r="M7432" s="6" t="str">
        <f>"72.500,00"</f>
        <v>72.500,00</v>
      </c>
      <c r="N7432" s="8" t="s">
        <v>1905</v>
      </c>
      <c r="O7432" s="7"/>
      <c r="P7432" s="2" t="s">
        <v>9154</v>
      </c>
      <c r="Q7432" s="7"/>
      <c r="R7432" s="1"/>
      <c r="S7432" s="1" t="str">
        <f>"J-UN-2020-1031"</f>
        <v>J-UN-2020-1031</v>
      </c>
      <c r="T7432" s="1" t="s">
        <v>32</v>
      </c>
    </row>
    <row r="7433" spans="1:20" ht="63.75" x14ac:dyDescent="0.25">
      <c r="A7433" s="6">
        <v>7404</v>
      </c>
      <c r="B7433" s="1" t="str">
        <f>"2020-1800"</f>
        <v>2020-1800</v>
      </c>
      <c r="C7433" s="1" t="s">
        <v>2863</v>
      </c>
      <c r="D7433" s="1" t="s">
        <v>1209</v>
      </c>
      <c r="E7433" s="1" t="str">
        <f>""</f>
        <v/>
      </c>
      <c r="F7433" s="1" t="s">
        <v>1860</v>
      </c>
      <c r="G7433" s="1" t="str">
        <f>CONCATENATE(" DRÄGER SAFETY D.O.O.,"," AVENIJA VEĆESLAVA HOLJEVCA 40,"," 10010 ZAGREB,"," OIB: 32874587842")</f>
        <v xml:space="preserve"> DRÄGER SAFETY D.O.O., AVENIJA VEĆESLAVA HOLJEVCA 40, 10010 ZAGREB, OIB: 32874587842</v>
      </c>
      <c r="H7433" s="7"/>
      <c r="I7433" s="8" t="s">
        <v>5530</v>
      </c>
      <c r="J7433" s="8" t="s">
        <v>4454</v>
      </c>
      <c r="K7433" s="6" t="str">
        <f>"1.732,60"</f>
        <v>1.732,60</v>
      </c>
      <c r="L7433" s="6" t="str">
        <f>"433,15"</f>
        <v>433,15</v>
      </c>
      <c r="M7433" s="6" t="str">
        <f>"2.165,75"</f>
        <v>2.165,75</v>
      </c>
      <c r="N7433" s="8" t="s">
        <v>4466</v>
      </c>
      <c r="O7433" s="7"/>
      <c r="P7433" s="2" t="s">
        <v>9155</v>
      </c>
      <c r="Q7433" s="7"/>
      <c r="R7433" s="1"/>
      <c r="S7433" s="1" t="str">
        <f>"J-UN-2020-1045"</f>
        <v>J-UN-2020-1045</v>
      </c>
      <c r="T7433" s="1" t="s">
        <v>32</v>
      </c>
    </row>
    <row r="7434" spans="1:20" ht="51" x14ac:dyDescent="0.25">
      <c r="A7434" s="6">
        <v>7405</v>
      </c>
      <c r="B7434" s="1" t="str">
        <f>"2020-2307"</f>
        <v>2020-2307</v>
      </c>
      <c r="C7434" s="1" t="s">
        <v>2999</v>
      </c>
      <c r="D7434" s="1" t="s">
        <v>3000</v>
      </c>
      <c r="E7434" s="1" t="str">
        <f>""</f>
        <v/>
      </c>
      <c r="F7434" s="1" t="s">
        <v>1860</v>
      </c>
      <c r="G7434" s="1" t="str">
        <f>CONCATENATE(" ARBORI CULTURA D.O.O.,"," POKUPSKO 86,"," 10414 POKUPSKO,"," OIB: 16690651659")</f>
        <v xml:space="preserve"> ARBORI CULTURA D.O.O., POKUPSKO 86, 10414 POKUPSKO, OIB: 16690651659</v>
      </c>
      <c r="H7434" s="7"/>
      <c r="I7434" s="8" t="s">
        <v>4424</v>
      </c>
      <c r="J7434" s="8" t="s">
        <v>5533</v>
      </c>
      <c r="K7434" s="6" t="str">
        <f>"79.200,00"</f>
        <v>79.200,00</v>
      </c>
      <c r="L7434" s="6" t="str">
        <f>"19.800,00"</f>
        <v>19.800,00</v>
      </c>
      <c r="M7434" s="6" t="str">
        <f>"99.000,00"</f>
        <v>99.000,00</v>
      </c>
      <c r="N7434" s="8" t="s">
        <v>1042</v>
      </c>
      <c r="O7434" s="7"/>
      <c r="P7434" s="2" t="s">
        <v>9156</v>
      </c>
      <c r="Q7434" s="7"/>
      <c r="R7434" s="1"/>
      <c r="S7434" s="1" t="str">
        <f>"J-UN-2020-1047"</f>
        <v>J-UN-2020-1047</v>
      </c>
      <c r="T7434" s="1" t="s">
        <v>32</v>
      </c>
    </row>
    <row r="7435" spans="1:20" ht="89.25" x14ac:dyDescent="0.25">
      <c r="A7435" s="6">
        <v>7406</v>
      </c>
      <c r="B7435" s="1" t="str">
        <f>"2020-2437"</f>
        <v>2020-2437</v>
      </c>
      <c r="C7435" s="1" t="s">
        <v>3059</v>
      </c>
      <c r="D7435" s="1" t="s">
        <v>3060</v>
      </c>
      <c r="E7435" s="1" t="str">
        <f>""</f>
        <v/>
      </c>
      <c r="F7435" s="1" t="s">
        <v>1860</v>
      </c>
      <c r="G7435" s="1" t="str">
        <f>CONCATENATE(" EFEKTIVNI MIKROORGANIZMI ORIGINALNA TEHNOLOGIJA RIJEKA D.O.O.,"," F. ČANDEKA 33,"," 51000 RIJEKA,"," OIB: 5176600402")</f>
        <v xml:space="preserve"> EFEKTIVNI MIKROORGANIZMI ORIGINALNA TEHNOLOGIJA RIJEKA D.O.O., F. ČANDEKA 33, 51000 RIJEKA, OIB: 5176600402</v>
      </c>
      <c r="H7435" s="7"/>
      <c r="I7435" s="8" t="s">
        <v>5533</v>
      </c>
      <c r="J7435" s="8" t="s">
        <v>5265</v>
      </c>
      <c r="K7435" s="6" t="str">
        <f>"27.000,00"</f>
        <v>27.000,00</v>
      </c>
      <c r="L7435" s="6" t="str">
        <f>"6.750,00"</f>
        <v>6.750,00</v>
      </c>
      <c r="M7435" s="6" t="str">
        <f>"33.750,00"</f>
        <v>33.750,00</v>
      </c>
      <c r="N7435" s="8" t="s">
        <v>5534</v>
      </c>
      <c r="O7435" s="7"/>
      <c r="P7435" s="2" t="s">
        <v>6468</v>
      </c>
      <c r="Q7435" s="7"/>
      <c r="R7435" s="1"/>
      <c r="S7435" s="1" t="str">
        <f>"J-UN-2020-1051"</f>
        <v>J-UN-2020-1051</v>
      </c>
      <c r="T7435" s="1" t="s">
        <v>32</v>
      </c>
    </row>
    <row r="7436" spans="1:20" ht="51" x14ac:dyDescent="0.25">
      <c r="A7436" s="6">
        <v>7407</v>
      </c>
      <c r="B7436" s="1" t="str">
        <f>"2020-1793"</f>
        <v>2020-1793</v>
      </c>
      <c r="C7436" s="1" t="s">
        <v>2933</v>
      </c>
      <c r="D7436" s="1" t="s">
        <v>689</v>
      </c>
      <c r="E7436" s="1" t="str">
        <f>""</f>
        <v/>
      </c>
      <c r="F7436" s="1" t="s">
        <v>1860</v>
      </c>
      <c r="G7436" s="1" t="str">
        <f>CONCATENATE(" TOKOS D.O.O.,"," PAPOVA 10,"," 10000 ZAGREB,"," OIB: 49637042156")</f>
        <v xml:space="preserve"> TOKOS D.O.O., PAPOVA 10, 10000 ZAGREB, OIB: 49637042156</v>
      </c>
      <c r="H7436" s="7"/>
      <c r="I7436" s="8" t="s">
        <v>4424</v>
      </c>
      <c r="J7436" s="8" t="s">
        <v>5533</v>
      </c>
      <c r="K7436" s="6" t="str">
        <f>"5.774,50"</f>
        <v>5.774,50</v>
      </c>
      <c r="L7436" s="6" t="str">
        <f>"1.443,62"</f>
        <v>1.443,62</v>
      </c>
      <c r="M7436" s="6" t="str">
        <f>"7.218,12"</f>
        <v>7.218,12</v>
      </c>
      <c r="N7436" s="8" t="s">
        <v>4405</v>
      </c>
      <c r="O7436" s="7"/>
      <c r="P7436" s="2" t="s">
        <v>9157</v>
      </c>
      <c r="Q7436" s="7"/>
      <c r="R7436" s="1"/>
      <c r="S7436" s="1" t="str">
        <f>"J-UN-2020-1054"</f>
        <v>J-UN-2020-1054</v>
      </c>
      <c r="T7436" s="1" t="s">
        <v>32</v>
      </c>
    </row>
    <row r="7437" spans="1:20" ht="63.75" x14ac:dyDescent="0.25">
      <c r="A7437" s="6">
        <v>7408</v>
      </c>
      <c r="B7437" s="1" t="str">
        <f>"2020-2756"</f>
        <v>2020-2756</v>
      </c>
      <c r="C7437" s="1" t="s">
        <v>2516</v>
      </c>
      <c r="D7437" s="1" t="s">
        <v>537</v>
      </c>
      <c r="E7437" s="1" t="str">
        <f>""</f>
        <v/>
      </c>
      <c r="F7437" s="1" t="s">
        <v>1860</v>
      </c>
      <c r="G7437" s="1" t="str">
        <f>CONCATENATE(" FUČKAN D.O.O.,"," BLAŽEVDOL,"," FUČKANI 5,"," 10380 SVETI IVAN ZELINA,"," OIB: 63851106916")</f>
        <v xml:space="preserve"> FUČKAN D.O.O., BLAŽEVDOL, FUČKANI 5, 10380 SVETI IVAN ZELINA, OIB: 63851106916</v>
      </c>
      <c r="H7437" s="7"/>
      <c r="I7437" s="8" t="s">
        <v>4262</v>
      </c>
      <c r="J7437" s="8" t="s">
        <v>4424</v>
      </c>
      <c r="K7437" s="6" t="str">
        <f>"12.236,00"</f>
        <v>12.236,00</v>
      </c>
      <c r="L7437" s="6" t="str">
        <f>"3.059,00"</f>
        <v>3.059,00</v>
      </c>
      <c r="M7437" s="6" t="str">
        <f>"15.295,00"</f>
        <v>15.295,00</v>
      </c>
      <c r="N7437" s="8" t="s">
        <v>124</v>
      </c>
      <c r="O7437" s="7"/>
      <c r="P7437" s="2" t="s">
        <v>5614</v>
      </c>
      <c r="Q7437" s="7"/>
      <c r="R7437" s="1"/>
      <c r="S7437" s="1" t="str">
        <f>"J-UN-2020-1061"</f>
        <v>J-UN-2020-1061</v>
      </c>
      <c r="T7437" s="1" t="s">
        <v>32</v>
      </c>
    </row>
    <row r="7438" spans="1:20" ht="89.25" x14ac:dyDescent="0.25">
      <c r="A7438" s="6">
        <v>7409</v>
      </c>
      <c r="B7438" s="1" t="str">
        <f>"2020-721"</f>
        <v>2020-721</v>
      </c>
      <c r="C7438" s="1" t="s">
        <v>2761</v>
      </c>
      <c r="D7438" s="1" t="s">
        <v>2762</v>
      </c>
      <c r="E7438" s="1" t="str">
        <f>""</f>
        <v/>
      </c>
      <c r="F7438" s="1" t="s">
        <v>1860</v>
      </c>
      <c r="G7438" s="1" t="str">
        <f>CONCATENATE(" NASTAVNI ZAVOD ZA JAVNO ZDRAVSTVO PRIMORSKO - GORANSKE ŽUPANIJE,"," KREŠIMIROVA 52/A,"," 51000 RIJEKA,"," OIB: 45613787772")</f>
        <v xml:space="preserve"> NASTAVNI ZAVOD ZA JAVNO ZDRAVSTVO PRIMORSKO - GORANSKE ŽUPANIJE, KREŠIMIROVA 52/A, 51000 RIJEKA, OIB: 45613787772</v>
      </c>
      <c r="H7438" s="7"/>
      <c r="I7438" s="8" t="s">
        <v>3815</v>
      </c>
      <c r="J7438" s="8" t="s">
        <v>4262</v>
      </c>
      <c r="K7438" s="6" t="str">
        <f>"4.959,00"</f>
        <v>4.959,00</v>
      </c>
      <c r="L7438" s="6" t="str">
        <f>"1.239,75"</f>
        <v>1.239,75</v>
      </c>
      <c r="M7438" s="6" t="str">
        <f>"6.198,75"</f>
        <v>6.198,75</v>
      </c>
      <c r="N7438" s="8" t="s">
        <v>4470</v>
      </c>
      <c r="O7438" s="7"/>
      <c r="P7438" s="2" t="s">
        <v>9158</v>
      </c>
      <c r="Q7438" s="7"/>
      <c r="R7438" s="1"/>
      <c r="S7438" s="1" t="str">
        <f>"J-UN-2020-1091"</f>
        <v>J-UN-2020-1091</v>
      </c>
      <c r="T7438" s="1" t="s">
        <v>32</v>
      </c>
    </row>
    <row r="7439" spans="1:20" ht="63.75" x14ac:dyDescent="0.25">
      <c r="A7439" s="6">
        <v>7410</v>
      </c>
      <c r="B7439" s="1" t="str">
        <f>"2020-954"</f>
        <v>2020-954</v>
      </c>
      <c r="C7439" s="1" t="s">
        <v>2788</v>
      </c>
      <c r="D7439" s="1" t="s">
        <v>2789</v>
      </c>
      <c r="E7439" s="1" t="str">
        <f>""</f>
        <v/>
      </c>
      <c r="F7439" s="1" t="s">
        <v>1860</v>
      </c>
      <c r="G7439" s="1" t="str">
        <f>CONCATENATE(" E PLUS D.O.O.,"," GOSPODARSKA 16/C,"," 10255 GORNJI STUPNIK,"," OIB: 93923226222")</f>
        <v xml:space="preserve"> E PLUS D.O.O., GOSPODARSKA 16/C, 10255 GORNJI STUPNIK, OIB: 93923226222</v>
      </c>
      <c r="H7439" s="7"/>
      <c r="I7439" s="8" t="s">
        <v>3815</v>
      </c>
      <c r="J7439" s="8" t="s">
        <v>4262</v>
      </c>
      <c r="K7439" s="6" t="str">
        <f>"743,20"</f>
        <v>743,20</v>
      </c>
      <c r="L7439" s="6" t="str">
        <f>"185,80"</f>
        <v>185,80</v>
      </c>
      <c r="M7439" s="6" t="str">
        <f>"929,00"</f>
        <v>929,00</v>
      </c>
      <c r="N7439" s="8" t="s">
        <v>124</v>
      </c>
      <c r="O7439" s="7"/>
      <c r="P7439" s="2" t="s">
        <v>5614</v>
      </c>
      <c r="Q7439" s="7"/>
      <c r="R7439" s="1"/>
      <c r="S7439" s="1" t="str">
        <f>"J-UN-2020-1114"</f>
        <v>J-UN-2020-1114</v>
      </c>
      <c r="T7439" s="1" t="s">
        <v>32</v>
      </c>
    </row>
    <row r="7440" spans="1:20" ht="51" x14ac:dyDescent="0.25">
      <c r="A7440" s="6">
        <v>7411</v>
      </c>
      <c r="B7440" s="1" t="str">
        <f>"2020-1383"</f>
        <v>2020-1383</v>
      </c>
      <c r="C7440" s="1" t="s">
        <v>2902</v>
      </c>
      <c r="D7440" s="1" t="s">
        <v>2903</v>
      </c>
      <c r="E7440" s="1" t="str">
        <f>""</f>
        <v/>
      </c>
      <c r="F7440" s="1" t="s">
        <v>1860</v>
      </c>
      <c r="G7440" s="1" t="str">
        <f>CONCATENATE(" EOL GRUPA D.O.O.,"," SMIČIKLASOVA 5/C,"," 47000 KARLOVAC,"," OIB: 7109729867")</f>
        <v xml:space="preserve"> EOL GRUPA D.O.O., SMIČIKLASOVA 5/C, 47000 KARLOVAC, OIB: 7109729867</v>
      </c>
      <c r="H7440" s="7"/>
      <c r="I7440" s="8" t="s">
        <v>4424</v>
      </c>
      <c r="J7440" s="8" t="s">
        <v>5533</v>
      </c>
      <c r="K7440" s="6" t="str">
        <f>"29.790,00"</f>
        <v>29.790,00</v>
      </c>
      <c r="L7440" s="6" t="str">
        <f>"7.447,50"</f>
        <v>7.447,50</v>
      </c>
      <c r="M7440" s="6" t="str">
        <f>"37.237,50"</f>
        <v>37.237,50</v>
      </c>
      <c r="N7440" s="8" t="s">
        <v>124</v>
      </c>
      <c r="O7440" s="7"/>
      <c r="P7440" s="2" t="s">
        <v>5614</v>
      </c>
      <c r="Q7440" s="7"/>
      <c r="R7440" s="1"/>
      <c r="S7440" s="1" t="str">
        <f>"J-UN-2020-1123"</f>
        <v>J-UN-2020-1123</v>
      </c>
      <c r="T7440" s="1" t="s">
        <v>32</v>
      </c>
    </row>
    <row r="7441" spans="1:20" ht="51" x14ac:dyDescent="0.25">
      <c r="A7441" s="6">
        <v>7412</v>
      </c>
      <c r="B7441" s="1" t="str">
        <f>"2020-2395"</f>
        <v>2020-2395</v>
      </c>
      <c r="C7441" s="1" t="s">
        <v>2469</v>
      </c>
      <c r="D7441" s="1" t="s">
        <v>2287</v>
      </c>
      <c r="E7441" s="1" t="str">
        <f>""</f>
        <v/>
      </c>
      <c r="F7441" s="1" t="s">
        <v>1860</v>
      </c>
      <c r="G7441" s="1" t="str">
        <f>CONCATENATE(" PROTEKTA D.O.O.,"," IVANA ŠIBLA 9,"," 10000 ZAGREB,"," OIB: 25210761537")</f>
        <v xml:space="preserve"> PROTEKTA D.O.O., IVANA ŠIBLA 9, 10000 ZAGREB, OIB: 25210761537</v>
      </c>
      <c r="H7441" s="7"/>
      <c r="I7441" s="8" t="s">
        <v>4465</v>
      </c>
      <c r="J7441" s="8" t="s">
        <v>868</v>
      </c>
      <c r="K7441" s="6" t="str">
        <f>"12.000,00"</f>
        <v>12.000,00</v>
      </c>
      <c r="L7441" s="6" t="str">
        <f>"3.000,00"</f>
        <v>3.000,00</v>
      </c>
      <c r="M7441" s="6" t="str">
        <f>"15.000,00"</f>
        <v>15.000,00</v>
      </c>
      <c r="N7441" s="8" t="s">
        <v>124</v>
      </c>
      <c r="O7441" s="7"/>
      <c r="P7441" s="2" t="s">
        <v>5614</v>
      </c>
      <c r="Q7441" s="7"/>
      <c r="R7441" s="1"/>
      <c r="S7441" s="1" t="str">
        <f>"J-UN-2020-1128"</f>
        <v>J-UN-2020-1128</v>
      </c>
      <c r="T7441" s="1" t="s">
        <v>32</v>
      </c>
    </row>
    <row r="7442" spans="1:20" ht="51" x14ac:dyDescent="0.25">
      <c r="A7442" s="6">
        <v>7413</v>
      </c>
      <c r="B7442" s="1" t="str">
        <f>"2020-426"</f>
        <v>2020-426</v>
      </c>
      <c r="C7442" s="1" t="s">
        <v>2288</v>
      </c>
      <c r="D7442" s="1" t="s">
        <v>1007</v>
      </c>
      <c r="E7442" s="1" t="str">
        <f>""</f>
        <v/>
      </c>
      <c r="F7442" s="1" t="s">
        <v>1860</v>
      </c>
      <c r="G7442" s="1" t="str">
        <f>CONCATENATE(" CAMELOT SISTEMI D.O.O.,"," FRANKOPANSKA 22,"," 10000 ZAGREB,"," OIB: 79572418476")</f>
        <v xml:space="preserve"> CAMELOT SISTEMI D.O.O., FRANKOPANSKA 22, 10000 ZAGREB, OIB: 79572418476</v>
      </c>
      <c r="H7442" s="7"/>
      <c r="I7442" s="8" t="s">
        <v>4465</v>
      </c>
      <c r="J7442" s="8" t="s">
        <v>1889</v>
      </c>
      <c r="K7442" s="6" t="str">
        <f>"30.000,00"</f>
        <v>30.000,00</v>
      </c>
      <c r="L7442" s="6" t="str">
        <f>"7.500,00"</f>
        <v>7.500,00</v>
      </c>
      <c r="M7442" s="6" t="str">
        <f>"37.500,00"</f>
        <v>37.500,00</v>
      </c>
      <c r="N7442" s="8" t="s">
        <v>79</v>
      </c>
      <c r="O7442" s="7"/>
      <c r="P7442" s="2" t="s">
        <v>9159</v>
      </c>
      <c r="Q7442" s="1" t="s">
        <v>481</v>
      </c>
      <c r="R7442" s="1"/>
      <c r="S7442" s="1" t="str">
        <f>"J-UN-2020-1132"</f>
        <v>J-UN-2020-1132</v>
      </c>
      <c r="T7442" s="1" t="s">
        <v>32</v>
      </c>
    </row>
    <row r="7443" spans="1:20" ht="76.5" x14ac:dyDescent="0.25">
      <c r="A7443" s="6">
        <v>7414</v>
      </c>
      <c r="B7443" s="1" t="str">
        <f>"2020-1064"</f>
        <v>2020-1064</v>
      </c>
      <c r="C7443" s="1" t="s">
        <v>2615</v>
      </c>
      <c r="D7443" s="1" t="s">
        <v>999</v>
      </c>
      <c r="E7443" s="1" t="str">
        <f>""</f>
        <v/>
      </c>
      <c r="F7443" s="1" t="s">
        <v>1860</v>
      </c>
      <c r="G7443" s="1" t="str">
        <f>CONCATENATE(" SMIT-COMMERCE D.O.O.,"," GORNJOSTUPNIČKA 9B,"," 10255 GORNJI STUPNIK,"," OIB: 9524348214")</f>
        <v xml:space="preserve"> SMIT-COMMERCE D.O.O., GORNJOSTUPNIČKA 9B, 10255 GORNJI STUPNIK, OIB: 9524348214</v>
      </c>
      <c r="H7443" s="7"/>
      <c r="I7443" s="8" t="s">
        <v>868</v>
      </c>
      <c r="J7443" s="8" t="s">
        <v>3479</v>
      </c>
      <c r="K7443" s="6" t="str">
        <f>"795,00"</f>
        <v>795,00</v>
      </c>
      <c r="L7443" s="6" t="str">
        <f>"198,75"</f>
        <v>198,75</v>
      </c>
      <c r="M7443" s="6" t="str">
        <f>"993,75"</f>
        <v>993,75</v>
      </c>
      <c r="N7443" s="8" t="s">
        <v>124</v>
      </c>
      <c r="O7443" s="7"/>
      <c r="P7443" s="2" t="s">
        <v>5614</v>
      </c>
      <c r="Q7443" s="7"/>
      <c r="R7443" s="1"/>
      <c r="S7443" s="1" t="str">
        <f>"J-UN-2020-1138"</f>
        <v>J-UN-2020-1138</v>
      </c>
      <c r="T7443" s="1" t="s">
        <v>32</v>
      </c>
    </row>
    <row r="7444" spans="1:20" ht="51" x14ac:dyDescent="0.25">
      <c r="A7444" s="6">
        <v>7415</v>
      </c>
      <c r="B7444" s="1" t="str">
        <f>"2020-524"</f>
        <v>2020-524</v>
      </c>
      <c r="C7444" s="1" t="s">
        <v>3037</v>
      </c>
      <c r="D7444" s="1" t="s">
        <v>3038</v>
      </c>
      <c r="E7444" s="1" t="str">
        <f>""</f>
        <v/>
      </c>
      <c r="F7444" s="1" t="s">
        <v>1860</v>
      </c>
      <c r="G7444" s="1" t="str">
        <f>CONCATENATE(" HUDEK ZAGREB D.O.O.,"," SUNEKOVA 145,"," 10000 ZAGREB,"," OIB: 43013193376")</f>
        <v xml:space="preserve"> HUDEK ZAGREB D.O.O., SUNEKOVA 145, 10000 ZAGREB, OIB: 43013193376</v>
      </c>
      <c r="H7444" s="7"/>
      <c r="I7444" s="8" t="s">
        <v>5533</v>
      </c>
      <c r="J7444" s="8" t="s">
        <v>5265</v>
      </c>
      <c r="K7444" s="6" t="str">
        <f>"7.234,26"</f>
        <v>7.234,26</v>
      </c>
      <c r="L7444" s="6" t="str">
        <f>"1.808,56"</f>
        <v>1.808,56</v>
      </c>
      <c r="M7444" s="6" t="str">
        <f>"9.042,82"</f>
        <v>9.042,82</v>
      </c>
      <c r="N7444" s="8" t="s">
        <v>124</v>
      </c>
      <c r="O7444" s="7"/>
      <c r="P7444" s="2" t="s">
        <v>5614</v>
      </c>
      <c r="Q7444" s="7"/>
      <c r="R7444" s="1"/>
      <c r="S7444" s="1" t="str">
        <f>"J-UN-2020-1145"</f>
        <v>J-UN-2020-1145</v>
      </c>
      <c r="T7444" s="1" t="s">
        <v>32</v>
      </c>
    </row>
    <row r="7445" spans="1:20" ht="51" x14ac:dyDescent="0.25">
      <c r="A7445" s="6">
        <v>7416</v>
      </c>
      <c r="B7445" s="1" t="str">
        <f>"2020-2076"</f>
        <v>2020-2076</v>
      </c>
      <c r="C7445" s="1" t="s">
        <v>2492</v>
      </c>
      <c r="D7445" s="1" t="s">
        <v>2493</v>
      </c>
      <c r="E7445" s="1" t="str">
        <f>""</f>
        <v/>
      </c>
      <c r="F7445" s="1" t="s">
        <v>1860</v>
      </c>
      <c r="G7445" s="1" t="str">
        <f>CONCATENATE(" AUTOMEHANIKA D.D.,"," KOVINSKA 4,"," 10000 ZAGREB,"," OIB: 5223317126")</f>
        <v xml:space="preserve"> AUTOMEHANIKA D.D., KOVINSKA 4, 10000 ZAGREB, OIB: 5223317126</v>
      </c>
      <c r="H7445" s="7"/>
      <c r="I7445" s="8" t="s">
        <v>5533</v>
      </c>
      <c r="J7445" s="8" t="s">
        <v>5265</v>
      </c>
      <c r="K7445" s="6" t="str">
        <f>"1.988,62"</f>
        <v>1.988,62</v>
      </c>
      <c r="L7445" s="6" t="str">
        <f>"497,16"</f>
        <v>497,16</v>
      </c>
      <c r="M7445" s="6" t="str">
        <f>"2.485,78"</f>
        <v>2.485,78</v>
      </c>
      <c r="N7445" s="8" t="s">
        <v>124</v>
      </c>
      <c r="O7445" s="7"/>
      <c r="P7445" s="2" t="s">
        <v>5614</v>
      </c>
      <c r="Q7445" s="7"/>
      <c r="R7445" s="1"/>
      <c r="S7445" s="1" t="str">
        <f>"J-UN-2020-1148"</f>
        <v>J-UN-2020-1148</v>
      </c>
      <c r="T7445" s="1" t="s">
        <v>32</v>
      </c>
    </row>
    <row r="7446" spans="1:20" ht="51" x14ac:dyDescent="0.25">
      <c r="A7446" s="6">
        <v>7417</v>
      </c>
      <c r="B7446" s="1" t="str">
        <f>"2020-2858"</f>
        <v>2020-2858</v>
      </c>
      <c r="C7446" s="1" t="s">
        <v>5535</v>
      </c>
      <c r="D7446" s="1" t="s">
        <v>914</v>
      </c>
      <c r="E7446" s="1" t="str">
        <f>""</f>
        <v/>
      </c>
      <c r="F7446" s="1" t="s">
        <v>1860</v>
      </c>
      <c r="G7446" s="1" t="str">
        <f>CONCATENATE(" AUTOKUĆA HABEK,"," LESKOVEC 9,"," 10360 SESVETE,"," OIB: 58381512236")</f>
        <v xml:space="preserve"> AUTOKUĆA HABEK, LESKOVEC 9, 10360 SESVETE, OIB: 58381512236</v>
      </c>
      <c r="H7446" s="7"/>
      <c r="I7446" s="8" t="s">
        <v>5533</v>
      </c>
      <c r="J7446" s="8" t="s">
        <v>5265</v>
      </c>
      <c r="K7446" s="6" t="str">
        <f>"5.153,15"</f>
        <v>5.153,15</v>
      </c>
      <c r="L7446" s="6" t="str">
        <f>"1.288,29"</f>
        <v>1.288,29</v>
      </c>
      <c r="M7446" s="6" t="str">
        <f>"6.441,44"</f>
        <v>6.441,44</v>
      </c>
      <c r="N7446" s="8" t="s">
        <v>5533</v>
      </c>
      <c r="O7446" s="7"/>
      <c r="P7446" s="2" t="s">
        <v>9160</v>
      </c>
      <c r="Q7446" s="7"/>
      <c r="R7446" s="1"/>
      <c r="S7446" s="1" t="str">
        <f>"J-UN-2020-1152"</f>
        <v>J-UN-2020-1152</v>
      </c>
      <c r="T7446" s="1" t="s">
        <v>32</v>
      </c>
    </row>
    <row r="7447" spans="1:20" ht="51" x14ac:dyDescent="0.25">
      <c r="A7447" s="6">
        <v>7418</v>
      </c>
      <c r="B7447" s="1" t="str">
        <f>"2020-1201"</f>
        <v>2020-1201</v>
      </c>
      <c r="C7447" s="1" t="s">
        <v>5191</v>
      </c>
      <c r="D7447" s="1" t="s">
        <v>5192</v>
      </c>
      <c r="E7447" s="1" t="str">
        <f>""</f>
        <v/>
      </c>
      <c r="F7447" s="1" t="s">
        <v>1860</v>
      </c>
      <c r="G7447" s="1" t="str">
        <f>CONCATENATE(" EUROADRIA D.O.O.,"," MAKSIMIRSKA CESTA 9,"," 10000 ZAGREB,"," OIB: 84526969754")</f>
        <v xml:space="preserve"> EUROADRIA D.O.O., MAKSIMIRSKA CESTA 9, 10000 ZAGREB, OIB: 84526969754</v>
      </c>
      <c r="H7447" s="7"/>
      <c r="I7447" s="8" t="s">
        <v>4424</v>
      </c>
      <c r="J7447" s="8" t="s">
        <v>5533</v>
      </c>
      <c r="K7447" s="6" t="str">
        <f>"5.300,00"</f>
        <v>5.300,00</v>
      </c>
      <c r="L7447" s="6" t="str">
        <f>"1.325,00"</f>
        <v>1.325,00</v>
      </c>
      <c r="M7447" s="6" t="str">
        <f>"6.625,00"</f>
        <v>6.625,00</v>
      </c>
      <c r="N7447" s="8" t="s">
        <v>124</v>
      </c>
      <c r="O7447" s="7"/>
      <c r="P7447" s="2" t="s">
        <v>5614</v>
      </c>
      <c r="Q7447" s="7"/>
      <c r="R7447" s="1"/>
      <c r="S7447" s="1" t="str">
        <f>"J-UN-2020-1153"</f>
        <v>J-UN-2020-1153</v>
      </c>
      <c r="T7447" s="1" t="s">
        <v>32</v>
      </c>
    </row>
    <row r="7448" spans="1:20" ht="63.75" x14ac:dyDescent="0.25">
      <c r="A7448" s="6">
        <v>7419</v>
      </c>
      <c r="B7448" s="1" t="str">
        <f>"2020-2484"</f>
        <v>2020-2484</v>
      </c>
      <c r="C7448" s="1" t="s">
        <v>2405</v>
      </c>
      <c r="D7448" s="1" t="s">
        <v>880</v>
      </c>
      <c r="E7448" s="1" t="str">
        <f>""</f>
        <v/>
      </c>
      <c r="F7448" s="1" t="s">
        <v>1860</v>
      </c>
      <c r="G7448" s="1" t="str">
        <f>CONCATENATE(" POLIKLINIKA SVETI ROK M.D.,"," ULICA GRADA VUKOVARA 284,"," 10000 ZAGREB,"," OIB: 28842147765")</f>
        <v xml:space="preserve"> POLIKLINIKA SVETI ROK M.D., ULICA GRADA VUKOVARA 284, 10000 ZAGREB, OIB: 28842147765</v>
      </c>
      <c r="H7448" s="7"/>
      <c r="I7448" s="8" t="s">
        <v>4424</v>
      </c>
      <c r="J7448" s="8" t="s">
        <v>5533</v>
      </c>
      <c r="K7448" s="6" t="str">
        <f>"3.500,00"</f>
        <v>3.500,00</v>
      </c>
      <c r="L7448" s="6" t="str">
        <f>"875,00"</f>
        <v>875,00</v>
      </c>
      <c r="M7448" s="6" t="str">
        <f>"4.375,00"</f>
        <v>4.375,00</v>
      </c>
      <c r="N7448" s="8" t="s">
        <v>124</v>
      </c>
      <c r="O7448" s="7"/>
      <c r="P7448" s="2" t="s">
        <v>5614</v>
      </c>
      <c r="Q7448" s="7"/>
      <c r="R7448" s="1"/>
      <c r="S7448" s="1" t="str">
        <f>"J-UN-2020-1157"</f>
        <v>J-UN-2020-1157</v>
      </c>
      <c r="T7448" s="1" t="s">
        <v>32</v>
      </c>
    </row>
    <row r="7449" spans="1:20" ht="51" x14ac:dyDescent="0.25">
      <c r="A7449" s="6">
        <v>7420</v>
      </c>
      <c r="B7449" s="1" t="str">
        <f>"2020-2512"</f>
        <v>2020-2512</v>
      </c>
      <c r="C7449" s="1" t="s">
        <v>5532</v>
      </c>
      <c r="D7449" s="1" t="s">
        <v>2493</v>
      </c>
      <c r="E7449" s="1" t="str">
        <f>""</f>
        <v/>
      </c>
      <c r="F7449" s="1" t="s">
        <v>1860</v>
      </c>
      <c r="G7449" s="1" t="str">
        <f>CONCATENATE(" BENUSSI D. O. O.,"," FAŽANSKA CESTA 86,"," 52212 FAŽANA,"," OIB: 87971197112")</f>
        <v xml:space="preserve"> BENUSSI D. O. O., FAŽANSKA CESTA 86, 52212 FAŽANA, OIB: 87971197112</v>
      </c>
      <c r="H7449" s="7"/>
      <c r="I7449" s="8" t="s">
        <v>5265</v>
      </c>
      <c r="J7449" s="8" t="s">
        <v>4470</v>
      </c>
      <c r="K7449" s="6" t="str">
        <f>"7.251,59"</f>
        <v>7.251,59</v>
      </c>
      <c r="L7449" s="6" t="str">
        <f>"1.812,90"</f>
        <v>1.812,90</v>
      </c>
      <c r="M7449" s="6" t="str">
        <f>"9.064,49"</f>
        <v>9.064,49</v>
      </c>
      <c r="N7449" s="8" t="s">
        <v>2536</v>
      </c>
      <c r="O7449" s="7"/>
      <c r="P7449" s="2" t="s">
        <v>9161</v>
      </c>
      <c r="Q7449" s="7"/>
      <c r="R7449" s="1"/>
      <c r="S7449" s="1" t="str">
        <f>"J-UN-2020-1173"</f>
        <v>J-UN-2020-1173</v>
      </c>
      <c r="T7449" s="1" t="s">
        <v>32</v>
      </c>
    </row>
    <row r="7450" spans="1:20" ht="51" x14ac:dyDescent="0.25">
      <c r="A7450" s="6">
        <v>7421</v>
      </c>
      <c r="B7450" s="1" t="str">
        <f>"2020-227"</f>
        <v>2020-227</v>
      </c>
      <c r="C7450" s="1" t="s">
        <v>2697</v>
      </c>
      <c r="D7450" s="1" t="s">
        <v>2698</v>
      </c>
      <c r="E7450" s="1" t="str">
        <f>""</f>
        <v/>
      </c>
      <c r="F7450" s="1" t="s">
        <v>1860</v>
      </c>
      <c r="G7450" s="1" t="str">
        <f>CONCATENATE(" CROATIAINSPECT D.O.O.,"," TKALČIĆEVA 7,"," 10000 ZAGREB,"," OIB: 17295810199")</f>
        <v xml:space="preserve"> CROATIAINSPECT D.O.O., TKALČIĆEVA 7, 10000 ZAGREB, OIB: 17295810199</v>
      </c>
      <c r="H7450" s="7"/>
      <c r="I7450" s="8" t="s">
        <v>4466</v>
      </c>
      <c r="J7450" s="8" t="s">
        <v>4244</v>
      </c>
      <c r="K7450" s="6" t="str">
        <f>"5.100,00"</f>
        <v>5.100,00</v>
      </c>
      <c r="L7450" s="6" t="str">
        <f>"1.275,00"</f>
        <v>1.275,00</v>
      </c>
      <c r="M7450" s="6" t="str">
        <f>"6.375,00"</f>
        <v>6.375,00</v>
      </c>
      <c r="N7450" s="8" t="s">
        <v>124</v>
      </c>
      <c r="O7450" s="7"/>
      <c r="P7450" s="2" t="s">
        <v>5614</v>
      </c>
      <c r="Q7450" s="7"/>
      <c r="R7450" s="1"/>
      <c r="S7450" s="1" t="str">
        <f>"J-UN-2020-1177"</f>
        <v>J-UN-2020-1177</v>
      </c>
      <c r="T7450" s="1" t="s">
        <v>32</v>
      </c>
    </row>
    <row r="7451" spans="1:20" ht="76.5" x14ac:dyDescent="0.25">
      <c r="A7451" s="6">
        <v>7422</v>
      </c>
      <c r="B7451" s="1" t="str">
        <f>"2020-108"</f>
        <v>2020-108</v>
      </c>
      <c r="C7451" s="1" t="s">
        <v>5398</v>
      </c>
      <c r="D7451" s="1" t="s">
        <v>5341</v>
      </c>
      <c r="E7451" s="1" t="str">
        <f>""</f>
        <v/>
      </c>
      <c r="F7451" s="1" t="s">
        <v>1860</v>
      </c>
      <c r="G7451" s="1" t="str">
        <f>CONCATENATE(" PASTOR - TVA - D.D.,"," RAKITJE,"," NOVAČKA 2,"," 10437 BESTOVJE,"," OIB: 17140959007")</f>
        <v xml:space="preserve"> PASTOR - TVA - D.D., RAKITJE, NOVAČKA 2, 10437 BESTOVJE, OIB: 17140959007</v>
      </c>
      <c r="H7451" s="7"/>
      <c r="I7451" s="8" t="s">
        <v>868</v>
      </c>
      <c r="J7451" s="8" t="s">
        <v>3495</v>
      </c>
      <c r="K7451" s="6" t="str">
        <f>"92.665,00"</f>
        <v>92.665,00</v>
      </c>
      <c r="L7451" s="6" t="str">
        <f>"23.166,25"</f>
        <v>23.166,25</v>
      </c>
      <c r="M7451" s="6" t="str">
        <f>"115.831,25"</f>
        <v>115.831,25</v>
      </c>
      <c r="N7451" s="8" t="s">
        <v>5406</v>
      </c>
      <c r="O7451" s="7"/>
      <c r="P7451" s="2" t="s">
        <v>9162</v>
      </c>
      <c r="Q7451" s="7"/>
      <c r="R7451" s="1"/>
      <c r="S7451" s="1" t="str">
        <f>"J-UN-2020-1181"</f>
        <v>J-UN-2020-1181</v>
      </c>
      <c r="T7451" s="1" t="s">
        <v>32</v>
      </c>
    </row>
    <row r="7452" spans="1:20" ht="51" x14ac:dyDescent="0.25">
      <c r="A7452" s="6">
        <v>7423</v>
      </c>
      <c r="B7452" s="1" t="str">
        <f>"2020-960"</f>
        <v>2020-960</v>
      </c>
      <c r="C7452" s="1" t="s">
        <v>3085</v>
      </c>
      <c r="D7452" s="1" t="s">
        <v>2549</v>
      </c>
      <c r="E7452" s="1" t="str">
        <f>""</f>
        <v/>
      </c>
      <c r="F7452" s="1" t="s">
        <v>1860</v>
      </c>
      <c r="G7452" s="1" t="str">
        <f>CONCATENATE(" STENTOR D.O.O.,"," ULICA GRADA VUKOVARA 284,"," 10000 ZAGREB,"," OIB: 28042507798")</f>
        <v xml:space="preserve"> STENTOR D.O.O., ULICA GRADA VUKOVARA 284, 10000 ZAGREB, OIB: 28042507798</v>
      </c>
      <c r="H7452" s="7"/>
      <c r="I7452" s="8" t="s">
        <v>5533</v>
      </c>
      <c r="J7452" s="8" t="s">
        <v>5265</v>
      </c>
      <c r="K7452" s="6" t="str">
        <f>"1.680,00"</f>
        <v>1.680,00</v>
      </c>
      <c r="L7452" s="6" t="str">
        <f>"420,00"</f>
        <v>420,00</v>
      </c>
      <c r="M7452" s="6" t="str">
        <f>"2.100,00"</f>
        <v>2.100,00</v>
      </c>
      <c r="N7452" s="8" t="s">
        <v>124</v>
      </c>
      <c r="O7452" s="7"/>
      <c r="P7452" s="2" t="s">
        <v>5614</v>
      </c>
      <c r="Q7452" s="7"/>
      <c r="R7452" s="1"/>
      <c r="S7452" s="1" t="str">
        <f>"J-UN-2020-1191"</f>
        <v>J-UN-2020-1191</v>
      </c>
      <c r="T7452" s="1" t="s">
        <v>32</v>
      </c>
    </row>
    <row r="7453" spans="1:20" ht="76.5" x14ac:dyDescent="0.25">
      <c r="A7453" s="6">
        <v>7424</v>
      </c>
      <c r="B7453" s="1" t="str">
        <f>"2020-240"</f>
        <v>2020-240</v>
      </c>
      <c r="C7453" s="1" t="s">
        <v>2692</v>
      </c>
      <c r="D7453" s="1" t="s">
        <v>2693</v>
      </c>
      <c r="E7453" s="1" t="str">
        <f>""</f>
        <v/>
      </c>
      <c r="F7453" s="1" t="s">
        <v>1860</v>
      </c>
      <c r="G7453" s="1" t="str">
        <f>CONCATENATE(" SMIT-COMMERCE D.O.O.,"," GORNJOSTUPNIČKA 9B,"," 10255 GORNJI STUPNIK,"," OIB: 9524348214")</f>
        <v xml:space="preserve"> SMIT-COMMERCE D.O.O., GORNJOSTUPNIČKA 9B, 10255 GORNJI STUPNIK, OIB: 9524348214</v>
      </c>
      <c r="H7453" s="7"/>
      <c r="I7453" s="8" t="s">
        <v>4466</v>
      </c>
      <c r="J7453" s="8" t="s">
        <v>4244</v>
      </c>
      <c r="K7453" s="6" t="str">
        <f>"1.594,44"</f>
        <v>1.594,44</v>
      </c>
      <c r="L7453" s="6" t="str">
        <f>"398,61"</f>
        <v>398,61</v>
      </c>
      <c r="M7453" s="6" t="str">
        <f>"1.993,05"</f>
        <v>1.993,05</v>
      </c>
      <c r="N7453" s="8" t="s">
        <v>1348</v>
      </c>
      <c r="O7453" s="7"/>
      <c r="P7453" s="2" t="s">
        <v>9163</v>
      </c>
      <c r="Q7453" s="7"/>
      <c r="R7453" s="1"/>
      <c r="S7453" s="1" t="str">
        <f>"J-UN-2020-1236"</f>
        <v>J-UN-2020-1236</v>
      </c>
      <c r="T7453" s="1" t="s">
        <v>32</v>
      </c>
    </row>
    <row r="7454" spans="1:20" ht="51" x14ac:dyDescent="0.25">
      <c r="A7454" s="6">
        <v>7425</v>
      </c>
      <c r="B7454" s="1" t="str">
        <f>"2020-1750"</f>
        <v>2020-1750</v>
      </c>
      <c r="C7454" s="1" t="s">
        <v>2675</v>
      </c>
      <c r="D7454" s="1" t="s">
        <v>2676</v>
      </c>
      <c r="E7454" s="1" t="str">
        <f>""</f>
        <v/>
      </c>
      <c r="F7454" s="1" t="s">
        <v>1860</v>
      </c>
      <c r="G7454" s="1" t="str">
        <f>CONCATENATE(" AUTOBUS D.O.O.,"," I. RESNIK 178,"," 10040 ZAGREB,"," OIB: 77383886713")</f>
        <v xml:space="preserve"> AUTOBUS D.O.O., I. RESNIK 178, 10040 ZAGREB, OIB: 77383886713</v>
      </c>
      <c r="H7454" s="7"/>
      <c r="I7454" s="8" t="s">
        <v>4465</v>
      </c>
      <c r="J7454" s="8" t="s">
        <v>868</v>
      </c>
      <c r="K7454" s="6" t="str">
        <f>"3.459,54"</f>
        <v>3.459,54</v>
      </c>
      <c r="L7454" s="6" t="str">
        <f>"864,88"</f>
        <v>864,88</v>
      </c>
      <c r="M7454" s="6" t="str">
        <f>"4.324,42"</f>
        <v>4.324,42</v>
      </c>
      <c r="N7454" s="8" t="s">
        <v>124</v>
      </c>
      <c r="O7454" s="7"/>
      <c r="P7454" s="2" t="s">
        <v>5614</v>
      </c>
      <c r="Q7454" s="7"/>
      <c r="R7454" s="1"/>
      <c r="S7454" s="1" t="str">
        <f>"J-UN-2020-1237"</f>
        <v>J-UN-2020-1237</v>
      </c>
      <c r="T7454" s="1" t="s">
        <v>32</v>
      </c>
    </row>
    <row r="7455" spans="1:20" ht="63.75" x14ac:dyDescent="0.25">
      <c r="A7455" s="6">
        <v>7426</v>
      </c>
      <c r="B7455" s="1" t="str">
        <f>"2020-2488"</f>
        <v>2020-2488</v>
      </c>
      <c r="C7455" s="1" t="s">
        <v>3128</v>
      </c>
      <c r="D7455" s="1" t="s">
        <v>3129</v>
      </c>
      <c r="E7455" s="1" t="str">
        <f>""</f>
        <v/>
      </c>
      <c r="F7455" s="1" t="s">
        <v>1860</v>
      </c>
      <c r="G7455" s="1" t="str">
        <f>CONCATENATE(" ZAGREBAČKI VELESAJAM D.O.O.,"," AVENIJA DUBROVNIK 15,"," 10000 ZAGREB,"," OIB: 9566067844")</f>
        <v xml:space="preserve"> ZAGREBAČKI VELESAJAM D.O.O., AVENIJA DUBROVNIK 15, 10000 ZAGREB, OIB: 9566067844</v>
      </c>
      <c r="H7455" s="7"/>
      <c r="I7455" s="8" t="s">
        <v>868</v>
      </c>
      <c r="J7455" s="8" t="s">
        <v>4466</v>
      </c>
      <c r="K7455" s="6" t="str">
        <f>"18.750,00"</f>
        <v>18.750,00</v>
      </c>
      <c r="L7455" s="6" t="str">
        <f>"4.687,50"</f>
        <v>4.687,50</v>
      </c>
      <c r="M7455" s="6" t="str">
        <f>"23.437,50"</f>
        <v>23.437,50</v>
      </c>
      <c r="N7455" s="8" t="s">
        <v>124</v>
      </c>
      <c r="O7455" s="7"/>
      <c r="P7455" s="2" t="s">
        <v>5614</v>
      </c>
      <c r="Q7455" s="7"/>
      <c r="R7455" s="1"/>
      <c r="S7455" s="1" t="str">
        <f>"J-UN-2020-1249"</f>
        <v>J-UN-2020-1249</v>
      </c>
      <c r="T7455" s="1" t="s">
        <v>32</v>
      </c>
    </row>
    <row r="7456" spans="1:20" ht="63.75" x14ac:dyDescent="0.25">
      <c r="A7456" s="6">
        <v>7427</v>
      </c>
      <c r="B7456" s="1" t="str">
        <f>"2020-2191"</f>
        <v>2020-2191</v>
      </c>
      <c r="C7456" s="1" t="s">
        <v>2795</v>
      </c>
      <c r="D7456" s="1" t="s">
        <v>1619</v>
      </c>
      <c r="E7456" s="1" t="str">
        <f>""</f>
        <v/>
      </c>
      <c r="F7456" s="1" t="s">
        <v>1860</v>
      </c>
      <c r="G7456" s="1" t="str">
        <f>CONCATENATE(" HIDROMEHANIKA D.O.O.,"," SLAVONSKA AVENIJA 26/10,"," 10000 ZAGREB,"," OIB: 9178029895")</f>
        <v xml:space="preserve"> HIDROMEHANIKA D.O.O., SLAVONSKA AVENIJA 26/10, 10000 ZAGREB, OIB: 9178029895</v>
      </c>
      <c r="H7456" s="7"/>
      <c r="I7456" s="8" t="s">
        <v>868</v>
      </c>
      <c r="J7456" s="8" t="s">
        <v>4466</v>
      </c>
      <c r="K7456" s="6" t="str">
        <f>"3.249,40"</f>
        <v>3.249,40</v>
      </c>
      <c r="L7456" s="6" t="str">
        <f>"812,35"</f>
        <v>812,35</v>
      </c>
      <c r="M7456" s="6" t="str">
        <f>"4.061,75"</f>
        <v>4.061,75</v>
      </c>
      <c r="N7456" s="8" t="s">
        <v>124</v>
      </c>
      <c r="O7456" s="7"/>
      <c r="P7456" s="2" t="s">
        <v>5614</v>
      </c>
      <c r="Q7456" s="7"/>
      <c r="R7456" s="1"/>
      <c r="S7456" s="1" t="str">
        <f>"J-UN-2020-1256"</f>
        <v>J-UN-2020-1256</v>
      </c>
      <c r="T7456" s="1" t="s">
        <v>32</v>
      </c>
    </row>
    <row r="7457" spans="1:20" ht="76.5" x14ac:dyDescent="0.25">
      <c r="A7457" s="6">
        <v>7428</v>
      </c>
      <c r="B7457" s="1" t="str">
        <f>"2020-2677"</f>
        <v>2020-2677</v>
      </c>
      <c r="C7457" s="1" t="s">
        <v>5536</v>
      </c>
      <c r="D7457" s="1" t="s">
        <v>1986</v>
      </c>
      <c r="E7457" s="1" t="str">
        <f>""</f>
        <v/>
      </c>
      <c r="F7457" s="1" t="s">
        <v>1860</v>
      </c>
      <c r="G7457" s="1" t="str">
        <f>CONCATENATE(" URED OVLAŠTENOG ARHITEKTA TEODORA CVITANOVIĆA,"," ANTUNA BAUERA 34,"," 10000 ZAGREB,"," OIB: 89108227873")</f>
        <v xml:space="preserve"> URED OVLAŠTENOG ARHITEKTA TEODORA CVITANOVIĆA, ANTUNA BAUERA 34, 10000 ZAGREB, OIB: 89108227873</v>
      </c>
      <c r="H7457" s="7"/>
      <c r="I7457" s="8" t="s">
        <v>868</v>
      </c>
      <c r="J7457" s="8" t="s">
        <v>3479</v>
      </c>
      <c r="K7457" s="6" t="str">
        <f>"130.000,00"</f>
        <v>130.000,00</v>
      </c>
      <c r="L7457" s="6" t="str">
        <f>"32.500,00"</f>
        <v>32.500,00</v>
      </c>
      <c r="M7457" s="6" t="str">
        <f>"162.500,00"</f>
        <v>162.500,00</v>
      </c>
      <c r="N7457" s="8" t="s">
        <v>2770</v>
      </c>
      <c r="O7457" s="7"/>
      <c r="P7457" s="2" t="s">
        <v>9164</v>
      </c>
      <c r="Q7457" s="7"/>
      <c r="R7457" s="1"/>
      <c r="S7457" s="1" t="str">
        <f>"J-UN-2020-1264"</f>
        <v>J-UN-2020-1264</v>
      </c>
      <c r="T7457" s="1" t="s">
        <v>32</v>
      </c>
    </row>
    <row r="7458" spans="1:20" ht="63.75" x14ac:dyDescent="0.25">
      <c r="A7458" s="6">
        <v>7429</v>
      </c>
      <c r="B7458" s="1" t="str">
        <f>"2020-2471"</f>
        <v>2020-2471</v>
      </c>
      <c r="C7458" s="1" t="s">
        <v>2991</v>
      </c>
      <c r="D7458" s="1" t="s">
        <v>2992</v>
      </c>
      <c r="E7458" s="1" t="str">
        <f>""</f>
        <v/>
      </c>
      <c r="F7458" s="1" t="s">
        <v>1860</v>
      </c>
      <c r="G7458" s="1" t="str">
        <f t="shared" ref="G7458:G7463" si="250">CONCATENATE(" LANIŠTE D.O.O.,"," ALEXANDERA VON HUMBOLDTA 4B,"," 10000 ZAGREB,"," OIB: 3755384865")</f>
        <v xml:space="preserve"> LANIŠTE D.O.O., ALEXANDERA VON HUMBOLDTA 4B, 10000 ZAGREB, OIB: 3755384865</v>
      </c>
      <c r="H7458" s="7"/>
      <c r="I7458" s="8" t="s">
        <v>868</v>
      </c>
      <c r="J7458" s="8" t="s">
        <v>3479</v>
      </c>
      <c r="K7458" s="6" t="str">
        <f>"2.636,00"</f>
        <v>2.636,00</v>
      </c>
      <c r="L7458" s="6" t="str">
        <f>"659,00"</f>
        <v>659,00</v>
      </c>
      <c r="M7458" s="6" t="str">
        <f>"3.295,00"</f>
        <v>3.295,00</v>
      </c>
      <c r="N7458" s="8" t="s">
        <v>124</v>
      </c>
      <c r="O7458" s="7"/>
      <c r="P7458" s="2" t="s">
        <v>5614</v>
      </c>
      <c r="Q7458" s="7"/>
      <c r="R7458" s="1"/>
      <c r="S7458" s="1" t="str">
        <f>"J-UN-2020-1273"</f>
        <v>J-UN-2020-1273</v>
      </c>
      <c r="T7458" s="1" t="s">
        <v>32</v>
      </c>
    </row>
    <row r="7459" spans="1:20" ht="63.75" x14ac:dyDescent="0.25">
      <c r="A7459" s="6">
        <v>7430</v>
      </c>
      <c r="B7459" s="1" t="str">
        <f>"2020-2411"</f>
        <v>2020-2411</v>
      </c>
      <c r="C7459" s="1" t="s">
        <v>2984</v>
      </c>
      <c r="D7459" s="1" t="s">
        <v>2985</v>
      </c>
      <c r="E7459" s="1" t="str">
        <f>""</f>
        <v/>
      </c>
      <c r="F7459" s="1" t="s">
        <v>1860</v>
      </c>
      <c r="G7459" s="1" t="str">
        <f t="shared" si="250"/>
        <v xml:space="preserve"> LANIŠTE D.O.O., ALEXANDERA VON HUMBOLDTA 4B, 10000 ZAGREB, OIB: 3755384865</v>
      </c>
      <c r="H7459" s="7"/>
      <c r="I7459" s="8" t="s">
        <v>868</v>
      </c>
      <c r="J7459" s="8" t="s">
        <v>3479</v>
      </c>
      <c r="K7459" s="6" t="str">
        <f>"2.032,00"</f>
        <v>2.032,00</v>
      </c>
      <c r="L7459" s="6" t="str">
        <f>"508,00"</f>
        <v>508,00</v>
      </c>
      <c r="M7459" s="6" t="str">
        <f>"2.540,00"</f>
        <v>2.540,00</v>
      </c>
      <c r="N7459" s="8" t="s">
        <v>124</v>
      </c>
      <c r="O7459" s="7"/>
      <c r="P7459" s="2" t="s">
        <v>5614</v>
      </c>
      <c r="Q7459" s="7"/>
      <c r="R7459" s="1"/>
      <c r="S7459" s="1" t="str">
        <f>"J-UN-2020-1274"</f>
        <v>J-UN-2020-1274</v>
      </c>
      <c r="T7459" s="1" t="s">
        <v>32</v>
      </c>
    </row>
    <row r="7460" spans="1:20" ht="63.75" x14ac:dyDescent="0.25">
      <c r="A7460" s="6">
        <v>7431</v>
      </c>
      <c r="B7460" s="1" t="str">
        <f>"2020-983"</f>
        <v>2020-983</v>
      </c>
      <c r="C7460" s="1" t="s">
        <v>2986</v>
      </c>
      <c r="D7460" s="1" t="s">
        <v>2985</v>
      </c>
      <c r="E7460" s="1" t="str">
        <f>""</f>
        <v/>
      </c>
      <c r="F7460" s="1" t="s">
        <v>1860</v>
      </c>
      <c r="G7460" s="1" t="str">
        <f t="shared" si="250"/>
        <v xml:space="preserve"> LANIŠTE D.O.O., ALEXANDERA VON HUMBOLDTA 4B, 10000 ZAGREB, OIB: 3755384865</v>
      </c>
      <c r="H7460" s="7"/>
      <c r="I7460" s="8" t="s">
        <v>868</v>
      </c>
      <c r="J7460" s="8" t="s">
        <v>3479</v>
      </c>
      <c r="K7460" s="6" t="str">
        <f>"2.032,00"</f>
        <v>2.032,00</v>
      </c>
      <c r="L7460" s="6" t="str">
        <f>"508,00"</f>
        <v>508,00</v>
      </c>
      <c r="M7460" s="6" t="str">
        <f>"2.540,00"</f>
        <v>2.540,00</v>
      </c>
      <c r="N7460" s="8" t="s">
        <v>124</v>
      </c>
      <c r="O7460" s="7"/>
      <c r="P7460" s="2" t="s">
        <v>5614</v>
      </c>
      <c r="Q7460" s="7"/>
      <c r="R7460" s="1"/>
      <c r="S7460" s="1" t="str">
        <f>"J-UN-2020-1275"</f>
        <v>J-UN-2020-1275</v>
      </c>
      <c r="T7460" s="1" t="s">
        <v>32</v>
      </c>
    </row>
    <row r="7461" spans="1:20" ht="63.75" x14ac:dyDescent="0.25">
      <c r="A7461" s="6">
        <v>7432</v>
      </c>
      <c r="B7461" s="1" t="str">
        <f>"2020-1631"</f>
        <v>2020-1631</v>
      </c>
      <c r="C7461" s="1" t="s">
        <v>2987</v>
      </c>
      <c r="D7461" s="1" t="s">
        <v>2988</v>
      </c>
      <c r="E7461" s="1" t="str">
        <f>""</f>
        <v/>
      </c>
      <c r="F7461" s="1" t="s">
        <v>1860</v>
      </c>
      <c r="G7461" s="1" t="str">
        <f t="shared" si="250"/>
        <v xml:space="preserve"> LANIŠTE D.O.O., ALEXANDERA VON HUMBOLDTA 4B, 10000 ZAGREB, OIB: 3755384865</v>
      </c>
      <c r="H7461" s="7"/>
      <c r="I7461" s="8" t="s">
        <v>868</v>
      </c>
      <c r="J7461" s="8" t="s">
        <v>3479</v>
      </c>
      <c r="K7461" s="6" t="str">
        <f>"2.032,00"</f>
        <v>2.032,00</v>
      </c>
      <c r="L7461" s="6" t="str">
        <f>"508,00"</f>
        <v>508,00</v>
      </c>
      <c r="M7461" s="6" t="str">
        <f>"2.540,00"</f>
        <v>2.540,00</v>
      </c>
      <c r="N7461" s="8" t="s">
        <v>124</v>
      </c>
      <c r="O7461" s="7"/>
      <c r="P7461" s="2" t="s">
        <v>5614</v>
      </c>
      <c r="Q7461" s="7"/>
      <c r="R7461" s="1"/>
      <c r="S7461" s="1" t="str">
        <f>"J-UN-2020-1276"</f>
        <v>J-UN-2020-1276</v>
      </c>
      <c r="T7461" s="1" t="s">
        <v>32</v>
      </c>
    </row>
    <row r="7462" spans="1:20" ht="63.75" x14ac:dyDescent="0.25">
      <c r="A7462" s="6">
        <v>7433</v>
      </c>
      <c r="B7462" s="1" t="str">
        <f>"2020-1905"</f>
        <v>2020-1905</v>
      </c>
      <c r="C7462" s="1" t="s">
        <v>2993</v>
      </c>
      <c r="D7462" s="1" t="s">
        <v>2994</v>
      </c>
      <c r="E7462" s="1" t="str">
        <f>""</f>
        <v/>
      </c>
      <c r="F7462" s="1" t="s">
        <v>1860</v>
      </c>
      <c r="G7462" s="1" t="str">
        <f t="shared" si="250"/>
        <v xml:space="preserve"> LANIŠTE D.O.O., ALEXANDERA VON HUMBOLDTA 4B, 10000 ZAGREB, OIB: 3755384865</v>
      </c>
      <c r="H7462" s="7"/>
      <c r="I7462" s="8" t="s">
        <v>868</v>
      </c>
      <c r="J7462" s="8" t="s">
        <v>3479</v>
      </c>
      <c r="K7462" s="6" t="str">
        <f>"1.632,00"</f>
        <v>1.632,00</v>
      </c>
      <c r="L7462" s="6" t="str">
        <f>"408,00"</f>
        <v>408,00</v>
      </c>
      <c r="M7462" s="6" t="str">
        <f>"2.040,00"</f>
        <v>2.040,00</v>
      </c>
      <c r="N7462" s="8" t="s">
        <v>124</v>
      </c>
      <c r="O7462" s="7"/>
      <c r="P7462" s="2" t="s">
        <v>5614</v>
      </c>
      <c r="Q7462" s="7"/>
      <c r="R7462" s="1"/>
      <c r="S7462" s="1" t="str">
        <f>"J-UN-2020-1277"</f>
        <v>J-UN-2020-1277</v>
      </c>
      <c r="T7462" s="1" t="s">
        <v>32</v>
      </c>
    </row>
    <row r="7463" spans="1:20" ht="63.75" x14ac:dyDescent="0.25">
      <c r="A7463" s="6">
        <v>7434</v>
      </c>
      <c r="B7463" s="1" t="str">
        <f>"2020-1298"</f>
        <v>2020-1298</v>
      </c>
      <c r="C7463" s="1" t="s">
        <v>2989</v>
      </c>
      <c r="D7463" s="1" t="s">
        <v>2990</v>
      </c>
      <c r="E7463" s="1" t="str">
        <f>""</f>
        <v/>
      </c>
      <c r="F7463" s="1" t="s">
        <v>1860</v>
      </c>
      <c r="G7463" s="1" t="str">
        <f t="shared" si="250"/>
        <v xml:space="preserve"> LANIŠTE D.O.O., ALEXANDERA VON HUMBOLDTA 4B, 10000 ZAGREB, OIB: 3755384865</v>
      </c>
      <c r="H7463" s="7"/>
      <c r="I7463" s="8" t="s">
        <v>868</v>
      </c>
      <c r="J7463" s="8" t="s">
        <v>3479</v>
      </c>
      <c r="K7463" s="6" t="str">
        <f>"2.636,00"</f>
        <v>2.636,00</v>
      </c>
      <c r="L7463" s="6" t="str">
        <f>"659,00"</f>
        <v>659,00</v>
      </c>
      <c r="M7463" s="6" t="str">
        <f>"3.295,00"</f>
        <v>3.295,00</v>
      </c>
      <c r="N7463" s="8" t="s">
        <v>124</v>
      </c>
      <c r="O7463" s="7"/>
      <c r="P7463" s="2" t="s">
        <v>5614</v>
      </c>
      <c r="Q7463" s="7"/>
      <c r="R7463" s="1"/>
      <c r="S7463" s="1" t="str">
        <f>"J-UN-2020-1278"</f>
        <v>J-UN-2020-1278</v>
      </c>
      <c r="T7463" s="1" t="s">
        <v>32</v>
      </c>
    </row>
    <row r="7464" spans="1:20" ht="114.75" x14ac:dyDescent="0.25">
      <c r="A7464" s="6">
        <v>7435</v>
      </c>
      <c r="B7464" s="1" t="str">
        <f>"2020-109"</f>
        <v>2020-109</v>
      </c>
      <c r="C7464" s="1" t="s">
        <v>5400</v>
      </c>
      <c r="D7464" s="1" t="s">
        <v>5341</v>
      </c>
      <c r="E7464" s="1" t="str">
        <f>""</f>
        <v/>
      </c>
      <c r="F7464" s="1" t="s">
        <v>1860</v>
      </c>
      <c r="G7464" s="1" t="str">
        <f>CONCATENATE(" PASTOR - TVA - D.D.,"," RAKITJE,"," NOVAČKA 2,"," 10437 BESTOVJE,"," OIB: 17140959007")</f>
        <v xml:space="preserve"> PASTOR - TVA - D.D., RAKITJE, NOVAČKA 2, 10437 BESTOVJE, OIB: 17140959007</v>
      </c>
      <c r="H7464" s="7"/>
      <c r="I7464" s="8" t="s">
        <v>3533</v>
      </c>
      <c r="J7464" s="8" t="s">
        <v>4283</v>
      </c>
      <c r="K7464" s="6" t="str">
        <f>"44.415,00"</f>
        <v>44.415,00</v>
      </c>
      <c r="L7464" s="6" t="str">
        <f>"11.103,75"</f>
        <v>11.103,75</v>
      </c>
      <c r="M7464" s="6" t="str">
        <f>"55.518,75"</f>
        <v>55.518,75</v>
      </c>
      <c r="N7464" s="8" t="s">
        <v>946</v>
      </c>
      <c r="O7464" s="7"/>
      <c r="P7464" s="2" t="s">
        <v>9165</v>
      </c>
      <c r="Q7464" s="7"/>
      <c r="R7464" s="1"/>
      <c r="S7464" s="1" t="str">
        <f>"J-UN-2020-1285"</f>
        <v>J-UN-2020-1285</v>
      </c>
      <c r="T7464" s="1" t="s">
        <v>32</v>
      </c>
    </row>
    <row r="7465" spans="1:20" ht="51" x14ac:dyDescent="0.25">
      <c r="A7465" s="6">
        <v>7436</v>
      </c>
      <c r="B7465" s="1" t="str">
        <f>"2020-270"</f>
        <v>2020-270</v>
      </c>
      <c r="C7465" s="1" t="s">
        <v>2616</v>
      </c>
      <c r="D7465" s="1" t="s">
        <v>2617</v>
      </c>
      <c r="E7465" s="1" t="str">
        <f>""</f>
        <v/>
      </c>
      <c r="F7465" s="1" t="s">
        <v>1860</v>
      </c>
      <c r="G7465" s="1" t="str">
        <f>CONCATENATE(" COMET D.O.O.,"," VARAŽDINSKA 40/C,"," 42220 NOVI MAROF,"," OIB: 48249084626")</f>
        <v xml:space="preserve"> COMET D.O.O., VARAŽDINSKA 40/C, 42220 NOVI MAROF, OIB: 48249084626</v>
      </c>
      <c r="H7465" s="7"/>
      <c r="I7465" s="8" t="s">
        <v>4471</v>
      </c>
      <c r="J7465" s="8" t="s">
        <v>4283</v>
      </c>
      <c r="K7465" s="6" t="str">
        <f>"1.916,30"</f>
        <v>1.916,30</v>
      </c>
      <c r="L7465" s="6" t="str">
        <f>"479,08"</f>
        <v>479,08</v>
      </c>
      <c r="M7465" s="6" t="str">
        <f>"2.395,38"</f>
        <v>2.395,38</v>
      </c>
      <c r="N7465" s="8" t="s">
        <v>4935</v>
      </c>
      <c r="O7465" s="7"/>
      <c r="P7465" s="2" t="s">
        <v>9166</v>
      </c>
      <c r="Q7465" s="7"/>
      <c r="R7465" s="1"/>
      <c r="S7465" s="1" t="str">
        <f>"J-UN-2020-1300"</f>
        <v>J-UN-2020-1300</v>
      </c>
      <c r="T7465" s="1" t="s">
        <v>32</v>
      </c>
    </row>
    <row r="7466" spans="1:20" ht="114.75" x14ac:dyDescent="0.25">
      <c r="A7466" s="6">
        <v>7437</v>
      </c>
      <c r="B7466" s="1" t="str">
        <f>"2020-2384"</f>
        <v>2020-2384</v>
      </c>
      <c r="C7466" s="1" t="s">
        <v>2889</v>
      </c>
      <c r="D7466" s="1" t="s">
        <v>1007</v>
      </c>
      <c r="E7466" s="1" t="str">
        <f>""</f>
        <v/>
      </c>
      <c r="F7466" s="1" t="s">
        <v>1860</v>
      </c>
      <c r="G7466" s="1"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7466" s="7"/>
      <c r="I7466" s="8" t="s">
        <v>4466</v>
      </c>
      <c r="J7466" s="8" t="s">
        <v>4594</v>
      </c>
      <c r="K7466" s="6" t="str">
        <f>"19.786,50"</f>
        <v>19.786,50</v>
      </c>
      <c r="L7466" s="6" t="str">
        <f>"4.946,62"</f>
        <v>4.946,62</v>
      </c>
      <c r="M7466" s="6" t="str">
        <f>"24.733,12"</f>
        <v>24.733,12</v>
      </c>
      <c r="N7466" s="8" t="s">
        <v>3537</v>
      </c>
      <c r="O7466" s="7"/>
      <c r="P7466" s="2" t="s">
        <v>9167</v>
      </c>
      <c r="Q7466" s="7"/>
      <c r="R7466" s="1"/>
      <c r="S7466" s="1" t="str">
        <f>"J-UN-2020-1309"</f>
        <v>J-UN-2020-1309</v>
      </c>
      <c r="T7466" s="1" t="s">
        <v>32</v>
      </c>
    </row>
    <row r="7467" spans="1:20" ht="63.75" x14ac:dyDescent="0.25">
      <c r="A7467" s="6">
        <v>7438</v>
      </c>
      <c r="B7467" s="1" t="str">
        <f>"2020-232"</f>
        <v>2020-232</v>
      </c>
      <c r="C7467" s="1" t="s">
        <v>5537</v>
      </c>
      <c r="D7467" s="1" t="s">
        <v>1619</v>
      </c>
      <c r="E7467" s="1" t="str">
        <f>""</f>
        <v/>
      </c>
      <c r="F7467" s="1" t="s">
        <v>1860</v>
      </c>
      <c r="G7467" s="1" t="str">
        <f>CONCATENATE(" GRA-PO D.O.O.,"," GOSPODARSKA 5B,"," 10255 ZAGREB - STUPNIK,"," OIB: 05364995085")</f>
        <v xml:space="preserve"> GRA-PO D.O.O., GOSPODARSKA 5B, 10255 ZAGREB - STUPNIK, OIB: 05364995085</v>
      </c>
      <c r="H7467" s="7"/>
      <c r="I7467" s="8" t="s">
        <v>4466</v>
      </c>
      <c r="J7467" s="8" t="s">
        <v>4405</v>
      </c>
      <c r="K7467" s="6" t="str">
        <f>"111.775,00"</f>
        <v>111.775,00</v>
      </c>
      <c r="L7467" s="6" t="str">
        <f>"27.943,75"</f>
        <v>27.943,75</v>
      </c>
      <c r="M7467" s="6" t="str">
        <f>"139.718,75"</f>
        <v>139.718,75</v>
      </c>
      <c r="N7467" s="8" t="s">
        <v>4339</v>
      </c>
      <c r="O7467" s="7"/>
      <c r="P7467" s="2" t="s">
        <v>9168</v>
      </c>
      <c r="Q7467" s="7"/>
      <c r="R7467" s="1"/>
      <c r="S7467" s="1" t="str">
        <f>"J-UN-2020-1310"</f>
        <v>J-UN-2020-1310</v>
      </c>
      <c r="T7467" s="1" t="s">
        <v>32</v>
      </c>
    </row>
    <row r="7468" spans="1:20" ht="51" x14ac:dyDescent="0.25">
      <c r="A7468" s="6">
        <v>7439</v>
      </c>
      <c r="B7468" s="1" t="str">
        <f>"2020-2268"</f>
        <v>2020-2268</v>
      </c>
      <c r="C7468" s="1" t="s">
        <v>2738</v>
      </c>
      <c r="D7468" s="1" t="s">
        <v>2739</v>
      </c>
      <c r="E7468" s="1" t="str">
        <f>""</f>
        <v/>
      </c>
      <c r="F7468" s="1" t="s">
        <v>1860</v>
      </c>
      <c r="G7468" s="1" t="str">
        <f>CONCATENATE(" TOPTEHNIKA J.D.O.O.,"," PILINKA 51A,"," 10251 HRVATSKI LESKOVAC,"," OIB: 40215607334")</f>
        <v xml:space="preserve"> TOPTEHNIKA J.D.O.O., PILINKA 51A, 10251 HRVATSKI LESKOVAC, OIB: 40215607334</v>
      </c>
      <c r="H7468" s="7"/>
      <c r="I7468" s="8" t="s">
        <v>4244</v>
      </c>
      <c r="J7468" s="8" t="s">
        <v>5128</v>
      </c>
      <c r="K7468" s="6" t="str">
        <f>"2.703,70"</f>
        <v>2.703,70</v>
      </c>
      <c r="L7468" s="6" t="str">
        <f>"675,92"</f>
        <v>675,92</v>
      </c>
      <c r="M7468" s="6" t="str">
        <f>"3.379,62"</f>
        <v>3.379,62</v>
      </c>
      <c r="N7468" s="8" t="s">
        <v>124</v>
      </c>
      <c r="O7468" s="7"/>
      <c r="P7468" s="2" t="s">
        <v>5614</v>
      </c>
      <c r="Q7468" s="7"/>
      <c r="R7468" s="1"/>
      <c r="S7468" s="1" t="str">
        <f>"J-UN-2020-1326"</f>
        <v>J-UN-2020-1326</v>
      </c>
      <c r="T7468" s="1" t="s">
        <v>32</v>
      </c>
    </row>
    <row r="7469" spans="1:20" ht="51" x14ac:dyDescent="0.25">
      <c r="A7469" s="6">
        <v>7440</v>
      </c>
      <c r="B7469" s="1" t="str">
        <f>"2020-2390"</f>
        <v>2020-2390</v>
      </c>
      <c r="C7469" s="1" t="s">
        <v>3136</v>
      </c>
      <c r="D7469" s="1" t="s">
        <v>21</v>
      </c>
      <c r="E7469" s="1" t="str">
        <f>""</f>
        <v/>
      </c>
      <c r="F7469" s="1" t="s">
        <v>1860</v>
      </c>
      <c r="G7469" s="1" t="str">
        <f>CONCATENATE(" AUTOMEHANIKA D.D.,"," KOVINSKA 4,"," 10000 ZAGREB,"," OIB: 5223317126")</f>
        <v xml:space="preserve"> AUTOMEHANIKA D.D., KOVINSKA 4, 10000 ZAGREB, OIB: 5223317126</v>
      </c>
      <c r="H7469" s="7"/>
      <c r="I7469" s="8" t="s">
        <v>4244</v>
      </c>
      <c r="J7469" s="8" t="s">
        <v>5128</v>
      </c>
      <c r="K7469" s="6" t="str">
        <f>"1.080,00"</f>
        <v>1.080,00</v>
      </c>
      <c r="L7469" s="6" t="str">
        <f>"270,00"</f>
        <v>270,00</v>
      </c>
      <c r="M7469" s="6" t="str">
        <f>"1.350,00"</f>
        <v>1.350,00</v>
      </c>
      <c r="N7469" s="8" t="s">
        <v>124</v>
      </c>
      <c r="O7469" s="7"/>
      <c r="P7469" s="2" t="s">
        <v>5614</v>
      </c>
      <c r="Q7469" s="7"/>
      <c r="R7469" s="1"/>
      <c r="S7469" s="1" t="str">
        <f>"J-UN-2020-1329"</f>
        <v>J-UN-2020-1329</v>
      </c>
      <c r="T7469" s="1" t="s">
        <v>32</v>
      </c>
    </row>
    <row r="7470" spans="1:20" ht="51" x14ac:dyDescent="0.25">
      <c r="A7470" s="6">
        <v>7441</v>
      </c>
      <c r="B7470" s="1" t="str">
        <f>"2020-1848"</f>
        <v>2020-1848</v>
      </c>
      <c r="C7470" s="1" t="s">
        <v>2371</v>
      </c>
      <c r="D7470" s="1" t="s">
        <v>2372</v>
      </c>
      <c r="E7470" s="1" t="str">
        <f>""</f>
        <v/>
      </c>
      <c r="F7470" s="1" t="s">
        <v>1860</v>
      </c>
      <c r="G7470" s="1" t="str">
        <f>CONCATENATE(" MAXIMA USLUGE D.O.O.,"," SAMOBORSKA 222,"," 10000 ZAGREB,"," OIB: 69133421958")</f>
        <v xml:space="preserve"> MAXIMA USLUGE D.O.O., SAMOBORSKA 222, 10000 ZAGREB, OIB: 69133421958</v>
      </c>
      <c r="H7470" s="7"/>
      <c r="I7470" s="8" t="s">
        <v>4244</v>
      </c>
      <c r="J7470" s="8" t="s">
        <v>5128</v>
      </c>
      <c r="K7470" s="6" t="str">
        <f>"1.820,00"</f>
        <v>1.820,00</v>
      </c>
      <c r="L7470" s="6" t="str">
        <f>"455,00"</f>
        <v>455,00</v>
      </c>
      <c r="M7470" s="6" t="str">
        <f>"2.275,00"</f>
        <v>2.275,00</v>
      </c>
      <c r="N7470" s="8" t="s">
        <v>124</v>
      </c>
      <c r="O7470" s="7"/>
      <c r="P7470" s="2" t="s">
        <v>5614</v>
      </c>
      <c r="Q7470" s="7"/>
      <c r="R7470" s="1"/>
      <c r="S7470" s="1" t="str">
        <f>"J-UN-2020-1332"</f>
        <v>J-UN-2020-1332</v>
      </c>
      <c r="T7470" s="1" t="s">
        <v>32</v>
      </c>
    </row>
    <row r="7471" spans="1:20" ht="63.75" x14ac:dyDescent="0.25">
      <c r="A7471" s="6">
        <v>7442</v>
      </c>
      <c r="B7471" s="1" t="str">
        <f>"2020-2656"</f>
        <v>2020-2656</v>
      </c>
      <c r="C7471" s="1" t="s">
        <v>2534</v>
      </c>
      <c r="D7471" s="1" t="s">
        <v>2535</v>
      </c>
      <c r="E7471" s="1" t="str">
        <f>""</f>
        <v/>
      </c>
      <c r="F7471" s="1" t="s">
        <v>1860</v>
      </c>
      <c r="G7471" s="1" t="str">
        <f>CONCATENATE(" JULIUS MEINL BONFANTI D.O.O.,"," LJUBLJANSKA ULICA 4,"," 10431 SVETA NEDELJA,"," OIB: 39546130894")</f>
        <v xml:space="preserve"> JULIUS MEINL BONFANTI D.O.O., LJUBLJANSKA ULICA 4, 10431 SVETA NEDELJA, OIB: 39546130894</v>
      </c>
      <c r="H7471" s="7"/>
      <c r="I7471" s="8" t="s">
        <v>2259</v>
      </c>
      <c r="J7471" s="8" t="s">
        <v>2030</v>
      </c>
      <c r="K7471" s="6" t="str">
        <f>"14.680,00"</f>
        <v>14.680,00</v>
      </c>
      <c r="L7471" s="6" t="str">
        <f>"3.670,00"</f>
        <v>3.670,00</v>
      </c>
      <c r="M7471" s="6" t="str">
        <f>"18.350,00"</f>
        <v>18.350,00</v>
      </c>
      <c r="N7471" s="8" t="s">
        <v>2053</v>
      </c>
      <c r="O7471" s="7"/>
      <c r="P7471" s="2" t="s">
        <v>9169</v>
      </c>
      <c r="Q7471" s="1"/>
      <c r="R7471" s="1"/>
      <c r="S7471" s="1" t="str">
        <f>"J-UN-2020-1381"</f>
        <v>J-UN-2020-1381</v>
      </c>
      <c r="T7471" s="1" t="s">
        <v>32</v>
      </c>
    </row>
    <row r="7472" spans="1:20" ht="63.75" x14ac:dyDescent="0.25">
      <c r="A7472" s="6">
        <v>7443</v>
      </c>
      <c r="B7472" s="1" t="str">
        <f>"2020-270"</f>
        <v>2020-270</v>
      </c>
      <c r="C7472" s="1" t="s">
        <v>2616</v>
      </c>
      <c r="D7472" s="1" t="s">
        <v>2617</v>
      </c>
      <c r="E7472" s="1" t="str">
        <f>""</f>
        <v/>
      </c>
      <c r="F7472" s="1" t="s">
        <v>1860</v>
      </c>
      <c r="G7472" s="1" t="str">
        <f>CONCATENATE(" A.M.I. COMMERCE - LOVREKOVIĆ d.o.o.,"," MAKSIMIRSKA 100,"," 10000 ZAGREB,"," OIB: 55326209639")</f>
        <v xml:space="preserve"> A.M.I. COMMERCE - LOVREKOVIĆ d.o.o., MAKSIMIRSKA 100, 10000 ZAGREB, OIB: 55326209639</v>
      </c>
      <c r="H7472" s="7"/>
      <c r="I7472" s="8" t="s">
        <v>5538</v>
      </c>
      <c r="J7472" s="8" t="s">
        <v>885</v>
      </c>
      <c r="K7472" s="6" t="str">
        <f>"3.197,60"</f>
        <v>3.197,60</v>
      </c>
      <c r="L7472" s="6" t="str">
        <f>"799,40"</f>
        <v>799,40</v>
      </c>
      <c r="M7472" s="6" t="str">
        <f>"3.997,00"</f>
        <v>3.997,00</v>
      </c>
      <c r="N7472" s="8" t="s">
        <v>2536</v>
      </c>
      <c r="O7472" s="7"/>
      <c r="P7472" s="2" t="s">
        <v>9170</v>
      </c>
      <c r="Q7472" s="7"/>
      <c r="R7472" s="1"/>
      <c r="S7472" s="1" t="str">
        <f>"J-UN-2020-1384"</f>
        <v>J-UN-2020-1384</v>
      </c>
      <c r="T7472" s="1" t="s">
        <v>32</v>
      </c>
    </row>
    <row r="7473" spans="1:20" ht="63.75" x14ac:dyDescent="0.25">
      <c r="A7473" s="6">
        <v>7444</v>
      </c>
      <c r="B7473" s="1" t="str">
        <f>"2020-562"</f>
        <v>2020-562</v>
      </c>
      <c r="C7473" s="1" t="s">
        <v>2618</v>
      </c>
      <c r="D7473" s="1" t="s">
        <v>2619</v>
      </c>
      <c r="E7473" s="1" t="str">
        <f>""</f>
        <v/>
      </c>
      <c r="F7473" s="1" t="s">
        <v>1860</v>
      </c>
      <c r="G7473" s="1" t="str">
        <f>CONCATENATE(" ELEKTROMEHANIKA TERLEVIĆ D. O. O.,"," ROČKA 39,"," 52440 POREČ,"," OIB: 54899349912")</f>
        <v xml:space="preserve"> ELEKTROMEHANIKA TERLEVIĆ D. O. O., ROČKA 39, 52440 POREČ, OIB: 54899349912</v>
      </c>
      <c r="H7473" s="7"/>
      <c r="I7473" s="8" t="s">
        <v>3533</v>
      </c>
      <c r="J7473" s="8" t="s">
        <v>4283</v>
      </c>
      <c r="K7473" s="6" t="str">
        <f>"1.890,00"</f>
        <v>1.890,00</v>
      </c>
      <c r="L7473" s="6" t="str">
        <f>"472,50"</f>
        <v>472,50</v>
      </c>
      <c r="M7473" s="6" t="str">
        <f>"2.362,50"</f>
        <v>2.362,50</v>
      </c>
      <c r="N7473" s="8" t="s">
        <v>124</v>
      </c>
      <c r="O7473" s="7"/>
      <c r="P7473" s="2" t="s">
        <v>5614</v>
      </c>
      <c r="Q7473" s="7"/>
      <c r="R7473" s="1"/>
      <c r="S7473" s="1" t="str">
        <f>"J-UN-2020-1395"</f>
        <v>J-UN-2020-1395</v>
      </c>
      <c r="T7473" s="1" t="s">
        <v>32</v>
      </c>
    </row>
    <row r="7474" spans="1:20" ht="51" x14ac:dyDescent="0.25">
      <c r="A7474" s="6">
        <v>7445</v>
      </c>
      <c r="B7474" s="1" t="str">
        <f>"2020-1247"</f>
        <v>2020-1247</v>
      </c>
      <c r="C7474" s="1" t="s">
        <v>2811</v>
      </c>
      <c r="D7474" s="1" t="s">
        <v>1859</v>
      </c>
      <c r="E7474" s="1" t="str">
        <f>""</f>
        <v/>
      </c>
      <c r="F7474" s="1" t="s">
        <v>1860</v>
      </c>
      <c r="G7474" s="1" t="str">
        <f>CONCATENATE(" ZIRS UČILIŠTE,"," ULICA GRADA VUKOVARA 68,"," 10000 ZAGREB,"," OIB: 22228764473")</f>
        <v xml:space="preserve"> ZIRS UČILIŠTE, ULICA GRADA VUKOVARA 68, 10000 ZAGREB, OIB: 22228764473</v>
      </c>
      <c r="H7474" s="7"/>
      <c r="I7474" s="8" t="s">
        <v>885</v>
      </c>
      <c r="J7474" s="8" t="s">
        <v>4686</v>
      </c>
      <c r="K7474" s="6" t="str">
        <f>"3.500,00"</f>
        <v>3.500,00</v>
      </c>
      <c r="L7474" s="6" t="str">
        <f>"875,00"</f>
        <v>875,00</v>
      </c>
      <c r="M7474" s="6" t="str">
        <f>"4.375,00"</f>
        <v>4.375,00</v>
      </c>
      <c r="N7474" s="8" t="s">
        <v>124</v>
      </c>
      <c r="O7474" s="7"/>
      <c r="P7474" s="2" t="s">
        <v>5614</v>
      </c>
      <c r="Q7474" s="7"/>
      <c r="R7474" s="1"/>
      <c r="S7474" s="1" t="str">
        <f>"J-UN-2020-1398"</f>
        <v>J-UN-2020-1398</v>
      </c>
      <c r="T7474" s="1" t="s">
        <v>32</v>
      </c>
    </row>
    <row r="7475" spans="1:20" ht="51" x14ac:dyDescent="0.25">
      <c r="A7475" s="6">
        <v>7446</v>
      </c>
      <c r="B7475" s="1" t="str">
        <f>"2020-2308"</f>
        <v>2020-2308</v>
      </c>
      <c r="C7475" s="1" t="s">
        <v>2711</v>
      </c>
      <c r="D7475" s="1" t="s">
        <v>1914</v>
      </c>
      <c r="E7475" s="1" t="str">
        <f>""</f>
        <v/>
      </c>
      <c r="F7475" s="1" t="s">
        <v>1860</v>
      </c>
      <c r="G7475" s="1" t="str">
        <f>CONCATENATE(" EMMECO D. O. O.,"," BUZETSKA 5,"," 52470 UMAG (UMAGO),"," OIB: 60384064724")</f>
        <v xml:space="preserve"> EMMECO D. O. O., BUZETSKA 5, 52470 UMAG (UMAGO), OIB: 60384064724</v>
      </c>
      <c r="H7475" s="7"/>
      <c r="I7475" s="8" t="s">
        <v>3533</v>
      </c>
      <c r="J7475" s="8" t="s">
        <v>4283</v>
      </c>
      <c r="K7475" s="6" t="str">
        <f>"2.232,00"</f>
        <v>2.232,00</v>
      </c>
      <c r="L7475" s="6" t="str">
        <f>"558,00"</f>
        <v>558,00</v>
      </c>
      <c r="M7475" s="6" t="str">
        <f>"2.790,00"</f>
        <v>2.790,00</v>
      </c>
      <c r="N7475" s="8" t="s">
        <v>4935</v>
      </c>
      <c r="O7475" s="7"/>
      <c r="P7475" s="2" t="s">
        <v>9171</v>
      </c>
      <c r="Q7475" s="7"/>
      <c r="R7475" s="1"/>
      <c r="S7475" s="1" t="str">
        <f>"J-UN-2020-1401"</f>
        <v>J-UN-2020-1401</v>
      </c>
      <c r="T7475" s="1" t="s">
        <v>32</v>
      </c>
    </row>
    <row r="7476" spans="1:20" ht="51" x14ac:dyDescent="0.25">
      <c r="A7476" s="6">
        <v>7447</v>
      </c>
      <c r="B7476" s="1" t="str">
        <f>"2020-692"</f>
        <v>2020-692</v>
      </c>
      <c r="C7476" s="1" t="s">
        <v>2779</v>
      </c>
      <c r="D7476" s="1" t="s">
        <v>2780</v>
      </c>
      <c r="E7476" s="1" t="str">
        <f>""</f>
        <v/>
      </c>
      <c r="F7476" s="1" t="s">
        <v>1860</v>
      </c>
      <c r="G7476" s="1" t="str">
        <f>CONCATENATE(" LEXPERA D.O.O.,"," TUŠKANOVA 37,"," 10000 ZAGREB,"," OIB: 79506290597")</f>
        <v xml:space="preserve"> LEXPERA D.O.O., TUŠKANOVA 37, 10000 ZAGREB, OIB: 79506290597</v>
      </c>
      <c r="H7476" s="7"/>
      <c r="I7476" s="8" t="s">
        <v>5538</v>
      </c>
      <c r="J7476" s="8" t="s">
        <v>885</v>
      </c>
      <c r="K7476" s="6" t="str">
        <f>"3.312,00"</f>
        <v>3.312,00</v>
      </c>
      <c r="L7476" s="6" t="str">
        <f>"828,00"</f>
        <v>828,00</v>
      </c>
      <c r="M7476" s="6" t="str">
        <f>"4.140,00"</f>
        <v>4.140,00</v>
      </c>
      <c r="N7476" s="8" t="s">
        <v>124</v>
      </c>
      <c r="O7476" s="7"/>
      <c r="P7476" s="2" t="s">
        <v>5614</v>
      </c>
      <c r="Q7476" s="7"/>
      <c r="R7476" s="1"/>
      <c r="S7476" s="1" t="str">
        <f>"J-UN-2020-1415"</f>
        <v>J-UN-2020-1415</v>
      </c>
      <c r="T7476" s="1" t="s">
        <v>32</v>
      </c>
    </row>
    <row r="7477" spans="1:20" ht="51" x14ac:dyDescent="0.25">
      <c r="A7477" s="6">
        <v>7448</v>
      </c>
      <c r="B7477" s="1" t="str">
        <f>"2020-1417"</f>
        <v>2020-1417</v>
      </c>
      <c r="C7477" s="1" t="s">
        <v>2700</v>
      </c>
      <c r="D7477" s="1" t="s">
        <v>2701</v>
      </c>
      <c r="E7477" s="1" t="str">
        <f>""</f>
        <v/>
      </c>
      <c r="F7477" s="1" t="s">
        <v>1860</v>
      </c>
      <c r="G7477" s="1" t="str">
        <f>CONCATENATE(" SVRDLO D.O.O.,"," ŠKOLSKA ULICA 10,"," 10370 DUGO SELO,"," OIB: 36535565458")</f>
        <v xml:space="preserve"> SVRDLO D.O.O., ŠKOLSKA ULICA 10, 10370 DUGO SELO, OIB: 36535565458</v>
      </c>
      <c r="H7477" s="7"/>
      <c r="I7477" s="8" t="s">
        <v>4686</v>
      </c>
      <c r="J7477" s="8" t="s">
        <v>4435</v>
      </c>
      <c r="K7477" s="6" t="str">
        <f>"3.885,00"</f>
        <v>3.885,00</v>
      </c>
      <c r="L7477" s="6" t="str">
        <f>"971,25"</f>
        <v>971,25</v>
      </c>
      <c r="M7477" s="6" t="str">
        <f>"4.856,25"</f>
        <v>4.856,25</v>
      </c>
      <c r="N7477" s="8" t="s">
        <v>124</v>
      </c>
      <c r="O7477" s="7"/>
      <c r="P7477" s="2" t="s">
        <v>5614</v>
      </c>
      <c r="Q7477" s="7"/>
      <c r="R7477" s="1"/>
      <c r="S7477" s="1" t="str">
        <f>"J-UN-2020-1427"</f>
        <v>J-UN-2020-1427</v>
      </c>
      <c r="T7477" s="1" t="s">
        <v>32</v>
      </c>
    </row>
    <row r="7478" spans="1:20" ht="63.75" x14ac:dyDescent="0.25">
      <c r="A7478" s="6">
        <v>7449</v>
      </c>
      <c r="B7478" s="1" t="str">
        <f>"2020-2912"</f>
        <v>2020-2912</v>
      </c>
      <c r="C7478" s="1" t="s">
        <v>5539</v>
      </c>
      <c r="D7478" s="1" t="s">
        <v>914</v>
      </c>
      <c r="E7478" s="1" t="str">
        <f>""</f>
        <v/>
      </c>
      <c r="F7478" s="1" t="s">
        <v>1860</v>
      </c>
      <c r="G7478" s="1" t="str">
        <f>CONCATENATE(" TOKIĆ D.O.O.,"," ULICA 144. BRIGADE HRVATSKE VOJSKE 1A,"," 10360 SESVETE,"," OIB: 7486748762")</f>
        <v xml:space="preserve"> TOKIĆ D.O.O., ULICA 144. BRIGADE HRVATSKE VOJSKE 1A, 10360 SESVETE, OIB: 7486748762</v>
      </c>
      <c r="H7478" s="7"/>
      <c r="I7478" s="8" t="s">
        <v>4686</v>
      </c>
      <c r="J7478" s="8" t="s">
        <v>2536</v>
      </c>
      <c r="K7478" s="6" t="str">
        <f>"2.048,20"</f>
        <v>2.048,20</v>
      </c>
      <c r="L7478" s="6" t="str">
        <f>"512,05"</f>
        <v>512,05</v>
      </c>
      <c r="M7478" s="6" t="str">
        <f>"2.560,25"</f>
        <v>2.560,25</v>
      </c>
      <c r="N7478" s="8" t="s">
        <v>4669</v>
      </c>
      <c r="O7478" s="7"/>
      <c r="P7478" s="2" t="s">
        <v>9172</v>
      </c>
      <c r="Q7478" s="7"/>
      <c r="R7478" s="1"/>
      <c r="S7478" s="1" t="str">
        <f>"J-UN-2020-1432"</f>
        <v>J-UN-2020-1432</v>
      </c>
      <c r="T7478" s="1" t="s">
        <v>32</v>
      </c>
    </row>
    <row r="7479" spans="1:20" ht="51" x14ac:dyDescent="0.25">
      <c r="A7479" s="6">
        <v>7450</v>
      </c>
      <c r="B7479" s="1" t="str">
        <f>"2020-2862"</f>
        <v>2020-2862</v>
      </c>
      <c r="C7479" s="1" t="s">
        <v>5526</v>
      </c>
      <c r="D7479" s="1" t="s">
        <v>914</v>
      </c>
      <c r="E7479" s="1" t="str">
        <f>""</f>
        <v/>
      </c>
      <c r="F7479" s="1" t="s">
        <v>1860</v>
      </c>
      <c r="G7479" s="1" t="str">
        <f>CONCATENATE(" TPZ D.O.O.,"," NOVOSELSKA 25,"," 10000 ZAGREB,"," OIB: 68119083236")</f>
        <v xml:space="preserve"> TPZ D.O.O., NOVOSELSKA 25, 10000 ZAGREB, OIB: 68119083236</v>
      </c>
      <c r="H7479" s="7"/>
      <c r="I7479" s="8" t="s">
        <v>4935</v>
      </c>
      <c r="J7479" s="8" t="s">
        <v>5538</v>
      </c>
      <c r="K7479" s="6" t="str">
        <f>"3.006,15"</f>
        <v>3.006,15</v>
      </c>
      <c r="L7479" s="6" t="str">
        <f>"751,54"</f>
        <v>751,54</v>
      </c>
      <c r="M7479" s="6" t="str">
        <f>"3.757,69"</f>
        <v>3.757,69</v>
      </c>
      <c r="N7479" s="8" t="s">
        <v>124</v>
      </c>
      <c r="O7479" s="7"/>
      <c r="P7479" s="2" t="s">
        <v>5614</v>
      </c>
      <c r="Q7479" s="7"/>
      <c r="R7479" s="1"/>
      <c r="S7479" s="1" t="str">
        <f>"J-UN-2020-1433"</f>
        <v>J-UN-2020-1433</v>
      </c>
      <c r="T7479" s="1" t="s">
        <v>32</v>
      </c>
    </row>
    <row r="7480" spans="1:20" ht="63.75" x14ac:dyDescent="0.25">
      <c r="A7480" s="6">
        <v>7451</v>
      </c>
      <c r="B7480" s="1" t="str">
        <f>"2020-660"</f>
        <v>2020-660</v>
      </c>
      <c r="C7480" s="1" t="s">
        <v>2926</v>
      </c>
      <c r="D7480" s="1" t="s">
        <v>689</v>
      </c>
      <c r="E7480" s="1" t="str">
        <f>""</f>
        <v/>
      </c>
      <c r="F7480" s="1" t="s">
        <v>1860</v>
      </c>
      <c r="G7480" s="1" t="str">
        <f>CONCATENATE(" ROTOPLAST D.O.O.,"," PODUZETNIČKA 7,"," 10431 SVETA NEDJELJA - KERESTINEC,"," OIB: 3795557299")</f>
        <v xml:space="preserve"> ROTOPLAST D.O.O., PODUZETNIČKA 7, 10431 SVETA NEDJELJA - KERESTINEC, OIB: 3795557299</v>
      </c>
      <c r="H7480" s="7"/>
      <c r="I7480" s="8" t="s">
        <v>885</v>
      </c>
      <c r="J7480" s="8" t="s">
        <v>4686</v>
      </c>
      <c r="K7480" s="6" t="str">
        <f>"198.952,50"</f>
        <v>198.952,50</v>
      </c>
      <c r="L7480" s="6" t="str">
        <f>"49.738,12"</f>
        <v>49.738,12</v>
      </c>
      <c r="M7480" s="6" t="str">
        <f>"248.690,62"</f>
        <v>248.690,62</v>
      </c>
      <c r="N7480" s="8" t="s">
        <v>124</v>
      </c>
      <c r="O7480" s="7"/>
      <c r="P7480" s="2" t="s">
        <v>5614</v>
      </c>
      <c r="Q7480" s="7"/>
      <c r="R7480" s="1"/>
      <c r="S7480" s="1" t="str">
        <f>"J-UN-2020-1443"</f>
        <v>J-UN-2020-1443</v>
      </c>
      <c r="T7480" s="1" t="s">
        <v>32</v>
      </c>
    </row>
    <row r="7481" spans="1:20" ht="63.75" x14ac:dyDescent="0.25">
      <c r="A7481" s="6">
        <v>7452</v>
      </c>
      <c r="B7481" s="1" t="str">
        <f>"2020-2803"</f>
        <v>2020-2803</v>
      </c>
      <c r="C7481" s="1" t="s">
        <v>5517</v>
      </c>
      <c r="D7481" s="1" t="s">
        <v>5502</v>
      </c>
      <c r="E7481" s="1" t="str">
        <f>""</f>
        <v/>
      </c>
      <c r="F7481" s="1" t="s">
        <v>1860</v>
      </c>
      <c r="G7481" s="1" t="str">
        <f>CONCATENATE(" KEMOBOJA-DUBRAVA D.O.O.,"," AVENIJA DUBRAVA 37,"," 10000 ZAGREB,"," OIB: 6402157427")</f>
        <v xml:space="preserve"> KEMOBOJA-DUBRAVA D.O.O., AVENIJA DUBRAVA 37, 10000 ZAGREB, OIB: 6402157427</v>
      </c>
      <c r="H7481" s="7"/>
      <c r="I7481" s="8" t="s">
        <v>2536</v>
      </c>
      <c r="J7481" s="8" t="s">
        <v>4435</v>
      </c>
      <c r="K7481" s="6" t="str">
        <f>"1.276,80"</f>
        <v>1.276,80</v>
      </c>
      <c r="L7481" s="6" t="str">
        <f>"319,20"</f>
        <v>319,20</v>
      </c>
      <c r="M7481" s="6" t="str">
        <f>"1.596,00"</f>
        <v>1.596,00</v>
      </c>
      <c r="N7481" s="8" t="s">
        <v>124</v>
      </c>
      <c r="O7481" s="7"/>
      <c r="P7481" s="2" t="s">
        <v>5614</v>
      </c>
      <c r="Q7481" s="7"/>
      <c r="R7481" s="1"/>
      <c r="S7481" s="1" t="str">
        <f>"J-UN-2020-1461"</f>
        <v>J-UN-2020-1461</v>
      </c>
      <c r="T7481" s="1" t="s">
        <v>32</v>
      </c>
    </row>
    <row r="7482" spans="1:20" ht="51" x14ac:dyDescent="0.25">
      <c r="A7482" s="6">
        <v>7453</v>
      </c>
      <c r="B7482" s="1" t="str">
        <f>"2020-692"</f>
        <v>2020-692</v>
      </c>
      <c r="C7482" s="1" t="s">
        <v>2779</v>
      </c>
      <c r="D7482" s="1" t="s">
        <v>2780</v>
      </c>
      <c r="E7482" s="1" t="str">
        <f>""</f>
        <v/>
      </c>
      <c r="F7482" s="1" t="s">
        <v>1860</v>
      </c>
      <c r="G7482" s="1" t="str">
        <f>CONCATENATE(" EL KONCEPT D.O.O.,"," ULICA JULIJA KNIFER 2,"," 10000 ZAGREB,"," OIB: 96533691227")</f>
        <v xml:space="preserve"> EL KONCEPT D.O.O., ULICA JULIJA KNIFER 2, 10000 ZAGREB, OIB: 96533691227</v>
      </c>
      <c r="H7482" s="7"/>
      <c r="I7482" s="8" t="s">
        <v>5538</v>
      </c>
      <c r="J7482" s="8" t="s">
        <v>885</v>
      </c>
      <c r="K7482" s="6" t="str">
        <f>"5.200,00"</f>
        <v>5.200,00</v>
      </c>
      <c r="L7482" s="6" t="str">
        <f>"1.300,00"</f>
        <v>1.300,00</v>
      </c>
      <c r="M7482" s="6" t="str">
        <f>"6.500,00"</f>
        <v>6.500,00</v>
      </c>
      <c r="N7482" s="8" t="s">
        <v>124</v>
      </c>
      <c r="O7482" s="7"/>
      <c r="P7482" s="2" t="s">
        <v>5614</v>
      </c>
      <c r="Q7482" s="7"/>
      <c r="R7482" s="1"/>
      <c r="S7482" s="1" t="str">
        <f>"J-UN-2020-1463"</f>
        <v>J-UN-2020-1463</v>
      </c>
      <c r="T7482" s="1" t="s">
        <v>32</v>
      </c>
    </row>
    <row r="7483" spans="1:20" ht="51" x14ac:dyDescent="0.25">
      <c r="A7483" s="6">
        <v>7454</v>
      </c>
      <c r="B7483" s="1" t="str">
        <f>"2020-2845"</f>
        <v>2020-2845</v>
      </c>
      <c r="C7483" s="1" t="s">
        <v>5515</v>
      </c>
      <c r="D7483" s="1" t="s">
        <v>2682</v>
      </c>
      <c r="E7483" s="1" t="str">
        <f>""</f>
        <v/>
      </c>
      <c r="F7483" s="1" t="s">
        <v>1860</v>
      </c>
      <c r="G7483" s="1" t="str">
        <f>CONCATENATE(" ZAGREBPETROL D.O.O.,"," ČRNOMEREC 38,"," 10000 ZAGREB,"," OIB: 04289142943")</f>
        <v xml:space="preserve"> ZAGREBPETROL D.O.O., ČRNOMEREC 38, 10000 ZAGREB, OIB: 04289142943</v>
      </c>
      <c r="H7483" s="7"/>
      <c r="I7483" s="8" t="s">
        <v>2259</v>
      </c>
      <c r="J7483" s="8" t="s">
        <v>5540</v>
      </c>
      <c r="K7483" s="6" t="str">
        <f>"33.750,00"</f>
        <v>33.750,00</v>
      </c>
      <c r="L7483" s="6" t="str">
        <f>"8.437,50"</f>
        <v>8.437,50</v>
      </c>
      <c r="M7483" s="6" t="str">
        <f>"42.187,50"</f>
        <v>42.187,50</v>
      </c>
      <c r="N7483" s="8" t="s">
        <v>4250</v>
      </c>
      <c r="O7483" s="7"/>
      <c r="P7483" s="2" t="s">
        <v>9173</v>
      </c>
      <c r="Q7483" s="7"/>
      <c r="R7483" s="1"/>
      <c r="S7483" s="1" t="str">
        <f>"J-UN-2020-1471"</f>
        <v>J-UN-2020-1471</v>
      </c>
      <c r="T7483" s="1" t="s">
        <v>32</v>
      </c>
    </row>
    <row r="7484" spans="1:20" ht="63.75" x14ac:dyDescent="0.25">
      <c r="A7484" s="6">
        <v>7455</v>
      </c>
      <c r="B7484" s="1" t="str">
        <f>"2020-2471"</f>
        <v>2020-2471</v>
      </c>
      <c r="C7484" s="1" t="s">
        <v>2991</v>
      </c>
      <c r="D7484" s="1" t="s">
        <v>2992</v>
      </c>
      <c r="E7484" s="1" t="str">
        <f>""</f>
        <v/>
      </c>
      <c r="F7484" s="1" t="s">
        <v>1860</v>
      </c>
      <c r="G7484" s="1" t="str">
        <f t="shared" ref="G7484:G7489" si="251">CONCATENATE(" LANIŠTE D.O.O.,"," ALEXANDERA VON HUMBOLDTA 4B,"," 10000 ZAGREB,"," OIB: 3755384865")</f>
        <v xml:space="preserve"> LANIŠTE D.O.O., ALEXANDERA VON HUMBOLDTA 4B, 10000 ZAGREB, OIB: 3755384865</v>
      </c>
      <c r="H7484" s="7"/>
      <c r="I7484" s="8" t="s">
        <v>2536</v>
      </c>
      <c r="J7484" s="8" t="s">
        <v>4435</v>
      </c>
      <c r="K7484" s="6" t="str">
        <f>"3.636,00"</f>
        <v>3.636,00</v>
      </c>
      <c r="L7484" s="6" t="str">
        <f>"909,00"</f>
        <v>909,00</v>
      </c>
      <c r="M7484" s="6" t="str">
        <f>"4.545,00"</f>
        <v>4.545,00</v>
      </c>
      <c r="N7484" s="8" t="s">
        <v>124</v>
      </c>
      <c r="O7484" s="7"/>
      <c r="P7484" s="2" t="s">
        <v>5614</v>
      </c>
      <c r="Q7484" s="7"/>
      <c r="R7484" s="1"/>
      <c r="S7484" s="1" t="str">
        <f>"J-UN-2020-1473"</f>
        <v>J-UN-2020-1473</v>
      </c>
      <c r="T7484" s="1" t="s">
        <v>32</v>
      </c>
    </row>
    <row r="7485" spans="1:20" ht="63.75" x14ac:dyDescent="0.25">
      <c r="A7485" s="6">
        <v>7456</v>
      </c>
      <c r="B7485" s="1" t="str">
        <f>"2020-2411"</f>
        <v>2020-2411</v>
      </c>
      <c r="C7485" s="1" t="s">
        <v>2984</v>
      </c>
      <c r="D7485" s="1" t="s">
        <v>2985</v>
      </c>
      <c r="E7485" s="1" t="str">
        <f>""</f>
        <v/>
      </c>
      <c r="F7485" s="1" t="s">
        <v>1860</v>
      </c>
      <c r="G7485" s="1" t="str">
        <f t="shared" si="251"/>
        <v xml:space="preserve"> LANIŠTE D.O.O., ALEXANDERA VON HUMBOLDTA 4B, 10000 ZAGREB, OIB: 3755384865</v>
      </c>
      <c r="H7485" s="7"/>
      <c r="I7485" s="8" t="s">
        <v>2536</v>
      </c>
      <c r="J7485" s="8" t="s">
        <v>4435</v>
      </c>
      <c r="K7485" s="6" t="str">
        <f>"4.032,00"</f>
        <v>4.032,00</v>
      </c>
      <c r="L7485" s="6" t="str">
        <f>"1.008,00"</f>
        <v>1.008,00</v>
      </c>
      <c r="M7485" s="6" t="str">
        <f>"5.040,00"</f>
        <v>5.040,00</v>
      </c>
      <c r="N7485" s="8" t="s">
        <v>124</v>
      </c>
      <c r="O7485" s="7"/>
      <c r="P7485" s="2" t="s">
        <v>5614</v>
      </c>
      <c r="Q7485" s="7"/>
      <c r="R7485" s="1"/>
      <c r="S7485" s="1" t="str">
        <f>"J-UN-2020-1474"</f>
        <v>J-UN-2020-1474</v>
      </c>
      <c r="T7485" s="1" t="s">
        <v>32</v>
      </c>
    </row>
    <row r="7486" spans="1:20" ht="63.75" x14ac:dyDescent="0.25">
      <c r="A7486" s="6">
        <v>7457</v>
      </c>
      <c r="B7486" s="1" t="str">
        <f>"2020-983"</f>
        <v>2020-983</v>
      </c>
      <c r="C7486" s="1" t="s">
        <v>2986</v>
      </c>
      <c r="D7486" s="1" t="s">
        <v>2985</v>
      </c>
      <c r="E7486" s="1" t="str">
        <f>""</f>
        <v/>
      </c>
      <c r="F7486" s="1" t="s">
        <v>1860</v>
      </c>
      <c r="G7486" s="1" t="str">
        <f t="shared" si="251"/>
        <v xml:space="preserve"> LANIŠTE D.O.O., ALEXANDERA VON HUMBOLDTA 4B, 10000 ZAGREB, OIB: 3755384865</v>
      </c>
      <c r="H7486" s="7"/>
      <c r="I7486" s="8" t="s">
        <v>2536</v>
      </c>
      <c r="J7486" s="8" t="s">
        <v>4435</v>
      </c>
      <c r="K7486" s="6" t="str">
        <f>"4.032,00"</f>
        <v>4.032,00</v>
      </c>
      <c r="L7486" s="6" t="str">
        <f>"1.008,00"</f>
        <v>1.008,00</v>
      </c>
      <c r="M7486" s="6" t="str">
        <f>"5.040,00"</f>
        <v>5.040,00</v>
      </c>
      <c r="N7486" s="8" t="s">
        <v>124</v>
      </c>
      <c r="O7486" s="7"/>
      <c r="P7486" s="2" t="s">
        <v>5614</v>
      </c>
      <c r="Q7486" s="7"/>
      <c r="R7486" s="1"/>
      <c r="S7486" s="1" t="str">
        <f>"J-UN-2020-1475"</f>
        <v>J-UN-2020-1475</v>
      </c>
      <c r="T7486" s="1" t="s">
        <v>32</v>
      </c>
    </row>
    <row r="7487" spans="1:20" ht="63.75" x14ac:dyDescent="0.25">
      <c r="A7487" s="6">
        <v>7458</v>
      </c>
      <c r="B7487" s="1" t="str">
        <f>"2020-1631"</f>
        <v>2020-1631</v>
      </c>
      <c r="C7487" s="1" t="s">
        <v>2987</v>
      </c>
      <c r="D7487" s="1" t="s">
        <v>2988</v>
      </c>
      <c r="E7487" s="1" t="str">
        <f>""</f>
        <v/>
      </c>
      <c r="F7487" s="1" t="s">
        <v>1860</v>
      </c>
      <c r="G7487" s="1" t="str">
        <f t="shared" si="251"/>
        <v xml:space="preserve"> LANIŠTE D.O.O., ALEXANDERA VON HUMBOLDTA 4B, 10000 ZAGREB, OIB: 3755384865</v>
      </c>
      <c r="H7487" s="7"/>
      <c r="I7487" s="8" t="s">
        <v>2536</v>
      </c>
      <c r="J7487" s="8" t="s">
        <v>4435</v>
      </c>
      <c r="K7487" s="6" t="str">
        <f>"4.032,00"</f>
        <v>4.032,00</v>
      </c>
      <c r="L7487" s="6" t="str">
        <f>"1.008,00"</f>
        <v>1.008,00</v>
      </c>
      <c r="M7487" s="6" t="str">
        <f>"5.040,00"</f>
        <v>5.040,00</v>
      </c>
      <c r="N7487" s="8" t="s">
        <v>124</v>
      </c>
      <c r="O7487" s="7"/>
      <c r="P7487" s="2" t="s">
        <v>5614</v>
      </c>
      <c r="Q7487" s="7"/>
      <c r="R7487" s="1"/>
      <c r="S7487" s="1" t="str">
        <f>"J-UN-2020-1476"</f>
        <v>J-UN-2020-1476</v>
      </c>
      <c r="T7487" s="1" t="s">
        <v>32</v>
      </c>
    </row>
    <row r="7488" spans="1:20" ht="63.75" x14ac:dyDescent="0.25">
      <c r="A7488" s="6">
        <v>7459</v>
      </c>
      <c r="B7488" s="1" t="str">
        <f>"2020-1905"</f>
        <v>2020-1905</v>
      </c>
      <c r="C7488" s="1" t="s">
        <v>2993</v>
      </c>
      <c r="D7488" s="1" t="s">
        <v>2994</v>
      </c>
      <c r="E7488" s="1" t="str">
        <f>""</f>
        <v/>
      </c>
      <c r="F7488" s="1" t="s">
        <v>1860</v>
      </c>
      <c r="G7488" s="1" t="str">
        <f t="shared" si="251"/>
        <v xml:space="preserve"> LANIŠTE D.O.O., ALEXANDERA VON HUMBOLDTA 4B, 10000 ZAGREB, OIB: 3755384865</v>
      </c>
      <c r="H7488" s="7"/>
      <c r="I7488" s="8" t="s">
        <v>2536</v>
      </c>
      <c r="J7488" s="8" t="s">
        <v>4435</v>
      </c>
      <c r="K7488" s="6" t="str">
        <f>"3.632,00"</f>
        <v>3.632,00</v>
      </c>
      <c r="L7488" s="6" t="str">
        <f>"908,00"</f>
        <v>908,00</v>
      </c>
      <c r="M7488" s="6" t="str">
        <f>"4.540,00"</f>
        <v>4.540,00</v>
      </c>
      <c r="N7488" s="8" t="s">
        <v>124</v>
      </c>
      <c r="O7488" s="7"/>
      <c r="P7488" s="2" t="s">
        <v>5614</v>
      </c>
      <c r="Q7488" s="7"/>
      <c r="R7488" s="1"/>
      <c r="S7488" s="1" t="str">
        <f>"J-UN-2020-1477"</f>
        <v>J-UN-2020-1477</v>
      </c>
      <c r="T7488" s="1" t="s">
        <v>32</v>
      </c>
    </row>
    <row r="7489" spans="1:20" ht="63.75" x14ac:dyDescent="0.25">
      <c r="A7489" s="6">
        <v>7460</v>
      </c>
      <c r="B7489" s="1" t="str">
        <f>"2020-1298"</f>
        <v>2020-1298</v>
      </c>
      <c r="C7489" s="1" t="s">
        <v>2989</v>
      </c>
      <c r="D7489" s="1" t="s">
        <v>2990</v>
      </c>
      <c r="E7489" s="1" t="str">
        <f>""</f>
        <v/>
      </c>
      <c r="F7489" s="1" t="s">
        <v>1860</v>
      </c>
      <c r="G7489" s="1" t="str">
        <f t="shared" si="251"/>
        <v xml:space="preserve"> LANIŠTE D.O.O., ALEXANDERA VON HUMBOLDTA 4B, 10000 ZAGREB, OIB: 3755384865</v>
      </c>
      <c r="H7489" s="7"/>
      <c r="I7489" s="8" t="s">
        <v>2536</v>
      </c>
      <c r="J7489" s="8" t="s">
        <v>4435</v>
      </c>
      <c r="K7489" s="6" t="str">
        <f>"3.636,00"</f>
        <v>3.636,00</v>
      </c>
      <c r="L7489" s="6" t="str">
        <f>"909,00"</f>
        <v>909,00</v>
      </c>
      <c r="M7489" s="6" t="str">
        <f>"4.545,00"</f>
        <v>4.545,00</v>
      </c>
      <c r="N7489" s="8" t="s">
        <v>124</v>
      </c>
      <c r="O7489" s="7"/>
      <c r="P7489" s="2" t="s">
        <v>5614</v>
      </c>
      <c r="Q7489" s="7"/>
      <c r="R7489" s="1"/>
      <c r="S7489" s="1" t="str">
        <f>"J-UN-2020-1478"</f>
        <v>J-UN-2020-1478</v>
      </c>
      <c r="T7489" s="1" t="s">
        <v>32</v>
      </c>
    </row>
    <row r="7490" spans="1:20" ht="51" x14ac:dyDescent="0.25">
      <c r="A7490" s="6">
        <v>7461</v>
      </c>
      <c r="B7490" s="1" t="str">
        <f>"2020-2862"</f>
        <v>2020-2862</v>
      </c>
      <c r="C7490" s="1" t="s">
        <v>5526</v>
      </c>
      <c r="D7490" s="1" t="s">
        <v>914</v>
      </c>
      <c r="E7490" s="1" t="str">
        <f>""</f>
        <v/>
      </c>
      <c r="F7490" s="1" t="s">
        <v>1860</v>
      </c>
      <c r="G7490" s="1" t="str">
        <f>CONCATENATE(" AUTOMEHANIKA D.D.,"," KOVINSKA 4,"," 10000 ZAGREB,"," OIB: 5223317126")</f>
        <v xml:space="preserve"> AUTOMEHANIKA D.D., KOVINSKA 4, 10000 ZAGREB, OIB: 5223317126</v>
      </c>
      <c r="H7490" s="7"/>
      <c r="I7490" s="8" t="s">
        <v>2536</v>
      </c>
      <c r="J7490" s="8" t="s">
        <v>1047</v>
      </c>
      <c r="K7490" s="6" t="str">
        <f>"7.786,90"</f>
        <v>7.786,90</v>
      </c>
      <c r="L7490" s="6" t="str">
        <f>"1.946,72"</f>
        <v>1.946,72</v>
      </c>
      <c r="M7490" s="6" t="str">
        <f>"9.733,62"</f>
        <v>9.733,62</v>
      </c>
      <c r="N7490" s="8" t="s">
        <v>4947</v>
      </c>
      <c r="O7490" s="7"/>
      <c r="P7490" s="2" t="s">
        <v>9174</v>
      </c>
      <c r="Q7490" s="7"/>
      <c r="R7490" s="1"/>
      <c r="S7490" s="1" t="str">
        <f>"J-UN-2020-1502"</f>
        <v>J-UN-2020-1502</v>
      </c>
      <c r="T7490" s="1" t="s">
        <v>32</v>
      </c>
    </row>
    <row r="7491" spans="1:20" ht="51" x14ac:dyDescent="0.25">
      <c r="A7491" s="6">
        <v>7462</v>
      </c>
      <c r="B7491" s="1" t="str">
        <f>"2020-2502"</f>
        <v>2020-2502</v>
      </c>
      <c r="C7491" s="1" t="s">
        <v>2786</v>
      </c>
      <c r="D7491" s="1" t="s">
        <v>476</v>
      </c>
      <c r="E7491" s="1" t="str">
        <f>""</f>
        <v/>
      </c>
      <c r="F7491" s="1" t="s">
        <v>1860</v>
      </c>
      <c r="G7491" s="1" t="str">
        <f>CONCATENATE(" KOPI-AS D.O.O.,"," CERNIČKA 4,"," 10000 ZAGREB,"," OIB: 96605206988")</f>
        <v xml:space="preserve"> KOPI-AS D.O.O., CERNIČKA 4, 10000 ZAGREB, OIB: 96605206988</v>
      </c>
      <c r="H7491" s="7"/>
      <c r="I7491" s="8" t="s">
        <v>5540</v>
      </c>
      <c r="J7491" s="8" t="s">
        <v>5534</v>
      </c>
      <c r="K7491" s="6" t="str">
        <f>"2.121,80"</f>
        <v>2.121,80</v>
      </c>
      <c r="L7491" s="6" t="str">
        <f>"530,45"</f>
        <v>530,45</v>
      </c>
      <c r="M7491" s="6" t="str">
        <f>"2.652,25"</f>
        <v>2.652,25</v>
      </c>
      <c r="N7491" s="8" t="s">
        <v>124</v>
      </c>
      <c r="O7491" s="7"/>
      <c r="P7491" s="2" t="s">
        <v>5614</v>
      </c>
      <c r="Q7491" s="7"/>
      <c r="R7491" s="1"/>
      <c r="S7491" s="1" t="str">
        <f>"J-UN-2020-1537"</f>
        <v>J-UN-2020-1537</v>
      </c>
      <c r="T7491" s="1" t="s">
        <v>32</v>
      </c>
    </row>
    <row r="7492" spans="1:20" ht="51" x14ac:dyDescent="0.25">
      <c r="A7492" s="6">
        <v>7463</v>
      </c>
      <c r="B7492" s="1" t="str">
        <f>"2020-739"</f>
        <v>2020-739</v>
      </c>
      <c r="C7492" s="1" t="s">
        <v>2935</v>
      </c>
      <c r="D7492" s="1" t="s">
        <v>1236</v>
      </c>
      <c r="E7492" s="1" t="str">
        <f>""</f>
        <v/>
      </c>
      <c r="F7492" s="1" t="s">
        <v>1860</v>
      </c>
      <c r="G7492" s="1" t="str">
        <f>CONCATENATE(" SWARCO CROATIA D.O.O.,"," SPREČKA 8,"," 10000 ZAGREB,"," OIB: 79421023865")</f>
        <v xml:space="preserve"> SWARCO CROATIA D.O.O., SPREČKA 8, 10000 ZAGREB, OIB: 79421023865</v>
      </c>
      <c r="H7492" s="7"/>
      <c r="I7492" s="8" t="s">
        <v>5540</v>
      </c>
      <c r="J7492" s="8" t="s">
        <v>5534</v>
      </c>
      <c r="K7492" s="6" t="str">
        <f>"6.800,00"</f>
        <v>6.800,00</v>
      </c>
      <c r="L7492" s="6" t="str">
        <f>"1.700,00"</f>
        <v>1.700,00</v>
      </c>
      <c r="M7492" s="6" t="str">
        <f>"8.500,00"</f>
        <v>8.500,00</v>
      </c>
      <c r="N7492" s="8" t="s">
        <v>124</v>
      </c>
      <c r="O7492" s="7"/>
      <c r="P7492" s="2" t="s">
        <v>5614</v>
      </c>
      <c r="Q7492" s="7"/>
      <c r="R7492" s="1"/>
      <c r="S7492" s="1" t="str">
        <f>"J-UN-2020-1538"</f>
        <v>J-UN-2020-1538</v>
      </c>
      <c r="T7492" s="1" t="s">
        <v>32</v>
      </c>
    </row>
    <row r="7493" spans="1:20" ht="63.75" x14ac:dyDescent="0.25">
      <c r="A7493" s="6">
        <v>7464</v>
      </c>
      <c r="B7493" s="1" t="str">
        <f>"2020-2911"</f>
        <v>2020-2911</v>
      </c>
      <c r="C7493" s="1" t="s">
        <v>5541</v>
      </c>
      <c r="D7493" s="1" t="s">
        <v>914</v>
      </c>
      <c r="E7493" s="1" t="str">
        <f>""</f>
        <v/>
      </c>
      <c r="F7493" s="1" t="s">
        <v>1860</v>
      </c>
      <c r="G7493" s="1" t="str">
        <f>CONCATENATE(" MB AUTO PRODAJNO SERVISNI CENTAR D.O.O.,"," KOLEDOVČINA 8,"," 10000 ZAGREB,"," OIB: 68993879966")</f>
        <v xml:space="preserve"> MB AUTO PRODAJNO SERVISNI CENTAR D.O.O., KOLEDOVČINA 8, 10000 ZAGREB, OIB: 68993879966</v>
      </c>
      <c r="H7493" s="7"/>
      <c r="I7493" s="8" t="s">
        <v>5542</v>
      </c>
      <c r="J7493" s="8" t="s">
        <v>4409</v>
      </c>
      <c r="K7493" s="6" t="str">
        <f>"2.185,42"</f>
        <v>2.185,42</v>
      </c>
      <c r="L7493" s="6" t="str">
        <f>"546,36"</f>
        <v>546,36</v>
      </c>
      <c r="M7493" s="6" t="str">
        <f>"2.731,78"</f>
        <v>2.731,78</v>
      </c>
      <c r="N7493" s="8" t="s">
        <v>4143</v>
      </c>
      <c r="O7493" s="7"/>
      <c r="P7493" s="2" t="s">
        <v>9175</v>
      </c>
      <c r="Q7493" s="7"/>
      <c r="R7493" s="1"/>
      <c r="S7493" s="1" t="str">
        <f>"J-UN-2020-1594"</f>
        <v>J-UN-2020-1594</v>
      </c>
      <c r="T7493" s="1" t="s">
        <v>32</v>
      </c>
    </row>
    <row r="7494" spans="1:20" ht="51" x14ac:dyDescent="0.25">
      <c r="A7494" s="6">
        <v>7465</v>
      </c>
      <c r="B7494" s="1" t="str">
        <f>"2020-2859"</f>
        <v>2020-2859</v>
      </c>
      <c r="C7494" s="1" t="s">
        <v>5543</v>
      </c>
      <c r="D7494" s="1" t="s">
        <v>914</v>
      </c>
      <c r="E7494" s="1" t="str">
        <f>""</f>
        <v/>
      </c>
      <c r="F7494" s="1" t="s">
        <v>1860</v>
      </c>
      <c r="G7494" s="1" t="str">
        <f>CONCATENATE(" AUTO - IDA D.O.O.,"," ANDRIJE ŽAJE 63,"," 10000 ZAGREB,"," OIB: 39041231026")</f>
        <v xml:space="preserve"> AUTO - IDA D.O.O., ANDRIJE ŽAJE 63, 10000 ZAGREB, OIB: 39041231026</v>
      </c>
      <c r="H7494" s="7"/>
      <c r="I7494" s="8" t="s">
        <v>4409</v>
      </c>
      <c r="J7494" s="8" t="s">
        <v>4458</v>
      </c>
      <c r="K7494" s="6" t="str">
        <f>"13.978,19"</f>
        <v>13.978,19</v>
      </c>
      <c r="L7494" s="6" t="str">
        <f>"3.494,55"</f>
        <v>3.494,55</v>
      </c>
      <c r="M7494" s="6" t="str">
        <f>"17.472,74"</f>
        <v>17.472,74</v>
      </c>
      <c r="N7494" s="8" t="s">
        <v>4696</v>
      </c>
      <c r="O7494" s="7"/>
      <c r="P7494" s="2" t="s">
        <v>9176</v>
      </c>
      <c r="Q7494" s="7"/>
      <c r="R7494" s="1"/>
      <c r="S7494" s="1" t="str">
        <f>"J-UN-2020-1624"</f>
        <v>J-UN-2020-1624</v>
      </c>
      <c r="T7494" s="1" t="s">
        <v>32</v>
      </c>
    </row>
    <row r="7495" spans="1:20" ht="51" x14ac:dyDescent="0.25">
      <c r="A7495" s="6">
        <v>7466</v>
      </c>
      <c r="B7495" s="1" t="str">
        <f>"2020-728"</f>
        <v>2020-728</v>
      </c>
      <c r="C7495" s="1" t="s">
        <v>2733</v>
      </c>
      <c r="D7495" s="1" t="s">
        <v>914</v>
      </c>
      <c r="E7495" s="1" t="str">
        <f>""</f>
        <v/>
      </c>
      <c r="F7495" s="1" t="s">
        <v>1860</v>
      </c>
      <c r="G7495" s="1" t="str">
        <f>CONCATENATE(" AUTO HOLETIĆ D.O.O.,"," SISAČKA 47,"," 10410 VELIKA GORICA,"," OIB: 78653954953")</f>
        <v xml:space="preserve"> AUTO HOLETIĆ D.O.O., SISAČKA 47, 10410 VELIKA GORICA, OIB: 78653954953</v>
      </c>
      <c r="H7495" s="7"/>
      <c r="I7495" s="8" t="s">
        <v>5544</v>
      </c>
      <c r="J7495" s="8" t="s">
        <v>889</v>
      </c>
      <c r="K7495" s="6" t="str">
        <f>"2.879,99"</f>
        <v>2.879,99</v>
      </c>
      <c r="L7495" s="6" t="str">
        <f>"720,00"</f>
        <v>720,00</v>
      </c>
      <c r="M7495" s="6" t="str">
        <f>"3.599,99"</f>
        <v>3.599,99</v>
      </c>
      <c r="N7495" s="8" t="s">
        <v>5542</v>
      </c>
      <c r="O7495" s="7"/>
      <c r="P7495" s="2" t="s">
        <v>9177</v>
      </c>
      <c r="Q7495" s="7"/>
      <c r="R7495" s="1"/>
      <c r="S7495" s="1" t="str">
        <f>"J-UN-2020-1630"</f>
        <v>J-UN-2020-1630</v>
      </c>
      <c r="T7495" s="1" t="s">
        <v>32</v>
      </c>
    </row>
    <row r="7496" spans="1:20" ht="63.75" x14ac:dyDescent="0.25">
      <c r="A7496" s="6">
        <v>7467</v>
      </c>
      <c r="B7496" s="1" t="str">
        <f>"2020-1420"</f>
        <v>2020-1420</v>
      </c>
      <c r="C7496" s="1" t="s">
        <v>2702</v>
      </c>
      <c r="D7496" s="1" t="s">
        <v>1209</v>
      </c>
      <c r="E7496" s="1" t="str">
        <f>""</f>
        <v/>
      </c>
      <c r="F7496" s="1" t="s">
        <v>1860</v>
      </c>
      <c r="G7496" s="1" t="str">
        <f>CONCATENATE(" DRÄGER SAFETY D.O.O.,"," AVENIJA VEĆESLAVA HOLJEVCA 40,"," 10010 ZAGREB,"," OIB: 32874587842")</f>
        <v xml:space="preserve"> DRÄGER SAFETY D.O.O., AVENIJA VEĆESLAVA HOLJEVCA 40, 10010 ZAGREB, OIB: 32874587842</v>
      </c>
      <c r="H7496" s="7"/>
      <c r="I7496" s="8" t="s">
        <v>5500</v>
      </c>
      <c r="J7496" s="8" t="s">
        <v>4143</v>
      </c>
      <c r="K7496" s="6" t="str">
        <f>"6.751,69"</f>
        <v>6.751,69</v>
      </c>
      <c r="L7496" s="6" t="str">
        <f>"1.687,92"</f>
        <v>1.687,92</v>
      </c>
      <c r="M7496" s="6" t="str">
        <f>"8.439,61"</f>
        <v>8.439,61</v>
      </c>
      <c r="N7496" s="8" t="s">
        <v>5143</v>
      </c>
      <c r="O7496" s="7"/>
      <c r="P7496" s="2" t="s">
        <v>9178</v>
      </c>
      <c r="Q7496" s="7"/>
      <c r="R7496" s="1"/>
      <c r="S7496" s="1" t="str">
        <f>"J-UN-2020-1643"</f>
        <v>J-UN-2020-1643</v>
      </c>
      <c r="T7496" s="1" t="s">
        <v>32</v>
      </c>
    </row>
    <row r="7497" spans="1:20" ht="114.75" x14ac:dyDescent="0.25">
      <c r="A7497" s="6">
        <v>7468</v>
      </c>
      <c r="B7497" s="1" t="str">
        <f>"2020-109"</f>
        <v>2020-109</v>
      </c>
      <c r="C7497" s="1" t="s">
        <v>5400</v>
      </c>
      <c r="D7497" s="1" t="s">
        <v>5341</v>
      </c>
      <c r="E7497" s="1" t="str">
        <f>""</f>
        <v/>
      </c>
      <c r="F7497" s="1" t="s">
        <v>1860</v>
      </c>
      <c r="G7497" s="1" t="str">
        <f>CONCATENATE(" PASTOR - TVA - D.D.,"," RAKITJE,"," NOVAČKA 2,"," 10437 BESTOVJE,"," OIB: 17140959007")</f>
        <v xml:space="preserve"> PASTOR - TVA - D.D., RAKITJE, NOVAČKA 2, 10437 BESTOVJE, OIB: 17140959007</v>
      </c>
      <c r="H7497" s="7"/>
      <c r="I7497" s="8" t="s">
        <v>4694</v>
      </c>
      <c r="J7497" s="8" t="s">
        <v>1247</v>
      </c>
      <c r="K7497" s="6" t="str">
        <f>"6.985,00"</f>
        <v>6.985,00</v>
      </c>
      <c r="L7497" s="6" t="str">
        <f>"1.746,25"</f>
        <v>1.746,25</v>
      </c>
      <c r="M7497" s="6" t="str">
        <f>"8.731,25"</f>
        <v>8.731,25</v>
      </c>
      <c r="N7497" s="8" t="s">
        <v>915</v>
      </c>
      <c r="O7497" s="7"/>
      <c r="P7497" s="2" t="s">
        <v>9179</v>
      </c>
      <c r="Q7497" s="7"/>
      <c r="R7497" s="1"/>
      <c r="S7497" s="1" t="str">
        <f>"J-UN-2020-1655"</f>
        <v>J-UN-2020-1655</v>
      </c>
      <c r="T7497" s="1" t="s">
        <v>32</v>
      </c>
    </row>
    <row r="7498" spans="1:20" ht="63.75" x14ac:dyDescent="0.25">
      <c r="A7498" s="6">
        <v>7469</v>
      </c>
      <c r="B7498" s="1" t="str">
        <f>"2020-2567"</f>
        <v>2020-2567</v>
      </c>
      <c r="C7498" s="1" t="s">
        <v>2912</v>
      </c>
      <c r="D7498" s="1" t="s">
        <v>2647</v>
      </c>
      <c r="E7498" s="1" t="str">
        <f>""</f>
        <v/>
      </c>
      <c r="F7498" s="1" t="s">
        <v>1860</v>
      </c>
      <c r="G7498" s="1" t="str">
        <f>CONCATENATE(" INSTITUT RUĐER BOŠKOVIĆ,"," BIJENIČKA CESTA 54,"," 10000 ZAGREB,"," OIB: 69715301002")</f>
        <v xml:space="preserve"> INSTITUT RUĐER BOŠKOVIĆ, BIJENIČKA CESTA 54, 10000 ZAGREB, OIB: 69715301002</v>
      </c>
      <c r="H7498" s="7"/>
      <c r="I7498" s="8" t="s">
        <v>4943</v>
      </c>
      <c r="J7498" s="8" t="s">
        <v>4409</v>
      </c>
      <c r="K7498" s="6" t="str">
        <f>"18.500,00"</f>
        <v>18.500,00</v>
      </c>
      <c r="L7498" s="6" t="str">
        <f>"4.625,00"</f>
        <v>4.625,00</v>
      </c>
      <c r="M7498" s="6" t="str">
        <f>"23.125,00"</f>
        <v>23.125,00</v>
      </c>
      <c r="N7498" s="8" t="s">
        <v>124</v>
      </c>
      <c r="O7498" s="7"/>
      <c r="P7498" s="2" t="s">
        <v>5614</v>
      </c>
      <c r="Q7498" s="7"/>
      <c r="R7498" s="1"/>
      <c r="S7498" s="1" t="str">
        <f>"J-UN-2020-1658"</f>
        <v>J-UN-2020-1658</v>
      </c>
      <c r="T7498" s="1" t="s">
        <v>32</v>
      </c>
    </row>
    <row r="7499" spans="1:20" ht="51" x14ac:dyDescent="0.25">
      <c r="A7499" s="6">
        <v>7470</v>
      </c>
      <c r="B7499" s="1" t="str">
        <f>"2020-1609"</f>
        <v>2020-1609</v>
      </c>
      <c r="C7499" s="1" t="s">
        <v>5545</v>
      </c>
      <c r="D7499" s="1" t="s">
        <v>4562</v>
      </c>
      <c r="E7499" s="1" t="str">
        <f>""</f>
        <v/>
      </c>
      <c r="F7499" s="1" t="s">
        <v>1860</v>
      </c>
      <c r="G7499" s="1" t="str">
        <f>CONCATENATE(" AKI-D-VOD D.O.O.,"," PRVA GUPČEVA 4,"," 10360 SESVETE,"," OIB: 16063814746")</f>
        <v xml:space="preserve"> AKI-D-VOD D.O.O., PRVA GUPČEVA 4, 10360 SESVETE, OIB: 16063814746</v>
      </c>
      <c r="H7499" s="7"/>
      <c r="I7499" s="8" t="s">
        <v>4143</v>
      </c>
      <c r="J7499" s="8" t="s">
        <v>4245</v>
      </c>
      <c r="K7499" s="6" t="str">
        <f>"120.200,00"</f>
        <v>120.200,00</v>
      </c>
      <c r="L7499" s="6" t="str">
        <f>"30.050,00"</f>
        <v>30.050,00</v>
      </c>
      <c r="M7499" s="6" t="str">
        <f>"150.250,00"</f>
        <v>150.250,00</v>
      </c>
      <c r="N7499" s="8" t="s">
        <v>4291</v>
      </c>
      <c r="O7499" s="7"/>
      <c r="P7499" s="2" t="s">
        <v>9180</v>
      </c>
      <c r="Q7499" s="7"/>
      <c r="R7499" s="1"/>
      <c r="S7499" s="1" t="str">
        <f>"J-UN-2020-1678"</f>
        <v>J-UN-2020-1678</v>
      </c>
      <c r="T7499" s="1" t="s">
        <v>32</v>
      </c>
    </row>
    <row r="7500" spans="1:20" ht="63.75" x14ac:dyDescent="0.25">
      <c r="A7500" s="6">
        <v>7471</v>
      </c>
      <c r="B7500" s="1" t="str">
        <f>"2020-2736"</f>
        <v>2020-2736</v>
      </c>
      <c r="C7500" s="1" t="s">
        <v>2621</v>
      </c>
      <c r="D7500" s="1" t="s">
        <v>2622</v>
      </c>
      <c r="E7500" s="1" t="str">
        <f>""</f>
        <v/>
      </c>
      <c r="F7500" s="1" t="s">
        <v>1860</v>
      </c>
      <c r="G7500" s="1" t="str">
        <f>CONCATENATE(" VELEKEM D.D.,"," UL.KNEZA LJUDEVITA POSAVSKOG 13,"," 10360 SESVETE,"," OIB: 62347407589")</f>
        <v xml:space="preserve"> VELEKEM D.D., UL.KNEZA LJUDEVITA POSAVSKOG 13, 10360 SESVETE, OIB: 62347407589</v>
      </c>
      <c r="H7500" s="7"/>
      <c r="I7500" s="8" t="s">
        <v>4696</v>
      </c>
      <c r="J7500" s="8" t="s">
        <v>889</v>
      </c>
      <c r="K7500" s="6" t="str">
        <f>"413,20"</f>
        <v>413,20</v>
      </c>
      <c r="L7500" s="6" t="str">
        <f>"103,30"</f>
        <v>103,30</v>
      </c>
      <c r="M7500" s="6" t="str">
        <f>"516,50"</f>
        <v>516,50</v>
      </c>
      <c r="N7500" s="8" t="s">
        <v>124</v>
      </c>
      <c r="O7500" s="7"/>
      <c r="P7500" s="2" t="s">
        <v>5614</v>
      </c>
      <c r="Q7500" s="7"/>
      <c r="R7500" s="1"/>
      <c r="S7500" s="1" t="str">
        <f>"J-UN-2020-1728"</f>
        <v>J-UN-2020-1728</v>
      </c>
      <c r="T7500" s="1" t="s">
        <v>32</v>
      </c>
    </row>
    <row r="7501" spans="1:20" ht="76.5" x14ac:dyDescent="0.25">
      <c r="A7501" s="6">
        <v>7472</v>
      </c>
      <c r="B7501" s="1" t="str">
        <f>"2020-2308"</f>
        <v>2020-2308</v>
      </c>
      <c r="C7501" s="1" t="s">
        <v>2711</v>
      </c>
      <c r="D7501" s="1" t="s">
        <v>1914</v>
      </c>
      <c r="E7501" s="1" t="str">
        <f>""</f>
        <v/>
      </c>
      <c r="F7501" s="1" t="s">
        <v>1860</v>
      </c>
      <c r="G7501" s="1" t="str">
        <f>CONCATENATE(" BUTAN PLIN D.O.O.,"," ULICA RIJEKE DRAGONJE 23,"," 52466 NOVIGRAD (CITTANOVA),"," OIB: 80051835685")</f>
        <v xml:space="preserve"> BUTAN PLIN D.O.O., ULICA RIJEKE DRAGONJE 23, 52466 NOVIGRAD (CITTANOVA), OIB: 80051835685</v>
      </c>
      <c r="H7501" s="7"/>
      <c r="I7501" s="8" t="s">
        <v>4245</v>
      </c>
      <c r="J7501" s="8" t="s">
        <v>4696</v>
      </c>
      <c r="K7501" s="6" t="str">
        <f>"2.380,80"</f>
        <v>2.380,80</v>
      </c>
      <c r="L7501" s="6" t="str">
        <f>"595,20"</f>
        <v>595,20</v>
      </c>
      <c r="M7501" s="6" t="str">
        <f>"2.976,00"</f>
        <v>2.976,00</v>
      </c>
      <c r="N7501" s="8" t="s">
        <v>4458</v>
      </c>
      <c r="O7501" s="7"/>
      <c r="P7501" s="2" t="s">
        <v>7483</v>
      </c>
      <c r="Q7501" s="7"/>
      <c r="R7501" s="1"/>
      <c r="S7501" s="1" t="str">
        <f>"J-UN-2020-1741"</f>
        <v>J-UN-2020-1741</v>
      </c>
      <c r="T7501" s="1" t="s">
        <v>32</v>
      </c>
    </row>
    <row r="7502" spans="1:20" ht="114.75" x14ac:dyDescent="0.25">
      <c r="A7502" s="6">
        <v>7473</v>
      </c>
      <c r="B7502" s="1" t="str">
        <f>"2020-109"</f>
        <v>2020-109</v>
      </c>
      <c r="C7502" s="1" t="s">
        <v>5400</v>
      </c>
      <c r="D7502" s="1" t="s">
        <v>5341</v>
      </c>
      <c r="E7502" s="1" t="str">
        <f>""</f>
        <v/>
      </c>
      <c r="F7502" s="1" t="s">
        <v>1860</v>
      </c>
      <c r="G7502" s="1" t="str">
        <f>CONCATENATE(" PASTOR - TVA - D.D.,"," RAKITJE,"," NOVAČKA 2,"," 10437 BESTOVJE,"," OIB: 17140959007")</f>
        <v xml:space="preserve"> PASTOR - TVA - D.D., RAKITJE, NOVAČKA 2, 10437 BESTOVJE, OIB: 17140959007</v>
      </c>
      <c r="H7502" s="7"/>
      <c r="I7502" s="8" t="s">
        <v>926</v>
      </c>
      <c r="J7502" s="8" t="s">
        <v>4281</v>
      </c>
      <c r="K7502" s="6" t="str">
        <f>"5.945,00"</f>
        <v>5.945,00</v>
      </c>
      <c r="L7502" s="6" t="str">
        <f>"1.486,25"</f>
        <v>1.486,25</v>
      </c>
      <c r="M7502" s="6" t="str">
        <f>"7.431,25"</f>
        <v>7.431,25</v>
      </c>
      <c r="N7502" s="8" t="s">
        <v>915</v>
      </c>
      <c r="O7502" s="7"/>
      <c r="P7502" s="2" t="s">
        <v>9181</v>
      </c>
      <c r="Q7502" s="7"/>
      <c r="R7502" s="1"/>
      <c r="S7502" s="1" t="str">
        <f>"J-UN-2020-1754"</f>
        <v>J-UN-2020-1754</v>
      </c>
      <c r="T7502" s="1" t="s">
        <v>32</v>
      </c>
    </row>
    <row r="7503" spans="1:20" ht="63.75" x14ac:dyDescent="0.25">
      <c r="A7503" s="6">
        <v>7474</v>
      </c>
      <c r="B7503" s="1" t="str">
        <f>"2020-2226"</f>
        <v>2020-2226</v>
      </c>
      <c r="C7503" s="1" t="s">
        <v>2689</v>
      </c>
      <c r="D7503" s="1" t="s">
        <v>2577</v>
      </c>
      <c r="E7503" s="1" t="str">
        <f>""</f>
        <v/>
      </c>
      <c r="F7503" s="1" t="s">
        <v>1860</v>
      </c>
      <c r="G7503" s="1" t="str">
        <f>CONCATENATE(" GRA-PO D.O.O.,"," GOSPODARSKA 5B,"," 10255 ZAGREB - STUPNIK,"," OIB: 05364995085")</f>
        <v xml:space="preserve"> GRA-PO D.O.O., GOSPODARSKA 5B, 10255 ZAGREB - STUPNIK, OIB: 05364995085</v>
      </c>
      <c r="H7503" s="7"/>
      <c r="I7503" s="8" t="s">
        <v>4696</v>
      </c>
      <c r="J7503" s="8" t="s">
        <v>889</v>
      </c>
      <c r="K7503" s="6" t="str">
        <f>"5.271,00"</f>
        <v>5.271,00</v>
      </c>
      <c r="L7503" s="6" t="str">
        <f>"1.317,75"</f>
        <v>1.317,75</v>
      </c>
      <c r="M7503" s="6" t="str">
        <f>"6.588,75"</f>
        <v>6.588,75</v>
      </c>
      <c r="N7503" s="8" t="s">
        <v>1162</v>
      </c>
      <c r="O7503" s="7"/>
      <c r="P7503" s="2" t="s">
        <v>9182</v>
      </c>
      <c r="Q7503" s="7"/>
      <c r="R7503" s="1"/>
      <c r="S7503" s="1" t="str">
        <f>"J-UN-2020-1759"</f>
        <v>J-UN-2020-1759</v>
      </c>
      <c r="T7503" s="1" t="s">
        <v>32</v>
      </c>
    </row>
    <row r="7504" spans="1:20" ht="51" x14ac:dyDescent="0.25">
      <c r="A7504" s="6">
        <v>7475</v>
      </c>
      <c r="B7504" s="1" t="str">
        <f>"2020-2911"</f>
        <v>2020-2911</v>
      </c>
      <c r="C7504" s="1" t="s">
        <v>5541</v>
      </c>
      <c r="D7504" s="1" t="s">
        <v>914</v>
      </c>
      <c r="E7504" s="1" t="str">
        <f>""</f>
        <v/>
      </c>
      <c r="F7504" s="1" t="s">
        <v>1860</v>
      </c>
      <c r="G7504" s="1" t="str">
        <f>CONCATENATE(" SAFIR D.O.O.,"," HORVAĆANSKA 17,"," 10000 ZAGREB,"," OIB: 33548604975")</f>
        <v xml:space="preserve"> SAFIR D.O.O., HORVAĆANSKA 17, 10000 ZAGREB, OIB: 33548604975</v>
      </c>
      <c r="H7504" s="7"/>
      <c r="I7504" s="8" t="s">
        <v>926</v>
      </c>
      <c r="J7504" s="8" t="s">
        <v>4281</v>
      </c>
      <c r="K7504" s="6" t="str">
        <f>"5.972,00"</f>
        <v>5.972,00</v>
      </c>
      <c r="L7504" s="6" t="str">
        <f>"1.493,00"</f>
        <v>1.493,00</v>
      </c>
      <c r="M7504" s="6" t="str">
        <f>"7.465,00"</f>
        <v>7.465,00</v>
      </c>
      <c r="N7504" s="7"/>
      <c r="O7504" s="9">
        <v>44076</v>
      </c>
      <c r="P7504" s="2" t="s">
        <v>5614</v>
      </c>
      <c r="Q7504" s="7"/>
      <c r="R7504" s="1"/>
      <c r="S7504" s="1" t="str">
        <f>"J-UN-2020-1764"</f>
        <v>J-UN-2020-1764</v>
      </c>
      <c r="T7504" s="1" t="s">
        <v>32</v>
      </c>
    </row>
    <row r="7505" spans="1:20" ht="51" x14ac:dyDescent="0.25">
      <c r="A7505" s="6">
        <v>7476</v>
      </c>
      <c r="B7505" s="1" t="str">
        <f>"2020-2912"</f>
        <v>2020-2912</v>
      </c>
      <c r="C7505" s="1" t="s">
        <v>5539</v>
      </c>
      <c r="D7505" s="1" t="s">
        <v>914</v>
      </c>
      <c r="E7505" s="1" t="str">
        <f>""</f>
        <v/>
      </c>
      <c r="F7505" s="1" t="s">
        <v>1860</v>
      </c>
      <c r="G7505" s="1" t="str">
        <f>CONCATENATE(" SAFIR D.O.O.,"," HORVAĆANSKA 17,"," 10000 ZAGREB,"," OIB: 33548604975")</f>
        <v xml:space="preserve"> SAFIR D.O.O., HORVAĆANSKA 17, 10000 ZAGREB, OIB: 33548604975</v>
      </c>
      <c r="H7505" s="7"/>
      <c r="I7505" s="8" t="s">
        <v>4339</v>
      </c>
      <c r="J7505" s="8" t="s">
        <v>4594</v>
      </c>
      <c r="K7505" s="6" t="str">
        <f>"3.073,00"</f>
        <v>3.073,00</v>
      </c>
      <c r="L7505" s="6" t="str">
        <f>"768,25"</f>
        <v>768,25</v>
      </c>
      <c r="M7505" s="6" t="str">
        <f>"3.841,25"</f>
        <v>3.841,25</v>
      </c>
      <c r="N7505" s="7"/>
      <c r="O7505" s="9">
        <v>44076</v>
      </c>
      <c r="P7505" s="2" t="s">
        <v>5614</v>
      </c>
      <c r="Q7505" s="7"/>
      <c r="R7505" s="1"/>
      <c r="S7505" s="1" t="str">
        <f>"J-UN-2020-1773"</f>
        <v>J-UN-2020-1773</v>
      </c>
      <c r="T7505" s="1" t="s">
        <v>32</v>
      </c>
    </row>
    <row r="7506" spans="1:20" ht="51" x14ac:dyDescent="0.25">
      <c r="A7506" s="6">
        <v>7477</v>
      </c>
      <c r="B7506" s="1" t="str">
        <f>"2020-227"</f>
        <v>2020-227</v>
      </c>
      <c r="C7506" s="1" t="s">
        <v>2697</v>
      </c>
      <c r="D7506" s="1" t="s">
        <v>2698</v>
      </c>
      <c r="E7506" s="1" t="str">
        <f>""</f>
        <v/>
      </c>
      <c r="F7506" s="1" t="s">
        <v>1860</v>
      </c>
      <c r="G7506" s="1" t="str">
        <f>CONCATENATE(" TPK-ZAVOD D.D.,"," SLAVONSKA AVENIJA 20,"," 10000 ZAGREB,"," OIB: 95418386802")</f>
        <v xml:space="preserve"> TPK-ZAVOD D.D., SLAVONSKA AVENIJA 20, 10000 ZAGREB, OIB: 95418386802</v>
      </c>
      <c r="H7506" s="7"/>
      <c r="I7506" s="8" t="s">
        <v>4273</v>
      </c>
      <c r="J7506" s="8" t="s">
        <v>4942</v>
      </c>
      <c r="K7506" s="6" t="str">
        <f>"480,00"</f>
        <v>480,00</v>
      </c>
      <c r="L7506" s="6" t="str">
        <f>"120,00"</f>
        <v>120,00</v>
      </c>
      <c r="M7506" s="6" t="str">
        <f>"600,00"</f>
        <v>600,00</v>
      </c>
      <c r="N7506" s="8" t="s">
        <v>124</v>
      </c>
      <c r="O7506" s="7"/>
      <c r="P7506" s="2" t="s">
        <v>5614</v>
      </c>
      <c r="Q7506" s="7"/>
      <c r="R7506" s="1"/>
      <c r="S7506" s="1" t="str">
        <f>"J-UN-2020-1799"</f>
        <v>J-UN-2020-1799</v>
      </c>
      <c r="T7506" s="1" t="s">
        <v>32</v>
      </c>
    </row>
    <row r="7507" spans="1:20" ht="63.75" x14ac:dyDescent="0.25">
      <c r="A7507" s="6">
        <v>7478</v>
      </c>
      <c r="B7507" s="1" t="str">
        <f>"2020-2917"</f>
        <v>2020-2917</v>
      </c>
      <c r="C7507" s="1" t="s">
        <v>5546</v>
      </c>
      <c r="D7507" s="1" t="s">
        <v>2631</v>
      </c>
      <c r="E7507" s="1" t="str">
        <f>""</f>
        <v/>
      </c>
      <c r="F7507" s="1" t="s">
        <v>1860</v>
      </c>
      <c r="G7507" s="1" t="str">
        <f>CONCATENATE(" DIE PRESSE VERLAGS - GESELLSCHAFT M.B.H &amp; CO KG,"," HAINBURGER STRASSE 33,"," 1030 WIEN,"," OIB: 54093")</f>
        <v xml:space="preserve"> DIE PRESSE VERLAGS - GESELLSCHAFT M.B.H &amp; CO KG, HAINBURGER STRASSE 33, 1030 WIEN, OIB: 54093</v>
      </c>
      <c r="H7507" s="7"/>
      <c r="I7507" s="8" t="s">
        <v>4281</v>
      </c>
      <c r="J7507" s="8" t="s">
        <v>4339</v>
      </c>
      <c r="K7507" s="6" t="str">
        <f>"63.099,99"</f>
        <v>63.099,99</v>
      </c>
      <c r="L7507" s="6" t="str">
        <f>"15.775,00"</f>
        <v>15.775,00</v>
      </c>
      <c r="M7507" s="6" t="str">
        <f>"78.874,99"</f>
        <v>78.874,99</v>
      </c>
      <c r="N7507" s="8" t="s">
        <v>124</v>
      </c>
      <c r="O7507" s="7"/>
      <c r="P7507" s="2" t="s">
        <v>5614</v>
      </c>
      <c r="Q7507" s="7"/>
      <c r="R7507" s="1"/>
      <c r="S7507" s="1" t="str">
        <f>"J-UN-2020-1810"</f>
        <v>J-UN-2020-1810</v>
      </c>
      <c r="T7507" s="1" t="s">
        <v>32</v>
      </c>
    </row>
    <row r="7508" spans="1:20" ht="51" x14ac:dyDescent="0.25">
      <c r="A7508" s="6">
        <v>7479</v>
      </c>
      <c r="B7508" s="1" t="str">
        <f>"2020-2918"</f>
        <v>2020-2918</v>
      </c>
      <c r="C7508" s="1" t="s">
        <v>5547</v>
      </c>
      <c r="D7508" s="1" t="s">
        <v>2631</v>
      </c>
      <c r="E7508" s="1" t="str">
        <f>""</f>
        <v/>
      </c>
      <c r="F7508" s="1" t="s">
        <v>1860</v>
      </c>
      <c r="G7508" s="1" t="str">
        <f>CONCATENATE(" KLEINE ZEITUNG GMBH &amp; CO KG,"," GADOLLAPLATZ 1,"," 8010 GRAZ,"," OIB: 105306")</f>
        <v xml:space="preserve"> KLEINE ZEITUNG GMBH &amp; CO KG, GADOLLAPLATZ 1, 8010 GRAZ, OIB: 105306</v>
      </c>
      <c r="H7508" s="7"/>
      <c r="I7508" s="8" t="s">
        <v>926</v>
      </c>
      <c r="J7508" s="8" t="s">
        <v>4281</v>
      </c>
      <c r="K7508" s="6" t="str">
        <f>"39.364,33"</f>
        <v>39.364,33</v>
      </c>
      <c r="L7508" s="6" t="str">
        <f>"9.841,08"</f>
        <v>9.841,08</v>
      </c>
      <c r="M7508" s="6" t="str">
        <f>"49.205,41"</f>
        <v>49.205,41</v>
      </c>
      <c r="N7508" s="8" t="s">
        <v>124</v>
      </c>
      <c r="O7508" s="7"/>
      <c r="P7508" s="2" t="s">
        <v>5614</v>
      </c>
      <c r="Q7508" s="7"/>
      <c r="R7508" s="1"/>
      <c r="S7508" s="1" t="str">
        <f>"J-UN-2020-1812"</f>
        <v>J-UN-2020-1812</v>
      </c>
      <c r="T7508" s="1" t="s">
        <v>32</v>
      </c>
    </row>
    <row r="7509" spans="1:20" ht="63.75" x14ac:dyDescent="0.25">
      <c r="A7509" s="6">
        <v>7480</v>
      </c>
      <c r="B7509" s="1" t="str">
        <f>"2020-2489"</f>
        <v>2020-2489</v>
      </c>
      <c r="C7509" s="1" t="s">
        <v>5548</v>
      </c>
      <c r="D7509" s="1" t="s">
        <v>5549</v>
      </c>
      <c r="E7509" s="1" t="str">
        <f>""</f>
        <v/>
      </c>
      <c r="F7509" s="1" t="s">
        <v>1860</v>
      </c>
      <c r="G7509" s="1" t="str">
        <f>CONCATENATE(" ALARM AUTOMATIKA D.O.O.,"," DRAŽICE (ZAMET) 123/C,"," 51000 RIJEKA,"," OIB: 30532290707")</f>
        <v xml:space="preserve"> ALARM AUTOMATIKA D.O.O., DRAŽICE (ZAMET) 123/C, 51000 RIJEKA, OIB: 30532290707</v>
      </c>
      <c r="H7509" s="7"/>
      <c r="I7509" s="8" t="s">
        <v>4669</v>
      </c>
      <c r="J7509" s="8" t="s">
        <v>4699</v>
      </c>
      <c r="K7509" s="6" t="str">
        <f>"23.241,00"</f>
        <v>23.241,00</v>
      </c>
      <c r="L7509" s="6" t="str">
        <f>"5.810,25"</f>
        <v>5.810,25</v>
      </c>
      <c r="M7509" s="6" t="str">
        <f>"29.051,25"</f>
        <v>29.051,25</v>
      </c>
      <c r="N7509" s="8" t="s">
        <v>2629</v>
      </c>
      <c r="O7509" s="7"/>
      <c r="P7509" s="2" t="s">
        <v>9183</v>
      </c>
      <c r="Q7509" s="7"/>
      <c r="R7509" s="1"/>
      <c r="S7509" s="1" t="str">
        <f>"J-UN-2020-1821"</f>
        <v>J-UN-2020-1821</v>
      </c>
      <c r="T7509" s="1" t="s">
        <v>32</v>
      </c>
    </row>
    <row r="7510" spans="1:20" ht="51" x14ac:dyDescent="0.25">
      <c r="A7510" s="6">
        <v>7481</v>
      </c>
      <c r="B7510" s="1" t="str">
        <f>"2020-2857"</f>
        <v>2020-2857</v>
      </c>
      <c r="C7510" s="1" t="s">
        <v>5550</v>
      </c>
      <c r="D7510" s="1" t="s">
        <v>914</v>
      </c>
      <c r="E7510" s="1" t="str">
        <f>""</f>
        <v/>
      </c>
      <c r="F7510" s="1" t="s">
        <v>1860</v>
      </c>
      <c r="G7510" s="1" t="str">
        <f>CONCATENATE(" AUTO - IDA D.O.O.,"," ANDRIJE ŽAJE 63,"," 10000 ZAGREB,"," OIB: 39041231026")</f>
        <v xml:space="preserve"> AUTO - IDA D.O.O., ANDRIJE ŽAJE 63, 10000 ZAGREB, OIB: 39041231026</v>
      </c>
      <c r="H7510" s="7"/>
      <c r="I7510" s="8" t="s">
        <v>4250</v>
      </c>
      <c r="J7510" s="8" t="s">
        <v>4219</v>
      </c>
      <c r="K7510" s="6" t="str">
        <f>"16.875,51"</f>
        <v>16.875,51</v>
      </c>
      <c r="L7510" s="6" t="str">
        <f>"4.218,88"</f>
        <v>4.218,88</v>
      </c>
      <c r="M7510" s="6" t="str">
        <f>"21.094,39"</f>
        <v>21.094,39</v>
      </c>
      <c r="N7510" s="8" t="s">
        <v>4286</v>
      </c>
      <c r="O7510" s="7"/>
      <c r="P7510" s="2" t="s">
        <v>9184</v>
      </c>
      <c r="Q7510" s="7"/>
      <c r="R7510" s="1"/>
      <c r="S7510" s="1" t="str">
        <f>"J-UN-2020-1839"</f>
        <v>J-UN-2020-1839</v>
      </c>
      <c r="T7510" s="1" t="s">
        <v>32</v>
      </c>
    </row>
    <row r="7511" spans="1:20" ht="89.25" x14ac:dyDescent="0.25">
      <c r="A7511" s="6">
        <v>7482</v>
      </c>
      <c r="B7511" s="1" t="str">
        <f>"2020-2191"</f>
        <v>2020-2191</v>
      </c>
      <c r="C7511" s="1" t="s">
        <v>2795</v>
      </c>
      <c r="D7511" s="1" t="s">
        <v>1619</v>
      </c>
      <c r="E7511" s="1" t="str">
        <f>""</f>
        <v/>
      </c>
      <c r="F7511" s="1" t="s">
        <v>1860</v>
      </c>
      <c r="G7511" s="1" t="str">
        <f>CONCATENATE(" AUTO HRVATSKA PRODAJNO SERVISNI CENTRI D.O.O.,"," ZASTAVNICE 25/C,"," 10251 HRVATSKI LESKOVAC,"," OIB: 87682591133")</f>
        <v xml:space="preserve"> AUTO HRVATSKA PRODAJNO SERVISNI CENTRI D.O.O., ZASTAVNICE 25/C, 10251 HRVATSKI LESKOVAC, OIB: 87682591133</v>
      </c>
      <c r="H7511" s="7"/>
      <c r="I7511" s="8" t="s">
        <v>4704</v>
      </c>
      <c r="J7511" s="8" t="s">
        <v>4455</v>
      </c>
      <c r="K7511" s="6" t="str">
        <f>"5.439,06"</f>
        <v>5.439,06</v>
      </c>
      <c r="L7511" s="6" t="str">
        <f>"1.359,76"</f>
        <v>1.359,76</v>
      </c>
      <c r="M7511" s="6" t="str">
        <f>"6.798,82"</f>
        <v>6.798,82</v>
      </c>
      <c r="N7511" s="8" t="s">
        <v>124</v>
      </c>
      <c r="O7511" s="7"/>
      <c r="P7511" s="2" t="s">
        <v>5614</v>
      </c>
      <c r="Q7511" s="7"/>
      <c r="R7511" s="1"/>
      <c r="S7511" s="1" t="str">
        <f>"J-UN-2020-1850"</f>
        <v>J-UN-2020-1850</v>
      </c>
      <c r="T7511" s="1" t="s">
        <v>32</v>
      </c>
    </row>
    <row r="7512" spans="1:20" ht="51" x14ac:dyDescent="0.25">
      <c r="A7512" s="6">
        <v>7483</v>
      </c>
      <c r="B7512" s="1" t="str">
        <f>"2020-742"</f>
        <v>2020-742</v>
      </c>
      <c r="C7512" s="1" t="s">
        <v>5232</v>
      </c>
      <c r="D7512" s="1" t="s">
        <v>1619</v>
      </c>
      <c r="E7512" s="1" t="str">
        <f>""</f>
        <v/>
      </c>
      <c r="F7512" s="1" t="s">
        <v>1860</v>
      </c>
      <c r="G7512" s="1" t="str">
        <f>CONCATENATE(" HONGOLDONIA D.O.O.,"," RUJANSKA 4,"," 10000 ZAGREB,"," OIB: 7925585026")</f>
        <v xml:space="preserve"> HONGOLDONIA D.O.O., RUJANSKA 4, 10000 ZAGREB, OIB: 7925585026</v>
      </c>
      <c r="H7512" s="7"/>
      <c r="I7512" s="8" t="s">
        <v>4704</v>
      </c>
      <c r="J7512" s="8" t="s">
        <v>5131</v>
      </c>
      <c r="K7512" s="6" t="str">
        <f>"8.320,00"</f>
        <v>8.320,00</v>
      </c>
      <c r="L7512" s="6" t="str">
        <f>"2.080,00"</f>
        <v>2.080,00</v>
      </c>
      <c r="M7512" s="6" t="str">
        <f>"10.400,00"</f>
        <v>10.400,00</v>
      </c>
      <c r="N7512" s="8" t="s">
        <v>926</v>
      </c>
      <c r="O7512" s="7"/>
      <c r="P7512" s="2" t="s">
        <v>7934</v>
      </c>
      <c r="Q7512" s="7"/>
      <c r="R7512" s="1"/>
      <c r="S7512" s="1" t="str">
        <f>"J-UN-2020-1862"</f>
        <v>J-UN-2020-1862</v>
      </c>
      <c r="T7512" s="1" t="s">
        <v>32</v>
      </c>
    </row>
    <row r="7513" spans="1:20" ht="51" x14ac:dyDescent="0.25">
      <c r="A7513" s="6">
        <v>7484</v>
      </c>
      <c r="B7513" s="1" t="str">
        <f>"2020-2017"</f>
        <v>2020-2017</v>
      </c>
      <c r="C7513" s="1" t="s">
        <v>2722</v>
      </c>
      <c r="D7513" s="1" t="s">
        <v>689</v>
      </c>
      <c r="E7513" s="1" t="str">
        <f>""</f>
        <v/>
      </c>
      <c r="F7513" s="1" t="s">
        <v>1860</v>
      </c>
      <c r="G7513" s="1" t="str">
        <f>CONCATENATE(" GRANDIFLORA D.O.O.,"," DOLENICA 8,"," 10250 LUČKO,"," OIB: 89219306427")</f>
        <v xml:space="preserve"> GRANDIFLORA D.O.O., DOLENICA 8, 10250 LUČKO, OIB: 89219306427</v>
      </c>
      <c r="H7513" s="7"/>
      <c r="I7513" s="8" t="s">
        <v>4704</v>
      </c>
      <c r="J7513" s="8" t="s">
        <v>5131</v>
      </c>
      <c r="K7513" s="6" t="str">
        <f>"2.400,00"</f>
        <v>2.400,00</v>
      </c>
      <c r="L7513" s="6" t="str">
        <f>"600,00"</f>
        <v>600,00</v>
      </c>
      <c r="M7513" s="6" t="str">
        <f>"3.000,00"</f>
        <v>3.000,00</v>
      </c>
      <c r="N7513" s="8" t="s">
        <v>4288</v>
      </c>
      <c r="O7513" s="7"/>
      <c r="P7513" s="2" t="s">
        <v>6252</v>
      </c>
      <c r="Q7513" s="7"/>
      <c r="R7513" s="1"/>
      <c r="S7513" s="1" t="str">
        <f>"J-UN-2020-1865"</f>
        <v>J-UN-2020-1865</v>
      </c>
      <c r="T7513" s="1" t="s">
        <v>32</v>
      </c>
    </row>
    <row r="7514" spans="1:20" ht="51" x14ac:dyDescent="0.25">
      <c r="A7514" s="6">
        <v>7485</v>
      </c>
      <c r="B7514" s="1" t="str">
        <f>"2020-708"</f>
        <v>2020-708</v>
      </c>
      <c r="C7514" s="1" t="s">
        <v>2600</v>
      </c>
      <c r="D7514" s="1" t="s">
        <v>2601</v>
      </c>
      <c r="E7514" s="1" t="str">
        <f>""</f>
        <v/>
      </c>
      <c r="F7514" s="1" t="s">
        <v>1860</v>
      </c>
      <c r="G7514" s="1" t="str">
        <f>CONCATENATE(" SCHEDA D.O.O.,"," LJUDEVITA POSAVSKOG 29,"," 10360 SESVETE,"," OIB: 76219817247")</f>
        <v xml:space="preserve"> SCHEDA D.O.O., LJUDEVITA POSAVSKOG 29, 10360 SESVETE, OIB: 76219817247</v>
      </c>
      <c r="H7514" s="7"/>
      <c r="I7514" s="8" t="s">
        <v>4219</v>
      </c>
      <c r="J7514" s="8" t="s">
        <v>915</v>
      </c>
      <c r="K7514" s="6" t="str">
        <f>"2.989,30"</f>
        <v>2.989,30</v>
      </c>
      <c r="L7514" s="6" t="str">
        <f>"747,32"</f>
        <v>747,32</v>
      </c>
      <c r="M7514" s="6" t="str">
        <f>"3.736,62"</f>
        <v>3.736,62</v>
      </c>
      <c r="N7514" s="8" t="s">
        <v>124</v>
      </c>
      <c r="O7514" s="7"/>
      <c r="P7514" s="2" t="s">
        <v>5614</v>
      </c>
      <c r="Q7514" s="7"/>
      <c r="R7514" s="1"/>
      <c r="S7514" s="1" t="str">
        <f>"J-UN-2020-1876"</f>
        <v>J-UN-2020-1876</v>
      </c>
      <c r="T7514" s="1" t="s">
        <v>32</v>
      </c>
    </row>
    <row r="7515" spans="1:20" ht="51" x14ac:dyDescent="0.25">
      <c r="A7515" s="6">
        <v>7486</v>
      </c>
      <c r="B7515" s="1" t="str">
        <f>"2020-742"</f>
        <v>2020-742</v>
      </c>
      <c r="C7515" s="1" t="s">
        <v>5232</v>
      </c>
      <c r="D7515" s="1" t="s">
        <v>1619</v>
      </c>
      <c r="E7515" s="1" t="str">
        <f>""</f>
        <v/>
      </c>
      <c r="F7515" s="1" t="s">
        <v>1860</v>
      </c>
      <c r="G7515" s="1" t="str">
        <f>CONCATENATE(" HONGOLDONIA D.O.O.,"," RUJANSKA 4,"," 10000 ZAGREB,"," OIB: 7925585026")</f>
        <v xml:space="preserve"> HONGOLDONIA D.O.O., RUJANSKA 4, 10000 ZAGREB, OIB: 7925585026</v>
      </c>
      <c r="H7515" s="7"/>
      <c r="I7515" s="8" t="s">
        <v>5130</v>
      </c>
      <c r="J7515" s="8" t="s">
        <v>4250</v>
      </c>
      <c r="K7515" s="6" t="str">
        <f>"42.778,00"</f>
        <v>42.778,00</v>
      </c>
      <c r="L7515" s="6" t="str">
        <f>"10.694,50"</f>
        <v>10.694,50</v>
      </c>
      <c r="M7515" s="6" t="str">
        <f>"53.472,50"</f>
        <v>53.472,50</v>
      </c>
      <c r="N7515" s="8" t="s">
        <v>163</v>
      </c>
      <c r="O7515" s="7"/>
      <c r="P7515" s="2" t="s">
        <v>9185</v>
      </c>
      <c r="Q7515" s="1"/>
      <c r="R7515" s="1"/>
      <c r="S7515" s="1" t="str">
        <f>"J-UN-2020-1879"</f>
        <v>J-UN-2020-1879</v>
      </c>
      <c r="T7515" s="1" t="s">
        <v>32</v>
      </c>
    </row>
    <row r="7516" spans="1:20" ht="76.5" x14ac:dyDescent="0.25">
      <c r="A7516" s="6">
        <v>7487</v>
      </c>
      <c r="B7516" s="1" t="str">
        <f>"2020-2609"</f>
        <v>2020-2609</v>
      </c>
      <c r="C7516" s="1" t="s">
        <v>2806</v>
      </c>
      <c r="D7516" s="1" t="s">
        <v>914</v>
      </c>
      <c r="E7516" s="1" t="str">
        <f>""</f>
        <v/>
      </c>
      <c r="F7516" s="1" t="s">
        <v>1860</v>
      </c>
      <c r="G7516" s="1" t="str">
        <f>CONCATENATE(" METALNO PLASTIČNA GALANTERIJA,"," VL. KREŠIMIR CVETKOVIĆ,"," CVETKOVIĆEV PUT 13,"," 10000 ZAGREB,"," OIB: 47166610982")</f>
        <v xml:space="preserve"> METALNO PLASTIČNA GALANTERIJA, VL. KREŠIMIR CVETKOVIĆ, CVETKOVIĆEV PUT 13, 10000 ZAGREB, OIB: 47166610982</v>
      </c>
      <c r="H7516" s="7"/>
      <c r="I7516" s="8" t="s">
        <v>4219</v>
      </c>
      <c r="J7516" s="8" t="s">
        <v>915</v>
      </c>
      <c r="K7516" s="6" t="str">
        <f>"3.280,00"</f>
        <v>3.280,00</v>
      </c>
      <c r="L7516" s="6" t="str">
        <f>"820,00"</f>
        <v>820,00</v>
      </c>
      <c r="M7516" s="6" t="str">
        <f>"4.100,00"</f>
        <v>4.100,00</v>
      </c>
      <c r="N7516" s="8" t="s">
        <v>124</v>
      </c>
      <c r="O7516" s="7"/>
      <c r="P7516" s="2" t="s">
        <v>5614</v>
      </c>
      <c r="Q7516" s="7"/>
      <c r="R7516" s="1"/>
      <c r="S7516" s="1" t="str">
        <f>"J-UN-2020-1880"</f>
        <v>J-UN-2020-1880</v>
      </c>
      <c r="T7516" s="1" t="s">
        <v>32</v>
      </c>
    </row>
    <row r="7517" spans="1:20" ht="76.5" x14ac:dyDescent="0.25">
      <c r="A7517" s="6">
        <v>7488</v>
      </c>
      <c r="B7517" s="1" t="str">
        <f>"2020-235"</f>
        <v>2020-235</v>
      </c>
      <c r="C7517" s="1" t="s">
        <v>5369</v>
      </c>
      <c r="D7517" s="1" t="s">
        <v>1007</v>
      </c>
      <c r="E7517" s="1" t="str">
        <f>""</f>
        <v/>
      </c>
      <c r="F7517" s="1" t="s">
        <v>1860</v>
      </c>
      <c r="G7517" s="1" t="str">
        <f>CONCATENATE(" BILIĆ-ERIĆ D.O.O.,"," TRGOVAČKI CENTAR MILLENNIJUM,"," LJUDEVITA POSAVSKOG 3,"," 10360 SESVETE,"," OIB: 685801282")</f>
        <v xml:space="preserve"> BILIĆ-ERIĆ D.O.O., TRGOVAČKI CENTAR MILLENNIJUM, LJUDEVITA POSAVSKOG 3, 10360 SESVETE, OIB: 685801282</v>
      </c>
      <c r="H7517" s="7"/>
      <c r="I7517" s="8" t="s">
        <v>4219</v>
      </c>
      <c r="J7517" s="8" t="s">
        <v>915</v>
      </c>
      <c r="K7517" s="6" t="str">
        <f>"1.610,00"</f>
        <v>1.610,00</v>
      </c>
      <c r="L7517" s="6" t="str">
        <f>"402,50"</f>
        <v>402,50</v>
      </c>
      <c r="M7517" s="6" t="str">
        <f>"2.012,50"</f>
        <v>2.012,50</v>
      </c>
      <c r="N7517" s="8" t="s">
        <v>124</v>
      </c>
      <c r="O7517" s="7"/>
      <c r="P7517" s="2" t="s">
        <v>5614</v>
      </c>
      <c r="Q7517" s="7"/>
      <c r="R7517" s="1"/>
      <c r="S7517" s="1" t="str">
        <f>"J-UN-2020-1926"</f>
        <v>J-UN-2020-1926</v>
      </c>
      <c r="T7517" s="1" t="s">
        <v>32</v>
      </c>
    </row>
    <row r="7518" spans="1:20" ht="63.75" x14ac:dyDescent="0.25">
      <c r="A7518" s="6">
        <v>7489</v>
      </c>
      <c r="B7518" s="1" t="str">
        <f>"2020-318"</f>
        <v>2020-318</v>
      </c>
      <c r="C7518" s="1" t="s">
        <v>2563</v>
      </c>
      <c r="D7518" s="1" t="s">
        <v>914</v>
      </c>
      <c r="E7518" s="1" t="str">
        <f>""</f>
        <v/>
      </c>
      <c r="F7518" s="1" t="s">
        <v>1860</v>
      </c>
      <c r="G7518" s="1" t="str">
        <f>CONCATENATE(" TOKIĆ D.O.O.,"," ULICA 144. BRIGADE HRVATSKE VOJSKE 1A,"," 10360 SESVETE,"," OIB: 7486748762")</f>
        <v xml:space="preserve"> TOKIĆ D.O.O., ULICA 144. BRIGADE HRVATSKE VOJSKE 1A, 10360 SESVETE, OIB: 7486748762</v>
      </c>
      <c r="H7518" s="7"/>
      <c r="I7518" s="8" t="s">
        <v>4288</v>
      </c>
      <c r="J7518" s="8" t="s">
        <v>5551</v>
      </c>
      <c r="K7518" s="6" t="str">
        <f>"1.040,80"</f>
        <v>1.040,80</v>
      </c>
      <c r="L7518" s="6" t="str">
        <f>"260,20"</f>
        <v>260,20</v>
      </c>
      <c r="M7518" s="6" t="str">
        <f>"1.301,00"</f>
        <v>1.301,00</v>
      </c>
      <c r="N7518" s="8" t="s">
        <v>968</v>
      </c>
      <c r="O7518" s="7"/>
      <c r="P7518" s="2" t="s">
        <v>9186</v>
      </c>
      <c r="Q7518" s="7"/>
      <c r="R7518" s="1"/>
      <c r="S7518" s="1" t="str">
        <f>"J-UN-2020-1942"</f>
        <v>J-UN-2020-1942</v>
      </c>
      <c r="T7518" s="1" t="s">
        <v>32</v>
      </c>
    </row>
    <row r="7519" spans="1:20" ht="63.75" x14ac:dyDescent="0.25">
      <c r="A7519" s="6">
        <v>7490</v>
      </c>
      <c r="B7519" s="1" t="str">
        <f>"2020-439"</f>
        <v>2020-439</v>
      </c>
      <c r="C7519" s="1" t="s">
        <v>2833</v>
      </c>
      <c r="D7519" s="1" t="s">
        <v>1962</v>
      </c>
      <c r="E7519" s="1" t="str">
        <f>""</f>
        <v/>
      </c>
      <c r="F7519" s="1" t="s">
        <v>1860</v>
      </c>
      <c r="G7519" s="1" t="str">
        <f>CONCATENATE(" HIDROMEHANIKA D.O.O.,"," SLAVONSKA AVENIJA 26/10,"," 10000 ZAGREB,"," OIB: 9178029895")</f>
        <v xml:space="preserve"> HIDROMEHANIKA D.O.O., SLAVONSKA AVENIJA 26/10, 10000 ZAGREB, OIB: 9178029895</v>
      </c>
      <c r="H7519" s="7"/>
      <c r="I7519" s="8" t="s">
        <v>915</v>
      </c>
      <c r="J7519" s="8" t="s">
        <v>4286</v>
      </c>
      <c r="K7519" s="6" t="str">
        <f>"2.453,50"</f>
        <v>2.453,50</v>
      </c>
      <c r="L7519" s="6" t="str">
        <f>"613,38"</f>
        <v>613,38</v>
      </c>
      <c r="M7519" s="6" t="str">
        <f>"3.066,88"</f>
        <v>3.066,88</v>
      </c>
      <c r="N7519" s="8" t="s">
        <v>124</v>
      </c>
      <c r="O7519" s="7"/>
      <c r="P7519" s="2" t="s">
        <v>5614</v>
      </c>
      <c r="Q7519" s="7"/>
      <c r="R7519" s="1"/>
      <c r="S7519" s="1" t="str">
        <f>"J-UN-2020-1944"</f>
        <v>J-UN-2020-1944</v>
      </c>
      <c r="T7519" s="1" t="s">
        <v>32</v>
      </c>
    </row>
    <row r="7520" spans="1:20" ht="63.75" x14ac:dyDescent="0.25">
      <c r="A7520" s="6">
        <v>7491</v>
      </c>
      <c r="B7520" s="1" t="str">
        <f>"2020-1247"</f>
        <v>2020-1247</v>
      </c>
      <c r="C7520" s="1" t="s">
        <v>2811</v>
      </c>
      <c r="D7520" s="1" t="s">
        <v>1859</v>
      </c>
      <c r="E7520" s="1" t="str">
        <f>""</f>
        <v/>
      </c>
      <c r="F7520" s="1" t="s">
        <v>1860</v>
      </c>
      <c r="G7520" s="1" t="str">
        <f>CONCATENATE(" PUČKO OTVORENO UČILIŠTE INVICTUS,"," DUBEČKA 94,"," 10000 ZAGREB,"," OIB: 07357960999")</f>
        <v xml:space="preserve"> PUČKO OTVORENO UČILIŠTE INVICTUS, DUBEČKA 94, 10000 ZAGREB, OIB: 07357960999</v>
      </c>
      <c r="H7520" s="7"/>
      <c r="I7520" s="8" t="s">
        <v>5552</v>
      </c>
      <c r="J7520" s="8" t="s">
        <v>4288</v>
      </c>
      <c r="K7520" s="6" t="str">
        <f>"15.000,00"</f>
        <v>15.000,00</v>
      </c>
      <c r="L7520" s="6" t="str">
        <f>"3.750,00"</f>
        <v>3.750,00</v>
      </c>
      <c r="M7520" s="6" t="str">
        <f>"18.750,00"</f>
        <v>18.750,00</v>
      </c>
      <c r="N7520" s="8" t="s">
        <v>1000</v>
      </c>
      <c r="O7520" s="7"/>
      <c r="P7520" s="2" t="s">
        <v>9187</v>
      </c>
      <c r="Q7520" s="7"/>
      <c r="R7520" s="1"/>
      <c r="S7520" s="1" t="str">
        <f>"J-UN-2020-1947"</f>
        <v>J-UN-2020-1947</v>
      </c>
      <c r="T7520" s="1" t="s">
        <v>32</v>
      </c>
    </row>
    <row r="7521" spans="1:20" ht="51" x14ac:dyDescent="0.25">
      <c r="A7521" s="6">
        <v>7492</v>
      </c>
      <c r="B7521" s="1" t="str">
        <f>"2020-1216"</f>
        <v>2020-1216</v>
      </c>
      <c r="C7521" s="1" t="s">
        <v>2831</v>
      </c>
      <c r="D7521" s="1" t="s">
        <v>3262</v>
      </c>
      <c r="E7521" s="1" t="str">
        <f>""</f>
        <v/>
      </c>
      <c r="F7521" s="1" t="s">
        <v>1860</v>
      </c>
      <c r="G7521" s="1" t="str">
        <f>CONCATENATE(" VATRO-PROMET D.O.O.,"," JEŽDOVEČKA 87,"," 10000 ZAGREB,"," OIB: 57189591567")</f>
        <v xml:space="preserve"> VATRO-PROMET D.O.O., JEŽDOVEČKA 87, 10000 ZAGREB, OIB: 57189591567</v>
      </c>
      <c r="H7521" s="7"/>
      <c r="I7521" s="8" t="s">
        <v>5552</v>
      </c>
      <c r="J7521" s="8" t="s">
        <v>4921</v>
      </c>
      <c r="K7521" s="6" t="str">
        <f>"1.830,00"</f>
        <v>1.830,00</v>
      </c>
      <c r="L7521" s="6" t="str">
        <f>"457,50"</f>
        <v>457,50</v>
      </c>
      <c r="M7521" s="6" t="str">
        <f>"2.287,50"</f>
        <v>2.287,50</v>
      </c>
      <c r="N7521" s="8" t="s">
        <v>124</v>
      </c>
      <c r="O7521" s="7"/>
      <c r="P7521" s="2" t="s">
        <v>5614</v>
      </c>
      <c r="Q7521" s="7"/>
      <c r="R7521" s="1"/>
      <c r="S7521" s="1" t="str">
        <f>"J-UN-2020-1977"</f>
        <v>J-UN-2020-1977</v>
      </c>
      <c r="T7521" s="1" t="s">
        <v>32</v>
      </c>
    </row>
    <row r="7522" spans="1:20" ht="51" x14ac:dyDescent="0.25">
      <c r="A7522" s="6">
        <v>7493</v>
      </c>
      <c r="B7522" s="1" t="str">
        <f>"2020-240"</f>
        <v>2020-240</v>
      </c>
      <c r="C7522" s="1" t="s">
        <v>2692</v>
      </c>
      <c r="D7522" s="1" t="s">
        <v>2693</v>
      </c>
      <c r="E7522" s="1" t="str">
        <f>""</f>
        <v/>
      </c>
      <c r="F7522" s="1" t="s">
        <v>1860</v>
      </c>
      <c r="G7522" s="1" t="str">
        <f>CONCATENATE(" COMET D.O.O.,"," VARAŽDINSKA 40/C,"," 42220 NOVI MAROF,"," OIB: 48249084626")</f>
        <v xml:space="preserve"> COMET D.O.O., VARAŽDINSKA 40/C, 42220 NOVI MAROF, OIB: 48249084626</v>
      </c>
      <c r="H7522" s="7"/>
      <c r="I7522" s="8" t="s">
        <v>4288</v>
      </c>
      <c r="J7522" s="8" t="s">
        <v>5551</v>
      </c>
      <c r="K7522" s="6" t="str">
        <f>"690,00"</f>
        <v>690,00</v>
      </c>
      <c r="L7522" s="6" t="str">
        <f>"172,50"</f>
        <v>172,50</v>
      </c>
      <c r="M7522" s="6" t="str">
        <f>"862,50"</f>
        <v>862,50</v>
      </c>
      <c r="N7522" s="8" t="s">
        <v>968</v>
      </c>
      <c r="O7522" s="7"/>
      <c r="P7522" s="2" t="s">
        <v>7780</v>
      </c>
      <c r="Q7522" s="7"/>
      <c r="R7522" s="1"/>
      <c r="S7522" s="1" t="str">
        <f>"J-UN-2020-1979"</f>
        <v>J-UN-2020-1979</v>
      </c>
      <c r="T7522" s="1" t="s">
        <v>32</v>
      </c>
    </row>
    <row r="7523" spans="1:20" ht="51" x14ac:dyDescent="0.25">
      <c r="A7523" s="6">
        <v>7494</v>
      </c>
      <c r="B7523" s="1" t="str">
        <f>"2020-1539"</f>
        <v>2020-1539</v>
      </c>
      <c r="C7523" s="1" t="s">
        <v>5222</v>
      </c>
      <c r="D7523" s="1" t="s">
        <v>2241</v>
      </c>
      <c r="E7523" s="1" t="str">
        <f>""</f>
        <v/>
      </c>
      <c r="F7523" s="1" t="s">
        <v>1860</v>
      </c>
      <c r="G7523" s="1" t="str">
        <f>CONCATENATE(" AUTO BENUSSI D.O.O.,"," INDUSTRIJSKA 2D,"," 52100 PULA,"," OIB: 96262119913")</f>
        <v xml:space="preserve"> AUTO BENUSSI D.O.O., INDUSTRIJSKA 2D, 52100 PULA, OIB: 96262119913</v>
      </c>
      <c r="H7523" s="7"/>
      <c r="I7523" s="8" t="s">
        <v>4455</v>
      </c>
      <c r="J7523" s="8" t="s">
        <v>5131</v>
      </c>
      <c r="K7523" s="6" t="str">
        <f>"15.300,00"</f>
        <v>15.300,00</v>
      </c>
      <c r="L7523" s="6" t="str">
        <f>"3.825,00"</f>
        <v>3.825,00</v>
      </c>
      <c r="M7523" s="6" t="str">
        <f>"19.125,00"</f>
        <v>19.125,00</v>
      </c>
      <c r="N7523" s="8" t="s">
        <v>4475</v>
      </c>
      <c r="O7523" s="7"/>
      <c r="P7523" s="2" t="s">
        <v>9188</v>
      </c>
      <c r="Q7523" s="7"/>
      <c r="R7523" s="1"/>
      <c r="S7523" s="1" t="str">
        <f>"J-UN-2020-1985"</f>
        <v>J-UN-2020-1985</v>
      </c>
      <c r="T7523" s="1" t="s">
        <v>32</v>
      </c>
    </row>
    <row r="7524" spans="1:20" ht="63.75" x14ac:dyDescent="0.25">
      <c r="A7524" s="6">
        <v>7495</v>
      </c>
      <c r="B7524" s="1" t="str">
        <f>"2020-260"</f>
        <v>2020-260</v>
      </c>
      <c r="C7524" s="1" t="s">
        <v>5553</v>
      </c>
      <c r="D7524" s="1" t="s">
        <v>2168</v>
      </c>
      <c r="E7524" s="1" t="str">
        <f>""</f>
        <v/>
      </c>
      <c r="F7524" s="1" t="s">
        <v>1860</v>
      </c>
      <c r="G7524" s="1" t="str">
        <f>CONCATENATE(" GRAFOK INŽENJERING D.O.O.,"," PRILAZ BARUNA FILIPOVIĆA 2,"," 10000 ZAGREB,"," OIB: 37569172514")</f>
        <v xml:space="preserve"> GRAFOK INŽENJERING D.O.O., PRILAZ BARUNA FILIPOVIĆA 2, 10000 ZAGREB, OIB: 37569172514</v>
      </c>
      <c r="H7524" s="7"/>
      <c r="I7524" s="8" t="s">
        <v>1098</v>
      </c>
      <c r="J7524" s="8" t="s">
        <v>5120</v>
      </c>
      <c r="K7524" s="6" t="str">
        <f>"187.925,80"</f>
        <v>187.925,80</v>
      </c>
      <c r="L7524" s="6" t="str">
        <f>"46.981,45"</f>
        <v>46.981,45</v>
      </c>
      <c r="M7524" s="6" t="str">
        <f>"234.907,25"</f>
        <v>234.907,25</v>
      </c>
      <c r="N7524" s="8" t="s">
        <v>872</v>
      </c>
      <c r="O7524" s="7"/>
      <c r="P7524" s="2" t="s">
        <v>9189</v>
      </c>
      <c r="Q7524" s="7"/>
      <c r="R7524" s="1"/>
      <c r="S7524" s="1" t="str">
        <f>"J-UN-2020-2003"</f>
        <v>J-UN-2020-2003</v>
      </c>
      <c r="T7524" s="1" t="s">
        <v>32</v>
      </c>
    </row>
    <row r="7525" spans="1:20" ht="51" x14ac:dyDescent="0.25">
      <c r="A7525" s="6">
        <v>7496</v>
      </c>
      <c r="B7525" s="1" t="str">
        <f>"2020-421"</f>
        <v>2020-421</v>
      </c>
      <c r="C7525" s="1" t="s">
        <v>2996</v>
      </c>
      <c r="D7525" s="1" t="s">
        <v>74</v>
      </c>
      <c r="E7525" s="1" t="str">
        <f>""</f>
        <v/>
      </c>
      <c r="F7525" s="1" t="s">
        <v>1860</v>
      </c>
      <c r="G7525" s="1" t="str">
        <f>CONCATENATE(" PAKOM D. O. O.,"," WOLFFOVA ULICA 6,"," 52100 PULA,"," OIB: 67442775703")</f>
        <v xml:space="preserve"> PAKOM D. O. O., WOLFFOVA ULICA 6, 52100 PULA, OIB: 67442775703</v>
      </c>
      <c r="H7525" s="7"/>
      <c r="I7525" s="8" t="s">
        <v>4286</v>
      </c>
      <c r="J7525" s="8" t="s">
        <v>4704</v>
      </c>
      <c r="K7525" s="6" t="str">
        <f>"72.000,00"</f>
        <v>72.000,00</v>
      </c>
      <c r="L7525" s="6" t="str">
        <f>"18.000,00"</f>
        <v>18.000,00</v>
      </c>
      <c r="M7525" s="6" t="str">
        <f>"90.000,00"</f>
        <v>90.000,00</v>
      </c>
      <c r="N7525" s="8" t="s">
        <v>5554</v>
      </c>
      <c r="O7525" s="7"/>
      <c r="P7525" s="2" t="s">
        <v>9190</v>
      </c>
      <c r="Q7525" s="7"/>
      <c r="R7525" s="1"/>
      <c r="S7525" s="1" t="str">
        <f>"J-UN-2020-2004"</f>
        <v>J-UN-2020-2004</v>
      </c>
      <c r="T7525" s="1" t="s">
        <v>32</v>
      </c>
    </row>
    <row r="7526" spans="1:20" ht="51" x14ac:dyDescent="0.25">
      <c r="A7526" s="6">
        <v>7497</v>
      </c>
      <c r="B7526" s="1" t="str">
        <f>"2020-1505"</f>
        <v>2020-1505</v>
      </c>
      <c r="C7526" s="1" t="s">
        <v>2816</v>
      </c>
      <c r="D7526" s="1" t="s">
        <v>229</v>
      </c>
      <c r="E7526" s="1" t="str">
        <f>""</f>
        <v/>
      </c>
      <c r="F7526" s="1" t="s">
        <v>1860</v>
      </c>
      <c r="G7526" s="1" t="str">
        <f>CONCATENATE(" TEHNOPLAM D.O.O.,"," USKOČKA 29,"," 10000 ZAGREB,"," OIB: 95347519849")</f>
        <v xml:space="preserve"> TEHNOPLAM D.O.O., USKOČKA 29, 10000 ZAGREB, OIB: 95347519849</v>
      </c>
      <c r="H7526" s="7"/>
      <c r="I7526" s="8" t="s">
        <v>5132</v>
      </c>
      <c r="J7526" s="8" t="s">
        <v>4291</v>
      </c>
      <c r="K7526" s="6" t="str">
        <f>"18.110,00"</f>
        <v>18.110,00</v>
      </c>
      <c r="L7526" s="6" t="str">
        <f>"4.527,50"</f>
        <v>4.527,50</v>
      </c>
      <c r="M7526" s="6" t="str">
        <f>"22.637,50"</f>
        <v>22.637,50</v>
      </c>
      <c r="N7526" s="8" t="s">
        <v>5406</v>
      </c>
      <c r="O7526" s="7"/>
      <c r="P7526" s="2" t="s">
        <v>9191</v>
      </c>
      <c r="Q7526" s="7"/>
      <c r="R7526" s="1"/>
      <c r="S7526" s="1" t="str">
        <f>"J-UN-2020-2065"</f>
        <v>J-UN-2020-2065</v>
      </c>
      <c r="T7526" s="1" t="s">
        <v>32</v>
      </c>
    </row>
    <row r="7527" spans="1:20" ht="51" x14ac:dyDescent="0.25">
      <c r="A7527" s="6">
        <v>7498</v>
      </c>
      <c r="B7527" s="1" t="str">
        <f>"2020-1247"</f>
        <v>2020-1247</v>
      </c>
      <c r="C7527" s="1" t="s">
        <v>2811</v>
      </c>
      <c r="D7527" s="1" t="s">
        <v>1859</v>
      </c>
      <c r="E7527" s="1" t="str">
        <f>""</f>
        <v/>
      </c>
      <c r="F7527" s="1" t="s">
        <v>1860</v>
      </c>
      <c r="G7527" s="1" t="str">
        <f>CONCATENATE(" ZIRS UČILIŠTE,"," ULICA GRADA VUKOVARA 68,"," 10000 ZAGREB,"," OIB: 22228764473")</f>
        <v xml:space="preserve"> ZIRS UČILIŠTE, ULICA GRADA VUKOVARA 68, 10000 ZAGREB, OIB: 22228764473</v>
      </c>
      <c r="H7527" s="7"/>
      <c r="I7527" s="8" t="s">
        <v>4291</v>
      </c>
      <c r="J7527" s="8" t="s">
        <v>4017</v>
      </c>
      <c r="K7527" s="6" t="str">
        <f>"19.040,00"</f>
        <v>19.040,00</v>
      </c>
      <c r="L7527" s="6" t="str">
        <f>"4.760,00"</f>
        <v>4.760,00</v>
      </c>
      <c r="M7527" s="6" t="str">
        <f>"23.800,00"</f>
        <v>23.800,00</v>
      </c>
      <c r="N7527" s="8" t="s">
        <v>3874</v>
      </c>
      <c r="O7527" s="7"/>
      <c r="P7527" s="2" t="s">
        <v>9192</v>
      </c>
      <c r="Q7527" s="7"/>
      <c r="R7527" s="1"/>
      <c r="S7527" s="1" t="str">
        <f>"J-UN-2020-2071"</f>
        <v>J-UN-2020-2071</v>
      </c>
      <c r="T7527" s="1" t="s">
        <v>32</v>
      </c>
    </row>
    <row r="7528" spans="1:20" ht="63.75" x14ac:dyDescent="0.25">
      <c r="A7528" s="6">
        <v>7499</v>
      </c>
      <c r="B7528" s="1" t="str">
        <f>"2020-2933"</f>
        <v>2020-2933</v>
      </c>
      <c r="C7528" s="1" t="s">
        <v>5555</v>
      </c>
      <c r="D7528" s="1" t="s">
        <v>5556</v>
      </c>
      <c r="E7528" s="1" t="str">
        <f>""</f>
        <v/>
      </c>
      <c r="F7528" s="1" t="s">
        <v>1860</v>
      </c>
      <c r="G7528" s="1" t="str">
        <f>CONCATENATE(" PISMORAD D.O.O.,"," INDUSTRIJSKA 5,"," 10431 SVETA NEDELJA-NOVAKI,"," OIB: 33260306505")</f>
        <v xml:space="preserve"> PISMORAD D.O.O., INDUSTRIJSKA 5, 10431 SVETA NEDELJA-NOVAKI, OIB: 33260306505</v>
      </c>
      <c r="H7528" s="7"/>
      <c r="I7528" s="8" t="s">
        <v>5552</v>
      </c>
      <c r="J7528" s="8" t="s">
        <v>4288</v>
      </c>
      <c r="K7528" s="6" t="str">
        <f>"180.000,00"</f>
        <v>180.000,00</v>
      </c>
      <c r="L7528" s="6" t="str">
        <f>"45.000,00"</f>
        <v>45.000,00</v>
      </c>
      <c r="M7528" s="6" t="str">
        <f>"225.000,00"</f>
        <v>225.000,00</v>
      </c>
      <c r="N7528" s="8" t="s">
        <v>370</v>
      </c>
      <c r="O7528" s="7"/>
      <c r="P7528" s="2" t="s">
        <v>7025</v>
      </c>
      <c r="Q7528" s="7"/>
      <c r="R7528" s="1"/>
      <c r="S7528" s="1" t="str">
        <f>"J-UN-2020-2072"</f>
        <v>J-UN-2020-2072</v>
      </c>
      <c r="T7528" s="1" t="s">
        <v>32</v>
      </c>
    </row>
    <row r="7529" spans="1:20" ht="63.75" x14ac:dyDescent="0.25">
      <c r="A7529" s="6">
        <v>7500</v>
      </c>
      <c r="B7529" s="1" t="str">
        <f>"2020-439"</f>
        <v>2020-439</v>
      </c>
      <c r="C7529" s="1" t="s">
        <v>2833</v>
      </c>
      <c r="D7529" s="1" t="s">
        <v>1962</v>
      </c>
      <c r="E7529" s="1" t="str">
        <f>""</f>
        <v/>
      </c>
      <c r="F7529" s="1" t="s">
        <v>1860</v>
      </c>
      <c r="G7529" s="1" t="str">
        <f>CONCATENATE(" HIDROMEHANIKA D.O.O.,"," SLAVONSKA AVENIJA 26/10,"," 10000 ZAGREB,"," OIB: 9178029895")</f>
        <v xml:space="preserve"> HIDROMEHANIKA D.O.O., SLAVONSKA AVENIJA 26/10, 10000 ZAGREB, OIB: 9178029895</v>
      </c>
      <c r="H7529" s="7"/>
      <c r="I7529" s="8" t="s">
        <v>5552</v>
      </c>
      <c r="J7529" s="8" t="s">
        <v>4288</v>
      </c>
      <c r="K7529" s="6" t="str">
        <f>"1.018,00"</f>
        <v>1.018,00</v>
      </c>
      <c r="L7529" s="6" t="str">
        <f>"254,50"</f>
        <v>254,50</v>
      </c>
      <c r="M7529" s="6" t="str">
        <f>"1.272,50"</f>
        <v>1.272,50</v>
      </c>
      <c r="N7529" s="8" t="s">
        <v>124</v>
      </c>
      <c r="O7529" s="7"/>
      <c r="P7529" s="2" t="s">
        <v>5614</v>
      </c>
      <c r="Q7529" s="7"/>
      <c r="R7529" s="1"/>
      <c r="S7529" s="1" t="str">
        <f>"J-UN-2020-2078"</f>
        <v>J-UN-2020-2078</v>
      </c>
      <c r="T7529" s="1" t="s">
        <v>32</v>
      </c>
    </row>
    <row r="7530" spans="1:20" ht="51" x14ac:dyDescent="0.25">
      <c r="A7530" s="6">
        <v>7501</v>
      </c>
      <c r="B7530" s="1" t="str">
        <f>"2020-1831"</f>
        <v>2020-1831</v>
      </c>
      <c r="C7530" s="1" t="s">
        <v>1289</v>
      </c>
      <c r="D7530" s="1" t="s">
        <v>1290</v>
      </c>
      <c r="E7530" s="1" t="str">
        <f>""</f>
        <v/>
      </c>
      <c r="F7530" s="1" t="s">
        <v>1860</v>
      </c>
      <c r="G7530" s="1" t="str">
        <f>CONCATENATE(" AUTOMEHANIKA D.D.,"," KOVINSKA 4,"," 10000 ZAGREB,"," OIB: 5223317126")</f>
        <v xml:space="preserve"> AUTOMEHANIKA D.D., KOVINSKA 4, 10000 ZAGREB, OIB: 5223317126</v>
      </c>
      <c r="H7530" s="7"/>
      <c r="I7530" s="8" t="s">
        <v>5552</v>
      </c>
      <c r="J7530" s="8" t="s">
        <v>4288</v>
      </c>
      <c r="K7530" s="6" t="str">
        <f>"3.277,20"</f>
        <v>3.277,20</v>
      </c>
      <c r="L7530" s="6" t="str">
        <f>"819,30"</f>
        <v>819,30</v>
      </c>
      <c r="M7530" s="6" t="str">
        <f>"4.096,50"</f>
        <v>4.096,50</v>
      </c>
      <c r="N7530" s="8" t="s">
        <v>124</v>
      </c>
      <c r="O7530" s="7"/>
      <c r="P7530" s="2" t="s">
        <v>5614</v>
      </c>
      <c r="Q7530" s="7"/>
      <c r="R7530" s="1"/>
      <c r="S7530" s="1" t="str">
        <f>"J-UN-2020-2080"</f>
        <v>J-UN-2020-2080</v>
      </c>
      <c r="T7530" s="1" t="s">
        <v>32</v>
      </c>
    </row>
    <row r="7531" spans="1:20" ht="63.75" x14ac:dyDescent="0.25">
      <c r="A7531" s="6">
        <v>7502</v>
      </c>
      <c r="B7531" s="1" t="str">
        <f>"2020-488"</f>
        <v>2020-488</v>
      </c>
      <c r="C7531" s="1" t="s">
        <v>3004</v>
      </c>
      <c r="D7531" s="1" t="s">
        <v>3005</v>
      </c>
      <c r="E7531" s="1" t="str">
        <f>""</f>
        <v/>
      </c>
      <c r="F7531" s="1" t="s">
        <v>1860</v>
      </c>
      <c r="G7531" s="1" t="str">
        <f>CONCATENATE(" VETERINARSKA STANICA SESVETE D.O.O.,"," JELKOVEČKA 2,"," 10360 SESVETE,"," OIB: 85969503819")</f>
        <v xml:space="preserve"> VETERINARSKA STANICA SESVETE D.O.O., JELKOVEČKA 2, 10360 SESVETE, OIB: 85969503819</v>
      </c>
      <c r="H7531" s="7"/>
      <c r="I7531" s="8" t="s">
        <v>5131</v>
      </c>
      <c r="J7531" s="8" t="s">
        <v>5557</v>
      </c>
      <c r="K7531" s="6" t="str">
        <f>"97.350,00"</f>
        <v>97.350,00</v>
      </c>
      <c r="L7531" s="6" t="str">
        <f>"24.337,50"</f>
        <v>24.337,50</v>
      </c>
      <c r="M7531" s="6" t="str">
        <f>"121.687,50"</f>
        <v>121.687,50</v>
      </c>
      <c r="N7531" s="8" t="s">
        <v>5557</v>
      </c>
      <c r="O7531" s="7"/>
      <c r="P7531" s="2" t="s">
        <v>9193</v>
      </c>
      <c r="Q7531" s="7"/>
      <c r="R7531" s="1"/>
      <c r="S7531" s="1" t="str">
        <f>"J-UN-2020-2087"</f>
        <v>J-UN-2020-2087</v>
      </c>
      <c r="T7531" s="1" t="s">
        <v>32</v>
      </c>
    </row>
    <row r="7532" spans="1:20" ht="51" x14ac:dyDescent="0.25">
      <c r="A7532" s="6">
        <v>7503</v>
      </c>
      <c r="B7532" s="1" t="str">
        <f>"2020-1539"</f>
        <v>2020-1539</v>
      </c>
      <c r="C7532" s="1" t="s">
        <v>5222</v>
      </c>
      <c r="D7532" s="1" t="s">
        <v>2241</v>
      </c>
      <c r="E7532" s="1" t="str">
        <f>""</f>
        <v/>
      </c>
      <c r="F7532" s="1" t="s">
        <v>1860</v>
      </c>
      <c r="G7532" s="1" t="str">
        <f>CONCATENATE(" AUTO BENUSSI D.O.O.,"," INDUSTRIJSKA 2D,"," 52100 PULA,"," OIB: 96262119913")</f>
        <v xml:space="preserve"> AUTO BENUSSI D.O.O., INDUSTRIJSKA 2D, 52100 PULA, OIB: 96262119913</v>
      </c>
      <c r="H7532" s="7"/>
      <c r="I7532" s="8" t="s">
        <v>5132</v>
      </c>
      <c r="J7532" s="8" t="s">
        <v>3806</v>
      </c>
      <c r="K7532" s="6" t="str">
        <f>"41.000,00"</f>
        <v>41.000,00</v>
      </c>
      <c r="L7532" s="6" t="str">
        <f>"10.250,00"</f>
        <v>10.250,00</v>
      </c>
      <c r="M7532" s="6" t="str">
        <f>"51.250,00"</f>
        <v>51.250,00</v>
      </c>
      <c r="N7532" s="8" t="s">
        <v>70</v>
      </c>
      <c r="O7532" s="7"/>
      <c r="P7532" s="2" t="s">
        <v>9194</v>
      </c>
      <c r="Q7532" s="1" t="s">
        <v>481</v>
      </c>
      <c r="R7532" s="1"/>
      <c r="S7532" s="1" t="str">
        <f>"J-UN-2020-2089"</f>
        <v>J-UN-2020-2089</v>
      </c>
      <c r="T7532" s="1" t="s">
        <v>32</v>
      </c>
    </row>
    <row r="7533" spans="1:20" ht="51" x14ac:dyDescent="0.25">
      <c r="A7533" s="6">
        <v>7504</v>
      </c>
      <c r="B7533" s="1" t="str">
        <f>"2020-2512"</f>
        <v>2020-2512</v>
      </c>
      <c r="C7533" s="1" t="s">
        <v>5532</v>
      </c>
      <c r="D7533" s="1" t="s">
        <v>2493</v>
      </c>
      <c r="E7533" s="1" t="str">
        <f>""</f>
        <v/>
      </c>
      <c r="F7533" s="1" t="s">
        <v>1860</v>
      </c>
      <c r="G7533" s="1" t="str">
        <f>CONCATENATE(" AUTOMEHANIKA D.D.,"," KOVINSKA 4,"," 10000 ZAGREB,"," OIB: 5223317126")</f>
        <v xml:space="preserve"> AUTOMEHANIKA D.D., KOVINSKA 4, 10000 ZAGREB, OIB: 5223317126</v>
      </c>
      <c r="H7533" s="7"/>
      <c r="I7533" s="8" t="s">
        <v>5552</v>
      </c>
      <c r="J7533" s="8" t="s">
        <v>4288</v>
      </c>
      <c r="K7533" s="6" t="str">
        <f>"2.218,05"</f>
        <v>2.218,05</v>
      </c>
      <c r="L7533" s="6" t="str">
        <f>"554,51"</f>
        <v>554,51</v>
      </c>
      <c r="M7533" s="6" t="str">
        <f>"2.772,56"</f>
        <v>2.772,56</v>
      </c>
      <c r="N7533" s="8" t="s">
        <v>124</v>
      </c>
      <c r="O7533" s="7"/>
      <c r="P7533" s="2" t="s">
        <v>5614</v>
      </c>
      <c r="Q7533" s="7"/>
      <c r="R7533" s="1"/>
      <c r="S7533" s="1" t="str">
        <f>"J-UN-2020-2102"</f>
        <v>J-UN-2020-2102</v>
      </c>
      <c r="T7533" s="1" t="s">
        <v>32</v>
      </c>
    </row>
    <row r="7534" spans="1:20" ht="51" x14ac:dyDescent="0.25">
      <c r="A7534" s="6">
        <v>7505</v>
      </c>
      <c r="B7534" s="1" t="str">
        <f>"2020-990"</f>
        <v>2020-990</v>
      </c>
      <c r="C7534" s="1" t="s">
        <v>2485</v>
      </c>
      <c r="D7534" s="1" t="s">
        <v>1007</v>
      </c>
      <c r="E7534" s="1" t="str">
        <f>""</f>
        <v/>
      </c>
      <c r="F7534" s="1" t="s">
        <v>1860</v>
      </c>
      <c r="G7534" s="1" t="str">
        <f>CONCATENATE(" AUREL D.O.O.,"," BORONGAJSKA CESTA bb,"," 10000 ZAGREB,"," OIB: 62871653225")</f>
        <v xml:space="preserve"> AUREL D.O.O., BORONGAJSKA CESTA bb, 10000 ZAGREB, OIB: 62871653225</v>
      </c>
      <c r="H7534" s="7"/>
      <c r="I7534" s="8" t="s">
        <v>3806</v>
      </c>
      <c r="J7534" s="8" t="s">
        <v>4017</v>
      </c>
      <c r="K7534" s="6" t="str">
        <f>"9.900,00"</f>
        <v>9.900,00</v>
      </c>
      <c r="L7534" s="6" t="str">
        <f>"2.475,00"</f>
        <v>2.475,00</v>
      </c>
      <c r="M7534" s="6" t="str">
        <f>"12.375,00"</f>
        <v>12.375,00</v>
      </c>
      <c r="N7534" s="8" t="s">
        <v>29</v>
      </c>
      <c r="O7534" s="7"/>
      <c r="P7534" s="2" t="s">
        <v>6716</v>
      </c>
      <c r="Q7534" s="7"/>
      <c r="R7534" s="1"/>
      <c r="S7534" s="1" t="str">
        <f>"J-UN-2020-2108"</f>
        <v>J-UN-2020-2108</v>
      </c>
      <c r="T7534" s="1" t="s">
        <v>32</v>
      </c>
    </row>
    <row r="7535" spans="1:20" ht="114.75" x14ac:dyDescent="0.25">
      <c r="A7535" s="6">
        <v>7506</v>
      </c>
      <c r="B7535" s="1" t="str">
        <f>"2020-109"</f>
        <v>2020-109</v>
      </c>
      <c r="C7535" s="1" t="s">
        <v>5400</v>
      </c>
      <c r="D7535" s="1" t="s">
        <v>5341</v>
      </c>
      <c r="E7535" s="1" t="str">
        <f>""</f>
        <v/>
      </c>
      <c r="F7535" s="1" t="s">
        <v>1860</v>
      </c>
      <c r="G7535" s="1" t="str">
        <f>CONCATENATE(" HRT - ŠARIĆ D.O.O.,"," ZAGREBAČKA 217,"," 10370 DUGO SELO,"," OIB: 76454212077")</f>
        <v xml:space="preserve"> HRT - ŠARIĆ D.O.O., ZAGREBAČKA 217, 10370 DUGO SELO, OIB: 76454212077</v>
      </c>
      <c r="H7535" s="7"/>
      <c r="I7535" s="8" t="s">
        <v>3806</v>
      </c>
      <c r="J7535" s="8" t="s">
        <v>4291</v>
      </c>
      <c r="K7535" s="6" t="str">
        <f>"7.470,00"</f>
        <v>7.470,00</v>
      </c>
      <c r="L7535" s="6" t="str">
        <f>"1.867,50"</f>
        <v>1.867,50</v>
      </c>
      <c r="M7535" s="6" t="str">
        <f>"9.337,50"</f>
        <v>9.337,50</v>
      </c>
      <c r="N7535" s="8" t="s">
        <v>124</v>
      </c>
      <c r="O7535" s="7"/>
      <c r="P7535" s="2" t="s">
        <v>5614</v>
      </c>
      <c r="Q7535" s="7"/>
      <c r="R7535" s="1"/>
      <c r="S7535" s="1" t="str">
        <f>"J-UN-2020-2109"</f>
        <v>J-UN-2020-2109</v>
      </c>
      <c r="T7535" s="1" t="s">
        <v>32</v>
      </c>
    </row>
    <row r="7536" spans="1:20" ht="63.75" x14ac:dyDescent="0.25">
      <c r="A7536" s="6">
        <v>7507</v>
      </c>
      <c r="B7536" s="1" t="str">
        <f>"2020-1298"</f>
        <v>2020-1298</v>
      </c>
      <c r="C7536" s="1" t="s">
        <v>2989</v>
      </c>
      <c r="D7536" s="1" t="s">
        <v>2990</v>
      </c>
      <c r="E7536" s="1" t="str">
        <f>""</f>
        <v/>
      </c>
      <c r="F7536" s="1" t="s">
        <v>1860</v>
      </c>
      <c r="G7536" s="1" t="str">
        <f t="shared" ref="G7536:G7543" si="252">CONCATENATE(" LANIŠTE D.O.O.,"," ALEXANDERA VON HUMBOLDTA 4B,"," 10000 ZAGREB,"," OIB: 3755384865")</f>
        <v xml:space="preserve"> LANIŠTE D.O.O., ALEXANDERA VON HUMBOLDTA 4B, 10000 ZAGREB, OIB: 3755384865</v>
      </c>
      <c r="H7536" s="7"/>
      <c r="I7536" s="8" t="s">
        <v>5132</v>
      </c>
      <c r="J7536" s="8" t="s">
        <v>4291</v>
      </c>
      <c r="K7536" s="6" t="str">
        <f>"2.636,00"</f>
        <v>2.636,00</v>
      </c>
      <c r="L7536" s="6" t="str">
        <f>"659,00"</f>
        <v>659,00</v>
      </c>
      <c r="M7536" s="6" t="str">
        <f>"3.295,00"</f>
        <v>3.295,00</v>
      </c>
      <c r="N7536" s="8" t="s">
        <v>124</v>
      </c>
      <c r="O7536" s="7"/>
      <c r="P7536" s="2" t="s">
        <v>5614</v>
      </c>
      <c r="Q7536" s="7"/>
      <c r="R7536" s="1"/>
      <c r="S7536" s="1" t="str">
        <f>"J-UN-2020-2164"</f>
        <v>J-UN-2020-2164</v>
      </c>
      <c r="T7536" s="1" t="s">
        <v>32</v>
      </c>
    </row>
    <row r="7537" spans="1:20" ht="63.75" x14ac:dyDescent="0.25">
      <c r="A7537" s="6">
        <v>7508</v>
      </c>
      <c r="B7537" s="1" t="str">
        <f>"2020-1905"</f>
        <v>2020-1905</v>
      </c>
      <c r="C7537" s="1" t="s">
        <v>2993</v>
      </c>
      <c r="D7537" s="1" t="s">
        <v>2994</v>
      </c>
      <c r="E7537" s="1" t="str">
        <f>""</f>
        <v/>
      </c>
      <c r="F7537" s="1" t="s">
        <v>1860</v>
      </c>
      <c r="G7537" s="1" t="str">
        <f t="shared" si="252"/>
        <v xml:space="preserve"> LANIŠTE D.O.O., ALEXANDERA VON HUMBOLDTA 4B, 10000 ZAGREB, OIB: 3755384865</v>
      </c>
      <c r="H7537" s="7"/>
      <c r="I7537" s="8" t="s">
        <v>5132</v>
      </c>
      <c r="J7537" s="8" t="s">
        <v>4291</v>
      </c>
      <c r="K7537" s="6" t="str">
        <f>"1.632,00"</f>
        <v>1.632,00</v>
      </c>
      <c r="L7537" s="6" t="str">
        <f>"408,00"</f>
        <v>408,00</v>
      </c>
      <c r="M7537" s="6" t="str">
        <f>"2.040,00"</f>
        <v>2.040,00</v>
      </c>
      <c r="N7537" s="8" t="s">
        <v>124</v>
      </c>
      <c r="O7537" s="7"/>
      <c r="P7537" s="2" t="s">
        <v>5614</v>
      </c>
      <c r="Q7537" s="7"/>
      <c r="R7537" s="1"/>
      <c r="S7537" s="1" t="str">
        <f>"J-UN-2020-2165"</f>
        <v>J-UN-2020-2165</v>
      </c>
      <c r="T7537" s="1" t="s">
        <v>32</v>
      </c>
    </row>
    <row r="7538" spans="1:20" ht="63.75" x14ac:dyDescent="0.25">
      <c r="A7538" s="6">
        <v>7509</v>
      </c>
      <c r="B7538" s="1" t="str">
        <f>"2020-1631"</f>
        <v>2020-1631</v>
      </c>
      <c r="C7538" s="1" t="s">
        <v>2987</v>
      </c>
      <c r="D7538" s="1" t="s">
        <v>2988</v>
      </c>
      <c r="E7538" s="1" t="str">
        <f>""</f>
        <v/>
      </c>
      <c r="F7538" s="1" t="s">
        <v>1860</v>
      </c>
      <c r="G7538" s="1" t="str">
        <f t="shared" si="252"/>
        <v xml:space="preserve"> LANIŠTE D.O.O., ALEXANDERA VON HUMBOLDTA 4B, 10000 ZAGREB, OIB: 3755384865</v>
      </c>
      <c r="H7538" s="7"/>
      <c r="I7538" s="8" t="s">
        <v>5132</v>
      </c>
      <c r="J7538" s="8" t="s">
        <v>4291</v>
      </c>
      <c r="K7538" s="6" t="str">
        <f>"2.032,00"</f>
        <v>2.032,00</v>
      </c>
      <c r="L7538" s="6" t="str">
        <f>"508,00"</f>
        <v>508,00</v>
      </c>
      <c r="M7538" s="6" t="str">
        <f>"2.540,00"</f>
        <v>2.540,00</v>
      </c>
      <c r="N7538" s="8" t="s">
        <v>124</v>
      </c>
      <c r="O7538" s="7"/>
      <c r="P7538" s="2" t="s">
        <v>5614</v>
      </c>
      <c r="Q7538" s="7"/>
      <c r="R7538" s="1"/>
      <c r="S7538" s="1" t="str">
        <f>"J-UN-2020-2166"</f>
        <v>J-UN-2020-2166</v>
      </c>
      <c r="T7538" s="1" t="s">
        <v>32</v>
      </c>
    </row>
    <row r="7539" spans="1:20" ht="63.75" x14ac:dyDescent="0.25">
      <c r="A7539" s="6">
        <v>7510</v>
      </c>
      <c r="B7539" s="1" t="str">
        <f>"2020-983"</f>
        <v>2020-983</v>
      </c>
      <c r="C7539" s="1" t="s">
        <v>2986</v>
      </c>
      <c r="D7539" s="1" t="s">
        <v>2985</v>
      </c>
      <c r="E7539" s="1" t="str">
        <f>""</f>
        <v/>
      </c>
      <c r="F7539" s="1" t="s">
        <v>1860</v>
      </c>
      <c r="G7539" s="1" t="str">
        <f t="shared" si="252"/>
        <v xml:space="preserve"> LANIŠTE D.O.O., ALEXANDERA VON HUMBOLDTA 4B, 10000 ZAGREB, OIB: 3755384865</v>
      </c>
      <c r="H7539" s="7"/>
      <c r="I7539" s="8" t="s">
        <v>5132</v>
      </c>
      <c r="J7539" s="8" t="s">
        <v>4291</v>
      </c>
      <c r="K7539" s="6" t="str">
        <f>"2.032,00"</f>
        <v>2.032,00</v>
      </c>
      <c r="L7539" s="6" t="str">
        <f>"508,00"</f>
        <v>508,00</v>
      </c>
      <c r="M7539" s="6" t="str">
        <f>"2.540,00"</f>
        <v>2.540,00</v>
      </c>
      <c r="N7539" s="8" t="s">
        <v>124</v>
      </c>
      <c r="O7539" s="7"/>
      <c r="P7539" s="2" t="s">
        <v>5614</v>
      </c>
      <c r="Q7539" s="7"/>
      <c r="R7539" s="1"/>
      <c r="S7539" s="1" t="str">
        <f>"J-UN-2020-2167"</f>
        <v>J-UN-2020-2167</v>
      </c>
      <c r="T7539" s="1" t="s">
        <v>32</v>
      </c>
    </row>
    <row r="7540" spans="1:20" ht="63.75" x14ac:dyDescent="0.25">
      <c r="A7540" s="6">
        <v>7511</v>
      </c>
      <c r="B7540" s="1" t="str">
        <f>"2020-2411"</f>
        <v>2020-2411</v>
      </c>
      <c r="C7540" s="1" t="s">
        <v>2984</v>
      </c>
      <c r="D7540" s="1" t="s">
        <v>2985</v>
      </c>
      <c r="E7540" s="1" t="str">
        <f>""</f>
        <v/>
      </c>
      <c r="F7540" s="1" t="s">
        <v>1860</v>
      </c>
      <c r="G7540" s="1" t="str">
        <f t="shared" si="252"/>
        <v xml:space="preserve"> LANIŠTE D.O.O., ALEXANDERA VON HUMBOLDTA 4B, 10000 ZAGREB, OIB: 3755384865</v>
      </c>
      <c r="H7540" s="7"/>
      <c r="I7540" s="8" t="s">
        <v>5132</v>
      </c>
      <c r="J7540" s="8" t="s">
        <v>4291</v>
      </c>
      <c r="K7540" s="6" t="str">
        <f>"2.032,00"</f>
        <v>2.032,00</v>
      </c>
      <c r="L7540" s="6" t="str">
        <f>"508,00"</f>
        <v>508,00</v>
      </c>
      <c r="M7540" s="6" t="str">
        <f>"2.540,00"</f>
        <v>2.540,00</v>
      </c>
      <c r="N7540" s="8" t="s">
        <v>124</v>
      </c>
      <c r="O7540" s="7"/>
      <c r="P7540" s="2" t="s">
        <v>5614</v>
      </c>
      <c r="Q7540" s="7"/>
      <c r="R7540" s="1"/>
      <c r="S7540" s="1" t="str">
        <f>"J-UN-2020-2168"</f>
        <v>J-UN-2020-2168</v>
      </c>
      <c r="T7540" s="1" t="s">
        <v>32</v>
      </c>
    </row>
    <row r="7541" spans="1:20" ht="63.75" x14ac:dyDescent="0.25">
      <c r="A7541" s="6">
        <v>7512</v>
      </c>
      <c r="B7541" s="1" t="str">
        <f>"2020-2471"</f>
        <v>2020-2471</v>
      </c>
      <c r="C7541" s="1" t="s">
        <v>2991</v>
      </c>
      <c r="D7541" s="1" t="s">
        <v>2992</v>
      </c>
      <c r="E7541" s="1" t="str">
        <f>""</f>
        <v/>
      </c>
      <c r="F7541" s="1" t="s">
        <v>1860</v>
      </c>
      <c r="G7541" s="1" t="str">
        <f t="shared" si="252"/>
        <v xml:space="preserve"> LANIŠTE D.O.O., ALEXANDERA VON HUMBOLDTA 4B, 10000 ZAGREB, OIB: 3755384865</v>
      </c>
      <c r="H7541" s="7"/>
      <c r="I7541" s="8" t="s">
        <v>5132</v>
      </c>
      <c r="J7541" s="8" t="s">
        <v>4291</v>
      </c>
      <c r="K7541" s="6" t="str">
        <f>"2.636,00"</f>
        <v>2.636,00</v>
      </c>
      <c r="L7541" s="6" t="str">
        <f>"659,00"</f>
        <v>659,00</v>
      </c>
      <c r="M7541" s="6" t="str">
        <f>"3.295,00"</f>
        <v>3.295,00</v>
      </c>
      <c r="N7541" s="8" t="s">
        <v>124</v>
      </c>
      <c r="O7541" s="7"/>
      <c r="P7541" s="2" t="s">
        <v>5614</v>
      </c>
      <c r="Q7541" s="7"/>
      <c r="R7541" s="1"/>
      <c r="S7541" s="1" t="str">
        <f>"J-UN-2020-2169"</f>
        <v>J-UN-2020-2169</v>
      </c>
      <c r="T7541" s="1" t="s">
        <v>32</v>
      </c>
    </row>
    <row r="7542" spans="1:20" ht="63.75" x14ac:dyDescent="0.25">
      <c r="A7542" s="6">
        <v>7513</v>
      </c>
      <c r="B7542" s="1" t="str">
        <f>"2020-983"</f>
        <v>2020-983</v>
      </c>
      <c r="C7542" s="1" t="s">
        <v>2986</v>
      </c>
      <c r="D7542" s="1" t="s">
        <v>2985</v>
      </c>
      <c r="E7542" s="1" t="str">
        <f>""</f>
        <v/>
      </c>
      <c r="F7542" s="1" t="s">
        <v>1860</v>
      </c>
      <c r="G7542" s="1" t="str">
        <f t="shared" si="252"/>
        <v xml:space="preserve"> LANIŠTE D.O.O., ALEXANDERA VON HUMBOLDTA 4B, 10000 ZAGREB, OIB: 3755384865</v>
      </c>
      <c r="H7542" s="7"/>
      <c r="I7542" s="8" t="s">
        <v>5551</v>
      </c>
      <c r="J7542" s="8" t="s">
        <v>5132</v>
      </c>
      <c r="K7542" s="6" t="str">
        <f>"4.032,00"</f>
        <v>4.032,00</v>
      </c>
      <c r="L7542" s="6" t="str">
        <f>"1.008,00"</f>
        <v>1.008,00</v>
      </c>
      <c r="M7542" s="6" t="str">
        <f>"5.040,00"</f>
        <v>5.040,00</v>
      </c>
      <c r="N7542" s="8" t="s">
        <v>124</v>
      </c>
      <c r="O7542" s="7"/>
      <c r="P7542" s="2" t="s">
        <v>5614</v>
      </c>
      <c r="Q7542" s="7"/>
      <c r="R7542" s="1"/>
      <c r="S7542" s="1" t="str">
        <f>"J-UN-2020-2172"</f>
        <v>J-UN-2020-2172</v>
      </c>
      <c r="T7542" s="1" t="s">
        <v>32</v>
      </c>
    </row>
    <row r="7543" spans="1:20" ht="63.75" x14ac:dyDescent="0.25">
      <c r="A7543" s="6">
        <v>7514</v>
      </c>
      <c r="B7543" s="1" t="str">
        <f>"2020-2411"</f>
        <v>2020-2411</v>
      </c>
      <c r="C7543" s="1" t="s">
        <v>2984</v>
      </c>
      <c r="D7543" s="1" t="s">
        <v>2985</v>
      </c>
      <c r="E7543" s="1" t="str">
        <f>""</f>
        <v/>
      </c>
      <c r="F7543" s="1" t="s">
        <v>1860</v>
      </c>
      <c r="G7543" s="1" t="str">
        <f t="shared" si="252"/>
        <v xml:space="preserve"> LANIŠTE D.O.O., ALEXANDERA VON HUMBOLDTA 4B, 10000 ZAGREB, OIB: 3755384865</v>
      </c>
      <c r="H7543" s="7"/>
      <c r="I7543" s="8" t="s">
        <v>5551</v>
      </c>
      <c r="J7543" s="8" t="s">
        <v>5132</v>
      </c>
      <c r="K7543" s="6" t="str">
        <f>"4.032,00"</f>
        <v>4.032,00</v>
      </c>
      <c r="L7543" s="6" t="str">
        <f>"1.008,00"</f>
        <v>1.008,00</v>
      </c>
      <c r="M7543" s="6" t="str">
        <f>"5.040,00"</f>
        <v>5.040,00</v>
      </c>
      <c r="N7543" s="8" t="s">
        <v>124</v>
      </c>
      <c r="O7543" s="7"/>
      <c r="P7543" s="2" t="s">
        <v>5614</v>
      </c>
      <c r="Q7543" s="7"/>
      <c r="R7543" s="1"/>
      <c r="S7543" s="1" t="str">
        <f>"J-UN-2020-2173"</f>
        <v>J-UN-2020-2173</v>
      </c>
      <c r="T7543" s="1" t="s">
        <v>32</v>
      </c>
    </row>
    <row r="7544" spans="1:20" ht="51" x14ac:dyDescent="0.25">
      <c r="A7544" s="6">
        <v>7515</v>
      </c>
      <c r="B7544" s="1" t="str">
        <f>"2020-1309"</f>
        <v>2020-1309</v>
      </c>
      <c r="C7544" s="1" t="s">
        <v>5558</v>
      </c>
      <c r="D7544" s="1" t="s">
        <v>1203</v>
      </c>
      <c r="E7544" s="1" t="str">
        <f>""</f>
        <v/>
      </c>
      <c r="F7544" s="1" t="s">
        <v>1860</v>
      </c>
      <c r="G7544" s="1" t="str">
        <f>CONCATENATE(" SCHEDA D.O.O.,"," LJUDEVITA POSAVSKOG 29,"," 10360 SESVETE,"," OIB: 76219817247")</f>
        <v xml:space="preserve"> SCHEDA D.O.O., LJUDEVITA POSAVSKOG 29, 10360 SESVETE, OIB: 76219817247</v>
      </c>
      <c r="H7544" s="7"/>
      <c r="I7544" s="8" t="s">
        <v>3537</v>
      </c>
      <c r="J7544" s="8" t="s">
        <v>5559</v>
      </c>
      <c r="K7544" s="6" t="str">
        <f>"1.778,00"</f>
        <v>1.778,00</v>
      </c>
      <c r="L7544" s="6" t="str">
        <f>"444,50"</f>
        <v>444,50</v>
      </c>
      <c r="M7544" s="6" t="str">
        <f>"2.222,50"</f>
        <v>2.222,50</v>
      </c>
      <c r="N7544" s="8" t="s">
        <v>124</v>
      </c>
      <c r="O7544" s="7"/>
      <c r="P7544" s="2" t="s">
        <v>5614</v>
      </c>
      <c r="Q7544" s="7"/>
      <c r="R7544" s="1"/>
      <c r="S7544" s="1" t="str">
        <f>"J-UN-2020-2178"</f>
        <v>J-UN-2020-2178</v>
      </c>
      <c r="T7544" s="1" t="s">
        <v>32</v>
      </c>
    </row>
    <row r="7545" spans="1:20" ht="63.75" x14ac:dyDescent="0.25">
      <c r="A7545" s="6">
        <v>7516</v>
      </c>
      <c r="B7545" s="1" t="str">
        <f>"2020-400"</f>
        <v>2020-400</v>
      </c>
      <c r="C7545" s="1" t="s">
        <v>2956</v>
      </c>
      <c r="D7545" s="1" t="s">
        <v>815</v>
      </c>
      <c r="E7545" s="1" t="str">
        <f>""</f>
        <v/>
      </c>
      <c r="F7545" s="1" t="s">
        <v>1860</v>
      </c>
      <c r="G7545" s="1" t="str">
        <f>CONCATENATE(" AUTOCOMMERCE HRVATSKA d.o.o.,"," KOVINSKA 22,"," 10000 ZAGREB,"," OIB: 36844439304")</f>
        <v xml:space="preserve"> AUTOCOMMERCE HRVATSKA d.o.o., KOVINSKA 22, 10000 ZAGREB, OIB: 36844439304</v>
      </c>
      <c r="H7545" s="7"/>
      <c r="I7545" s="8" t="s">
        <v>4291</v>
      </c>
      <c r="J7545" s="8" t="s">
        <v>4017</v>
      </c>
      <c r="K7545" s="6" t="str">
        <f>"4.521,65"</f>
        <v>4.521,65</v>
      </c>
      <c r="L7545" s="6" t="str">
        <f>"1.130,41"</f>
        <v>1.130,41</v>
      </c>
      <c r="M7545" s="6" t="str">
        <f>"5.652,06"</f>
        <v>5.652,06</v>
      </c>
      <c r="N7545" s="8" t="s">
        <v>4291</v>
      </c>
      <c r="O7545" s="7"/>
      <c r="P7545" s="2" t="s">
        <v>9195</v>
      </c>
      <c r="Q7545" s="7"/>
      <c r="R7545" s="1"/>
      <c r="S7545" s="1" t="str">
        <f>"J-UN-2020-2185"</f>
        <v>J-UN-2020-2185</v>
      </c>
      <c r="T7545" s="1" t="s">
        <v>32</v>
      </c>
    </row>
    <row r="7546" spans="1:20" ht="51" x14ac:dyDescent="0.25">
      <c r="A7546" s="6">
        <v>7517</v>
      </c>
      <c r="B7546" s="1" t="str">
        <f>"2020-290"</f>
        <v>2020-290</v>
      </c>
      <c r="C7546" s="1" t="s">
        <v>3131</v>
      </c>
      <c r="D7546" s="1" t="s">
        <v>1859</v>
      </c>
      <c r="E7546" s="1" t="str">
        <f>""</f>
        <v/>
      </c>
      <c r="F7546" s="1" t="s">
        <v>1860</v>
      </c>
      <c r="G7546" s="1" t="str">
        <f>CONCATENATE(" INFO PULS D.O.O.,"," JOSIPA PUPAČIĆA 1,"," 10000 ZAGREB,"," OIB: 43150843424")</f>
        <v xml:space="preserve"> INFO PULS D.O.O., JOSIPA PUPAČIĆA 1, 10000 ZAGREB, OIB: 43150843424</v>
      </c>
      <c r="H7546" s="7"/>
      <c r="I7546" s="8" t="s">
        <v>4291</v>
      </c>
      <c r="J7546" s="8" t="s">
        <v>4017</v>
      </c>
      <c r="K7546" s="6" t="str">
        <f>"1.190,00"</f>
        <v>1.190,00</v>
      </c>
      <c r="L7546" s="6" t="str">
        <f>"297,50"</f>
        <v>297,50</v>
      </c>
      <c r="M7546" s="6" t="str">
        <f>"1.487,50"</f>
        <v>1.487,50</v>
      </c>
      <c r="N7546" s="8" t="s">
        <v>124</v>
      </c>
      <c r="O7546" s="7"/>
      <c r="P7546" s="2" t="s">
        <v>5614</v>
      </c>
      <c r="Q7546" s="7"/>
      <c r="R7546" s="1"/>
      <c r="S7546" s="1" t="str">
        <f>"J-UN-2020-2197"</f>
        <v>J-UN-2020-2197</v>
      </c>
      <c r="T7546" s="1" t="s">
        <v>32</v>
      </c>
    </row>
    <row r="7547" spans="1:20" ht="51" x14ac:dyDescent="0.25">
      <c r="A7547" s="6">
        <v>7518</v>
      </c>
      <c r="B7547" s="1" t="str">
        <f>"2020-2925"</f>
        <v>2020-2925</v>
      </c>
      <c r="C7547" s="1" t="s">
        <v>5560</v>
      </c>
      <c r="D7547" s="1" t="s">
        <v>1065</v>
      </c>
      <c r="E7547" s="1" t="str">
        <f>""</f>
        <v/>
      </c>
      <c r="F7547" s="1" t="s">
        <v>1860</v>
      </c>
      <c r="G7547" s="1" t="str">
        <f>CONCATENATE(" VIATOR D.O.O.,"," KRALJA DRŽISLAVA 6,"," 21000 SPLIT,"," OIB: 6473171712")</f>
        <v xml:space="preserve"> VIATOR D.O.O., KRALJA DRŽISLAVA 6, 21000 SPLIT, OIB: 6473171712</v>
      </c>
      <c r="H7547" s="7"/>
      <c r="I7547" s="8" t="s">
        <v>5559</v>
      </c>
      <c r="J7547" s="8" t="s">
        <v>4116</v>
      </c>
      <c r="K7547" s="6" t="str">
        <f>"6.210,00"</f>
        <v>6.210,00</v>
      </c>
      <c r="L7547" s="6" t="str">
        <f>"1.552,50"</f>
        <v>1.552,50</v>
      </c>
      <c r="M7547" s="6" t="str">
        <f>"7.762,50"</f>
        <v>7.762,50</v>
      </c>
      <c r="N7547" s="8" t="s">
        <v>4460</v>
      </c>
      <c r="O7547" s="7"/>
      <c r="P7547" s="2" t="s">
        <v>9196</v>
      </c>
      <c r="Q7547" s="7"/>
      <c r="R7547" s="1"/>
      <c r="S7547" s="1" t="str">
        <f>"J-UN-2020-2206"</f>
        <v>J-UN-2020-2206</v>
      </c>
      <c r="T7547" s="1" t="s">
        <v>32</v>
      </c>
    </row>
    <row r="7548" spans="1:20" ht="63.75" x14ac:dyDescent="0.25">
      <c r="A7548" s="6">
        <v>7519</v>
      </c>
      <c r="B7548" s="1" t="str">
        <f>"2020-1298"</f>
        <v>2020-1298</v>
      </c>
      <c r="C7548" s="1" t="s">
        <v>2989</v>
      </c>
      <c r="D7548" s="1" t="s">
        <v>2990</v>
      </c>
      <c r="E7548" s="1" t="str">
        <f>""</f>
        <v/>
      </c>
      <c r="F7548" s="1" t="s">
        <v>1860</v>
      </c>
      <c r="G7548" s="1" t="str">
        <f>CONCATENATE(" LANIŠTE D.O.O.,"," ALEXANDERA VON HUMBOLDTA 4B,"," 10000 ZAGREB,"," OIB: 3755384865")</f>
        <v xml:space="preserve"> LANIŠTE D.O.O., ALEXANDERA VON HUMBOLDTA 4B, 10000 ZAGREB, OIB: 3755384865</v>
      </c>
      <c r="H7548" s="7"/>
      <c r="I7548" s="8" t="s">
        <v>4017</v>
      </c>
      <c r="J7548" s="8" t="s">
        <v>3537</v>
      </c>
      <c r="K7548" s="6" t="str">
        <f>"3.636,00"</f>
        <v>3.636,00</v>
      </c>
      <c r="L7548" s="6" t="str">
        <f>"909,00"</f>
        <v>909,00</v>
      </c>
      <c r="M7548" s="6" t="str">
        <f>"4.545,00"</f>
        <v>4.545,00</v>
      </c>
      <c r="N7548" s="8" t="s">
        <v>124</v>
      </c>
      <c r="O7548" s="7"/>
      <c r="P7548" s="2" t="s">
        <v>5614</v>
      </c>
      <c r="Q7548" s="7"/>
      <c r="R7548" s="1"/>
      <c r="S7548" s="1" t="str">
        <f>"J-UN-2020-2221"</f>
        <v>J-UN-2020-2221</v>
      </c>
      <c r="T7548" s="1" t="s">
        <v>32</v>
      </c>
    </row>
    <row r="7549" spans="1:20" ht="63.75" x14ac:dyDescent="0.25">
      <c r="A7549" s="6">
        <v>7520</v>
      </c>
      <c r="B7549" s="1" t="str">
        <f>"2020-1905"</f>
        <v>2020-1905</v>
      </c>
      <c r="C7549" s="1" t="s">
        <v>2993</v>
      </c>
      <c r="D7549" s="1" t="s">
        <v>2994</v>
      </c>
      <c r="E7549" s="1" t="str">
        <f>""</f>
        <v/>
      </c>
      <c r="F7549" s="1" t="s">
        <v>1860</v>
      </c>
      <c r="G7549" s="1" t="str">
        <f>CONCATENATE(" LANIŠTE D.O.O.,"," ALEXANDERA VON HUMBOLDTA 4B,"," 10000 ZAGREB,"," OIB: 3755384865")</f>
        <v xml:space="preserve"> LANIŠTE D.O.O., ALEXANDERA VON HUMBOLDTA 4B, 10000 ZAGREB, OIB: 3755384865</v>
      </c>
      <c r="H7549" s="7"/>
      <c r="I7549" s="8" t="s">
        <v>4017</v>
      </c>
      <c r="J7549" s="8" t="s">
        <v>3537</v>
      </c>
      <c r="K7549" s="6" t="str">
        <f>"3.632,00"</f>
        <v>3.632,00</v>
      </c>
      <c r="L7549" s="6" t="str">
        <f>"908,00"</f>
        <v>908,00</v>
      </c>
      <c r="M7549" s="6" t="str">
        <f>"4.540,00"</f>
        <v>4.540,00</v>
      </c>
      <c r="N7549" s="8" t="s">
        <v>124</v>
      </c>
      <c r="O7549" s="7"/>
      <c r="P7549" s="2" t="s">
        <v>5614</v>
      </c>
      <c r="Q7549" s="7"/>
      <c r="R7549" s="1"/>
      <c r="S7549" s="1" t="str">
        <f>"J-UN-2020-2222"</f>
        <v>J-UN-2020-2222</v>
      </c>
      <c r="T7549" s="1" t="s">
        <v>32</v>
      </c>
    </row>
    <row r="7550" spans="1:20" ht="63.75" x14ac:dyDescent="0.25">
      <c r="A7550" s="6">
        <v>7521</v>
      </c>
      <c r="B7550" s="1" t="str">
        <f>"2020-2471"</f>
        <v>2020-2471</v>
      </c>
      <c r="C7550" s="1" t="s">
        <v>2991</v>
      </c>
      <c r="D7550" s="1" t="s">
        <v>2992</v>
      </c>
      <c r="E7550" s="1" t="str">
        <f>""</f>
        <v/>
      </c>
      <c r="F7550" s="1" t="s">
        <v>1860</v>
      </c>
      <c r="G7550" s="1" t="str">
        <f>CONCATENATE(" LANIŠTE D.O.O.,"," ALEXANDERA VON HUMBOLDTA 4B,"," 10000 ZAGREB,"," OIB: 3755384865")</f>
        <v xml:space="preserve"> LANIŠTE D.O.O., ALEXANDERA VON HUMBOLDTA 4B, 10000 ZAGREB, OIB: 3755384865</v>
      </c>
      <c r="H7550" s="7"/>
      <c r="I7550" s="8" t="s">
        <v>4017</v>
      </c>
      <c r="J7550" s="8" t="s">
        <v>3537</v>
      </c>
      <c r="K7550" s="6" t="str">
        <f>"3.636,00"</f>
        <v>3.636,00</v>
      </c>
      <c r="L7550" s="6" t="str">
        <f>"909,00"</f>
        <v>909,00</v>
      </c>
      <c r="M7550" s="6" t="str">
        <f>"4.545,00"</f>
        <v>4.545,00</v>
      </c>
      <c r="N7550" s="8" t="s">
        <v>124</v>
      </c>
      <c r="O7550" s="7"/>
      <c r="P7550" s="2" t="s">
        <v>5614</v>
      </c>
      <c r="Q7550" s="7"/>
      <c r="R7550" s="1"/>
      <c r="S7550" s="1" t="str">
        <f>"J-UN-2020-2223"</f>
        <v>J-UN-2020-2223</v>
      </c>
      <c r="T7550" s="1" t="s">
        <v>32</v>
      </c>
    </row>
    <row r="7551" spans="1:20" ht="51" x14ac:dyDescent="0.25">
      <c r="A7551" s="6">
        <v>7522</v>
      </c>
      <c r="B7551" s="1" t="str">
        <f>"2020-290"</f>
        <v>2020-290</v>
      </c>
      <c r="C7551" s="1" t="s">
        <v>3131</v>
      </c>
      <c r="D7551" s="1" t="s">
        <v>1859</v>
      </c>
      <c r="E7551" s="1" t="str">
        <f>""</f>
        <v/>
      </c>
      <c r="F7551" s="1" t="s">
        <v>1860</v>
      </c>
      <c r="G7551" s="1" t="str">
        <f>CONCATENATE(" INFO PULS D.O.O.,"," JOSIPA PUPAČIĆA 1,"," 10000 ZAGREB,"," OIB: 43150843424")</f>
        <v xml:space="preserve"> INFO PULS D.O.O., JOSIPA PUPAČIĆA 1, 10000 ZAGREB, OIB: 43150843424</v>
      </c>
      <c r="H7551" s="7"/>
      <c r="I7551" s="8" t="s">
        <v>4017</v>
      </c>
      <c r="J7551" s="8" t="s">
        <v>3537</v>
      </c>
      <c r="K7551" s="6" t="str">
        <f>"2.023,00"</f>
        <v>2.023,00</v>
      </c>
      <c r="L7551" s="6" t="str">
        <f>"505,75"</f>
        <v>505,75</v>
      </c>
      <c r="M7551" s="6" t="str">
        <f>"2.528,75"</f>
        <v>2.528,75</v>
      </c>
      <c r="N7551" s="8" t="s">
        <v>124</v>
      </c>
      <c r="O7551" s="7"/>
      <c r="P7551" s="2" t="s">
        <v>5614</v>
      </c>
      <c r="Q7551" s="7"/>
      <c r="R7551" s="1"/>
      <c r="S7551" s="1" t="str">
        <f>"J-UN-2020-2225"</f>
        <v>J-UN-2020-2225</v>
      </c>
      <c r="T7551" s="1" t="s">
        <v>32</v>
      </c>
    </row>
    <row r="7552" spans="1:20" ht="51" x14ac:dyDescent="0.25">
      <c r="A7552" s="6">
        <v>7523</v>
      </c>
      <c r="B7552" s="1" t="str">
        <f>"2020-290"</f>
        <v>2020-290</v>
      </c>
      <c r="C7552" s="1" t="s">
        <v>3131</v>
      </c>
      <c r="D7552" s="1" t="s">
        <v>1859</v>
      </c>
      <c r="E7552" s="1" t="str">
        <f>""</f>
        <v/>
      </c>
      <c r="F7552" s="1" t="s">
        <v>1860</v>
      </c>
      <c r="G7552" s="1" t="str">
        <f>CONCATENATE(" INFO PULS D.O.O.,"," JOSIPA PUPAČIĆA 1,"," 10000 ZAGREB,"," OIB: 43150843424")</f>
        <v xml:space="preserve"> INFO PULS D.O.O., JOSIPA PUPAČIĆA 1, 10000 ZAGREB, OIB: 43150843424</v>
      </c>
      <c r="H7552" s="7"/>
      <c r="I7552" s="8" t="s">
        <v>4017</v>
      </c>
      <c r="J7552" s="8" t="s">
        <v>3537</v>
      </c>
      <c r="K7552" s="6" t="str">
        <f>"2.023,00"</f>
        <v>2.023,00</v>
      </c>
      <c r="L7552" s="6" t="str">
        <f>"505,75"</f>
        <v>505,75</v>
      </c>
      <c r="M7552" s="6" t="str">
        <f>"2.528,75"</f>
        <v>2.528,75</v>
      </c>
      <c r="N7552" s="8" t="s">
        <v>124</v>
      </c>
      <c r="O7552" s="7"/>
      <c r="P7552" s="2" t="s">
        <v>5614</v>
      </c>
      <c r="Q7552" s="7"/>
      <c r="R7552" s="1"/>
      <c r="S7552" s="1" t="str">
        <f>"J-UN-2020-2226"</f>
        <v>J-UN-2020-2226</v>
      </c>
      <c r="T7552" s="1" t="s">
        <v>32</v>
      </c>
    </row>
    <row r="7553" spans="1:20" ht="63.75" x14ac:dyDescent="0.25">
      <c r="A7553" s="6">
        <v>7524</v>
      </c>
      <c r="B7553" s="1" t="str">
        <f>"2020-1631"</f>
        <v>2020-1631</v>
      </c>
      <c r="C7553" s="1" t="s">
        <v>2987</v>
      </c>
      <c r="D7553" s="1" t="s">
        <v>2988</v>
      </c>
      <c r="E7553" s="1" t="str">
        <f>""</f>
        <v/>
      </c>
      <c r="F7553" s="1" t="s">
        <v>1860</v>
      </c>
      <c r="G7553" s="1" t="str">
        <f>CONCATENATE(" LANIŠTE D.O.O.,"," ALEXANDERA VON HUMBOLDTA 4B,"," 10000 ZAGREB,"," OIB: 3755384865")</f>
        <v xml:space="preserve"> LANIŠTE D.O.O., ALEXANDERA VON HUMBOLDTA 4B, 10000 ZAGREB, OIB: 3755384865</v>
      </c>
      <c r="H7553" s="7"/>
      <c r="I7553" s="8" t="s">
        <v>4291</v>
      </c>
      <c r="J7553" s="8" t="s">
        <v>4017</v>
      </c>
      <c r="K7553" s="6" t="str">
        <f>"4.032,00"</f>
        <v>4.032,00</v>
      </c>
      <c r="L7553" s="6" t="str">
        <f>"1.008,00"</f>
        <v>1.008,00</v>
      </c>
      <c r="M7553" s="6" t="str">
        <f>"5.040,00"</f>
        <v>5.040,00</v>
      </c>
      <c r="N7553" s="8" t="s">
        <v>124</v>
      </c>
      <c r="O7553" s="7"/>
      <c r="P7553" s="2" t="s">
        <v>5614</v>
      </c>
      <c r="Q7553" s="7"/>
      <c r="R7553" s="1"/>
      <c r="S7553" s="1" t="str">
        <f>"J-UN-2020-2241"</f>
        <v>J-UN-2020-2241</v>
      </c>
      <c r="T7553" s="1" t="s">
        <v>32</v>
      </c>
    </row>
    <row r="7554" spans="1:20" ht="51" x14ac:dyDescent="0.25">
      <c r="A7554" s="6">
        <v>7525</v>
      </c>
      <c r="B7554" s="1" t="str">
        <f>"2020-404"</f>
        <v>2020-404</v>
      </c>
      <c r="C7554" s="1" t="s">
        <v>5561</v>
      </c>
      <c r="D7554" s="1" t="s">
        <v>1865</v>
      </c>
      <c r="E7554" s="1" t="str">
        <f>""</f>
        <v/>
      </c>
      <c r="F7554" s="1" t="s">
        <v>1860</v>
      </c>
      <c r="G7554" s="1" t="str">
        <f>CONCATENATE(" AERONAUTIKA D.O.O.,"," IVANA TRUBELJE 5,"," 48000 KOPRIVNICA,"," OIB: 9702696886")</f>
        <v xml:space="preserve"> AERONAUTIKA D.O.O., IVANA TRUBELJE 5, 48000 KOPRIVNICA, OIB: 9702696886</v>
      </c>
      <c r="H7554" s="7"/>
      <c r="I7554" s="8" t="s">
        <v>5559</v>
      </c>
      <c r="J7554" s="8" t="s">
        <v>4116</v>
      </c>
      <c r="K7554" s="6" t="str">
        <f>"11.070,00"</f>
        <v>11.070,00</v>
      </c>
      <c r="L7554" s="6" t="str">
        <f>"2.767,50"</f>
        <v>2.767,50</v>
      </c>
      <c r="M7554" s="6" t="str">
        <f>"13.837,50"</f>
        <v>13.837,50</v>
      </c>
      <c r="N7554" s="8" t="s">
        <v>124</v>
      </c>
      <c r="O7554" s="7"/>
      <c r="P7554" s="2" t="s">
        <v>5614</v>
      </c>
      <c r="Q7554" s="7"/>
      <c r="R7554" s="1"/>
      <c r="S7554" s="1" t="str">
        <f>"J-UN-2020-2284"</f>
        <v>J-UN-2020-2284</v>
      </c>
      <c r="T7554" s="1" t="s">
        <v>32</v>
      </c>
    </row>
    <row r="7555" spans="1:20" ht="51" x14ac:dyDescent="0.25">
      <c r="A7555" s="6">
        <v>7526</v>
      </c>
      <c r="B7555" s="1" t="str">
        <f>"2020-960"</f>
        <v>2020-960</v>
      </c>
      <c r="C7555" s="1" t="s">
        <v>3085</v>
      </c>
      <c r="D7555" s="1" t="s">
        <v>2549</v>
      </c>
      <c r="E7555" s="1" t="str">
        <f>""</f>
        <v/>
      </c>
      <c r="F7555" s="1" t="s">
        <v>1860</v>
      </c>
      <c r="G7555" s="1" t="str">
        <f>CONCATENATE(" AD HOC-CENTAR D.O.O.,"," DRAŠKOVIĆEVA 4A,"," 10000 ZAGREB,"," OIB: 75132412279")</f>
        <v xml:space="preserve"> AD HOC-CENTAR D.O.O., DRAŠKOVIĆEVA 4A, 10000 ZAGREB, OIB: 75132412279</v>
      </c>
      <c r="H7555" s="7"/>
      <c r="I7555" s="8" t="s">
        <v>5559</v>
      </c>
      <c r="J7555" s="8" t="s">
        <v>4116</v>
      </c>
      <c r="K7555" s="6" t="str">
        <f>"2.720,00"</f>
        <v>2.720,00</v>
      </c>
      <c r="L7555" s="6" t="str">
        <f>"680,00"</f>
        <v>680,00</v>
      </c>
      <c r="M7555" s="6" t="str">
        <f>"3.400,00"</f>
        <v>3.400,00</v>
      </c>
      <c r="N7555" s="8" t="s">
        <v>987</v>
      </c>
      <c r="O7555" s="7"/>
      <c r="P7555" s="2" t="s">
        <v>7483</v>
      </c>
      <c r="Q7555" s="7"/>
      <c r="R7555" s="1"/>
      <c r="S7555" s="1" t="str">
        <f>"J-UN-2020-2286"</f>
        <v>J-UN-2020-2286</v>
      </c>
      <c r="T7555" s="1" t="s">
        <v>32</v>
      </c>
    </row>
    <row r="7556" spans="1:20" ht="51" x14ac:dyDescent="0.25">
      <c r="A7556" s="6">
        <v>7527</v>
      </c>
      <c r="B7556" s="1" t="str">
        <f>"2020-2153"</f>
        <v>2020-2153</v>
      </c>
      <c r="C7556" s="1" t="s">
        <v>2781</v>
      </c>
      <c r="D7556" s="1" t="s">
        <v>1458</v>
      </c>
      <c r="E7556" s="1" t="str">
        <f>""</f>
        <v/>
      </c>
      <c r="F7556" s="1" t="s">
        <v>1860</v>
      </c>
      <c r="G7556" s="1" t="str">
        <f>CONCATENATE(" FRIGOEKSPERT D.O.O.,"," SUTLANSKE DOLINE 40,"," 10293 DUBRAVICA,"," OIB: 5586067133")</f>
        <v xml:space="preserve"> FRIGOEKSPERT D.O.O., SUTLANSKE DOLINE 40, 10293 DUBRAVICA, OIB: 5586067133</v>
      </c>
      <c r="H7556" s="7"/>
      <c r="I7556" s="8" t="s">
        <v>5559</v>
      </c>
      <c r="J7556" s="8" t="s">
        <v>4116</v>
      </c>
      <c r="K7556" s="6" t="str">
        <f>"8.850,00"</f>
        <v>8.850,00</v>
      </c>
      <c r="L7556" s="6" t="str">
        <f>"2.212,50"</f>
        <v>2.212,50</v>
      </c>
      <c r="M7556" s="6" t="str">
        <f>"11.062,50"</f>
        <v>11.062,50</v>
      </c>
      <c r="N7556" s="8" t="s">
        <v>124</v>
      </c>
      <c r="O7556" s="7"/>
      <c r="P7556" s="2" t="s">
        <v>5614</v>
      </c>
      <c r="Q7556" s="7"/>
      <c r="R7556" s="1"/>
      <c r="S7556" s="1" t="str">
        <f>"J-UN-2020-2290"</f>
        <v>J-UN-2020-2290</v>
      </c>
      <c r="T7556" s="1" t="s">
        <v>32</v>
      </c>
    </row>
    <row r="7557" spans="1:20" ht="89.25" x14ac:dyDescent="0.25">
      <c r="A7557" s="6">
        <v>7528</v>
      </c>
      <c r="B7557" s="1" t="str">
        <f>"2020-1100"</f>
        <v>2020-1100</v>
      </c>
      <c r="C7557" s="1" t="s">
        <v>5287</v>
      </c>
      <c r="D7557" s="1" t="s">
        <v>5288</v>
      </c>
      <c r="E7557" s="1" t="str">
        <f>""</f>
        <v/>
      </c>
      <c r="F7557" s="1" t="s">
        <v>1860</v>
      </c>
      <c r="G7557" s="1" t="str">
        <f>CONCATENATE(" RASADNIK UKRASNOG BILJA ĐURO JOVANOVAC VL.SINIŠA JOVANOVAC,"," MATIJE GUPCA 33,"," 32273 GRADIŠTE,"," OIB: 63533508033")</f>
        <v xml:space="preserve"> RASADNIK UKRASNOG BILJA ĐURO JOVANOVAC VL.SINIŠA JOVANOVAC, MATIJE GUPCA 33, 32273 GRADIŠTE, OIB: 63533508033</v>
      </c>
      <c r="H7557" s="7"/>
      <c r="I7557" s="8" t="s">
        <v>4295</v>
      </c>
      <c r="J7557" s="8" t="s">
        <v>5118</v>
      </c>
      <c r="K7557" s="6" t="str">
        <f>"72.540,00"</f>
        <v>72.540,00</v>
      </c>
      <c r="L7557" s="6" t="str">
        <f>"18.135,00"</f>
        <v>18.135,00</v>
      </c>
      <c r="M7557" s="6" t="str">
        <f>"90.675,00"</f>
        <v>90.675,00</v>
      </c>
      <c r="N7557" s="8" t="s">
        <v>4711</v>
      </c>
      <c r="O7557" s="7"/>
      <c r="P7557" s="2" t="s">
        <v>9197</v>
      </c>
      <c r="Q7557" s="7"/>
      <c r="R7557" s="1"/>
      <c r="S7557" s="1" t="str">
        <f>"J-UN-2020-2298"</f>
        <v>J-UN-2020-2298</v>
      </c>
      <c r="T7557" s="1" t="s">
        <v>32</v>
      </c>
    </row>
    <row r="7558" spans="1:20" ht="51" x14ac:dyDescent="0.25">
      <c r="A7558" s="6">
        <v>7529</v>
      </c>
      <c r="B7558" s="1" t="str">
        <f>"2020-1465"</f>
        <v>2020-1465</v>
      </c>
      <c r="C7558" s="1" t="s">
        <v>2923</v>
      </c>
      <c r="D7558" s="1" t="s">
        <v>2924</v>
      </c>
      <c r="E7558" s="1" t="str">
        <f>""</f>
        <v/>
      </c>
      <c r="F7558" s="1" t="s">
        <v>1860</v>
      </c>
      <c r="G7558" s="1" t="str">
        <f>CONCATENATE(" ECOINA D.O.O.,"," SR NJEMAČKE 10,"," 10000 ZAGREB,"," OIB: 98219968247")</f>
        <v xml:space="preserve"> ECOINA D.O.O., SR NJEMAČKE 10, 10000 ZAGREB, OIB: 98219968247</v>
      </c>
      <c r="H7558" s="7"/>
      <c r="I7558" s="8" t="s">
        <v>4295</v>
      </c>
      <c r="J7558" s="8" t="s">
        <v>2884</v>
      </c>
      <c r="K7558" s="6" t="str">
        <f>"124.800,00"</f>
        <v>124.800,00</v>
      </c>
      <c r="L7558" s="6" t="str">
        <f>"31.200,00"</f>
        <v>31.200,00</v>
      </c>
      <c r="M7558" s="6" t="str">
        <f>"156.000,00"</f>
        <v>156.000,00</v>
      </c>
      <c r="N7558" s="8" t="s">
        <v>1044</v>
      </c>
      <c r="O7558" s="7"/>
      <c r="P7558" s="2" t="s">
        <v>9198</v>
      </c>
      <c r="Q7558" s="7"/>
      <c r="R7558" s="1"/>
      <c r="S7558" s="1" t="str">
        <f>"J-UN-2020-2306"</f>
        <v>J-UN-2020-2306</v>
      </c>
      <c r="T7558" s="1" t="s">
        <v>32</v>
      </c>
    </row>
    <row r="7559" spans="1:20" ht="76.5" x14ac:dyDescent="0.25">
      <c r="A7559" s="6">
        <v>7530</v>
      </c>
      <c r="B7559" s="1" t="str">
        <f>"2020-2484"</f>
        <v>2020-2484</v>
      </c>
      <c r="C7559" s="1" t="s">
        <v>2405</v>
      </c>
      <c r="D7559" s="1" t="s">
        <v>880</v>
      </c>
      <c r="E7559" s="1" t="str">
        <f>""</f>
        <v/>
      </c>
      <c r="F7559" s="1" t="s">
        <v>1860</v>
      </c>
      <c r="G7559" s="1" t="str">
        <f>CONCATENATE(" NASTAVNI ZAVOD ZA JAVNO ZDRAVSTVO DR. ANDRIJA ŠTAMPAR,"," MIROGOJSKA CESTA 16,"," 10000 ZAGREB,"," OIB: 3339200596")</f>
        <v xml:space="preserve"> NASTAVNI ZAVOD ZA JAVNO ZDRAVSTVO DR. ANDRIJA ŠTAMPAR, MIROGOJSKA CESTA 16, 10000 ZAGREB, OIB: 3339200596</v>
      </c>
      <c r="H7559" s="7"/>
      <c r="I7559" s="8" t="s">
        <v>5559</v>
      </c>
      <c r="J7559" s="8" t="s">
        <v>4116</v>
      </c>
      <c r="K7559" s="6" t="str">
        <f>"330,00"</f>
        <v>330,00</v>
      </c>
      <c r="L7559" s="6" t="str">
        <f>"82,50"</f>
        <v>82,50</v>
      </c>
      <c r="M7559" s="6" t="str">
        <f>"412,50"</f>
        <v>412,50</v>
      </c>
      <c r="N7559" s="8" t="s">
        <v>124</v>
      </c>
      <c r="O7559" s="7"/>
      <c r="P7559" s="2" t="s">
        <v>5614</v>
      </c>
      <c r="Q7559" s="7"/>
      <c r="R7559" s="1"/>
      <c r="S7559" s="1" t="str">
        <f>"J-UN-2020-2311"</f>
        <v>J-UN-2020-2311</v>
      </c>
      <c r="T7559" s="1" t="s">
        <v>32</v>
      </c>
    </row>
    <row r="7560" spans="1:20" ht="76.5" x14ac:dyDescent="0.25">
      <c r="A7560" s="6">
        <v>7531</v>
      </c>
      <c r="B7560" s="1" t="str">
        <f>"2020-2652"</f>
        <v>2020-2652</v>
      </c>
      <c r="C7560" s="1" t="s">
        <v>2651</v>
      </c>
      <c r="D7560" s="1" t="s">
        <v>2652</v>
      </c>
      <c r="E7560" s="1" t="str">
        <f>""</f>
        <v/>
      </c>
      <c r="F7560" s="1" t="s">
        <v>1860</v>
      </c>
      <c r="G7560" s="1" t="str">
        <f>CONCATENATE(" SMIT-COMMERCE D.O.O.,"," GORNJOSTUPNIČKA 9B,"," 10255 GORNJI STUPNIK,"," OIB: 9524348214")</f>
        <v xml:space="preserve"> SMIT-COMMERCE D.O.O., GORNJOSTUPNIČKA 9B, 10255 GORNJI STUPNIK, OIB: 9524348214</v>
      </c>
      <c r="H7560" s="7"/>
      <c r="I7560" s="8" t="s">
        <v>4295</v>
      </c>
      <c r="J7560" s="8" t="s">
        <v>987</v>
      </c>
      <c r="K7560" s="6" t="str">
        <f>"4.281,19"</f>
        <v>4.281,19</v>
      </c>
      <c r="L7560" s="6" t="str">
        <f>"1.070,30"</f>
        <v>1.070,30</v>
      </c>
      <c r="M7560" s="6" t="str">
        <f>"5.351,49"</f>
        <v>5.351,49</v>
      </c>
      <c r="N7560" s="8" t="s">
        <v>5134</v>
      </c>
      <c r="O7560" s="7"/>
      <c r="P7560" s="2" t="s">
        <v>9199</v>
      </c>
      <c r="Q7560" s="7"/>
      <c r="R7560" s="1"/>
      <c r="S7560" s="1" t="str">
        <f>"J-UN-2020-2312"</f>
        <v>J-UN-2020-2312</v>
      </c>
      <c r="T7560" s="1" t="s">
        <v>32</v>
      </c>
    </row>
    <row r="7561" spans="1:20" ht="51" x14ac:dyDescent="0.25">
      <c r="A7561" s="6">
        <v>7532</v>
      </c>
      <c r="B7561" s="1" t="str">
        <f>"2020-2861"</f>
        <v>2020-2861</v>
      </c>
      <c r="C7561" s="1" t="s">
        <v>5562</v>
      </c>
      <c r="D7561" s="1" t="s">
        <v>914</v>
      </c>
      <c r="E7561" s="1" t="str">
        <f>""</f>
        <v/>
      </c>
      <c r="F7561" s="1" t="s">
        <v>1860</v>
      </c>
      <c r="G7561" s="1" t="str">
        <f>CONCATENATE(" BENUSSI D. O. O.,"," FAŽANSKA CESTA 86,"," 52212 FAŽANA,"," OIB: 87971197112")</f>
        <v xml:space="preserve"> BENUSSI D. O. O., FAŽANSKA CESTA 86, 52212 FAŽANA, OIB: 87971197112</v>
      </c>
      <c r="H7561" s="7"/>
      <c r="I7561" s="8" t="s">
        <v>968</v>
      </c>
      <c r="J7561" s="8" t="s">
        <v>946</v>
      </c>
      <c r="K7561" s="6" t="str">
        <f>"1.985,87"</f>
        <v>1.985,87</v>
      </c>
      <c r="L7561" s="6" t="str">
        <f>"496,47"</f>
        <v>496,47</v>
      </c>
      <c r="M7561" s="6" t="str">
        <f>"2.482,34"</f>
        <v>2.482,34</v>
      </c>
      <c r="N7561" s="8" t="s">
        <v>124</v>
      </c>
      <c r="O7561" s="7"/>
      <c r="P7561" s="2" t="s">
        <v>5614</v>
      </c>
      <c r="Q7561" s="7"/>
      <c r="R7561" s="1"/>
      <c r="S7561" s="1" t="str">
        <f>"J-UN-2020-2337"</f>
        <v>J-UN-2020-2337</v>
      </c>
      <c r="T7561" s="1" t="s">
        <v>32</v>
      </c>
    </row>
    <row r="7562" spans="1:20" ht="51" x14ac:dyDescent="0.25">
      <c r="A7562" s="6">
        <v>7533</v>
      </c>
      <c r="B7562" s="1" t="str">
        <f>"2020-2943"</f>
        <v>2020-2943</v>
      </c>
      <c r="C7562" s="1" t="s">
        <v>5563</v>
      </c>
      <c r="D7562" s="1" t="s">
        <v>1352</v>
      </c>
      <c r="E7562" s="1" t="str">
        <f>""</f>
        <v/>
      </c>
      <c r="F7562" s="1" t="s">
        <v>1860</v>
      </c>
      <c r="G7562" s="1" t="str">
        <f>CONCATENATE(" VIATOR D.O.O.,"," KRALJA DRŽISLAVA 6,"," 21000 SPLIT,"," OIB: 6473171712")</f>
        <v xml:space="preserve"> VIATOR D.O.O., KRALJA DRŽISLAVA 6, 21000 SPLIT, OIB: 6473171712</v>
      </c>
      <c r="H7562" s="7"/>
      <c r="I7562" s="8" t="s">
        <v>4697</v>
      </c>
      <c r="J7562" s="8" t="s">
        <v>4418</v>
      </c>
      <c r="K7562" s="6" t="str">
        <f>"61.200,00"</f>
        <v>61.200,00</v>
      </c>
      <c r="L7562" s="6" t="str">
        <f>"15.300,00"</f>
        <v>15.300,00</v>
      </c>
      <c r="M7562" s="6" t="str">
        <f>"76.500,00"</f>
        <v>76.500,00</v>
      </c>
      <c r="N7562" s="8" t="s">
        <v>124</v>
      </c>
      <c r="O7562" s="7"/>
      <c r="P7562" s="2" t="s">
        <v>5614</v>
      </c>
      <c r="Q7562" s="7"/>
      <c r="R7562" s="1"/>
      <c r="S7562" s="1" t="str">
        <f>"J-UN-2020-2343"</f>
        <v>J-UN-2020-2343</v>
      </c>
      <c r="T7562" s="1" t="s">
        <v>32</v>
      </c>
    </row>
    <row r="7563" spans="1:20" ht="51" x14ac:dyDescent="0.25">
      <c r="A7563" s="6">
        <v>7534</v>
      </c>
      <c r="B7563" s="1" t="str">
        <f>"2020-1247"</f>
        <v>2020-1247</v>
      </c>
      <c r="C7563" s="1" t="s">
        <v>2811</v>
      </c>
      <c r="D7563" s="1" t="s">
        <v>1859</v>
      </c>
      <c r="E7563" s="1" t="str">
        <f>""</f>
        <v/>
      </c>
      <c r="F7563" s="1" t="s">
        <v>1860</v>
      </c>
      <c r="G7563" s="1" t="str">
        <f>CONCATENATE(" ZIRS UČILIŠTE,"," ULICA GRADA VUKOVARA 68,"," 10000 ZAGREB,"," OIB: 22228764473")</f>
        <v xml:space="preserve"> ZIRS UČILIŠTE, ULICA GRADA VUKOVARA 68, 10000 ZAGREB, OIB: 22228764473</v>
      </c>
      <c r="H7563" s="7"/>
      <c r="I7563" s="8" t="s">
        <v>987</v>
      </c>
      <c r="J7563" s="8" t="s">
        <v>4413</v>
      </c>
      <c r="K7563" s="6" t="str">
        <f>"17.928,00"</f>
        <v>17.928,00</v>
      </c>
      <c r="L7563" s="6" t="str">
        <f>"4.482,00"</f>
        <v>4.482,00</v>
      </c>
      <c r="M7563" s="6" t="str">
        <f>"22.410,00"</f>
        <v>22.410,00</v>
      </c>
      <c r="N7563" s="8" t="s">
        <v>124</v>
      </c>
      <c r="O7563" s="7"/>
      <c r="P7563" s="2" t="s">
        <v>5614</v>
      </c>
      <c r="Q7563" s="7"/>
      <c r="R7563" s="1"/>
      <c r="S7563" s="1" t="str">
        <f>"J-UN-2020-2347"</f>
        <v>J-UN-2020-2347</v>
      </c>
      <c r="T7563" s="1" t="s">
        <v>32</v>
      </c>
    </row>
    <row r="7564" spans="1:20" ht="51" x14ac:dyDescent="0.25">
      <c r="A7564" s="6">
        <v>7535</v>
      </c>
      <c r="B7564" s="1" t="str">
        <f>"2020-1188"</f>
        <v>2020-1188</v>
      </c>
      <c r="C7564" s="1" t="s">
        <v>2727</v>
      </c>
      <c r="D7564" s="1" t="s">
        <v>794</v>
      </c>
      <c r="E7564" s="1" t="str">
        <f>""</f>
        <v/>
      </c>
      <c r="F7564" s="1" t="s">
        <v>1860</v>
      </c>
      <c r="G7564" s="1" t="str">
        <f>CONCATENATE(" TAHOGRAF D.O.O.,"," DR. FRANJE TUĐMANA 24,"," 10431 SVETA NEDELJA,"," OIB: 73777060562")</f>
        <v xml:space="preserve"> TAHOGRAF D.O.O., DR. FRANJE TUĐMANA 24, 10431 SVETA NEDELJA, OIB: 73777060562</v>
      </c>
      <c r="H7564" s="7"/>
      <c r="I7564" s="8" t="s">
        <v>4697</v>
      </c>
      <c r="J7564" s="8" t="s">
        <v>4113</v>
      </c>
      <c r="K7564" s="6" t="str">
        <f>"8.465,00"</f>
        <v>8.465,00</v>
      </c>
      <c r="L7564" s="6" t="str">
        <f>"2.116,25"</f>
        <v>2.116,25</v>
      </c>
      <c r="M7564" s="6" t="str">
        <f>"10.581,25"</f>
        <v>10.581,25</v>
      </c>
      <c r="N7564" s="8" t="s">
        <v>124</v>
      </c>
      <c r="O7564" s="7"/>
      <c r="P7564" s="2" t="s">
        <v>5614</v>
      </c>
      <c r="Q7564" s="7"/>
      <c r="R7564" s="1"/>
      <c r="S7564" s="1" t="str">
        <f>"J-UN-2020-2420"</f>
        <v>J-UN-2020-2420</v>
      </c>
      <c r="T7564" s="1" t="s">
        <v>32</v>
      </c>
    </row>
    <row r="7565" spans="1:20" ht="51" x14ac:dyDescent="0.25">
      <c r="A7565" s="10">
        <v>7536</v>
      </c>
      <c r="B7565" s="11" t="str">
        <f>"2020-2224"</f>
        <v>2020-2224</v>
      </c>
      <c r="C7565" s="11" t="s">
        <v>2927</v>
      </c>
      <c r="D7565" s="11" t="s">
        <v>2928</v>
      </c>
      <c r="E7565" s="11" t="str">
        <f>""</f>
        <v/>
      </c>
      <c r="F7565" s="11" t="s">
        <v>1860</v>
      </c>
      <c r="G7565" s="11" t="str">
        <f>CONCATENATE(" MODEL-OSIG D.O.O.,"," ANTUNA ŠTRBANA 12,"," 10000 ZAGREB,"," OIB: 56618475289")</f>
        <v xml:space="preserve"> MODEL-OSIG D.O.O., ANTUNA ŠTRBANA 12, 10000 ZAGREB, OIB: 56618475289</v>
      </c>
      <c r="H7565" s="12"/>
      <c r="I7565" s="13" t="s">
        <v>5564</v>
      </c>
      <c r="J7565" s="13" t="s">
        <v>3808</v>
      </c>
      <c r="K7565" s="10" t="str">
        <f>"19.500,00"</f>
        <v>19.500,00</v>
      </c>
      <c r="L7565" s="10" t="str">
        <f>"4.875,00"</f>
        <v>4.875,00</v>
      </c>
      <c r="M7565" s="10" t="str">
        <f>"24.375,00"</f>
        <v>24.375,00</v>
      </c>
      <c r="N7565" s="13" t="s">
        <v>124</v>
      </c>
      <c r="O7565" s="12"/>
      <c r="P7565" s="14" t="s">
        <v>5614</v>
      </c>
      <c r="Q7565" s="12"/>
      <c r="R7565" s="11"/>
      <c r="S7565" s="11" t="str">
        <f>"J-UN-2020-2449"</f>
        <v>J-UN-2020-2449</v>
      </c>
      <c r="T7565" s="11" t="s">
        <v>32</v>
      </c>
    </row>
    <row r="7566" spans="1:20" x14ac:dyDescent="0.25">
      <c r="A7566" s="20"/>
      <c r="B7566" s="20"/>
      <c r="C7566" s="20"/>
      <c r="D7566" s="20"/>
      <c r="E7566" s="20"/>
      <c r="F7566" s="20"/>
      <c r="G7566" s="20"/>
      <c r="H7566" s="20"/>
      <c r="I7566" s="20"/>
      <c r="J7566" s="20"/>
      <c r="K7566" s="20"/>
      <c r="L7566" s="20"/>
      <c r="M7566" s="20"/>
      <c r="N7566" s="20"/>
      <c r="O7566" s="20"/>
      <c r="P7566" s="21"/>
      <c r="Q7566" s="20"/>
      <c r="R7566" s="15"/>
      <c r="S7566" s="20"/>
      <c r="T7566" s="20"/>
    </row>
    <row r="7567" spans="1:20" ht="76.5" x14ac:dyDescent="0.25">
      <c r="A7567" s="6">
        <v>7537</v>
      </c>
      <c r="B7567" s="1" t="str">
        <f>"2020-2652"</f>
        <v>2020-2652</v>
      </c>
      <c r="C7567" s="1" t="s">
        <v>2651</v>
      </c>
      <c r="D7567" s="1" t="s">
        <v>2652</v>
      </c>
      <c r="E7567" s="1" t="str">
        <f>""</f>
        <v/>
      </c>
      <c r="F7567" s="1" t="s">
        <v>1860</v>
      </c>
      <c r="G7567" s="1" t="str">
        <f>CONCATENATE(" SMIT-COMMERCE D.O.O.,"," GORNJOSTUPNIČKA 9B,"," 10255 GORNJI STUPNIK,"," OIB: 9524348214")</f>
        <v xml:space="preserve"> SMIT-COMMERCE D.O.O., GORNJOSTUPNIČKA 9B, 10255 GORNJI STUPNIK, OIB: 9524348214</v>
      </c>
      <c r="H7567" s="7"/>
      <c r="I7567" s="8" t="s">
        <v>4113</v>
      </c>
      <c r="J7567" s="8" t="s">
        <v>5564</v>
      </c>
      <c r="K7567" s="6" t="str">
        <f>"4.104,00"</f>
        <v>4.104,00</v>
      </c>
      <c r="L7567" s="6" t="str">
        <f>"1.026,00"</f>
        <v>1.026,00</v>
      </c>
      <c r="M7567" s="6" t="str">
        <f>"5.130,00"</f>
        <v>5.130,00</v>
      </c>
      <c r="N7567" s="8" t="s">
        <v>5139</v>
      </c>
      <c r="O7567" s="7"/>
      <c r="P7567" s="2" t="s">
        <v>9200</v>
      </c>
      <c r="Q7567" s="7"/>
      <c r="R7567" s="1"/>
      <c r="S7567" s="1" t="str">
        <f>"J-UN-2020-2456"</f>
        <v>J-UN-2020-2456</v>
      </c>
      <c r="T7567" s="1" t="s">
        <v>32</v>
      </c>
    </row>
    <row r="7568" spans="1:20" ht="51" x14ac:dyDescent="0.25">
      <c r="A7568" s="6">
        <v>7538</v>
      </c>
      <c r="B7568" s="1" t="str">
        <f>"2020-1878"</f>
        <v>2020-1878</v>
      </c>
      <c r="C7568" s="1" t="s">
        <v>2839</v>
      </c>
      <c r="D7568" s="1" t="s">
        <v>2716</v>
      </c>
      <c r="E7568" s="1" t="str">
        <f>""</f>
        <v/>
      </c>
      <c r="F7568" s="1" t="s">
        <v>1860</v>
      </c>
      <c r="G7568" s="1" t="str">
        <f>CONCATENATE(" GRAPAK D.O.O.,"," M. SCHLENGERA 5,"," 42204 TURČIN,"," OIB: 8387333034")</f>
        <v xml:space="preserve"> GRAPAK D.O.O., M. SCHLENGERA 5, 42204 TURČIN, OIB: 8387333034</v>
      </c>
      <c r="H7568" s="7"/>
      <c r="I7568" s="8" t="s">
        <v>4697</v>
      </c>
      <c r="J7568" s="8" t="s">
        <v>4398</v>
      </c>
      <c r="K7568" s="6" t="str">
        <f>"47.887,90"</f>
        <v>47.887,90</v>
      </c>
      <c r="L7568" s="6" t="str">
        <f>"11.971,98"</f>
        <v>11.971,98</v>
      </c>
      <c r="M7568" s="6" t="str">
        <f>"59.859,88"</f>
        <v>59.859,88</v>
      </c>
      <c r="N7568" s="8" t="s">
        <v>4113</v>
      </c>
      <c r="O7568" s="7"/>
      <c r="P7568" s="2" t="s">
        <v>9201</v>
      </c>
      <c r="Q7568" s="7"/>
      <c r="R7568" s="1"/>
      <c r="S7568" s="1" t="str">
        <f>"J-UN-2020-2461"</f>
        <v>J-UN-2020-2461</v>
      </c>
      <c r="T7568" s="1" t="s">
        <v>32</v>
      </c>
    </row>
    <row r="7569" spans="1:20" ht="51" x14ac:dyDescent="0.25">
      <c r="A7569" s="6">
        <v>7539</v>
      </c>
      <c r="B7569" s="1" t="str">
        <f>"2020-2433"</f>
        <v>2020-2433</v>
      </c>
      <c r="C7569" s="1" t="s">
        <v>2703</v>
      </c>
      <c r="D7569" s="1" t="s">
        <v>2704</v>
      </c>
      <c r="E7569" s="1" t="str">
        <f>""</f>
        <v/>
      </c>
      <c r="F7569" s="1" t="s">
        <v>1860</v>
      </c>
      <c r="G7569" s="1" t="str">
        <f>CONCATENATE(" STROJOPROMET D.O.O.,"," ZAGREBAČKA 6,"," 10292 ŠENKOVEC,"," OIB: 97994010225")</f>
        <v xml:space="preserve"> STROJOPROMET D.O.O., ZAGREBAČKA 6, 10292 ŠENKOVEC, OIB: 97994010225</v>
      </c>
      <c r="H7569" s="7"/>
      <c r="I7569" s="8" t="s">
        <v>1013</v>
      </c>
      <c r="J7569" s="8" t="s">
        <v>1008</v>
      </c>
      <c r="K7569" s="6" t="str">
        <f>"6.342,00"</f>
        <v>6.342,00</v>
      </c>
      <c r="L7569" s="6" t="str">
        <f>"1.585,50"</f>
        <v>1.585,50</v>
      </c>
      <c r="M7569" s="6" t="str">
        <f>"7.927,50"</f>
        <v>7.927,50</v>
      </c>
      <c r="N7569" s="8" t="s">
        <v>4172</v>
      </c>
      <c r="O7569" s="7"/>
      <c r="P7569" s="2" t="s">
        <v>9202</v>
      </c>
      <c r="Q7569" s="1"/>
      <c r="R7569" s="1"/>
      <c r="S7569" s="1" t="str">
        <f>"J-UN-2020-2473"</f>
        <v>J-UN-2020-2473</v>
      </c>
      <c r="T7569" s="1" t="s">
        <v>32</v>
      </c>
    </row>
    <row r="7570" spans="1:20" ht="76.5" x14ac:dyDescent="0.25">
      <c r="A7570" s="6">
        <v>7540</v>
      </c>
      <c r="B7570" s="1" t="str">
        <f>"2020-1831"</f>
        <v>2020-1831</v>
      </c>
      <c r="C7570" s="1" t="s">
        <v>1289</v>
      </c>
      <c r="D7570" s="1" t="s">
        <v>1290</v>
      </c>
      <c r="E7570" s="1" t="str">
        <f>""</f>
        <v/>
      </c>
      <c r="F7570" s="1" t="s">
        <v>1860</v>
      </c>
      <c r="G7570" s="1" t="str">
        <f>CONCATENATE(" TRANSPORT,"," PRIKOLICE I OPREMA D.O.O.,"," CIGLARSKA 9,"," 10251 HRVATSKI LESKOVAC,"," OIB: 82442144852")</f>
        <v xml:space="preserve"> TRANSPORT, PRIKOLICE I OPREMA D.O.O., CIGLARSKA 9, 10251 HRVATSKI LESKOVAC, OIB: 82442144852</v>
      </c>
      <c r="H7570" s="7"/>
      <c r="I7570" s="8" t="s">
        <v>1000</v>
      </c>
      <c r="J7570" s="8" t="s">
        <v>2011</v>
      </c>
      <c r="K7570" s="6" t="str">
        <f>"2.284,98"</f>
        <v>2.284,98</v>
      </c>
      <c r="L7570" s="6" t="str">
        <f>"571,24"</f>
        <v>571,24</v>
      </c>
      <c r="M7570" s="6" t="str">
        <f>"2.856,22"</f>
        <v>2.856,22</v>
      </c>
      <c r="N7570" s="8" t="s">
        <v>124</v>
      </c>
      <c r="O7570" s="7"/>
      <c r="P7570" s="2" t="s">
        <v>5614</v>
      </c>
      <c r="Q7570" s="7"/>
      <c r="R7570" s="1"/>
      <c r="S7570" s="1" t="str">
        <f>"J-UN-2020-2478"</f>
        <v>J-UN-2020-2478</v>
      </c>
      <c r="T7570" s="1" t="s">
        <v>32</v>
      </c>
    </row>
    <row r="7571" spans="1:20" ht="51" x14ac:dyDescent="0.25">
      <c r="A7571" s="6">
        <v>7541</v>
      </c>
      <c r="B7571" s="1" t="str">
        <f>"2020-2127"</f>
        <v>2020-2127</v>
      </c>
      <c r="C7571" s="1" t="s">
        <v>2790</v>
      </c>
      <c r="D7571" s="1" t="s">
        <v>2791</v>
      </c>
      <c r="E7571" s="1" t="str">
        <f>""</f>
        <v/>
      </c>
      <c r="F7571" s="1" t="s">
        <v>1860</v>
      </c>
      <c r="G7571" s="1" t="str">
        <f>CONCATENATE(" SCHEDA D.O.O.,"," LJUDEVITA POSAVSKOG 29,"," 10360 SESVETE,"," OIB: 76219817247")</f>
        <v xml:space="preserve"> SCHEDA D.O.O., LJUDEVITA POSAVSKOG 29, 10360 SESVETE, OIB: 76219817247</v>
      </c>
      <c r="H7571" s="7"/>
      <c r="I7571" s="8" t="s">
        <v>5564</v>
      </c>
      <c r="J7571" s="8" t="s">
        <v>3808</v>
      </c>
      <c r="K7571" s="6" t="str">
        <f>"1.648,00"</f>
        <v>1.648,00</v>
      </c>
      <c r="L7571" s="6" t="str">
        <f>"412,00"</f>
        <v>412,00</v>
      </c>
      <c r="M7571" s="6" t="str">
        <f>"2.060,00"</f>
        <v>2.060,00</v>
      </c>
      <c r="N7571" s="8" t="s">
        <v>3808</v>
      </c>
      <c r="O7571" s="7"/>
      <c r="P7571" s="2" t="s">
        <v>9203</v>
      </c>
      <c r="Q7571" s="7"/>
      <c r="R7571" s="1"/>
      <c r="S7571" s="1" t="str">
        <f>"J-UN-2020-2487"</f>
        <v>J-UN-2020-2487</v>
      </c>
      <c r="T7571" s="1" t="s">
        <v>32</v>
      </c>
    </row>
    <row r="7572" spans="1:20" ht="51" x14ac:dyDescent="0.25">
      <c r="A7572" s="6">
        <v>7542</v>
      </c>
      <c r="B7572" s="1" t="str">
        <f>"2020-2442"</f>
        <v>2020-2442</v>
      </c>
      <c r="C7572" s="1" t="s">
        <v>2829</v>
      </c>
      <c r="D7572" s="1" t="s">
        <v>2830</v>
      </c>
      <c r="E7572" s="1" t="str">
        <f>""</f>
        <v/>
      </c>
      <c r="F7572" s="1" t="s">
        <v>1860</v>
      </c>
      <c r="G7572" s="1" t="str">
        <f>CONCATENATE(" HUDEK ZAGREB D.O.O.,"," SUNEKOVA 145,"," 10000 ZAGREB,"," OIB: 43013193376")</f>
        <v xml:space="preserve"> HUDEK ZAGREB D.O.O., SUNEKOVA 145, 10000 ZAGREB, OIB: 43013193376</v>
      </c>
      <c r="H7572" s="7"/>
      <c r="I7572" s="8" t="s">
        <v>4113</v>
      </c>
      <c r="J7572" s="8" t="s">
        <v>5134</v>
      </c>
      <c r="K7572" s="6" t="str">
        <f>"1.852,32"</f>
        <v>1.852,32</v>
      </c>
      <c r="L7572" s="6" t="str">
        <f>"463,08"</f>
        <v>463,08</v>
      </c>
      <c r="M7572" s="6" t="str">
        <f>"2.315,40"</f>
        <v>2.315,40</v>
      </c>
      <c r="N7572" s="8" t="s">
        <v>4456</v>
      </c>
      <c r="O7572" s="7"/>
      <c r="P7572" s="2" t="s">
        <v>9204</v>
      </c>
      <c r="Q7572" s="7"/>
      <c r="R7572" s="1"/>
      <c r="S7572" s="1" t="str">
        <f>"J-UN-2020-2494"</f>
        <v>J-UN-2020-2494</v>
      </c>
      <c r="T7572" s="1" t="s">
        <v>32</v>
      </c>
    </row>
    <row r="7573" spans="1:20" ht="51" x14ac:dyDescent="0.25">
      <c r="A7573" s="6">
        <v>7543</v>
      </c>
      <c r="B7573" s="1" t="str">
        <f>"2020-2652"</f>
        <v>2020-2652</v>
      </c>
      <c r="C7573" s="1" t="s">
        <v>2651</v>
      </c>
      <c r="D7573" s="1" t="s">
        <v>2652</v>
      </c>
      <c r="E7573" s="1" t="str">
        <f>""</f>
        <v/>
      </c>
      <c r="F7573" s="1" t="s">
        <v>1860</v>
      </c>
      <c r="G7573" s="1" t="str">
        <f>CONCATENATE(" VODOSKOK D.D.,"," ČULINEČKA CESTA 221/C,"," 10040 ZAGREB,"," OIB: 34134218058")</f>
        <v xml:space="preserve"> VODOSKOK D.D., ČULINEČKA CESTA 221/C, 10040 ZAGREB, OIB: 34134218058</v>
      </c>
      <c r="H7573" s="7"/>
      <c r="I7573" s="8" t="s">
        <v>5134</v>
      </c>
      <c r="J7573" s="8" t="s">
        <v>5564</v>
      </c>
      <c r="K7573" s="6" t="str">
        <f>"1.440,00"</f>
        <v>1.440,00</v>
      </c>
      <c r="L7573" s="6" t="str">
        <f>"360,00"</f>
        <v>360,00</v>
      </c>
      <c r="M7573" s="6" t="str">
        <f>"1.800,00"</f>
        <v>1.800,00</v>
      </c>
      <c r="N7573" s="8" t="s">
        <v>1042</v>
      </c>
      <c r="O7573" s="7"/>
      <c r="P7573" s="2" t="s">
        <v>9205</v>
      </c>
      <c r="Q7573" s="7"/>
      <c r="R7573" s="1"/>
      <c r="S7573" s="1" t="str">
        <f>"J-UN-2020-2509"</f>
        <v>J-UN-2020-2509</v>
      </c>
      <c r="T7573" s="1" t="s">
        <v>32</v>
      </c>
    </row>
    <row r="7574" spans="1:20" ht="63.75" x14ac:dyDescent="0.25">
      <c r="A7574" s="6">
        <v>7544</v>
      </c>
      <c r="B7574" s="1" t="str">
        <f>"2020-1015"</f>
        <v>2020-1015</v>
      </c>
      <c r="C7574" s="1" t="s">
        <v>2289</v>
      </c>
      <c r="D7574" s="1" t="s">
        <v>2290</v>
      </c>
      <c r="E7574" s="1" t="str">
        <f>""</f>
        <v/>
      </c>
      <c r="F7574" s="1" t="s">
        <v>1860</v>
      </c>
      <c r="G7574" s="1" t="str">
        <f>CONCATENATE(" AUTOPRAONICA SZABO D.O.O.,"," AVENIJA DUBROVNIK 9,"," 10000 ZAGREB,"," OIB: 72083773219")</f>
        <v xml:space="preserve"> AUTOPRAONICA SZABO D.O.O., AVENIJA DUBROVNIK 9, 10000 ZAGREB, OIB: 72083773219</v>
      </c>
      <c r="H7574" s="7"/>
      <c r="I7574" s="8" t="s">
        <v>4113</v>
      </c>
      <c r="J7574" s="8" t="s">
        <v>5134</v>
      </c>
      <c r="K7574" s="6" t="str">
        <f>"9.579,68"</f>
        <v>9.579,68</v>
      </c>
      <c r="L7574" s="6" t="str">
        <f>"2.394,92"</f>
        <v>2.394,92</v>
      </c>
      <c r="M7574" s="6" t="str">
        <f>"11.974,60"</f>
        <v>11.974,60</v>
      </c>
      <c r="N7574" s="7"/>
      <c r="O7574" s="9">
        <v>44140</v>
      </c>
      <c r="P7574" s="2" t="s">
        <v>5614</v>
      </c>
      <c r="Q7574" s="7"/>
      <c r="R7574" s="1"/>
      <c r="S7574" s="1" t="str">
        <f>"J-UN-2020-2531"</f>
        <v>J-UN-2020-2531</v>
      </c>
      <c r="T7574" s="1" t="s">
        <v>32</v>
      </c>
    </row>
    <row r="7575" spans="1:20" ht="63.75" x14ac:dyDescent="0.25">
      <c r="A7575" s="6">
        <v>7545</v>
      </c>
      <c r="B7575" s="1" t="str">
        <f>"2020-1392"</f>
        <v>2020-1392</v>
      </c>
      <c r="C7575" s="1" t="s">
        <v>5565</v>
      </c>
      <c r="D7575" s="1" t="s">
        <v>2248</v>
      </c>
      <c r="E7575" s="1" t="str">
        <f>""</f>
        <v/>
      </c>
      <c r="F7575" s="1" t="s">
        <v>1860</v>
      </c>
      <c r="G7575" s="1" t="str">
        <f>CONCATENATE(" PROJECT FACTORY D.O.O.,"," ULICA HRVATSKOG PROLJEĆA 32,"," 10000 ZAGREB,"," OIB: 33748959468")</f>
        <v xml:space="preserve"> PROJECT FACTORY D.O.O., ULICA HRVATSKOG PROLJEĆA 32, 10000 ZAGREB, OIB: 33748959468</v>
      </c>
      <c r="H7575" s="7"/>
      <c r="I7575" s="8" t="s">
        <v>4398</v>
      </c>
      <c r="J7575" s="8" t="s">
        <v>4113</v>
      </c>
      <c r="K7575" s="6" t="str">
        <f>"19.990,00"</f>
        <v>19.990,00</v>
      </c>
      <c r="L7575" s="6" t="str">
        <f>"4.997,50"</f>
        <v>4.997,50</v>
      </c>
      <c r="M7575" s="6" t="str">
        <f>"24.987,50"</f>
        <v>24.987,50</v>
      </c>
      <c r="N7575" s="8" t="s">
        <v>124</v>
      </c>
      <c r="O7575" s="7"/>
      <c r="P7575" s="2" t="s">
        <v>5614</v>
      </c>
      <c r="Q7575" s="7"/>
      <c r="R7575" s="1"/>
      <c r="S7575" s="1" t="str">
        <f>"J-UN-2020-2551"</f>
        <v>J-UN-2020-2551</v>
      </c>
      <c r="T7575" s="1" t="s">
        <v>32</v>
      </c>
    </row>
    <row r="7576" spans="1:20" ht="76.5" x14ac:dyDescent="0.25">
      <c r="A7576" s="6">
        <v>7546</v>
      </c>
      <c r="B7576" s="1" t="str">
        <f>"2020-730"</f>
        <v>2020-730</v>
      </c>
      <c r="C7576" s="1" t="s">
        <v>5173</v>
      </c>
      <c r="D7576" s="1" t="s">
        <v>2331</v>
      </c>
      <c r="E7576" s="1" t="str">
        <f>""</f>
        <v/>
      </c>
      <c r="F7576" s="1" t="s">
        <v>1860</v>
      </c>
      <c r="G7576" s="1" t="str">
        <f>CONCATENATE(" PRAZNIK,"," OBRT ZA USLUGE,"," VL. LUKA NIKPELJ,"," TRNJANSKA CESTA 11A,"," 10000 ZAGREB,"," OIB: 58964538874")</f>
        <v xml:space="preserve"> PRAZNIK, OBRT ZA USLUGE, VL. LUKA NIKPELJ, TRNJANSKA CESTA 11A, 10000 ZAGREB, OIB: 58964538874</v>
      </c>
      <c r="H7576" s="7"/>
      <c r="I7576" s="8" t="s">
        <v>4179</v>
      </c>
      <c r="J7576" s="8" t="s">
        <v>3808</v>
      </c>
      <c r="K7576" s="6" t="str">
        <f>"18.945,00"</f>
        <v>18.945,00</v>
      </c>
      <c r="L7576" s="6" t="str">
        <f>"4.736,25"</f>
        <v>4.736,25</v>
      </c>
      <c r="M7576" s="6" t="str">
        <f>"23.681,25"</f>
        <v>23.681,25</v>
      </c>
      <c r="N7576" s="8" t="s">
        <v>124</v>
      </c>
      <c r="O7576" s="7"/>
      <c r="P7576" s="2" t="s">
        <v>5614</v>
      </c>
      <c r="Q7576" s="7"/>
      <c r="R7576" s="1"/>
      <c r="S7576" s="1" t="str">
        <f>"J-UN-2020-2599"</f>
        <v>J-UN-2020-2599</v>
      </c>
      <c r="T7576" s="1" t="s">
        <v>32</v>
      </c>
    </row>
    <row r="7577" spans="1:20" ht="51" x14ac:dyDescent="0.25">
      <c r="A7577" s="6">
        <v>7547</v>
      </c>
      <c r="B7577" s="1" t="str">
        <f>"2020-2943"</f>
        <v>2020-2943</v>
      </c>
      <c r="C7577" s="1" t="s">
        <v>5563</v>
      </c>
      <c r="D7577" s="1" t="s">
        <v>1352</v>
      </c>
      <c r="E7577" s="1" t="str">
        <f>""</f>
        <v/>
      </c>
      <c r="F7577" s="1" t="s">
        <v>1860</v>
      </c>
      <c r="G7577" s="1" t="str">
        <f>CONCATENATE(" VIATOR D.O.O.,"," KRALJA DRŽISLAVA 6,"," 21000 SPLIT,"," OIB: 6473171712")</f>
        <v xml:space="preserve"> VIATOR D.O.O., KRALJA DRŽISLAVA 6, 21000 SPLIT, OIB: 6473171712</v>
      </c>
      <c r="H7577" s="7"/>
      <c r="I7577" s="8" t="s">
        <v>2539</v>
      </c>
      <c r="J7577" s="8" t="s">
        <v>4475</v>
      </c>
      <c r="K7577" s="6" t="str">
        <f>"15.300,00"</f>
        <v>15.300,00</v>
      </c>
      <c r="L7577" s="6" t="str">
        <f>"3.825,00"</f>
        <v>3.825,00</v>
      </c>
      <c r="M7577" s="6" t="str">
        <f>"19.125,00"</f>
        <v>19.125,00</v>
      </c>
      <c r="N7577" s="8" t="s">
        <v>124</v>
      </c>
      <c r="O7577" s="7"/>
      <c r="P7577" s="2" t="s">
        <v>5614</v>
      </c>
      <c r="Q7577" s="7"/>
      <c r="R7577" s="1"/>
      <c r="S7577" s="1" t="str">
        <f>"J-UN-2020-2611"</f>
        <v>J-UN-2020-2611</v>
      </c>
      <c r="T7577" s="1" t="s">
        <v>32</v>
      </c>
    </row>
    <row r="7578" spans="1:20" ht="63.75" x14ac:dyDescent="0.25">
      <c r="A7578" s="6">
        <v>7548</v>
      </c>
      <c r="B7578" s="1" t="str">
        <f>"2020-2471"</f>
        <v>2020-2471</v>
      </c>
      <c r="C7578" s="1" t="s">
        <v>2991</v>
      </c>
      <c r="D7578" s="1" t="s">
        <v>2992</v>
      </c>
      <c r="E7578" s="1" t="str">
        <f>""</f>
        <v/>
      </c>
      <c r="F7578" s="1" t="s">
        <v>1860</v>
      </c>
      <c r="G7578" s="1" t="str">
        <f>CONCATENATE(" LANIŠTE D.O.O.,"," ALEXANDERA VON HUMBOLDTA 4B,"," 10000 ZAGREB,"," OIB: 3755384865")</f>
        <v xml:space="preserve"> LANIŠTE D.O.O., ALEXANDERA VON HUMBOLDTA 4B, 10000 ZAGREB, OIB: 3755384865</v>
      </c>
      <c r="H7578" s="7"/>
      <c r="I7578" s="8" t="s">
        <v>1013</v>
      </c>
      <c r="J7578" s="8" t="s">
        <v>1008</v>
      </c>
      <c r="K7578" s="6" t="str">
        <f>"2.636,00"</f>
        <v>2.636,00</v>
      </c>
      <c r="L7578" s="6" t="str">
        <f>"659,00"</f>
        <v>659,00</v>
      </c>
      <c r="M7578" s="6" t="str">
        <f>"3.295,00"</f>
        <v>3.295,00</v>
      </c>
      <c r="N7578" s="8" t="s">
        <v>124</v>
      </c>
      <c r="O7578" s="7"/>
      <c r="P7578" s="2" t="s">
        <v>5614</v>
      </c>
      <c r="Q7578" s="7"/>
      <c r="R7578" s="1"/>
      <c r="S7578" s="1" t="str">
        <f>"J-UN-2020-2642"</f>
        <v>J-UN-2020-2642</v>
      </c>
      <c r="T7578" s="1" t="s">
        <v>32</v>
      </c>
    </row>
    <row r="7579" spans="1:20" ht="63.75" x14ac:dyDescent="0.25">
      <c r="A7579" s="6">
        <v>7549</v>
      </c>
      <c r="B7579" s="1" t="str">
        <f>"2020-2411"</f>
        <v>2020-2411</v>
      </c>
      <c r="C7579" s="1" t="s">
        <v>2984</v>
      </c>
      <c r="D7579" s="1" t="s">
        <v>2985</v>
      </c>
      <c r="E7579" s="1" t="str">
        <f>""</f>
        <v/>
      </c>
      <c r="F7579" s="1" t="s">
        <v>1860</v>
      </c>
      <c r="G7579" s="1" t="str">
        <f>CONCATENATE(" LANIŠTE D.O.O.,"," ALEXANDERA VON HUMBOLDTA 4B,"," 10000 ZAGREB,"," OIB: 3755384865")</f>
        <v xml:space="preserve"> LANIŠTE D.O.O., ALEXANDERA VON HUMBOLDTA 4B, 10000 ZAGREB, OIB: 3755384865</v>
      </c>
      <c r="H7579" s="7"/>
      <c r="I7579" s="8" t="s">
        <v>1013</v>
      </c>
      <c r="J7579" s="8" t="s">
        <v>1008</v>
      </c>
      <c r="K7579" s="6" t="str">
        <f>"2.032,00"</f>
        <v>2.032,00</v>
      </c>
      <c r="L7579" s="6" t="str">
        <f>"508,00"</f>
        <v>508,00</v>
      </c>
      <c r="M7579" s="6" t="str">
        <f>"2.540,00"</f>
        <v>2.540,00</v>
      </c>
      <c r="N7579" s="8" t="s">
        <v>124</v>
      </c>
      <c r="O7579" s="7"/>
      <c r="P7579" s="2" t="s">
        <v>5614</v>
      </c>
      <c r="Q7579" s="7"/>
      <c r="R7579" s="1"/>
      <c r="S7579" s="1" t="str">
        <f>"J-UN-2020-2643"</f>
        <v>J-UN-2020-2643</v>
      </c>
      <c r="T7579" s="1" t="s">
        <v>32</v>
      </c>
    </row>
    <row r="7580" spans="1:20" ht="63.75" x14ac:dyDescent="0.25">
      <c r="A7580" s="6">
        <v>7550</v>
      </c>
      <c r="B7580" s="1" t="str">
        <f>"2020-983"</f>
        <v>2020-983</v>
      </c>
      <c r="C7580" s="1" t="s">
        <v>2986</v>
      </c>
      <c r="D7580" s="1" t="s">
        <v>2985</v>
      </c>
      <c r="E7580" s="1" t="str">
        <f>""</f>
        <v/>
      </c>
      <c r="F7580" s="1" t="s">
        <v>1860</v>
      </c>
      <c r="G7580" s="1" t="str">
        <f>CONCATENATE(" LANIŠTE D.O.O.,"," ALEXANDERA VON HUMBOLDTA 4B,"," 10000 ZAGREB,"," OIB: 3755384865")</f>
        <v xml:space="preserve"> LANIŠTE D.O.O., ALEXANDERA VON HUMBOLDTA 4B, 10000 ZAGREB, OIB: 3755384865</v>
      </c>
      <c r="H7580" s="7"/>
      <c r="I7580" s="8" t="s">
        <v>1013</v>
      </c>
      <c r="J7580" s="8" t="s">
        <v>1008</v>
      </c>
      <c r="K7580" s="6" t="str">
        <f>"2.032,00"</f>
        <v>2.032,00</v>
      </c>
      <c r="L7580" s="6" t="str">
        <f>"508,00"</f>
        <v>508,00</v>
      </c>
      <c r="M7580" s="6" t="str">
        <f>"2.540,00"</f>
        <v>2.540,00</v>
      </c>
      <c r="N7580" s="8" t="s">
        <v>124</v>
      </c>
      <c r="O7580" s="7"/>
      <c r="P7580" s="2" t="s">
        <v>5614</v>
      </c>
      <c r="Q7580" s="7"/>
      <c r="R7580" s="1"/>
      <c r="S7580" s="1" t="str">
        <f>"J-UN-2020-2644"</f>
        <v>J-UN-2020-2644</v>
      </c>
      <c r="T7580" s="1" t="s">
        <v>32</v>
      </c>
    </row>
    <row r="7581" spans="1:20" ht="51" x14ac:dyDescent="0.25">
      <c r="A7581" s="6">
        <v>7551</v>
      </c>
      <c r="B7581" s="1" t="str">
        <f>"2020-606"</f>
        <v>2020-606</v>
      </c>
      <c r="C7581" s="1" t="s">
        <v>2572</v>
      </c>
      <c r="D7581" s="1" t="s">
        <v>2573</v>
      </c>
      <c r="E7581" s="1" t="str">
        <f>""</f>
        <v/>
      </c>
      <c r="F7581" s="1" t="s">
        <v>1860</v>
      </c>
      <c r="G7581" s="1" t="str">
        <f>CONCATENATE(" PROTEKTA D.O.O.,"," IVANA ŠIBLA 9,"," 10000 ZAGREB,"," OIB: 25210761537")</f>
        <v xml:space="preserve"> PROTEKTA D.O.O., IVANA ŠIBLA 9, 10000 ZAGREB, OIB: 25210761537</v>
      </c>
      <c r="H7581" s="7"/>
      <c r="I7581" s="8" t="s">
        <v>1013</v>
      </c>
      <c r="J7581" s="8" t="s">
        <v>1008</v>
      </c>
      <c r="K7581" s="6" t="str">
        <f>"2.317,60"</f>
        <v>2.317,60</v>
      </c>
      <c r="L7581" s="6" t="str">
        <f>"579,40"</f>
        <v>579,40</v>
      </c>
      <c r="M7581" s="6" t="str">
        <f>"2.897,00"</f>
        <v>2.897,00</v>
      </c>
      <c r="N7581" s="8" t="s">
        <v>124</v>
      </c>
      <c r="O7581" s="7"/>
      <c r="P7581" s="2" t="s">
        <v>5614</v>
      </c>
      <c r="Q7581" s="7"/>
      <c r="R7581" s="1"/>
      <c r="S7581" s="1" t="str">
        <f>"J-UN-2020-2647"</f>
        <v>J-UN-2020-2647</v>
      </c>
      <c r="T7581" s="1" t="s">
        <v>32</v>
      </c>
    </row>
    <row r="7582" spans="1:20" ht="51" x14ac:dyDescent="0.25">
      <c r="A7582" s="6">
        <v>7552</v>
      </c>
      <c r="B7582" s="1" t="str">
        <f>"2020-1790"</f>
        <v>2020-1790</v>
      </c>
      <c r="C7582" s="1" t="s">
        <v>2952</v>
      </c>
      <c r="D7582" s="1" t="s">
        <v>2953</v>
      </c>
      <c r="E7582" s="1" t="str">
        <f>""</f>
        <v/>
      </c>
      <c r="F7582" s="1" t="s">
        <v>1860</v>
      </c>
      <c r="G7582" s="1" t="str">
        <f>CONCATENATE(" ARBORI CULTURA D.O.O.,"," POKUPSKO 86,"," 10414 POKUPSKO,"," OIB: 16690651659")</f>
        <v xml:space="preserve"> ARBORI CULTURA D.O.O., POKUPSKO 86, 10414 POKUPSKO, OIB: 16690651659</v>
      </c>
      <c r="H7582" s="7"/>
      <c r="I7582" s="8" t="s">
        <v>5566</v>
      </c>
      <c r="J7582" s="8" t="s">
        <v>2539</v>
      </c>
      <c r="K7582" s="6" t="str">
        <f>"95.600,00"</f>
        <v>95.600,00</v>
      </c>
      <c r="L7582" s="6" t="str">
        <f>"23.900,00"</f>
        <v>23.900,00</v>
      </c>
      <c r="M7582" s="6" t="str">
        <f>"119.500,00"</f>
        <v>119.500,00</v>
      </c>
      <c r="N7582" s="8" t="s">
        <v>1247</v>
      </c>
      <c r="O7582" s="7"/>
      <c r="P7582" s="2" t="s">
        <v>9206</v>
      </c>
      <c r="Q7582" s="7"/>
      <c r="R7582" s="1"/>
      <c r="S7582" s="1" t="str">
        <f>"J-UN-2020-2648"</f>
        <v>J-UN-2020-2648</v>
      </c>
      <c r="T7582" s="1" t="s">
        <v>32</v>
      </c>
    </row>
    <row r="7583" spans="1:20" ht="63.75" x14ac:dyDescent="0.25">
      <c r="A7583" s="6">
        <v>7553</v>
      </c>
      <c r="B7583" s="1" t="str">
        <f>"2020-1790"</f>
        <v>2020-1790</v>
      </c>
      <c r="C7583" s="1" t="s">
        <v>2952</v>
      </c>
      <c r="D7583" s="1" t="s">
        <v>2953</v>
      </c>
      <c r="E7583" s="1" t="str">
        <f>""</f>
        <v/>
      </c>
      <c r="F7583" s="1" t="s">
        <v>1860</v>
      </c>
      <c r="G7583" s="1" t="str">
        <f>CONCATENATE(" POLJOPRIVREDNIK VLADO CRLJENKOVIĆ,"," BANIĆEVA 44,"," 35404 CERNIK,"," OIB: 565136778")</f>
        <v xml:space="preserve"> POLJOPRIVREDNIK VLADO CRLJENKOVIĆ, BANIĆEVA 44, 35404 CERNIK, OIB: 565136778</v>
      </c>
      <c r="H7583" s="7"/>
      <c r="I7583" s="8" t="s">
        <v>5566</v>
      </c>
      <c r="J7583" s="8" t="s">
        <v>4456</v>
      </c>
      <c r="K7583" s="6" t="str">
        <f>"102.900,00"</f>
        <v>102.900,00</v>
      </c>
      <c r="L7583" s="6" t="str">
        <f>"25.725,00"</f>
        <v>25.725,00</v>
      </c>
      <c r="M7583" s="6" t="str">
        <f>"128.625,00"</f>
        <v>128.625,00</v>
      </c>
      <c r="N7583" s="8" t="s">
        <v>1146</v>
      </c>
      <c r="O7583" s="7"/>
      <c r="P7583" s="2" t="s">
        <v>9207</v>
      </c>
      <c r="Q7583" s="7"/>
      <c r="R7583" s="1"/>
      <c r="S7583" s="1" t="str">
        <f>"J-UN-2020-2649"</f>
        <v>J-UN-2020-2649</v>
      </c>
      <c r="T7583" s="1" t="s">
        <v>32</v>
      </c>
    </row>
    <row r="7584" spans="1:20" ht="63.75" x14ac:dyDescent="0.25">
      <c r="A7584" s="6">
        <v>7554</v>
      </c>
      <c r="B7584" s="1" t="str">
        <f>"2020-1298"</f>
        <v>2020-1298</v>
      </c>
      <c r="C7584" s="1" t="s">
        <v>2989</v>
      </c>
      <c r="D7584" s="1" t="s">
        <v>2990</v>
      </c>
      <c r="E7584" s="1" t="str">
        <f>""</f>
        <v/>
      </c>
      <c r="F7584" s="1" t="s">
        <v>1860</v>
      </c>
      <c r="G7584" s="1" t="str">
        <f>CONCATENATE(" LANIŠTE D.O.O.,"," ALEXANDERA VON HUMBOLDTA 4B,"," 10000 ZAGREB,"," OIB: 3755384865")</f>
        <v xml:space="preserve"> LANIŠTE D.O.O., ALEXANDERA VON HUMBOLDTA 4B, 10000 ZAGREB, OIB: 3755384865</v>
      </c>
      <c r="H7584" s="7"/>
      <c r="I7584" s="8" t="s">
        <v>3808</v>
      </c>
      <c r="J7584" s="8" t="s">
        <v>1013</v>
      </c>
      <c r="K7584" s="6" t="str">
        <f>"2.636,00"</f>
        <v>2.636,00</v>
      </c>
      <c r="L7584" s="6" t="str">
        <f>"659,00"</f>
        <v>659,00</v>
      </c>
      <c r="M7584" s="6" t="str">
        <f>"3.295,00"</f>
        <v>3.295,00</v>
      </c>
      <c r="N7584" s="8" t="s">
        <v>124</v>
      </c>
      <c r="O7584" s="7"/>
      <c r="P7584" s="2" t="s">
        <v>5614</v>
      </c>
      <c r="Q7584" s="7"/>
      <c r="R7584" s="1"/>
      <c r="S7584" s="1" t="str">
        <f>"J-UN-2020-2657"</f>
        <v>J-UN-2020-2657</v>
      </c>
      <c r="T7584" s="1" t="s">
        <v>32</v>
      </c>
    </row>
    <row r="7585" spans="1:20" ht="63.75" x14ac:dyDescent="0.25">
      <c r="A7585" s="6">
        <v>7555</v>
      </c>
      <c r="B7585" s="1" t="str">
        <f>"2020-1905"</f>
        <v>2020-1905</v>
      </c>
      <c r="C7585" s="1" t="s">
        <v>2993</v>
      </c>
      <c r="D7585" s="1" t="s">
        <v>2994</v>
      </c>
      <c r="E7585" s="1" t="str">
        <f>""</f>
        <v/>
      </c>
      <c r="F7585" s="1" t="s">
        <v>1860</v>
      </c>
      <c r="G7585" s="1" t="str">
        <f>CONCATENATE(" LANIŠTE D.O.O.,"," ALEXANDERA VON HUMBOLDTA 4B,"," 10000 ZAGREB,"," OIB: 3755384865")</f>
        <v xml:space="preserve"> LANIŠTE D.O.O., ALEXANDERA VON HUMBOLDTA 4B, 10000 ZAGREB, OIB: 3755384865</v>
      </c>
      <c r="H7585" s="7"/>
      <c r="I7585" s="8" t="s">
        <v>3808</v>
      </c>
      <c r="J7585" s="8" t="s">
        <v>1013</v>
      </c>
      <c r="K7585" s="6" t="str">
        <f>"1.632,00"</f>
        <v>1.632,00</v>
      </c>
      <c r="L7585" s="6" t="str">
        <f>"408,00"</f>
        <v>408,00</v>
      </c>
      <c r="M7585" s="6" t="str">
        <f>"2.040,00"</f>
        <v>2.040,00</v>
      </c>
      <c r="N7585" s="8" t="s">
        <v>124</v>
      </c>
      <c r="O7585" s="7"/>
      <c r="P7585" s="2" t="s">
        <v>5614</v>
      </c>
      <c r="Q7585" s="7"/>
      <c r="R7585" s="1"/>
      <c r="S7585" s="1" t="str">
        <f>"J-UN-2020-2658"</f>
        <v>J-UN-2020-2658</v>
      </c>
      <c r="T7585" s="1" t="s">
        <v>32</v>
      </c>
    </row>
    <row r="7586" spans="1:20" ht="63.75" x14ac:dyDescent="0.25">
      <c r="A7586" s="6">
        <v>7556</v>
      </c>
      <c r="B7586" s="1" t="str">
        <f>"2020-1631"</f>
        <v>2020-1631</v>
      </c>
      <c r="C7586" s="1" t="s">
        <v>2987</v>
      </c>
      <c r="D7586" s="1" t="s">
        <v>2988</v>
      </c>
      <c r="E7586" s="1" t="str">
        <f>""</f>
        <v/>
      </c>
      <c r="F7586" s="1" t="s">
        <v>1860</v>
      </c>
      <c r="G7586" s="1" t="str">
        <f>CONCATENATE(" LANIŠTE D.O.O.,"," ALEXANDERA VON HUMBOLDTA 4B,"," 10000 ZAGREB,"," OIB: 3755384865")</f>
        <v xml:space="preserve"> LANIŠTE D.O.O., ALEXANDERA VON HUMBOLDTA 4B, 10000 ZAGREB, OIB: 3755384865</v>
      </c>
      <c r="H7586" s="7"/>
      <c r="I7586" s="8" t="s">
        <v>1013</v>
      </c>
      <c r="J7586" s="8" t="s">
        <v>1008</v>
      </c>
      <c r="K7586" s="6" t="str">
        <f>"2.032,00"</f>
        <v>2.032,00</v>
      </c>
      <c r="L7586" s="6" t="str">
        <f>"508,00"</f>
        <v>508,00</v>
      </c>
      <c r="M7586" s="6" t="str">
        <f>"2.540,00"</f>
        <v>2.540,00</v>
      </c>
      <c r="N7586" s="8" t="s">
        <v>124</v>
      </c>
      <c r="O7586" s="7"/>
      <c r="P7586" s="2" t="s">
        <v>5614</v>
      </c>
      <c r="Q7586" s="7"/>
      <c r="R7586" s="1"/>
      <c r="S7586" s="1" t="str">
        <f>"J-UN-2020-2659"</f>
        <v>J-UN-2020-2659</v>
      </c>
      <c r="T7586" s="1" t="s">
        <v>32</v>
      </c>
    </row>
    <row r="7587" spans="1:20" ht="76.5" x14ac:dyDescent="0.25">
      <c r="A7587" s="6">
        <v>7557</v>
      </c>
      <c r="B7587" s="1" t="str">
        <f>"2020-807"</f>
        <v>2020-807</v>
      </c>
      <c r="C7587" s="1" t="s">
        <v>2726</v>
      </c>
      <c r="D7587" s="1" t="s">
        <v>689</v>
      </c>
      <c r="E7587" s="1" t="str">
        <f>""</f>
        <v/>
      </c>
      <c r="F7587" s="1" t="s">
        <v>1860</v>
      </c>
      <c r="G7587" s="1" t="str">
        <f>CONCATENATE(" SMIT-COMMERCE D.O.O.,"," GORNJOSTUPNIČKA 9B,"," 10255 GORNJI STUPNIK,"," OIB: 9524348214")</f>
        <v xml:space="preserve"> SMIT-COMMERCE D.O.O., GORNJOSTUPNIČKA 9B, 10255 GORNJI STUPNIK, OIB: 9524348214</v>
      </c>
      <c r="H7587" s="7"/>
      <c r="I7587" s="8" t="s">
        <v>2539</v>
      </c>
      <c r="J7587" s="8" t="s">
        <v>5136</v>
      </c>
      <c r="K7587" s="6" t="str">
        <f>"432,00"</f>
        <v>432,00</v>
      </c>
      <c r="L7587" s="6" t="str">
        <f>"108,00"</f>
        <v>108,00</v>
      </c>
      <c r="M7587" s="6" t="str">
        <f>"540,00"</f>
        <v>540,00</v>
      </c>
      <c r="N7587" s="8" t="s">
        <v>124</v>
      </c>
      <c r="O7587" s="7"/>
      <c r="P7587" s="2" t="s">
        <v>5614</v>
      </c>
      <c r="Q7587" s="7"/>
      <c r="R7587" s="1"/>
      <c r="S7587" s="1" t="str">
        <f>"J-UN-2020-2670"</f>
        <v>J-UN-2020-2670</v>
      </c>
      <c r="T7587" s="1" t="s">
        <v>32</v>
      </c>
    </row>
    <row r="7588" spans="1:20" ht="51" x14ac:dyDescent="0.25">
      <c r="A7588" s="6">
        <v>7558</v>
      </c>
      <c r="B7588" s="1" t="str">
        <f>"2020-606"</f>
        <v>2020-606</v>
      </c>
      <c r="C7588" s="1" t="s">
        <v>2572</v>
      </c>
      <c r="D7588" s="1" t="s">
        <v>2573</v>
      </c>
      <c r="E7588" s="1" t="str">
        <f>""</f>
        <v/>
      </c>
      <c r="F7588" s="1" t="s">
        <v>1860</v>
      </c>
      <c r="G7588" s="1" t="str">
        <f>CONCATENATE(" ECCOS-INŽENJERING D.O.O.,"," BANI 110,"," 10000 ZAGREB,"," OIB: 71629027685")</f>
        <v xml:space="preserve"> ECCOS-INŽENJERING D.O.O., BANI 110, 10000 ZAGREB, OIB: 71629027685</v>
      </c>
      <c r="H7588" s="7"/>
      <c r="I7588" s="8" t="s">
        <v>1008</v>
      </c>
      <c r="J7588" s="8" t="s">
        <v>1086</v>
      </c>
      <c r="K7588" s="6" t="str">
        <f>"45.078,05"</f>
        <v>45.078,05</v>
      </c>
      <c r="L7588" s="6" t="str">
        <f>"11.269,51"</f>
        <v>11.269,51</v>
      </c>
      <c r="M7588" s="6" t="str">
        <f>"56.347,56"</f>
        <v>56.347,56</v>
      </c>
      <c r="N7588" s="8" t="s">
        <v>124</v>
      </c>
      <c r="O7588" s="7"/>
      <c r="P7588" s="2" t="s">
        <v>5614</v>
      </c>
      <c r="Q7588" s="7"/>
      <c r="R7588" s="1"/>
      <c r="S7588" s="1" t="str">
        <f>"J-UN-2020-2690"</f>
        <v>J-UN-2020-2690</v>
      </c>
      <c r="T7588" s="1" t="s">
        <v>32</v>
      </c>
    </row>
    <row r="7589" spans="1:20" ht="63.75" x14ac:dyDescent="0.25">
      <c r="A7589" s="6">
        <v>7559</v>
      </c>
      <c r="B7589" s="1" t="str">
        <f>"2020-2736"</f>
        <v>2020-2736</v>
      </c>
      <c r="C7589" s="1" t="s">
        <v>2621</v>
      </c>
      <c r="D7589" s="1" t="s">
        <v>2622</v>
      </c>
      <c r="E7589" s="1" t="str">
        <f>""</f>
        <v/>
      </c>
      <c r="F7589" s="1" t="s">
        <v>1860</v>
      </c>
      <c r="G7589" s="1" t="str">
        <f>CONCATENATE(" VELEKEM D.D.,"," UL.KNEZA LJUDEVITA POSAVSKOG 13,"," 10360 SESVETE,"," OIB: 62347407589")</f>
        <v xml:space="preserve"> VELEKEM D.D., UL.KNEZA LJUDEVITA POSAVSKOG 13, 10360 SESVETE, OIB: 62347407589</v>
      </c>
      <c r="H7589" s="7"/>
      <c r="I7589" s="8" t="s">
        <v>1042</v>
      </c>
      <c r="J7589" s="8" t="s">
        <v>1126</v>
      </c>
      <c r="K7589" s="6" t="str">
        <f>"2.535,15"</f>
        <v>2.535,15</v>
      </c>
      <c r="L7589" s="6" t="str">
        <f>"633,79"</f>
        <v>633,79</v>
      </c>
      <c r="M7589" s="6" t="str">
        <f>"3.168,94"</f>
        <v>3.168,94</v>
      </c>
      <c r="N7589" s="8" t="s">
        <v>4460</v>
      </c>
      <c r="O7589" s="7"/>
      <c r="P7589" s="2" t="s">
        <v>9208</v>
      </c>
      <c r="Q7589" s="7"/>
      <c r="R7589" s="1"/>
      <c r="S7589" s="1" t="str">
        <f>"J-UN-2020-2736"</f>
        <v>J-UN-2020-2736</v>
      </c>
      <c r="T7589" s="1" t="s">
        <v>32</v>
      </c>
    </row>
    <row r="7590" spans="1:20" ht="51" x14ac:dyDescent="0.25">
      <c r="A7590" s="6">
        <v>7560</v>
      </c>
      <c r="B7590" s="1" t="str">
        <f>"2020-335"</f>
        <v>2020-335</v>
      </c>
      <c r="C7590" s="1" t="s">
        <v>3034</v>
      </c>
      <c r="D7590" s="1" t="s">
        <v>74</v>
      </c>
      <c r="E7590" s="1" t="str">
        <f>""</f>
        <v/>
      </c>
      <c r="F7590" s="1" t="s">
        <v>1860</v>
      </c>
      <c r="G7590" s="1" t="str">
        <f>CONCATENATE(" INFOBIT D.O.O.,"," MEDVEŠČAK 47,"," 10000 ZAGREB,"," OIB: 859794267")</f>
        <v xml:space="preserve"> INFOBIT D.O.O., MEDVEŠČAK 47, 10000 ZAGREB, OIB: 859794267</v>
      </c>
      <c r="H7590" s="7"/>
      <c r="I7590" s="8" t="s">
        <v>5136</v>
      </c>
      <c r="J7590" s="8" t="s">
        <v>1042</v>
      </c>
      <c r="K7590" s="6" t="str">
        <f>"30.000,00"</f>
        <v>30.000,00</v>
      </c>
      <c r="L7590" s="6" t="str">
        <f>"7.500,00"</f>
        <v>7.500,00</v>
      </c>
      <c r="M7590" s="6" t="str">
        <f>"37.500,00"</f>
        <v>37.500,00</v>
      </c>
      <c r="N7590" s="8" t="s">
        <v>124</v>
      </c>
      <c r="O7590" s="7"/>
      <c r="P7590" s="2" t="s">
        <v>5614</v>
      </c>
      <c r="Q7590" s="7"/>
      <c r="R7590" s="1"/>
      <c r="S7590" s="1" t="str">
        <f>"J-UN-2020-2791"</f>
        <v>J-UN-2020-2791</v>
      </c>
      <c r="T7590" s="1" t="s">
        <v>32</v>
      </c>
    </row>
    <row r="7591" spans="1:20" ht="76.5" x14ac:dyDescent="0.25">
      <c r="A7591" s="6">
        <v>7561</v>
      </c>
      <c r="B7591" s="1" t="str">
        <f>"2020-99"</f>
        <v>2020-99</v>
      </c>
      <c r="C7591" s="1" t="s">
        <v>5495</v>
      </c>
      <c r="D7591" s="1" t="s">
        <v>2682</v>
      </c>
      <c r="E7591" s="1" t="str">
        <f>""</f>
        <v/>
      </c>
      <c r="F7591" s="1" t="s">
        <v>1860</v>
      </c>
      <c r="G7591" s="1" t="str">
        <f>CONCATENATE(" KEMIS-TERMOCLEAN D.O.O.,"," SLAVONSKA AVENIJA 26/4,"," 10000 ZAGREB,"," OIB: 47719259482")</f>
        <v xml:space="preserve"> KEMIS-TERMOCLEAN D.O.O., SLAVONSKA AVENIJA 26/4, 10000 ZAGREB, OIB: 47719259482</v>
      </c>
      <c r="H7591" s="7"/>
      <c r="I7591" s="8" t="s">
        <v>1098</v>
      </c>
      <c r="J7591" s="8" t="s">
        <v>5120</v>
      </c>
      <c r="K7591" s="6" t="str">
        <f>"120.000,00"</f>
        <v>120.000,00</v>
      </c>
      <c r="L7591" s="6" t="str">
        <f>"30.000,00"</f>
        <v>30.000,00</v>
      </c>
      <c r="M7591" s="6" t="str">
        <f>"150.000,00"</f>
        <v>150.000,00</v>
      </c>
      <c r="N7591" s="8" t="s">
        <v>124</v>
      </c>
      <c r="O7591" s="7"/>
      <c r="P7591" s="2" t="s">
        <v>5614</v>
      </c>
      <c r="Q7591" s="7"/>
      <c r="R7591" s="1"/>
      <c r="S7591" s="1" t="str">
        <f>"J-UN-2020-2795"</f>
        <v>J-UN-2020-2795</v>
      </c>
      <c r="T7591" s="1" t="s">
        <v>32</v>
      </c>
    </row>
    <row r="7592" spans="1:20" ht="51" x14ac:dyDescent="0.25">
      <c r="A7592" s="6">
        <v>7562</v>
      </c>
      <c r="B7592" s="1" t="str">
        <f>"2020-351"</f>
        <v>2020-351</v>
      </c>
      <c r="C7592" s="1" t="s">
        <v>5184</v>
      </c>
      <c r="D7592" s="1" t="s">
        <v>689</v>
      </c>
      <c r="E7592" s="1" t="str">
        <f>""</f>
        <v/>
      </c>
      <c r="F7592" s="1" t="s">
        <v>1860</v>
      </c>
      <c r="G7592" s="1" t="str">
        <f>CONCATENATE(" TEHNOGUMA d.o.o.,"," OBRTNIČKA 1,"," 10000 ZAGREB,"," OIB: 38867318377")</f>
        <v xml:space="preserve"> TEHNOGUMA d.o.o., OBRTNIČKA 1, 10000 ZAGREB, OIB: 38867318377</v>
      </c>
      <c r="H7592" s="7"/>
      <c r="I7592" s="8" t="s">
        <v>1066</v>
      </c>
      <c r="J7592" s="8" t="s">
        <v>4172</v>
      </c>
      <c r="K7592" s="6" t="str">
        <f>"8.678,80"</f>
        <v>8.678,80</v>
      </c>
      <c r="L7592" s="6" t="str">
        <f>"2.169,70"</f>
        <v>2.169,70</v>
      </c>
      <c r="M7592" s="6" t="str">
        <f>"10.848,50"</f>
        <v>10.848,50</v>
      </c>
      <c r="N7592" s="8" t="s">
        <v>5139</v>
      </c>
      <c r="O7592" s="7"/>
      <c r="P7592" s="2" t="s">
        <v>9209</v>
      </c>
      <c r="Q7592" s="7"/>
      <c r="R7592" s="1"/>
      <c r="S7592" s="1" t="str">
        <f>"J-UN-2020-2838"</f>
        <v>J-UN-2020-2838</v>
      </c>
      <c r="T7592" s="1" t="s">
        <v>32</v>
      </c>
    </row>
    <row r="7593" spans="1:20" ht="76.5" x14ac:dyDescent="0.25">
      <c r="A7593" s="6">
        <v>7563</v>
      </c>
      <c r="B7593" s="1" t="str">
        <f>"2020-2484"</f>
        <v>2020-2484</v>
      </c>
      <c r="C7593" s="1" t="s">
        <v>2405</v>
      </c>
      <c r="D7593" s="1" t="s">
        <v>880</v>
      </c>
      <c r="E7593" s="1" t="str">
        <f>""</f>
        <v/>
      </c>
      <c r="F7593" s="1" t="s">
        <v>1860</v>
      </c>
      <c r="G7593" s="1" t="str">
        <f>CONCATENATE(" NASTAVNI ZAVOD ZA JAVNO ZDRAVSTVO DR. ANDRIJA ŠTAMPAR,"," MIROGOJSKA CESTA 16,"," 10000 ZAGREB,"," OIB: 3339200596")</f>
        <v xml:space="preserve"> NASTAVNI ZAVOD ZA JAVNO ZDRAVSTVO DR. ANDRIJA ŠTAMPAR, MIROGOJSKA CESTA 16, 10000 ZAGREB, OIB: 3339200596</v>
      </c>
      <c r="H7593" s="7"/>
      <c r="I7593" s="8" t="s">
        <v>1098</v>
      </c>
      <c r="J7593" s="8" t="s">
        <v>5120</v>
      </c>
      <c r="K7593" s="6" t="str">
        <f>"11.700,00"</f>
        <v>11.700,00</v>
      </c>
      <c r="L7593" s="6" t="str">
        <f>"2.925,00"</f>
        <v>2.925,00</v>
      </c>
      <c r="M7593" s="6" t="str">
        <f>"14.625,00"</f>
        <v>14.625,00</v>
      </c>
      <c r="N7593" s="8" t="s">
        <v>974</v>
      </c>
      <c r="O7593" s="7"/>
      <c r="P7593" s="2" t="s">
        <v>9210</v>
      </c>
      <c r="Q7593" s="7"/>
      <c r="R7593" s="1"/>
      <c r="S7593" s="1" t="str">
        <f>"J-UN-2020-2852"</f>
        <v>J-UN-2020-2852</v>
      </c>
      <c r="T7593" s="1" t="s">
        <v>32</v>
      </c>
    </row>
    <row r="7594" spans="1:20" ht="63.75" x14ac:dyDescent="0.25">
      <c r="A7594" s="6">
        <v>7564</v>
      </c>
      <c r="B7594" s="1" t="str">
        <f>"2020-2756"</f>
        <v>2020-2756</v>
      </c>
      <c r="C7594" s="1" t="s">
        <v>2516</v>
      </c>
      <c r="D7594" s="1" t="s">
        <v>537</v>
      </c>
      <c r="E7594" s="1" t="str">
        <f>""</f>
        <v/>
      </c>
      <c r="F7594" s="1" t="s">
        <v>1860</v>
      </c>
      <c r="G7594" s="1" t="str">
        <f>CONCATENATE(" FUČKAN D.O.O.,"," BLAŽEVDOL,"," FUČKANI 5,"," 10380 SVETI IVAN ZELINA,"," OIB: 63851106916")</f>
        <v xml:space="preserve"> FUČKAN D.O.O., BLAŽEVDOL, FUČKANI 5, 10380 SVETI IVAN ZELINA, OIB: 63851106916</v>
      </c>
      <c r="H7594" s="7"/>
      <c r="I7594" s="8" t="s">
        <v>1103</v>
      </c>
      <c r="J7594" s="8" t="s">
        <v>4319</v>
      </c>
      <c r="K7594" s="6" t="str">
        <f>"2.097,60"</f>
        <v>2.097,60</v>
      </c>
      <c r="L7594" s="6" t="str">
        <f>"524,40"</f>
        <v>524,40</v>
      </c>
      <c r="M7594" s="6" t="str">
        <f>"2.622,00"</f>
        <v>2.622,00</v>
      </c>
      <c r="N7594" s="8" t="s">
        <v>124</v>
      </c>
      <c r="O7594" s="7"/>
      <c r="P7594" s="2" t="s">
        <v>5614</v>
      </c>
      <c r="Q7594" s="7"/>
      <c r="R7594" s="1"/>
      <c r="S7594" s="1" t="str">
        <f>"J-UN-2020-2879"</f>
        <v>J-UN-2020-2879</v>
      </c>
      <c r="T7594" s="1" t="s">
        <v>32</v>
      </c>
    </row>
    <row r="7595" spans="1:20" ht="38.25" x14ac:dyDescent="0.25">
      <c r="A7595" s="6">
        <v>7565</v>
      </c>
      <c r="B7595" s="1" t="str">
        <f>"2020-692"</f>
        <v>2020-692</v>
      </c>
      <c r="C7595" s="1" t="s">
        <v>2779</v>
      </c>
      <c r="D7595" s="1" t="s">
        <v>2780</v>
      </c>
      <c r="E7595" s="1" t="str">
        <f>""</f>
        <v/>
      </c>
      <c r="F7595" s="1" t="s">
        <v>1860</v>
      </c>
      <c r="G7595" s="1" t="str">
        <f>CONCATENATE(" DUN&amp;BRADSTREET D.O.O.,"," ,"," OIB: 48270876028")</f>
        <v xml:space="preserve"> DUN&amp;BRADSTREET D.O.O., , OIB: 48270876028</v>
      </c>
      <c r="H7595" s="7"/>
      <c r="I7595" s="8" t="s">
        <v>1098</v>
      </c>
      <c r="J7595" s="8" t="s">
        <v>5120</v>
      </c>
      <c r="K7595" s="6" t="str">
        <f>"7.200,00"</f>
        <v>7.200,00</v>
      </c>
      <c r="L7595" s="6" t="str">
        <f>"1.800,00"</f>
        <v>1.800,00</v>
      </c>
      <c r="M7595" s="6" t="str">
        <f>"9.000,00"</f>
        <v>9.000,00</v>
      </c>
      <c r="N7595" s="8" t="s">
        <v>124</v>
      </c>
      <c r="O7595" s="7"/>
      <c r="P7595" s="2" t="s">
        <v>5614</v>
      </c>
      <c r="Q7595" s="7"/>
      <c r="R7595" s="1"/>
      <c r="S7595" s="1" t="str">
        <f>"J-UN-2020-2890"</f>
        <v>J-UN-2020-2890</v>
      </c>
      <c r="T7595" s="1" t="s">
        <v>32</v>
      </c>
    </row>
    <row r="7596" spans="1:20" ht="51" x14ac:dyDescent="0.25">
      <c r="A7596" s="6">
        <v>7566</v>
      </c>
      <c r="B7596" s="1" t="str">
        <f>"2020-876"</f>
        <v>2020-876</v>
      </c>
      <c r="C7596" s="1" t="s">
        <v>2751</v>
      </c>
      <c r="D7596" s="1" t="s">
        <v>2752</v>
      </c>
      <c r="E7596" s="1" t="str">
        <f>""</f>
        <v/>
      </c>
      <c r="F7596" s="1" t="s">
        <v>1860</v>
      </c>
      <c r="G7596" s="1" t="str">
        <f>CONCATENATE(" TPZ D.O.O.,"," NOVOSELSKA 25,"," 10000 ZAGREB,"," OIB: 68119083236")</f>
        <v xml:space="preserve"> TPZ D.O.O., NOVOSELSKA 25, 10000 ZAGREB, OIB: 68119083236</v>
      </c>
      <c r="H7596" s="7"/>
      <c r="I7596" s="8" t="s">
        <v>1098</v>
      </c>
      <c r="J7596" s="8" t="s">
        <v>5120</v>
      </c>
      <c r="K7596" s="6" t="str">
        <f>"2.966,70"</f>
        <v>2.966,70</v>
      </c>
      <c r="L7596" s="6" t="str">
        <f>"741,68"</f>
        <v>741,68</v>
      </c>
      <c r="M7596" s="6" t="str">
        <f>"3.708,38"</f>
        <v>3.708,38</v>
      </c>
      <c r="N7596" s="8" t="s">
        <v>124</v>
      </c>
      <c r="O7596" s="7"/>
      <c r="P7596" s="2" t="s">
        <v>5614</v>
      </c>
      <c r="Q7596" s="7"/>
      <c r="R7596" s="1"/>
      <c r="S7596" s="1" t="str">
        <f>"J-UN-2020-2892"</f>
        <v>J-UN-2020-2892</v>
      </c>
      <c r="T7596" s="1" t="s">
        <v>32</v>
      </c>
    </row>
    <row r="7597" spans="1:20" ht="51" x14ac:dyDescent="0.25">
      <c r="A7597" s="6">
        <v>7567</v>
      </c>
      <c r="B7597" s="1" t="str">
        <f>"2020-1118"</f>
        <v>2020-1118</v>
      </c>
      <c r="C7597" s="1" t="s">
        <v>3230</v>
      </c>
      <c r="D7597" s="1" t="s">
        <v>3231</v>
      </c>
      <c r="E7597" s="1" t="str">
        <f>""</f>
        <v/>
      </c>
      <c r="F7597" s="1" t="s">
        <v>1860</v>
      </c>
      <c r="G7597" s="1" t="str">
        <f>CONCATENATE(" SCHEDA D.O.O.,"," LJUDEVITA POSAVSKOG 29,"," 10360 SESVETE,"," OIB: 76219817247")</f>
        <v xml:space="preserve"> SCHEDA D.O.O., LJUDEVITA POSAVSKOG 29, 10360 SESVETE, OIB: 76219817247</v>
      </c>
      <c r="H7597" s="7"/>
      <c r="I7597" s="8" t="s">
        <v>4172</v>
      </c>
      <c r="J7597" s="8" t="s">
        <v>4319</v>
      </c>
      <c r="K7597" s="6" t="str">
        <f>"3.581,90"</f>
        <v>3.581,90</v>
      </c>
      <c r="L7597" s="6" t="str">
        <f>"895,48"</f>
        <v>895,48</v>
      </c>
      <c r="M7597" s="6" t="str">
        <f>"4.477,38"</f>
        <v>4.477,38</v>
      </c>
      <c r="N7597" s="8" t="s">
        <v>124</v>
      </c>
      <c r="O7597" s="7"/>
      <c r="P7597" s="2" t="s">
        <v>5614</v>
      </c>
      <c r="Q7597" s="7"/>
      <c r="R7597" s="1"/>
      <c r="S7597" s="1" t="str">
        <f>"J-UN-2020-2909"</f>
        <v>J-UN-2020-2909</v>
      </c>
      <c r="T7597" s="1" t="s">
        <v>32</v>
      </c>
    </row>
    <row r="7598" spans="1:20" ht="76.5" x14ac:dyDescent="0.25">
      <c r="A7598" s="6">
        <v>7568</v>
      </c>
      <c r="B7598" s="1" t="str">
        <f>"2020-2927"</f>
        <v>2020-2927</v>
      </c>
      <c r="C7598" s="1" t="s">
        <v>5567</v>
      </c>
      <c r="D7598" s="1" t="s">
        <v>1065</v>
      </c>
      <c r="E7598" s="1" t="str">
        <f>""</f>
        <v/>
      </c>
      <c r="F7598" s="1" t="s">
        <v>1860</v>
      </c>
      <c r="G7598" s="1" t="str">
        <f>CONCATENATE(" VIATOR D.O.O.,"," KRALJA DRŽISLAVA 6,"," 21000 SPLIT,"," OIB: 6473171712")</f>
        <v xml:space="preserve"> VIATOR D.O.O., KRALJA DRŽISLAVA 6, 21000 SPLIT, OIB: 6473171712</v>
      </c>
      <c r="H7598" s="7"/>
      <c r="I7598" s="8" t="s">
        <v>1098</v>
      </c>
      <c r="J7598" s="8" t="s">
        <v>5120</v>
      </c>
      <c r="K7598" s="6" t="str">
        <f>"7.000,00"</f>
        <v>7.000,00</v>
      </c>
      <c r="L7598" s="6" t="str">
        <f>"1.750,00"</f>
        <v>1.750,00</v>
      </c>
      <c r="M7598" s="6" t="str">
        <f>"8.750,00"</f>
        <v>8.750,00</v>
      </c>
      <c r="N7598" s="8" t="s">
        <v>5406</v>
      </c>
      <c r="O7598" s="7"/>
      <c r="P7598" s="2" t="s">
        <v>9211</v>
      </c>
      <c r="Q7598" s="7"/>
      <c r="R7598" s="1"/>
      <c r="S7598" s="1" t="str">
        <f>"J-UN-2020-2925"</f>
        <v>J-UN-2020-2925</v>
      </c>
      <c r="T7598" s="1" t="s">
        <v>32</v>
      </c>
    </row>
    <row r="7599" spans="1:20" ht="51" x14ac:dyDescent="0.25">
      <c r="A7599" s="6">
        <v>7569</v>
      </c>
      <c r="B7599" s="1" t="str">
        <f>"2020-398"</f>
        <v>2020-398</v>
      </c>
      <c r="C7599" s="1" t="s">
        <v>2302</v>
      </c>
      <c r="D7599" s="1" t="s">
        <v>689</v>
      </c>
      <c r="E7599" s="1" t="str">
        <f>""</f>
        <v/>
      </c>
      <c r="F7599" s="1" t="s">
        <v>1860</v>
      </c>
      <c r="G7599" s="1" t="str">
        <f>CONCATENATE(" ALFA PRINT D.O.O.,"," ANTE MIKE TRIPALA 9,"," 10000 ZAGREB,"," OIB: 197473974")</f>
        <v xml:space="preserve"> ALFA PRINT D.O.O., ANTE MIKE TRIPALA 9, 10000 ZAGREB, OIB: 197473974</v>
      </c>
      <c r="H7599" s="7"/>
      <c r="I7599" s="8" t="s">
        <v>1098</v>
      </c>
      <c r="J7599" s="8" t="s">
        <v>5120</v>
      </c>
      <c r="K7599" s="6" t="str">
        <f>"14.896,00"</f>
        <v>14.896,00</v>
      </c>
      <c r="L7599" s="6" t="str">
        <f>"3.724,00"</f>
        <v>3.724,00</v>
      </c>
      <c r="M7599" s="6" t="str">
        <f>"18.620,00"</f>
        <v>18.620,00</v>
      </c>
      <c r="N7599" s="8" t="s">
        <v>124</v>
      </c>
      <c r="O7599" s="7"/>
      <c r="P7599" s="2" t="s">
        <v>5614</v>
      </c>
      <c r="Q7599" s="7"/>
      <c r="R7599" s="1"/>
      <c r="S7599" s="1" t="str">
        <f>"J-UN-2020-2928"</f>
        <v>J-UN-2020-2928</v>
      </c>
      <c r="T7599" s="1" t="s">
        <v>32</v>
      </c>
    </row>
    <row r="7600" spans="1:20" ht="63.75" x14ac:dyDescent="0.25">
      <c r="A7600" s="6">
        <v>7570</v>
      </c>
      <c r="B7600" s="1" t="str">
        <f>"2020-2396"</f>
        <v>2020-2396</v>
      </c>
      <c r="C7600" s="1" t="s">
        <v>2856</v>
      </c>
      <c r="D7600" s="1" t="s">
        <v>1007</v>
      </c>
      <c r="E7600" s="1" t="str">
        <f>""</f>
        <v/>
      </c>
      <c r="F7600" s="1" t="s">
        <v>1860</v>
      </c>
      <c r="G7600" s="1" t="str">
        <f>CONCATENATE(" BENIĆ VODOINSTALATERSKI OBRT,"," LOBORSKA 10,"," 10000 ZAGREB,"," OIB: 35062225743")</f>
        <v xml:space="preserve"> BENIĆ VODOINSTALATERSKI OBRT, LOBORSKA 10, 10000 ZAGREB, OIB: 35062225743</v>
      </c>
      <c r="H7600" s="7"/>
      <c r="I7600" s="8" t="s">
        <v>1103</v>
      </c>
      <c r="J7600" s="8" t="s">
        <v>4172</v>
      </c>
      <c r="K7600" s="6" t="str">
        <f>"2.950,00"</f>
        <v>2.950,00</v>
      </c>
      <c r="L7600" s="6" t="str">
        <f>"737,50"</f>
        <v>737,50</v>
      </c>
      <c r="M7600" s="6" t="str">
        <f>"3.687,50"</f>
        <v>3.687,50</v>
      </c>
      <c r="N7600" s="8" t="s">
        <v>124</v>
      </c>
      <c r="O7600" s="7"/>
      <c r="P7600" s="2" t="s">
        <v>5614</v>
      </c>
      <c r="Q7600" s="7"/>
      <c r="R7600" s="1"/>
      <c r="S7600" s="1" t="str">
        <f>"J-UN-2020-2960"</f>
        <v>J-UN-2020-2960</v>
      </c>
      <c r="T7600" s="1" t="s">
        <v>32</v>
      </c>
    </row>
    <row r="7601" spans="1:20" ht="76.5" x14ac:dyDescent="0.25">
      <c r="A7601" s="6">
        <v>7571</v>
      </c>
      <c r="B7601" s="1" t="str">
        <f>"2020-1838"</f>
        <v>2020-1838</v>
      </c>
      <c r="C7601" s="1" t="s">
        <v>2937</v>
      </c>
      <c r="D7601" s="1" t="s">
        <v>2938</v>
      </c>
      <c r="E7601" s="1" t="str">
        <f>""</f>
        <v/>
      </c>
      <c r="F7601" s="1" t="s">
        <v>1860</v>
      </c>
      <c r="G7601" s="1" t="str">
        <f>CONCATENATE(" SERVIS I TRGOVINADOBRENIĆ,"," DR.ANDRIJE ŠTAMPARA 27,"," 10410 VELIKA GORICA,"," OIB: 02633117062")</f>
        <v xml:space="preserve"> SERVIS I TRGOVINADOBRENIĆ, DR.ANDRIJE ŠTAMPARA 27, 10410 VELIKA GORICA, OIB: 02633117062</v>
      </c>
      <c r="H7601" s="7"/>
      <c r="I7601" s="8" t="s">
        <v>5456</v>
      </c>
      <c r="J7601" s="8" t="s">
        <v>1146</v>
      </c>
      <c r="K7601" s="6" t="str">
        <f>"89.196,80"</f>
        <v>89.196,80</v>
      </c>
      <c r="L7601" s="6" t="str">
        <f>"22.299,20"</f>
        <v>22.299,20</v>
      </c>
      <c r="M7601" s="6" t="str">
        <f>"111.496,00"</f>
        <v>111.496,00</v>
      </c>
      <c r="N7601" s="8" t="s">
        <v>1350</v>
      </c>
      <c r="O7601" s="7"/>
      <c r="P7601" s="2" t="s">
        <v>9212</v>
      </c>
      <c r="Q7601" s="7"/>
      <c r="R7601" s="1"/>
      <c r="S7601" s="1" t="str">
        <f>"J-UN-2020-2968"</f>
        <v>J-UN-2020-2968</v>
      </c>
      <c r="T7601" s="1" t="s">
        <v>32</v>
      </c>
    </row>
    <row r="7602" spans="1:20" ht="51" x14ac:dyDescent="0.25">
      <c r="A7602" s="6">
        <v>7572</v>
      </c>
      <c r="B7602" s="1" t="str">
        <f>"2020-2983"</f>
        <v>2020-2983</v>
      </c>
      <c r="C7602" s="1" t="s">
        <v>5568</v>
      </c>
      <c r="D7602" s="1" t="s">
        <v>1865</v>
      </c>
      <c r="E7602" s="1" t="str">
        <f>""</f>
        <v/>
      </c>
      <c r="F7602" s="1" t="s">
        <v>1860</v>
      </c>
      <c r="G7602" s="1" t="str">
        <f>CONCATENATE(" XL PROMOPLAKAT D.O.O.,"," UNSKA 2c,"," 10000 ZAGREB,"," OIB: 41606596575")</f>
        <v xml:space="preserve"> XL PROMOPLAKAT D.O.O., UNSKA 2c, 10000 ZAGREB, OIB: 41606596575</v>
      </c>
      <c r="H7602" s="7"/>
      <c r="I7602" s="8" t="s">
        <v>4319</v>
      </c>
      <c r="J7602" s="8" t="s">
        <v>5406</v>
      </c>
      <c r="K7602" s="6" t="str">
        <f>"30.000,00"</f>
        <v>30.000,00</v>
      </c>
      <c r="L7602" s="6" t="str">
        <f>"7.500,00"</f>
        <v>7.500,00</v>
      </c>
      <c r="M7602" s="6" t="str">
        <f>"37.500,00"</f>
        <v>37.500,00</v>
      </c>
      <c r="N7602" s="8" t="s">
        <v>124</v>
      </c>
      <c r="O7602" s="7"/>
      <c r="P7602" s="2" t="s">
        <v>5614</v>
      </c>
      <c r="Q7602" s="7"/>
      <c r="R7602" s="1"/>
      <c r="S7602" s="1" t="str">
        <f>"J-UN-2020-2985"</f>
        <v>J-UN-2020-2985</v>
      </c>
      <c r="T7602" s="1" t="s">
        <v>32</v>
      </c>
    </row>
    <row r="7603" spans="1:20" ht="38.25" x14ac:dyDescent="0.25">
      <c r="A7603" s="6">
        <v>7573</v>
      </c>
      <c r="B7603" s="1" t="str">
        <f>"2020-1148"</f>
        <v>2020-1148</v>
      </c>
      <c r="C7603" s="1" t="s">
        <v>2672</v>
      </c>
      <c r="D7603" s="1" t="s">
        <v>2673</v>
      </c>
      <c r="E7603" s="1" t="str">
        <f>""</f>
        <v/>
      </c>
      <c r="F7603" s="1" t="s">
        <v>1860</v>
      </c>
      <c r="G7603" s="1" t="str">
        <f>CONCATENATE(" VIZURA D.O.O.,"," STARČA 6,"," 10250 LUČKO,"," OIB: 42813710713")</f>
        <v xml:space="preserve"> VIZURA D.O.O., STARČA 6, 10250 LUČKO, OIB: 42813710713</v>
      </c>
      <c r="H7603" s="7"/>
      <c r="I7603" s="8" t="s">
        <v>4319</v>
      </c>
      <c r="J7603" s="8" t="s">
        <v>5406</v>
      </c>
      <c r="K7603" s="6" t="str">
        <f>"1.311,24"</f>
        <v>1.311,24</v>
      </c>
      <c r="L7603" s="6" t="str">
        <f>"327,81"</f>
        <v>327,81</v>
      </c>
      <c r="M7603" s="6" t="str">
        <f>"1.639,05"</f>
        <v>1.639,05</v>
      </c>
      <c r="N7603" s="8" t="s">
        <v>124</v>
      </c>
      <c r="O7603" s="7"/>
      <c r="P7603" s="2" t="s">
        <v>5614</v>
      </c>
      <c r="Q7603" s="7"/>
      <c r="R7603" s="1"/>
      <c r="S7603" s="1" t="str">
        <f>"J-UN-2020-3003"</f>
        <v>J-UN-2020-3003</v>
      </c>
      <c r="T7603" s="1" t="s">
        <v>32</v>
      </c>
    </row>
    <row r="7604" spans="1:20" ht="63.75" x14ac:dyDescent="0.25">
      <c r="A7604" s="6">
        <v>7574</v>
      </c>
      <c r="B7604" s="1" t="str">
        <f>"2020-2656"</f>
        <v>2020-2656</v>
      </c>
      <c r="C7604" s="1" t="s">
        <v>2534</v>
      </c>
      <c r="D7604" s="1" t="s">
        <v>2535</v>
      </c>
      <c r="E7604" s="1" t="str">
        <f>""</f>
        <v/>
      </c>
      <c r="F7604" s="1" t="s">
        <v>1860</v>
      </c>
      <c r="G7604" s="1" t="str">
        <f>CONCATENATE(" JULIUS MEINL BONFANTI D.O.O.,"," LJUBLJANSKA ULICA 4,"," 10431 SVETA NEDELJA,"," OIB: 39546130894")</f>
        <v xml:space="preserve"> JULIUS MEINL BONFANTI D.O.O., LJUBLJANSKA ULICA 4, 10431 SVETA NEDELJA, OIB: 39546130894</v>
      </c>
      <c r="H7604" s="7"/>
      <c r="I7604" s="8" t="s">
        <v>4460</v>
      </c>
      <c r="J7604" s="8" t="s">
        <v>4067</v>
      </c>
      <c r="K7604" s="6" t="str">
        <f>"5.476,00"</f>
        <v>5.476,00</v>
      </c>
      <c r="L7604" s="6" t="str">
        <f>"1.369,00"</f>
        <v>1.369,00</v>
      </c>
      <c r="M7604" s="6" t="str">
        <f>"6.845,00"</f>
        <v>6.845,00</v>
      </c>
      <c r="N7604" s="8" t="s">
        <v>2090</v>
      </c>
      <c r="O7604" s="7"/>
      <c r="P7604" s="2" t="s">
        <v>9213</v>
      </c>
      <c r="Q7604" s="1"/>
      <c r="R7604" s="1"/>
      <c r="S7604" s="1" t="str">
        <f>"J-UN-2020-3011"</f>
        <v>J-UN-2020-3011</v>
      </c>
      <c r="T7604" s="1" t="s">
        <v>32</v>
      </c>
    </row>
    <row r="7605" spans="1:20" ht="51" x14ac:dyDescent="0.25">
      <c r="A7605" s="6">
        <v>7575</v>
      </c>
      <c r="B7605" s="1" t="str">
        <f>"2020-1594"</f>
        <v>2020-1594</v>
      </c>
      <c r="C7605" s="1" t="s">
        <v>5569</v>
      </c>
      <c r="D7605" s="1" t="s">
        <v>2241</v>
      </c>
      <c r="E7605" s="1" t="str">
        <f>""</f>
        <v/>
      </c>
      <c r="F7605" s="1" t="s">
        <v>1860</v>
      </c>
      <c r="G7605" s="1" t="str">
        <f>CONCATENATE(" VIATOR D.O.O.,"," KRALJA DRŽISLAVA 6,"," 21000 SPLIT,"," OIB: 6473171712")</f>
        <v xml:space="preserve"> VIATOR D.O.O., KRALJA DRŽISLAVA 6, 21000 SPLIT, OIB: 6473171712</v>
      </c>
      <c r="H7605" s="7"/>
      <c r="I7605" s="8" t="s">
        <v>4067</v>
      </c>
      <c r="J7605" s="8" t="s">
        <v>5139</v>
      </c>
      <c r="K7605" s="6" t="str">
        <f>"4.500,00"</f>
        <v>4.500,00</v>
      </c>
      <c r="L7605" s="6" t="str">
        <f>"1.125,00"</f>
        <v>1.125,00</v>
      </c>
      <c r="M7605" s="6" t="str">
        <f>"5.625,00"</f>
        <v>5.625,00</v>
      </c>
      <c r="N7605" s="8" t="s">
        <v>124</v>
      </c>
      <c r="O7605" s="7"/>
      <c r="P7605" s="2" t="s">
        <v>5614</v>
      </c>
      <c r="Q7605" s="7"/>
      <c r="R7605" s="1"/>
      <c r="S7605" s="1" t="str">
        <f>"J-UN-2020-3016"</f>
        <v>J-UN-2020-3016</v>
      </c>
      <c r="T7605" s="1" t="s">
        <v>1055</v>
      </c>
    </row>
    <row r="7606" spans="1:20" ht="89.25" x14ac:dyDescent="0.25">
      <c r="A7606" s="6">
        <v>7576</v>
      </c>
      <c r="B7606" s="1" t="str">
        <f>"2020-607"</f>
        <v>2020-607</v>
      </c>
      <c r="C7606" s="1" t="s">
        <v>2553</v>
      </c>
      <c r="D7606" s="1" t="s">
        <v>2554</v>
      </c>
      <c r="E7606" s="1" t="str">
        <f>""</f>
        <v/>
      </c>
      <c r="F7606" s="1" t="s">
        <v>1860</v>
      </c>
      <c r="G7606" s="1" t="str">
        <f>CONCATENATE(" FOTO TVORNICA,"," OBRT ZA FOTOGRAFSKE DJELATNOSTI,"," VL. ŽEMINEA ČOTRIĆ,"," PUT MURATA 1B,"," 23000 ZADAR,"," OIB: 70503053543")</f>
        <v xml:space="preserve"> FOTO TVORNICA, OBRT ZA FOTOGRAFSKE DJELATNOSTI, VL. ŽEMINEA ČOTRIĆ, PUT MURATA 1B, 23000 ZADAR, OIB: 70503053543</v>
      </c>
      <c r="H7606" s="7"/>
      <c r="I7606" s="8" t="s">
        <v>5139</v>
      </c>
      <c r="J7606" s="8" t="s">
        <v>1115</v>
      </c>
      <c r="K7606" s="6" t="str">
        <f>"10.000,00"</f>
        <v>10.000,00</v>
      </c>
      <c r="L7606" s="6" t="str">
        <f>"2.500,00"</f>
        <v>2.500,00</v>
      </c>
      <c r="M7606" s="6" t="str">
        <f>"12.500,00"</f>
        <v>12.500,00</v>
      </c>
      <c r="N7606" s="8" t="s">
        <v>124</v>
      </c>
      <c r="O7606" s="7"/>
      <c r="P7606" s="2" t="s">
        <v>5614</v>
      </c>
      <c r="Q7606" s="7"/>
      <c r="R7606" s="1"/>
      <c r="S7606" s="1" t="str">
        <f>"J-UN-2020-3026"</f>
        <v>J-UN-2020-3026</v>
      </c>
      <c r="T7606" s="1" t="s">
        <v>32</v>
      </c>
    </row>
    <row r="7607" spans="1:20" ht="51" x14ac:dyDescent="0.25">
      <c r="A7607" s="6">
        <v>7577</v>
      </c>
      <c r="B7607" s="1" t="str">
        <f>"2020-2419"</f>
        <v>2020-2419</v>
      </c>
      <c r="C7607" s="1" t="s">
        <v>2866</v>
      </c>
      <c r="D7607" s="1" t="s">
        <v>2867</v>
      </c>
      <c r="E7607" s="1" t="str">
        <f>""</f>
        <v/>
      </c>
      <c r="F7607" s="1" t="s">
        <v>1860</v>
      </c>
      <c r="G7607" s="1" t="str">
        <f>CONCATENATE(" DOBRO RJEŠENJE D.O.O.,"," ZAVRTNICA 3,"," 10000 ZAGREB,"," OIB: 33104804103")</f>
        <v xml:space="preserve"> DOBRO RJEŠENJE D.O.O., ZAVRTNICA 3, 10000 ZAGREB, OIB: 33104804103</v>
      </c>
      <c r="H7607" s="7"/>
      <c r="I7607" s="8" t="s">
        <v>4711</v>
      </c>
      <c r="J7607" s="8" t="s">
        <v>1213</v>
      </c>
      <c r="K7607" s="6" t="str">
        <f>"169.891,00"</f>
        <v>169.891,00</v>
      </c>
      <c r="L7607" s="6" t="str">
        <f>"42.472,75"</f>
        <v>42.472,75</v>
      </c>
      <c r="M7607" s="6" t="str">
        <f>"212.363,75"</f>
        <v>212.363,75</v>
      </c>
      <c r="N7607" s="8" t="s">
        <v>919</v>
      </c>
      <c r="O7607" s="7"/>
      <c r="P7607" s="2" t="s">
        <v>9214</v>
      </c>
      <c r="Q7607" s="7"/>
      <c r="R7607" s="1"/>
      <c r="S7607" s="1" t="str">
        <f>"J-UN-2020-3042"</f>
        <v>J-UN-2020-3042</v>
      </c>
      <c r="T7607" s="1" t="s">
        <v>32</v>
      </c>
    </row>
    <row r="7608" spans="1:20" ht="51" x14ac:dyDescent="0.25">
      <c r="A7608" s="6">
        <v>7578</v>
      </c>
      <c r="B7608" s="1" t="str">
        <f>"2020-1148"</f>
        <v>2020-1148</v>
      </c>
      <c r="C7608" s="1" t="s">
        <v>2672</v>
      </c>
      <c r="D7608" s="1" t="s">
        <v>2673</v>
      </c>
      <c r="E7608" s="1" t="str">
        <f>""</f>
        <v/>
      </c>
      <c r="F7608" s="1" t="s">
        <v>1860</v>
      </c>
      <c r="G7608" s="1" t="str">
        <f>CONCATENATE(" ROSIP D.O.O.,"," DR. M. ROJCA 24,"," 10000 ZAGREB,"," OIB: 89811416156")</f>
        <v xml:space="preserve"> ROSIP D.O.O., DR. M. ROJCA 24, 10000 ZAGREB, OIB: 89811416156</v>
      </c>
      <c r="H7608" s="7"/>
      <c r="I7608" s="8" t="s">
        <v>4460</v>
      </c>
      <c r="J7608" s="8" t="s">
        <v>4067</v>
      </c>
      <c r="K7608" s="6" t="str">
        <f>"1.190,00"</f>
        <v>1.190,00</v>
      </c>
      <c r="L7608" s="6" t="str">
        <f>"297,50"</f>
        <v>297,50</v>
      </c>
      <c r="M7608" s="6" t="str">
        <f>"1.487,50"</f>
        <v>1.487,50</v>
      </c>
      <c r="N7608" s="8" t="s">
        <v>124</v>
      </c>
      <c r="O7608" s="7"/>
      <c r="P7608" s="2" t="s">
        <v>5614</v>
      </c>
      <c r="Q7608" s="7"/>
      <c r="R7608" s="1"/>
      <c r="S7608" s="1" t="str">
        <f>"J-UN-2020-3049"</f>
        <v>J-UN-2020-3049</v>
      </c>
      <c r="T7608" s="1" t="s">
        <v>32</v>
      </c>
    </row>
    <row r="7609" spans="1:20" ht="51" x14ac:dyDescent="0.25">
      <c r="A7609" s="6">
        <v>7579</v>
      </c>
      <c r="B7609" s="1" t="str">
        <f>"2020-2308"</f>
        <v>2020-2308</v>
      </c>
      <c r="C7609" s="1" t="s">
        <v>2711</v>
      </c>
      <c r="D7609" s="1" t="s">
        <v>1914</v>
      </c>
      <c r="E7609" s="1" t="str">
        <f>""</f>
        <v/>
      </c>
      <c r="F7609" s="1" t="s">
        <v>1860</v>
      </c>
      <c r="G7609" s="1" t="str">
        <f>CONCATENATE(" TRGOVINA KRK D.D.,"," DUBAŠLJANSKA 80,"," 51511 MALINSKA,"," OIB: 66548420466")</f>
        <v xml:space="preserve"> TRGOVINA KRK D.D., DUBAŠLJANSKA 80, 51511 MALINSKA, OIB: 66548420466</v>
      </c>
      <c r="H7609" s="7"/>
      <c r="I7609" s="8" t="s">
        <v>4067</v>
      </c>
      <c r="J7609" s="8" t="s">
        <v>5139</v>
      </c>
      <c r="K7609" s="6" t="str">
        <f>"2.664,84"</f>
        <v>2.664,84</v>
      </c>
      <c r="L7609" s="6" t="str">
        <f>"666,21"</f>
        <v>666,21</v>
      </c>
      <c r="M7609" s="6" t="str">
        <f>"3.331,05"</f>
        <v>3.331,05</v>
      </c>
      <c r="N7609" s="8" t="s">
        <v>124</v>
      </c>
      <c r="O7609" s="7"/>
      <c r="P7609" s="2" t="s">
        <v>5614</v>
      </c>
      <c r="Q7609" s="7"/>
      <c r="R7609" s="1"/>
      <c r="S7609" s="1" t="str">
        <f>"J-UN-2020-3055"</f>
        <v>J-UN-2020-3055</v>
      </c>
      <c r="T7609" s="1" t="s">
        <v>32</v>
      </c>
    </row>
    <row r="7610" spans="1:20" ht="63.75" x14ac:dyDescent="0.25">
      <c r="A7610" s="6">
        <v>7580</v>
      </c>
      <c r="B7610" s="1" t="str">
        <f>"2020-606"</f>
        <v>2020-606</v>
      </c>
      <c r="C7610" s="1" t="s">
        <v>2572</v>
      </c>
      <c r="D7610" s="1" t="s">
        <v>2573</v>
      </c>
      <c r="E7610" s="1" t="str">
        <f>""</f>
        <v/>
      </c>
      <c r="F7610" s="1" t="s">
        <v>1860</v>
      </c>
      <c r="G7610" s="1" t="str">
        <f>CONCATENATE(" MASTER CENTAR D.O.O.,"," PRILAZ IVANA VISINA 7,"," 10000 ZAGREB,"," OIB: 00728224699")</f>
        <v xml:space="preserve"> MASTER CENTAR D.O.O., PRILAZ IVANA VISINA 7, 10000 ZAGREB, OIB: 00728224699</v>
      </c>
      <c r="H7610" s="7"/>
      <c r="I7610" s="8" t="s">
        <v>5456</v>
      </c>
      <c r="J7610" s="8" t="s">
        <v>4711</v>
      </c>
      <c r="K7610" s="6" t="str">
        <f>"6.500,00"</f>
        <v>6.500,00</v>
      </c>
      <c r="L7610" s="6" t="str">
        <f>"1.625,00"</f>
        <v>1.625,00</v>
      </c>
      <c r="M7610" s="6" t="str">
        <f>"8.125,00"</f>
        <v>8.125,00</v>
      </c>
      <c r="N7610" s="8" t="s">
        <v>124</v>
      </c>
      <c r="O7610" s="7"/>
      <c r="P7610" s="2" t="s">
        <v>5614</v>
      </c>
      <c r="Q7610" s="7"/>
      <c r="R7610" s="1"/>
      <c r="S7610" s="1" t="str">
        <f>"J-UN-2020-3064"</f>
        <v>J-UN-2020-3064</v>
      </c>
      <c r="T7610" s="1" t="s">
        <v>32</v>
      </c>
    </row>
    <row r="7611" spans="1:20" ht="51" x14ac:dyDescent="0.25">
      <c r="A7611" s="6">
        <v>7581</v>
      </c>
      <c r="B7611" s="1" t="str">
        <f>"2020-2305"</f>
        <v>2020-2305</v>
      </c>
      <c r="C7611" s="1" t="s">
        <v>2483</v>
      </c>
      <c r="D7611" s="1" t="s">
        <v>2484</v>
      </c>
      <c r="E7611" s="1" t="str">
        <f>""</f>
        <v/>
      </c>
      <c r="F7611" s="1" t="s">
        <v>1860</v>
      </c>
      <c r="G7611" s="1" t="str">
        <f>CONCATENATE(" PRESSCUT D.O.O.,"," DOMAGOJEVA 2,"," 10000 ZAGREB,"," OIB: 34672089688")</f>
        <v xml:space="preserve"> PRESSCUT D.O.O., DOMAGOJEVA 2, 10000 ZAGREB, OIB: 34672089688</v>
      </c>
      <c r="H7611" s="7"/>
      <c r="I7611" s="8" t="s">
        <v>4711</v>
      </c>
      <c r="J7611" s="8" t="s">
        <v>5570</v>
      </c>
      <c r="K7611" s="6" t="str">
        <f>"59.484,00"</f>
        <v>59.484,00</v>
      </c>
      <c r="L7611" s="6" t="str">
        <f>"14.871,00"</f>
        <v>14.871,00</v>
      </c>
      <c r="M7611" s="6" t="str">
        <f>"74.355,00"</f>
        <v>74.355,00</v>
      </c>
      <c r="N7611" s="8" t="s">
        <v>2310</v>
      </c>
      <c r="O7611" s="7"/>
      <c r="P7611" s="2" t="s">
        <v>9215</v>
      </c>
      <c r="Q7611" s="7"/>
      <c r="R7611" s="1"/>
      <c r="S7611" s="1" t="str">
        <f>"J-UN-2020-3084"</f>
        <v>J-UN-2020-3084</v>
      </c>
      <c r="T7611" s="1" t="s">
        <v>32</v>
      </c>
    </row>
    <row r="7612" spans="1:20" ht="51" x14ac:dyDescent="0.25">
      <c r="A7612" s="6">
        <v>7582</v>
      </c>
      <c r="B7612" s="1" t="str">
        <f>"2020-2305"</f>
        <v>2020-2305</v>
      </c>
      <c r="C7612" s="1" t="s">
        <v>2483</v>
      </c>
      <c r="D7612" s="1" t="s">
        <v>2484</v>
      </c>
      <c r="E7612" s="1" t="str">
        <f>""</f>
        <v/>
      </c>
      <c r="F7612" s="1" t="s">
        <v>1860</v>
      </c>
      <c r="G7612" s="1" t="str">
        <f>CONCATENATE(" PRESSCUT D.O.O.,"," DOMAGOJEVA 2,"," 10000 ZAGREB,"," OIB: 34672089688")</f>
        <v xml:space="preserve"> PRESSCUT D.O.O., DOMAGOJEVA 2, 10000 ZAGREB, OIB: 34672089688</v>
      </c>
      <c r="H7612" s="7"/>
      <c r="I7612" s="8" t="s">
        <v>4711</v>
      </c>
      <c r="J7612" s="8" t="s">
        <v>5570</v>
      </c>
      <c r="K7612" s="6" t="str">
        <f>"22.440,00"</f>
        <v>22.440,00</v>
      </c>
      <c r="L7612" s="6" t="str">
        <f>"5.610,00"</f>
        <v>5.610,00</v>
      </c>
      <c r="M7612" s="6" t="str">
        <f>"28.050,00"</f>
        <v>28.050,00</v>
      </c>
      <c r="N7612" s="8" t="s">
        <v>5557</v>
      </c>
      <c r="O7612" s="7"/>
      <c r="P7612" s="2" t="s">
        <v>9216</v>
      </c>
      <c r="Q7612" s="7"/>
      <c r="R7612" s="1"/>
      <c r="S7612" s="1" t="str">
        <f>"J-UN-2020-3085"</f>
        <v>J-UN-2020-3085</v>
      </c>
      <c r="T7612" s="1" t="s">
        <v>32</v>
      </c>
    </row>
    <row r="7613" spans="1:20" ht="76.5" x14ac:dyDescent="0.25">
      <c r="A7613" s="6">
        <v>7583</v>
      </c>
      <c r="B7613" s="1" t="str">
        <f>"2020-318"</f>
        <v>2020-318</v>
      </c>
      <c r="C7613" s="1" t="s">
        <v>2563</v>
      </c>
      <c r="D7613" s="1" t="s">
        <v>914</v>
      </c>
      <c r="E7613" s="1" t="str">
        <f>""</f>
        <v/>
      </c>
      <c r="F7613" s="1" t="s">
        <v>1860</v>
      </c>
      <c r="G7613" s="1" t="str">
        <f>CONCATENATE(" TOMI,"," VL. TOMICA FERENČAK,"," PRIJEPOLJSKA 43,"," 10040 ZAGREB-DUBRAVA,"," OIB: 44902049089")</f>
        <v xml:space="preserve"> TOMI, VL. TOMICA FERENČAK, PRIJEPOLJSKA 43, 10040 ZAGREB-DUBRAVA, OIB: 44902049089</v>
      </c>
      <c r="H7613" s="7"/>
      <c r="I7613" s="8" t="s">
        <v>1115</v>
      </c>
      <c r="J7613" s="8" t="s">
        <v>5456</v>
      </c>
      <c r="K7613" s="6" t="str">
        <f>"2.500,00"</f>
        <v>2.500,00</v>
      </c>
      <c r="L7613" s="6" t="str">
        <f>"625,00"</f>
        <v>625,00</v>
      </c>
      <c r="M7613" s="6" t="str">
        <f>"3.125,00"</f>
        <v>3.125,00</v>
      </c>
      <c r="N7613" s="8" t="s">
        <v>124</v>
      </c>
      <c r="O7613" s="7"/>
      <c r="P7613" s="2" t="s">
        <v>5614</v>
      </c>
      <c r="Q7613" s="7"/>
      <c r="R7613" s="1"/>
      <c r="S7613" s="1" t="str">
        <f>"J-UN-2020-3090"</f>
        <v>J-UN-2020-3090</v>
      </c>
      <c r="T7613" s="1" t="s">
        <v>32</v>
      </c>
    </row>
    <row r="7614" spans="1:20" ht="51" x14ac:dyDescent="0.25">
      <c r="A7614" s="6">
        <v>7584</v>
      </c>
      <c r="B7614" s="1" t="str">
        <f>"2020-2593"</f>
        <v>2020-2593</v>
      </c>
      <c r="C7614" s="1" t="s">
        <v>2942</v>
      </c>
      <c r="D7614" s="1" t="s">
        <v>547</v>
      </c>
      <c r="E7614" s="1" t="str">
        <f>""</f>
        <v/>
      </c>
      <c r="F7614" s="1" t="s">
        <v>1860</v>
      </c>
      <c r="G7614" s="1" t="str">
        <f>CONCATENATE(" GIP PIONIR D.O.O.,"," ZAGREBAČKA 145B,"," 10000 ZAGREB,"," OIB: 38262788673")</f>
        <v xml:space="preserve"> GIP PIONIR D.O.O., ZAGREBAČKA 145B, 10000 ZAGREB, OIB: 38262788673</v>
      </c>
      <c r="H7614" s="7"/>
      <c r="I7614" s="8" t="s">
        <v>1199</v>
      </c>
      <c r="J7614" s="8" t="s">
        <v>1275</v>
      </c>
      <c r="K7614" s="6" t="str">
        <f>"195.000,00"</f>
        <v>195.000,00</v>
      </c>
      <c r="L7614" s="6" t="str">
        <f>"48.750,00"</f>
        <v>48.750,00</v>
      </c>
      <c r="M7614" s="6" t="str">
        <f>"243.750,00"</f>
        <v>243.750,00</v>
      </c>
      <c r="N7614" s="8" t="s">
        <v>2568</v>
      </c>
      <c r="O7614" s="7"/>
      <c r="P7614" s="2" t="s">
        <v>9217</v>
      </c>
      <c r="Q7614" s="7"/>
      <c r="R7614" s="1"/>
      <c r="S7614" s="1" t="str">
        <f>"J-UN-2020-3095"</f>
        <v>J-UN-2020-3095</v>
      </c>
      <c r="T7614" s="1" t="s">
        <v>32</v>
      </c>
    </row>
    <row r="7615" spans="1:20" ht="63.75" x14ac:dyDescent="0.25">
      <c r="A7615" s="6">
        <v>7585</v>
      </c>
      <c r="B7615" s="1" t="str">
        <f>"2020-1878"</f>
        <v>2020-1878</v>
      </c>
      <c r="C7615" s="1" t="s">
        <v>2839</v>
      </c>
      <c r="D7615" s="1" t="s">
        <v>2716</v>
      </c>
      <c r="E7615" s="1" t="str">
        <f>""</f>
        <v/>
      </c>
      <c r="F7615" s="1" t="s">
        <v>1860</v>
      </c>
      <c r="G7615" s="1" t="str">
        <f>CONCATENATE(" GRA-PO D.O.O.,"," GOSPODARSKA 5B,"," 10255 ZAGREB - STUPNIK,"," OIB: 05364995085")</f>
        <v xml:space="preserve"> GRA-PO D.O.O., GOSPODARSKA 5B, 10255 ZAGREB - STUPNIK, OIB: 05364995085</v>
      </c>
      <c r="H7615" s="7"/>
      <c r="I7615" s="8" t="s">
        <v>4711</v>
      </c>
      <c r="J7615" s="8" t="s">
        <v>1146</v>
      </c>
      <c r="K7615" s="6" t="str">
        <f>"26.030,00"</f>
        <v>26.030,00</v>
      </c>
      <c r="L7615" s="6" t="str">
        <f>"6.507,50"</f>
        <v>6.507,50</v>
      </c>
      <c r="M7615" s="6" t="str">
        <f>"32.537,50"</f>
        <v>32.537,50</v>
      </c>
      <c r="N7615" s="8" t="s">
        <v>1204</v>
      </c>
      <c r="O7615" s="7"/>
      <c r="P7615" s="2" t="s">
        <v>9218</v>
      </c>
      <c r="Q7615" s="7"/>
      <c r="R7615" s="1"/>
      <c r="S7615" s="1" t="str">
        <f>"J-UN-2020-3131"</f>
        <v>J-UN-2020-3131</v>
      </c>
      <c r="T7615" s="1" t="s">
        <v>32</v>
      </c>
    </row>
    <row r="7616" spans="1:20" ht="51" x14ac:dyDescent="0.25">
      <c r="A7616" s="6">
        <v>7586</v>
      </c>
      <c r="B7616" s="1" t="str">
        <f>"2020-608"</f>
        <v>2020-608</v>
      </c>
      <c r="C7616" s="1" t="s">
        <v>2734</v>
      </c>
      <c r="D7616" s="1" t="s">
        <v>2735</v>
      </c>
      <c r="E7616" s="1" t="str">
        <f>""</f>
        <v/>
      </c>
      <c r="F7616" s="1" t="s">
        <v>1860</v>
      </c>
      <c r="G7616" s="1" t="str">
        <f>CONCATENATE(" ARBORI CULTURA D.O.O.,"," POKUPSKO 86,"," 10414 POKUPSKO,"," OIB: 16690651659")</f>
        <v xml:space="preserve"> ARBORI CULTURA D.O.O., POKUPSKO 86, 10414 POKUPSKO, OIB: 16690651659</v>
      </c>
      <c r="H7616" s="7"/>
      <c r="I7616" s="8" t="s">
        <v>4247</v>
      </c>
      <c r="J7616" s="8" t="s">
        <v>4411</v>
      </c>
      <c r="K7616" s="6" t="str">
        <f>"5.454,80"</f>
        <v>5.454,80</v>
      </c>
      <c r="L7616" s="6" t="str">
        <f>"1.363,70"</f>
        <v>1.363,70</v>
      </c>
      <c r="M7616" s="6" t="str">
        <f>"6.818,50"</f>
        <v>6.818,50</v>
      </c>
      <c r="N7616" s="8" t="s">
        <v>124</v>
      </c>
      <c r="O7616" s="7"/>
      <c r="P7616" s="2" t="s">
        <v>5614</v>
      </c>
      <c r="Q7616" s="7"/>
      <c r="R7616" s="1"/>
      <c r="S7616" s="1" t="str">
        <f>"J-UN-2020-3138"</f>
        <v>J-UN-2020-3138</v>
      </c>
      <c r="T7616" s="1" t="s">
        <v>32</v>
      </c>
    </row>
    <row r="7617" spans="1:20" ht="76.5" x14ac:dyDescent="0.25">
      <c r="A7617" s="6">
        <v>7587</v>
      </c>
      <c r="B7617" s="1" t="str">
        <f>"2020-2892"</f>
        <v>2020-2892</v>
      </c>
      <c r="C7617" s="1" t="s">
        <v>2892</v>
      </c>
      <c r="D7617" s="1" t="s">
        <v>1627</v>
      </c>
      <c r="E7617" s="1" t="str">
        <f>""</f>
        <v/>
      </c>
      <c r="F7617" s="1" t="s">
        <v>1860</v>
      </c>
      <c r="G7617" s="1" t="str">
        <f>CONCATENATE(" ELICOM D.O.O.,"," ŠTEFANOVEC 138,"," 10000 ZAGREB,"," OIB: 76370234816")</f>
        <v xml:space="preserve"> ELICOM D.O.O., ŠTEFANOVEC 138, 10000 ZAGREB, OIB: 76370234816</v>
      </c>
      <c r="H7617" s="7"/>
      <c r="I7617" s="8" t="s">
        <v>4711</v>
      </c>
      <c r="J7617" s="8" t="s">
        <v>1146</v>
      </c>
      <c r="K7617" s="6" t="str">
        <f>"98.169,65"</f>
        <v>98.169,65</v>
      </c>
      <c r="L7617" s="6" t="str">
        <f>"24.542,41"</f>
        <v>24.542,41</v>
      </c>
      <c r="M7617" s="6" t="str">
        <f>"122.712,06"</f>
        <v>122.712,06</v>
      </c>
      <c r="N7617" s="8" t="s">
        <v>126</v>
      </c>
      <c r="O7617" s="7"/>
      <c r="P7617" s="2" t="s">
        <v>9219</v>
      </c>
      <c r="Q7617" s="7"/>
      <c r="R7617" s="1"/>
      <c r="S7617" s="1" t="str">
        <f>"J-UN-2020-3142"</f>
        <v>J-UN-2020-3142</v>
      </c>
      <c r="T7617" s="1" t="s">
        <v>32</v>
      </c>
    </row>
    <row r="7618" spans="1:20" ht="63.75" x14ac:dyDescent="0.25">
      <c r="A7618" s="6">
        <v>7588</v>
      </c>
      <c r="B7618" s="1" t="str">
        <f>"2020-683"</f>
        <v>2020-683</v>
      </c>
      <c r="C7618" s="1" t="s">
        <v>2799</v>
      </c>
      <c r="D7618" s="1" t="s">
        <v>794</v>
      </c>
      <c r="E7618" s="1" t="str">
        <f>""</f>
        <v/>
      </c>
      <c r="F7618" s="1" t="s">
        <v>1860</v>
      </c>
      <c r="G7618" s="1" t="str">
        <f>CONCATENATE(" KONTROLING KOGNOSKO D.O.O.,"," JARUŠČICA 1E,"," 10000 ZAGREB,"," OIB: 21353746909")</f>
        <v xml:space="preserve"> KONTROLING KOGNOSKO D.O.O., JARUŠČICA 1E, 10000 ZAGREB, OIB: 21353746909</v>
      </c>
      <c r="H7618" s="7"/>
      <c r="I7618" s="8" t="s">
        <v>4711</v>
      </c>
      <c r="J7618" s="8" t="s">
        <v>1146</v>
      </c>
      <c r="K7618" s="6" t="str">
        <f>"7.269,16"</f>
        <v>7.269,16</v>
      </c>
      <c r="L7618" s="6" t="str">
        <f>"1.817,29"</f>
        <v>1.817,29</v>
      </c>
      <c r="M7618" s="6" t="str">
        <f>"9.086,45"</f>
        <v>9.086,45</v>
      </c>
      <c r="N7618" s="8" t="s">
        <v>124</v>
      </c>
      <c r="O7618" s="7"/>
      <c r="P7618" s="2" t="s">
        <v>5614</v>
      </c>
      <c r="Q7618" s="7"/>
      <c r="R7618" s="1"/>
      <c r="S7618" s="1" t="str">
        <f>"J-UN-2020-3145"</f>
        <v>J-UN-2020-3145</v>
      </c>
      <c r="T7618" s="1" t="s">
        <v>32</v>
      </c>
    </row>
    <row r="7619" spans="1:20" ht="51" x14ac:dyDescent="0.25">
      <c r="A7619" s="6">
        <v>7589</v>
      </c>
      <c r="B7619" s="1" t="str">
        <f>"2020-276"</f>
        <v>2020-276</v>
      </c>
      <c r="C7619" s="1" t="s">
        <v>5571</v>
      </c>
      <c r="D7619" s="1" t="s">
        <v>694</v>
      </c>
      <c r="E7619" s="1" t="str">
        <f>""</f>
        <v/>
      </c>
      <c r="F7619" s="1" t="s">
        <v>1860</v>
      </c>
      <c r="G7619" s="1" t="str">
        <f>CONCATENATE(" COMBIS D.O.O.,"," RADNIČKA CESTA 21,"," 10000 ZAGREB,"," OIB: 91678676896")</f>
        <v xml:space="preserve"> COMBIS D.O.O., RADNIČKA CESTA 21, 10000 ZAGREB, OIB: 91678676896</v>
      </c>
      <c r="H7619" s="7"/>
      <c r="I7619" s="8" t="s">
        <v>4711</v>
      </c>
      <c r="J7619" s="8" t="s">
        <v>1146</v>
      </c>
      <c r="K7619" s="6" t="str">
        <f>"35.080,22"</f>
        <v>35.080,22</v>
      </c>
      <c r="L7619" s="6" t="str">
        <f>"8.770,06"</f>
        <v>8.770,06</v>
      </c>
      <c r="M7619" s="6" t="str">
        <f>"43.850,28"</f>
        <v>43.850,28</v>
      </c>
      <c r="N7619" s="8" t="s">
        <v>124</v>
      </c>
      <c r="O7619" s="7"/>
      <c r="P7619" s="2" t="s">
        <v>5614</v>
      </c>
      <c r="Q7619" s="7"/>
      <c r="R7619" s="1"/>
      <c r="S7619" s="1" t="str">
        <f>"J-UN-2020-3148"</f>
        <v>J-UN-2020-3148</v>
      </c>
      <c r="T7619" s="1" t="s">
        <v>32</v>
      </c>
    </row>
    <row r="7620" spans="1:20" ht="51" x14ac:dyDescent="0.25">
      <c r="A7620" s="6">
        <v>7590</v>
      </c>
      <c r="B7620" s="1" t="str">
        <f>"2020-2857"</f>
        <v>2020-2857</v>
      </c>
      <c r="C7620" s="1" t="s">
        <v>5550</v>
      </c>
      <c r="D7620" s="1" t="s">
        <v>914</v>
      </c>
      <c r="E7620" s="1" t="str">
        <f>""</f>
        <v/>
      </c>
      <c r="F7620" s="1" t="s">
        <v>1860</v>
      </c>
      <c r="G7620" s="1" t="str">
        <f>CONCATENATE(" AUTO ZOVAK D.O.O.,"," NIKOLE KRAMARIĆA 20,"," 10408 VELIKA MLAKA,"," OIB: 54549529724")</f>
        <v xml:space="preserve"> AUTO ZOVAK D.O.O., NIKOLE KRAMARIĆA 20, 10408 VELIKA MLAKA, OIB: 54549529724</v>
      </c>
      <c r="H7620" s="7"/>
      <c r="I7620" s="8" t="s">
        <v>4711</v>
      </c>
      <c r="J7620" s="8" t="s">
        <v>1146</v>
      </c>
      <c r="K7620" s="6" t="str">
        <f>"33.306,39"</f>
        <v>33.306,39</v>
      </c>
      <c r="L7620" s="6" t="str">
        <f>"8.326,60"</f>
        <v>8.326,60</v>
      </c>
      <c r="M7620" s="6" t="str">
        <f>"41.632,99"</f>
        <v>41.632,99</v>
      </c>
      <c r="N7620" s="8" t="s">
        <v>1199</v>
      </c>
      <c r="O7620" s="7"/>
      <c r="P7620" s="2" t="s">
        <v>9220</v>
      </c>
      <c r="Q7620" s="7"/>
      <c r="R7620" s="1"/>
      <c r="S7620" s="1" t="str">
        <f>"J-UN-2020-3149"</f>
        <v>J-UN-2020-3149</v>
      </c>
      <c r="T7620" s="1" t="s">
        <v>32</v>
      </c>
    </row>
    <row r="7621" spans="1:20" ht="51" x14ac:dyDescent="0.25">
      <c r="A7621" s="6">
        <v>7591</v>
      </c>
      <c r="B7621" s="1" t="str">
        <f>"2020-1278"</f>
        <v>2020-1278</v>
      </c>
      <c r="C7621" s="1" t="s">
        <v>2639</v>
      </c>
      <c r="D7621" s="1" t="s">
        <v>2640</v>
      </c>
      <c r="E7621" s="1" t="str">
        <f>""</f>
        <v/>
      </c>
      <c r="F7621" s="1" t="s">
        <v>1860</v>
      </c>
      <c r="G7621" s="1" t="str">
        <f>CONCATENATE(" ŠIME STRIKOMAN,"," MIRKA ZORE 34a,"," 22211 VODICE,"," OIB: 671522748")</f>
        <v xml:space="preserve"> ŠIME STRIKOMAN, MIRKA ZORE 34a, 22211 VODICE, OIB: 671522748</v>
      </c>
      <c r="H7621" s="7"/>
      <c r="I7621" s="8" t="s">
        <v>1146</v>
      </c>
      <c r="J7621" s="8" t="s">
        <v>1213</v>
      </c>
      <c r="K7621" s="6" t="str">
        <f>"14.700,00"</f>
        <v>14.700,00</v>
      </c>
      <c r="L7621" s="6" t="str">
        <f>"3.675,00"</f>
        <v>3.675,00</v>
      </c>
      <c r="M7621" s="6" t="str">
        <f>"18.375,00"</f>
        <v>18.375,00</v>
      </c>
      <c r="N7621" s="8" t="s">
        <v>124</v>
      </c>
      <c r="O7621" s="7"/>
      <c r="P7621" s="2" t="s">
        <v>5614</v>
      </c>
      <c r="Q7621" s="7"/>
      <c r="R7621" s="1"/>
      <c r="S7621" s="1" t="str">
        <f>"J-UN-2020-3154"</f>
        <v>J-UN-2020-3154</v>
      </c>
      <c r="T7621" s="1" t="s">
        <v>32</v>
      </c>
    </row>
    <row r="7622" spans="1:20" ht="51" x14ac:dyDescent="0.25">
      <c r="A7622" s="6">
        <v>7592</v>
      </c>
      <c r="B7622" s="1" t="str">
        <f>"2020-2861"</f>
        <v>2020-2861</v>
      </c>
      <c r="C7622" s="1" t="s">
        <v>5562</v>
      </c>
      <c r="D7622" s="1" t="s">
        <v>914</v>
      </c>
      <c r="E7622" s="1" t="str">
        <f>""</f>
        <v/>
      </c>
      <c r="F7622" s="1" t="s">
        <v>1860</v>
      </c>
      <c r="G7622" s="1" t="str">
        <f>CONCATENATE(" TPZ D.O.O.,"," NOVOSELSKA 25,"," 10000 ZAGREB,"," OIB: 68119083236")</f>
        <v xml:space="preserve"> TPZ D.O.O., NOVOSELSKA 25, 10000 ZAGREB, OIB: 68119083236</v>
      </c>
      <c r="H7622" s="7"/>
      <c r="I7622" s="8" t="s">
        <v>1199</v>
      </c>
      <c r="J7622" s="8" t="s">
        <v>4247</v>
      </c>
      <c r="K7622" s="6" t="str">
        <f>"8.122,10"</f>
        <v>8.122,10</v>
      </c>
      <c r="L7622" s="6" t="str">
        <f>"2.030,52"</f>
        <v>2.030,52</v>
      </c>
      <c r="M7622" s="6" t="str">
        <f>"10.152,62"</f>
        <v>10.152,62</v>
      </c>
      <c r="N7622" s="8" t="s">
        <v>1204</v>
      </c>
      <c r="O7622" s="7"/>
      <c r="P7622" s="2" t="s">
        <v>9221</v>
      </c>
      <c r="Q7622" s="7"/>
      <c r="R7622" s="1"/>
      <c r="S7622" s="1" t="str">
        <f>"J-UN-2020-3160"</f>
        <v>J-UN-2020-3160</v>
      </c>
      <c r="T7622" s="1" t="s">
        <v>32</v>
      </c>
    </row>
    <row r="7623" spans="1:20" ht="51" x14ac:dyDescent="0.25">
      <c r="A7623" s="6">
        <v>7593</v>
      </c>
      <c r="B7623" s="1" t="str">
        <f>"2020-439"</f>
        <v>2020-439</v>
      </c>
      <c r="C7623" s="1" t="s">
        <v>2833</v>
      </c>
      <c r="D7623" s="1" t="s">
        <v>1962</v>
      </c>
      <c r="E7623" s="1" t="str">
        <f>""</f>
        <v/>
      </c>
      <c r="F7623" s="1" t="s">
        <v>1860</v>
      </c>
      <c r="G7623" s="1" t="str">
        <f>CONCATENATE(" HONGOLDONIA D.O.O.,"," RUJANSKA 4,"," 10000 ZAGREB,"," OIB: 7925585026")</f>
        <v xml:space="preserve"> HONGOLDONIA D.O.O., RUJANSKA 4, 10000 ZAGREB, OIB: 7925585026</v>
      </c>
      <c r="H7623" s="7"/>
      <c r="I7623" s="8" t="s">
        <v>1162</v>
      </c>
      <c r="J7623" s="8" t="s">
        <v>1204</v>
      </c>
      <c r="K7623" s="6" t="str">
        <f>"43.896,00"</f>
        <v>43.896,00</v>
      </c>
      <c r="L7623" s="6" t="str">
        <f>"10.974,00"</f>
        <v>10.974,00</v>
      </c>
      <c r="M7623" s="6" t="str">
        <f>"54.870,00"</f>
        <v>54.870,00</v>
      </c>
      <c r="N7623" s="8" t="s">
        <v>4067</v>
      </c>
      <c r="O7623" s="7"/>
      <c r="P7623" s="2" t="s">
        <v>9222</v>
      </c>
      <c r="Q7623" s="7"/>
      <c r="R7623" s="1"/>
      <c r="S7623" s="1" t="str">
        <f>"J-UN-2020-3165"</f>
        <v>J-UN-2020-3165</v>
      </c>
      <c r="T7623" s="1" t="s">
        <v>32</v>
      </c>
    </row>
    <row r="7624" spans="1:20" ht="51" x14ac:dyDescent="0.25">
      <c r="A7624" s="6">
        <v>7594</v>
      </c>
      <c r="B7624" s="1" t="str">
        <f>"2020-2861"</f>
        <v>2020-2861</v>
      </c>
      <c r="C7624" s="1" t="s">
        <v>5562</v>
      </c>
      <c r="D7624" s="1" t="s">
        <v>914</v>
      </c>
      <c r="E7624" s="1" t="str">
        <f>""</f>
        <v/>
      </c>
      <c r="F7624" s="1" t="s">
        <v>1860</v>
      </c>
      <c r="G7624" s="1" t="str">
        <f>CONCATENATE(" TPZ D.O.O.,"," NOVOSELSKA 25,"," 10000 ZAGREB,"," OIB: 68119083236")</f>
        <v xml:space="preserve"> TPZ D.O.O., NOVOSELSKA 25, 10000 ZAGREB, OIB: 68119083236</v>
      </c>
      <c r="H7624" s="7"/>
      <c r="I7624" s="8" t="s">
        <v>1213</v>
      </c>
      <c r="J7624" s="8" t="s">
        <v>1199</v>
      </c>
      <c r="K7624" s="6" t="str">
        <f>"5.885,65"</f>
        <v>5.885,65</v>
      </c>
      <c r="L7624" s="6" t="str">
        <f>"1.471,41"</f>
        <v>1.471,41</v>
      </c>
      <c r="M7624" s="6" t="str">
        <f>"7.357,06"</f>
        <v>7.357,06</v>
      </c>
      <c r="N7624" s="8" t="s">
        <v>124</v>
      </c>
      <c r="O7624" s="7"/>
      <c r="P7624" s="2" t="s">
        <v>5614</v>
      </c>
      <c r="Q7624" s="7"/>
      <c r="R7624" s="1"/>
      <c r="S7624" s="1" t="str">
        <f>"J-UN-2020-3173"</f>
        <v>J-UN-2020-3173</v>
      </c>
      <c r="T7624" s="1" t="s">
        <v>32</v>
      </c>
    </row>
    <row r="7625" spans="1:20" ht="51" x14ac:dyDescent="0.25">
      <c r="A7625" s="6">
        <v>7595</v>
      </c>
      <c r="B7625" s="1" t="str">
        <f>"2020-2578"</f>
        <v>2020-2578</v>
      </c>
      <c r="C7625" s="1" t="s">
        <v>2728</v>
      </c>
      <c r="D7625" s="1" t="s">
        <v>2729</v>
      </c>
      <c r="E7625" s="1" t="str">
        <f>""</f>
        <v/>
      </c>
      <c r="F7625" s="1" t="s">
        <v>1860</v>
      </c>
      <c r="G7625" s="1" t="str">
        <f>CONCATENATE(" PROTEKO D.O.O.,"," F.PUŠKARIĆA 18,"," 10250 ZAGREB,"," OIB: 44459323154")</f>
        <v xml:space="preserve"> PROTEKO D.O.O., F.PUŠKARIĆA 18, 10250 ZAGREB, OIB: 44459323154</v>
      </c>
      <c r="H7625" s="7"/>
      <c r="I7625" s="8" t="s">
        <v>1162</v>
      </c>
      <c r="J7625" s="8" t="s">
        <v>1204</v>
      </c>
      <c r="K7625" s="6" t="str">
        <f>"44.800,00"</f>
        <v>44.800,00</v>
      </c>
      <c r="L7625" s="6" t="str">
        <f>"11.200,00"</f>
        <v>11.200,00</v>
      </c>
      <c r="M7625" s="6" t="str">
        <f>"56.000,00"</f>
        <v>56.000,00</v>
      </c>
      <c r="N7625" s="8" t="s">
        <v>124</v>
      </c>
      <c r="O7625" s="7"/>
      <c r="P7625" s="2" t="s">
        <v>5614</v>
      </c>
      <c r="Q7625" s="7"/>
      <c r="R7625" s="1"/>
      <c r="S7625" s="1" t="str">
        <f>"J-UN-2020-3185"</f>
        <v>J-UN-2020-3185</v>
      </c>
      <c r="T7625" s="1" t="s">
        <v>32</v>
      </c>
    </row>
    <row r="7626" spans="1:20" ht="63.75" x14ac:dyDescent="0.25">
      <c r="A7626" s="6">
        <v>7596</v>
      </c>
      <c r="B7626" s="1" t="str">
        <f>"2020-2340"</f>
        <v>2020-2340</v>
      </c>
      <c r="C7626" s="1" t="s">
        <v>2756</v>
      </c>
      <c r="D7626" s="1" t="s">
        <v>860</v>
      </c>
      <c r="E7626" s="1" t="str">
        <f>""</f>
        <v/>
      </c>
      <c r="F7626" s="1" t="s">
        <v>1860</v>
      </c>
      <c r="G7626" s="1" t="str">
        <f>CONCATENATE(" METAL KRMPOTIĆ D.O.O.,"," SAMOBORSKA 230,"," 10090 ZAGREB-SUSEDGRAD,"," OIB: 09304335375")</f>
        <v xml:space="preserve"> METAL KRMPOTIĆ D.O.O., SAMOBORSKA 230, 10090 ZAGREB-SUSEDGRAD, OIB: 09304335375</v>
      </c>
      <c r="H7626" s="7"/>
      <c r="I7626" s="8" t="s">
        <v>1199</v>
      </c>
      <c r="J7626" s="8" t="s">
        <v>4247</v>
      </c>
      <c r="K7626" s="6" t="str">
        <f>"4.950,00"</f>
        <v>4.950,00</v>
      </c>
      <c r="L7626" s="6" t="str">
        <f>"1.237,50"</f>
        <v>1.237,50</v>
      </c>
      <c r="M7626" s="6" t="str">
        <f>"6.187,50"</f>
        <v>6.187,50</v>
      </c>
      <c r="N7626" s="8" t="s">
        <v>124</v>
      </c>
      <c r="O7626" s="7"/>
      <c r="P7626" s="2" t="s">
        <v>5614</v>
      </c>
      <c r="Q7626" s="7"/>
      <c r="R7626" s="1"/>
      <c r="S7626" s="1" t="str">
        <f>"J-UN-2020-3193"</f>
        <v>J-UN-2020-3193</v>
      </c>
      <c r="T7626" s="1" t="s">
        <v>32</v>
      </c>
    </row>
    <row r="7627" spans="1:20" ht="63.75" x14ac:dyDescent="0.25">
      <c r="A7627" s="6">
        <v>7597</v>
      </c>
      <c r="B7627" s="1" t="str">
        <f>"2020-714"</f>
        <v>2020-714</v>
      </c>
      <c r="C7627" s="1" t="s">
        <v>3057</v>
      </c>
      <c r="D7627" s="1" t="s">
        <v>486</v>
      </c>
      <c r="E7627" s="1" t="str">
        <f>""</f>
        <v/>
      </c>
      <c r="F7627" s="1" t="s">
        <v>1860</v>
      </c>
      <c r="G7627" s="1" t="str">
        <f>CONCATENATE(" GRADSKA PLINARA ZAGREB d.o.o.,"," RADNIČKA CESTA 1,"," 10000 ZAGREB,"," OIB: 20985255037")</f>
        <v xml:space="preserve"> GRADSKA PLINARA ZAGREB d.o.o., RADNIČKA CESTA 1, 10000 ZAGREB, OIB: 20985255037</v>
      </c>
      <c r="H7627" s="7"/>
      <c r="I7627" s="8" t="s">
        <v>1199</v>
      </c>
      <c r="J7627" s="8" t="s">
        <v>4247</v>
      </c>
      <c r="K7627" s="6" t="str">
        <f>"4.876,60"</f>
        <v>4.876,60</v>
      </c>
      <c r="L7627" s="6" t="str">
        <f>"1.219,15"</f>
        <v>1.219,15</v>
      </c>
      <c r="M7627" s="6" t="str">
        <f>"6.095,75"</f>
        <v>6.095,75</v>
      </c>
      <c r="N7627" s="8" t="s">
        <v>4349</v>
      </c>
      <c r="O7627" s="7"/>
      <c r="P7627" s="2" t="s">
        <v>9223</v>
      </c>
      <c r="Q7627" s="7"/>
      <c r="R7627" s="1"/>
      <c r="S7627" s="1" t="str">
        <f>"J-UN-2020-3213"</f>
        <v>J-UN-2020-3213</v>
      </c>
      <c r="T7627" s="1" t="s">
        <v>32</v>
      </c>
    </row>
    <row r="7628" spans="1:20" ht="63.75" x14ac:dyDescent="0.25">
      <c r="A7628" s="6">
        <v>7598</v>
      </c>
      <c r="B7628" s="1" t="str">
        <f>"2020-756"</f>
        <v>2020-756</v>
      </c>
      <c r="C7628" s="1" t="s">
        <v>4671</v>
      </c>
      <c r="D7628" s="1" t="s">
        <v>2280</v>
      </c>
      <c r="E7628" s="1" t="str">
        <f>""</f>
        <v/>
      </c>
      <c r="F7628" s="1" t="s">
        <v>1860</v>
      </c>
      <c r="G7628" s="1" t="str">
        <f>CONCATENATE(" PISMORAD D.O.O.,"," INDUSTRIJSKA 5,"," 10431 SVETA NEDELJA-NOVAKI,"," OIB: 33260306505")</f>
        <v xml:space="preserve"> PISMORAD D.O.O., INDUSTRIJSKA 5, 10431 SVETA NEDELJA-NOVAKI, OIB: 33260306505</v>
      </c>
      <c r="H7628" s="7"/>
      <c r="I7628" s="8" t="s">
        <v>4247</v>
      </c>
      <c r="J7628" s="8" t="s">
        <v>3677</v>
      </c>
      <c r="K7628" s="6" t="str">
        <f>"65.625,00"</f>
        <v>65.625,00</v>
      </c>
      <c r="L7628" s="6" t="str">
        <f>"16.406,25"</f>
        <v>16.406,25</v>
      </c>
      <c r="M7628" s="6" t="str">
        <f>"82.031,25"</f>
        <v>82.031,25</v>
      </c>
      <c r="N7628" s="8" t="s">
        <v>124</v>
      </c>
      <c r="O7628" s="7"/>
      <c r="P7628" s="2" t="s">
        <v>5614</v>
      </c>
      <c r="Q7628" s="7"/>
      <c r="R7628" s="1"/>
      <c r="S7628" s="1" t="str">
        <f>"J-UN-2020-3219"</f>
        <v>J-UN-2020-3219</v>
      </c>
      <c r="T7628" s="1" t="s">
        <v>32</v>
      </c>
    </row>
    <row r="7629" spans="1:20" ht="63.75" x14ac:dyDescent="0.25">
      <c r="A7629" s="6">
        <v>7599</v>
      </c>
      <c r="B7629" s="1" t="str">
        <f>"2020-2226"</f>
        <v>2020-2226</v>
      </c>
      <c r="C7629" s="1" t="s">
        <v>2689</v>
      </c>
      <c r="D7629" s="1" t="s">
        <v>2577</v>
      </c>
      <c r="E7629" s="1" t="str">
        <f>""</f>
        <v/>
      </c>
      <c r="F7629" s="1" t="s">
        <v>1860</v>
      </c>
      <c r="G7629" s="1" t="str">
        <f>CONCATENATE(" GRA-PO D.O.O.,"," GOSPODARSKA 5B,"," 10255 ZAGREB - STUPNIK,"," OIB: 05364995085")</f>
        <v xml:space="preserve"> GRA-PO D.O.O., GOSPODARSKA 5B, 10255 ZAGREB - STUPNIK, OIB: 05364995085</v>
      </c>
      <c r="H7629" s="7"/>
      <c r="I7629" s="8" t="s">
        <v>4247</v>
      </c>
      <c r="J7629" s="8" t="s">
        <v>3677</v>
      </c>
      <c r="K7629" s="6" t="str">
        <f>"8.819,20"</f>
        <v>8.819,20</v>
      </c>
      <c r="L7629" s="6" t="str">
        <f>"2.204,80"</f>
        <v>2.204,80</v>
      </c>
      <c r="M7629" s="6" t="str">
        <f>"11.024,00"</f>
        <v>11.024,00</v>
      </c>
      <c r="N7629" s="8" t="s">
        <v>1204</v>
      </c>
      <c r="O7629" s="7"/>
      <c r="P7629" s="2" t="s">
        <v>9224</v>
      </c>
      <c r="Q7629" s="7"/>
      <c r="R7629" s="1"/>
      <c r="S7629" s="1" t="str">
        <f>"J-UN-2020-3221"</f>
        <v>J-UN-2020-3221</v>
      </c>
      <c r="T7629" s="1" t="s">
        <v>32</v>
      </c>
    </row>
    <row r="7630" spans="1:20" ht="63.75" x14ac:dyDescent="0.25">
      <c r="A7630" s="6">
        <v>7600</v>
      </c>
      <c r="B7630" s="1" t="str">
        <f>"2020-439"</f>
        <v>2020-439</v>
      </c>
      <c r="C7630" s="1" t="s">
        <v>2833</v>
      </c>
      <c r="D7630" s="1" t="s">
        <v>1962</v>
      </c>
      <c r="E7630" s="1" t="str">
        <f>""</f>
        <v/>
      </c>
      <c r="F7630" s="1" t="s">
        <v>1860</v>
      </c>
      <c r="G7630" s="1" t="str">
        <f>CONCATENATE(" GRA-PO D.O.O.,"," GOSPODARSKA 5B,"," 10255 ZAGREB - STUPNIK,"," OIB: 05364995085")</f>
        <v xml:space="preserve"> GRA-PO D.O.O., GOSPODARSKA 5B, 10255 ZAGREB - STUPNIK, OIB: 05364995085</v>
      </c>
      <c r="H7630" s="7"/>
      <c r="I7630" s="8" t="s">
        <v>4247</v>
      </c>
      <c r="J7630" s="8" t="s">
        <v>3677</v>
      </c>
      <c r="K7630" s="6" t="str">
        <f>"2.352,50"</f>
        <v>2.352,50</v>
      </c>
      <c r="L7630" s="6" t="str">
        <f>"588,12"</f>
        <v>588,12</v>
      </c>
      <c r="M7630" s="6" t="str">
        <f>"2.940,62"</f>
        <v>2.940,62</v>
      </c>
      <c r="N7630" s="8" t="s">
        <v>1204</v>
      </c>
      <c r="O7630" s="7"/>
      <c r="P7630" s="2" t="s">
        <v>9225</v>
      </c>
      <c r="Q7630" s="7"/>
      <c r="R7630" s="1"/>
      <c r="S7630" s="1" t="str">
        <f>"J-UN-2020-3222"</f>
        <v>J-UN-2020-3222</v>
      </c>
      <c r="T7630" s="1" t="s">
        <v>32</v>
      </c>
    </row>
    <row r="7631" spans="1:20" ht="89.25" x14ac:dyDescent="0.25">
      <c r="A7631" s="6">
        <v>7601</v>
      </c>
      <c r="B7631" s="1" t="str">
        <f>"2020-2266"</f>
        <v>2020-2266</v>
      </c>
      <c r="C7631" s="1" t="s">
        <v>2982</v>
      </c>
      <c r="D7631" s="1" t="s">
        <v>2404</v>
      </c>
      <c r="E7631" s="1" t="str">
        <f>""</f>
        <v/>
      </c>
      <c r="F7631" s="1" t="s">
        <v>1860</v>
      </c>
      <c r="G7631" s="1" t="str">
        <f>CONCATENATE(" ELEKTRO - REMONT,"," SERVIS PLAMENIKA I KOTLOVA,"," VL. KRUNOSLAV JANJIĆ,"," ZAGREBAČKA 117,"," 35000 SLAVONSKI BROD,"," OIB: 247954733")</f>
        <v xml:space="preserve"> ELEKTRO - REMONT, SERVIS PLAMENIKA I KOTLOVA, VL. KRUNOSLAV JANJIĆ, ZAGREBAČKA 117, 35000 SLAVONSKI BROD, OIB: 247954733</v>
      </c>
      <c r="H7631" s="7"/>
      <c r="I7631" s="8" t="s">
        <v>1204</v>
      </c>
      <c r="J7631" s="8" t="s">
        <v>4332</v>
      </c>
      <c r="K7631" s="6" t="str">
        <f>"28.100,00"</f>
        <v>28.100,00</v>
      </c>
      <c r="L7631" s="6" t="str">
        <f>"7.025,00"</f>
        <v>7.025,00</v>
      </c>
      <c r="M7631" s="6" t="str">
        <f>"35.125,00"</f>
        <v>35.125,00</v>
      </c>
      <c r="N7631" s="8" t="s">
        <v>124</v>
      </c>
      <c r="O7631" s="7"/>
      <c r="P7631" s="2" t="s">
        <v>5614</v>
      </c>
      <c r="Q7631" s="7"/>
      <c r="R7631" s="1"/>
      <c r="S7631" s="1" t="str">
        <f>"J-UN-2020-3261"</f>
        <v>J-UN-2020-3261</v>
      </c>
      <c r="T7631" s="1" t="s">
        <v>32</v>
      </c>
    </row>
    <row r="7632" spans="1:20" ht="51" x14ac:dyDescent="0.25">
      <c r="A7632" s="6">
        <v>7602</v>
      </c>
      <c r="B7632" s="1" t="str">
        <f>"2020-825"</f>
        <v>2020-825</v>
      </c>
      <c r="C7632" s="1" t="s">
        <v>2561</v>
      </c>
      <c r="D7632" s="1" t="s">
        <v>2156</v>
      </c>
      <c r="E7632" s="1" t="str">
        <f>""</f>
        <v/>
      </c>
      <c r="F7632" s="1" t="s">
        <v>1860</v>
      </c>
      <c r="G7632" s="1" t="str">
        <f>CONCATENATE(" KARDIAN D.O.O.,"," HONDLOVA 2/9,"," 10000 ZAGREB,"," OIB: 17406113186")</f>
        <v xml:space="preserve"> KARDIAN D.O.O., HONDLOVA 2/9, 10000 ZAGREB, OIB: 17406113186</v>
      </c>
      <c r="H7632" s="7"/>
      <c r="I7632" s="8" t="s">
        <v>1162</v>
      </c>
      <c r="J7632" s="8" t="s">
        <v>1204</v>
      </c>
      <c r="K7632" s="6" t="str">
        <f>"324,00"</f>
        <v>324,00</v>
      </c>
      <c r="L7632" s="6" t="str">
        <f>"81,00"</f>
        <v>81,00</v>
      </c>
      <c r="M7632" s="6" t="str">
        <f>"405,00"</f>
        <v>405,00</v>
      </c>
      <c r="N7632" s="8" t="s">
        <v>124</v>
      </c>
      <c r="O7632" s="7"/>
      <c r="P7632" s="2" t="s">
        <v>5614</v>
      </c>
      <c r="Q7632" s="7"/>
      <c r="R7632" s="1"/>
      <c r="S7632" s="1" t="str">
        <f>"J-UN-2020-3265"</f>
        <v>J-UN-2020-3265</v>
      </c>
      <c r="T7632" s="1" t="s">
        <v>32</v>
      </c>
    </row>
    <row r="7633" spans="1:20" ht="63.75" x14ac:dyDescent="0.25">
      <c r="A7633" s="6">
        <v>7603</v>
      </c>
      <c r="B7633" s="1" t="str">
        <f>"2020-1420"</f>
        <v>2020-1420</v>
      </c>
      <c r="C7633" s="1" t="s">
        <v>2702</v>
      </c>
      <c r="D7633" s="1" t="s">
        <v>1209</v>
      </c>
      <c r="E7633" s="1" t="str">
        <f>""</f>
        <v/>
      </c>
      <c r="F7633" s="1" t="s">
        <v>1860</v>
      </c>
      <c r="G7633" s="1" t="str">
        <f>CONCATENATE(" DRÄGER SAFETY D.O.O.,"," AVENIJA VEĆESLAVA HOLJEVCA 40,"," 10010 ZAGREB,"," OIB: 32874587842")</f>
        <v xml:space="preserve"> DRÄGER SAFETY D.O.O., AVENIJA VEĆESLAVA HOLJEVCA 40, 10010 ZAGREB, OIB: 32874587842</v>
      </c>
      <c r="H7633" s="7"/>
      <c r="I7633" s="8" t="s">
        <v>1204</v>
      </c>
      <c r="J7633" s="8" t="s">
        <v>4332</v>
      </c>
      <c r="K7633" s="6" t="str">
        <f>"1.105,00"</f>
        <v>1.105,00</v>
      </c>
      <c r="L7633" s="6" t="str">
        <f>"276,25"</f>
        <v>276,25</v>
      </c>
      <c r="M7633" s="6" t="str">
        <f>"1.381,25"</f>
        <v>1.381,25</v>
      </c>
      <c r="N7633" s="8" t="s">
        <v>124</v>
      </c>
      <c r="O7633" s="7"/>
      <c r="P7633" s="2" t="s">
        <v>5614</v>
      </c>
      <c r="Q7633" s="7"/>
      <c r="R7633" s="1"/>
      <c r="S7633" s="1" t="str">
        <f>"J-UN-2020-3267"</f>
        <v>J-UN-2020-3267</v>
      </c>
      <c r="T7633" s="1" t="s">
        <v>32</v>
      </c>
    </row>
    <row r="7634" spans="1:20" ht="89.25" x14ac:dyDescent="0.25">
      <c r="A7634" s="6">
        <v>7604</v>
      </c>
      <c r="B7634" s="1" t="str">
        <f>"2020-1596"</f>
        <v>2020-1596</v>
      </c>
      <c r="C7634" s="1" t="s">
        <v>5354</v>
      </c>
      <c r="D7634" s="1" t="s">
        <v>515</v>
      </c>
      <c r="E7634" s="1" t="str">
        <f>""</f>
        <v/>
      </c>
      <c r="F7634" s="1" t="s">
        <v>1860</v>
      </c>
      <c r="G7634" s="1" t="str">
        <f>CONCATENATE(" SVEUČILIŠTE U ZAGREBU - AGRONOMSKI FAKULTET,"," SVETOŠIMUNSKA CESTA 25,"," 10000 ZAGREB,"," OIB: 76023745044")</f>
        <v xml:space="preserve"> SVEUČILIŠTE U ZAGREBU - AGRONOMSKI FAKULTET, SVETOŠIMUNSKA CESTA 25, 10000 ZAGREB, OIB: 76023745044</v>
      </c>
      <c r="H7634" s="7"/>
      <c r="I7634" s="8" t="s">
        <v>1204</v>
      </c>
      <c r="J7634" s="8" t="s">
        <v>4332</v>
      </c>
      <c r="K7634" s="6" t="str">
        <f>"49.052,00"</f>
        <v>49.052,00</v>
      </c>
      <c r="L7634" s="6" t="str">
        <f>"12.263,00"</f>
        <v>12.263,00</v>
      </c>
      <c r="M7634" s="6" t="str">
        <f>"61.315,00"</f>
        <v>61.315,00</v>
      </c>
      <c r="N7634" s="8" t="s">
        <v>54</v>
      </c>
      <c r="O7634" s="7"/>
      <c r="P7634" s="2" t="s">
        <v>9226</v>
      </c>
      <c r="Q7634" s="7"/>
      <c r="R7634" s="1"/>
      <c r="S7634" s="1" t="str">
        <f>"J-UN-2020-3268"</f>
        <v>J-UN-2020-3268</v>
      </c>
      <c r="T7634" s="1" t="s">
        <v>32</v>
      </c>
    </row>
    <row r="7635" spans="1:20" ht="51" x14ac:dyDescent="0.25">
      <c r="A7635" s="6">
        <v>7605</v>
      </c>
      <c r="B7635" s="1" t="str">
        <f>"2020-2244"</f>
        <v>2020-2244</v>
      </c>
      <c r="C7635" s="1" t="s">
        <v>5401</v>
      </c>
      <c r="D7635" s="1" t="s">
        <v>74</v>
      </c>
      <c r="E7635" s="1" t="str">
        <f>""</f>
        <v/>
      </c>
      <c r="F7635" s="1" t="s">
        <v>1860</v>
      </c>
      <c r="G7635" s="1" t="str">
        <f>CONCATENATE(" ECCOS-INŽENJERING D.O.O.,"," BANI 110,"," 10000 ZAGREB,"," OIB: 71629027685")</f>
        <v xml:space="preserve"> ECCOS-INŽENJERING D.O.O., BANI 110, 10000 ZAGREB, OIB: 71629027685</v>
      </c>
      <c r="H7635" s="7"/>
      <c r="I7635" s="8" t="s">
        <v>1162</v>
      </c>
      <c r="J7635" s="8" t="s">
        <v>1204</v>
      </c>
      <c r="K7635" s="6" t="str">
        <f>"10.500,00"</f>
        <v>10.500,00</v>
      </c>
      <c r="L7635" s="6" t="str">
        <f>"2.625,00"</f>
        <v>2.625,00</v>
      </c>
      <c r="M7635" s="6" t="str">
        <f>"13.125,00"</f>
        <v>13.125,00</v>
      </c>
      <c r="N7635" s="8" t="s">
        <v>773</v>
      </c>
      <c r="O7635" s="7"/>
      <c r="P7635" s="2" t="s">
        <v>6581</v>
      </c>
      <c r="Q7635" s="7"/>
      <c r="R7635" s="1"/>
      <c r="S7635" s="1" t="str">
        <f>"J-UN-2020-3271"</f>
        <v>J-UN-2020-3271</v>
      </c>
      <c r="T7635" s="1" t="s">
        <v>32</v>
      </c>
    </row>
    <row r="7636" spans="1:20" ht="51" x14ac:dyDescent="0.25">
      <c r="A7636" s="6">
        <v>7606</v>
      </c>
      <c r="B7636" s="1" t="str">
        <f>"2020-1624"</f>
        <v>2020-1624</v>
      </c>
      <c r="C7636" s="1" t="s">
        <v>2614</v>
      </c>
      <c r="D7636" s="1" t="s">
        <v>619</v>
      </c>
      <c r="E7636" s="1" t="str">
        <f>""</f>
        <v/>
      </c>
      <c r="F7636" s="1" t="s">
        <v>1860</v>
      </c>
      <c r="G7636" s="1" t="str">
        <f>CONCATENATE(" TEHNO-HIDRAULIK D.O.O.,"," SAVIŠĆE 2,"," 10000 ZAGREB,"," OIB: 09925328419")</f>
        <v xml:space="preserve"> TEHNO-HIDRAULIK D.O.O., SAVIŠĆE 2, 10000 ZAGREB, OIB: 09925328419</v>
      </c>
      <c r="H7636" s="7"/>
      <c r="I7636" s="8" t="s">
        <v>1162</v>
      </c>
      <c r="J7636" s="8" t="s">
        <v>440</v>
      </c>
      <c r="K7636" s="6" t="str">
        <f>"95.002,27"</f>
        <v>95.002,27</v>
      </c>
      <c r="L7636" s="6" t="str">
        <f>"23.750,57"</f>
        <v>23.750,57</v>
      </c>
      <c r="M7636" s="6" t="str">
        <f>"118.752,84"</f>
        <v>118.752,84</v>
      </c>
      <c r="N7636" s="8" t="s">
        <v>1230</v>
      </c>
      <c r="O7636" s="7"/>
      <c r="P7636" s="2" t="s">
        <v>9227</v>
      </c>
      <c r="Q7636" s="7"/>
      <c r="R7636" s="1"/>
      <c r="S7636" s="1" t="str">
        <f>"J-UN-2020-3280"</f>
        <v>J-UN-2020-3280</v>
      </c>
      <c r="T7636" s="1" t="s">
        <v>32</v>
      </c>
    </row>
    <row r="7637" spans="1:20" ht="63.75" x14ac:dyDescent="0.25">
      <c r="A7637" s="6">
        <v>7607</v>
      </c>
      <c r="B7637" s="1" t="str">
        <f>"2020-2994"</f>
        <v>2020-2994</v>
      </c>
      <c r="C7637" s="1" t="s">
        <v>5572</v>
      </c>
      <c r="D7637" s="1" t="s">
        <v>1277</v>
      </c>
      <c r="E7637" s="1" t="str">
        <f>""</f>
        <v/>
      </c>
      <c r="F7637" s="1" t="s">
        <v>1860</v>
      </c>
      <c r="G7637" s="1" t="str">
        <f>CONCATENATE(" OMEGA SOFTWARE D.O.O.,"," KAMENARKA 37,"," 10010 ZAGREB-SLOBOŠTINA,"," OIB: 40102169932")</f>
        <v xml:space="preserve"> OMEGA SOFTWARE D.O.O., KAMENARKA 37, 10010 ZAGREB-SLOBOŠTINA, OIB: 40102169932</v>
      </c>
      <c r="H7637" s="7"/>
      <c r="I7637" s="8" t="s">
        <v>4332</v>
      </c>
      <c r="J7637" s="8" t="s">
        <v>3874</v>
      </c>
      <c r="K7637" s="6" t="str">
        <f>"25.650,00"</f>
        <v>25.650,00</v>
      </c>
      <c r="L7637" s="6" t="str">
        <f>"6.412,50"</f>
        <v>6.412,50</v>
      </c>
      <c r="M7637" s="6" t="str">
        <f>"32.062,50"</f>
        <v>32.062,50</v>
      </c>
      <c r="N7637" s="8" t="s">
        <v>124</v>
      </c>
      <c r="O7637" s="7"/>
      <c r="P7637" s="2" t="s">
        <v>5614</v>
      </c>
      <c r="Q7637" s="7"/>
      <c r="R7637" s="1"/>
      <c r="S7637" s="1" t="str">
        <f>"J-UN-2020-3307"</f>
        <v>J-UN-2020-3307</v>
      </c>
      <c r="T7637" s="1" t="s">
        <v>32</v>
      </c>
    </row>
    <row r="7638" spans="1:20" ht="51" x14ac:dyDescent="0.25">
      <c r="A7638" s="6">
        <v>7608</v>
      </c>
      <c r="B7638" s="1" t="str">
        <f>"2020-1750"</f>
        <v>2020-1750</v>
      </c>
      <c r="C7638" s="1" t="s">
        <v>2675</v>
      </c>
      <c r="D7638" s="1" t="s">
        <v>2676</v>
      </c>
      <c r="E7638" s="1" t="str">
        <f>""</f>
        <v/>
      </c>
      <c r="F7638" s="1" t="s">
        <v>1860</v>
      </c>
      <c r="G7638" s="1" t="str">
        <f>CONCATENATE(" AUTOBUS D.O.O.,"," I. RESNIK 178,"," 10040 ZAGREB,"," OIB: 77383886713")</f>
        <v xml:space="preserve"> AUTOBUS D.O.O., I. RESNIK 178, 10040 ZAGREB, OIB: 77383886713</v>
      </c>
      <c r="H7638" s="7"/>
      <c r="I7638" s="8" t="s">
        <v>4332</v>
      </c>
      <c r="J7638" s="8" t="s">
        <v>3874</v>
      </c>
      <c r="K7638" s="6" t="str">
        <f>"6.170,75"</f>
        <v>6.170,75</v>
      </c>
      <c r="L7638" s="6" t="str">
        <f>"1.542,69"</f>
        <v>1.542,69</v>
      </c>
      <c r="M7638" s="6" t="str">
        <f>"7.713,44"</f>
        <v>7.713,44</v>
      </c>
      <c r="N7638" s="8" t="s">
        <v>124</v>
      </c>
      <c r="O7638" s="7"/>
      <c r="P7638" s="2" t="s">
        <v>5614</v>
      </c>
      <c r="Q7638" s="7"/>
      <c r="R7638" s="1"/>
      <c r="S7638" s="1" t="str">
        <f>"J-UN-2020-3310"</f>
        <v>J-UN-2020-3310</v>
      </c>
      <c r="T7638" s="1" t="s">
        <v>32</v>
      </c>
    </row>
    <row r="7639" spans="1:20" ht="63.75" x14ac:dyDescent="0.25">
      <c r="A7639" s="6">
        <v>7609</v>
      </c>
      <c r="B7639" s="1" t="str">
        <f>"2020-2656"</f>
        <v>2020-2656</v>
      </c>
      <c r="C7639" s="1" t="s">
        <v>2534</v>
      </c>
      <c r="D7639" s="1" t="s">
        <v>2535</v>
      </c>
      <c r="E7639" s="1" t="str">
        <f>""</f>
        <v/>
      </c>
      <c r="F7639" s="1" t="s">
        <v>1860</v>
      </c>
      <c r="G7639" s="1" t="str">
        <f>CONCATENATE(" JULIUS MEINL BONFANTI D.O.O.,"," LJUBLJANSKA ULICA 4,"," 10431 SVETA NEDELJA,"," OIB: 39546130894")</f>
        <v xml:space="preserve"> JULIUS MEINL BONFANTI D.O.O., LJUBLJANSKA ULICA 4, 10431 SVETA NEDELJA, OIB: 39546130894</v>
      </c>
      <c r="H7639" s="7"/>
      <c r="I7639" s="8" t="s">
        <v>4332</v>
      </c>
      <c r="J7639" s="8" t="s">
        <v>3874</v>
      </c>
      <c r="K7639" s="6" t="str">
        <f>"15.600,00"</f>
        <v>15.600,00</v>
      </c>
      <c r="L7639" s="6" t="str">
        <f>"3.900,00"</f>
        <v>3.900,00</v>
      </c>
      <c r="M7639" s="6" t="str">
        <f>"19.500,00"</f>
        <v>19.500,00</v>
      </c>
      <c r="N7639" s="8" t="s">
        <v>124</v>
      </c>
      <c r="O7639" s="7"/>
      <c r="P7639" s="2" t="s">
        <v>5614</v>
      </c>
      <c r="Q7639" s="7"/>
      <c r="R7639" s="1"/>
      <c r="S7639" s="1" t="str">
        <f>"J-UN-2020-3316"</f>
        <v>J-UN-2020-3316</v>
      </c>
      <c r="T7639" s="1" t="s">
        <v>32</v>
      </c>
    </row>
    <row r="7640" spans="1:20" ht="38.25" x14ac:dyDescent="0.25">
      <c r="A7640" s="6">
        <v>7610</v>
      </c>
      <c r="B7640" s="1" t="str">
        <f>"2020-2324"</f>
        <v>2020-2324</v>
      </c>
      <c r="C7640" s="1" t="s">
        <v>1390</v>
      </c>
      <c r="D7640" s="1" t="s">
        <v>1391</v>
      </c>
      <c r="E7640" s="1" t="str">
        <f>""</f>
        <v/>
      </c>
      <c r="F7640" s="1" t="s">
        <v>1860</v>
      </c>
      <c r="G7640" s="1" t="str">
        <f>CONCATENATE(" HITRA PRODUKCIJA DOKUMENATA D.O.O.,"," ,"," OIB: 65443507068")</f>
        <v xml:space="preserve"> HITRA PRODUKCIJA DOKUMENATA D.O.O., , OIB: 65443507068</v>
      </c>
      <c r="H7640" s="7"/>
      <c r="I7640" s="8" t="s">
        <v>4418</v>
      </c>
      <c r="J7640" s="8" t="s">
        <v>2749</v>
      </c>
      <c r="K7640" s="6" t="str">
        <f>"29.780,00"</f>
        <v>29.780,00</v>
      </c>
      <c r="L7640" s="6" t="str">
        <f>"7.445,00"</f>
        <v>7.445,00</v>
      </c>
      <c r="M7640" s="6" t="str">
        <f>"37.225,00"</f>
        <v>37.225,00</v>
      </c>
      <c r="N7640" s="8" t="s">
        <v>440</v>
      </c>
      <c r="O7640" s="7"/>
      <c r="P7640" s="2" t="s">
        <v>9228</v>
      </c>
      <c r="Q7640" s="7"/>
      <c r="R7640" s="1"/>
      <c r="S7640" s="1" t="str">
        <f>"J-UN-2020-3330"</f>
        <v>J-UN-2020-3330</v>
      </c>
      <c r="T7640" s="1" t="s">
        <v>32</v>
      </c>
    </row>
    <row r="7641" spans="1:20" ht="63.75" x14ac:dyDescent="0.25">
      <c r="A7641" s="6">
        <v>7611</v>
      </c>
      <c r="B7641" s="1" t="str">
        <f>"2020-1207"</f>
        <v>2020-1207</v>
      </c>
      <c r="C7641" s="1" t="s">
        <v>2595</v>
      </c>
      <c r="D7641" s="1" t="s">
        <v>2596</v>
      </c>
      <c r="E7641" s="1" t="str">
        <f>""</f>
        <v/>
      </c>
      <c r="F7641" s="1" t="s">
        <v>1860</v>
      </c>
      <c r="G7641" s="1" t="str">
        <f>CONCATENATE(" CLEMENTIA 1878 D.O.O.,"," ULICA CRVENOG KRIŽA 14/I,"," 10000 ZAGREB,"," OIB: 02719916948")</f>
        <v xml:space="preserve"> CLEMENTIA 1878 D.O.O., ULICA CRVENOG KRIŽA 14/I, 10000 ZAGREB, OIB: 02719916948</v>
      </c>
      <c r="H7641" s="7"/>
      <c r="I7641" s="8" t="s">
        <v>1165</v>
      </c>
      <c r="J7641" s="8" t="s">
        <v>4346</v>
      </c>
      <c r="K7641" s="6" t="str">
        <f>"1.600,00"</f>
        <v>1.600,00</v>
      </c>
      <c r="L7641" s="6" t="str">
        <f>"400,00"</f>
        <v>400,00</v>
      </c>
      <c r="M7641" s="6" t="str">
        <f>"2.000,00"</f>
        <v>2.000,00</v>
      </c>
      <c r="N7641" s="8" t="s">
        <v>124</v>
      </c>
      <c r="O7641" s="7"/>
      <c r="P7641" s="2" t="s">
        <v>5614</v>
      </c>
      <c r="Q7641" s="7"/>
      <c r="R7641" s="1"/>
      <c r="S7641" s="1" t="str">
        <f>"J-UN-2020-3337"</f>
        <v>J-UN-2020-3337</v>
      </c>
      <c r="T7641" s="1" t="s">
        <v>32</v>
      </c>
    </row>
    <row r="7642" spans="1:20" ht="51" x14ac:dyDescent="0.25">
      <c r="A7642" s="6">
        <v>7612</v>
      </c>
      <c r="B7642" s="1" t="str">
        <f>"2020-318"</f>
        <v>2020-318</v>
      </c>
      <c r="C7642" s="1" t="s">
        <v>2563</v>
      </c>
      <c r="D7642" s="1" t="s">
        <v>914</v>
      </c>
      <c r="E7642" s="1" t="str">
        <f>""</f>
        <v/>
      </c>
      <c r="F7642" s="1" t="s">
        <v>1860</v>
      </c>
      <c r="G7642" s="1" t="str">
        <f>CONCATENATE(" D.R. AUTO D.O.O.,"," SELSKA CESTA 34,"," 10000 ZAGREB,"," OIB: 07523847158")</f>
        <v xml:space="preserve"> D.R. AUTO D.O.O., SELSKA CESTA 34, 10000 ZAGREB, OIB: 07523847158</v>
      </c>
      <c r="H7642" s="7"/>
      <c r="I7642" s="8" t="s">
        <v>4346</v>
      </c>
      <c r="J7642" s="8" t="s">
        <v>4418</v>
      </c>
      <c r="K7642" s="6" t="str">
        <f>"3.085,60"</f>
        <v>3.085,60</v>
      </c>
      <c r="L7642" s="6" t="str">
        <f>"771,40"</f>
        <v>771,40</v>
      </c>
      <c r="M7642" s="6" t="str">
        <f>"3.857,00"</f>
        <v>3.857,00</v>
      </c>
      <c r="N7642" s="8" t="s">
        <v>124</v>
      </c>
      <c r="O7642" s="7"/>
      <c r="P7642" s="2" t="s">
        <v>5614</v>
      </c>
      <c r="Q7642" s="7"/>
      <c r="R7642" s="1"/>
      <c r="S7642" s="1" t="str">
        <f>"J-UN-2020-3349"</f>
        <v>J-UN-2020-3349</v>
      </c>
      <c r="T7642" s="1" t="s">
        <v>32</v>
      </c>
    </row>
    <row r="7643" spans="1:20" ht="51" x14ac:dyDescent="0.25">
      <c r="A7643" s="6">
        <v>7613</v>
      </c>
      <c r="B7643" s="1" t="str">
        <f>"2020-606"</f>
        <v>2020-606</v>
      </c>
      <c r="C7643" s="1" t="s">
        <v>2572</v>
      </c>
      <c r="D7643" s="1" t="s">
        <v>2573</v>
      </c>
      <c r="E7643" s="1" t="str">
        <f>""</f>
        <v/>
      </c>
      <c r="F7643" s="1" t="s">
        <v>1860</v>
      </c>
      <c r="G7643" s="1" t="str">
        <f>CONCATENATE(" REMEX D.O.O.,"," IVANA ŠIBLA 9,"," 10000 ZAGREB,"," OIB: 08085298355")</f>
        <v xml:space="preserve"> REMEX D.O.O., IVANA ŠIBLA 9, 10000 ZAGREB, OIB: 08085298355</v>
      </c>
      <c r="H7643" s="7"/>
      <c r="I7643" s="8" t="s">
        <v>4346</v>
      </c>
      <c r="J7643" s="8" t="s">
        <v>5143</v>
      </c>
      <c r="K7643" s="6" t="str">
        <f>"250,00"</f>
        <v>250,00</v>
      </c>
      <c r="L7643" s="6" t="str">
        <f>"62,50"</f>
        <v>62,50</v>
      </c>
      <c r="M7643" s="6" t="str">
        <f>"312,50"</f>
        <v>312,50</v>
      </c>
      <c r="N7643" s="8" t="s">
        <v>124</v>
      </c>
      <c r="O7643" s="7"/>
      <c r="P7643" s="2" t="s">
        <v>5614</v>
      </c>
      <c r="Q7643" s="7"/>
      <c r="R7643" s="1"/>
      <c r="S7643" s="1" t="str">
        <f>"J-UN-2020-3358"</f>
        <v>J-UN-2020-3358</v>
      </c>
      <c r="T7643" s="1" t="s">
        <v>32</v>
      </c>
    </row>
    <row r="7644" spans="1:20" ht="63.75" x14ac:dyDescent="0.25">
      <c r="A7644" s="6">
        <v>7614</v>
      </c>
      <c r="B7644" s="1" t="str">
        <f>"2020-1831"</f>
        <v>2020-1831</v>
      </c>
      <c r="C7644" s="1" t="s">
        <v>1289</v>
      </c>
      <c r="D7644" s="1" t="s">
        <v>1290</v>
      </c>
      <c r="E7644" s="1" t="str">
        <f>""</f>
        <v/>
      </c>
      <c r="F7644" s="1" t="s">
        <v>1860</v>
      </c>
      <c r="G7644" s="1" t="str">
        <f>CONCATENATE(" HIDRAULIKA KURELJA D.O.O.,"," MATENAČKA CESTA 41,"," 49290 DONJA STUBICA,"," OIB: 3092900595")</f>
        <v xml:space="preserve"> HIDRAULIKA KURELJA D.O.O., MATENAČKA CESTA 41, 49290 DONJA STUBICA, OIB: 3092900595</v>
      </c>
      <c r="H7644" s="7"/>
      <c r="I7644" s="8" t="s">
        <v>4346</v>
      </c>
      <c r="J7644" s="8" t="s">
        <v>5143</v>
      </c>
      <c r="K7644" s="6" t="str">
        <f>"6.457,16"</f>
        <v>6.457,16</v>
      </c>
      <c r="L7644" s="6" t="str">
        <f>"1.614,29"</f>
        <v>1.614,29</v>
      </c>
      <c r="M7644" s="6" t="str">
        <f>"8.071,45"</f>
        <v>8.071,45</v>
      </c>
      <c r="N7644" s="8" t="s">
        <v>124</v>
      </c>
      <c r="O7644" s="7"/>
      <c r="P7644" s="2" t="s">
        <v>5614</v>
      </c>
      <c r="Q7644" s="7"/>
      <c r="R7644" s="1"/>
      <c r="S7644" s="1" t="str">
        <f>"J-UN-2020-3361"</f>
        <v>J-UN-2020-3361</v>
      </c>
      <c r="T7644" s="1" t="s">
        <v>32</v>
      </c>
    </row>
    <row r="7645" spans="1:20" ht="76.5" x14ac:dyDescent="0.25">
      <c r="A7645" s="6">
        <v>7615</v>
      </c>
      <c r="B7645" s="1" t="str">
        <f>"2020-2998"</f>
        <v>2020-2998</v>
      </c>
      <c r="C7645" s="1" t="s">
        <v>5573</v>
      </c>
      <c r="D7645" s="1" t="s">
        <v>2729</v>
      </c>
      <c r="E7645" s="1" t="str">
        <f>""</f>
        <v/>
      </c>
      <c r="F7645" s="1" t="s">
        <v>1860</v>
      </c>
      <c r="G7645" s="1" t="str">
        <f>CONCATENATE(" QUALITY MANAGEMENT SOLUTIONS D.O.O.,"," LAŠČINSKA 76,"," 10000 ZAGREB,"," OIB: 74135974103")</f>
        <v xml:space="preserve"> QUALITY MANAGEMENT SOLUTIONS D.O.O., LAŠČINSKA 76, 10000 ZAGREB, OIB: 74135974103</v>
      </c>
      <c r="H7645" s="7"/>
      <c r="I7645" s="8" t="s">
        <v>2018</v>
      </c>
      <c r="J7645" s="8" t="s">
        <v>107</v>
      </c>
      <c r="K7645" s="6" t="str">
        <f>"164.000,00"</f>
        <v>164.000,00</v>
      </c>
      <c r="L7645" s="6" t="str">
        <f>"41.000,00"</f>
        <v>41.000,00</v>
      </c>
      <c r="M7645" s="6" t="str">
        <f>"205.000,00"</f>
        <v>205.000,00</v>
      </c>
      <c r="N7645" s="8" t="s">
        <v>124</v>
      </c>
      <c r="O7645" s="7"/>
      <c r="P7645" s="2" t="s">
        <v>5614</v>
      </c>
      <c r="Q7645" s="7"/>
      <c r="R7645" s="1"/>
      <c r="S7645" s="1" t="str">
        <f>"J-UN-2020-3421"</f>
        <v>J-UN-2020-3421</v>
      </c>
      <c r="T7645" s="1" t="s">
        <v>32</v>
      </c>
    </row>
    <row r="7646" spans="1:20" ht="51" x14ac:dyDescent="0.25">
      <c r="A7646" s="6">
        <v>7616</v>
      </c>
      <c r="B7646" s="1" t="str">
        <f>"2020-1008"</f>
        <v>2020-1008</v>
      </c>
      <c r="C7646" s="1" t="s">
        <v>2753</v>
      </c>
      <c r="D7646" s="1" t="s">
        <v>2331</v>
      </c>
      <c r="E7646" s="1" t="str">
        <f>""</f>
        <v/>
      </c>
      <c r="F7646" s="1" t="s">
        <v>1860</v>
      </c>
      <c r="G7646" s="1" t="str">
        <f>CONCATENATE(" LEONARDO MEDIA D.O.O.,"," GJURE SZABA 4/2,"," 10000 ZAGREB,"," OIB: 90240160025")</f>
        <v xml:space="preserve"> LEONARDO MEDIA D.O.O., GJURE SZABA 4/2, 10000 ZAGREB, OIB: 90240160025</v>
      </c>
      <c r="H7646" s="7"/>
      <c r="I7646" s="8" t="s">
        <v>2018</v>
      </c>
      <c r="J7646" s="8" t="s">
        <v>107</v>
      </c>
      <c r="K7646" s="6" t="str">
        <f>"32.100,00"</f>
        <v>32.100,00</v>
      </c>
      <c r="L7646" s="6" t="str">
        <f>"8.025,00"</f>
        <v>8.025,00</v>
      </c>
      <c r="M7646" s="6" t="str">
        <f>"40.125,00"</f>
        <v>40.125,00</v>
      </c>
      <c r="N7646" s="8" t="s">
        <v>124</v>
      </c>
      <c r="O7646" s="7"/>
      <c r="P7646" s="2" t="s">
        <v>5614</v>
      </c>
      <c r="Q7646" s="7"/>
      <c r="R7646" s="1"/>
      <c r="S7646" s="1" t="str">
        <f>"J-UN-2020-3424"</f>
        <v>J-UN-2020-3424</v>
      </c>
      <c r="T7646" s="1" t="s">
        <v>32</v>
      </c>
    </row>
    <row r="7647" spans="1:20" ht="51" x14ac:dyDescent="0.25">
      <c r="A7647" s="6">
        <v>7617</v>
      </c>
      <c r="B7647" s="1" t="str">
        <f>"2020-960"</f>
        <v>2020-960</v>
      </c>
      <c r="C7647" s="1" t="s">
        <v>3085</v>
      </c>
      <c r="D7647" s="1" t="s">
        <v>2549</v>
      </c>
      <c r="E7647" s="1" t="str">
        <f>""</f>
        <v/>
      </c>
      <c r="F7647" s="1" t="s">
        <v>1860</v>
      </c>
      <c r="G7647" s="1" t="str">
        <f>CONCATENATE(" AD HOC-CENTAR D.O.O.,"," DRAŠKOVIĆEVA 4A,"," 10000 ZAGREB,"," OIB: 75132412279")</f>
        <v xml:space="preserve"> AD HOC-CENTAR D.O.O., DRAŠKOVIĆEVA 4A, 10000 ZAGREB, OIB: 75132412279</v>
      </c>
      <c r="H7647" s="7"/>
      <c r="I7647" s="8" t="s">
        <v>107</v>
      </c>
      <c r="J7647" s="8" t="s">
        <v>313</v>
      </c>
      <c r="K7647" s="6" t="str">
        <f>"37.500,00"</f>
        <v>37.500,00</v>
      </c>
      <c r="L7647" s="6" t="str">
        <f>"9.375,00"</f>
        <v>9.375,00</v>
      </c>
      <c r="M7647" s="6" t="str">
        <f>"46.875,00"</f>
        <v>46.875,00</v>
      </c>
      <c r="N7647" s="8" t="s">
        <v>1471</v>
      </c>
      <c r="O7647" s="7"/>
      <c r="P7647" s="2" t="s">
        <v>9229</v>
      </c>
      <c r="Q7647" s="7"/>
      <c r="R7647" s="1"/>
      <c r="S7647" s="1" t="str">
        <f>"J-UN-2020-3425"</f>
        <v>J-UN-2020-3425</v>
      </c>
      <c r="T7647" s="1" t="s">
        <v>32</v>
      </c>
    </row>
    <row r="7648" spans="1:20" ht="51" x14ac:dyDescent="0.25">
      <c r="A7648" s="6">
        <v>7618</v>
      </c>
      <c r="B7648" s="1" t="str">
        <f>"2020-2221"</f>
        <v>2020-2221</v>
      </c>
      <c r="C7648" s="1" t="s">
        <v>2316</v>
      </c>
      <c r="D7648" s="1" t="s">
        <v>2211</v>
      </c>
      <c r="E7648" s="1" t="str">
        <f>""</f>
        <v/>
      </c>
      <c r="F7648" s="1" t="s">
        <v>1860</v>
      </c>
      <c r="G7648" s="1" t="str">
        <f>CONCATENATE(" OIKON D.O.O.,"," TRG SENJSKIH USKOKA 1-2,"," 10000 ZAGREB,"," OIB: 63588853294")</f>
        <v xml:space="preserve"> OIKON D.O.O., TRG SENJSKIH USKOKA 1-2, 10000 ZAGREB, OIB: 63588853294</v>
      </c>
      <c r="H7648" s="7"/>
      <c r="I7648" s="8" t="s">
        <v>2018</v>
      </c>
      <c r="J7648" s="8" t="s">
        <v>3495</v>
      </c>
      <c r="K7648" s="6" t="str">
        <f>"107.000,00"</f>
        <v>107.000,00</v>
      </c>
      <c r="L7648" s="6" t="str">
        <f>"26.750,00"</f>
        <v>26.750,00</v>
      </c>
      <c r="M7648" s="6" t="str">
        <f>"133.750,00"</f>
        <v>133.750,00</v>
      </c>
      <c r="N7648" s="8" t="s">
        <v>124</v>
      </c>
      <c r="O7648" s="7"/>
      <c r="P7648" s="2" t="s">
        <v>5614</v>
      </c>
      <c r="Q7648" s="7"/>
      <c r="R7648" s="1"/>
      <c r="S7648" s="1" t="str">
        <f>"J-UN-2020-3426"</f>
        <v>J-UN-2020-3426</v>
      </c>
      <c r="T7648" s="1" t="s">
        <v>32</v>
      </c>
    </row>
    <row r="7649" spans="1:20" ht="51" x14ac:dyDescent="0.25">
      <c r="A7649" s="6">
        <v>7619</v>
      </c>
      <c r="B7649" s="1" t="str">
        <f>"2021-10"</f>
        <v>2021-10</v>
      </c>
      <c r="C7649" s="1" t="s">
        <v>5574</v>
      </c>
      <c r="D7649" s="1" t="s">
        <v>2211</v>
      </c>
      <c r="E7649" s="1" t="str">
        <f>""</f>
        <v/>
      </c>
      <c r="F7649" s="1" t="s">
        <v>1860</v>
      </c>
      <c r="G7649" s="1" t="str">
        <f>CONCATENATE(" UMIUM D.O.O.,"," ŠESTINSKA CESTA 11,"," 10000 ZAGREB,"," OIB: 3116021415")</f>
        <v xml:space="preserve"> UMIUM D.O.O., ŠESTINSKA CESTA 11, 10000 ZAGREB, OIB: 3116021415</v>
      </c>
      <c r="H7649" s="7"/>
      <c r="I7649" s="8" t="s">
        <v>4201</v>
      </c>
      <c r="J7649" s="8" t="s">
        <v>1134</v>
      </c>
      <c r="K7649" s="6" t="str">
        <f>"197.500,00"</f>
        <v>197.500,00</v>
      </c>
      <c r="L7649" s="6" t="str">
        <f>"49.375,00"</f>
        <v>49.375,00</v>
      </c>
      <c r="M7649" s="6" t="str">
        <f>"246.875,00"</f>
        <v>246.875,00</v>
      </c>
      <c r="N7649" s="8" t="s">
        <v>872</v>
      </c>
      <c r="O7649" s="7"/>
      <c r="P7649" s="2" t="s">
        <v>9230</v>
      </c>
      <c r="Q7649" s="7"/>
      <c r="R7649" s="1"/>
      <c r="S7649" s="1" t="str">
        <f>"J-UN-2021-22"</f>
        <v>J-UN-2021-22</v>
      </c>
      <c r="T7649" s="1" t="s">
        <v>32</v>
      </c>
    </row>
    <row r="7650" spans="1:20" ht="51" x14ac:dyDescent="0.25">
      <c r="A7650" s="6">
        <v>7620</v>
      </c>
      <c r="B7650" s="1" t="str">
        <f>"2021-105"</f>
        <v>2021-105</v>
      </c>
      <c r="C7650" s="1" t="s">
        <v>3012</v>
      </c>
      <c r="D7650" s="1" t="s">
        <v>2673</v>
      </c>
      <c r="E7650" s="1" t="str">
        <f>""</f>
        <v/>
      </c>
      <c r="F7650" s="1" t="s">
        <v>1860</v>
      </c>
      <c r="G7650" s="1" t="str">
        <f>CONCATENATE(" VERGL D.O.O.,"," TRPIMIROVA 7,"," 10000 ZAGREB,"," OIB: 33486399992")</f>
        <v xml:space="preserve"> VERGL D.O.O., TRPIMIROVA 7, 10000 ZAGREB, OIB: 33486399992</v>
      </c>
      <c r="H7650" s="7"/>
      <c r="I7650" s="8" t="s">
        <v>2740</v>
      </c>
      <c r="J7650" s="8" t="s">
        <v>126</v>
      </c>
      <c r="K7650" s="6" t="str">
        <f>"12.275,34"</f>
        <v>12.275,34</v>
      </c>
      <c r="L7650" s="6" t="str">
        <f>"3.068,84"</f>
        <v>3.068,84</v>
      </c>
      <c r="M7650" s="6" t="str">
        <f>"15.344,18"</f>
        <v>15.344,18</v>
      </c>
      <c r="N7650" s="8" t="s">
        <v>126</v>
      </c>
      <c r="O7650" s="7"/>
      <c r="P7650" s="2" t="s">
        <v>9231</v>
      </c>
      <c r="Q7650" s="7"/>
      <c r="R7650" s="1"/>
      <c r="S7650" s="1" t="str">
        <f>"J-UN-2021-574"</f>
        <v>J-UN-2021-574</v>
      </c>
      <c r="T7650" s="1" t="s">
        <v>32</v>
      </c>
    </row>
    <row r="7651" spans="1:20" ht="76.5" x14ac:dyDescent="0.25">
      <c r="A7651" s="6">
        <v>7621</v>
      </c>
      <c r="B7651" s="1" t="str">
        <f>"2021-2292"</f>
        <v>2021-2292</v>
      </c>
      <c r="C7651" s="1" t="s">
        <v>5575</v>
      </c>
      <c r="D7651" s="1" t="s">
        <v>2107</v>
      </c>
      <c r="E7651" s="1" t="str">
        <f>""</f>
        <v/>
      </c>
      <c r="F7651" s="1" t="s">
        <v>1860</v>
      </c>
      <c r="G7651" s="1" t="str">
        <f>CONCATENATE(" ADL STRUKTURA D.O.O.,"," VRBIK 20,"," 10000 ZAGREB,"," OIB: 66445349777")</f>
        <v xml:space="preserve"> ADL STRUKTURA D.O.O., VRBIK 20, 10000 ZAGREB, OIB: 66445349777</v>
      </c>
      <c r="H7651" s="7"/>
      <c r="I7651" s="8" t="s">
        <v>616</v>
      </c>
      <c r="J7651" s="8" t="s">
        <v>616</v>
      </c>
      <c r="K7651" s="6" t="str">
        <f>"165.000,00"</f>
        <v>165.000,00</v>
      </c>
      <c r="L7651" s="6" t="str">
        <f>"41.250,00"</f>
        <v>41.250,00</v>
      </c>
      <c r="M7651" s="6" t="str">
        <f>"206.250,00"</f>
        <v>206.250,00</v>
      </c>
      <c r="N7651" s="7"/>
      <c r="O7651" s="9">
        <v>44608</v>
      </c>
      <c r="P7651" s="2" t="s">
        <v>5614</v>
      </c>
      <c r="Q7651" s="7"/>
      <c r="R7651" s="1"/>
      <c r="S7651" s="1" t="str">
        <f>"J-UN-2021-1559"</f>
        <v>J-UN-2021-1559</v>
      </c>
      <c r="T7651" s="1" t="s">
        <v>32</v>
      </c>
    </row>
    <row r="7652" spans="1:20" ht="63.75" x14ac:dyDescent="0.25">
      <c r="A7652" s="6">
        <v>7622</v>
      </c>
      <c r="B7652" s="1" t="str">
        <f>"2016-996"</f>
        <v>2016-996</v>
      </c>
      <c r="C7652" s="1" t="s">
        <v>3004</v>
      </c>
      <c r="D7652" s="1" t="s">
        <v>3005</v>
      </c>
      <c r="E7652" s="1" t="str">
        <f>""</f>
        <v/>
      </c>
      <c r="F7652" s="1" t="s">
        <v>1860</v>
      </c>
      <c r="G7652" s="1" t="str">
        <f>CONCATENATE(" VETERINARSKA STANICA SESVETE D.O.O.,"," JELKOVEČKA 2,"," 10360 SESVETE,"," OIB: 85969503819")</f>
        <v xml:space="preserve"> VETERINARSKA STANICA SESVETE D.O.O., JELKOVEČKA 2, 10360 SESVETE, OIB: 85969503819</v>
      </c>
      <c r="H7652" s="7"/>
      <c r="I7652" s="8" t="s">
        <v>5576</v>
      </c>
      <c r="J7652" s="8" t="s">
        <v>3566</v>
      </c>
      <c r="K7652" s="6" t="str">
        <f>"97.350,00"</f>
        <v>97.350,00</v>
      </c>
      <c r="L7652" s="6" t="str">
        <f>"24.337,50"</f>
        <v>24.337,50</v>
      </c>
      <c r="M7652" s="6" t="str">
        <f>"121.687,50"</f>
        <v>121.687,50</v>
      </c>
      <c r="N7652" s="8" t="s">
        <v>3566</v>
      </c>
      <c r="O7652" s="7"/>
      <c r="P7652" s="2" t="s">
        <v>9232</v>
      </c>
      <c r="Q7652" s="7"/>
      <c r="R7652" s="1"/>
      <c r="S7652" s="1" t="str">
        <f>"BUN-2016-355"</f>
        <v>BUN-2016-355</v>
      </c>
      <c r="T7652" s="1" t="s">
        <v>32</v>
      </c>
    </row>
    <row r="7653" spans="1:20" ht="76.5" x14ac:dyDescent="0.25">
      <c r="A7653" s="6">
        <v>7623</v>
      </c>
      <c r="B7653" s="1" t="str">
        <f>"2016-797"</f>
        <v>2016-797</v>
      </c>
      <c r="C7653" s="1" t="s">
        <v>5169</v>
      </c>
      <c r="D7653" s="1" t="s">
        <v>880</v>
      </c>
      <c r="E7653" s="1" t="str">
        <f>""</f>
        <v/>
      </c>
      <c r="F7653" s="1" t="s">
        <v>1860</v>
      </c>
      <c r="G7653" s="1" t="str">
        <f>CONCATENATE(" NASTAVNI ZAVOD ZA JAVNO ZDRAVSTVO DR. ANDRIJA ŠTAMPAR,"," MIROGOJSKA CESTA 16,"," 10000 ZAGREB,"," OIB: 3339200596")</f>
        <v xml:space="preserve"> NASTAVNI ZAVOD ZA JAVNO ZDRAVSTVO DR. ANDRIJA ŠTAMPAR, MIROGOJSKA CESTA 16, 10000 ZAGREB, OIB: 3339200596</v>
      </c>
      <c r="H7653" s="7"/>
      <c r="I7653" s="8" t="s">
        <v>5576</v>
      </c>
      <c r="J7653" s="8" t="s">
        <v>3498</v>
      </c>
      <c r="K7653" s="6" t="str">
        <f>"4.275,00"</f>
        <v>4.275,00</v>
      </c>
      <c r="L7653" s="6" t="str">
        <f>"1.068,75"</f>
        <v>1.068,75</v>
      </c>
      <c r="M7653" s="6" t="str">
        <f>"5.343,75"</f>
        <v>5.343,75</v>
      </c>
      <c r="N7653" s="8" t="s">
        <v>4886</v>
      </c>
      <c r="O7653" s="7"/>
      <c r="P7653" s="2" t="s">
        <v>9233</v>
      </c>
      <c r="Q7653" s="7"/>
      <c r="R7653" s="1"/>
      <c r="S7653" s="1" t="str">
        <f>"BUN-2016-520"</f>
        <v>BUN-2016-520</v>
      </c>
      <c r="T7653" s="1" t="s">
        <v>32</v>
      </c>
    </row>
    <row r="7654" spans="1:20" ht="89.25" x14ac:dyDescent="0.25">
      <c r="A7654" s="6">
        <v>7624</v>
      </c>
      <c r="B7654" s="1" t="str">
        <f>"2016-2148"</f>
        <v>2016-2148</v>
      </c>
      <c r="C7654" s="1" t="s">
        <v>5152</v>
      </c>
      <c r="D7654" s="1" t="s">
        <v>444</v>
      </c>
      <c r="E7654" s="1" t="str">
        <f>""</f>
        <v/>
      </c>
      <c r="F7654" s="1" t="s">
        <v>1860</v>
      </c>
      <c r="G7654" s="1" t="str">
        <f>CONCATENATE(" VELEBIT OSIGURANJE D.D.,"," SAVSKA 144/A,"," 10000 ZAGREB,"," OIB: 42098054984")</f>
        <v xml:space="preserve"> VELEBIT OSIGURANJE D.D., SAVSKA 144/A, 10000 ZAGREB, OIB: 42098054984</v>
      </c>
      <c r="H7654" s="7"/>
      <c r="I7654" s="8" t="s">
        <v>5576</v>
      </c>
      <c r="J7654" s="8" t="s">
        <v>3498</v>
      </c>
      <c r="K7654" s="6" t="str">
        <f>"38.893,85"</f>
        <v>38.893,85</v>
      </c>
      <c r="L7654" s="6" t="str">
        <f>"9.723,46"</f>
        <v>9.723,46</v>
      </c>
      <c r="M7654" s="6" t="str">
        <f>"48.617,31"</f>
        <v>48.617,31</v>
      </c>
      <c r="N7654" s="8" t="s">
        <v>124</v>
      </c>
      <c r="O7654" s="7"/>
      <c r="P7654" s="2" t="s">
        <v>5614</v>
      </c>
      <c r="Q7654" s="7"/>
      <c r="R7654" s="1"/>
      <c r="S7654" s="1" t="str">
        <f>"BUN-2016-598"</f>
        <v>BUN-2016-598</v>
      </c>
      <c r="T7654" s="1" t="s">
        <v>32</v>
      </c>
    </row>
    <row r="7655" spans="1:20" ht="102" x14ac:dyDescent="0.25">
      <c r="A7655" s="6">
        <v>7625</v>
      </c>
      <c r="B7655" s="1" t="str">
        <f>"2016-2738"</f>
        <v>2016-2738</v>
      </c>
      <c r="C7655" s="1" t="s">
        <v>5577</v>
      </c>
      <c r="D7655" s="1" t="s">
        <v>1370</v>
      </c>
      <c r="E7655" s="1" t="str">
        <f>""</f>
        <v/>
      </c>
      <c r="F7655" s="1" t="s">
        <v>1860</v>
      </c>
      <c r="G7655" s="1" t="str">
        <f>CONCATENATE(" BIRODOM D.O.O.,"," UL. HOJNIKOVA 19,"," 10250 LUČKO,"," OIB: 47794513055")</f>
        <v xml:space="preserve"> BIRODOM D.O.O., UL. HOJNIKOVA 19, 10250 LUČKO, OIB: 47794513055</v>
      </c>
      <c r="H7655" s="7"/>
      <c r="I7655" s="8" t="s">
        <v>5576</v>
      </c>
      <c r="J7655" s="8" t="s">
        <v>3498</v>
      </c>
      <c r="K7655" s="6" t="str">
        <f>"11.080,00"</f>
        <v>11.080,00</v>
      </c>
      <c r="L7655" s="6" t="str">
        <f>"2.770,00"</f>
        <v>2.770,00</v>
      </c>
      <c r="M7655" s="6" t="str">
        <f>"13.850,00"</f>
        <v>13.850,00</v>
      </c>
      <c r="N7655" s="8" t="s">
        <v>5578</v>
      </c>
      <c r="O7655" s="7"/>
      <c r="P7655" s="2" t="s">
        <v>9234</v>
      </c>
      <c r="Q7655" s="7"/>
      <c r="R7655" s="1"/>
      <c r="S7655" s="1" t="str">
        <f>"BUN-2016-640"</f>
        <v>BUN-2016-640</v>
      </c>
      <c r="T7655" s="1" t="s">
        <v>32</v>
      </c>
    </row>
    <row r="7656" spans="1:20" ht="114.75" x14ac:dyDescent="0.25">
      <c r="A7656" s="6">
        <v>7626</v>
      </c>
      <c r="B7656" s="1" t="str">
        <f>"2016-2740"</f>
        <v>2016-2740</v>
      </c>
      <c r="C7656" s="1" t="s">
        <v>5579</v>
      </c>
      <c r="D7656" s="1" t="s">
        <v>1131</v>
      </c>
      <c r="E7656" s="1" t="str">
        <f>""</f>
        <v/>
      </c>
      <c r="F7656" s="1" t="s">
        <v>1860</v>
      </c>
      <c r="G7656" s="1" t="str">
        <f>CONCATENATE(" STUBLIĆ IMPEX D.O.O.,"," DUGOSELSKA 16,"," 10360 SESVETE,"," OIB: 39388757533")</f>
        <v xml:space="preserve"> STUBLIĆ IMPEX D.O.O., DUGOSELSKA 16, 10360 SESVETE, OIB: 39388757533</v>
      </c>
      <c r="H7656" s="7"/>
      <c r="I7656" s="8" t="s">
        <v>5576</v>
      </c>
      <c r="J7656" s="8" t="s">
        <v>3498</v>
      </c>
      <c r="K7656" s="6" t="str">
        <f>"5.590,05"</f>
        <v>5.590,05</v>
      </c>
      <c r="L7656" s="6" t="str">
        <f>"1.397,51"</f>
        <v>1.397,51</v>
      </c>
      <c r="M7656" s="6" t="str">
        <f>"6.987,56"</f>
        <v>6.987,56</v>
      </c>
      <c r="N7656" s="8" t="s">
        <v>5580</v>
      </c>
      <c r="O7656" s="7"/>
      <c r="P7656" s="2" t="s">
        <v>9235</v>
      </c>
      <c r="Q7656" s="7"/>
      <c r="R7656" s="1"/>
      <c r="S7656" s="1" t="str">
        <f>"BUN-2016-642"</f>
        <v>BUN-2016-642</v>
      </c>
      <c r="T7656" s="1" t="s">
        <v>32</v>
      </c>
    </row>
    <row r="7657" spans="1:20" ht="51" x14ac:dyDescent="0.25">
      <c r="A7657" s="6">
        <v>7627</v>
      </c>
      <c r="B7657" s="1" t="str">
        <f>"2016-2748"</f>
        <v>2016-2748</v>
      </c>
      <c r="C7657" s="1" t="s">
        <v>5581</v>
      </c>
      <c r="D7657" s="1" t="s">
        <v>1131</v>
      </c>
      <c r="E7657" s="1" t="str">
        <f>""</f>
        <v/>
      </c>
      <c r="F7657" s="1" t="s">
        <v>1860</v>
      </c>
      <c r="G7657" s="1" t="str">
        <f>CONCATENATE(" ZVIBOR D.O.O.,"," ZAVRTNICA 36,"," 10000 ZAGREB,"," OIB: 03454358063")</f>
        <v xml:space="preserve"> ZVIBOR D.O.O., ZAVRTNICA 36, 10000 ZAGREB, OIB: 03454358063</v>
      </c>
      <c r="H7657" s="7"/>
      <c r="I7657" s="8" t="s">
        <v>5576</v>
      </c>
      <c r="J7657" s="8" t="s">
        <v>3498</v>
      </c>
      <c r="K7657" s="6" t="str">
        <f>"38.117,79"</f>
        <v>38.117,79</v>
      </c>
      <c r="L7657" s="6" t="str">
        <f>"9.529,45"</f>
        <v>9.529,45</v>
      </c>
      <c r="M7657" s="6" t="str">
        <f>"47.647,24"</f>
        <v>47.647,24</v>
      </c>
      <c r="N7657" s="8" t="s">
        <v>3717</v>
      </c>
      <c r="O7657" s="7"/>
      <c r="P7657" s="2" t="s">
        <v>9236</v>
      </c>
      <c r="Q7657" s="7"/>
      <c r="R7657" s="1"/>
      <c r="S7657" s="1" t="str">
        <f>"BUN-2016-728"</f>
        <v>BUN-2016-728</v>
      </c>
      <c r="T7657" s="1" t="s">
        <v>32</v>
      </c>
    </row>
    <row r="7658" spans="1:20" ht="114.75" x14ac:dyDescent="0.25">
      <c r="A7658" s="6">
        <v>7628</v>
      </c>
      <c r="B7658" s="1" t="str">
        <f>"2016-2740"</f>
        <v>2016-2740</v>
      </c>
      <c r="C7658" s="1" t="s">
        <v>5579</v>
      </c>
      <c r="D7658" s="1" t="s">
        <v>1131</v>
      </c>
      <c r="E7658" s="1" t="str">
        <f>""</f>
        <v/>
      </c>
      <c r="F7658" s="1" t="s">
        <v>1860</v>
      </c>
      <c r="G7658" s="1" t="str">
        <f>CONCATENATE(" LIBRO D.O.O.,"," FRANJE RAČKOG 188,"," 31400 ĐAKOVO,"," OIB: 76044773948")</f>
        <v xml:space="preserve"> LIBRO D.O.O., FRANJE RAČKOG 188, 31400 ĐAKOVO, OIB: 76044773948</v>
      </c>
      <c r="H7658" s="7"/>
      <c r="I7658" s="8" t="s">
        <v>5576</v>
      </c>
      <c r="J7658" s="8" t="s">
        <v>3498</v>
      </c>
      <c r="K7658" s="6" t="str">
        <f>"9.641,60"</f>
        <v>9.641,60</v>
      </c>
      <c r="L7658" s="6" t="str">
        <f>"2.410,40"</f>
        <v>2.410,40</v>
      </c>
      <c r="M7658" s="6" t="str">
        <f>"12.052,00"</f>
        <v>12.052,00</v>
      </c>
      <c r="N7658" s="8" t="s">
        <v>5582</v>
      </c>
      <c r="O7658" s="7"/>
      <c r="P7658" s="2" t="s">
        <v>9237</v>
      </c>
      <c r="Q7658" s="1"/>
      <c r="R7658" s="1"/>
      <c r="S7658" s="1" t="str">
        <f>"BUN-2016-915"</f>
        <v>BUN-2016-915</v>
      </c>
      <c r="T7658" s="1" t="s">
        <v>32</v>
      </c>
    </row>
    <row r="7659" spans="1:20" ht="51" x14ac:dyDescent="0.25">
      <c r="A7659" s="6">
        <v>7629</v>
      </c>
      <c r="B7659" s="1" t="str">
        <f>"2016-365"</f>
        <v>2016-365</v>
      </c>
      <c r="C7659" s="1" t="s">
        <v>2817</v>
      </c>
      <c r="D7659" s="1" t="s">
        <v>2818</v>
      </c>
      <c r="E7659" s="1" t="str">
        <f>""</f>
        <v/>
      </c>
      <c r="F7659" s="1" t="s">
        <v>1860</v>
      </c>
      <c r="G7659" s="1" t="str">
        <f>CONCATENATE(" M.B. AUTO  d.o.o.,"," KOLEDOVČINA 8,"," 10000 ZAGREB,"," OIB: 8902734372")</f>
        <v xml:space="preserve"> M.B. AUTO  d.o.o., KOLEDOVČINA 8, 10000 ZAGREB, OIB: 8902734372</v>
      </c>
      <c r="H7659" s="7"/>
      <c r="I7659" s="8" t="s">
        <v>5576</v>
      </c>
      <c r="J7659" s="8" t="s">
        <v>3498</v>
      </c>
      <c r="K7659" s="6" t="str">
        <f>"7.588,75"</f>
        <v>7.588,75</v>
      </c>
      <c r="L7659" s="6" t="str">
        <f>"1.897,19"</f>
        <v>1.897,19</v>
      </c>
      <c r="M7659" s="6" t="str">
        <f>"9.485,94"</f>
        <v>9.485,94</v>
      </c>
      <c r="N7659" s="8" t="s">
        <v>5578</v>
      </c>
      <c r="O7659" s="7"/>
      <c r="P7659" s="2" t="s">
        <v>9238</v>
      </c>
      <c r="Q7659" s="7"/>
      <c r="R7659" s="1"/>
      <c r="S7659" s="1" t="str">
        <f>"BUN-2016-922"</f>
        <v>BUN-2016-922</v>
      </c>
      <c r="T7659" s="1" t="s">
        <v>32</v>
      </c>
    </row>
    <row r="7660" spans="1:20" ht="51" x14ac:dyDescent="0.25">
      <c r="A7660" s="6">
        <v>7630</v>
      </c>
      <c r="B7660" s="1" t="str">
        <f>"2016-2754"</f>
        <v>2016-2754</v>
      </c>
      <c r="C7660" s="1" t="s">
        <v>5583</v>
      </c>
      <c r="D7660" s="1" t="s">
        <v>1546</v>
      </c>
      <c r="E7660" s="1" t="str">
        <f>""</f>
        <v/>
      </c>
      <c r="F7660" s="1" t="s">
        <v>1860</v>
      </c>
      <c r="G7660" s="1" t="str">
        <f>CONCATENATE(" NARODNE NOVINE D.D.,"," ,"," OIB: 64546066176")</f>
        <v xml:space="preserve"> NARODNE NOVINE D.D., , OIB: 64546066176</v>
      </c>
      <c r="H7660" s="7"/>
      <c r="I7660" s="8" t="s">
        <v>5576</v>
      </c>
      <c r="J7660" s="8" t="s">
        <v>3498</v>
      </c>
      <c r="K7660" s="6" t="str">
        <f>"38.561,87"</f>
        <v>38.561,87</v>
      </c>
      <c r="L7660" s="6" t="str">
        <f>"9.640,47"</f>
        <v>9.640,47</v>
      </c>
      <c r="M7660" s="6" t="str">
        <f>"48.202,34"</f>
        <v>48.202,34</v>
      </c>
      <c r="N7660" s="8" t="s">
        <v>5584</v>
      </c>
      <c r="O7660" s="7"/>
      <c r="P7660" s="2" t="s">
        <v>9239</v>
      </c>
      <c r="Q7660" s="1"/>
      <c r="R7660" s="1"/>
      <c r="S7660" s="1" t="str">
        <f>"BUN-2016-948"</f>
        <v>BUN-2016-948</v>
      </c>
      <c r="T7660" s="1" t="s">
        <v>32</v>
      </c>
    </row>
    <row r="7661" spans="1:20" ht="63.75" x14ac:dyDescent="0.25">
      <c r="A7661" s="6">
        <v>7631</v>
      </c>
      <c r="B7661" s="1" t="str">
        <f>"2016-2736"</f>
        <v>2016-2736</v>
      </c>
      <c r="C7661" s="1" t="s">
        <v>5585</v>
      </c>
      <c r="D7661" s="1" t="s">
        <v>794</v>
      </c>
      <c r="E7661" s="1" t="str">
        <f>""</f>
        <v/>
      </c>
      <c r="F7661" s="1" t="s">
        <v>1860</v>
      </c>
      <c r="G7661" s="1" t="str">
        <f>CONCATENATE(" MARGON MEDIA D.O.O.,"," KOLODVORSKA 128,"," 10410 VELIKA GORICA,"," OIB: 5373663184")</f>
        <v xml:space="preserve"> MARGON MEDIA D.O.O., KOLODVORSKA 128, 10410 VELIKA GORICA, OIB: 5373663184</v>
      </c>
      <c r="H7661" s="7"/>
      <c r="I7661" s="8" t="s">
        <v>5576</v>
      </c>
      <c r="J7661" s="8" t="s">
        <v>4487</v>
      </c>
      <c r="K7661" s="6" t="str">
        <f>"69.300,00"</f>
        <v>69.300,00</v>
      </c>
      <c r="L7661" s="6" t="str">
        <f>"17.325,00"</f>
        <v>17.325,00</v>
      </c>
      <c r="M7661" s="6" t="str">
        <f>"86.625,00"</f>
        <v>86.625,00</v>
      </c>
      <c r="N7661" s="8" t="s">
        <v>4886</v>
      </c>
      <c r="O7661" s="7"/>
      <c r="P7661" s="2" t="s">
        <v>9187</v>
      </c>
      <c r="Q7661" s="7"/>
      <c r="R7661" s="1"/>
      <c r="S7661" s="1" t="str">
        <f>"BUN-2016-994"</f>
        <v>BUN-2016-994</v>
      </c>
      <c r="T7661" s="1" t="s">
        <v>32</v>
      </c>
    </row>
    <row r="7662" spans="1:20" ht="63.75" x14ac:dyDescent="0.25">
      <c r="A7662" s="6">
        <v>7632</v>
      </c>
      <c r="B7662" s="1" t="str">
        <f>"2016-819"</f>
        <v>2016-819</v>
      </c>
      <c r="C7662" s="1" t="s">
        <v>5252</v>
      </c>
      <c r="D7662" s="1" t="s">
        <v>815</v>
      </c>
      <c r="E7662" s="1" t="str">
        <f>""</f>
        <v/>
      </c>
      <c r="F7662" s="1" t="s">
        <v>1860</v>
      </c>
      <c r="G7662" s="1" t="str">
        <f>CONCATENATE(" AUTO - MAG D.O.O.,"," GORNJOSTUPNIČKA 1D,"," 10255 GORNJI STUPNIK,"," OIB: 99940897955")</f>
        <v xml:space="preserve"> AUTO - MAG D.O.O., GORNJOSTUPNIČKA 1D, 10255 GORNJI STUPNIK, OIB: 99940897955</v>
      </c>
      <c r="H7662" s="7"/>
      <c r="I7662" s="8" t="s">
        <v>5576</v>
      </c>
      <c r="J7662" s="8" t="s">
        <v>3498</v>
      </c>
      <c r="K7662" s="6" t="str">
        <f>"16.900,00"</f>
        <v>16.900,00</v>
      </c>
      <c r="L7662" s="6" t="str">
        <f>"4.225,00"</f>
        <v>4.225,00</v>
      </c>
      <c r="M7662" s="6" t="str">
        <f>"21.125,00"</f>
        <v>21.125,00</v>
      </c>
      <c r="N7662" s="8" t="s">
        <v>5586</v>
      </c>
      <c r="O7662" s="7"/>
      <c r="P7662" s="2" t="s">
        <v>9240</v>
      </c>
      <c r="Q7662" s="7"/>
      <c r="R7662" s="1"/>
      <c r="S7662" s="1" t="str">
        <f>"BUN-2016-1390"</f>
        <v>BUN-2016-1390</v>
      </c>
      <c r="T7662" s="1" t="s">
        <v>32</v>
      </c>
    </row>
    <row r="7663" spans="1:20" ht="63.75" x14ac:dyDescent="0.25">
      <c r="A7663" s="6">
        <v>7633</v>
      </c>
      <c r="B7663" s="1" t="str">
        <f>"2016-1339"</f>
        <v>2016-1339</v>
      </c>
      <c r="C7663" s="1" t="s">
        <v>266</v>
      </c>
      <c r="D7663" s="1" t="s">
        <v>267</v>
      </c>
      <c r="E7663" s="1" t="str">
        <f>""</f>
        <v/>
      </c>
      <c r="F7663" s="1" t="s">
        <v>1860</v>
      </c>
      <c r="G7663" s="1" t="str">
        <f>CONCATENATE(" THYSSENKRUPP DIZALA D.O.O.,"," FALLEROVO ŠETALIŠTE 22,"," 10000 ZAGREB,"," OIB: 03861531654")</f>
        <v xml:space="preserve"> THYSSENKRUPP DIZALA D.O.O., FALLEROVO ŠETALIŠTE 22, 10000 ZAGREB, OIB: 03861531654</v>
      </c>
      <c r="H7663" s="7"/>
      <c r="I7663" s="8" t="s">
        <v>5576</v>
      </c>
      <c r="J7663" s="8" t="s">
        <v>3498</v>
      </c>
      <c r="K7663" s="6" t="str">
        <f>"13.475,00"</f>
        <v>13.475,00</v>
      </c>
      <c r="L7663" s="6" t="str">
        <f>"3.368,75"</f>
        <v>3.368,75</v>
      </c>
      <c r="M7663" s="6" t="str">
        <f>"16.843,75"</f>
        <v>16.843,75</v>
      </c>
      <c r="N7663" s="8" t="s">
        <v>5587</v>
      </c>
      <c r="O7663" s="7"/>
      <c r="P7663" s="2" t="s">
        <v>7761</v>
      </c>
      <c r="Q7663" s="7"/>
      <c r="R7663" s="1"/>
      <c r="S7663" s="1" t="str">
        <f>"BUN-2016-1489"</f>
        <v>BUN-2016-1489</v>
      </c>
      <c r="T7663" s="1" t="s">
        <v>32</v>
      </c>
    </row>
    <row r="7664" spans="1:20" ht="51" x14ac:dyDescent="0.25">
      <c r="A7664" s="6">
        <v>7634</v>
      </c>
      <c r="B7664" s="1" t="str">
        <f>"2016-457"</f>
        <v>2016-457</v>
      </c>
      <c r="C7664" s="1" t="s">
        <v>2804</v>
      </c>
      <c r="D7664" s="1" t="s">
        <v>2805</v>
      </c>
      <c r="E7664" s="1" t="str">
        <f>""</f>
        <v/>
      </c>
      <c r="F7664" s="1" t="s">
        <v>1860</v>
      </c>
      <c r="G7664" s="1" t="str">
        <f>CONCATENATE(" RUNOGRAD D.O.O.,"," MIJE SILOBOD BOLŠIĆA 2,"," 10000 ZAGREB,"," OIB: 7831042879")</f>
        <v xml:space="preserve"> RUNOGRAD D.O.O., MIJE SILOBOD BOLŠIĆA 2, 10000 ZAGREB, OIB: 7831042879</v>
      </c>
      <c r="H7664" s="7"/>
      <c r="I7664" s="8" t="s">
        <v>5576</v>
      </c>
      <c r="J7664" s="8" t="s">
        <v>3498</v>
      </c>
      <c r="K7664" s="6" t="str">
        <f>"49.825,50"</f>
        <v>49.825,50</v>
      </c>
      <c r="L7664" s="6" t="str">
        <f>"12.456,38"</f>
        <v>12.456,38</v>
      </c>
      <c r="M7664" s="6" t="str">
        <f>"62.281,88"</f>
        <v>62.281,88</v>
      </c>
      <c r="N7664" s="8" t="s">
        <v>4855</v>
      </c>
      <c r="O7664" s="7"/>
      <c r="P7664" s="2" t="s">
        <v>9241</v>
      </c>
      <c r="Q7664" s="7"/>
      <c r="R7664" s="1"/>
      <c r="S7664" s="1" t="str">
        <f>"BUN-2016-1494"</f>
        <v>BUN-2016-1494</v>
      </c>
      <c r="T7664" s="1" t="s">
        <v>32</v>
      </c>
    </row>
    <row r="7665" spans="1:20" ht="76.5" x14ac:dyDescent="0.25">
      <c r="A7665" s="6">
        <v>7635</v>
      </c>
      <c r="B7665" s="1" t="str">
        <f>"2016-1205"</f>
        <v>2016-1205</v>
      </c>
      <c r="C7665" s="1" t="s">
        <v>5008</v>
      </c>
      <c r="D7665" s="1" t="s">
        <v>5009</v>
      </c>
      <c r="E7665" s="1" t="str">
        <f>""</f>
        <v/>
      </c>
      <c r="F7665" s="1" t="s">
        <v>1860</v>
      </c>
      <c r="G7665" s="1" t="str">
        <f>CONCATENATE(" NASTAVNI ZAVOD ZA JAVNO ZDRAVSTVO DR. ANDRIJA ŠTAMPAR,"," MIROGOJSKA CESTA 16,"," 10000 ZAGREB,"," OIB: 3339200596")</f>
        <v xml:space="preserve"> NASTAVNI ZAVOD ZA JAVNO ZDRAVSTVO DR. ANDRIJA ŠTAMPAR, MIROGOJSKA CESTA 16, 10000 ZAGREB, OIB: 3339200596</v>
      </c>
      <c r="H7665" s="7"/>
      <c r="I7665" s="8" t="s">
        <v>5576</v>
      </c>
      <c r="J7665" s="8" t="s">
        <v>3498</v>
      </c>
      <c r="K7665" s="6" t="str">
        <f>"1.680,00"</f>
        <v>1.680,00</v>
      </c>
      <c r="L7665" s="6" t="str">
        <f>"420,00"</f>
        <v>420,00</v>
      </c>
      <c r="M7665" s="6" t="str">
        <f>"2.100,00"</f>
        <v>2.100,00</v>
      </c>
      <c r="N7665" s="8" t="s">
        <v>124</v>
      </c>
      <c r="O7665" s="7"/>
      <c r="P7665" s="2" t="s">
        <v>5614</v>
      </c>
      <c r="Q7665" s="7"/>
      <c r="R7665" s="1"/>
      <c r="S7665" s="1" t="str">
        <f>"BUN-2016-1565"</f>
        <v>BUN-2016-1565</v>
      </c>
      <c r="T7665" s="1" t="s">
        <v>32</v>
      </c>
    </row>
    <row r="7666" spans="1:20" ht="63.75" x14ac:dyDescent="0.25">
      <c r="A7666" s="6">
        <v>7636</v>
      </c>
      <c r="B7666" s="1" t="str">
        <f>"2016-1223"</f>
        <v>2016-1223</v>
      </c>
      <c r="C7666" s="1" t="s">
        <v>2305</v>
      </c>
      <c r="D7666" s="1" t="s">
        <v>2306</v>
      </c>
      <c r="E7666" s="1" t="str">
        <f>""</f>
        <v/>
      </c>
      <c r="F7666" s="1" t="s">
        <v>1860</v>
      </c>
      <c r="G7666" s="1" t="str">
        <f>CONCATENATE(" MAZARS CINOTTI AUDIT D.O.O.,"," STROJARSKA CESTA 20,"," 10000 ZAGREB,"," OIB: 36996600138")</f>
        <v xml:space="preserve"> MAZARS CINOTTI AUDIT D.O.O., STROJARSKA CESTA 20, 10000 ZAGREB, OIB: 36996600138</v>
      </c>
      <c r="H7666" s="7"/>
      <c r="I7666" s="8" t="s">
        <v>5576</v>
      </c>
      <c r="J7666" s="8" t="s">
        <v>3498</v>
      </c>
      <c r="K7666" s="6" t="str">
        <f>"66.000,00"</f>
        <v>66.000,00</v>
      </c>
      <c r="L7666" s="6" t="str">
        <f>"16.500,00"</f>
        <v>16.500,00</v>
      </c>
      <c r="M7666" s="6" t="str">
        <f>"82.500,00"</f>
        <v>82.500,00</v>
      </c>
      <c r="N7666" s="8" t="s">
        <v>124</v>
      </c>
      <c r="O7666" s="7"/>
      <c r="P7666" s="2" t="s">
        <v>5614</v>
      </c>
      <c r="Q7666" s="7"/>
      <c r="R7666" s="1"/>
      <c r="S7666" s="1" t="str">
        <f>"BUN-2016-1701"</f>
        <v>BUN-2016-1701</v>
      </c>
      <c r="T7666" s="1" t="s">
        <v>32</v>
      </c>
    </row>
    <row r="7667" spans="1:20" ht="76.5" x14ac:dyDescent="0.25">
      <c r="A7667" s="6">
        <v>7637</v>
      </c>
      <c r="B7667" s="1" t="str">
        <f>"2016-797"</f>
        <v>2016-797</v>
      </c>
      <c r="C7667" s="1" t="s">
        <v>5169</v>
      </c>
      <c r="D7667" s="1" t="s">
        <v>880</v>
      </c>
      <c r="E7667" s="1" t="str">
        <f>""</f>
        <v/>
      </c>
      <c r="F7667" s="1" t="s">
        <v>1860</v>
      </c>
      <c r="G7667" s="1" t="str">
        <f>CONCATENATE(" NASTAVNI ZAVOD ZA JAVNO ZDRAVSTVO DR. ANDRIJA ŠTAMPAR,"," MIROGOJSKA CESTA 16,"," 10000 ZAGREB,"," OIB: 3339200596")</f>
        <v xml:space="preserve"> NASTAVNI ZAVOD ZA JAVNO ZDRAVSTVO DR. ANDRIJA ŠTAMPAR, MIROGOJSKA CESTA 16, 10000 ZAGREB, OIB: 3339200596</v>
      </c>
      <c r="H7667" s="7"/>
      <c r="I7667" s="8" t="s">
        <v>5576</v>
      </c>
      <c r="J7667" s="8" t="s">
        <v>3498</v>
      </c>
      <c r="K7667" s="6" t="str">
        <f>"7.540,00"</f>
        <v>7.540,00</v>
      </c>
      <c r="L7667" s="6" t="str">
        <f>"1.885,00"</f>
        <v>1.885,00</v>
      </c>
      <c r="M7667" s="6" t="str">
        <f>"9.425,00"</f>
        <v>9.425,00</v>
      </c>
      <c r="N7667" s="8" t="s">
        <v>5588</v>
      </c>
      <c r="O7667" s="7"/>
      <c r="P7667" s="2" t="s">
        <v>9242</v>
      </c>
      <c r="Q7667" s="1"/>
      <c r="R7667" s="1"/>
      <c r="S7667" s="1" t="str">
        <f>"BUN-2016-1832"</f>
        <v>BUN-2016-1832</v>
      </c>
      <c r="T7667" s="1" t="s">
        <v>32</v>
      </c>
    </row>
    <row r="7668" spans="1:20" ht="63.75" x14ac:dyDescent="0.25">
      <c r="A7668" s="6">
        <v>7638</v>
      </c>
      <c r="B7668" s="1" t="str">
        <f>"2016-1205"</f>
        <v>2016-1205</v>
      </c>
      <c r="C7668" s="1" t="s">
        <v>5008</v>
      </c>
      <c r="D7668" s="1" t="s">
        <v>5009</v>
      </c>
      <c r="E7668" s="1" t="str">
        <f>""</f>
        <v/>
      </c>
      <c r="F7668" s="1" t="s">
        <v>1860</v>
      </c>
      <c r="G7668" s="1" t="str">
        <f>CONCATENATE(" HRVATSKI ZAVOD ZA JAVNO ZDRAVSTVO - HZJZ,"," ROCKEFELLEROVA 7,"," 10000 ZAGREB,"," OIB: 7529753204")</f>
        <v xml:space="preserve"> HRVATSKI ZAVOD ZA JAVNO ZDRAVSTVO - HZJZ, ROCKEFELLEROVA 7, 10000 ZAGREB, OIB: 7529753204</v>
      </c>
      <c r="H7668" s="7"/>
      <c r="I7668" s="8" t="s">
        <v>5576</v>
      </c>
      <c r="J7668" s="8" t="s">
        <v>3498</v>
      </c>
      <c r="K7668" s="6" t="str">
        <f>"1.680,00"</f>
        <v>1.680,00</v>
      </c>
      <c r="L7668" s="6" t="str">
        <f>"420,00"</f>
        <v>420,00</v>
      </c>
      <c r="M7668" s="6" t="str">
        <f>"2.100,00"</f>
        <v>2.100,00</v>
      </c>
      <c r="N7668" s="8" t="s">
        <v>124</v>
      </c>
      <c r="O7668" s="7"/>
      <c r="P7668" s="2" t="s">
        <v>5614</v>
      </c>
      <c r="Q7668" s="7"/>
      <c r="R7668" s="1"/>
      <c r="S7668" s="1" t="str">
        <f>"BUN-2016-1833"</f>
        <v>BUN-2016-1833</v>
      </c>
      <c r="T7668" s="1" t="s">
        <v>32</v>
      </c>
    </row>
    <row r="7669" spans="1:20" ht="51" x14ac:dyDescent="0.25">
      <c r="A7669" s="6">
        <v>7639</v>
      </c>
      <c r="B7669" s="1" t="str">
        <f>"2016-1459"</f>
        <v>2016-1459</v>
      </c>
      <c r="C7669" s="1" t="s">
        <v>5589</v>
      </c>
      <c r="D7669" s="1" t="s">
        <v>5590</v>
      </c>
      <c r="E7669" s="1" t="str">
        <f>""</f>
        <v/>
      </c>
      <c r="F7669" s="1" t="s">
        <v>1860</v>
      </c>
      <c r="G7669" s="1" t="str">
        <f>CONCATENATE(" ECOINA D.O.O.,"," SR NJEMAČKE 10,"," 10000 ZAGREB,"," OIB: 98219968247")</f>
        <v xml:space="preserve"> ECOINA D.O.O., SR NJEMAČKE 10, 10000 ZAGREB, OIB: 98219968247</v>
      </c>
      <c r="H7669" s="7"/>
      <c r="I7669" s="8" t="s">
        <v>5576</v>
      </c>
      <c r="J7669" s="8" t="s">
        <v>3498</v>
      </c>
      <c r="K7669" s="6" t="str">
        <f>"27.920,00"</f>
        <v>27.920,00</v>
      </c>
      <c r="L7669" s="6" t="str">
        <f>"6.980,00"</f>
        <v>6.980,00</v>
      </c>
      <c r="M7669" s="6" t="str">
        <f>"34.900,00"</f>
        <v>34.900,00</v>
      </c>
      <c r="N7669" s="8" t="s">
        <v>4572</v>
      </c>
      <c r="O7669" s="7"/>
      <c r="P7669" s="2" t="s">
        <v>9243</v>
      </c>
      <c r="Q7669" s="7"/>
      <c r="R7669" s="1"/>
      <c r="S7669" s="1" t="str">
        <f>"BUN-2016-3902"</f>
        <v>BUN-2016-3902</v>
      </c>
      <c r="T7669" s="1" t="s">
        <v>32</v>
      </c>
    </row>
    <row r="7670" spans="1:20" ht="63.75" x14ac:dyDescent="0.25">
      <c r="A7670" s="6">
        <v>7640</v>
      </c>
      <c r="B7670" s="1" t="str">
        <f>"2016-1638"</f>
        <v>2016-1638</v>
      </c>
      <c r="C7670" s="1" t="s">
        <v>5591</v>
      </c>
      <c r="D7670" s="1" t="s">
        <v>2331</v>
      </c>
      <c r="E7670" s="1" t="str">
        <f>""</f>
        <v/>
      </c>
      <c r="F7670" s="1" t="s">
        <v>1860</v>
      </c>
      <c r="G7670" s="1" t="str">
        <f>CONCATENATE(" HENDRIH FELDBAUER D.O.O.,"," ANTUNA BAUERA 2,"," 10000 ZAGREB,"," OIB: 22564207533")</f>
        <v xml:space="preserve"> HENDRIH FELDBAUER D.O.O., ANTUNA BAUERA 2, 10000 ZAGREB, OIB: 22564207533</v>
      </c>
      <c r="H7670" s="7"/>
      <c r="I7670" s="8" t="s">
        <v>5576</v>
      </c>
      <c r="J7670" s="8" t="s">
        <v>3498</v>
      </c>
      <c r="K7670" s="6" t="str">
        <f>"39.834,00"</f>
        <v>39.834,00</v>
      </c>
      <c r="L7670" s="6" t="str">
        <f>"9.958,50"</f>
        <v>9.958,50</v>
      </c>
      <c r="M7670" s="6" t="str">
        <f>"49.792,50"</f>
        <v>49.792,50</v>
      </c>
      <c r="N7670" s="8" t="s">
        <v>124</v>
      </c>
      <c r="O7670" s="7"/>
      <c r="P7670" s="2" t="s">
        <v>5614</v>
      </c>
      <c r="Q7670" s="7"/>
      <c r="R7670" s="1"/>
      <c r="S7670" s="1" t="str">
        <f>"BUN-2016-4204"</f>
        <v>BUN-2016-4204</v>
      </c>
      <c r="T7670" s="1" t="s">
        <v>32</v>
      </c>
    </row>
    <row r="7671" spans="1:20" ht="51" x14ac:dyDescent="0.25">
      <c r="A7671" s="6">
        <v>7641</v>
      </c>
      <c r="B7671" s="1" t="str">
        <f>"2017-2436"</f>
        <v>2017-2436</v>
      </c>
      <c r="C7671" s="1" t="s">
        <v>2711</v>
      </c>
      <c r="D7671" s="1" t="s">
        <v>1914</v>
      </c>
      <c r="E7671" s="1" t="str">
        <f>""</f>
        <v/>
      </c>
      <c r="F7671" s="1" t="s">
        <v>1860</v>
      </c>
      <c r="G7671" s="1" t="str">
        <f>CONCATENATE(" BETULA D.O.O.,"," VINODOLSKA 33,"," 51260 CRIKVENICA,"," OIB: 4472210776")</f>
        <v xml:space="preserve"> BETULA D.O.O., VINODOLSKA 33, 51260 CRIKVENICA, OIB: 4472210776</v>
      </c>
      <c r="H7671" s="7"/>
      <c r="I7671" s="8" t="s">
        <v>3581</v>
      </c>
      <c r="J7671" s="8" t="s">
        <v>3581</v>
      </c>
      <c r="K7671" s="6" t="str">
        <f>"1.400,45"</f>
        <v>1.400,45</v>
      </c>
      <c r="L7671" s="6" t="str">
        <f>"350,11"</f>
        <v>350,11</v>
      </c>
      <c r="M7671" s="6" t="str">
        <f>"1.750,56"</f>
        <v>1.750,56</v>
      </c>
      <c r="N7671" s="8" t="s">
        <v>5592</v>
      </c>
      <c r="O7671" s="7"/>
      <c r="P7671" s="2" t="s">
        <v>9244</v>
      </c>
      <c r="Q7671" s="7"/>
      <c r="R7671" s="1"/>
      <c r="S7671" s="1" t="str">
        <f>"BUN-2017-78"</f>
        <v>BUN-2017-78</v>
      </c>
      <c r="T7671" s="1" t="s">
        <v>32</v>
      </c>
    </row>
    <row r="7672" spans="1:20" ht="51" x14ac:dyDescent="0.25">
      <c r="A7672" s="6">
        <v>7642</v>
      </c>
      <c r="B7672" s="1" t="str">
        <f>"2017-601"</f>
        <v>2017-601</v>
      </c>
      <c r="C7672" s="1" t="s">
        <v>5593</v>
      </c>
      <c r="D7672" s="1" t="s">
        <v>914</v>
      </c>
      <c r="E7672" s="1" t="str">
        <f>""</f>
        <v/>
      </c>
      <c r="F7672" s="1" t="s">
        <v>1860</v>
      </c>
      <c r="G7672" s="1" t="str">
        <f>CONCATENATE(" DROBILEC D.O.O.,"," MATUNOVA 14,"," 10000 ZAGREB,"," OIB: 87772955929")</f>
        <v xml:space="preserve"> DROBILEC D.O.O., MATUNOVA 14, 10000 ZAGREB, OIB: 87772955929</v>
      </c>
      <c r="H7672" s="7"/>
      <c r="I7672" s="8" t="s">
        <v>3581</v>
      </c>
      <c r="J7672" s="8" t="s">
        <v>3581</v>
      </c>
      <c r="K7672" s="6" t="str">
        <f>"850,00"</f>
        <v>850,00</v>
      </c>
      <c r="L7672" s="6" t="str">
        <f>"212,50"</f>
        <v>212,50</v>
      </c>
      <c r="M7672" s="6" t="str">
        <f>"1.062,50"</f>
        <v>1.062,50</v>
      </c>
      <c r="N7672" s="8" t="s">
        <v>124</v>
      </c>
      <c r="O7672" s="7"/>
      <c r="P7672" s="2" t="s">
        <v>5614</v>
      </c>
      <c r="Q7672" s="7"/>
      <c r="R7672" s="1"/>
      <c r="S7672" s="1" t="str">
        <f>"BUN-2017-80"</f>
        <v>BUN-2017-80</v>
      </c>
      <c r="T7672" s="1" t="s">
        <v>32</v>
      </c>
    </row>
    <row r="7673" spans="1:20" ht="63.75" x14ac:dyDescent="0.25">
      <c r="A7673" s="6">
        <v>7643</v>
      </c>
      <c r="B7673" s="1" t="str">
        <f>"2017-2071"</f>
        <v>2017-2071</v>
      </c>
      <c r="C7673" s="1" t="s">
        <v>5212</v>
      </c>
      <c r="D7673" s="1" t="s">
        <v>2855</v>
      </c>
      <c r="E7673" s="1" t="str">
        <f>""</f>
        <v/>
      </c>
      <c r="F7673" s="1" t="s">
        <v>1860</v>
      </c>
      <c r="G7673" s="1" t="str">
        <f>CONCATENATE(" HIDRAULIKA KURELJA D.O.O.,"," MATENAČKA CESTA 41,"," 49290 DONJA STUBICA,"," OIB: 3092900595")</f>
        <v xml:space="preserve"> HIDRAULIKA KURELJA D.O.O., MATENAČKA CESTA 41, 49290 DONJA STUBICA, OIB: 3092900595</v>
      </c>
      <c r="H7673" s="7"/>
      <c r="I7673" s="8" t="s">
        <v>3832</v>
      </c>
      <c r="J7673" s="8" t="s">
        <v>3832</v>
      </c>
      <c r="K7673" s="6" t="str">
        <f>"7.056,90"</f>
        <v>7.056,90</v>
      </c>
      <c r="L7673" s="6" t="str">
        <f>"1.764,22"</f>
        <v>1.764,22</v>
      </c>
      <c r="M7673" s="6" t="str">
        <f>"8.821,12"</f>
        <v>8.821,12</v>
      </c>
      <c r="N7673" s="8" t="s">
        <v>124</v>
      </c>
      <c r="O7673" s="7"/>
      <c r="P7673" s="2" t="s">
        <v>5614</v>
      </c>
      <c r="Q7673" s="7"/>
      <c r="R7673" s="1"/>
      <c r="S7673" s="1" t="str">
        <f>"BUN-2017-88"</f>
        <v>BUN-2017-88</v>
      </c>
      <c r="T7673" s="1" t="s">
        <v>32</v>
      </c>
    </row>
    <row r="7674" spans="1:20" ht="63.75" x14ac:dyDescent="0.25">
      <c r="A7674" s="6">
        <v>7644</v>
      </c>
      <c r="B7674" s="1" t="str">
        <f>"2017-2024"</f>
        <v>2017-2024</v>
      </c>
      <c r="C7674" s="1" t="s">
        <v>3131</v>
      </c>
      <c r="D7674" s="1" t="s">
        <v>1859</v>
      </c>
      <c r="E7674" s="1" t="str">
        <f>""</f>
        <v/>
      </c>
      <c r="F7674" s="1" t="s">
        <v>1860</v>
      </c>
      <c r="G7674" s="1" t="str">
        <f>CONCATENATE(" TEMPORIS SAVJETOVANJE D.O.O.,"," LOPATINEČKA ULICA 4,"," 10000 ZAGREB,"," OIB: 80885983918")</f>
        <v xml:space="preserve"> TEMPORIS SAVJETOVANJE D.O.O., LOPATINEČKA ULICA 4, 10000 ZAGREB, OIB: 80885983918</v>
      </c>
      <c r="H7674" s="7"/>
      <c r="I7674" s="8" t="s">
        <v>5594</v>
      </c>
      <c r="J7674" s="8" t="s">
        <v>3825</v>
      </c>
      <c r="K7674" s="6" t="str">
        <f>"4.500,00"</f>
        <v>4.500,00</v>
      </c>
      <c r="L7674" s="6" t="str">
        <f>"1.125,00"</f>
        <v>1.125,00</v>
      </c>
      <c r="M7674" s="6" t="str">
        <f>"5.625,00"</f>
        <v>5.625,00</v>
      </c>
      <c r="N7674" s="8" t="s">
        <v>124</v>
      </c>
      <c r="O7674" s="7"/>
      <c r="P7674" s="2" t="s">
        <v>5614</v>
      </c>
      <c r="Q7674" s="7"/>
      <c r="R7674" s="1"/>
      <c r="S7674" s="1" t="str">
        <f>"BUN-2017-94"</f>
        <v>BUN-2017-94</v>
      </c>
      <c r="T7674" s="1" t="s">
        <v>32</v>
      </c>
    </row>
    <row r="7675" spans="1:20" ht="51" x14ac:dyDescent="0.25">
      <c r="A7675" s="6">
        <v>7645</v>
      </c>
      <c r="B7675" s="1" t="str">
        <f>"2017-2527"</f>
        <v>2017-2527</v>
      </c>
      <c r="C7675" s="1" t="s">
        <v>5173</v>
      </c>
      <c r="D7675" s="1" t="s">
        <v>2331</v>
      </c>
      <c r="E7675" s="1" t="str">
        <f>""</f>
        <v/>
      </c>
      <c r="F7675" s="1" t="s">
        <v>1860</v>
      </c>
      <c r="G7675" s="1" t="str">
        <f>CONCATENATE(" KADEI 360 D.O.O.,"," IVE MALLINA 30,"," 10000 ZAGREB,"," OIB: 7082163502")</f>
        <v xml:space="preserve"> KADEI 360 D.O.O., IVE MALLINA 30, 10000 ZAGREB, OIB: 7082163502</v>
      </c>
      <c r="H7675" s="7"/>
      <c r="I7675" s="8" t="s">
        <v>5594</v>
      </c>
      <c r="J7675" s="8" t="s">
        <v>5022</v>
      </c>
      <c r="K7675" s="6" t="str">
        <f>"32.500,00"</f>
        <v>32.500,00</v>
      </c>
      <c r="L7675" s="6" t="str">
        <f>"8.125,00"</f>
        <v>8.125,00</v>
      </c>
      <c r="M7675" s="6" t="str">
        <f>"40.625,00"</f>
        <v>40.625,00</v>
      </c>
      <c r="N7675" s="8" t="s">
        <v>124</v>
      </c>
      <c r="O7675" s="7"/>
      <c r="P7675" s="2" t="s">
        <v>5614</v>
      </c>
      <c r="Q7675" s="7"/>
      <c r="R7675" s="1"/>
      <c r="S7675" s="1" t="str">
        <f>"BUN-2017-101"</f>
        <v>BUN-2017-101</v>
      </c>
      <c r="T7675" s="1" t="s">
        <v>32</v>
      </c>
    </row>
    <row r="7676" spans="1:20" ht="51" x14ac:dyDescent="0.25">
      <c r="A7676" s="6">
        <v>7646</v>
      </c>
      <c r="B7676" s="1" t="str">
        <f>"2017-2038"</f>
        <v>2017-2038</v>
      </c>
      <c r="C7676" s="1" t="s">
        <v>3064</v>
      </c>
      <c r="D7676" s="1" t="s">
        <v>3065</v>
      </c>
      <c r="E7676" s="1" t="str">
        <f>""</f>
        <v/>
      </c>
      <c r="F7676" s="1" t="s">
        <v>1860</v>
      </c>
      <c r="G7676" s="1" t="str">
        <f>CONCATENATE(" NOVE BOJE ZVUKA D.O.O.,"," KRANJČEVIĆEVA 36,"," 10000 ZAGREB,"," OIB: 917889259")</f>
        <v xml:space="preserve"> NOVE BOJE ZVUKA D.O.O., KRANJČEVIĆEVA 36, 10000 ZAGREB, OIB: 917889259</v>
      </c>
      <c r="H7676" s="7"/>
      <c r="I7676" s="8" t="s">
        <v>5594</v>
      </c>
      <c r="J7676" s="8" t="s">
        <v>3570</v>
      </c>
      <c r="K7676" s="6" t="str">
        <f>"8.812,80"</f>
        <v>8.812,80</v>
      </c>
      <c r="L7676" s="6" t="str">
        <f>"2.203,20"</f>
        <v>2.203,20</v>
      </c>
      <c r="M7676" s="6" t="str">
        <f>"11.016,00"</f>
        <v>11.016,00</v>
      </c>
      <c r="N7676" s="8" t="s">
        <v>124</v>
      </c>
      <c r="O7676" s="7"/>
      <c r="P7676" s="2" t="s">
        <v>5614</v>
      </c>
      <c r="Q7676" s="7"/>
      <c r="R7676" s="1"/>
      <c r="S7676" s="1" t="str">
        <f>"BUN-2017-102"</f>
        <v>BUN-2017-102</v>
      </c>
      <c r="T7676" s="1" t="s">
        <v>32</v>
      </c>
    </row>
    <row r="7677" spans="1:20" ht="51" x14ac:dyDescent="0.25">
      <c r="A7677" s="6">
        <v>7647</v>
      </c>
      <c r="B7677" s="1" t="str">
        <f>"2017-474"</f>
        <v>2017-474</v>
      </c>
      <c r="C7677" s="1" t="s">
        <v>3085</v>
      </c>
      <c r="D7677" s="1" t="s">
        <v>2549</v>
      </c>
      <c r="E7677" s="1" t="str">
        <f>""</f>
        <v/>
      </c>
      <c r="F7677" s="1" t="s">
        <v>1860</v>
      </c>
      <c r="G7677" s="1" t="str">
        <f>CONCATENATE(" AD HOC-CENTAR D.O.O.,"," DRAŠKOVIĆEVA 4A,"," 10000 ZAGREB,"," OIB: 75132412279")</f>
        <v xml:space="preserve"> AD HOC-CENTAR D.O.O., DRAŠKOVIĆEVA 4A, 10000 ZAGREB, OIB: 75132412279</v>
      </c>
      <c r="H7677" s="7"/>
      <c r="I7677" s="8" t="s">
        <v>5594</v>
      </c>
      <c r="J7677" s="8" t="s">
        <v>3825</v>
      </c>
      <c r="K7677" s="6" t="str">
        <f>"10.145,00"</f>
        <v>10.145,00</v>
      </c>
      <c r="L7677" s="6" t="str">
        <f>"2.536,25"</f>
        <v>2.536,25</v>
      </c>
      <c r="M7677" s="6" t="str">
        <f>"12.681,25"</f>
        <v>12.681,25</v>
      </c>
      <c r="N7677" s="8" t="s">
        <v>124</v>
      </c>
      <c r="O7677" s="7"/>
      <c r="P7677" s="2" t="s">
        <v>5614</v>
      </c>
      <c r="Q7677" s="7"/>
      <c r="R7677" s="1"/>
      <c r="S7677" s="1" t="str">
        <f>"BUN-2017-103"</f>
        <v>BUN-2017-103</v>
      </c>
      <c r="T7677" s="1" t="s">
        <v>32</v>
      </c>
    </row>
    <row r="7678" spans="1:20" ht="63.75" x14ac:dyDescent="0.25">
      <c r="A7678" s="6">
        <v>7648</v>
      </c>
      <c r="B7678" s="1" t="str">
        <f>"2017-116"</f>
        <v>2017-116</v>
      </c>
      <c r="C7678" s="1" t="s">
        <v>2702</v>
      </c>
      <c r="D7678" s="1" t="s">
        <v>1209</v>
      </c>
      <c r="E7678" s="1" t="str">
        <f>""</f>
        <v/>
      </c>
      <c r="F7678" s="1" t="s">
        <v>1860</v>
      </c>
      <c r="G7678" s="1" t="str">
        <f>CONCATENATE(" DRÄGER SAFETY D.O.O.,"," AVENIJA VEĆESLAVA HOLJEVCA 40,"," 10010 ZAGREB,"," OIB: 32874587842")</f>
        <v xml:space="preserve"> DRÄGER SAFETY D.O.O., AVENIJA VEĆESLAVA HOLJEVCA 40, 10010 ZAGREB, OIB: 32874587842</v>
      </c>
      <c r="H7678" s="7"/>
      <c r="I7678" s="8" t="s">
        <v>4997</v>
      </c>
      <c r="J7678" s="8" t="s">
        <v>4997</v>
      </c>
      <c r="K7678" s="6" t="str">
        <f>"645,25"</f>
        <v>645,25</v>
      </c>
      <c r="L7678" s="6" t="str">
        <f>"161,31"</f>
        <v>161,31</v>
      </c>
      <c r="M7678" s="6" t="str">
        <f>"806,56"</f>
        <v>806,56</v>
      </c>
      <c r="N7678" s="8" t="s">
        <v>124</v>
      </c>
      <c r="O7678" s="7"/>
      <c r="P7678" s="2" t="s">
        <v>5614</v>
      </c>
      <c r="Q7678" s="7"/>
      <c r="R7678" s="1"/>
      <c r="S7678" s="1" t="str">
        <f>"BUN-2017-125"</f>
        <v>BUN-2017-125</v>
      </c>
      <c r="T7678" s="1" t="s">
        <v>32</v>
      </c>
    </row>
    <row r="7679" spans="1:20" ht="76.5" x14ac:dyDescent="0.25">
      <c r="A7679" s="6">
        <v>7649</v>
      </c>
      <c r="B7679" s="1" t="str">
        <f>"2017-951"</f>
        <v>2017-951</v>
      </c>
      <c r="C7679" s="1" t="s">
        <v>2726</v>
      </c>
      <c r="D7679" s="1" t="s">
        <v>689</v>
      </c>
      <c r="E7679" s="1" t="str">
        <f>""</f>
        <v/>
      </c>
      <c r="F7679" s="1" t="s">
        <v>1860</v>
      </c>
      <c r="G7679" s="1" t="str">
        <f>CONCATENATE(" SMIT-COMMERCE D.O.O.,"," GORNJOSTUPNIČKA 9B,"," 10255 GORNJI STUPNIK,"," OIB: 9524348214")</f>
        <v xml:space="preserve"> SMIT-COMMERCE D.O.O., GORNJOSTUPNIČKA 9B, 10255 GORNJI STUPNIK, OIB: 9524348214</v>
      </c>
      <c r="H7679" s="7"/>
      <c r="I7679" s="8" t="s">
        <v>3593</v>
      </c>
      <c r="J7679" s="8" t="s">
        <v>3593</v>
      </c>
      <c r="K7679" s="6" t="str">
        <f>"406,50"</f>
        <v>406,50</v>
      </c>
      <c r="L7679" s="6" t="str">
        <f>"101,62"</f>
        <v>101,62</v>
      </c>
      <c r="M7679" s="6" t="str">
        <f>"508,12"</f>
        <v>508,12</v>
      </c>
      <c r="N7679" s="8" t="s">
        <v>124</v>
      </c>
      <c r="O7679" s="7"/>
      <c r="P7679" s="2" t="s">
        <v>5614</v>
      </c>
      <c r="Q7679" s="7"/>
      <c r="R7679" s="1"/>
      <c r="S7679" s="1" t="str">
        <f>"BUN-2017-127"</f>
        <v>BUN-2017-127</v>
      </c>
      <c r="T7679" s="1" t="s">
        <v>32</v>
      </c>
    </row>
    <row r="7680" spans="1:20" ht="76.5" x14ac:dyDescent="0.25">
      <c r="A7680" s="6">
        <v>7650</v>
      </c>
      <c r="B7680" s="1" t="str">
        <f>"2017-1630"</f>
        <v>2017-1630</v>
      </c>
      <c r="C7680" s="1" t="s">
        <v>2615</v>
      </c>
      <c r="D7680" s="1" t="s">
        <v>999</v>
      </c>
      <c r="E7680" s="1" t="str">
        <f>""</f>
        <v/>
      </c>
      <c r="F7680" s="1" t="s">
        <v>1860</v>
      </c>
      <c r="G7680" s="1" t="str">
        <f>CONCATENATE(" SMIT-COMMERCE D.O.O.,"," GORNJOSTUPNIČKA 9B,"," 10255 GORNJI STUPNIK,"," OIB: 9524348214")</f>
        <v xml:space="preserve"> SMIT-COMMERCE D.O.O., GORNJOSTUPNIČKA 9B, 10255 GORNJI STUPNIK, OIB: 9524348214</v>
      </c>
      <c r="H7680" s="7"/>
      <c r="I7680" s="8" t="s">
        <v>5002</v>
      </c>
      <c r="J7680" s="8" t="s">
        <v>5002</v>
      </c>
      <c r="K7680" s="6" t="str">
        <f>"940,50"</f>
        <v>940,50</v>
      </c>
      <c r="L7680" s="6" t="str">
        <f>"235,12"</f>
        <v>235,12</v>
      </c>
      <c r="M7680" s="6" t="str">
        <f>"1.175,62"</f>
        <v>1.175,62</v>
      </c>
      <c r="N7680" s="8" t="s">
        <v>124</v>
      </c>
      <c r="O7680" s="7"/>
      <c r="P7680" s="2" t="s">
        <v>5614</v>
      </c>
      <c r="Q7680" s="7"/>
      <c r="R7680" s="1"/>
      <c r="S7680" s="1" t="str">
        <f>"BUN-2017-129"</f>
        <v>BUN-2017-129</v>
      </c>
      <c r="T7680" s="1" t="s">
        <v>32</v>
      </c>
    </row>
    <row r="7681" spans="1:20" ht="63.75" x14ac:dyDescent="0.25">
      <c r="A7681" s="6">
        <v>7651</v>
      </c>
      <c r="B7681" s="1" t="str">
        <f>"2017-957"</f>
        <v>2017-957</v>
      </c>
      <c r="C7681" s="1" t="s">
        <v>5595</v>
      </c>
      <c r="D7681" s="1" t="s">
        <v>2493</v>
      </c>
      <c r="E7681" s="1" t="str">
        <f>""</f>
        <v/>
      </c>
      <c r="F7681" s="1" t="s">
        <v>1860</v>
      </c>
      <c r="G7681" s="1" t="str">
        <f>CONCATENATE(" VOLVO GROUP CROATIA D.O.O.,"," KARLOVAČKA CESTA 94,"," 10000 ZAGREB,"," OIB: 88704563307")</f>
        <v xml:space="preserve"> VOLVO GROUP CROATIA D.O.O., KARLOVAČKA CESTA 94, 10000 ZAGREB, OIB: 88704563307</v>
      </c>
      <c r="H7681" s="7"/>
      <c r="I7681" s="8" t="s">
        <v>4997</v>
      </c>
      <c r="J7681" s="8" t="s">
        <v>4997</v>
      </c>
      <c r="K7681" s="6" t="str">
        <f>"2.676,55"</f>
        <v>2.676,55</v>
      </c>
      <c r="L7681" s="6" t="str">
        <f>"669,14"</f>
        <v>669,14</v>
      </c>
      <c r="M7681" s="6" t="str">
        <f>"3.345,69"</f>
        <v>3.345,69</v>
      </c>
      <c r="N7681" s="8" t="s">
        <v>3769</v>
      </c>
      <c r="O7681" s="7"/>
      <c r="P7681" s="2" t="s">
        <v>9245</v>
      </c>
      <c r="Q7681" s="7"/>
      <c r="R7681" s="1"/>
      <c r="S7681" s="1" t="str">
        <f>"BUN-2017-130"</f>
        <v>BUN-2017-130</v>
      </c>
      <c r="T7681" s="1" t="s">
        <v>32</v>
      </c>
    </row>
    <row r="7682" spans="1:20" ht="76.5" x14ac:dyDescent="0.25">
      <c r="A7682" s="6">
        <v>7652</v>
      </c>
      <c r="B7682" s="1" t="str">
        <f>"2017-543"</f>
        <v>2017-543</v>
      </c>
      <c r="C7682" s="1" t="s">
        <v>2734</v>
      </c>
      <c r="D7682" s="1" t="s">
        <v>2735</v>
      </c>
      <c r="E7682" s="1" t="str">
        <f>""</f>
        <v/>
      </c>
      <c r="F7682" s="1" t="s">
        <v>1860</v>
      </c>
      <c r="G7682" s="1" t="str">
        <f>CONCATENATE(" SMIT-COMMERCE D.O.O.,"," GORNJOSTUPNIČKA 9B,"," 10255 GORNJI STUPNIK,"," OIB: 9524348214")</f>
        <v xml:space="preserve"> SMIT-COMMERCE D.O.O., GORNJOSTUPNIČKA 9B, 10255 GORNJI STUPNIK, OIB: 9524348214</v>
      </c>
      <c r="H7682" s="7"/>
      <c r="I7682" s="8" t="s">
        <v>4650</v>
      </c>
      <c r="J7682" s="8" t="s">
        <v>3832</v>
      </c>
      <c r="K7682" s="6" t="str">
        <f>"619,50"</f>
        <v>619,50</v>
      </c>
      <c r="L7682" s="6" t="str">
        <f>"154,88"</f>
        <v>154,88</v>
      </c>
      <c r="M7682" s="6" t="str">
        <f>"774,38"</f>
        <v>774,38</v>
      </c>
      <c r="N7682" s="8" t="s">
        <v>124</v>
      </c>
      <c r="O7682" s="7"/>
      <c r="P7682" s="2" t="s">
        <v>5614</v>
      </c>
      <c r="Q7682" s="7"/>
      <c r="R7682" s="1"/>
      <c r="S7682" s="1" t="str">
        <f>"BUN-2017-141"</f>
        <v>BUN-2017-141</v>
      </c>
      <c r="T7682" s="1" t="s">
        <v>32</v>
      </c>
    </row>
    <row r="7683" spans="1:20" ht="51" x14ac:dyDescent="0.25">
      <c r="A7683" s="6">
        <v>7653</v>
      </c>
      <c r="B7683" s="1" t="str">
        <f>"2017-418"</f>
        <v>2017-418</v>
      </c>
      <c r="C7683" s="1" t="s">
        <v>5596</v>
      </c>
      <c r="D7683" s="1" t="s">
        <v>2241</v>
      </c>
      <c r="E7683" s="1" t="str">
        <f>""</f>
        <v/>
      </c>
      <c r="F7683" s="1" t="s">
        <v>1860</v>
      </c>
      <c r="G7683" s="1" t="str">
        <f>CONCATENATE(" AUTO BENUSSI D.O.O.,"," INDUSTRIJSKA 2D,"," 52100 PULA,"," OIB: 96262119913")</f>
        <v xml:space="preserve"> AUTO BENUSSI D.O.O., INDUSTRIJSKA 2D, 52100 PULA, OIB: 96262119913</v>
      </c>
      <c r="H7683" s="7"/>
      <c r="I7683" s="8" t="s">
        <v>4997</v>
      </c>
      <c r="J7683" s="8" t="s">
        <v>4997</v>
      </c>
      <c r="K7683" s="6" t="str">
        <f>"35.166,50"</f>
        <v>35.166,50</v>
      </c>
      <c r="L7683" s="6" t="str">
        <f>"8.791,62"</f>
        <v>8.791,62</v>
      </c>
      <c r="M7683" s="6" t="str">
        <f>"43.958,12"</f>
        <v>43.958,12</v>
      </c>
      <c r="N7683" s="8" t="s">
        <v>5180</v>
      </c>
      <c r="O7683" s="7"/>
      <c r="P7683" s="2" t="s">
        <v>9246</v>
      </c>
      <c r="Q7683" s="7"/>
      <c r="R7683" s="1"/>
      <c r="S7683" s="1" t="str">
        <f>"BUN-2017-144"</f>
        <v>BUN-2017-144</v>
      </c>
      <c r="T7683" s="1" t="s">
        <v>32</v>
      </c>
    </row>
    <row r="7684" spans="1:20" ht="89.25" x14ac:dyDescent="0.25">
      <c r="A7684" s="6">
        <v>7654</v>
      </c>
      <c r="B7684" s="1" t="str">
        <f>"2017-1723"</f>
        <v>2017-1723</v>
      </c>
      <c r="C7684" s="1" t="s">
        <v>5169</v>
      </c>
      <c r="D7684" s="1" t="s">
        <v>880</v>
      </c>
      <c r="E7684" s="1" t="str">
        <f>""</f>
        <v/>
      </c>
      <c r="F7684" s="1" t="s">
        <v>1860</v>
      </c>
      <c r="G7684" s="1" t="str">
        <f>CONCATENATE(" NASTAVNI ZAVOD ZA JAVNO ZDRAVSTVO PRIMORSKO - GORANSKE ŽUPANIJE,"," KREŠIMIROVA 52/A,"," 51000 RIJEKA,"," OIB: 45613787772")</f>
        <v xml:space="preserve"> NASTAVNI ZAVOD ZA JAVNO ZDRAVSTVO PRIMORSKO - GORANSKE ŽUPANIJE, KREŠIMIROVA 52/A, 51000 RIJEKA, OIB: 45613787772</v>
      </c>
      <c r="H7684" s="7"/>
      <c r="I7684" s="8" t="s">
        <v>5168</v>
      </c>
      <c r="J7684" s="8" t="s">
        <v>5168</v>
      </c>
      <c r="K7684" s="6" t="str">
        <f>"3.744,00"</f>
        <v>3.744,00</v>
      </c>
      <c r="L7684" s="6" t="str">
        <f>"936,00"</f>
        <v>936,00</v>
      </c>
      <c r="M7684" s="6" t="str">
        <f>"4.680,00"</f>
        <v>4.680,00</v>
      </c>
      <c r="N7684" s="8" t="s">
        <v>124</v>
      </c>
      <c r="O7684" s="7"/>
      <c r="P7684" s="2" t="s">
        <v>5614</v>
      </c>
      <c r="Q7684" s="7"/>
      <c r="R7684" s="1"/>
      <c r="S7684" s="1" t="str">
        <f>"BUN-2017-161"</f>
        <v>BUN-2017-161</v>
      </c>
      <c r="T7684" s="1" t="s">
        <v>32</v>
      </c>
    </row>
    <row r="7685" spans="1:20" ht="51" x14ac:dyDescent="0.25">
      <c r="A7685" s="6">
        <v>7655</v>
      </c>
      <c r="B7685" s="1" t="str">
        <f>"2017-971"</f>
        <v>2017-971</v>
      </c>
      <c r="C7685" s="1" t="s">
        <v>5182</v>
      </c>
      <c r="D7685" s="1" t="s">
        <v>2631</v>
      </c>
      <c r="E7685" s="1" t="str">
        <f>""</f>
        <v/>
      </c>
      <c r="F7685" s="1" t="s">
        <v>1860</v>
      </c>
      <c r="G7685" s="1" t="str">
        <f>CONCATENATE(" LIDER MEDIA D.O.O.,"," SAVSKA CESTA 41,"," 10000 ZAGREB,"," OIB: 75374786952")</f>
        <v xml:space="preserve"> LIDER MEDIA D.O.O., SAVSKA CESTA 41, 10000 ZAGREB, OIB: 75374786952</v>
      </c>
      <c r="H7685" s="7"/>
      <c r="I7685" s="8" t="s">
        <v>4997</v>
      </c>
      <c r="J7685" s="8" t="s">
        <v>4997</v>
      </c>
      <c r="K7685" s="6" t="str">
        <f>"10.000,00"</f>
        <v>10.000,00</v>
      </c>
      <c r="L7685" s="6" t="str">
        <f>"2.500,00"</f>
        <v>2.500,00</v>
      </c>
      <c r="M7685" s="6" t="str">
        <f>"12.500,00"</f>
        <v>12.500,00</v>
      </c>
      <c r="N7685" s="8" t="s">
        <v>124</v>
      </c>
      <c r="O7685" s="7"/>
      <c r="P7685" s="2" t="s">
        <v>5614</v>
      </c>
      <c r="Q7685" s="7"/>
      <c r="R7685" s="1"/>
      <c r="S7685" s="1" t="str">
        <f>"BUN-2017-173"</f>
        <v>BUN-2017-173</v>
      </c>
      <c r="T7685" s="1" t="s">
        <v>32</v>
      </c>
    </row>
    <row r="7686" spans="1:20" ht="51" x14ac:dyDescent="0.25">
      <c r="A7686" s="6">
        <v>7656</v>
      </c>
      <c r="B7686" s="1" t="str">
        <f>"2017-2095"</f>
        <v>2017-2095</v>
      </c>
      <c r="C7686" s="1" t="s">
        <v>4494</v>
      </c>
      <c r="D7686" s="1" t="s">
        <v>2729</v>
      </c>
      <c r="E7686" s="1" t="str">
        <f>""</f>
        <v/>
      </c>
      <c r="F7686" s="1" t="s">
        <v>1860</v>
      </c>
      <c r="G7686" s="1" t="str">
        <f>CONCATENATE(" PROTEKO D.O.O.,"," F.PUŠKARIĆA 18,"," 10250 ZAGREB,"," OIB: 44459323154")</f>
        <v xml:space="preserve"> PROTEKO D.O.O., F.PUŠKARIĆA 18, 10250 ZAGREB, OIB: 44459323154</v>
      </c>
      <c r="H7686" s="7"/>
      <c r="I7686" s="8" t="s">
        <v>3593</v>
      </c>
      <c r="J7686" s="8" t="s">
        <v>3593</v>
      </c>
      <c r="K7686" s="6" t="str">
        <f>"38.000,00"</f>
        <v>38.000,00</v>
      </c>
      <c r="L7686" s="6" t="str">
        <f>"9.500,00"</f>
        <v>9.500,00</v>
      </c>
      <c r="M7686" s="6" t="str">
        <f>"47.500,00"</f>
        <v>47.500,00</v>
      </c>
      <c r="N7686" s="8" t="s">
        <v>124</v>
      </c>
      <c r="O7686" s="7"/>
      <c r="P7686" s="2" t="s">
        <v>5614</v>
      </c>
      <c r="Q7686" s="7"/>
      <c r="R7686" s="1"/>
      <c r="S7686" s="1" t="str">
        <f>"BUN-2017-177"</f>
        <v>BUN-2017-177</v>
      </c>
      <c r="T7686" s="1" t="s">
        <v>32</v>
      </c>
    </row>
    <row r="7687" spans="1:20" ht="76.5" x14ac:dyDescent="0.25">
      <c r="A7687" s="6">
        <v>7657</v>
      </c>
      <c r="B7687" s="1" t="str">
        <f>"2017-1081"</f>
        <v>2017-1081</v>
      </c>
      <c r="C7687" s="1" t="s">
        <v>5161</v>
      </c>
      <c r="D7687" s="1" t="s">
        <v>689</v>
      </c>
      <c r="E7687" s="1" t="str">
        <f>""</f>
        <v/>
      </c>
      <c r="F7687" s="1" t="s">
        <v>1860</v>
      </c>
      <c r="G7687" s="1" t="str">
        <f>CONCATENATE(" VEKTOR GRUPA DRUŠTVO S OGRANIČENOM ODGOVORNOŠĆU ZA TISAK I TRGOVINU,"," ,"," OIB: 4048577236")</f>
        <v xml:space="preserve"> VEKTOR GRUPA DRUŠTVO S OGRANIČENOM ODGOVORNOŠĆU ZA TISAK I TRGOVINU, , OIB: 4048577236</v>
      </c>
      <c r="H7687" s="7"/>
      <c r="I7687" s="8" t="s">
        <v>5002</v>
      </c>
      <c r="J7687" s="8" t="s">
        <v>5002</v>
      </c>
      <c r="K7687" s="6" t="str">
        <f>"32.280,00"</f>
        <v>32.280,00</v>
      </c>
      <c r="L7687" s="6" t="str">
        <f>"8.070,00"</f>
        <v>8.070,00</v>
      </c>
      <c r="M7687" s="6" t="str">
        <f>"40.350,00"</f>
        <v>40.350,00</v>
      </c>
      <c r="N7687" s="8" t="s">
        <v>124</v>
      </c>
      <c r="O7687" s="7"/>
      <c r="P7687" s="2" t="s">
        <v>5614</v>
      </c>
      <c r="Q7687" s="7"/>
      <c r="R7687" s="1"/>
      <c r="S7687" s="1" t="str">
        <f>"BUN-2017-181"</f>
        <v>BUN-2017-181</v>
      </c>
      <c r="T7687" s="1" t="s">
        <v>32</v>
      </c>
    </row>
    <row r="7688" spans="1:20" ht="51" x14ac:dyDescent="0.25">
      <c r="A7688" s="6">
        <v>7658</v>
      </c>
      <c r="B7688" s="1" t="str">
        <f>"2017-2472"</f>
        <v>2017-2472</v>
      </c>
      <c r="C7688" s="1" t="s">
        <v>5222</v>
      </c>
      <c r="D7688" s="1" t="s">
        <v>2241</v>
      </c>
      <c r="E7688" s="1" t="str">
        <f>""</f>
        <v/>
      </c>
      <c r="F7688" s="1" t="s">
        <v>1860</v>
      </c>
      <c r="G7688" s="1" t="str">
        <f>CONCATENATE(" AUTO BENUSSI D.O.O.,"," INDUSTRIJSKA 2D,"," 52100 PULA,"," OIB: 96262119913")</f>
        <v xml:space="preserve"> AUTO BENUSSI D.O.O., INDUSTRIJSKA 2D, 52100 PULA, OIB: 96262119913</v>
      </c>
      <c r="H7688" s="7"/>
      <c r="I7688" s="8" t="s">
        <v>3510</v>
      </c>
      <c r="J7688" s="8" t="s">
        <v>3510</v>
      </c>
      <c r="K7688" s="6" t="str">
        <f>"10.309,20"</f>
        <v>10.309,20</v>
      </c>
      <c r="L7688" s="6" t="str">
        <f>"2.577,30"</f>
        <v>2.577,30</v>
      </c>
      <c r="M7688" s="6" t="str">
        <f>"12.886,50"</f>
        <v>12.886,50</v>
      </c>
      <c r="N7688" s="8" t="s">
        <v>124</v>
      </c>
      <c r="O7688" s="7"/>
      <c r="P7688" s="2" t="s">
        <v>5614</v>
      </c>
      <c r="Q7688" s="7"/>
      <c r="R7688" s="1"/>
      <c r="S7688" s="1" t="str">
        <f>"BUN-2017-182"</f>
        <v>BUN-2017-182</v>
      </c>
      <c r="T7688" s="1" t="s">
        <v>32</v>
      </c>
    </row>
    <row r="7689" spans="1:20" ht="51" x14ac:dyDescent="0.25">
      <c r="A7689" s="6">
        <v>7659</v>
      </c>
      <c r="B7689" s="1" t="str">
        <f>"2017-1202"</f>
        <v>2017-1202</v>
      </c>
      <c r="C7689" s="1" t="s">
        <v>2483</v>
      </c>
      <c r="D7689" s="1" t="s">
        <v>2484</v>
      </c>
      <c r="E7689" s="1" t="str">
        <f>""</f>
        <v/>
      </c>
      <c r="F7689" s="1" t="s">
        <v>1860</v>
      </c>
      <c r="G7689" s="1" t="str">
        <f>CONCATENATE(" PRESSCUT D.O.O.,"," DOMAGOJEVA 2,"," 10000 ZAGREB,"," OIB: 34672089688")</f>
        <v xml:space="preserve"> PRESSCUT D.O.O., DOMAGOJEVA 2, 10000 ZAGREB, OIB: 34672089688</v>
      </c>
      <c r="H7689" s="7"/>
      <c r="I7689" s="8" t="s">
        <v>4650</v>
      </c>
      <c r="J7689" s="8" t="s">
        <v>4487</v>
      </c>
      <c r="K7689" s="6" t="str">
        <f>"48.133,20"</f>
        <v>48.133,20</v>
      </c>
      <c r="L7689" s="6" t="str">
        <f>"12.033,30"</f>
        <v>12.033,30</v>
      </c>
      <c r="M7689" s="6" t="str">
        <f>"60.166,50"</f>
        <v>60.166,50</v>
      </c>
      <c r="N7689" s="8" t="s">
        <v>5597</v>
      </c>
      <c r="O7689" s="7"/>
      <c r="P7689" s="2" t="s">
        <v>9247</v>
      </c>
      <c r="Q7689" s="7"/>
      <c r="R7689" s="1"/>
      <c r="S7689" s="1" t="str">
        <f>"BUN-2017-213"</f>
        <v>BUN-2017-213</v>
      </c>
      <c r="T7689" s="1" t="s">
        <v>32</v>
      </c>
    </row>
    <row r="7690" spans="1:20" ht="89.25" x14ac:dyDescent="0.25">
      <c r="A7690" s="6">
        <v>7660</v>
      </c>
      <c r="B7690" s="1" t="str">
        <f>"2017-1623"</f>
        <v>2017-1623</v>
      </c>
      <c r="C7690" s="1" t="s">
        <v>2761</v>
      </c>
      <c r="D7690" s="1" t="s">
        <v>2762</v>
      </c>
      <c r="E7690" s="1" t="str">
        <f>""</f>
        <v/>
      </c>
      <c r="F7690" s="1" t="s">
        <v>1860</v>
      </c>
      <c r="G7690" s="1" t="str">
        <f>CONCATENATE(" NASTAVNI ZAVOD ZA JAVNO ZDRAVSTVO PRIMORSKO - GORANSKE ŽUPANIJE,"," KREŠIMIROVA 52/A,"," 51000 RIJEKA,"," OIB: 45613787772")</f>
        <v xml:space="preserve"> NASTAVNI ZAVOD ZA JAVNO ZDRAVSTVO PRIMORSKO - GORANSKE ŽUPANIJE, KREŠIMIROVA 52/A, 51000 RIJEKA, OIB: 45613787772</v>
      </c>
      <c r="H7690" s="7"/>
      <c r="I7690" s="8" t="s">
        <v>5002</v>
      </c>
      <c r="J7690" s="8" t="s">
        <v>5002</v>
      </c>
      <c r="K7690" s="6" t="str">
        <f>"2.630,00"</f>
        <v>2.630,00</v>
      </c>
      <c r="L7690" s="6" t="str">
        <f>"657,50"</f>
        <v>657,50</v>
      </c>
      <c r="M7690" s="6" t="str">
        <f>"3.287,50"</f>
        <v>3.287,50</v>
      </c>
      <c r="N7690" s="8" t="s">
        <v>124</v>
      </c>
      <c r="O7690" s="7"/>
      <c r="P7690" s="2" t="s">
        <v>5614</v>
      </c>
      <c r="Q7690" s="7"/>
      <c r="R7690" s="1"/>
      <c r="S7690" s="1" t="str">
        <f>"BUN-2017-232"</f>
        <v>BUN-2017-232</v>
      </c>
      <c r="T7690" s="1" t="s">
        <v>32</v>
      </c>
    </row>
    <row r="7691" spans="1:20" ht="51" x14ac:dyDescent="0.25">
      <c r="A7691" s="6">
        <v>7661</v>
      </c>
      <c r="B7691" s="1" t="str">
        <f>"2017-1088"</f>
        <v>2017-1088</v>
      </c>
      <c r="C7691" s="1" t="s">
        <v>2765</v>
      </c>
      <c r="D7691" s="1" t="s">
        <v>2766</v>
      </c>
      <c r="E7691" s="1" t="str">
        <f>""</f>
        <v/>
      </c>
      <c r="F7691" s="1" t="s">
        <v>1860</v>
      </c>
      <c r="G7691" s="1" t="str">
        <f>CONCATENATE(" NAFTALINA,"," MARULIĆEVE JUDITE 2,"," 10020 ZAGREB,"," OIB: 87962251332")</f>
        <v xml:space="preserve"> NAFTALINA, MARULIĆEVE JUDITE 2, 10020 ZAGREB, OIB: 87962251332</v>
      </c>
      <c r="H7691" s="7"/>
      <c r="I7691" s="8" t="s">
        <v>3510</v>
      </c>
      <c r="J7691" s="8" t="s">
        <v>3510</v>
      </c>
      <c r="K7691" s="6" t="str">
        <f>"33.978,00"</f>
        <v>33.978,00</v>
      </c>
      <c r="L7691" s="6" t="str">
        <f>"8.494,50"</f>
        <v>8.494,50</v>
      </c>
      <c r="M7691" s="6" t="str">
        <f>"42.472,50"</f>
        <v>42.472,50</v>
      </c>
      <c r="N7691" s="8" t="s">
        <v>124</v>
      </c>
      <c r="O7691" s="7"/>
      <c r="P7691" s="2" t="s">
        <v>5614</v>
      </c>
      <c r="Q7691" s="7"/>
      <c r="R7691" s="1"/>
      <c r="S7691" s="1" t="str">
        <f>"BUN-2017-245"</f>
        <v>BUN-2017-245</v>
      </c>
      <c r="T7691" s="1" t="s">
        <v>32</v>
      </c>
    </row>
    <row r="7692" spans="1:20" ht="38.25" x14ac:dyDescent="0.25">
      <c r="A7692" s="6">
        <v>7662</v>
      </c>
      <c r="B7692" s="1" t="str">
        <f>"2017-1746"</f>
        <v>2017-1746</v>
      </c>
      <c r="C7692" s="1" t="s">
        <v>5162</v>
      </c>
      <c r="D7692" s="1" t="s">
        <v>854</v>
      </c>
      <c r="E7692" s="1" t="str">
        <f>""</f>
        <v/>
      </c>
      <c r="F7692" s="1" t="s">
        <v>1860</v>
      </c>
      <c r="G7692" s="1" t="str">
        <f>CONCATENATE(" SELMET D.O.O.,"," ,"," OIB: 25531283613")</f>
        <v xml:space="preserve"> SELMET D.O.O., , OIB: 25531283613</v>
      </c>
      <c r="H7692" s="7"/>
      <c r="I7692" s="8" t="s">
        <v>3593</v>
      </c>
      <c r="J7692" s="8" t="s">
        <v>3593</v>
      </c>
      <c r="K7692" s="6" t="str">
        <f>"1.093,92"</f>
        <v>1.093,92</v>
      </c>
      <c r="L7692" s="6" t="str">
        <f>"273,48"</f>
        <v>273,48</v>
      </c>
      <c r="M7692" s="6" t="str">
        <f>"1.367,40"</f>
        <v>1.367,40</v>
      </c>
      <c r="N7692" s="8" t="s">
        <v>124</v>
      </c>
      <c r="O7692" s="7"/>
      <c r="P7692" s="2" t="s">
        <v>5614</v>
      </c>
      <c r="Q7692" s="7"/>
      <c r="R7692" s="1"/>
      <c r="S7692" s="1" t="str">
        <f>"BUN-2017-252"</f>
        <v>BUN-2017-252</v>
      </c>
      <c r="T7692" s="1" t="s">
        <v>32</v>
      </c>
    </row>
    <row r="7693" spans="1:20" ht="51" x14ac:dyDescent="0.25">
      <c r="A7693" s="6">
        <v>7663</v>
      </c>
      <c r="B7693" s="1" t="s">
        <v>5609</v>
      </c>
      <c r="C7693" s="1" t="s">
        <v>5611</v>
      </c>
      <c r="D7693" s="1" t="s">
        <v>1304</v>
      </c>
      <c r="E7693" s="1" t="s">
        <v>5613</v>
      </c>
      <c r="F7693" s="1" t="s">
        <v>5612</v>
      </c>
      <c r="G7693" s="1" t="str">
        <f>CONCATENATE("VODOSKOK D.D.,"," ČULINEČKA CESTA 221/C,"," 10040 ZAGREB,"," OIB: 34134218058")</f>
        <v>VODOSKOK D.D., ČULINEČKA CESTA 221/C, 10040 ZAGREB, OIB: 34134218058</v>
      </c>
      <c r="H7693" s="7"/>
      <c r="I7693" s="8" t="s">
        <v>388</v>
      </c>
      <c r="J7693" s="8" t="s">
        <v>850</v>
      </c>
      <c r="K7693" s="22">
        <v>50351.8</v>
      </c>
      <c r="L7693" s="22">
        <v>12587.95</v>
      </c>
      <c r="M7693" s="22">
        <f>SUM(K7693:L7693)</f>
        <v>62939.75</v>
      </c>
      <c r="N7693" s="8" t="s">
        <v>124</v>
      </c>
      <c r="O7693" s="7"/>
      <c r="P7693" s="2" t="s">
        <v>5614</v>
      </c>
      <c r="Q7693" s="7"/>
      <c r="R7693" s="1"/>
      <c r="S7693" s="1" t="s">
        <v>5609</v>
      </c>
      <c r="T7693" s="1" t="s">
        <v>32</v>
      </c>
    </row>
    <row r="7694" spans="1:20" ht="51" x14ac:dyDescent="0.25">
      <c r="A7694" s="6">
        <v>7664</v>
      </c>
      <c r="B7694" s="1" t="s">
        <v>5609</v>
      </c>
      <c r="C7694" s="1" t="s">
        <v>5610</v>
      </c>
      <c r="D7694" s="1" t="s">
        <v>1304</v>
      </c>
      <c r="E7694" s="1" t="s">
        <v>5613</v>
      </c>
      <c r="F7694" s="1" t="s">
        <v>5612</v>
      </c>
      <c r="G7694" s="1" t="str">
        <f>CONCATENATE("VODOSKOK D.D.,"," ČULINEČKA CESTA 221/C,"," 10040 ZAGREB,"," OIB: 34134218058")</f>
        <v>VODOSKOK D.D., ČULINEČKA CESTA 221/C, 10040 ZAGREB, OIB: 34134218058</v>
      </c>
      <c r="H7694" s="7"/>
      <c r="I7694" s="8" t="s">
        <v>388</v>
      </c>
      <c r="J7694" s="8" t="s">
        <v>850</v>
      </c>
      <c r="K7694" s="22">
        <v>3000</v>
      </c>
      <c r="L7694" s="22">
        <v>750</v>
      </c>
      <c r="M7694" s="22">
        <v>3750</v>
      </c>
      <c r="N7694" s="8" t="s">
        <v>124</v>
      </c>
      <c r="O7694" s="7"/>
      <c r="P7694" s="2" t="s">
        <v>5614</v>
      </c>
      <c r="Q7694" s="7"/>
      <c r="R7694" s="1"/>
      <c r="S7694" s="1" t="s">
        <v>5609</v>
      </c>
      <c r="T7694" s="1" t="s">
        <v>32</v>
      </c>
    </row>
  </sheetData>
  <mergeCells count="38">
    <mergeCell ref="S1535:S1536"/>
    <mergeCell ref="T1535:T1536"/>
    <mergeCell ref="P1535:P1536"/>
    <mergeCell ref="Q1535:Q1536"/>
    <mergeCell ref="I2617:I2619"/>
    <mergeCell ref="J2617:J2619"/>
    <mergeCell ref="S2617:S2619"/>
    <mergeCell ref="T2617:T2619"/>
    <mergeCell ref="L2617:L2619"/>
    <mergeCell ref="M2617:M2619"/>
    <mergeCell ref="N2617:N2619"/>
    <mergeCell ref="O2617:O2619"/>
    <mergeCell ref="P2617:P2619"/>
    <mergeCell ref="Q2617:Q2619"/>
    <mergeCell ref="K2617:K2619"/>
    <mergeCell ref="F2617:F2619"/>
    <mergeCell ref="G2617:G2619"/>
    <mergeCell ref="H2617:H2619"/>
    <mergeCell ref="A2617:A2619"/>
    <mergeCell ref="B2617:B2619"/>
    <mergeCell ref="C2617:C2619"/>
    <mergeCell ref="D2617:D2619"/>
    <mergeCell ref="L1535:L1536"/>
    <mergeCell ref="M1535:M1536"/>
    <mergeCell ref="N1535:N1536"/>
    <mergeCell ref="O1535:O1536"/>
    <mergeCell ref="F1535:F1536"/>
    <mergeCell ref="G1535:G1536"/>
    <mergeCell ref="H1535:H1536"/>
    <mergeCell ref="I1535:I1536"/>
    <mergeCell ref="J1535:J1536"/>
    <mergeCell ref="K1535:K1536"/>
    <mergeCell ref="A1535:A1536"/>
    <mergeCell ref="B1535:B1536"/>
    <mergeCell ref="C1535:C1536"/>
    <mergeCell ref="D1535:D1536"/>
    <mergeCell ref="E2617:E2619"/>
    <mergeCell ref="E1535:E1536"/>
  </mergeCells>
  <pageMargins left="0.75" right="0.75" top="1" bottom="1" header="0.5" footer="0.5"/>
  <pageSetup paperSize="9"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registar 1.1.2022.-23.12.2022.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Nikolina Atalić</cp:lastModifiedBy>
  <dcterms:created xsi:type="dcterms:W3CDTF">2022-12-23T09:16:03Z</dcterms:created>
  <dcterms:modified xsi:type="dcterms:W3CDTF">2022-12-29T12:29:09Z</dcterms:modified>
</cp:coreProperties>
</file>